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3120" windowHeight="6135" tabRatio="458" activeTab="1"/>
  </bookViews>
  <sheets>
    <sheet name="Summary" sheetId="5" r:id="rId1"/>
    <sheet name="Production " sheetId="11" r:id="rId2"/>
    <sheet name="Tracking Sheet" sheetId="16" state="hidden" r:id="rId3"/>
  </sheets>
  <definedNames>
    <definedName name="_xlnm._FilterDatabase" localSheetId="1" hidden="1">'Production '!$A$4:$AI$2258</definedName>
    <definedName name="_xlnm._FilterDatabase" localSheetId="2" hidden="1">'Tracking Sheet'!$B$2:$I$2</definedName>
    <definedName name="_xlnm.Print_Area" localSheetId="1">'Production '!$A$1:$AB$2258</definedName>
    <definedName name="_xlnm.Print_Area" localSheetId="0">Summary!$A$1:$I$55</definedName>
    <definedName name="_xlnm.Print_Titles" localSheetId="1">'Production '!$4:$4</definedName>
  </definedNames>
  <calcPr calcId="144525"/>
  <fileRecoveryPr autoRecover="0"/>
</workbook>
</file>

<file path=xl/calcChain.xml><?xml version="1.0" encoding="utf-8"?>
<calcChain xmlns="http://schemas.openxmlformats.org/spreadsheetml/2006/main">
  <c r="B4" i="16" l="1"/>
  <c r="B5" i="16"/>
  <c r="C5" i="16" s="1"/>
  <c r="B6" i="16"/>
  <c r="B7" i="16"/>
  <c r="J7" i="16" s="1"/>
  <c r="B8" i="16"/>
  <c r="B9" i="16"/>
  <c r="E9" i="16" s="1"/>
  <c r="B10" i="16"/>
  <c r="B11" i="16"/>
  <c r="J11" i="16" s="1"/>
  <c r="B12" i="16"/>
  <c r="B13" i="16"/>
  <c r="C13" i="16" s="1"/>
  <c r="B14" i="16"/>
  <c r="B15" i="16"/>
  <c r="J15" i="16" s="1"/>
  <c r="B16" i="16"/>
  <c r="B17" i="16"/>
  <c r="C17" i="16" s="1"/>
  <c r="B18" i="16"/>
  <c r="B19" i="16"/>
  <c r="E19" i="16" s="1"/>
  <c r="B20" i="16"/>
  <c r="B21" i="16"/>
  <c r="E21" i="16" s="1"/>
  <c r="B22" i="16"/>
  <c r="B23" i="16"/>
  <c r="J23" i="16" s="1"/>
  <c r="B24" i="16"/>
  <c r="B25" i="16"/>
  <c r="E25" i="16" s="1"/>
  <c r="B26" i="16"/>
  <c r="B27" i="16"/>
  <c r="C27" i="16" s="1"/>
  <c r="B28" i="16"/>
  <c r="B29" i="16"/>
  <c r="F29" i="16" s="1"/>
  <c r="B30" i="16"/>
  <c r="B31" i="16"/>
  <c r="E31" i="16" s="1"/>
  <c r="B32" i="16"/>
  <c r="B33" i="16"/>
  <c r="D33" i="16" s="1"/>
  <c r="B34" i="16"/>
  <c r="B35" i="16"/>
  <c r="G35" i="16" s="1"/>
  <c r="B36" i="16"/>
  <c r="B37" i="16"/>
  <c r="E37" i="16" s="1"/>
  <c r="B38" i="16"/>
  <c r="B39" i="16"/>
  <c r="C39" i="16" s="1"/>
  <c r="B40" i="16"/>
  <c r="B41" i="16"/>
  <c r="D41" i="16" s="1"/>
  <c r="B42" i="16"/>
  <c r="B43" i="16"/>
  <c r="G43" i="16" s="1"/>
  <c r="B44" i="16"/>
  <c r="B45" i="16"/>
  <c r="B46" i="16"/>
  <c r="B47" i="16"/>
  <c r="C47" i="16" s="1"/>
  <c r="B48" i="16"/>
  <c r="B49" i="16"/>
  <c r="B50" i="16"/>
  <c r="B51" i="16"/>
  <c r="I51" i="16" s="1"/>
  <c r="B52" i="16"/>
  <c r="B53" i="16"/>
  <c r="B54" i="16"/>
  <c r="B55" i="16"/>
  <c r="G55" i="16" s="1"/>
  <c r="B56" i="16"/>
  <c r="B57" i="16"/>
  <c r="B58" i="16"/>
  <c r="B59" i="16"/>
  <c r="G59" i="16" s="1"/>
  <c r="B60" i="16"/>
  <c r="B61" i="16"/>
  <c r="B62" i="16"/>
  <c r="B63" i="16"/>
  <c r="G63" i="16" s="1"/>
  <c r="B64" i="16"/>
  <c r="B65" i="16"/>
  <c r="B66" i="16"/>
  <c r="B67" i="16"/>
  <c r="E67" i="16" s="1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501" i="16"/>
  <c r="B502" i="16"/>
  <c r="B503" i="16"/>
  <c r="B504" i="16"/>
  <c r="B505" i="16"/>
  <c r="B506" i="16"/>
  <c r="B507" i="16"/>
  <c r="B508" i="16"/>
  <c r="B509" i="16"/>
  <c r="B510" i="16"/>
  <c r="B511" i="16"/>
  <c r="B512" i="16"/>
  <c r="B513" i="16"/>
  <c r="B514" i="16"/>
  <c r="B515" i="16"/>
  <c r="B516" i="16"/>
  <c r="B517" i="16"/>
  <c r="B518" i="16"/>
  <c r="B519" i="16"/>
  <c r="B520" i="16"/>
  <c r="B521" i="16"/>
  <c r="B522" i="16"/>
  <c r="B523" i="16"/>
  <c r="B524" i="16"/>
  <c r="B525" i="16"/>
  <c r="B526" i="16"/>
  <c r="B527" i="16"/>
  <c r="B528" i="16"/>
  <c r="B529" i="16"/>
  <c r="B530" i="16"/>
  <c r="B531" i="16"/>
  <c r="B532" i="16"/>
  <c r="B533" i="16"/>
  <c r="B534" i="16"/>
  <c r="B535" i="16"/>
  <c r="B536" i="16"/>
  <c r="B537" i="16"/>
  <c r="B538" i="16"/>
  <c r="B539" i="16"/>
  <c r="B540" i="16"/>
  <c r="B541" i="16"/>
  <c r="B542" i="16"/>
  <c r="B543" i="16"/>
  <c r="B544" i="16"/>
  <c r="B545" i="16"/>
  <c r="B546" i="16"/>
  <c r="B547" i="16"/>
  <c r="B548" i="16"/>
  <c r="B549" i="16"/>
  <c r="B550" i="16"/>
  <c r="B551" i="16"/>
  <c r="B552" i="16"/>
  <c r="B553" i="16"/>
  <c r="B554" i="16"/>
  <c r="B555" i="16"/>
  <c r="B556" i="16"/>
  <c r="B557" i="16"/>
  <c r="B558" i="16"/>
  <c r="B559" i="16"/>
  <c r="B560" i="16"/>
  <c r="B561" i="16"/>
  <c r="B562" i="16"/>
  <c r="B563" i="16"/>
  <c r="B564" i="16"/>
  <c r="B565" i="16"/>
  <c r="B566" i="16"/>
  <c r="B567" i="16"/>
  <c r="B568" i="16"/>
  <c r="B569" i="16"/>
  <c r="B570" i="16"/>
  <c r="B571" i="16"/>
  <c r="B572" i="16"/>
  <c r="B573" i="16"/>
  <c r="B574" i="16"/>
  <c r="B575" i="16"/>
  <c r="B576" i="16"/>
  <c r="B577" i="16"/>
  <c r="B578" i="16"/>
  <c r="B579" i="16"/>
  <c r="B580" i="16"/>
  <c r="B581" i="16"/>
  <c r="B582" i="16"/>
  <c r="B583" i="16"/>
  <c r="B584" i="16"/>
  <c r="B585" i="16"/>
  <c r="B586" i="16"/>
  <c r="B587" i="16"/>
  <c r="B588" i="16"/>
  <c r="B589" i="16"/>
  <c r="B590" i="16"/>
  <c r="B591" i="16"/>
  <c r="B592" i="16"/>
  <c r="B593" i="16"/>
  <c r="B594" i="16"/>
  <c r="B595" i="16"/>
  <c r="B596" i="16"/>
  <c r="B597" i="16"/>
  <c r="B598" i="16"/>
  <c r="B599" i="16"/>
  <c r="B600" i="16"/>
  <c r="B601" i="16"/>
  <c r="B602" i="16"/>
  <c r="B603" i="16"/>
  <c r="B604" i="16"/>
  <c r="B605" i="16"/>
  <c r="B606" i="16"/>
  <c r="B607" i="16"/>
  <c r="B608" i="16"/>
  <c r="B609" i="16"/>
  <c r="B610" i="16"/>
  <c r="B611" i="16"/>
  <c r="B612" i="16"/>
  <c r="B613" i="16"/>
  <c r="B614" i="16"/>
  <c r="B615" i="16"/>
  <c r="B616" i="16"/>
  <c r="B617" i="16"/>
  <c r="B618" i="16"/>
  <c r="B619" i="16"/>
  <c r="B620" i="16"/>
  <c r="B621" i="16"/>
  <c r="B622" i="16"/>
  <c r="B623" i="16"/>
  <c r="B624" i="16"/>
  <c r="B625" i="16"/>
  <c r="B626" i="16"/>
  <c r="B627" i="16"/>
  <c r="B628" i="16"/>
  <c r="B629" i="16"/>
  <c r="B630" i="16"/>
  <c r="B631" i="16"/>
  <c r="B632" i="16"/>
  <c r="B633" i="16"/>
  <c r="B634" i="16"/>
  <c r="B635" i="16"/>
  <c r="B636" i="16"/>
  <c r="B637" i="16"/>
  <c r="B638" i="16"/>
  <c r="B639" i="16"/>
  <c r="B640" i="16"/>
  <c r="B641" i="16"/>
  <c r="B642" i="16"/>
  <c r="B643" i="16"/>
  <c r="B644" i="16"/>
  <c r="B645" i="16"/>
  <c r="B646" i="16"/>
  <c r="B647" i="16"/>
  <c r="B648" i="16"/>
  <c r="B649" i="16"/>
  <c r="B650" i="16"/>
  <c r="B651" i="16"/>
  <c r="B652" i="16"/>
  <c r="B653" i="16"/>
  <c r="B654" i="16"/>
  <c r="B655" i="16"/>
  <c r="B656" i="16"/>
  <c r="B657" i="16"/>
  <c r="B658" i="16"/>
  <c r="B659" i="16"/>
  <c r="B660" i="16"/>
  <c r="B661" i="16"/>
  <c r="B662" i="16"/>
  <c r="B663" i="16"/>
  <c r="B664" i="16"/>
  <c r="B665" i="16"/>
  <c r="B666" i="16"/>
  <c r="B667" i="16"/>
  <c r="B668" i="16"/>
  <c r="B669" i="16"/>
  <c r="B670" i="16"/>
  <c r="B671" i="16"/>
  <c r="B672" i="16"/>
  <c r="B673" i="16"/>
  <c r="B674" i="16"/>
  <c r="B675" i="16"/>
  <c r="B676" i="16"/>
  <c r="B677" i="16"/>
  <c r="B678" i="16"/>
  <c r="B679" i="16"/>
  <c r="B680" i="16"/>
  <c r="B681" i="16"/>
  <c r="B682" i="16"/>
  <c r="B683" i="16"/>
  <c r="B684" i="16"/>
  <c r="B685" i="16"/>
  <c r="B686" i="16"/>
  <c r="B687" i="16"/>
  <c r="B688" i="16"/>
  <c r="B689" i="16"/>
  <c r="B690" i="16"/>
  <c r="B691" i="16"/>
  <c r="B692" i="16"/>
  <c r="B693" i="16"/>
  <c r="B694" i="16"/>
  <c r="B695" i="16"/>
  <c r="B696" i="16"/>
  <c r="B697" i="16"/>
  <c r="B698" i="16"/>
  <c r="B699" i="16"/>
  <c r="B700" i="16"/>
  <c r="B701" i="16"/>
  <c r="B702" i="16"/>
  <c r="B703" i="16"/>
  <c r="B704" i="16"/>
  <c r="B705" i="16"/>
  <c r="B706" i="16"/>
  <c r="B707" i="16"/>
  <c r="B708" i="16"/>
  <c r="B709" i="16"/>
  <c r="B710" i="16"/>
  <c r="B711" i="16"/>
  <c r="B712" i="16"/>
  <c r="B713" i="16"/>
  <c r="B714" i="16"/>
  <c r="B715" i="16"/>
  <c r="B716" i="16"/>
  <c r="B717" i="16"/>
  <c r="B718" i="16"/>
  <c r="B719" i="16"/>
  <c r="B720" i="16"/>
  <c r="B721" i="16"/>
  <c r="B722" i="16"/>
  <c r="B723" i="16"/>
  <c r="B724" i="16"/>
  <c r="B725" i="16"/>
  <c r="B726" i="16"/>
  <c r="B727" i="16"/>
  <c r="B728" i="16"/>
  <c r="B729" i="16"/>
  <c r="B730" i="16"/>
  <c r="B731" i="16"/>
  <c r="B732" i="16"/>
  <c r="B733" i="16"/>
  <c r="B734" i="16"/>
  <c r="B735" i="16"/>
  <c r="B736" i="16"/>
  <c r="B737" i="16"/>
  <c r="B738" i="16"/>
  <c r="B739" i="16"/>
  <c r="B740" i="16"/>
  <c r="B741" i="16"/>
  <c r="B742" i="16"/>
  <c r="B743" i="16"/>
  <c r="B744" i="16"/>
  <c r="B745" i="16"/>
  <c r="B746" i="16"/>
  <c r="B747" i="16"/>
  <c r="B748" i="16"/>
  <c r="B749" i="16"/>
  <c r="B750" i="16"/>
  <c r="B751" i="16"/>
  <c r="B752" i="16"/>
  <c r="B753" i="16"/>
  <c r="B754" i="16"/>
  <c r="B755" i="16"/>
  <c r="B756" i="16"/>
  <c r="B757" i="16"/>
  <c r="B758" i="16"/>
  <c r="B759" i="16"/>
  <c r="B760" i="16"/>
  <c r="B761" i="16"/>
  <c r="B762" i="16"/>
  <c r="B763" i="16"/>
  <c r="B764" i="16"/>
  <c r="B765" i="16"/>
  <c r="B766" i="16"/>
  <c r="B767" i="16"/>
  <c r="B768" i="16"/>
  <c r="B769" i="16"/>
  <c r="B770" i="16"/>
  <c r="B771" i="16"/>
  <c r="B772" i="16"/>
  <c r="B773" i="16"/>
  <c r="B774" i="16"/>
  <c r="B775" i="16"/>
  <c r="B776" i="16"/>
  <c r="B777" i="16"/>
  <c r="B778" i="16"/>
  <c r="B779" i="16"/>
  <c r="B780" i="16"/>
  <c r="B781" i="16"/>
  <c r="B782" i="16"/>
  <c r="B783" i="16"/>
  <c r="B784" i="16"/>
  <c r="B785" i="16"/>
  <c r="B786" i="16"/>
  <c r="B787" i="16"/>
  <c r="B788" i="16"/>
  <c r="B789" i="16"/>
  <c r="B790" i="16"/>
  <c r="B791" i="16"/>
  <c r="B792" i="16"/>
  <c r="B793" i="16"/>
  <c r="B794" i="16"/>
  <c r="B795" i="16"/>
  <c r="B796" i="16"/>
  <c r="B797" i="16"/>
  <c r="B798" i="16"/>
  <c r="B799" i="16"/>
  <c r="B800" i="16"/>
  <c r="B801" i="16"/>
  <c r="B802" i="16"/>
  <c r="B803" i="16"/>
  <c r="B804" i="16"/>
  <c r="B805" i="16"/>
  <c r="B806" i="16"/>
  <c r="B807" i="16"/>
  <c r="B808" i="16"/>
  <c r="B809" i="16"/>
  <c r="B810" i="16"/>
  <c r="B811" i="16"/>
  <c r="B812" i="16"/>
  <c r="B813" i="16"/>
  <c r="B814" i="16"/>
  <c r="B815" i="16"/>
  <c r="B816" i="16"/>
  <c r="B817" i="16"/>
  <c r="B818" i="16"/>
  <c r="B819" i="16"/>
  <c r="B820" i="16"/>
  <c r="B821" i="16"/>
  <c r="B822" i="16"/>
  <c r="B823" i="16"/>
  <c r="B824" i="16"/>
  <c r="B825" i="16"/>
  <c r="B826" i="16"/>
  <c r="B827" i="16"/>
  <c r="B828" i="16"/>
  <c r="B829" i="16"/>
  <c r="B830" i="16"/>
  <c r="B831" i="16"/>
  <c r="B832" i="16"/>
  <c r="B833" i="16"/>
  <c r="B834" i="16"/>
  <c r="B835" i="16"/>
  <c r="B836" i="16"/>
  <c r="B837" i="16"/>
  <c r="B838" i="16"/>
  <c r="B839" i="16"/>
  <c r="B840" i="16"/>
  <c r="B841" i="16"/>
  <c r="B842" i="16"/>
  <c r="B843" i="16"/>
  <c r="B844" i="16"/>
  <c r="B845" i="16"/>
  <c r="B846" i="16"/>
  <c r="B847" i="16"/>
  <c r="B848" i="16"/>
  <c r="B849" i="16"/>
  <c r="B850" i="16"/>
  <c r="B851" i="16"/>
  <c r="B852" i="16"/>
  <c r="B853" i="16"/>
  <c r="B854" i="16"/>
  <c r="B855" i="16"/>
  <c r="B856" i="16"/>
  <c r="B857" i="16"/>
  <c r="B858" i="16"/>
  <c r="B859" i="16"/>
  <c r="B860" i="16"/>
  <c r="B861" i="16"/>
  <c r="B862" i="16"/>
  <c r="B863" i="16"/>
  <c r="B864" i="16"/>
  <c r="B865" i="16"/>
  <c r="B866" i="16"/>
  <c r="B867" i="16"/>
  <c r="B868" i="16"/>
  <c r="B869" i="16"/>
  <c r="B870" i="16"/>
  <c r="B871" i="16"/>
  <c r="B872" i="16"/>
  <c r="B873" i="16"/>
  <c r="B874" i="16"/>
  <c r="B875" i="16"/>
  <c r="B876" i="16"/>
  <c r="B877" i="16"/>
  <c r="B878" i="16"/>
  <c r="B879" i="16"/>
  <c r="B880" i="16"/>
  <c r="B881" i="16"/>
  <c r="B882" i="16"/>
  <c r="B883" i="16"/>
  <c r="B884" i="16"/>
  <c r="B885" i="16"/>
  <c r="B886" i="16"/>
  <c r="B887" i="16"/>
  <c r="B888" i="16"/>
  <c r="B889" i="16"/>
  <c r="B890" i="16"/>
  <c r="B891" i="16"/>
  <c r="B892" i="16"/>
  <c r="B893" i="16"/>
  <c r="B894" i="16"/>
  <c r="B895" i="16"/>
  <c r="B896" i="16"/>
  <c r="B897" i="16"/>
  <c r="B898" i="16"/>
  <c r="B899" i="16"/>
  <c r="B900" i="16"/>
  <c r="B901" i="16"/>
  <c r="B902" i="16"/>
  <c r="B903" i="16"/>
  <c r="B904" i="16"/>
  <c r="B905" i="16"/>
  <c r="B906" i="16"/>
  <c r="B907" i="16"/>
  <c r="B908" i="16"/>
  <c r="B909" i="16"/>
  <c r="B910" i="16"/>
  <c r="B911" i="16"/>
  <c r="B912" i="16"/>
  <c r="B913" i="16"/>
  <c r="B914" i="16"/>
  <c r="B915" i="16"/>
  <c r="B916" i="16"/>
  <c r="B917" i="16"/>
  <c r="B918" i="16"/>
  <c r="B919" i="16"/>
  <c r="B920" i="16"/>
  <c r="B921" i="16"/>
  <c r="B922" i="16"/>
  <c r="B923" i="16"/>
  <c r="B924" i="16"/>
  <c r="B925" i="16"/>
  <c r="B926" i="16"/>
  <c r="B927" i="16"/>
  <c r="B928" i="16"/>
  <c r="B929" i="16"/>
  <c r="B930" i="16"/>
  <c r="B931" i="16"/>
  <c r="B932" i="16"/>
  <c r="B933" i="16"/>
  <c r="B934" i="16"/>
  <c r="B935" i="16"/>
  <c r="B936" i="16"/>
  <c r="B937" i="16"/>
  <c r="B938" i="16"/>
  <c r="B939" i="16"/>
  <c r="B940" i="16"/>
  <c r="B941" i="16"/>
  <c r="B942" i="16"/>
  <c r="B943" i="16"/>
  <c r="B944" i="16"/>
  <c r="B945" i="16"/>
  <c r="B946" i="16"/>
  <c r="B947" i="16"/>
  <c r="B948" i="16"/>
  <c r="B949" i="16"/>
  <c r="B950" i="16"/>
  <c r="B951" i="16"/>
  <c r="B952" i="16"/>
  <c r="B953" i="16"/>
  <c r="B954" i="16"/>
  <c r="B955" i="16"/>
  <c r="B956" i="16"/>
  <c r="B957" i="16"/>
  <c r="B958" i="16"/>
  <c r="B959" i="16"/>
  <c r="B960" i="16"/>
  <c r="B961" i="16"/>
  <c r="B962" i="16"/>
  <c r="B963" i="16"/>
  <c r="B964" i="16"/>
  <c r="B965" i="16"/>
  <c r="B966" i="16"/>
  <c r="B967" i="16"/>
  <c r="B968" i="16"/>
  <c r="B969" i="16"/>
  <c r="B970" i="16"/>
  <c r="B971" i="16"/>
  <c r="B972" i="16"/>
  <c r="B973" i="16"/>
  <c r="B974" i="16"/>
  <c r="B975" i="16"/>
  <c r="B976" i="16"/>
  <c r="B977" i="16"/>
  <c r="B978" i="16"/>
  <c r="B979" i="16"/>
  <c r="B980" i="16"/>
  <c r="B981" i="16"/>
  <c r="B982" i="16"/>
  <c r="B983" i="16"/>
  <c r="B984" i="16"/>
  <c r="B985" i="16"/>
  <c r="B986" i="16"/>
  <c r="B987" i="16"/>
  <c r="B988" i="16"/>
  <c r="B989" i="16"/>
  <c r="B990" i="16"/>
  <c r="B991" i="16"/>
  <c r="B992" i="16"/>
  <c r="B993" i="16"/>
  <c r="B994" i="16"/>
  <c r="B995" i="16"/>
  <c r="B996" i="16"/>
  <c r="B997" i="16"/>
  <c r="B998" i="16"/>
  <c r="B999" i="16"/>
  <c r="B1000" i="16"/>
  <c r="B1001" i="16"/>
  <c r="B1002" i="16"/>
  <c r="B1003" i="16"/>
  <c r="B1004" i="16"/>
  <c r="B1005" i="16"/>
  <c r="B1006" i="16"/>
  <c r="B1007" i="16"/>
  <c r="B1008" i="16"/>
  <c r="B1009" i="16"/>
  <c r="B1010" i="16"/>
  <c r="B1011" i="16"/>
  <c r="B1012" i="16"/>
  <c r="B1013" i="16"/>
  <c r="B1014" i="16"/>
  <c r="B1015" i="16"/>
  <c r="B1016" i="16"/>
  <c r="B1017" i="16"/>
  <c r="B1018" i="16"/>
  <c r="B1019" i="16"/>
  <c r="B1020" i="16"/>
  <c r="B1021" i="16"/>
  <c r="B1022" i="16"/>
  <c r="B1023" i="16"/>
  <c r="B1024" i="16"/>
  <c r="B1025" i="16"/>
  <c r="B1026" i="16"/>
  <c r="B1027" i="16"/>
  <c r="B1028" i="16"/>
  <c r="B1029" i="16"/>
  <c r="B1030" i="16"/>
  <c r="B1031" i="16"/>
  <c r="B1032" i="16"/>
  <c r="B1033" i="16"/>
  <c r="B1034" i="16"/>
  <c r="B1035" i="16"/>
  <c r="B1036" i="16"/>
  <c r="B1037" i="16"/>
  <c r="B1038" i="16"/>
  <c r="B1039" i="16"/>
  <c r="B1040" i="16"/>
  <c r="B1041" i="16"/>
  <c r="B1042" i="16"/>
  <c r="B1043" i="16"/>
  <c r="B1044" i="16"/>
  <c r="B1045" i="16"/>
  <c r="B1046" i="16"/>
  <c r="B1047" i="16"/>
  <c r="B1048" i="16"/>
  <c r="B1049" i="16"/>
  <c r="B1050" i="16"/>
  <c r="B1051" i="16"/>
  <c r="B1052" i="16"/>
  <c r="B1053" i="16"/>
  <c r="B1054" i="16"/>
  <c r="B1055" i="16"/>
  <c r="B1056" i="16"/>
  <c r="B1057" i="16"/>
  <c r="B1058" i="16"/>
  <c r="B1059" i="16"/>
  <c r="B1060" i="16"/>
  <c r="B1061" i="16"/>
  <c r="B1062" i="16"/>
  <c r="B1063" i="16"/>
  <c r="B1064" i="16"/>
  <c r="B1065" i="16"/>
  <c r="B1066" i="16"/>
  <c r="B1067" i="16"/>
  <c r="B1068" i="16"/>
  <c r="B1069" i="16"/>
  <c r="B1070" i="16"/>
  <c r="B1071" i="16"/>
  <c r="B1072" i="16"/>
  <c r="B1073" i="16"/>
  <c r="B1074" i="16"/>
  <c r="B1075" i="16"/>
  <c r="B1076" i="16"/>
  <c r="B1077" i="16"/>
  <c r="B1078" i="16"/>
  <c r="B1079" i="16"/>
  <c r="B1080" i="16"/>
  <c r="B1081" i="16"/>
  <c r="B1082" i="16"/>
  <c r="B1083" i="16"/>
  <c r="B1084" i="16"/>
  <c r="B1085" i="16"/>
  <c r="B1086" i="16"/>
  <c r="B1087" i="16"/>
  <c r="B1088" i="16"/>
  <c r="B1089" i="16"/>
  <c r="B1090" i="16"/>
  <c r="B1091" i="16"/>
  <c r="B1092" i="16"/>
  <c r="B1093" i="16"/>
  <c r="B1094" i="16"/>
  <c r="B1095" i="16"/>
  <c r="B1096" i="16"/>
  <c r="B1097" i="16"/>
  <c r="B1098" i="16"/>
  <c r="B1099" i="16"/>
  <c r="B1100" i="16"/>
  <c r="B1101" i="16"/>
  <c r="B1102" i="16"/>
  <c r="B1103" i="16"/>
  <c r="B1104" i="16"/>
  <c r="B1105" i="16"/>
  <c r="B1106" i="16"/>
  <c r="B1107" i="16"/>
  <c r="B1108" i="16"/>
  <c r="B1109" i="16"/>
  <c r="B1110" i="16"/>
  <c r="B1111" i="16"/>
  <c r="B1112" i="16"/>
  <c r="B1113" i="16"/>
  <c r="B1114" i="16"/>
  <c r="B1115" i="16"/>
  <c r="B1116" i="16"/>
  <c r="B1117" i="16"/>
  <c r="B1118" i="16"/>
  <c r="B1119" i="16"/>
  <c r="B1120" i="16"/>
  <c r="B1121" i="16"/>
  <c r="B1122" i="16"/>
  <c r="B1123" i="16"/>
  <c r="B1124" i="16"/>
  <c r="B1125" i="16"/>
  <c r="B1126" i="16"/>
  <c r="B1127" i="16"/>
  <c r="B1128" i="16"/>
  <c r="B1129" i="16"/>
  <c r="B1130" i="16"/>
  <c r="B1131" i="16"/>
  <c r="B1132" i="16"/>
  <c r="B1133" i="16"/>
  <c r="B1134" i="16"/>
  <c r="B1135" i="16"/>
  <c r="B1136" i="16"/>
  <c r="B1137" i="16"/>
  <c r="B1138" i="16"/>
  <c r="B1139" i="16"/>
  <c r="B1140" i="16"/>
  <c r="B1141" i="16"/>
  <c r="B1142" i="16"/>
  <c r="B1143" i="16"/>
  <c r="B1144" i="16"/>
  <c r="B1145" i="16"/>
  <c r="B1146" i="16"/>
  <c r="B1147" i="16"/>
  <c r="B1148" i="16"/>
  <c r="B1149" i="16"/>
  <c r="B1150" i="16"/>
  <c r="B1151" i="16"/>
  <c r="B1152" i="16"/>
  <c r="B1153" i="16"/>
  <c r="B1154" i="16"/>
  <c r="B1155" i="16"/>
  <c r="B1156" i="16"/>
  <c r="B1157" i="16"/>
  <c r="B1158" i="16"/>
  <c r="B1159" i="16"/>
  <c r="B1160" i="16"/>
  <c r="B1161" i="16"/>
  <c r="B1162" i="16"/>
  <c r="B1163" i="16"/>
  <c r="B1164" i="16"/>
  <c r="B1165" i="16"/>
  <c r="B1166" i="16"/>
  <c r="B1167" i="16"/>
  <c r="B1168" i="16"/>
  <c r="B1169" i="16"/>
  <c r="B1170" i="16"/>
  <c r="B1171" i="16"/>
  <c r="B1172" i="16"/>
  <c r="B1173" i="16"/>
  <c r="B1174" i="16"/>
  <c r="B1175" i="16"/>
  <c r="B1176" i="16"/>
  <c r="B1177" i="16"/>
  <c r="B1178" i="16"/>
  <c r="B1179" i="16"/>
  <c r="B1180" i="16"/>
  <c r="B1181" i="16"/>
  <c r="B1182" i="16"/>
  <c r="B1183" i="16"/>
  <c r="B1184" i="16"/>
  <c r="B1185" i="16"/>
  <c r="B1186" i="16"/>
  <c r="B1187" i="16"/>
  <c r="B1188" i="16"/>
  <c r="B1189" i="16"/>
  <c r="B1190" i="16"/>
  <c r="B1191" i="16"/>
  <c r="B1192" i="16"/>
  <c r="B1193" i="16"/>
  <c r="B1194" i="16"/>
  <c r="B1195" i="16"/>
  <c r="B1196" i="16"/>
  <c r="B1197" i="16"/>
  <c r="B1198" i="16"/>
  <c r="B1199" i="16"/>
  <c r="B1200" i="16"/>
  <c r="B1201" i="16"/>
  <c r="B1202" i="16"/>
  <c r="B1203" i="16"/>
  <c r="B1204" i="16"/>
  <c r="B1205" i="16"/>
  <c r="B1206" i="16"/>
  <c r="B1207" i="16"/>
  <c r="B1208" i="16"/>
  <c r="B1209" i="16"/>
  <c r="B1210" i="16"/>
  <c r="B1211" i="16"/>
  <c r="B1212" i="16"/>
  <c r="B1213" i="16"/>
  <c r="B1214" i="16"/>
  <c r="B1215" i="16"/>
  <c r="B1216" i="16"/>
  <c r="B1217" i="16"/>
  <c r="B1218" i="16"/>
  <c r="B1219" i="16"/>
  <c r="B1220" i="16"/>
  <c r="B1221" i="16"/>
  <c r="B1222" i="16"/>
  <c r="B1223" i="16"/>
  <c r="B1224" i="16"/>
  <c r="B1225" i="16"/>
  <c r="B1226" i="16"/>
  <c r="B1227" i="16"/>
  <c r="B1228" i="16"/>
  <c r="B1229" i="16"/>
  <c r="B1230" i="16"/>
  <c r="B1231" i="16"/>
  <c r="B1232" i="16"/>
  <c r="B1233" i="16"/>
  <c r="B1234" i="16"/>
  <c r="B1235" i="16"/>
  <c r="B1236" i="16"/>
  <c r="B1237" i="16"/>
  <c r="B1238" i="16"/>
  <c r="B1239" i="16"/>
  <c r="B1240" i="16"/>
  <c r="B1241" i="16"/>
  <c r="B1242" i="16"/>
  <c r="B1243" i="16"/>
  <c r="B1244" i="16"/>
  <c r="B1245" i="16"/>
  <c r="B1246" i="16"/>
  <c r="B1247" i="16"/>
  <c r="B1248" i="16"/>
  <c r="B1249" i="16"/>
  <c r="B1250" i="16"/>
  <c r="B1251" i="16"/>
  <c r="B1252" i="16"/>
  <c r="B1253" i="16"/>
  <c r="B1254" i="16"/>
  <c r="B1255" i="16"/>
  <c r="B1256" i="16"/>
  <c r="B1257" i="16"/>
  <c r="B1258" i="16"/>
  <c r="B1259" i="16"/>
  <c r="B1260" i="16"/>
  <c r="B1261" i="16"/>
  <c r="B1262" i="16"/>
  <c r="B1263" i="16"/>
  <c r="B1264" i="16"/>
  <c r="B1265" i="16"/>
  <c r="B1266" i="16"/>
  <c r="B1267" i="16"/>
  <c r="B1268" i="16"/>
  <c r="B1269" i="16"/>
  <c r="B1270" i="16"/>
  <c r="B1271" i="16"/>
  <c r="B1272" i="16"/>
  <c r="B1273" i="16"/>
  <c r="B1274" i="16"/>
  <c r="B1275" i="16"/>
  <c r="B1276" i="16"/>
  <c r="B1277" i="16"/>
  <c r="B1278" i="16"/>
  <c r="B1279" i="16"/>
  <c r="B1280" i="16"/>
  <c r="B1281" i="16"/>
  <c r="B1282" i="16"/>
  <c r="B1283" i="16"/>
  <c r="B1284" i="16"/>
  <c r="B1285" i="16"/>
  <c r="B1286" i="16"/>
  <c r="B1287" i="16"/>
  <c r="B1288" i="16"/>
  <c r="B1289" i="16"/>
  <c r="B1290" i="16"/>
  <c r="B1291" i="16"/>
  <c r="B1292" i="16"/>
  <c r="B1293" i="16"/>
  <c r="B1294" i="16"/>
  <c r="B1295" i="16"/>
  <c r="B1296" i="16"/>
  <c r="B1297" i="16"/>
  <c r="B1298" i="16"/>
  <c r="B1299" i="16"/>
  <c r="B1300" i="16"/>
  <c r="B1301" i="16"/>
  <c r="B1302" i="16"/>
  <c r="B1303" i="16"/>
  <c r="B1304" i="16"/>
  <c r="B1305" i="16"/>
  <c r="B1306" i="16"/>
  <c r="B1307" i="16"/>
  <c r="B1308" i="16"/>
  <c r="B1309" i="16"/>
  <c r="B1310" i="16"/>
  <c r="B1311" i="16"/>
  <c r="B1312" i="16"/>
  <c r="B1313" i="16"/>
  <c r="B1314" i="16"/>
  <c r="B1315" i="16"/>
  <c r="B1316" i="16"/>
  <c r="B1317" i="16"/>
  <c r="B1318" i="16"/>
  <c r="B1319" i="16"/>
  <c r="B1320" i="16"/>
  <c r="B1321" i="16"/>
  <c r="B1322" i="16"/>
  <c r="B1323" i="16"/>
  <c r="B1324" i="16"/>
  <c r="B1325" i="16"/>
  <c r="B1326" i="16"/>
  <c r="B1327" i="16"/>
  <c r="B1328" i="16"/>
  <c r="B1329" i="16"/>
  <c r="B1330" i="16"/>
  <c r="B1331" i="16"/>
  <c r="B1332" i="16"/>
  <c r="B1333" i="16"/>
  <c r="B1334" i="16"/>
  <c r="B1335" i="16"/>
  <c r="B1336" i="16"/>
  <c r="B1337" i="16"/>
  <c r="B1338" i="16"/>
  <c r="B1339" i="16"/>
  <c r="B1340" i="16"/>
  <c r="B1341" i="16"/>
  <c r="B1342" i="16"/>
  <c r="B1343" i="16"/>
  <c r="B1344" i="16"/>
  <c r="B1345" i="16"/>
  <c r="B1346" i="16"/>
  <c r="B1347" i="16"/>
  <c r="B1348" i="16"/>
  <c r="B1349" i="16"/>
  <c r="B1350" i="16"/>
  <c r="B1351" i="16"/>
  <c r="B1352" i="16"/>
  <c r="B1353" i="16"/>
  <c r="B1354" i="16"/>
  <c r="B1355" i="16"/>
  <c r="B1356" i="16"/>
  <c r="B1357" i="16"/>
  <c r="B1358" i="16"/>
  <c r="B1359" i="16"/>
  <c r="B1360" i="16"/>
  <c r="B1361" i="16"/>
  <c r="B1362" i="16"/>
  <c r="B1363" i="16"/>
  <c r="B1364" i="16"/>
  <c r="B1365" i="16"/>
  <c r="B1366" i="16"/>
  <c r="B1367" i="16"/>
  <c r="B1368" i="16"/>
  <c r="B1369" i="16"/>
  <c r="B1370" i="16"/>
  <c r="B1371" i="16"/>
  <c r="B1372" i="16"/>
  <c r="B1373" i="16"/>
  <c r="B1374" i="16"/>
  <c r="B1375" i="16"/>
  <c r="B1376" i="16"/>
  <c r="B1377" i="16"/>
  <c r="B1378" i="16"/>
  <c r="B1379" i="16"/>
  <c r="B1380" i="16"/>
  <c r="B1381" i="16"/>
  <c r="B1382" i="16"/>
  <c r="B1383" i="16"/>
  <c r="B1384" i="16"/>
  <c r="B1385" i="16"/>
  <c r="B1386" i="16"/>
  <c r="B1387" i="16"/>
  <c r="B1388" i="16"/>
  <c r="B1389" i="16"/>
  <c r="B1390" i="16"/>
  <c r="B1391" i="16"/>
  <c r="B1392" i="16"/>
  <c r="B1393" i="16"/>
  <c r="B1394" i="16"/>
  <c r="B1395" i="16"/>
  <c r="B1396" i="16"/>
  <c r="B1397" i="16"/>
  <c r="B1398" i="16"/>
  <c r="B1399" i="16"/>
  <c r="B1400" i="16"/>
  <c r="B1401" i="16"/>
  <c r="B1402" i="16"/>
  <c r="B1403" i="16"/>
  <c r="B1404" i="16"/>
  <c r="B1405" i="16"/>
  <c r="B1406" i="16"/>
  <c r="B1407" i="16"/>
  <c r="B1408" i="16"/>
  <c r="B1409" i="16"/>
  <c r="B1410" i="16"/>
  <c r="B1411" i="16"/>
  <c r="B1412" i="16"/>
  <c r="B1413" i="16"/>
  <c r="B1414" i="16"/>
  <c r="B1415" i="16"/>
  <c r="B1416" i="16"/>
  <c r="B1417" i="16"/>
  <c r="B1418" i="16"/>
  <c r="B1419" i="16"/>
  <c r="B1420" i="16"/>
  <c r="B1421" i="16"/>
  <c r="B1422" i="16"/>
  <c r="B1423" i="16"/>
  <c r="B1424" i="16"/>
  <c r="B1425" i="16"/>
  <c r="B1426" i="16"/>
  <c r="B1427" i="16"/>
  <c r="B1428" i="16"/>
  <c r="B1429" i="16"/>
  <c r="B1430" i="16"/>
  <c r="B1431" i="16"/>
  <c r="B1432" i="16"/>
  <c r="B1433" i="16"/>
  <c r="B1434" i="16"/>
  <c r="B1435" i="16"/>
  <c r="B1436" i="16"/>
  <c r="B1437" i="16"/>
  <c r="B1438" i="16"/>
  <c r="B1439" i="16"/>
  <c r="B1440" i="16"/>
  <c r="B1441" i="16"/>
  <c r="B1442" i="16"/>
  <c r="B1443" i="16"/>
  <c r="B1444" i="16"/>
  <c r="B1445" i="16"/>
  <c r="B1446" i="16"/>
  <c r="B1447" i="16"/>
  <c r="B1448" i="16"/>
  <c r="B1449" i="16"/>
  <c r="B1450" i="16"/>
  <c r="B1451" i="16"/>
  <c r="B1452" i="16"/>
  <c r="B1453" i="16"/>
  <c r="B1454" i="16"/>
  <c r="B1455" i="16"/>
  <c r="B1456" i="16"/>
  <c r="B1457" i="16"/>
  <c r="B1458" i="16"/>
  <c r="B1459" i="16"/>
  <c r="B1460" i="16"/>
  <c r="B1461" i="16"/>
  <c r="B1462" i="16"/>
  <c r="B1463" i="16"/>
  <c r="B1464" i="16"/>
  <c r="B1465" i="16"/>
  <c r="B1466" i="16"/>
  <c r="B1467" i="16"/>
  <c r="B1468" i="16"/>
  <c r="B1469" i="16"/>
  <c r="B1470" i="16"/>
  <c r="B1471" i="16"/>
  <c r="B1472" i="16"/>
  <c r="B1473" i="16"/>
  <c r="B1474" i="16"/>
  <c r="B1475" i="16"/>
  <c r="B1476" i="16"/>
  <c r="B1477" i="16"/>
  <c r="B1478" i="16"/>
  <c r="B1479" i="16"/>
  <c r="B1480" i="16"/>
  <c r="B1481" i="16"/>
  <c r="B1482" i="16"/>
  <c r="B1483" i="16"/>
  <c r="B1484" i="16"/>
  <c r="B1485" i="16"/>
  <c r="B1486" i="16"/>
  <c r="B1487" i="16"/>
  <c r="B1488" i="16"/>
  <c r="B1489" i="16"/>
  <c r="B1490" i="16"/>
  <c r="B1491" i="16"/>
  <c r="B1492" i="16"/>
  <c r="B1493" i="16"/>
  <c r="B1494" i="16"/>
  <c r="B1495" i="16"/>
  <c r="B1496" i="16"/>
  <c r="B1497" i="16"/>
  <c r="B1498" i="16"/>
  <c r="B1499" i="16"/>
  <c r="B1500" i="16"/>
  <c r="B1501" i="16"/>
  <c r="B1502" i="16"/>
  <c r="B1503" i="16"/>
  <c r="B1504" i="16"/>
  <c r="B1505" i="16"/>
  <c r="B1506" i="16"/>
  <c r="B1507" i="16"/>
  <c r="B1508" i="16"/>
  <c r="B1509" i="16"/>
  <c r="B1510" i="16"/>
  <c r="B1511" i="16"/>
  <c r="B1512" i="16"/>
  <c r="B1513" i="16"/>
  <c r="B1514" i="16"/>
  <c r="B1515" i="16"/>
  <c r="B1516" i="16"/>
  <c r="B1517" i="16"/>
  <c r="B1518" i="16"/>
  <c r="B1519" i="16"/>
  <c r="B1520" i="16"/>
  <c r="B1521" i="16"/>
  <c r="B1522" i="16"/>
  <c r="B1523" i="16"/>
  <c r="B1524" i="16"/>
  <c r="B1525" i="16"/>
  <c r="B1526" i="16"/>
  <c r="B1527" i="16"/>
  <c r="B1528" i="16"/>
  <c r="B1529" i="16"/>
  <c r="B1530" i="16"/>
  <c r="B1531" i="16"/>
  <c r="B1532" i="16"/>
  <c r="B1533" i="16"/>
  <c r="B1534" i="16"/>
  <c r="B1535" i="16"/>
  <c r="B1536" i="16"/>
  <c r="B1537" i="16"/>
  <c r="B1538" i="16"/>
  <c r="B1539" i="16"/>
  <c r="B1540" i="16"/>
  <c r="B1541" i="16"/>
  <c r="B1542" i="16"/>
  <c r="B1543" i="16"/>
  <c r="B1544" i="16"/>
  <c r="B1545" i="16"/>
  <c r="B1546" i="16"/>
  <c r="B1547" i="16"/>
  <c r="B1548" i="16"/>
  <c r="B1549" i="16"/>
  <c r="B1550" i="16"/>
  <c r="B1551" i="16"/>
  <c r="B1552" i="16"/>
  <c r="B1553" i="16"/>
  <c r="B1554" i="16"/>
  <c r="B1555" i="16"/>
  <c r="B1556" i="16"/>
  <c r="B1557" i="16"/>
  <c r="B1558" i="16"/>
  <c r="B1559" i="16"/>
  <c r="B1560" i="16"/>
  <c r="B1561" i="16"/>
  <c r="B1562" i="16"/>
  <c r="B1563" i="16"/>
  <c r="B1564" i="16"/>
  <c r="B1565" i="16"/>
  <c r="B1566" i="16"/>
  <c r="B1567" i="16"/>
  <c r="B1568" i="16"/>
  <c r="B1569" i="16"/>
  <c r="B1570" i="16"/>
  <c r="B1571" i="16"/>
  <c r="B1572" i="16"/>
  <c r="B1573" i="16"/>
  <c r="B1574" i="16"/>
  <c r="B1575" i="16"/>
  <c r="B1576" i="16"/>
  <c r="B1577" i="16"/>
  <c r="B1578" i="16"/>
  <c r="B1579" i="16"/>
  <c r="B1580" i="16"/>
  <c r="B1581" i="16"/>
  <c r="B1582" i="16"/>
  <c r="B1583" i="16"/>
  <c r="B1584" i="16"/>
  <c r="B1585" i="16"/>
  <c r="B1586" i="16"/>
  <c r="B1587" i="16"/>
  <c r="B1588" i="16"/>
  <c r="B1589" i="16"/>
  <c r="B1590" i="16"/>
  <c r="B1591" i="16"/>
  <c r="B1592" i="16"/>
  <c r="B1593" i="16"/>
  <c r="B1594" i="16"/>
  <c r="B1595" i="16"/>
  <c r="B1596" i="16"/>
  <c r="B1597" i="16"/>
  <c r="B1598" i="16"/>
  <c r="B1599" i="16"/>
  <c r="B1600" i="16"/>
  <c r="B1601" i="16"/>
  <c r="B1602" i="16"/>
  <c r="B1603" i="16"/>
  <c r="B1604" i="16"/>
  <c r="B1605" i="16"/>
  <c r="B1606" i="16"/>
  <c r="B1607" i="16"/>
  <c r="B1608" i="16"/>
  <c r="B1609" i="16"/>
  <c r="B1610" i="16"/>
  <c r="B1611" i="16"/>
  <c r="B1612" i="16"/>
  <c r="B1613" i="16"/>
  <c r="B1614" i="16"/>
  <c r="B1615" i="16"/>
  <c r="B1616" i="16"/>
  <c r="B1617" i="16"/>
  <c r="B1618" i="16"/>
  <c r="B1619" i="16"/>
  <c r="B1620" i="16"/>
  <c r="B1621" i="16"/>
  <c r="B1622" i="16"/>
  <c r="B1623" i="16"/>
  <c r="B1624" i="16"/>
  <c r="B1625" i="16"/>
  <c r="B1626" i="16"/>
  <c r="B1627" i="16"/>
  <c r="B1628" i="16"/>
  <c r="B1629" i="16"/>
  <c r="B1630" i="16"/>
  <c r="B1631" i="16"/>
  <c r="B1632" i="16"/>
  <c r="B1633" i="16"/>
  <c r="B1634" i="16"/>
  <c r="B1635" i="16"/>
  <c r="B1636" i="16"/>
  <c r="B1637" i="16"/>
  <c r="B1638" i="16"/>
  <c r="B1639" i="16"/>
  <c r="B1640" i="16"/>
  <c r="B1641" i="16"/>
  <c r="B1642" i="16"/>
  <c r="B1643" i="16"/>
  <c r="B1644" i="16"/>
  <c r="B1645" i="16"/>
  <c r="B1646" i="16"/>
  <c r="B1647" i="16"/>
  <c r="B1648" i="16"/>
  <c r="B1649" i="16"/>
  <c r="B1650" i="16"/>
  <c r="B1651" i="16"/>
  <c r="B1652" i="16"/>
  <c r="B1653" i="16"/>
  <c r="B1654" i="16"/>
  <c r="B1655" i="16"/>
  <c r="B1656" i="16"/>
  <c r="B1657" i="16"/>
  <c r="B1658" i="16"/>
  <c r="B1659" i="16"/>
  <c r="B1660" i="16"/>
  <c r="B1661" i="16"/>
  <c r="B1662" i="16"/>
  <c r="B1663" i="16"/>
  <c r="B1664" i="16"/>
  <c r="B1665" i="16"/>
  <c r="B1666" i="16"/>
  <c r="B1667" i="16"/>
  <c r="B1668" i="16"/>
  <c r="B1669" i="16"/>
  <c r="B1670" i="16"/>
  <c r="B1671" i="16"/>
  <c r="B1672" i="16"/>
  <c r="B1673" i="16"/>
  <c r="B1674" i="16"/>
  <c r="B1675" i="16"/>
  <c r="B1676" i="16"/>
  <c r="B1677" i="16"/>
  <c r="B1678" i="16"/>
  <c r="B1679" i="16"/>
  <c r="B1680" i="16"/>
  <c r="B1681" i="16"/>
  <c r="B1682" i="16"/>
  <c r="B1683" i="16"/>
  <c r="B1684" i="16"/>
  <c r="B1685" i="16"/>
  <c r="B1686" i="16"/>
  <c r="B1687" i="16"/>
  <c r="B1688" i="16"/>
  <c r="B1689" i="16"/>
  <c r="B1690" i="16"/>
  <c r="B1691" i="16"/>
  <c r="B1692" i="16"/>
  <c r="B1693" i="16"/>
  <c r="B1694" i="16"/>
  <c r="B1695" i="16"/>
  <c r="B1696" i="16"/>
  <c r="B1697" i="16"/>
  <c r="B1698" i="16"/>
  <c r="B1699" i="16"/>
  <c r="B1700" i="16"/>
  <c r="B1701" i="16"/>
  <c r="B1702" i="16"/>
  <c r="B1703" i="16"/>
  <c r="B1704" i="16"/>
  <c r="B1705" i="16"/>
  <c r="B1706" i="16"/>
  <c r="B1707" i="16"/>
  <c r="B1708" i="16"/>
  <c r="B1709" i="16"/>
  <c r="B1710" i="16"/>
  <c r="B1711" i="16"/>
  <c r="B1712" i="16"/>
  <c r="B1713" i="16"/>
  <c r="B1714" i="16"/>
  <c r="B1715" i="16"/>
  <c r="B1716" i="16"/>
  <c r="B1717" i="16"/>
  <c r="B1718" i="16"/>
  <c r="B1719" i="16"/>
  <c r="B1720" i="16"/>
  <c r="B1721" i="16"/>
  <c r="B1722" i="16"/>
  <c r="B1723" i="16"/>
  <c r="B1724" i="16"/>
  <c r="B1725" i="16"/>
  <c r="B1726" i="16"/>
  <c r="B1727" i="16"/>
  <c r="B1728" i="16"/>
  <c r="B1729" i="16"/>
  <c r="B1730" i="16"/>
  <c r="B1731" i="16"/>
  <c r="B1732" i="16"/>
  <c r="B1733" i="16"/>
  <c r="B1734" i="16"/>
  <c r="B1735" i="16"/>
  <c r="B1736" i="16"/>
  <c r="B1737" i="16"/>
  <c r="B1738" i="16"/>
  <c r="B1739" i="16"/>
  <c r="B1740" i="16"/>
  <c r="B1741" i="16"/>
  <c r="B1742" i="16"/>
  <c r="B1743" i="16"/>
  <c r="B1744" i="16"/>
  <c r="B1745" i="16"/>
  <c r="B1746" i="16"/>
  <c r="B1747" i="16"/>
  <c r="B1748" i="16"/>
  <c r="B1749" i="16"/>
  <c r="B1750" i="16"/>
  <c r="B1751" i="16"/>
  <c r="B1752" i="16"/>
  <c r="B1753" i="16"/>
  <c r="B1754" i="16"/>
  <c r="B1755" i="16"/>
  <c r="B1756" i="16"/>
  <c r="B1757" i="16"/>
  <c r="B1758" i="16"/>
  <c r="B1759" i="16"/>
  <c r="B1760" i="16"/>
  <c r="B1761" i="16"/>
  <c r="B1762" i="16"/>
  <c r="B1763" i="16"/>
  <c r="B1764" i="16"/>
  <c r="B1765" i="16"/>
  <c r="B1766" i="16"/>
  <c r="B1767" i="16"/>
  <c r="B1768" i="16"/>
  <c r="B1769" i="16"/>
  <c r="B1770" i="16"/>
  <c r="B1771" i="16"/>
  <c r="B1772" i="16"/>
  <c r="B1773" i="16"/>
  <c r="B1774" i="16"/>
  <c r="B1775" i="16"/>
  <c r="B1776" i="16"/>
  <c r="B1777" i="16"/>
  <c r="B1778" i="16"/>
  <c r="B1779" i="16"/>
  <c r="B1780" i="16"/>
  <c r="B1781" i="16"/>
  <c r="B1782" i="16"/>
  <c r="B1783" i="16"/>
  <c r="B1784" i="16"/>
  <c r="B1785" i="16"/>
  <c r="B1786" i="16"/>
  <c r="B1787" i="16"/>
  <c r="B1788" i="16"/>
  <c r="B1789" i="16"/>
  <c r="B1790" i="16"/>
  <c r="B1791" i="16"/>
  <c r="B1792" i="16"/>
  <c r="B1793" i="16"/>
  <c r="B1794" i="16"/>
  <c r="B1795" i="16"/>
  <c r="B1796" i="16"/>
  <c r="B1797" i="16"/>
  <c r="B1798" i="16"/>
  <c r="B1799" i="16"/>
  <c r="B1800" i="16"/>
  <c r="B1801" i="16"/>
  <c r="B1802" i="16"/>
  <c r="B1803" i="16"/>
  <c r="B1804" i="16"/>
  <c r="B1805" i="16"/>
  <c r="B1806" i="16"/>
  <c r="B1807" i="16"/>
  <c r="B1808" i="16"/>
  <c r="B1809" i="16"/>
  <c r="B1810" i="16"/>
  <c r="B1811" i="16"/>
  <c r="B1812" i="16"/>
  <c r="B1813" i="16"/>
  <c r="B1814" i="16"/>
  <c r="B1815" i="16"/>
  <c r="B1816" i="16"/>
  <c r="B1817" i="16"/>
  <c r="B1818" i="16"/>
  <c r="B1819" i="16"/>
  <c r="B1820" i="16"/>
  <c r="B1821" i="16"/>
  <c r="B1822" i="16"/>
  <c r="B1823" i="16"/>
  <c r="B1824" i="16"/>
  <c r="B1825" i="16"/>
  <c r="B1826" i="16"/>
  <c r="B1827" i="16"/>
  <c r="B1828" i="16"/>
  <c r="B1829" i="16"/>
  <c r="B1830" i="16"/>
  <c r="B1831" i="16"/>
  <c r="B1832" i="16"/>
  <c r="B1833" i="16"/>
  <c r="B1834" i="16"/>
  <c r="B1835" i="16"/>
  <c r="B1836" i="16"/>
  <c r="B1837" i="16"/>
  <c r="B1838" i="16"/>
  <c r="B1839" i="16"/>
  <c r="B1840" i="16"/>
  <c r="B1841" i="16"/>
  <c r="B1842" i="16"/>
  <c r="B1843" i="16"/>
  <c r="B1844" i="16"/>
  <c r="B1845" i="16"/>
  <c r="B1846" i="16"/>
  <c r="B1847" i="16"/>
  <c r="B1848" i="16"/>
  <c r="B1849" i="16"/>
  <c r="B1850" i="16"/>
  <c r="B1851" i="16"/>
  <c r="B1852" i="16"/>
  <c r="B1853" i="16"/>
  <c r="B1854" i="16"/>
  <c r="B1855" i="16"/>
  <c r="B1856" i="16"/>
  <c r="B1857" i="16"/>
  <c r="B1858" i="16"/>
  <c r="B1859" i="16"/>
  <c r="B1860" i="16"/>
  <c r="B1861" i="16"/>
  <c r="B1862" i="16"/>
  <c r="B1863" i="16"/>
  <c r="B1864" i="16"/>
  <c r="B1865" i="16"/>
  <c r="B1866" i="16"/>
  <c r="B1867" i="16"/>
  <c r="B1868" i="16"/>
  <c r="B1869" i="16"/>
  <c r="B1870" i="16"/>
  <c r="B1871" i="16"/>
  <c r="B1872" i="16"/>
  <c r="B1873" i="16"/>
  <c r="B1874" i="16"/>
  <c r="B1875" i="16"/>
  <c r="B1876" i="16"/>
  <c r="B1877" i="16"/>
  <c r="B1878" i="16"/>
  <c r="B1879" i="16"/>
  <c r="B1880" i="16"/>
  <c r="B1881" i="16"/>
  <c r="B1882" i="16"/>
  <c r="B1883" i="16"/>
  <c r="B1884" i="16"/>
  <c r="B1885" i="16"/>
  <c r="B1886" i="16"/>
  <c r="B1887" i="16"/>
  <c r="B1888" i="16"/>
  <c r="B1889" i="16"/>
  <c r="B1890" i="16"/>
  <c r="B1891" i="16"/>
  <c r="B1892" i="16"/>
  <c r="B1893" i="16"/>
  <c r="B1894" i="16"/>
  <c r="B1895" i="16"/>
  <c r="B1896" i="16"/>
  <c r="B1897" i="16"/>
  <c r="B1898" i="16"/>
  <c r="B1899" i="16"/>
  <c r="B1900" i="16"/>
  <c r="B1901" i="16"/>
  <c r="B1902" i="16"/>
  <c r="B1903" i="16"/>
  <c r="B1904" i="16"/>
  <c r="B1905" i="16"/>
  <c r="B1906" i="16"/>
  <c r="B1907" i="16"/>
  <c r="B1908" i="16"/>
  <c r="B1909" i="16"/>
  <c r="B1910" i="16"/>
  <c r="B1911" i="16"/>
  <c r="B1912" i="16"/>
  <c r="B1913" i="16"/>
  <c r="B1914" i="16"/>
  <c r="B1915" i="16"/>
  <c r="B1916" i="16"/>
  <c r="B1917" i="16"/>
  <c r="B1918" i="16"/>
  <c r="B1919" i="16"/>
  <c r="B1920" i="16"/>
  <c r="B1921" i="16"/>
  <c r="B1922" i="16"/>
  <c r="B1923" i="16"/>
  <c r="B1924" i="16"/>
  <c r="B1925" i="16"/>
  <c r="B1926" i="16"/>
  <c r="B1927" i="16"/>
  <c r="B1928" i="16"/>
  <c r="B1929" i="16"/>
  <c r="B1930" i="16"/>
  <c r="B1931" i="16"/>
  <c r="B1932" i="16"/>
  <c r="B1933" i="16"/>
  <c r="B1934" i="16"/>
  <c r="B1935" i="16"/>
  <c r="B1936" i="16"/>
  <c r="B1937" i="16"/>
  <c r="B1938" i="16"/>
  <c r="B1939" i="16"/>
  <c r="B1940" i="16"/>
  <c r="B1941" i="16"/>
  <c r="B1942" i="16"/>
  <c r="B1943" i="16"/>
  <c r="B1944" i="16"/>
  <c r="B1945" i="16"/>
  <c r="B1946" i="16"/>
  <c r="B1947" i="16"/>
  <c r="B1948" i="16"/>
  <c r="B1949" i="16"/>
  <c r="B1950" i="16"/>
  <c r="B1951" i="16"/>
  <c r="B1952" i="16"/>
  <c r="B1953" i="16"/>
  <c r="B1954" i="16"/>
  <c r="B1955" i="16"/>
  <c r="B1956" i="16"/>
  <c r="B1957" i="16"/>
  <c r="B1958" i="16"/>
  <c r="B1959" i="16"/>
  <c r="B1960" i="16"/>
  <c r="B1961" i="16"/>
  <c r="B1962" i="16"/>
  <c r="B1963" i="16"/>
  <c r="B1964" i="16"/>
  <c r="B1965" i="16"/>
  <c r="B1966" i="16"/>
  <c r="B1967" i="16"/>
  <c r="B1968" i="16"/>
  <c r="B1969" i="16"/>
  <c r="B1970" i="16"/>
  <c r="B1971" i="16"/>
  <c r="B1972" i="16"/>
  <c r="B1973" i="16"/>
  <c r="B1974" i="16"/>
  <c r="B1975" i="16"/>
  <c r="B1976" i="16"/>
  <c r="B1977" i="16"/>
  <c r="B1978" i="16"/>
  <c r="B1979" i="16"/>
  <c r="B1980" i="16"/>
  <c r="B1981" i="16"/>
  <c r="B1982" i="16"/>
  <c r="B1983" i="16"/>
  <c r="B1984" i="16"/>
  <c r="B1985" i="16"/>
  <c r="B1986" i="16"/>
  <c r="B1987" i="16"/>
  <c r="B1988" i="16"/>
  <c r="B1989" i="16"/>
  <c r="B1990" i="16"/>
  <c r="B1991" i="16"/>
  <c r="B1992" i="16"/>
  <c r="B1993" i="16"/>
  <c r="B1994" i="16"/>
  <c r="B1995" i="16"/>
  <c r="B1996" i="16"/>
  <c r="B1997" i="16"/>
  <c r="B1998" i="16"/>
  <c r="B1999" i="16"/>
  <c r="B2000" i="16"/>
  <c r="B2001" i="16"/>
  <c r="B2002" i="16"/>
  <c r="B2003" i="16"/>
  <c r="B2004" i="16"/>
  <c r="B2005" i="16"/>
  <c r="B2006" i="16"/>
  <c r="B2007" i="16"/>
  <c r="B2008" i="16"/>
  <c r="B2009" i="16"/>
  <c r="B2010" i="16"/>
  <c r="B2011" i="16"/>
  <c r="B2012" i="16"/>
  <c r="B2013" i="16"/>
  <c r="B2014" i="16"/>
  <c r="B2015" i="16"/>
  <c r="B2016" i="16"/>
  <c r="B2017" i="16"/>
  <c r="B2018" i="16"/>
  <c r="B2019" i="16"/>
  <c r="B2020" i="16"/>
  <c r="B2021" i="16"/>
  <c r="B2022" i="16"/>
  <c r="B2023" i="16"/>
  <c r="B2024" i="16"/>
  <c r="B2025" i="16"/>
  <c r="B2026" i="16"/>
  <c r="B2027" i="16"/>
  <c r="B2028" i="16"/>
  <c r="B2029" i="16"/>
  <c r="B2030" i="16"/>
  <c r="B2031" i="16"/>
  <c r="B2032" i="16"/>
  <c r="B2033" i="16"/>
  <c r="B2034" i="16"/>
  <c r="B2035" i="16"/>
  <c r="B2036" i="16"/>
  <c r="B2037" i="16"/>
  <c r="B2038" i="16"/>
  <c r="B2039" i="16"/>
  <c r="B2040" i="16"/>
  <c r="B2041" i="16"/>
  <c r="B2042" i="16"/>
  <c r="B2043" i="16"/>
  <c r="B2044" i="16"/>
  <c r="B2045" i="16"/>
  <c r="B2046" i="16"/>
  <c r="B2047" i="16"/>
  <c r="B2048" i="16"/>
  <c r="B2049" i="16"/>
  <c r="B2050" i="16"/>
  <c r="B2051" i="16"/>
  <c r="B2052" i="16"/>
  <c r="B2053" i="16"/>
  <c r="B2054" i="16"/>
  <c r="B2055" i="16"/>
  <c r="B2056" i="16"/>
  <c r="B2057" i="16"/>
  <c r="B2058" i="16"/>
  <c r="B2059" i="16"/>
  <c r="B2060" i="16"/>
  <c r="B2061" i="16"/>
  <c r="B2062" i="16"/>
  <c r="B2063" i="16"/>
  <c r="B2064" i="16"/>
  <c r="B2065" i="16"/>
  <c r="B2066" i="16"/>
  <c r="B2067" i="16"/>
  <c r="B2068" i="16"/>
  <c r="B2069" i="16"/>
  <c r="B2070" i="16"/>
  <c r="B2071" i="16"/>
  <c r="B2072" i="16"/>
  <c r="B2073" i="16"/>
  <c r="B2074" i="16"/>
  <c r="B2075" i="16"/>
  <c r="B2076" i="16"/>
  <c r="B2077" i="16"/>
  <c r="B2078" i="16"/>
  <c r="B2079" i="16"/>
  <c r="B2080" i="16"/>
  <c r="B2081" i="16"/>
  <c r="B2082" i="16"/>
  <c r="B2083" i="16"/>
  <c r="B2084" i="16"/>
  <c r="B2085" i="16"/>
  <c r="B2086" i="16"/>
  <c r="B2087" i="16"/>
  <c r="B2088" i="16"/>
  <c r="B2089" i="16"/>
  <c r="B2090" i="16"/>
  <c r="B2091" i="16"/>
  <c r="B2092" i="16"/>
  <c r="B2093" i="16"/>
  <c r="B2094" i="16"/>
  <c r="B2095" i="16"/>
  <c r="B2096" i="16"/>
  <c r="B2097" i="16"/>
  <c r="B2098" i="16"/>
  <c r="B2099" i="16"/>
  <c r="B2100" i="16"/>
  <c r="B2101" i="16"/>
  <c r="B2102" i="16"/>
  <c r="B2103" i="16"/>
  <c r="B2104" i="16"/>
  <c r="B2105" i="16"/>
  <c r="B2106" i="16"/>
  <c r="B2107" i="16"/>
  <c r="B2108" i="16"/>
  <c r="B2109" i="16"/>
  <c r="B2110" i="16"/>
  <c r="B2111" i="16"/>
  <c r="B2112" i="16"/>
  <c r="B2113" i="16"/>
  <c r="B2114" i="16"/>
  <c r="B2115" i="16"/>
  <c r="B2116" i="16"/>
  <c r="B2117" i="16"/>
  <c r="B2118" i="16"/>
  <c r="B2119" i="16"/>
  <c r="B2120" i="16"/>
  <c r="B2121" i="16"/>
  <c r="B2122" i="16"/>
  <c r="B2123" i="16"/>
  <c r="B2124" i="16"/>
  <c r="B2125" i="16"/>
  <c r="B2126" i="16"/>
  <c r="B2127" i="16"/>
  <c r="B2128" i="16"/>
  <c r="B2129" i="16"/>
  <c r="B2130" i="16"/>
  <c r="B2131" i="16"/>
  <c r="B2132" i="16"/>
  <c r="B2133" i="16"/>
  <c r="B2134" i="16"/>
  <c r="B2135" i="16"/>
  <c r="B2136" i="16"/>
  <c r="B2137" i="16"/>
  <c r="B2138" i="16"/>
  <c r="B2139" i="16"/>
  <c r="B2140" i="16"/>
  <c r="B2141" i="16"/>
  <c r="B2142" i="16"/>
  <c r="B2143" i="16"/>
  <c r="B2144" i="16"/>
  <c r="B2145" i="16"/>
  <c r="B2146" i="16"/>
  <c r="B2147" i="16"/>
  <c r="B2148" i="16"/>
  <c r="B2149" i="16"/>
  <c r="B2150" i="16"/>
  <c r="B2151" i="16"/>
  <c r="B2152" i="16"/>
  <c r="B2153" i="16"/>
  <c r="B2154" i="16"/>
  <c r="B2155" i="16"/>
  <c r="B2156" i="16"/>
  <c r="B2157" i="16"/>
  <c r="B2158" i="16"/>
  <c r="B2159" i="16"/>
  <c r="B2160" i="16"/>
  <c r="B2161" i="16"/>
  <c r="B2162" i="16"/>
  <c r="B2163" i="16"/>
  <c r="B2164" i="16"/>
  <c r="B2165" i="16"/>
  <c r="B2166" i="16"/>
  <c r="B2167" i="16"/>
  <c r="B2168" i="16"/>
  <c r="B2169" i="16"/>
  <c r="B2170" i="16"/>
  <c r="B2171" i="16"/>
  <c r="B2172" i="16"/>
  <c r="B2173" i="16"/>
  <c r="B2174" i="16"/>
  <c r="B2175" i="16"/>
  <c r="B2176" i="16"/>
  <c r="B2177" i="16"/>
  <c r="B2178" i="16"/>
  <c r="B2179" i="16"/>
  <c r="B2180" i="16"/>
  <c r="B2181" i="16"/>
  <c r="B2182" i="16"/>
  <c r="B2183" i="16"/>
  <c r="B2184" i="16"/>
  <c r="B2185" i="16"/>
  <c r="B2186" i="16"/>
  <c r="B2187" i="16"/>
  <c r="B2188" i="16"/>
  <c r="B2189" i="16"/>
  <c r="B2190" i="16"/>
  <c r="B2191" i="16"/>
  <c r="B2192" i="16"/>
  <c r="B2193" i="16"/>
  <c r="B2194" i="16"/>
  <c r="B2195" i="16"/>
  <c r="B2196" i="16"/>
  <c r="B2197" i="16"/>
  <c r="B2198" i="16"/>
  <c r="B2199" i="16"/>
  <c r="B2200" i="16"/>
  <c r="B2201" i="16"/>
  <c r="B2202" i="16"/>
  <c r="B2203" i="16"/>
  <c r="B2204" i="16"/>
  <c r="B2205" i="16"/>
  <c r="B2206" i="16"/>
  <c r="B2207" i="16"/>
  <c r="B2208" i="16"/>
  <c r="B2209" i="16"/>
  <c r="B2210" i="16"/>
  <c r="B2211" i="16"/>
  <c r="B2212" i="16"/>
  <c r="B2213" i="16"/>
  <c r="B2214" i="16"/>
  <c r="B2215" i="16"/>
  <c r="B2216" i="16"/>
  <c r="B2217" i="16"/>
  <c r="B2218" i="16"/>
  <c r="B2219" i="16"/>
  <c r="B2220" i="16"/>
  <c r="B2221" i="16"/>
  <c r="B2222" i="16"/>
  <c r="B2223" i="16"/>
  <c r="B2224" i="16"/>
  <c r="B2225" i="16"/>
  <c r="B2226" i="16"/>
  <c r="B2227" i="16"/>
  <c r="B2228" i="16"/>
  <c r="B2229" i="16"/>
  <c r="B2230" i="16"/>
  <c r="B2231" i="16"/>
  <c r="B2232" i="16"/>
  <c r="B2233" i="16"/>
  <c r="B2234" i="16"/>
  <c r="B2235" i="16"/>
  <c r="B2236" i="16"/>
  <c r="B2237" i="16"/>
  <c r="B2238" i="16"/>
  <c r="B2239" i="16"/>
  <c r="B2240" i="16"/>
  <c r="B2241" i="16"/>
  <c r="B2242" i="16"/>
  <c r="B2243" i="16"/>
  <c r="B2244" i="16"/>
  <c r="B2245" i="16"/>
  <c r="B2246" i="16"/>
  <c r="B2247" i="16"/>
  <c r="B2248" i="16"/>
  <c r="B2249" i="16"/>
  <c r="B2250" i="16"/>
  <c r="B2251" i="16"/>
  <c r="B2252" i="16"/>
  <c r="B2253" i="16"/>
  <c r="B2254" i="16"/>
  <c r="B2255" i="16"/>
  <c r="B2256" i="16"/>
  <c r="B2257" i="16"/>
  <c r="B2258" i="16"/>
  <c r="B2259" i="16"/>
  <c r="B2260" i="16"/>
  <c r="B2261" i="16"/>
  <c r="B2262" i="16"/>
  <c r="B2263" i="16"/>
  <c r="B2264" i="16"/>
  <c r="B2265" i="16"/>
  <c r="B2266" i="16"/>
  <c r="B2267" i="16"/>
  <c r="B2268" i="16"/>
  <c r="B2269" i="16"/>
  <c r="B2270" i="16"/>
  <c r="B2271" i="16"/>
  <c r="B2272" i="16"/>
  <c r="B2273" i="16"/>
  <c r="B2274" i="16"/>
  <c r="B2275" i="16"/>
  <c r="B2276" i="16"/>
  <c r="B2277" i="16"/>
  <c r="B2278" i="16"/>
  <c r="B2279" i="16"/>
  <c r="B2280" i="16"/>
  <c r="B2281" i="16"/>
  <c r="B2282" i="16"/>
  <c r="B2283" i="16"/>
  <c r="B2284" i="16"/>
  <c r="B2285" i="16"/>
  <c r="B2286" i="16"/>
  <c r="B2287" i="16"/>
  <c r="B2288" i="16"/>
  <c r="B2289" i="16"/>
  <c r="B2290" i="16"/>
  <c r="B2291" i="16"/>
  <c r="B2292" i="16"/>
  <c r="B2293" i="16"/>
  <c r="B2294" i="16"/>
  <c r="B2295" i="16"/>
  <c r="B2296" i="16"/>
  <c r="B2297" i="16"/>
  <c r="B2298" i="16"/>
  <c r="B2299" i="16"/>
  <c r="B2300" i="16"/>
  <c r="B2301" i="16"/>
  <c r="B2302" i="16"/>
  <c r="B2303" i="16"/>
  <c r="B2304" i="16"/>
  <c r="B2305" i="16"/>
  <c r="B2306" i="16"/>
  <c r="B2307" i="16"/>
  <c r="B2308" i="16"/>
  <c r="B2309" i="16"/>
  <c r="B2310" i="16"/>
  <c r="B2311" i="16"/>
  <c r="B2312" i="16"/>
  <c r="B2313" i="16"/>
  <c r="B2314" i="16"/>
  <c r="B2315" i="16"/>
  <c r="B2316" i="16"/>
  <c r="B2317" i="16"/>
  <c r="B2318" i="16"/>
  <c r="B2319" i="16"/>
  <c r="B2320" i="16"/>
  <c r="B2321" i="16"/>
  <c r="B2322" i="16"/>
  <c r="B2323" i="16"/>
  <c r="B2324" i="16"/>
  <c r="B2325" i="16"/>
  <c r="B2326" i="16"/>
  <c r="B2327" i="16"/>
  <c r="B2328" i="16"/>
  <c r="B2329" i="16"/>
  <c r="B2330" i="16"/>
  <c r="B2331" i="16"/>
  <c r="B2332" i="16"/>
  <c r="B2333" i="16"/>
  <c r="B2334" i="16"/>
  <c r="B2335" i="16"/>
  <c r="B2336" i="16"/>
  <c r="B2337" i="16"/>
  <c r="B2338" i="16"/>
  <c r="B2339" i="16"/>
  <c r="B2340" i="16"/>
  <c r="B2341" i="16"/>
  <c r="B2342" i="16"/>
  <c r="B2343" i="16"/>
  <c r="B2344" i="16"/>
  <c r="B2345" i="16"/>
  <c r="B2346" i="16"/>
  <c r="B2347" i="16"/>
  <c r="B2348" i="16"/>
  <c r="B2349" i="16"/>
  <c r="B2350" i="16"/>
  <c r="B2351" i="16"/>
  <c r="B2352" i="16"/>
  <c r="B2353" i="16"/>
  <c r="B2354" i="16"/>
  <c r="B2355" i="16"/>
  <c r="B2356" i="16"/>
  <c r="B2357" i="16"/>
  <c r="B2358" i="16"/>
  <c r="B2359" i="16"/>
  <c r="B2360" i="16"/>
  <c r="B2361" i="16"/>
  <c r="B2362" i="16"/>
  <c r="B2363" i="16"/>
  <c r="B2364" i="16"/>
  <c r="B2365" i="16"/>
  <c r="B2366" i="16"/>
  <c r="B2367" i="16"/>
  <c r="B2368" i="16"/>
  <c r="B2369" i="16"/>
  <c r="B2370" i="16"/>
  <c r="B2371" i="16"/>
  <c r="B2372" i="16"/>
  <c r="B2373" i="16"/>
  <c r="B2374" i="16"/>
  <c r="B2375" i="16"/>
  <c r="B2376" i="16"/>
  <c r="B2377" i="16"/>
  <c r="B2378" i="16"/>
  <c r="B2379" i="16"/>
  <c r="B2380" i="16"/>
  <c r="B2381" i="16"/>
  <c r="B2382" i="16"/>
  <c r="B2383" i="16"/>
  <c r="B2384" i="16"/>
  <c r="B2385" i="16"/>
  <c r="B2386" i="16"/>
  <c r="B2387" i="16"/>
  <c r="B2388" i="16"/>
  <c r="B2389" i="16"/>
  <c r="B2390" i="16"/>
  <c r="B2391" i="16"/>
  <c r="B2392" i="16"/>
  <c r="B2393" i="16"/>
  <c r="B2394" i="16"/>
  <c r="B2395" i="16"/>
  <c r="B2396" i="16"/>
  <c r="B2397" i="16"/>
  <c r="B2398" i="16"/>
  <c r="B2399" i="16"/>
  <c r="B2400" i="16"/>
  <c r="B2401" i="16"/>
  <c r="B2402" i="16"/>
  <c r="B2403" i="16"/>
  <c r="B2404" i="16"/>
  <c r="B2405" i="16"/>
  <c r="B2406" i="16"/>
  <c r="B2407" i="16"/>
  <c r="B2408" i="16"/>
  <c r="B2409" i="16"/>
  <c r="B2410" i="16"/>
  <c r="B2411" i="16"/>
  <c r="B2412" i="16"/>
  <c r="B2413" i="16"/>
  <c r="B2414" i="16"/>
  <c r="B2415" i="16"/>
  <c r="B2416" i="16"/>
  <c r="B2417" i="16"/>
  <c r="B2418" i="16"/>
  <c r="B2419" i="16"/>
  <c r="B2420" i="16"/>
  <c r="B2421" i="16"/>
  <c r="B2422" i="16"/>
  <c r="B2423" i="16"/>
  <c r="B2424" i="16"/>
  <c r="B2425" i="16"/>
  <c r="B2426" i="16"/>
  <c r="B2427" i="16"/>
  <c r="B2428" i="16"/>
  <c r="B2429" i="16"/>
  <c r="B2430" i="16"/>
  <c r="B2431" i="16"/>
  <c r="B2432" i="16"/>
  <c r="B2433" i="16"/>
  <c r="B2434" i="16"/>
  <c r="B2435" i="16"/>
  <c r="B2436" i="16"/>
  <c r="B2437" i="16"/>
  <c r="B2438" i="16"/>
  <c r="B2439" i="16"/>
  <c r="B2440" i="16"/>
  <c r="B2441" i="16"/>
  <c r="B2442" i="16"/>
  <c r="B2443" i="16"/>
  <c r="B2444" i="16"/>
  <c r="B2445" i="16"/>
  <c r="B2446" i="16"/>
  <c r="B2447" i="16"/>
  <c r="B2448" i="16"/>
  <c r="B2449" i="16"/>
  <c r="B2450" i="16"/>
  <c r="B2451" i="16"/>
  <c r="B2452" i="16"/>
  <c r="B2453" i="16"/>
  <c r="B2454" i="16"/>
  <c r="B2455" i="16"/>
  <c r="B2456" i="16"/>
  <c r="B2457" i="16"/>
  <c r="B2458" i="16"/>
  <c r="B2459" i="16"/>
  <c r="B2460" i="16"/>
  <c r="B2461" i="16"/>
  <c r="B2462" i="16"/>
  <c r="B2463" i="16"/>
  <c r="B2464" i="16"/>
  <c r="B2465" i="16"/>
  <c r="B2466" i="16"/>
  <c r="B2467" i="16"/>
  <c r="B2468" i="16"/>
  <c r="B2469" i="16"/>
  <c r="B2470" i="16"/>
  <c r="B2471" i="16"/>
  <c r="B2472" i="16"/>
  <c r="B2473" i="16"/>
  <c r="B2474" i="16"/>
  <c r="B2475" i="16"/>
  <c r="B2476" i="16"/>
  <c r="B2477" i="16"/>
  <c r="B2478" i="16"/>
  <c r="B2479" i="16"/>
  <c r="B2480" i="16"/>
  <c r="B2481" i="16"/>
  <c r="B2482" i="16"/>
  <c r="B2483" i="16"/>
  <c r="B2484" i="16"/>
  <c r="B2485" i="16"/>
  <c r="B2486" i="16"/>
  <c r="B2487" i="16"/>
  <c r="B2488" i="16"/>
  <c r="B2489" i="16"/>
  <c r="B2490" i="16"/>
  <c r="B2491" i="16"/>
  <c r="B2492" i="16"/>
  <c r="B2493" i="16"/>
  <c r="B2494" i="16"/>
  <c r="B2495" i="16"/>
  <c r="B2496" i="16"/>
  <c r="B2497" i="16"/>
  <c r="B2498" i="16"/>
  <c r="B2499" i="16"/>
  <c r="B2500" i="16"/>
  <c r="B2501" i="16"/>
  <c r="B2502" i="16"/>
  <c r="B2503" i="16"/>
  <c r="B2504" i="16"/>
  <c r="B2505" i="16"/>
  <c r="B2506" i="16"/>
  <c r="B2507" i="16"/>
  <c r="B2508" i="16"/>
  <c r="B2509" i="16"/>
  <c r="B2510" i="16"/>
  <c r="B2511" i="16"/>
  <c r="B2512" i="16"/>
  <c r="B2513" i="16"/>
  <c r="B2514" i="16"/>
  <c r="B2515" i="16"/>
  <c r="B2516" i="16"/>
  <c r="B2517" i="16"/>
  <c r="B2518" i="16"/>
  <c r="B2519" i="16"/>
  <c r="B2520" i="16"/>
  <c r="B2521" i="16"/>
  <c r="B2522" i="16"/>
  <c r="B2523" i="16"/>
  <c r="B2524" i="16"/>
  <c r="B2525" i="16"/>
  <c r="B2526" i="16"/>
  <c r="B2527" i="16"/>
  <c r="B2528" i="16"/>
  <c r="B2529" i="16"/>
  <c r="B2530" i="16"/>
  <c r="B2531" i="16"/>
  <c r="B2532" i="16"/>
  <c r="B2533" i="16"/>
  <c r="B2534" i="16"/>
  <c r="B2535" i="16"/>
  <c r="B2536" i="16"/>
  <c r="B2537" i="16"/>
  <c r="B2538" i="16"/>
  <c r="B2539" i="16"/>
  <c r="B2540" i="16"/>
  <c r="B2541" i="16"/>
  <c r="B2542" i="16"/>
  <c r="B2543" i="16"/>
  <c r="B2544" i="16"/>
  <c r="B2545" i="16"/>
  <c r="B2546" i="16"/>
  <c r="B2547" i="16"/>
  <c r="B2548" i="16"/>
  <c r="B2549" i="16"/>
  <c r="B2550" i="16"/>
  <c r="B2551" i="16"/>
  <c r="B2552" i="16"/>
  <c r="B2553" i="16"/>
  <c r="B2554" i="16"/>
  <c r="B2555" i="16"/>
  <c r="B2556" i="16"/>
  <c r="B2557" i="16"/>
  <c r="B2558" i="16"/>
  <c r="B2559" i="16"/>
  <c r="B2560" i="16"/>
  <c r="B2561" i="16"/>
  <c r="B2562" i="16"/>
  <c r="B2563" i="16"/>
  <c r="B2564" i="16"/>
  <c r="B2565" i="16"/>
  <c r="B2566" i="16"/>
  <c r="B2567" i="16"/>
  <c r="B2568" i="16"/>
  <c r="B2569" i="16"/>
  <c r="B2570" i="16"/>
  <c r="B2571" i="16"/>
  <c r="B2572" i="16"/>
  <c r="B2573" i="16"/>
  <c r="B2574" i="16"/>
  <c r="B2575" i="16"/>
  <c r="B2576" i="16"/>
  <c r="B2577" i="16"/>
  <c r="B2578" i="16"/>
  <c r="B2579" i="16"/>
  <c r="B2580" i="16"/>
  <c r="B2581" i="16"/>
  <c r="B2582" i="16"/>
  <c r="B2583" i="16"/>
  <c r="B2584" i="16"/>
  <c r="B2585" i="16"/>
  <c r="B2586" i="16"/>
  <c r="B2587" i="16"/>
  <c r="B2588" i="16"/>
  <c r="B2589" i="16"/>
  <c r="B2590" i="16"/>
  <c r="B2591" i="16"/>
  <c r="B2592" i="16"/>
  <c r="B2593" i="16"/>
  <c r="B2594" i="16"/>
  <c r="B2595" i="16"/>
  <c r="B2596" i="16"/>
  <c r="B2597" i="16"/>
  <c r="B2598" i="16"/>
  <c r="B2599" i="16"/>
  <c r="B2600" i="16"/>
  <c r="B2601" i="16"/>
  <c r="B2602" i="16"/>
  <c r="B2603" i="16"/>
  <c r="B2604" i="16"/>
  <c r="B2605" i="16"/>
  <c r="B2606" i="16"/>
  <c r="B2607" i="16"/>
  <c r="B2608" i="16"/>
  <c r="B2609" i="16"/>
  <c r="B2610" i="16"/>
  <c r="B2611" i="16"/>
  <c r="B2612" i="16"/>
  <c r="B2613" i="16"/>
  <c r="B2614" i="16"/>
  <c r="B2615" i="16"/>
  <c r="B2616" i="16"/>
  <c r="B2617" i="16"/>
  <c r="B2618" i="16"/>
  <c r="B2619" i="16"/>
  <c r="B2620" i="16"/>
  <c r="B2621" i="16"/>
  <c r="B2622" i="16"/>
  <c r="B2623" i="16"/>
  <c r="B2624" i="16"/>
  <c r="B2625" i="16"/>
  <c r="B2626" i="16"/>
  <c r="B2627" i="16"/>
  <c r="B2628" i="16"/>
  <c r="B2629" i="16"/>
  <c r="B2630" i="16"/>
  <c r="B2631" i="16"/>
  <c r="B2632" i="16"/>
  <c r="B2633" i="16"/>
  <c r="B2634" i="16"/>
  <c r="B2635" i="16"/>
  <c r="B2636" i="16"/>
  <c r="B2637" i="16"/>
  <c r="B2638" i="16"/>
  <c r="B2639" i="16"/>
  <c r="B2640" i="16"/>
  <c r="B2641" i="16"/>
  <c r="B2642" i="16"/>
  <c r="B2643" i="16"/>
  <c r="B2644" i="16"/>
  <c r="B2645" i="16"/>
  <c r="B2646" i="16"/>
  <c r="B2647" i="16"/>
  <c r="B2648" i="16"/>
  <c r="B2649" i="16"/>
  <c r="B2650" i="16"/>
  <c r="B2651" i="16"/>
  <c r="B2652" i="16"/>
  <c r="B2653" i="16"/>
  <c r="B2654" i="16"/>
  <c r="B2655" i="16"/>
  <c r="B2656" i="16"/>
  <c r="B2657" i="16"/>
  <c r="B2658" i="16"/>
  <c r="B2659" i="16"/>
  <c r="B2660" i="16"/>
  <c r="B2661" i="16"/>
  <c r="B2662" i="16"/>
  <c r="B2663" i="16"/>
  <c r="B2664" i="16"/>
  <c r="B2665" i="16"/>
  <c r="B2666" i="16"/>
  <c r="B2667" i="16"/>
  <c r="B2668" i="16"/>
  <c r="B2669" i="16"/>
  <c r="B2670" i="16"/>
  <c r="B2671" i="16"/>
  <c r="B2672" i="16"/>
  <c r="B2673" i="16"/>
  <c r="B2674" i="16"/>
  <c r="B2675" i="16"/>
  <c r="B2676" i="16"/>
  <c r="B2677" i="16"/>
  <c r="B2678" i="16"/>
  <c r="B2679" i="16"/>
  <c r="B2680" i="16"/>
  <c r="B2681" i="16"/>
  <c r="B2682" i="16"/>
  <c r="B2683" i="16"/>
  <c r="B2684" i="16"/>
  <c r="B2685" i="16"/>
  <c r="B2686" i="16"/>
  <c r="B2687" i="16"/>
  <c r="B2688" i="16"/>
  <c r="B2689" i="16"/>
  <c r="B2690" i="16"/>
  <c r="B2691" i="16"/>
  <c r="B2692" i="16"/>
  <c r="B2693" i="16"/>
  <c r="B2694" i="16"/>
  <c r="B2695" i="16"/>
  <c r="B2696" i="16"/>
  <c r="B2697" i="16"/>
  <c r="B2698" i="16"/>
  <c r="B2699" i="16"/>
  <c r="B2700" i="16"/>
  <c r="B2701" i="16"/>
  <c r="B2702" i="16"/>
  <c r="B2703" i="16"/>
  <c r="B2704" i="16"/>
  <c r="B2705" i="16"/>
  <c r="B2706" i="16"/>
  <c r="B2707" i="16"/>
  <c r="B2708" i="16"/>
  <c r="B2709" i="16"/>
  <c r="B2710" i="16"/>
  <c r="B2711" i="16"/>
  <c r="B2712" i="16"/>
  <c r="B2713" i="16"/>
  <c r="B2714" i="16"/>
  <c r="B2715" i="16"/>
  <c r="B2716" i="16"/>
  <c r="B2717" i="16"/>
  <c r="B2718" i="16"/>
  <c r="B2719" i="16"/>
  <c r="B2720" i="16"/>
  <c r="B2721" i="16"/>
  <c r="B2722" i="16"/>
  <c r="B2723" i="16"/>
  <c r="B2724" i="16"/>
  <c r="B2725" i="16"/>
  <c r="B2726" i="16"/>
  <c r="B2727" i="16"/>
  <c r="B2728" i="16"/>
  <c r="B2729" i="16"/>
  <c r="B2730" i="16"/>
  <c r="B2731" i="16"/>
  <c r="B2732" i="16"/>
  <c r="B2733" i="16"/>
  <c r="B2734" i="16"/>
  <c r="B2735" i="16"/>
  <c r="B2736" i="16"/>
  <c r="B2737" i="16"/>
  <c r="B2738" i="16"/>
  <c r="B2739" i="16"/>
  <c r="B2740" i="16"/>
  <c r="B2741" i="16"/>
  <c r="B2742" i="16"/>
  <c r="B2743" i="16"/>
  <c r="B2744" i="16"/>
  <c r="B2745" i="16"/>
  <c r="B2746" i="16"/>
  <c r="B2747" i="16"/>
  <c r="B2748" i="16"/>
  <c r="B2749" i="16"/>
  <c r="B2750" i="16"/>
  <c r="B2751" i="16"/>
  <c r="B2752" i="16"/>
  <c r="B2753" i="16"/>
  <c r="B2754" i="16"/>
  <c r="B2755" i="16"/>
  <c r="B2756" i="16"/>
  <c r="B2757" i="16"/>
  <c r="B2758" i="16"/>
  <c r="B2759" i="16"/>
  <c r="B2760" i="16"/>
  <c r="B2761" i="16"/>
  <c r="B2762" i="16"/>
  <c r="B2763" i="16"/>
  <c r="B2764" i="16"/>
  <c r="B2765" i="16"/>
  <c r="B2766" i="16"/>
  <c r="B2767" i="16"/>
  <c r="B2768" i="16"/>
  <c r="B2769" i="16"/>
  <c r="B2770" i="16"/>
  <c r="B2771" i="16"/>
  <c r="B2772" i="16"/>
  <c r="B2773" i="16"/>
  <c r="B2774" i="16"/>
  <c r="B2775" i="16"/>
  <c r="B2776" i="16"/>
  <c r="B2777" i="16"/>
  <c r="B2778" i="16"/>
  <c r="B2779" i="16"/>
  <c r="B2780" i="16"/>
  <c r="B2781" i="16"/>
  <c r="B2782" i="16"/>
  <c r="B2783" i="16"/>
  <c r="B2784" i="16"/>
  <c r="B2785" i="16"/>
  <c r="B2786" i="16"/>
  <c r="B2787" i="16"/>
  <c r="B2788" i="16"/>
  <c r="B2789" i="16"/>
  <c r="B2790" i="16"/>
  <c r="B2791" i="16"/>
  <c r="B2792" i="16"/>
  <c r="B2793" i="16"/>
  <c r="B2794" i="16"/>
  <c r="B2795" i="16"/>
  <c r="B2796" i="16"/>
  <c r="B2797" i="16"/>
  <c r="B2798" i="16"/>
  <c r="B2799" i="16"/>
  <c r="B2800" i="16"/>
  <c r="B2801" i="16"/>
  <c r="B2802" i="16"/>
  <c r="B2803" i="16"/>
  <c r="B2804" i="16"/>
  <c r="B2805" i="16"/>
  <c r="B2806" i="16"/>
  <c r="B2807" i="16"/>
  <c r="B2808" i="16"/>
  <c r="B2809" i="16"/>
  <c r="B2810" i="16"/>
  <c r="B2811" i="16"/>
  <c r="B2812" i="16"/>
  <c r="B2813" i="16"/>
  <c r="B2814" i="16"/>
  <c r="B2815" i="16"/>
  <c r="B2816" i="16"/>
  <c r="B2817" i="16"/>
  <c r="B2818" i="16"/>
  <c r="B2819" i="16"/>
  <c r="B2820" i="16"/>
  <c r="B2821" i="16"/>
  <c r="B2822" i="16"/>
  <c r="B2823" i="16"/>
  <c r="B2824" i="16"/>
  <c r="B2825" i="16"/>
  <c r="B2826" i="16"/>
  <c r="B2827" i="16"/>
  <c r="B2828" i="16"/>
  <c r="B2829" i="16"/>
  <c r="B2830" i="16"/>
  <c r="B2831" i="16"/>
  <c r="B2832" i="16"/>
  <c r="B2833" i="16"/>
  <c r="B2834" i="16"/>
  <c r="B2835" i="16"/>
  <c r="B2836" i="16"/>
  <c r="B2837" i="16"/>
  <c r="B2838" i="16"/>
  <c r="B2839" i="16"/>
  <c r="B2840" i="16"/>
  <c r="B2841" i="16"/>
  <c r="B2842" i="16"/>
  <c r="B2843" i="16"/>
  <c r="B2844" i="16"/>
  <c r="B2845" i="16"/>
  <c r="B2846" i="16"/>
  <c r="B2847" i="16"/>
  <c r="B2848" i="16"/>
  <c r="B2849" i="16"/>
  <c r="B2850" i="16"/>
  <c r="B2851" i="16"/>
  <c r="B2852" i="16"/>
  <c r="B2853" i="16"/>
  <c r="B2854" i="16"/>
  <c r="B2855" i="16"/>
  <c r="B2856" i="16"/>
  <c r="B2857" i="16"/>
  <c r="B2858" i="16"/>
  <c r="B2859" i="16"/>
  <c r="B2860" i="16"/>
  <c r="B2861" i="16"/>
  <c r="B2862" i="16"/>
  <c r="B2863" i="16"/>
  <c r="B2864" i="16"/>
  <c r="B2865" i="16"/>
  <c r="B2866" i="16"/>
  <c r="B2867" i="16"/>
  <c r="B2868" i="16"/>
  <c r="B2869" i="16"/>
  <c r="B2870" i="16"/>
  <c r="B2871" i="16"/>
  <c r="B2872" i="16"/>
  <c r="B2873" i="16"/>
  <c r="B2874" i="16"/>
  <c r="B2875" i="16"/>
  <c r="B2876" i="16"/>
  <c r="B2877" i="16"/>
  <c r="B2878" i="16"/>
  <c r="B2879" i="16"/>
  <c r="B2880" i="16"/>
  <c r="B2881" i="16"/>
  <c r="B2882" i="16"/>
  <c r="B2883" i="16"/>
  <c r="B2884" i="16"/>
  <c r="B2885" i="16"/>
  <c r="B2886" i="16"/>
  <c r="B2887" i="16"/>
  <c r="B2888" i="16"/>
  <c r="B2889" i="16"/>
  <c r="B2890" i="16"/>
  <c r="B2891" i="16"/>
  <c r="B2892" i="16"/>
  <c r="B2893" i="16"/>
  <c r="B2894" i="16"/>
  <c r="B2895" i="16"/>
  <c r="B2896" i="16"/>
  <c r="B2897" i="16"/>
  <c r="B2898" i="16"/>
  <c r="B2899" i="16"/>
  <c r="B2900" i="16"/>
  <c r="B2901" i="16"/>
  <c r="B2902" i="16"/>
  <c r="B2903" i="16"/>
  <c r="B2904" i="16"/>
  <c r="B2905" i="16"/>
  <c r="B2906" i="16"/>
  <c r="B2907" i="16"/>
  <c r="B2908" i="16"/>
  <c r="B2909" i="16"/>
  <c r="B2910" i="16"/>
  <c r="B2911" i="16"/>
  <c r="B2912" i="16"/>
  <c r="B2913" i="16"/>
  <c r="B2914" i="16"/>
  <c r="B2915" i="16"/>
  <c r="B2916" i="16"/>
  <c r="B2917" i="16"/>
  <c r="B2918" i="16"/>
  <c r="B2919" i="16"/>
  <c r="B2920" i="16"/>
  <c r="B2921" i="16"/>
  <c r="B2922" i="16"/>
  <c r="B2923" i="16"/>
  <c r="B2924" i="16"/>
  <c r="B2925" i="16"/>
  <c r="B2926" i="16"/>
  <c r="B2927" i="16"/>
  <c r="B2928" i="16"/>
  <c r="B2929" i="16"/>
  <c r="B2930" i="16"/>
  <c r="B2931" i="16"/>
  <c r="B2932" i="16"/>
  <c r="B2933" i="16"/>
  <c r="B2934" i="16"/>
  <c r="B2935" i="16"/>
  <c r="B2936" i="16"/>
  <c r="B2937" i="16"/>
  <c r="B2938" i="16"/>
  <c r="B2939" i="16"/>
  <c r="B2940" i="16"/>
  <c r="B2941" i="16"/>
  <c r="B2942" i="16"/>
  <c r="B2943" i="16"/>
  <c r="B2944" i="16"/>
  <c r="B2945" i="16"/>
  <c r="B2946" i="16"/>
  <c r="B2947" i="16"/>
  <c r="B2948" i="16"/>
  <c r="B2949" i="16"/>
  <c r="B2950" i="16"/>
  <c r="B2951" i="16"/>
  <c r="B2952" i="16"/>
  <c r="B2953" i="16"/>
  <c r="B2954" i="16"/>
  <c r="B2955" i="16"/>
  <c r="B2956" i="16"/>
  <c r="B2957" i="16"/>
  <c r="B2958" i="16"/>
  <c r="B2959" i="16"/>
  <c r="B2960" i="16"/>
  <c r="B2961" i="16"/>
  <c r="B2962" i="16"/>
  <c r="B2963" i="16"/>
  <c r="B2964" i="16"/>
  <c r="B2965" i="16"/>
  <c r="B2966" i="16"/>
  <c r="B2967" i="16"/>
  <c r="B2968" i="16"/>
  <c r="B2969" i="16"/>
  <c r="B2970" i="16"/>
  <c r="B2971" i="16"/>
  <c r="B2972" i="16"/>
  <c r="B2973" i="16"/>
  <c r="B2974" i="16"/>
  <c r="B2975" i="16"/>
  <c r="B2976" i="16"/>
  <c r="B2977" i="16"/>
  <c r="B2978" i="16"/>
  <c r="B2979" i="16"/>
  <c r="B2980" i="16"/>
  <c r="B2981" i="16"/>
  <c r="B2982" i="16"/>
  <c r="B2983" i="16"/>
  <c r="B2984" i="16"/>
  <c r="B2985" i="16"/>
  <c r="B2986" i="16"/>
  <c r="B2987" i="16"/>
  <c r="B2988" i="16"/>
  <c r="B2989" i="16"/>
  <c r="B2990" i="16"/>
  <c r="B2991" i="16"/>
  <c r="B2992" i="16"/>
  <c r="B2993" i="16"/>
  <c r="B2994" i="16"/>
  <c r="B2995" i="16"/>
  <c r="B2996" i="16"/>
  <c r="B2997" i="16"/>
  <c r="B2998" i="16"/>
  <c r="B2999" i="16"/>
  <c r="B3000" i="16"/>
  <c r="B3001" i="16"/>
  <c r="B3002" i="16"/>
  <c r="B3003" i="16"/>
  <c r="B3004" i="16"/>
  <c r="B3005" i="16"/>
  <c r="B3006" i="16"/>
  <c r="B3007" i="16"/>
  <c r="B3008" i="16"/>
  <c r="B3009" i="16"/>
  <c r="B3010" i="16"/>
  <c r="B3011" i="16"/>
  <c r="B3012" i="16"/>
  <c r="B3013" i="16"/>
  <c r="B3014" i="16"/>
  <c r="B3015" i="16"/>
  <c r="B3016" i="16"/>
  <c r="B3017" i="16"/>
  <c r="B3018" i="16"/>
  <c r="B3019" i="16"/>
  <c r="B3020" i="16"/>
  <c r="B3021" i="16"/>
  <c r="B3022" i="16"/>
  <c r="B3023" i="16"/>
  <c r="B3024" i="16"/>
  <c r="B3025" i="16"/>
  <c r="B3026" i="16"/>
  <c r="B3027" i="16"/>
  <c r="B3028" i="16"/>
  <c r="B3029" i="16"/>
  <c r="B3030" i="16"/>
  <c r="B3031" i="16"/>
  <c r="B3032" i="16"/>
  <c r="B3033" i="16"/>
  <c r="B3034" i="16"/>
  <c r="B3035" i="16"/>
  <c r="B3036" i="16"/>
  <c r="B3037" i="16"/>
  <c r="B3038" i="16"/>
  <c r="B3039" i="16"/>
  <c r="B3040" i="16"/>
  <c r="B3041" i="16"/>
  <c r="B3042" i="16"/>
  <c r="B3043" i="16"/>
  <c r="B3044" i="16"/>
  <c r="B3045" i="16"/>
  <c r="B3046" i="16"/>
  <c r="B3047" i="16"/>
  <c r="B3048" i="16"/>
  <c r="B3049" i="16"/>
  <c r="B3050" i="16"/>
  <c r="B3051" i="16"/>
  <c r="B3052" i="16"/>
  <c r="B3053" i="16"/>
  <c r="B3054" i="16"/>
  <c r="B3055" i="16"/>
  <c r="B3056" i="16"/>
  <c r="B3057" i="16"/>
  <c r="B3058" i="16"/>
  <c r="B3059" i="16"/>
  <c r="B3060" i="16"/>
  <c r="B3061" i="16"/>
  <c r="B3062" i="16"/>
  <c r="B3063" i="16"/>
  <c r="B3064" i="16"/>
  <c r="B3065" i="16"/>
  <c r="B3066" i="16"/>
  <c r="B3067" i="16"/>
  <c r="B3068" i="16"/>
  <c r="B3069" i="16"/>
  <c r="B3070" i="16"/>
  <c r="B3071" i="16"/>
  <c r="B3072" i="16"/>
  <c r="B3073" i="16"/>
  <c r="B3074" i="16"/>
  <c r="B3075" i="16"/>
  <c r="B3076" i="16"/>
  <c r="B3077" i="16"/>
  <c r="B3078" i="16"/>
  <c r="B3079" i="16"/>
  <c r="B3080" i="16"/>
  <c r="B3081" i="16"/>
  <c r="B3082" i="16"/>
  <c r="B3083" i="16"/>
  <c r="B3084" i="16"/>
  <c r="B3085" i="16"/>
  <c r="B3086" i="16"/>
  <c r="B3087" i="16"/>
  <c r="B3088" i="16"/>
  <c r="B3089" i="16"/>
  <c r="B3090" i="16"/>
  <c r="B3091" i="16"/>
  <c r="B3092" i="16"/>
  <c r="B3093" i="16"/>
  <c r="B3094" i="16"/>
  <c r="B3095" i="16"/>
  <c r="B3096" i="16"/>
  <c r="B3097" i="16"/>
  <c r="B3098" i="16"/>
  <c r="B3099" i="16"/>
  <c r="B3100" i="16"/>
  <c r="B3101" i="16"/>
  <c r="B3102" i="16"/>
  <c r="B3103" i="16"/>
  <c r="B3104" i="16"/>
  <c r="B3105" i="16"/>
  <c r="B3106" i="16"/>
  <c r="B3107" i="16"/>
  <c r="B3108" i="16"/>
  <c r="B3109" i="16"/>
  <c r="B3110" i="16"/>
  <c r="B3111" i="16"/>
  <c r="B3112" i="16"/>
  <c r="B3113" i="16"/>
  <c r="B3114" i="16"/>
  <c r="B3115" i="16"/>
  <c r="B3116" i="16"/>
  <c r="B3117" i="16"/>
  <c r="B3118" i="16"/>
  <c r="B3119" i="16"/>
  <c r="B3120" i="16"/>
  <c r="B3121" i="16"/>
  <c r="B3122" i="16"/>
  <c r="B3123" i="16"/>
  <c r="B3124" i="16"/>
  <c r="B3125" i="16"/>
  <c r="B3126" i="16"/>
  <c r="B3127" i="16"/>
  <c r="B3128" i="16"/>
  <c r="B3129" i="16"/>
  <c r="B3130" i="16"/>
  <c r="B3131" i="16"/>
  <c r="B3132" i="16"/>
  <c r="B3133" i="16"/>
  <c r="B3134" i="16"/>
  <c r="B3135" i="16"/>
  <c r="B3136" i="16"/>
  <c r="B3137" i="16"/>
  <c r="B3138" i="16"/>
  <c r="B3139" i="16"/>
  <c r="B3140" i="16"/>
  <c r="B3141" i="16"/>
  <c r="B3142" i="16"/>
  <c r="B3143" i="16"/>
  <c r="B3144" i="16"/>
  <c r="B3145" i="16"/>
  <c r="B3146" i="16"/>
  <c r="B3147" i="16"/>
  <c r="B3148" i="16"/>
  <c r="B3149" i="16"/>
  <c r="B3150" i="16"/>
  <c r="B3151" i="16"/>
  <c r="B3152" i="16"/>
  <c r="B3153" i="16"/>
  <c r="B3154" i="16"/>
  <c r="B3155" i="16"/>
  <c r="B3156" i="16"/>
  <c r="B3157" i="16"/>
  <c r="B3158" i="16"/>
  <c r="B3159" i="16"/>
  <c r="B3160" i="16"/>
  <c r="B3161" i="16"/>
  <c r="B3162" i="16"/>
  <c r="B3163" i="16"/>
  <c r="B3164" i="16"/>
  <c r="B3165" i="16"/>
  <c r="B3166" i="16"/>
  <c r="B3167" i="16"/>
  <c r="B3168" i="16"/>
  <c r="B3169" i="16"/>
  <c r="B3170" i="16"/>
  <c r="B3171" i="16"/>
  <c r="B3172" i="16"/>
  <c r="B3173" i="16"/>
  <c r="B3174" i="16"/>
  <c r="B3175" i="16"/>
  <c r="B3176" i="16"/>
  <c r="B3177" i="16"/>
  <c r="B3178" i="16"/>
  <c r="B3179" i="16"/>
  <c r="B3180" i="16"/>
  <c r="B3181" i="16"/>
  <c r="B3182" i="16"/>
  <c r="B3183" i="16"/>
  <c r="B3184" i="16"/>
  <c r="B3185" i="16"/>
  <c r="B3186" i="16"/>
  <c r="B3187" i="16"/>
  <c r="B3188" i="16"/>
  <c r="B3189" i="16"/>
  <c r="B3190" i="16"/>
  <c r="B3191" i="16"/>
  <c r="B3192" i="16"/>
  <c r="B3193" i="16"/>
  <c r="B3194" i="16"/>
  <c r="B3195" i="16"/>
  <c r="B3196" i="16"/>
  <c r="B3197" i="16"/>
  <c r="B3198" i="16"/>
  <c r="B3199" i="16"/>
  <c r="B3200" i="16"/>
  <c r="B3201" i="16"/>
  <c r="B3202" i="16"/>
  <c r="B3203" i="16"/>
  <c r="B3204" i="16"/>
  <c r="B3205" i="16"/>
  <c r="B3206" i="16"/>
  <c r="B3207" i="16"/>
  <c r="B3208" i="16"/>
  <c r="B3209" i="16"/>
  <c r="B3210" i="16"/>
  <c r="B3211" i="16"/>
  <c r="B3212" i="16"/>
  <c r="B3213" i="16"/>
  <c r="B3214" i="16"/>
  <c r="B3215" i="16"/>
  <c r="B3216" i="16"/>
  <c r="B3217" i="16"/>
  <c r="B3218" i="16"/>
  <c r="B3219" i="16"/>
  <c r="B3220" i="16"/>
  <c r="B3221" i="16"/>
  <c r="B3222" i="16"/>
  <c r="B3223" i="16"/>
  <c r="B3224" i="16"/>
  <c r="B3225" i="16"/>
  <c r="B3226" i="16"/>
  <c r="B3227" i="16"/>
  <c r="B3228" i="16"/>
  <c r="B3229" i="16"/>
  <c r="B3230" i="16"/>
  <c r="B3231" i="16"/>
  <c r="B3232" i="16"/>
  <c r="B3233" i="16"/>
  <c r="B3234" i="16"/>
  <c r="B3235" i="16"/>
  <c r="B3236" i="16"/>
  <c r="B3237" i="16"/>
  <c r="B3238" i="16"/>
  <c r="B3239" i="16"/>
  <c r="B3240" i="16"/>
  <c r="B3241" i="16"/>
  <c r="B3242" i="16"/>
  <c r="B3243" i="16"/>
  <c r="B3244" i="16"/>
  <c r="B3245" i="16"/>
  <c r="B3246" i="16"/>
  <c r="B3247" i="16"/>
  <c r="B3248" i="16"/>
  <c r="B3249" i="16"/>
  <c r="B3250" i="16"/>
  <c r="B3251" i="16"/>
  <c r="B3252" i="16"/>
  <c r="B3253" i="16"/>
  <c r="B3254" i="16"/>
  <c r="B3255" i="16"/>
  <c r="B3" i="16"/>
  <c r="C4" i="16"/>
  <c r="D4" i="16"/>
  <c r="E4" i="16"/>
  <c r="F4" i="16"/>
  <c r="H4" i="16"/>
  <c r="I4" i="16"/>
  <c r="J4" i="16"/>
  <c r="D5" i="16"/>
  <c r="F5" i="16"/>
  <c r="H5" i="16"/>
  <c r="J5" i="16"/>
  <c r="D6" i="16"/>
  <c r="C6" i="16"/>
  <c r="F6" i="16"/>
  <c r="G6" i="16"/>
  <c r="J6" i="16"/>
  <c r="F7" i="16"/>
  <c r="C8" i="16"/>
  <c r="D8" i="16"/>
  <c r="E8" i="16"/>
  <c r="F8" i="16"/>
  <c r="H8" i="16"/>
  <c r="I8" i="16"/>
  <c r="J8" i="16"/>
  <c r="D9" i="16"/>
  <c r="F9" i="16"/>
  <c r="H9" i="16"/>
  <c r="J9" i="16"/>
  <c r="F10" i="16"/>
  <c r="C10" i="16"/>
  <c r="G10" i="16"/>
  <c r="J10" i="16"/>
  <c r="F11" i="16"/>
  <c r="C12" i="16"/>
  <c r="D12" i="16"/>
  <c r="E12" i="16"/>
  <c r="F12" i="16"/>
  <c r="H12" i="16"/>
  <c r="I12" i="16"/>
  <c r="J12" i="16"/>
  <c r="D13" i="16"/>
  <c r="F13" i="16"/>
  <c r="H13" i="16"/>
  <c r="J13" i="16"/>
  <c r="C14" i="16"/>
  <c r="F14" i="16"/>
  <c r="G14" i="16"/>
  <c r="J14" i="16"/>
  <c r="C16" i="16"/>
  <c r="D16" i="16"/>
  <c r="E16" i="16"/>
  <c r="F16" i="16"/>
  <c r="H16" i="16"/>
  <c r="I16" i="16"/>
  <c r="J16" i="16"/>
  <c r="D17" i="16"/>
  <c r="F17" i="16"/>
  <c r="H17" i="16"/>
  <c r="J17" i="16"/>
  <c r="F18" i="16"/>
  <c r="C18" i="16"/>
  <c r="G18" i="16"/>
  <c r="J18" i="16"/>
  <c r="F19" i="16"/>
  <c r="C20" i="16"/>
  <c r="D20" i="16"/>
  <c r="E20" i="16"/>
  <c r="F20" i="16"/>
  <c r="H20" i="16"/>
  <c r="I20" i="16"/>
  <c r="J20" i="16"/>
  <c r="D21" i="16"/>
  <c r="F21" i="16"/>
  <c r="H21" i="16"/>
  <c r="J21" i="16"/>
  <c r="C22" i="16"/>
  <c r="F22" i="16"/>
  <c r="G22" i="16"/>
  <c r="J22" i="16"/>
  <c r="C24" i="16"/>
  <c r="D24" i="16"/>
  <c r="E24" i="16"/>
  <c r="F24" i="16"/>
  <c r="H24" i="16"/>
  <c r="I24" i="16"/>
  <c r="J24" i="16"/>
  <c r="D25" i="16"/>
  <c r="F25" i="16"/>
  <c r="H25" i="16"/>
  <c r="J25" i="16"/>
  <c r="C26" i="16"/>
  <c r="G26" i="16"/>
  <c r="G27" i="16"/>
  <c r="D28" i="16"/>
  <c r="E28" i="16"/>
  <c r="F28" i="16"/>
  <c r="H28" i="16"/>
  <c r="I28" i="16"/>
  <c r="J28" i="16"/>
  <c r="C29" i="16"/>
  <c r="E29" i="16"/>
  <c r="G29" i="16"/>
  <c r="I29" i="16"/>
  <c r="C30" i="16"/>
  <c r="D30" i="16"/>
  <c r="F30" i="16"/>
  <c r="G30" i="16"/>
  <c r="H30" i="16"/>
  <c r="J30" i="16"/>
  <c r="C31" i="16"/>
  <c r="F31" i="16"/>
  <c r="J31" i="16"/>
  <c r="D32" i="16"/>
  <c r="F32" i="16"/>
  <c r="H32" i="16"/>
  <c r="C33" i="16"/>
  <c r="E33" i="16"/>
  <c r="G33" i="16"/>
  <c r="I33" i="16"/>
  <c r="F34" i="16"/>
  <c r="G34" i="16"/>
  <c r="C35" i="16"/>
  <c r="I35" i="16"/>
  <c r="D36" i="16"/>
  <c r="E36" i="16"/>
  <c r="F36" i="16"/>
  <c r="H36" i="16"/>
  <c r="I36" i="16"/>
  <c r="J36" i="16"/>
  <c r="D37" i="16"/>
  <c r="F37" i="16"/>
  <c r="H37" i="16"/>
  <c r="J37" i="16"/>
  <c r="C38" i="16"/>
  <c r="D38" i="16"/>
  <c r="F38" i="16"/>
  <c r="G38" i="16"/>
  <c r="H38" i="16"/>
  <c r="J38" i="16"/>
  <c r="E39" i="16"/>
  <c r="G39" i="16"/>
  <c r="F40" i="16"/>
  <c r="H40" i="16"/>
  <c r="C41" i="16"/>
  <c r="E41" i="16"/>
  <c r="F41" i="16"/>
  <c r="G41" i="16"/>
  <c r="I41" i="16"/>
  <c r="J41" i="16"/>
  <c r="F42" i="16"/>
  <c r="G42" i="16"/>
  <c r="C43" i="16"/>
  <c r="I43" i="16"/>
  <c r="D44" i="16"/>
  <c r="E44" i="16"/>
  <c r="F44" i="16"/>
  <c r="H44" i="16"/>
  <c r="I44" i="16"/>
  <c r="J44" i="16"/>
  <c r="C45" i="16"/>
  <c r="D45" i="16"/>
  <c r="E45" i="16"/>
  <c r="F45" i="16"/>
  <c r="G45" i="16"/>
  <c r="H45" i="16"/>
  <c r="I45" i="16"/>
  <c r="J45" i="16"/>
  <c r="C46" i="16"/>
  <c r="D46" i="16"/>
  <c r="F46" i="16"/>
  <c r="G46" i="16"/>
  <c r="H46" i="16"/>
  <c r="J46" i="16"/>
  <c r="E47" i="16"/>
  <c r="F47" i="16"/>
  <c r="G47" i="16"/>
  <c r="D48" i="16"/>
  <c r="F48" i="16"/>
  <c r="H48" i="16"/>
  <c r="I48" i="16"/>
  <c r="C49" i="16"/>
  <c r="D49" i="16"/>
  <c r="E49" i="16"/>
  <c r="F49" i="16"/>
  <c r="G49" i="16"/>
  <c r="H49" i="16"/>
  <c r="I49" i="16"/>
  <c r="J49" i="16"/>
  <c r="C50" i="16"/>
  <c r="F50" i="16"/>
  <c r="G50" i="16"/>
  <c r="H50" i="16"/>
  <c r="C51" i="16"/>
  <c r="E51" i="16"/>
  <c r="G51" i="16"/>
  <c r="J51" i="16"/>
  <c r="D52" i="16"/>
  <c r="E52" i="16"/>
  <c r="F52" i="16"/>
  <c r="H52" i="16"/>
  <c r="I52" i="16"/>
  <c r="J52" i="16"/>
  <c r="C53" i="16"/>
  <c r="D53" i="16"/>
  <c r="E53" i="16"/>
  <c r="F53" i="16"/>
  <c r="G53" i="16"/>
  <c r="H53" i="16"/>
  <c r="I53" i="16"/>
  <c r="J53" i="16"/>
  <c r="C54" i="16"/>
  <c r="D54" i="16"/>
  <c r="F54" i="16"/>
  <c r="G54" i="16"/>
  <c r="H54" i="16"/>
  <c r="J54" i="16"/>
  <c r="E55" i="16"/>
  <c r="F55" i="16"/>
  <c r="J55" i="16"/>
  <c r="D56" i="16"/>
  <c r="F56" i="16"/>
  <c r="H56" i="16"/>
  <c r="I56" i="16"/>
  <c r="C57" i="16"/>
  <c r="D57" i="16"/>
  <c r="E57" i="16"/>
  <c r="F57" i="16"/>
  <c r="G57" i="16"/>
  <c r="H57" i="16"/>
  <c r="I57" i="16"/>
  <c r="J57" i="16"/>
  <c r="C58" i="16"/>
  <c r="F58" i="16"/>
  <c r="G58" i="16"/>
  <c r="H58" i="16"/>
  <c r="C59" i="16"/>
  <c r="E59" i="16"/>
  <c r="I59" i="16"/>
  <c r="J59" i="16"/>
  <c r="C60" i="16"/>
  <c r="D60" i="16"/>
  <c r="E60" i="16"/>
  <c r="F60" i="16"/>
  <c r="G60" i="16"/>
  <c r="H60" i="16"/>
  <c r="I60" i="16"/>
  <c r="J60" i="16"/>
  <c r="C61" i="16"/>
  <c r="D61" i="16"/>
  <c r="E61" i="16"/>
  <c r="F61" i="16"/>
  <c r="G61" i="16"/>
  <c r="H61" i="16"/>
  <c r="I61" i="16"/>
  <c r="J61" i="16"/>
  <c r="C62" i="16"/>
  <c r="D62" i="16"/>
  <c r="F62" i="16"/>
  <c r="G62" i="16"/>
  <c r="H62" i="16"/>
  <c r="J62" i="16"/>
  <c r="C63" i="16"/>
  <c r="E63" i="16"/>
  <c r="F63" i="16"/>
  <c r="I63" i="16"/>
  <c r="J63" i="16"/>
  <c r="D64" i="16"/>
  <c r="E64" i="16"/>
  <c r="F64" i="16"/>
  <c r="H64" i="16"/>
  <c r="I64" i="16"/>
  <c r="J64" i="16"/>
  <c r="C65" i="16"/>
  <c r="D65" i="16"/>
  <c r="E65" i="16"/>
  <c r="F65" i="16"/>
  <c r="G65" i="16"/>
  <c r="H65" i="16"/>
  <c r="I65" i="16"/>
  <c r="J65" i="16"/>
  <c r="C66" i="16"/>
  <c r="D66" i="16"/>
  <c r="F66" i="16"/>
  <c r="G66" i="16"/>
  <c r="H66" i="16"/>
  <c r="J66" i="16"/>
  <c r="C67" i="16"/>
  <c r="F67" i="16"/>
  <c r="G67" i="16"/>
  <c r="I67" i="16"/>
  <c r="D68" i="16"/>
  <c r="E68" i="16"/>
  <c r="F68" i="16"/>
  <c r="H68" i="16"/>
  <c r="I68" i="16"/>
  <c r="J68" i="16"/>
  <c r="C69" i="16"/>
  <c r="D69" i="16"/>
  <c r="E69" i="16"/>
  <c r="F69" i="16"/>
  <c r="G69" i="16"/>
  <c r="H69" i="16"/>
  <c r="I69" i="16"/>
  <c r="J69" i="16"/>
  <c r="C70" i="16"/>
  <c r="D70" i="16"/>
  <c r="F70" i="16"/>
  <c r="G70" i="16"/>
  <c r="H70" i="16"/>
  <c r="J70" i="16"/>
  <c r="C71" i="16"/>
  <c r="E71" i="16"/>
  <c r="F71" i="16"/>
  <c r="G71" i="16"/>
  <c r="I71" i="16"/>
  <c r="J71" i="16"/>
  <c r="D72" i="16"/>
  <c r="E72" i="16"/>
  <c r="F72" i="16"/>
  <c r="H72" i="16"/>
  <c r="I72" i="16"/>
  <c r="J72" i="16"/>
  <c r="C73" i="16"/>
  <c r="D73" i="16"/>
  <c r="E73" i="16"/>
  <c r="F73" i="16"/>
  <c r="G73" i="16"/>
  <c r="H73" i="16"/>
  <c r="I73" i="16"/>
  <c r="J73" i="16"/>
  <c r="C74" i="16"/>
  <c r="D74" i="16"/>
  <c r="F74" i="16"/>
  <c r="G74" i="16"/>
  <c r="H74" i="16"/>
  <c r="J74" i="16"/>
  <c r="C75" i="16"/>
  <c r="E75" i="16"/>
  <c r="F75" i="16"/>
  <c r="G75" i="16"/>
  <c r="I75" i="16"/>
  <c r="J75" i="16"/>
  <c r="D76" i="16"/>
  <c r="E76" i="16"/>
  <c r="F76" i="16"/>
  <c r="H76" i="16"/>
  <c r="I76" i="16"/>
  <c r="J76" i="16"/>
  <c r="C77" i="16"/>
  <c r="D77" i="16"/>
  <c r="E77" i="16"/>
  <c r="F77" i="16"/>
  <c r="G77" i="16"/>
  <c r="H77" i="16"/>
  <c r="I77" i="16"/>
  <c r="J77" i="16"/>
  <c r="C78" i="16"/>
  <c r="D78" i="16"/>
  <c r="F78" i="16"/>
  <c r="G78" i="16"/>
  <c r="H78" i="16"/>
  <c r="J78" i="16"/>
  <c r="C79" i="16"/>
  <c r="E79" i="16"/>
  <c r="F79" i="16"/>
  <c r="G79" i="16"/>
  <c r="I79" i="16"/>
  <c r="J79" i="16"/>
  <c r="D80" i="16"/>
  <c r="E80" i="16"/>
  <c r="F80" i="16"/>
  <c r="H80" i="16"/>
  <c r="I80" i="16"/>
  <c r="J80" i="16"/>
  <c r="C81" i="16"/>
  <c r="D81" i="16"/>
  <c r="E81" i="16"/>
  <c r="F81" i="16"/>
  <c r="G81" i="16"/>
  <c r="H81" i="16"/>
  <c r="I81" i="16"/>
  <c r="J81" i="16"/>
  <c r="C82" i="16"/>
  <c r="D82" i="16"/>
  <c r="F82" i="16"/>
  <c r="G82" i="16"/>
  <c r="H82" i="16"/>
  <c r="J82" i="16"/>
  <c r="C83" i="16"/>
  <c r="E83" i="16"/>
  <c r="F83" i="16"/>
  <c r="G83" i="16"/>
  <c r="I83" i="16"/>
  <c r="J83" i="16"/>
  <c r="D84" i="16"/>
  <c r="E84" i="16"/>
  <c r="F84" i="16"/>
  <c r="H84" i="16"/>
  <c r="I84" i="16"/>
  <c r="J84" i="16"/>
  <c r="C85" i="16"/>
  <c r="D85" i="16"/>
  <c r="E85" i="16"/>
  <c r="F85" i="16"/>
  <c r="G85" i="16"/>
  <c r="H85" i="16"/>
  <c r="I85" i="16"/>
  <c r="J85" i="16"/>
  <c r="C86" i="16"/>
  <c r="D86" i="16"/>
  <c r="F86" i="16"/>
  <c r="G86" i="16"/>
  <c r="H86" i="16"/>
  <c r="J86" i="16"/>
  <c r="C87" i="16"/>
  <c r="E87" i="16"/>
  <c r="F87" i="16"/>
  <c r="G87" i="16"/>
  <c r="I87" i="16"/>
  <c r="J87" i="16"/>
  <c r="D88" i="16"/>
  <c r="F88" i="16"/>
  <c r="H88" i="16"/>
  <c r="C89" i="16"/>
  <c r="D89" i="16"/>
  <c r="E89" i="16"/>
  <c r="F89" i="16"/>
  <c r="G89" i="16"/>
  <c r="H89" i="16"/>
  <c r="I89" i="16"/>
  <c r="J89" i="16"/>
  <c r="C90" i="16"/>
  <c r="F90" i="16"/>
  <c r="G90" i="16"/>
  <c r="C91" i="16"/>
  <c r="D91" i="16"/>
  <c r="E91" i="16"/>
  <c r="F91" i="16"/>
  <c r="G91" i="16"/>
  <c r="H91" i="16"/>
  <c r="I91" i="16"/>
  <c r="J91" i="16"/>
  <c r="C92" i="16"/>
  <c r="E92" i="16"/>
  <c r="F92" i="16"/>
  <c r="I92" i="16"/>
  <c r="J92" i="16"/>
  <c r="C93" i="16"/>
  <c r="D93" i="16"/>
  <c r="E93" i="16"/>
  <c r="F93" i="16"/>
  <c r="G93" i="16"/>
  <c r="H93" i="16"/>
  <c r="I93" i="16"/>
  <c r="J93" i="16"/>
  <c r="C94" i="16"/>
  <c r="D94" i="16"/>
  <c r="E94" i="16"/>
  <c r="F94" i="16"/>
  <c r="G94" i="16"/>
  <c r="H94" i="16"/>
  <c r="I94" i="16"/>
  <c r="J94" i="16"/>
  <c r="C95" i="16"/>
  <c r="D95" i="16"/>
  <c r="E95" i="16"/>
  <c r="F95" i="16"/>
  <c r="G95" i="16"/>
  <c r="H95" i="16"/>
  <c r="I95" i="16"/>
  <c r="J95" i="16"/>
  <c r="C96" i="16"/>
  <c r="E96" i="16"/>
  <c r="F96" i="16"/>
  <c r="I96" i="16"/>
  <c r="J96" i="16"/>
  <c r="C97" i="16"/>
  <c r="D97" i="16"/>
  <c r="E97" i="16"/>
  <c r="F97" i="16"/>
  <c r="H97" i="16"/>
  <c r="I97" i="16"/>
  <c r="J97" i="16"/>
  <c r="C98" i="16"/>
  <c r="D98" i="16"/>
  <c r="E98" i="16"/>
  <c r="F98" i="16"/>
  <c r="G98" i="16"/>
  <c r="H98" i="16"/>
  <c r="I98" i="16"/>
  <c r="J98" i="16"/>
  <c r="C99" i="16"/>
  <c r="D99" i="16"/>
  <c r="E99" i="16"/>
  <c r="F99" i="16"/>
  <c r="G99" i="16"/>
  <c r="H99" i="16"/>
  <c r="I99" i="16"/>
  <c r="J99" i="16"/>
  <c r="C100" i="16"/>
  <c r="E100" i="16"/>
  <c r="F100" i="16"/>
  <c r="I100" i="16"/>
  <c r="J100" i="16"/>
  <c r="C101" i="16"/>
  <c r="D101" i="16"/>
  <c r="E101" i="16"/>
  <c r="F101" i="16"/>
  <c r="H101" i="16"/>
  <c r="I101" i="16"/>
  <c r="J101" i="16"/>
  <c r="C102" i="16"/>
  <c r="D102" i="16"/>
  <c r="E102" i="16"/>
  <c r="F102" i="16"/>
  <c r="G102" i="16"/>
  <c r="H102" i="16"/>
  <c r="I102" i="16"/>
  <c r="J102" i="16"/>
  <c r="C103" i="16"/>
  <c r="D103" i="16"/>
  <c r="E103" i="16"/>
  <c r="F103" i="16"/>
  <c r="G103" i="16"/>
  <c r="H103" i="16"/>
  <c r="I103" i="16"/>
  <c r="J103" i="16"/>
  <c r="C104" i="16"/>
  <c r="E104" i="16"/>
  <c r="F104" i="16"/>
  <c r="I104" i="16"/>
  <c r="J104" i="16"/>
  <c r="C105" i="16"/>
  <c r="D105" i="16"/>
  <c r="E105" i="16"/>
  <c r="F105" i="16"/>
  <c r="H105" i="16"/>
  <c r="I105" i="16"/>
  <c r="J105" i="16"/>
  <c r="C106" i="16"/>
  <c r="D106" i="16"/>
  <c r="E106" i="16"/>
  <c r="F106" i="16"/>
  <c r="G106" i="16"/>
  <c r="H106" i="16"/>
  <c r="I106" i="16"/>
  <c r="J106" i="16"/>
  <c r="C107" i="16"/>
  <c r="D107" i="16"/>
  <c r="E107" i="16"/>
  <c r="F107" i="16"/>
  <c r="G107" i="16"/>
  <c r="H107" i="16"/>
  <c r="I107" i="16"/>
  <c r="J107" i="16"/>
  <c r="C108" i="16"/>
  <c r="E108" i="16"/>
  <c r="F108" i="16"/>
  <c r="I108" i="16"/>
  <c r="J108" i="16"/>
  <c r="C109" i="16"/>
  <c r="D109" i="16"/>
  <c r="E109" i="16"/>
  <c r="F109" i="16"/>
  <c r="H109" i="16"/>
  <c r="I109" i="16"/>
  <c r="J109" i="16"/>
  <c r="C110" i="16"/>
  <c r="D110" i="16"/>
  <c r="E110" i="16"/>
  <c r="F110" i="16"/>
  <c r="G110" i="16"/>
  <c r="H110" i="16"/>
  <c r="I110" i="16"/>
  <c r="J110" i="16"/>
  <c r="C111" i="16"/>
  <c r="D111" i="16"/>
  <c r="E111" i="16"/>
  <c r="F111" i="16"/>
  <c r="G111" i="16"/>
  <c r="H111" i="16"/>
  <c r="I111" i="16"/>
  <c r="J111" i="16"/>
  <c r="C112" i="16"/>
  <c r="E112" i="16"/>
  <c r="F112" i="16"/>
  <c r="I112" i="16"/>
  <c r="J112" i="16"/>
  <c r="C113" i="16"/>
  <c r="D113" i="16"/>
  <c r="E113" i="16"/>
  <c r="F113" i="16"/>
  <c r="H113" i="16"/>
  <c r="I113" i="16"/>
  <c r="J113" i="16"/>
  <c r="C114" i="16"/>
  <c r="D114" i="16"/>
  <c r="E114" i="16"/>
  <c r="F114" i="16"/>
  <c r="G114" i="16"/>
  <c r="H114" i="16"/>
  <c r="I114" i="16"/>
  <c r="J114" i="16"/>
  <c r="C115" i="16"/>
  <c r="D115" i="16"/>
  <c r="E115" i="16"/>
  <c r="F115" i="16"/>
  <c r="G115" i="16"/>
  <c r="H115" i="16"/>
  <c r="I115" i="16"/>
  <c r="J115" i="16"/>
  <c r="C116" i="16"/>
  <c r="E116" i="16"/>
  <c r="F116" i="16"/>
  <c r="I116" i="16"/>
  <c r="J116" i="16"/>
  <c r="C117" i="16"/>
  <c r="D117" i="16"/>
  <c r="E117" i="16"/>
  <c r="F117" i="16"/>
  <c r="H117" i="16"/>
  <c r="I117" i="16"/>
  <c r="J117" i="16"/>
  <c r="C118" i="16"/>
  <c r="D118" i="16"/>
  <c r="E118" i="16"/>
  <c r="F118" i="16"/>
  <c r="G118" i="16"/>
  <c r="H118" i="16"/>
  <c r="I118" i="16"/>
  <c r="J118" i="16"/>
  <c r="C119" i="16"/>
  <c r="D119" i="16"/>
  <c r="E119" i="16"/>
  <c r="F119" i="16"/>
  <c r="G119" i="16"/>
  <c r="H119" i="16"/>
  <c r="I119" i="16"/>
  <c r="J119" i="16"/>
  <c r="C120" i="16"/>
  <c r="E120" i="16"/>
  <c r="F120" i="16"/>
  <c r="I120" i="16"/>
  <c r="J120" i="16"/>
  <c r="C121" i="16"/>
  <c r="D121" i="16"/>
  <c r="E121" i="16"/>
  <c r="F121" i="16"/>
  <c r="H121" i="16"/>
  <c r="I121" i="16"/>
  <c r="J121" i="16"/>
  <c r="C122" i="16"/>
  <c r="D122" i="16"/>
  <c r="E122" i="16"/>
  <c r="F122" i="16"/>
  <c r="G122" i="16"/>
  <c r="H122" i="16"/>
  <c r="I122" i="16"/>
  <c r="J122" i="16"/>
  <c r="C123" i="16"/>
  <c r="D123" i="16"/>
  <c r="E123" i="16"/>
  <c r="F123" i="16"/>
  <c r="G123" i="16"/>
  <c r="H123" i="16"/>
  <c r="I123" i="16"/>
  <c r="J123" i="16"/>
  <c r="E124" i="16"/>
  <c r="F124" i="16"/>
  <c r="I124" i="16"/>
  <c r="J124" i="16"/>
  <c r="C125" i="16"/>
  <c r="D125" i="16"/>
  <c r="E125" i="16"/>
  <c r="F125" i="16"/>
  <c r="H125" i="16"/>
  <c r="I125" i="16"/>
  <c r="J125" i="16"/>
  <c r="C126" i="16"/>
  <c r="D126" i="16"/>
  <c r="E126" i="16"/>
  <c r="F126" i="16"/>
  <c r="G126" i="16"/>
  <c r="H126" i="16"/>
  <c r="I126" i="16"/>
  <c r="J126" i="16"/>
  <c r="C127" i="16"/>
  <c r="D127" i="16"/>
  <c r="E127" i="16"/>
  <c r="F127" i="16"/>
  <c r="G127" i="16"/>
  <c r="H127" i="16"/>
  <c r="I127" i="16"/>
  <c r="J127" i="16"/>
  <c r="E128" i="16"/>
  <c r="F128" i="16"/>
  <c r="I128" i="16"/>
  <c r="J128" i="16"/>
  <c r="C129" i="16"/>
  <c r="D129" i="16"/>
  <c r="E129" i="16"/>
  <c r="F129" i="16"/>
  <c r="H129" i="16"/>
  <c r="I129" i="16"/>
  <c r="J129" i="16"/>
  <c r="C130" i="16"/>
  <c r="D130" i="16"/>
  <c r="E130" i="16"/>
  <c r="F130" i="16"/>
  <c r="G130" i="16"/>
  <c r="H130" i="16"/>
  <c r="I130" i="16"/>
  <c r="J130" i="16"/>
  <c r="C131" i="16"/>
  <c r="D131" i="16"/>
  <c r="E131" i="16"/>
  <c r="F131" i="16"/>
  <c r="G131" i="16"/>
  <c r="H131" i="16"/>
  <c r="I131" i="16"/>
  <c r="J131" i="16"/>
  <c r="E132" i="16"/>
  <c r="F132" i="16"/>
  <c r="I132" i="16"/>
  <c r="J132" i="16"/>
  <c r="C133" i="16"/>
  <c r="D133" i="16"/>
  <c r="E133" i="16"/>
  <c r="F133" i="16"/>
  <c r="H133" i="16"/>
  <c r="I133" i="16"/>
  <c r="J133" i="16"/>
  <c r="C134" i="16"/>
  <c r="D134" i="16"/>
  <c r="E134" i="16"/>
  <c r="F134" i="16"/>
  <c r="G134" i="16"/>
  <c r="H134" i="16"/>
  <c r="I134" i="16"/>
  <c r="J134" i="16"/>
  <c r="C135" i="16"/>
  <c r="D135" i="16"/>
  <c r="E135" i="16"/>
  <c r="F135" i="16"/>
  <c r="G135" i="16"/>
  <c r="H135" i="16"/>
  <c r="I135" i="16"/>
  <c r="J135" i="16"/>
  <c r="E136" i="16"/>
  <c r="F136" i="16"/>
  <c r="I136" i="16"/>
  <c r="J136" i="16"/>
  <c r="C137" i="16"/>
  <c r="D137" i="16"/>
  <c r="E137" i="16"/>
  <c r="F137" i="16"/>
  <c r="H137" i="16"/>
  <c r="I137" i="16"/>
  <c r="J137" i="16"/>
  <c r="C138" i="16"/>
  <c r="D138" i="16"/>
  <c r="E138" i="16"/>
  <c r="F138" i="16"/>
  <c r="G138" i="16"/>
  <c r="H138" i="16"/>
  <c r="I138" i="16"/>
  <c r="J138" i="16"/>
  <c r="C139" i="16"/>
  <c r="D139" i="16"/>
  <c r="E139" i="16"/>
  <c r="F139" i="16"/>
  <c r="G139" i="16"/>
  <c r="H139" i="16"/>
  <c r="I139" i="16"/>
  <c r="J139" i="16"/>
  <c r="E140" i="16"/>
  <c r="F140" i="16"/>
  <c r="I140" i="16"/>
  <c r="J140" i="16"/>
  <c r="C141" i="16"/>
  <c r="D141" i="16"/>
  <c r="E141" i="16"/>
  <c r="F141" i="16"/>
  <c r="H141" i="16"/>
  <c r="I141" i="16"/>
  <c r="J141" i="16"/>
  <c r="C142" i="16"/>
  <c r="D142" i="16"/>
  <c r="E142" i="16"/>
  <c r="F142" i="16"/>
  <c r="G142" i="16"/>
  <c r="H142" i="16"/>
  <c r="I142" i="16"/>
  <c r="J142" i="16"/>
  <c r="C143" i="16"/>
  <c r="D143" i="16"/>
  <c r="E143" i="16"/>
  <c r="F143" i="16"/>
  <c r="G143" i="16"/>
  <c r="H143" i="16"/>
  <c r="I143" i="16"/>
  <c r="J143" i="16"/>
  <c r="C144" i="16"/>
  <c r="E144" i="16"/>
  <c r="F144" i="16"/>
  <c r="G144" i="16"/>
  <c r="I144" i="16"/>
  <c r="J144" i="16"/>
  <c r="D145" i="16"/>
  <c r="E145" i="16"/>
  <c r="F145" i="16"/>
  <c r="H145" i="16"/>
  <c r="I145" i="16"/>
  <c r="J145" i="16"/>
  <c r="C146" i="16"/>
  <c r="D146" i="16"/>
  <c r="E146" i="16"/>
  <c r="F146" i="16"/>
  <c r="G146" i="16"/>
  <c r="H146" i="16"/>
  <c r="I146" i="16"/>
  <c r="J146" i="16"/>
  <c r="C147" i="16"/>
  <c r="D147" i="16"/>
  <c r="E147" i="16"/>
  <c r="F147" i="16"/>
  <c r="G147" i="16"/>
  <c r="H147" i="16"/>
  <c r="I147" i="16"/>
  <c r="J147" i="16"/>
  <c r="C148" i="16"/>
  <c r="E148" i="16"/>
  <c r="F148" i="16"/>
  <c r="G148" i="16"/>
  <c r="I148" i="16"/>
  <c r="J148" i="16"/>
  <c r="D149" i="16"/>
  <c r="E149" i="16"/>
  <c r="F149" i="16"/>
  <c r="H149" i="16"/>
  <c r="I149" i="16"/>
  <c r="J149" i="16"/>
  <c r="C150" i="16"/>
  <c r="D150" i="16"/>
  <c r="E150" i="16"/>
  <c r="F150" i="16"/>
  <c r="G150" i="16"/>
  <c r="H150" i="16"/>
  <c r="I150" i="16"/>
  <c r="J150" i="16"/>
  <c r="C151" i="16"/>
  <c r="D151" i="16"/>
  <c r="E151" i="16"/>
  <c r="F151" i="16"/>
  <c r="G151" i="16"/>
  <c r="H151" i="16"/>
  <c r="I151" i="16"/>
  <c r="J151" i="16"/>
  <c r="C152" i="16"/>
  <c r="E152" i="16"/>
  <c r="F152" i="16"/>
  <c r="G152" i="16"/>
  <c r="I152" i="16"/>
  <c r="J152" i="16"/>
  <c r="D153" i="16"/>
  <c r="E153" i="16"/>
  <c r="F153" i="16"/>
  <c r="H153" i="16"/>
  <c r="I153" i="16"/>
  <c r="J153" i="16"/>
  <c r="C154" i="16"/>
  <c r="D154" i="16"/>
  <c r="E154" i="16"/>
  <c r="F154" i="16"/>
  <c r="G154" i="16"/>
  <c r="H154" i="16"/>
  <c r="I154" i="16"/>
  <c r="J154" i="16"/>
  <c r="C155" i="16"/>
  <c r="D155" i="16"/>
  <c r="E155" i="16"/>
  <c r="F155" i="16"/>
  <c r="G155" i="16"/>
  <c r="H155" i="16"/>
  <c r="I155" i="16"/>
  <c r="J155" i="16"/>
  <c r="C156" i="16"/>
  <c r="E156" i="16"/>
  <c r="F156" i="16"/>
  <c r="G156" i="16"/>
  <c r="I156" i="16"/>
  <c r="J156" i="16"/>
  <c r="D157" i="16"/>
  <c r="E157" i="16"/>
  <c r="F157" i="16"/>
  <c r="H157" i="16"/>
  <c r="I157" i="16"/>
  <c r="J157" i="16"/>
  <c r="C158" i="16"/>
  <c r="D158" i="16"/>
  <c r="E158" i="16"/>
  <c r="F158" i="16"/>
  <c r="G158" i="16"/>
  <c r="H158" i="16"/>
  <c r="I158" i="16"/>
  <c r="J158" i="16"/>
  <c r="C159" i="16"/>
  <c r="D159" i="16"/>
  <c r="E159" i="16"/>
  <c r="F159" i="16"/>
  <c r="G159" i="16"/>
  <c r="H159" i="16"/>
  <c r="I159" i="16"/>
  <c r="J159" i="16"/>
  <c r="C160" i="16"/>
  <c r="E160" i="16"/>
  <c r="F160" i="16"/>
  <c r="G160" i="16"/>
  <c r="I160" i="16"/>
  <c r="J160" i="16"/>
  <c r="D161" i="16"/>
  <c r="E161" i="16"/>
  <c r="F161" i="16"/>
  <c r="H161" i="16"/>
  <c r="I161" i="16"/>
  <c r="J161" i="16"/>
  <c r="C162" i="16"/>
  <c r="D162" i="16"/>
  <c r="E162" i="16"/>
  <c r="F162" i="16"/>
  <c r="G162" i="16"/>
  <c r="H162" i="16"/>
  <c r="I162" i="16"/>
  <c r="J162" i="16"/>
  <c r="C163" i="16"/>
  <c r="D163" i="16"/>
  <c r="E163" i="16"/>
  <c r="F163" i="16"/>
  <c r="G163" i="16"/>
  <c r="H163" i="16"/>
  <c r="I163" i="16"/>
  <c r="J163" i="16"/>
  <c r="C164" i="16"/>
  <c r="E164" i="16"/>
  <c r="F164" i="16"/>
  <c r="G164" i="16"/>
  <c r="I164" i="16"/>
  <c r="J164" i="16"/>
  <c r="D165" i="16"/>
  <c r="E165" i="16"/>
  <c r="F165" i="16"/>
  <c r="H165" i="16"/>
  <c r="I165" i="16"/>
  <c r="J165" i="16"/>
  <c r="C166" i="16"/>
  <c r="D166" i="16"/>
  <c r="E166" i="16"/>
  <c r="F166" i="16"/>
  <c r="G166" i="16"/>
  <c r="H166" i="16"/>
  <c r="I166" i="16"/>
  <c r="J166" i="16"/>
  <c r="C167" i="16"/>
  <c r="D167" i="16"/>
  <c r="E167" i="16"/>
  <c r="F167" i="16"/>
  <c r="G167" i="16"/>
  <c r="H167" i="16"/>
  <c r="I167" i="16"/>
  <c r="J167" i="16"/>
  <c r="C168" i="16"/>
  <c r="E168" i="16"/>
  <c r="F168" i="16"/>
  <c r="G168" i="16"/>
  <c r="I168" i="16"/>
  <c r="J168" i="16"/>
  <c r="D169" i="16"/>
  <c r="E169" i="16"/>
  <c r="F169" i="16"/>
  <c r="H169" i="16"/>
  <c r="I169" i="16"/>
  <c r="J169" i="16"/>
  <c r="C170" i="16"/>
  <c r="D170" i="16"/>
  <c r="E170" i="16"/>
  <c r="F170" i="16"/>
  <c r="G170" i="16"/>
  <c r="H170" i="16"/>
  <c r="I170" i="16"/>
  <c r="J170" i="16"/>
  <c r="C171" i="16"/>
  <c r="D171" i="16"/>
  <c r="E171" i="16"/>
  <c r="F171" i="16"/>
  <c r="G171" i="16"/>
  <c r="H171" i="16"/>
  <c r="I171" i="16"/>
  <c r="J171" i="16"/>
  <c r="C172" i="16"/>
  <c r="E172" i="16"/>
  <c r="F172" i="16"/>
  <c r="G172" i="16"/>
  <c r="I172" i="16"/>
  <c r="J172" i="16"/>
  <c r="C173" i="16"/>
  <c r="D173" i="16"/>
  <c r="E173" i="16"/>
  <c r="F173" i="16"/>
  <c r="G173" i="16"/>
  <c r="H173" i="16"/>
  <c r="I173" i="16"/>
  <c r="J173" i="16"/>
  <c r="C174" i="16"/>
  <c r="D174" i="16"/>
  <c r="E174" i="16"/>
  <c r="F174" i="16"/>
  <c r="G174" i="16"/>
  <c r="H174" i="16"/>
  <c r="I174" i="16"/>
  <c r="J174" i="16"/>
  <c r="C175" i="16"/>
  <c r="D175" i="16"/>
  <c r="E175" i="16"/>
  <c r="F175" i="16"/>
  <c r="G175" i="16"/>
  <c r="H175" i="16"/>
  <c r="I175" i="16"/>
  <c r="J175" i="16"/>
  <c r="C176" i="16"/>
  <c r="D176" i="16"/>
  <c r="E176" i="16"/>
  <c r="F176" i="16"/>
  <c r="G176" i="16"/>
  <c r="H176" i="16"/>
  <c r="I176" i="16"/>
  <c r="J176" i="16"/>
  <c r="C177" i="16"/>
  <c r="D177" i="16"/>
  <c r="E177" i="16"/>
  <c r="F177" i="16"/>
  <c r="G177" i="16"/>
  <c r="H177" i="16"/>
  <c r="I177" i="16"/>
  <c r="J177" i="16"/>
  <c r="C178" i="16"/>
  <c r="D178" i="16"/>
  <c r="E178" i="16"/>
  <c r="F178" i="16"/>
  <c r="G178" i="16"/>
  <c r="H178" i="16"/>
  <c r="I178" i="16"/>
  <c r="J178" i="16"/>
  <c r="C179" i="16"/>
  <c r="D179" i="16"/>
  <c r="E179" i="16"/>
  <c r="F179" i="16"/>
  <c r="G179" i="16"/>
  <c r="H179" i="16"/>
  <c r="I179" i="16"/>
  <c r="J179" i="16"/>
  <c r="C180" i="16"/>
  <c r="D180" i="16"/>
  <c r="E180" i="16"/>
  <c r="F180" i="16"/>
  <c r="G180" i="16"/>
  <c r="H180" i="16"/>
  <c r="I180" i="16"/>
  <c r="J180" i="16"/>
  <c r="C181" i="16"/>
  <c r="D181" i="16"/>
  <c r="E181" i="16"/>
  <c r="F181" i="16"/>
  <c r="G181" i="16"/>
  <c r="H181" i="16"/>
  <c r="I181" i="16"/>
  <c r="J181" i="16"/>
  <c r="C182" i="16"/>
  <c r="D182" i="16"/>
  <c r="E182" i="16"/>
  <c r="F182" i="16"/>
  <c r="G182" i="16"/>
  <c r="H182" i="16"/>
  <c r="I182" i="16"/>
  <c r="J182" i="16"/>
  <c r="C183" i="16"/>
  <c r="D183" i="16"/>
  <c r="E183" i="16"/>
  <c r="F183" i="16"/>
  <c r="G183" i="16"/>
  <c r="H183" i="16"/>
  <c r="I183" i="16"/>
  <c r="J183" i="16"/>
  <c r="C184" i="16"/>
  <c r="D184" i="16"/>
  <c r="E184" i="16"/>
  <c r="F184" i="16"/>
  <c r="G184" i="16"/>
  <c r="H184" i="16"/>
  <c r="I184" i="16"/>
  <c r="J184" i="16"/>
  <c r="C185" i="16"/>
  <c r="D185" i="16"/>
  <c r="E185" i="16"/>
  <c r="F185" i="16"/>
  <c r="G185" i="16"/>
  <c r="H185" i="16"/>
  <c r="I185" i="16"/>
  <c r="J185" i="16"/>
  <c r="C186" i="16"/>
  <c r="D186" i="16"/>
  <c r="E186" i="16"/>
  <c r="F186" i="16"/>
  <c r="G186" i="16"/>
  <c r="H186" i="16"/>
  <c r="I186" i="16"/>
  <c r="J186" i="16"/>
  <c r="C187" i="16"/>
  <c r="D187" i="16"/>
  <c r="E187" i="16"/>
  <c r="F187" i="16"/>
  <c r="G187" i="16"/>
  <c r="H187" i="16"/>
  <c r="I187" i="16"/>
  <c r="J187" i="16"/>
  <c r="C188" i="16"/>
  <c r="D188" i="16"/>
  <c r="E188" i="16"/>
  <c r="F188" i="16"/>
  <c r="G188" i="16"/>
  <c r="H188" i="16"/>
  <c r="I188" i="16"/>
  <c r="J188" i="16"/>
  <c r="C189" i="16"/>
  <c r="D189" i="16"/>
  <c r="E189" i="16"/>
  <c r="F189" i="16"/>
  <c r="G189" i="16"/>
  <c r="H189" i="16"/>
  <c r="I189" i="16"/>
  <c r="J189" i="16"/>
  <c r="C190" i="16"/>
  <c r="D190" i="16"/>
  <c r="E190" i="16"/>
  <c r="F190" i="16"/>
  <c r="G190" i="16"/>
  <c r="H190" i="16"/>
  <c r="I190" i="16"/>
  <c r="J190" i="16"/>
  <c r="C191" i="16"/>
  <c r="D191" i="16"/>
  <c r="E191" i="16"/>
  <c r="F191" i="16"/>
  <c r="G191" i="16"/>
  <c r="H191" i="16"/>
  <c r="I191" i="16"/>
  <c r="J191" i="16"/>
  <c r="C192" i="16"/>
  <c r="D192" i="16"/>
  <c r="E192" i="16"/>
  <c r="F192" i="16"/>
  <c r="G192" i="16"/>
  <c r="H192" i="16"/>
  <c r="I192" i="16"/>
  <c r="J192" i="16"/>
  <c r="C193" i="16"/>
  <c r="D193" i="16"/>
  <c r="E193" i="16"/>
  <c r="F193" i="16"/>
  <c r="G193" i="16"/>
  <c r="H193" i="16"/>
  <c r="I193" i="16"/>
  <c r="J193" i="16"/>
  <c r="C194" i="16"/>
  <c r="D194" i="16"/>
  <c r="E194" i="16"/>
  <c r="F194" i="16"/>
  <c r="G194" i="16"/>
  <c r="H194" i="16"/>
  <c r="I194" i="16"/>
  <c r="J194" i="16"/>
  <c r="C195" i="16"/>
  <c r="D195" i="16"/>
  <c r="E195" i="16"/>
  <c r="F195" i="16"/>
  <c r="G195" i="16"/>
  <c r="H195" i="16"/>
  <c r="I195" i="16"/>
  <c r="J195" i="16"/>
  <c r="C196" i="16"/>
  <c r="D196" i="16"/>
  <c r="E196" i="16"/>
  <c r="F196" i="16"/>
  <c r="G196" i="16"/>
  <c r="H196" i="16"/>
  <c r="I196" i="16"/>
  <c r="J196" i="16"/>
  <c r="C197" i="16"/>
  <c r="D197" i="16"/>
  <c r="E197" i="16"/>
  <c r="F197" i="16"/>
  <c r="G197" i="16"/>
  <c r="H197" i="16"/>
  <c r="I197" i="16"/>
  <c r="J197" i="16"/>
  <c r="C198" i="16"/>
  <c r="D198" i="16"/>
  <c r="E198" i="16"/>
  <c r="F198" i="16"/>
  <c r="G198" i="16"/>
  <c r="H198" i="16"/>
  <c r="I198" i="16"/>
  <c r="J198" i="16"/>
  <c r="C199" i="16"/>
  <c r="D199" i="16"/>
  <c r="E199" i="16"/>
  <c r="F199" i="16"/>
  <c r="G199" i="16"/>
  <c r="H199" i="16"/>
  <c r="I199" i="16"/>
  <c r="J199" i="16"/>
  <c r="C200" i="16"/>
  <c r="D200" i="16"/>
  <c r="E200" i="16"/>
  <c r="F200" i="16"/>
  <c r="G200" i="16"/>
  <c r="H200" i="16"/>
  <c r="I200" i="16"/>
  <c r="J200" i="16"/>
  <c r="C201" i="16"/>
  <c r="D201" i="16"/>
  <c r="E201" i="16"/>
  <c r="F201" i="16"/>
  <c r="G201" i="16"/>
  <c r="H201" i="16"/>
  <c r="I201" i="16"/>
  <c r="J201" i="16"/>
  <c r="C202" i="16"/>
  <c r="D202" i="16"/>
  <c r="E202" i="16"/>
  <c r="F202" i="16"/>
  <c r="G202" i="16"/>
  <c r="H202" i="16"/>
  <c r="I202" i="16"/>
  <c r="J202" i="16"/>
  <c r="C203" i="16"/>
  <c r="D203" i="16"/>
  <c r="E203" i="16"/>
  <c r="F203" i="16"/>
  <c r="G203" i="16"/>
  <c r="H203" i="16"/>
  <c r="I203" i="16"/>
  <c r="J203" i="16"/>
  <c r="C204" i="16"/>
  <c r="D204" i="16"/>
  <c r="E204" i="16"/>
  <c r="F204" i="16"/>
  <c r="G204" i="16"/>
  <c r="H204" i="16"/>
  <c r="I204" i="16"/>
  <c r="J204" i="16"/>
  <c r="C205" i="16"/>
  <c r="D205" i="16"/>
  <c r="E205" i="16"/>
  <c r="F205" i="16"/>
  <c r="G205" i="16"/>
  <c r="H205" i="16"/>
  <c r="I205" i="16"/>
  <c r="J205" i="16"/>
  <c r="C206" i="16"/>
  <c r="D206" i="16"/>
  <c r="E206" i="16"/>
  <c r="F206" i="16"/>
  <c r="G206" i="16"/>
  <c r="H206" i="16"/>
  <c r="I206" i="16"/>
  <c r="J206" i="16"/>
  <c r="C207" i="16"/>
  <c r="D207" i="16"/>
  <c r="E207" i="16"/>
  <c r="F207" i="16"/>
  <c r="G207" i="16"/>
  <c r="H207" i="16"/>
  <c r="I207" i="16"/>
  <c r="J207" i="16"/>
  <c r="C208" i="16"/>
  <c r="D208" i="16"/>
  <c r="E208" i="16"/>
  <c r="F208" i="16"/>
  <c r="G208" i="16"/>
  <c r="H208" i="16"/>
  <c r="I208" i="16"/>
  <c r="J208" i="16"/>
  <c r="C209" i="16"/>
  <c r="D209" i="16"/>
  <c r="E209" i="16"/>
  <c r="F209" i="16"/>
  <c r="G209" i="16"/>
  <c r="H209" i="16"/>
  <c r="I209" i="16"/>
  <c r="J209" i="16"/>
  <c r="C210" i="16"/>
  <c r="D210" i="16"/>
  <c r="E210" i="16"/>
  <c r="F210" i="16"/>
  <c r="G210" i="16"/>
  <c r="H210" i="16"/>
  <c r="I210" i="16"/>
  <c r="J210" i="16"/>
  <c r="C211" i="16"/>
  <c r="D211" i="16"/>
  <c r="E211" i="16"/>
  <c r="F211" i="16"/>
  <c r="G211" i="16"/>
  <c r="H211" i="16"/>
  <c r="I211" i="16"/>
  <c r="J211" i="16"/>
  <c r="C212" i="16"/>
  <c r="D212" i="16"/>
  <c r="E212" i="16"/>
  <c r="F212" i="16"/>
  <c r="G212" i="16"/>
  <c r="H212" i="16"/>
  <c r="I212" i="16"/>
  <c r="J212" i="16"/>
  <c r="C213" i="16"/>
  <c r="D213" i="16"/>
  <c r="E213" i="16"/>
  <c r="F213" i="16"/>
  <c r="G213" i="16"/>
  <c r="H213" i="16"/>
  <c r="I213" i="16"/>
  <c r="J213" i="16"/>
  <c r="C214" i="16"/>
  <c r="D214" i="16"/>
  <c r="E214" i="16"/>
  <c r="F214" i="16"/>
  <c r="G214" i="16"/>
  <c r="H214" i="16"/>
  <c r="I214" i="16"/>
  <c r="J214" i="16"/>
  <c r="C215" i="16"/>
  <c r="D215" i="16"/>
  <c r="E215" i="16"/>
  <c r="F215" i="16"/>
  <c r="G215" i="16"/>
  <c r="H215" i="16"/>
  <c r="I215" i="16"/>
  <c r="J215" i="16"/>
  <c r="C216" i="16"/>
  <c r="D216" i="16"/>
  <c r="E216" i="16"/>
  <c r="F216" i="16"/>
  <c r="G216" i="16"/>
  <c r="H216" i="16"/>
  <c r="I216" i="16"/>
  <c r="J216" i="16"/>
  <c r="C217" i="16"/>
  <c r="D217" i="16"/>
  <c r="E217" i="16"/>
  <c r="F217" i="16"/>
  <c r="G217" i="16"/>
  <c r="H217" i="16"/>
  <c r="I217" i="16"/>
  <c r="J217" i="16"/>
  <c r="C218" i="16"/>
  <c r="D218" i="16"/>
  <c r="E218" i="16"/>
  <c r="F218" i="16"/>
  <c r="G218" i="16"/>
  <c r="H218" i="16"/>
  <c r="I218" i="16"/>
  <c r="J218" i="16"/>
  <c r="C219" i="16"/>
  <c r="D219" i="16"/>
  <c r="E219" i="16"/>
  <c r="F219" i="16"/>
  <c r="G219" i="16"/>
  <c r="H219" i="16"/>
  <c r="I219" i="16"/>
  <c r="J219" i="16"/>
  <c r="C220" i="16"/>
  <c r="D220" i="16"/>
  <c r="E220" i="16"/>
  <c r="F220" i="16"/>
  <c r="G220" i="16"/>
  <c r="H220" i="16"/>
  <c r="I220" i="16"/>
  <c r="J220" i="16"/>
  <c r="C221" i="16"/>
  <c r="D221" i="16"/>
  <c r="E221" i="16"/>
  <c r="F221" i="16"/>
  <c r="G221" i="16"/>
  <c r="H221" i="16"/>
  <c r="I221" i="16"/>
  <c r="J221" i="16"/>
  <c r="C222" i="16"/>
  <c r="D222" i="16"/>
  <c r="E222" i="16"/>
  <c r="F222" i="16"/>
  <c r="G222" i="16"/>
  <c r="H222" i="16"/>
  <c r="I222" i="16"/>
  <c r="J222" i="16"/>
  <c r="C223" i="16"/>
  <c r="D223" i="16"/>
  <c r="E223" i="16"/>
  <c r="F223" i="16"/>
  <c r="G223" i="16"/>
  <c r="H223" i="16"/>
  <c r="I223" i="16"/>
  <c r="J223" i="16"/>
  <c r="C224" i="16"/>
  <c r="D224" i="16"/>
  <c r="E224" i="16"/>
  <c r="F224" i="16"/>
  <c r="G224" i="16"/>
  <c r="H224" i="16"/>
  <c r="I224" i="16"/>
  <c r="J224" i="16"/>
  <c r="C225" i="16"/>
  <c r="D225" i="16"/>
  <c r="E225" i="16"/>
  <c r="F225" i="16"/>
  <c r="G225" i="16"/>
  <c r="H225" i="16"/>
  <c r="I225" i="16"/>
  <c r="J225" i="16"/>
  <c r="C226" i="16"/>
  <c r="D226" i="16"/>
  <c r="E226" i="16"/>
  <c r="F226" i="16"/>
  <c r="G226" i="16"/>
  <c r="H226" i="16"/>
  <c r="I226" i="16"/>
  <c r="J226" i="16"/>
  <c r="C227" i="16"/>
  <c r="D227" i="16"/>
  <c r="E227" i="16"/>
  <c r="F227" i="16"/>
  <c r="G227" i="16"/>
  <c r="H227" i="16"/>
  <c r="I227" i="16"/>
  <c r="J227" i="16"/>
  <c r="C228" i="16"/>
  <c r="D228" i="16"/>
  <c r="E228" i="16"/>
  <c r="F228" i="16"/>
  <c r="G228" i="16"/>
  <c r="H228" i="16"/>
  <c r="I228" i="16"/>
  <c r="J228" i="16"/>
  <c r="C229" i="16"/>
  <c r="D229" i="16"/>
  <c r="E229" i="16"/>
  <c r="F229" i="16"/>
  <c r="G229" i="16"/>
  <c r="H229" i="16"/>
  <c r="I229" i="16"/>
  <c r="J229" i="16"/>
  <c r="C230" i="16"/>
  <c r="D230" i="16"/>
  <c r="E230" i="16"/>
  <c r="F230" i="16"/>
  <c r="G230" i="16"/>
  <c r="H230" i="16"/>
  <c r="I230" i="16"/>
  <c r="J230" i="16"/>
  <c r="C231" i="16"/>
  <c r="D231" i="16"/>
  <c r="E231" i="16"/>
  <c r="F231" i="16"/>
  <c r="G231" i="16"/>
  <c r="H231" i="16"/>
  <c r="I231" i="16"/>
  <c r="J231" i="16"/>
  <c r="C232" i="16"/>
  <c r="D232" i="16"/>
  <c r="E232" i="16"/>
  <c r="F232" i="16"/>
  <c r="G232" i="16"/>
  <c r="H232" i="16"/>
  <c r="I232" i="16"/>
  <c r="J232" i="16"/>
  <c r="C233" i="16"/>
  <c r="D233" i="16"/>
  <c r="E233" i="16"/>
  <c r="F233" i="16"/>
  <c r="G233" i="16"/>
  <c r="H233" i="16"/>
  <c r="I233" i="16"/>
  <c r="J233" i="16"/>
  <c r="C234" i="16"/>
  <c r="D234" i="16"/>
  <c r="E234" i="16"/>
  <c r="F234" i="16"/>
  <c r="G234" i="16"/>
  <c r="H234" i="16"/>
  <c r="I234" i="16"/>
  <c r="J234" i="16"/>
  <c r="C235" i="16"/>
  <c r="D235" i="16"/>
  <c r="E235" i="16"/>
  <c r="F235" i="16"/>
  <c r="G235" i="16"/>
  <c r="H235" i="16"/>
  <c r="I235" i="16"/>
  <c r="J235" i="16"/>
  <c r="C236" i="16"/>
  <c r="D236" i="16"/>
  <c r="E236" i="16"/>
  <c r="F236" i="16"/>
  <c r="G236" i="16"/>
  <c r="H236" i="16"/>
  <c r="I236" i="16"/>
  <c r="J236" i="16"/>
  <c r="C237" i="16"/>
  <c r="D237" i="16"/>
  <c r="E237" i="16"/>
  <c r="F237" i="16"/>
  <c r="G237" i="16"/>
  <c r="H237" i="16"/>
  <c r="I237" i="16"/>
  <c r="J237" i="16"/>
  <c r="C238" i="16"/>
  <c r="D238" i="16"/>
  <c r="E238" i="16"/>
  <c r="F238" i="16"/>
  <c r="G238" i="16"/>
  <c r="H238" i="16"/>
  <c r="I238" i="16"/>
  <c r="J238" i="16"/>
  <c r="C239" i="16"/>
  <c r="D239" i="16"/>
  <c r="E239" i="16"/>
  <c r="F239" i="16"/>
  <c r="G239" i="16"/>
  <c r="H239" i="16"/>
  <c r="I239" i="16"/>
  <c r="J239" i="16"/>
  <c r="C240" i="16"/>
  <c r="D240" i="16"/>
  <c r="E240" i="16"/>
  <c r="F240" i="16"/>
  <c r="G240" i="16"/>
  <c r="H240" i="16"/>
  <c r="I240" i="16"/>
  <c r="J240" i="16"/>
  <c r="C241" i="16"/>
  <c r="D241" i="16"/>
  <c r="E241" i="16"/>
  <c r="F241" i="16"/>
  <c r="G241" i="16"/>
  <c r="H241" i="16"/>
  <c r="I241" i="16"/>
  <c r="J241" i="16"/>
  <c r="C242" i="16"/>
  <c r="D242" i="16"/>
  <c r="E242" i="16"/>
  <c r="F242" i="16"/>
  <c r="G242" i="16"/>
  <c r="H242" i="16"/>
  <c r="I242" i="16"/>
  <c r="J242" i="16"/>
  <c r="C243" i="16"/>
  <c r="D243" i="16"/>
  <c r="E243" i="16"/>
  <c r="F243" i="16"/>
  <c r="G243" i="16"/>
  <c r="H243" i="16"/>
  <c r="I243" i="16"/>
  <c r="J243" i="16"/>
  <c r="C244" i="16"/>
  <c r="D244" i="16"/>
  <c r="E244" i="16"/>
  <c r="F244" i="16"/>
  <c r="G244" i="16"/>
  <c r="H244" i="16"/>
  <c r="I244" i="16"/>
  <c r="J244" i="16"/>
  <c r="C245" i="16"/>
  <c r="D245" i="16"/>
  <c r="E245" i="16"/>
  <c r="F245" i="16"/>
  <c r="G245" i="16"/>
  <c r="H245" i="16"/>
  <c r="I245" i="16"/>
  <c r="J245" i="16"/>
  <c r="C246" i="16"/>
  <c r="D246" i="16"/>
  <c r="E246" i="16"/>
  <c r="F246" i="16"/>
  <c r="G246" i="16"/>
  <c r="H246" i="16"/>
  <c r="I246" i="16"/>
  <c r="J246" i="16"/>
  <c r="C247" i="16"/>
  <c r="D247" i="16"/>
  <c r="E247" i="16"/>
  <c r="F247" i="16"/>
  <c r="G247" i="16"/>
  <c r="H247" i="16"/>
  <c r="I247" i="16"/>
  <c r="J247" i="16"/>
  <c r="C248" i="16"/>
  <c r="D248" i="16"/>
  <c r="E248" i="16"/>
  <c r="F248" i="16"/>
  <c r="G248" i="16"/>
  <c r="H248" i="16"/>
  <c r="I248" i="16"/>
  <c r="J248" i="16"/>
  <c r="C249" i="16"/>
  <c r="D249" i="16"/>
  <c r="E249" i="16"/>
  <c r="F249" i="16"/>
  <c r="G249" i="16"/>
  <c r="H249" i="16"/>
  <c r="I249" i="16"/>
  <c r="J249" i="16"/>
  <c r="C250" i="16"/>
  <c r="D250" i="16"/>
  <c r="E250" i="16"/>
  <c r="F250" i="16"/>
  <c r="G250" i="16"/>
  <c r="H250" i="16"/>
  <c r="I250" i="16"/>
  <c r="J250" i="16"/>
  <c r="C251" i="16"/>
  <c r="D251" i="16"/>
  <c r="E251" i="16"/>
  <c r="F251" i="16"/>
  <c r="G251" i="16"/>
  <c r="H251" i="16"/>
  <c r="I251" i="16"/>
  <c r="J251" i="16"/>
  <c r="C252" i="16"/>
  <c r="D252" i="16"/>
  <c r="E252" i="16"/>
  <c r="F252" i="16"/>
  <c r="G252" i="16"/>
  <c r="H252" i="16"/>
  <c r="I252" i="16"/>
  <c r="J252" i="16"/>
  <c r="C253" i="16"/>
  <c r="D253" i="16"/>
  <c r="E253" i="16"/>
  <c r="F253" i="16"/>
  <c r="G253" i="16"/>
  <c r="H253" i="16"/>
  <c r="I253" i="16"/>
  <c r="J253" i="16"/>
  <c r="C254" i="16"/>
  <c r="D254" i="16"/>
  <c r="E254" i="16"/>
  <c r="F254" i="16"/>
  <c r="G254" i="16"/>
  <c r="H254" i="16"/>
  <c r="I254" i="16"/>
  <c r="J254" i="16"/>
  <c r="C255" i="16"/>
  <c r="D255" i="16"/>
  <c r="E255" i="16"/>
  <c r="F255" i="16"/>
  <c r="G255" i="16"/>
  <c r="H255" i="16"/>
  <c r="I255" i="16"/>
  <c r="J255" i="16"/>
  <c r="C256" i="16"/>
  <c r="D256" i="16"/>
  <c r="E256" i="16"/>
  <c r="F256" i="16"/>
  <c r="G256" i="16"/>
  <c r="H256" i="16"/>
  <c r="I256" i="16"/>
  <c r="J256" i="16"/>
  <c r="C257" i="16"/>
  <c r="D257" i="16"/>
  <c r="E257" i="16"/>
  <c r="F257" i="16"/>
  <c r="G257" i="16"/>
  <c r="H257" i="16"/>
  <c r="I257" i="16"/>
  <c r="J257" i="16"/>
  <c r="C258" i="16"/>
  <c r="D258" i="16"/>
  <c r="E258" i="16"/>
  <c r="F258" i="16"/>
  <c r="G258" i="16"/>
  <c r="H258" i="16"/>
  <c r="I258" i="16"/>
  <c r="J258" i="16"/>
  <c r="C259" i="16"/>
  <c r="D259" i="16"/>
  <c r="E259" i="16"/>
  <c r="F259" i="16"/>
  <c r="G259" i="16"/>
  <c r="H259" i="16"/>
  <c r="I259" i="16"/>
  <c r="J259" i="16"/>
  <c r="C260" i="16"/>
  <c r="D260" i="16"/>
  <c r="E260" i="16"/>
  <c r="F260" i="16"/>
  <c r="G260" i="16"/>
  <c r="H260" i="16"/>
  <c r="I260" i="16"/>
  <c r="J260" i="16"/>
  <c r="C261" i="16"/>
  <c r="D261" i="16"/>
  <c r="E261" i="16"/>
  <c r="F261" i="16"/>
  <c r="G261" i="16"/>
  <c r="H261" i="16"/>
  <c r="I261" i="16"/>
  <c r="J261" i="16"/>
  <c r="C262" i="16"/>
  <c r="D262" i="16"/>
  <c r="E262" i="16"/>
  <c r="F262" i="16"/>
  <c r="G262" i="16"/>
  <c r="H262" i="16"/>
  <c r="I262" i="16"/>
  <c r="J262" i="16"/>
  <c r="C263" i="16"/>
  <c r="D263" i="16"/>
  <c r="E263" i="16"/>
  <c r="F263" i="16"/>
  <c r="G263" i="16"/>
  <c r="H263" i="16"/>
  <c r="I263" i="16"/>
  <c r="J263" i="16"/>
  <c r="C264" i="16"/>
  <c r="D264" i="16"/>
  <c r="E264" i="16"/>
  <c r="F264" i="16"/>
  <c r="G264" i="16"/>
  <c r="H264" i="16"/>
  <c r="I264" i="16"/>
  <c r="J264" i="16"/>
  <c r="C265" i="16"/>
  <c r="D265" i="16"/>
  <c r="E265" i="16"/>
  <c r="F265" i="16"/>
  <c r="G265" i="16"/>
  <c r="H265" i="16"/>
  <c r="I265" i="16"/>
  <c r="J265" i="16"/>
  <c r="C266" i="16"/>
  <c r="D266" i="16"/>
  <c r="E266" i="16"/>
  <c r="F266" i="16"/>
  <c r="G266" i="16"/>
  <c r="H266" i="16"/>
  <c r="I266" i="16"/>
  <c r="J266" i="16"/>
  <c r="C267" i="16"/>
  <c r="D267" i="16"/>
  <c r="E267" i="16"/>
  <c r="F267" i="16"/>
  <c r="G267" i="16"/>
  <c r="H267" i="16"/>
  <c r="I267" i="16"/>
  <c r="J267" i="16"/>
  <c r="C268" i="16"/>
  <c r="D268" i="16"/>
  <c r="E268" i="16"/>
  <c r="F268" i="16"/>
  <c r="G268" i="16"/>
  <c r="H268" i="16"/>
  <c r="I268" i="16"/>
  <c r="J268" i="16"/>
  <c r="C269" i="16"/>
  <c r="D269" i="16"/>
  <c r="E269" i="16"/>
  <c r="F269" i="16"/>
  <c r="G269" i="16"/>
  <c r="H269" i="16"/>
  <c r="I269" i="16"/>
  <c r="J269" i="16"/>
  <c r="C270" i="16"/>
  <c r="D270" i="16"/>
  <c r="E270" i="16"/>
  <c r="F270" i="16"/>
  <c r="G270" i="16"/>
  <c r="H270" i="16"/>
  <c r="I270" i="16"/>
  <c r="J270" i="16"/>
  <c r="C271" i="16"/>
  <c r="D271" i="16"/>
  <c r="E271" i="16"/>
  <c r="F271" i="16"/>
  <c r="G271" i="16"/>
  <c r="H271" i="16"/>
  <c r="I271" i="16"/>
  <c r="J271" i="16"/>
  <c r="C272" i="16"/>
  <c r="D272" i="16"/>
  <c r="E272" i="16"/>
  <c r="F272" i="16"/>
  <c r="G272" i="16"/>
  <c r="H272" i="16"/>
  <c r="I272" i="16"/>
  <c r="J272" i="16"/>
  <c r="C273" i="16"/>
  <c r="D273" i="16"/>
  <c r="E273" i="16"/>
  <c r="F273" i="16"/>
  <c r="G273" i="16"/>
  <c r="H273" i="16"/>
  <c r="I273" i="16"/>
  <c r="J273" i="16"/>
  <c r="C274" i="16"/>
  <c r="D274" i="16"/>
  <c r="E274" i="16"/>
  <c r="F274" i="16"/>
  <c r="G274" i="16"/>
  <c r="H274" i="16"/>
  <c r="I274" i="16"/>
  <c r="J274" i="16"/>
  <c r="C275" i="16"/>
  <c r="D275" i="16"/>
  <c r="E275" i="16"/>
  <c r="F275" i="16"/>
  <c r="G275" i="16"/>
  <c r="H275" i="16"/>
  <c r="I275" i="16"/>
  <c r="J275" i="16"/>
  <c r="C276" i="16"/>
  <c r="D276" i="16"/>
  <c r="E276" i="16"/>
  <c r="F276" i="16"/>
  <c r="G276" i="16"/>
  <c r="H276" i="16"/>
  <c r="I276" i="16"/>
  <c r="J276" i="16"/>
  <c r="C277" i="16"/>
  <c r="D277" i="16"/>
  <c r="E277" i="16"/>
  <c r="F277" i="16"/>
  <c r="G277" i="16"/>
  <c r="H277" i="16"/>
  <c r="I277" i="16"/>
  <c r="J277" i="16"/>
  <c r="C278" i="16"/>
  <c r="D278" i="16"/>
  <c r="E278" i="16"/>
  <c r="F278" i="16"/>
  <c r="G278" i="16"/>
  <c r="H278" i="16"/>
  <c r="I278" i="16"/>
  <c r="J278" i="16"/>
  <c r="C279" i="16"/>
  <c r="D279" i="16"/>
  <c r="E279" i="16"/>
  <c r="F279" i="16"/>
  <c r="G279" i="16"/>
  <c r="H279" i="16"/>
  <c r="I279" i="16"/>
  <c r="J279" i="16"/>
  <c r="C280" i="16"/>
  <c r="D280" i="16"/>
  <c r="E280" i="16"/>
  <c r="F280" i="16"/>
  <c r="G280" i="16"/>
  <c r="H280" i="16"/>
  <c r="I280" i="16"/>
  <c r="J280" i="16"/>
  <c r="C281" i="16"/>
  <c r="D281" i="16"/>
  <c r="E281" i="16"/>
  <c r="F281" i="16"/>
  <c r="G281" i="16"/>
  <c r="H281" i="16"/>
  <c r="I281" i="16"/>
  <c r="J281" i="16"/>
  <c r="C282" i="16"/>
  <c r="D282" i="16"/>
  <c r="E282" i="16"/>
  <c r="F282" i="16"/>
  <c r="G282" i="16"/>
  <c r="H282" i="16"/>
  <c r="I282" i="16"/>
  <c r="J282" i="16"/>
  <c r="C283" i="16"/>
  <c r="D283" i="16"/>
  <c r="E283" i="16"/>
  <c r="F283" i="16"/>
  <c r="G283" i="16"/>
  <c r="H283" i="16"/>
  <c r="I283" i="16"/>
  <c r="J283" i="16"/>
  <c r="C284" i="16"/>
  <c r="D284" i="16"/>
  <c r="E284" i="16"/>
  <c r="F284" i="16"/>
  <c r="G284" i="16"/>
  <c r="H284" i="16"/>
  <c r="I284" i="16"/>
  <c r="J284" i="16"/>
  <c r="C285" i="16"/>
  <c r="D285" i="16"/>
  <c r="E285" i="16"/>
  <c r="F285" i="16"/>
  <c r="G285" i="16"/>
  <c r="H285" i="16"/>
  <c r="I285" i="16"/>
  <c r="J285" i="16"/>
  <c r="C286" i="16"/>
  <c r="D286" i="16"/>
  <c r="E286" i="16"/>
  <c r="F286" i="16"/>
  <c r="G286" i="16"/>
  <c r="H286" i="16"/>
  <c r="I286" i="16"/>
  <c r="J286" i="16"/>
  <c r="C287" i="16"/>
  <c r="D287" i="16"/>
  <c r="E287" i="16"/>
  <c r="F287" i="16"/>
  <c r="G287" i="16"/>
  <c r="H287" i="16"/>
  <c r="I287" i="16"/>
  <c r="J287" i="16"/>
  <c r="C288" i="16"/>
  <c r="D288" i="16"/>
  <c r="E288" i="16"/>
  <c r="F288" i="16"/>
  <c r="G288" i="16"/>
  <c r="H288" i="16"/>
  <c r="I288" i="16"/>
  <c r="J288" i="16"/>
  <c r="C289" i="16"/>
  <c r="D289" i="16"/>
  <c r="E289" i="16"/>
  <c r="F289" i="16"/>
  <c r="G289" i="16"/>
  <c r="H289" i="16"/>
  <c r="I289" i="16"/>
  <c r="J289" i="16"/>
  <c r="C290" i="16"/>
  <c r="D290" i="16"/>
  <c r="E290" i="16"/>
  <c r="F290" i="16"/>
  <c r="G290" i="16"/>
  <c r="H290" i="16"/>
  <c r="I290" i="16"/>
  <c r="J290" i="16"/>
  <c r="C291" i="16"/>
  <c r="D291" i="16"/>
  <c r="E291" i="16"/>
  <c r="F291" i="16"/>
  <c r="G291" i="16"/>
  <c r="H291" i="16"/>
  <c r="I291" i="16"/>
  <c r="J291" i="16"/>
  <c r="C292" i="16"/>
  <c r="D292" i="16"/>
  <c r="E292" i="16"/>
  <c r="F292" i="16"/>
  <c r="G292" i="16"/>
  <c r="H292" i="16"/>
  <c r="I292" i="16"/>
  <c r="J292" i="16"/>
  <c r="C293" i="16"/>
  <c r="D293" i="16"/>
  <c r="E293" i="16"/>
  <c r="F293" i="16"/>
  <c r="G293" i="16"/>
  <c r="H293" i="16"/>
  <c r="I293" i="16"/>
  <c r="J293" i="16"/>
  <c r="C294" i="16"/>
  <c r="D294" i="16"/>
  <c r="E294" i="16"/>
  <c r="F294" i="16"/>
  <c r="G294" i="16"/>
  <c r="H294" i="16"/>
  <c r="I294" i="16"/>
  <c r="J294" i="16"/>
  <c r="C295" i="16"/>
  <c r="D295" i="16"/>
  <c r="E295" i="16"/>
  <c r="F295" i="16"/>
  <c r="G295" i="16"/>
  <c r="H295" i="16"/>
  <c r="I295" i="16"/>
  <c r="J295" i="16"/>
  <c r="C296" i="16"/>
  <c r="D296" i="16"/>
  <c r="E296" i="16"/>
  <c r="F296" i="16"/>
  <c r="G296" i="16"/>
  <c r="H296" i="16"/>
  <c r="I296" i="16"/>
  <c r="J296" i="16"/>
  <c r="C297" i="16"/>
  <c r="D297" i="16"/>
  <c r="E297" i="16"/>
  <c r="F297" i="16"/>
  <c r="G297" i="16"/>
  <c r="H297" i="16"/>
  <c r="I297" i="16"/>
  <c r="J297" i="16"/>
  <c r="C298" i="16"/>
  <c r="D298" i="16"/>
  <c r="E298" i="16"/>
  <c r="F298" i="16"/>
  <c r="G298" i="16"/>
  <c r="H298" i="16"/>
  <c r="I298" i="16"/>
  <c r="J298" i="16"/>
  <c r="C299" i="16"/>
  <c r="D299" i="16"/>
  <c r="E299" i="16"/>
  <c r="F299" i="16"/>
  <c r="G299" i="16"/>
  <c r="H299" i="16"/>
  <c r="I299" i="16"/>
  <c r="J299" i="16"/>
  <c r="C300" i="16"/>
  <c r="D300" i="16"/>
  <c r="E300" i="16"/>
  <c r="F300" i="16"/>
  <c r="G300" i="16"/>
  <c r="H300" i="16"/>
  <c r="I300" i="16"/>
  <c r="J300" i="16"/>
  <c r="C301" i="16"/>
  <c r="D301" i="16"/>
  <c r="E301" i="16"/>
  <c r="F301" i="16"/>
  <c r="G301" i="16"/>
  <c r="H301" i="16"/>
  <c r="I301" i="16"/>
  <c r="J301" i="16"/>
  <c r="C302" i="16"/>
  <c r="D302" i="16"/>
  <c r="E302" i="16"/>
  <c r="F302" i="16"/>
  <c r="G302" i="16"/>
  <c r="H302" i="16"/>
  <c r="I302" i="16"/>
  <c r="J302" i="16"/>
  <c r="C303" i="16"/>
  <c r="D303" i="16"/>
  <c r="E303" i="16"/>
  <c r="F303" i="16"/>
  <c r="G303" i="16"/>
  <c r="H303" i="16"/>
  <c r="I303" i="16"/>
  <c r="J303" i="16"/>
  <c r="C304" i="16"/>
  <c r="D304" i="16"/>
  <c r="E304" i="16"/>
  <c r="F304" i="16"/>
  <c r="G304" i="16"/>
  <c r="H304" i="16"/>
  <c r="I304" i="16"/>
  <c r="J304" i="16"/>
  <c r="C305" i="16"/>
  <c r="D305" i="16"/>
  <c r="E305" i="16"/>
  <c r="F305" i="16"/>
  <c r="G305" i="16"/>
  <c r="H305" i="16"/>
  <c r="I305" i="16"/>
  <c r="J305" i="16"/>
  <c r="C306" i="16"/>
  <c r="D306" i="16"/>
  <c r="E306" i="16"/>
  <c r="F306" i="16"/>
  <c r="G306" i="16"/>
  <c r="H306" i="16"/>
  <c r="I306" i="16"/>
  <c r="J306" i="16"/>
  <c r="C307" i="16"/>
  <c r="D307" i="16"/>
  <c r="E307" i="16"/>
  <c r="F307" i="16"/>
  <c r="G307" i="16"/>
  <c r="H307" i="16"/>
  <c r="I307" i="16"/>
  <c r="J307" i="16"/>
  <c r="C308" i="16"/>
  <c r="D308" i="16"/>
  <c r="E308" i="16"/>
  <c r="F308" i="16"/>
  <c r="G308" i="16"/>
  <c r="H308" i="16"/>
  <c r="I308" i="16"/>
  <c r="J308" i="16"/>
  <c r="C309" i="16"/>
  <c r="D309" i="16"/>
  <c r="E309" i="16"/>
  <c r="F309" i="16"/>
  <c r="G309" i="16"/>
  <c r="H309" i="16"/>
  <c r="I309" i="16"/>
  <c r="J309" i="16"/>
  <c r="C310" i="16"/>
  <c r="D310" i="16"/>
  <c r="E310" i="16"/>
  <c r="F310" i="16"/>
  <c r="G310" i="16"/>
  <c r="H310" i="16"/>
  <c r="I310" i="16"/>
  <c r="J310" i="16"/>
  <c r="C311" i="16"/>
  <c r="D311" i="16"/>
  <c r="E311" i="16"/>
  <c r="F311" i="16"/>
  <c r="G311" i="16"/>
  <c r="H311" i="16"/>
  <c r="I311" i="16"/>
  <c r="J311" i="16"/>
  <c r="C312" i="16"/>
  <c r="D312" i="16"/>
  <c r="E312" i="16"/>
  <c r="F312" i="16"/>
  <c r="G312" i="16"/>
  <c r="H312" i="16"/>
  <c r="I312" i="16"/>
  <c r="J312" i="16"/>
  <c r="C313" i="16"/>
  <c r="D313" i="16"/>
  <c r="E313" i="16"/>
  <c r="F313" i="16"/>
  <c r="G313" i="16"/>
  <c r="H313" i="16"/>
  <c r="I313" i="16"/>
  <c r="J313" i="16"/>
  <c r="C314" i="16"/>
  <c r="D314" i="16"/>
  <c r="E314" i="16"/>
  <c r="F314" i="16"/>
  <c r="G314" i="16"/>
  <c r="H314" i="16"/>
  <c r="I314" i="16"/>
  <c r="J314" i="16"/>
  <c r="C315" i="16"/>
  <c r="D315" i="16"/>
  <c r="E315" i="16"/>
  <c r="F315" i="16"/>
  <c r="G315" i="16"/>
  <c r="H315" i="16"/>
  <c r="I315" i="16"/>
  <c r="J315" i="16"/>
  <c r="C316" i="16"/>
  <c r="D316" i="16"/>
  <c r="E316" i="16"/>
  <c r="F316" i="16"/>
  <c r="G316" i="16"/>
  <c r="H316" i="16"/>
  <c r="I316" i="16"/>
  <c r="J316" i="16"/>
  <c r="C317" i="16"/>
  <c r="D317" i="16"/>
  <c r="E317" i="16"/>
  <c r="F317" i="16"/>
  <c r="G317" i="16"/>
  <c r="H317" i="16"/>
  <c r="I317" i="16"/>
  <c r="J317" i="16"/>
  <c r="C318" i="16"/>
  <c r="D318" i="16"/>
  <c r="E318" i="16"/>
  <c r="F318" i="16"/>
  <c r="G318" i="16"/>
  <c r="H318" i="16"/>
  <c r="I318" i="16"/>
  <c r="J318" i="16"/>
  <c r="C319" i="16"/>
  <c r="D319" i="16"/>
  <c r="E319" i="16"/>
  <c r="F319" i="16"/>
  <c r="G319" i="16"/>
  <c r="H319" i="16"/>
  <c r="I319" i="16"/>
  <c r="J319" i="16"/>
  <c r="C320" i="16"/>
  <c r="D320" i="16"/>
  <c r="E320" i="16"/>
  <c r="F320" i="16"/>
  <c r="G320" i="16"/>
  <c r="H320" i="16"/>
  <c r="I320" i="16"/>
  <c r="J320" i="16"/>
  <c r="C321" i="16"/>
  <c r="D321" i="16"/>
  <c r="E321" i="16"/>
  <c r="F321" i="16"/>
  <c r="G321" i="16"/>
  <c r="H321" i="16"/>
  <c r="I321" i="16"/>
  <c r="J321" i="16"/>
  <c r="C322" i="16"/>
  <c r="D322" i="16"/>
  <c r="E322" i="16"/>
  <c r="F322" i="16"/>
  <c r="G322" i="16"/>
  <c r="H322" i="16"/>
  <c r="I322" i="16"/>
  <c r="J322" i="16"/>
  <c r="C323" i="16"/>
  <c r="D323" i="16"/>
  <c r="E323" i="16"/>
  <c r="F323" i="16"/>
  <c r="G323" i="16"/>
  <c r="H323" i="16"/>
  <c r="I323" i="16"/>
  <c r="J323" i="16"/>
  <c r="C324" i="16"/>
  <c r="D324" i="16"/>
  <c r="E324" i="16"/>
  <c r="F324" i="16"/>
  <c r="G324" i="16"/>
  <c r="H324" i="16"/>
  <c r="I324" i="16"/>
  <c r="J324" i="16"/>
  <c r="C325" i="16"/>
  <c r="D325" i="16"/>
  <c r="E325" i="16"/>
  <c r="F325" i="16"/>
  <c r="G325" i="16"/>
  <c r="H325" i="16"/>
  <c r="I325" i="16"/>
  <c r="J325" i="16"/>
  <c r="C326" i="16"/>
  <c r="D326" i="16"/>
  <c r="E326" i="16"/>
  <c r="F326" i="16"/>
  <c r="G326" i="16"/>
  <c r="H326" i="16"/>
  <c r="I326" i="16"/>
  <c r="J326" i="16"/>
  <c r="C327" i="16"/>
  <c r="D327" i="16"/>
  <c r="E327" i="16"/>
  <c r="F327" i="16"/>
  <c r="G327" i="16"/>
  <c r="H327" i="16"/>
  <c r="I327" i="16"/>
  <c r="J327" i="16"/>
  <c r="C328" i="16"/>
  <c r="D328" i="16"/>
  <c r="E328" i="16"/>
  <c r="F328" i="16"/>
  <c r="G328" i="16"/>
  <c r="H328" i="16"/>
  <c r="I328" i="16"/>
  <c r="J328" i="16"/>
  <c r="C329" i="16"/>
  <c r="D329" i="16"/>
  <c r="E329" i="16"/>
  <c r="F329" i="16"/>
  <c r="G329" i="16"/>
  <c r="H329" i="16"/>
  <c r="I329" i="16"/>
  <c r="J329" i="16"/>
  <c r="C330" i="16"/>
  <c r="D330" i="16"/>
  <c r="E330" i="16"/>
  <c r="F330" i="16"/>
  <c r="G330" i="16"/>
  <c r="H330" i="16"/>
  <c r="I330" i="16"/>
  <c r="J330" i="16"/>
  <c r="C331" i="16"/>
  <c r="D331" i="16"/>
  <c r="E331" i="16"/>
  <c r="F331" i="16"/>
  <c r="G331" i="16"/>
  <c r="H331" i="16"/>
  <c r="I331" i="16"/>
  <c r="J331" i="16"/>
  <c r="C332" i="16"/>
  <c r="D332" i="16"/>
  <c r="E332" i="16"/>
  <c r="F332" i="16"/>
  <c r="G332" i="16"/>
  <c r="H332" i="16"/>
  <c r="I332" i="16"/>
  <c r="J332" i="16"/>
  <c r="C333" i="16"/>
  <c r="D333" i="16"/>
  <c r="E333" i="16"/>
  <c r="F333" i="16"/>
  <c r="G333" i="16"/>
  <c r="H333" i="16"/>
  <c r="I333" i="16"/>
  <c r="J333" i="16"/>
  <c r="C334" i="16"/>
  <c r="D334" i="16"/>
  <c r="E334" i="16"/>
  <c r="F334" i="16"/>
  <c r="G334" i="16"/>
  <c r="H334" i="16"/>
  <c r="I334" i="16"/>
  <c r="J334" i="16"/>
  <c r="C335" i="16"/>
  <c r="D335" i="16"/>
  <c r="E335" i="16"/>
  <c r="F335" i="16"/>
  <c r="G335" i="16"/>
  <c r="H335" i="16"/>
  <c r="I335" i="16"/>
  <c r="J335" i="16"/>
  <c r="C336" i="16"/>
  <c r="D336" i="16"/>
  <c r="E336" i="16"/>
  <c r="F336" i="16"/>
  <c r="G336" i="16"/>
  <c r="H336" i="16"/>
  <c r="I336" i="16"/>
  <c r="J336" i="16"/>
  <c r="C337" i="16"/>
  <c r="D337" i="16"/>
  <c r="E337" i="16"/>
  <c r="F337" i="16"/>
  <c r="G337" i="16"/>
  <c r="H337" i="16"/>
  <c r="I337" i="16"/>
  <c r="J337" i="16"/>
  <c r="C338" i="16"/>
  <c r="D338" i="16"/>
  <c r="E338" i="16"/>
  <c r="F338" i="16"/>
  <c r="G338" i="16"/>
  <c r="H338" i="16"/>
  <c r="I338" i="16"/>
  <c r="J338" i="16"/>
  <c r="C339" i="16"/>
  <c r="D339" i="16"/>
  <c r="E339" i="16"/>
  <c r="F339" i="16"/>
  <c r="G339" i="16"/>
  <c r="H339" i="16"/>
  <c r="I339" i="16"/>
  <c r="J339" i="16"/>
  <c r="C340" i="16"/>
  <c r="D340" i="16"/>
  <c r="E340" i="16"/>
  <c r="F340" i="16"/>
  <c r="G340" i="16"/>
  <c r="H340" i="16"/>
  <c r="I340" i="16"/>
  <c r="J340" i="16"/>
  <c r="C341" i="16"/>
  <c r="D341" i="16"/>
  <c r="E341" i="16"/>
  <c r="F341" i="16"/>
  <c r="G341" i="16"/>
  <c r="H341" i="16"/>
  <c r="I341" i="16"/>
  <c r="J341" i="16"/>
  <c r="C342" i="16"/>
  <c r="D342" i="16"/>
  <c r="E342" i="16"/>
  <c r="F342" i="16"/>
  <c r="G342" i="16"/>
  <c r="H342" i="16"/>
  <c r="I342" i="16"/>
  <c r="J342" i="16"/>
  <c r="C343" i="16"/>
  <c r="D343" i="16"/>
  <c r="E343" i="16"/>
  <c r="F343" i="16"/>
  <c r="G343" i="16"/>
  <c r="H343" i="16"/>
  <c r="I343" i="16"/>
  <c r="J343" i="16"/>
  <c r="C344" i="16"/>
  <c r="D344" i="16"/>
  <c r="E344" i="16"/>
  <c r="F344" i="16"/>
  <c r="G344" i="16"/>
  <c r="H344" i="16"/>
  <c r="I344" i="16"/>
  <c r="J344" i="16"/>
  <c r="C345" i="16"/>
  <c r="D345" i="16"/>
  <c r="E345" i="16"/>
  <c r="F345" i="16"/>
  <c r="G345" i="16"/>
  <c r="H345" i="16"/>
  <c r="I345" i="16"/>
  <c r="J345" i="16"/>
  <c r="C346" i="16"/>
  <c r="D346" i="16"/>
  <c r="E346" i="16"/>
  <c r="F346" i="16"/>
  <c r="G346" i="16"/>
  <c r="H346" i="16"/>
  <c r="I346" i="16"/>
  <c r="J346" i="16"/>
  <c r="C347" i="16"/>
  <c r="D347" i="16"/>
  <c r="E347" i="16"/>
  <c r="F347" i="16"/>
  <c r="G347" i="16"/>
  <c r="H347" i="16"/>
  <c r="I347" i="16"/>
  <c r="J347" i="16"/>
  <c r="C348" i="16"/>
  <c r="D348" i="16"/>
  <c r="E348" i="16"/>
  <c r="F348" i="16"/>
  <c r="G348" i="16"/>
  <c r="H348" i="16"/>
  <c r="I348" i="16"/>
  <c r="J348" i="16"/>
  <c r="C349" i="16"/>
  <c r="D349" i="16"/>
  <c r="E349" i="16"/>
  <c r="F349" i="16"/>
  <c r="G349" i="16"/>
  <c r="H349" i="16"/>
  <c r="I349" i="16"/>
  <c r="J349" i="16"/>
  <c r="C350" i="16"/>
  <c r="D350" i="16"/>
  <c r="E350" i="16"/>
  <c r="F350" i="16"/>
  <c r="G350" i="16"/>
  <c r="H350" i="16"/>
  <c r="I350" i="16"/>
  <c r="J350" i="16"/>
  <c r="C351" i="16"/>
  <c r="D351" i="16"/>
  <c r="E351" i="16"/>
  <c r="F351" i="16"/>
  <c r="G351" i="16"/>
  <c r="H351" i="16"/>
  <c r="I351" i="16"/>
  <c r="J351" i="16"/>
  <c r="C352" i="16"/>
  <c r="D352" i="16"/>
  <c r="E352" i="16"/>
  <c r="F352" i="16"/>
  <c r="G352" i="16"/>
  <c r="H352" i="16"/>
  <c r="I352" i="16"/>
  <c r="J352" i="16"/>
  <c r="C353" i="16"/>
  <c r="D353" i="16"/>
  <c r="E353" i="16"/>
  <c r="F353" i="16"/>
  <c r="G353" i="16"/>
  <c r="H353" i="16"/>
  <c r="I353" i="16"/>
  <c r="J353" i="16"/>
  <c r="C354" i="16"/>
  <c r="D354" i="16"/>
  <c r="E354" i="16"/>
  <c r="F354" i="16"/>
  <c r="G354" i="16"/>
  <c r="H354" i="16"/>
  <c r="I354" i="16"/>
  <c r="J354" i="16"/>
  <c r="C355" i="16"/>
  <c r="D355" i="16"/>
  <c r="E355" i="16"/>
  <c r="F355" i="16"/>
  <c r="G355" i="16"/>
  <c r="H355" i="16"/>
  <c r="I355" i="16"/>
  <c r="J355" i="16"/>
  <c r="C356" i="16"/>
  <c r="D356" i="16"/>
  <c r="E356" i="16"/>
  <c r="F356" i="16"/>
  <c r="G356" i="16"/>
  <c r="H356" i="16"/>
  <c r="I356" i="16"/>
  <c r="J356" i="16"/>
  <c r="C357" i="16"/>
  <c r="D357" i="16"/>
  <c r="E357" i="16"/>
  <c r="F357" i="16"/>
  <c r="G357" i="16"/>
  <c r="H357" i="16"/>
  <c r="I357" i="16"/>
  <c r="J357" i="16"/>
  <c r="C358" i="16"/>
  <c r="D358" i="16"/>
  <c r="E358" i="16"/>
  <c r="F358" i="16"/>
  <c r="G358" i="16"/>
  <c r="H358" i="16"/>
  <c r="I358" i="16"/>
  <c r="J358" i="16"/>
  <c r="C359" i="16"/>
  <c r="D359" i="16"/>
  <c r="E359" i="16"/>
  <c r="F359" i="16"/>
  <c r="G359" i="16"/>
  <c r="H359" i="16"/>
  <c r="I359" i="16"/>
  <c r="J359" i="16"/>
  <c r="C360" i="16"/>
  <c r="D360" i="16"/>
  <c r="E360" i="16"/>
  <c r="F360" i="16"/>
  <c r="G360" i="16"/>
  <c r="H360" i="16"/>
  <c r="I360" i="16"/>
  <c r="J360" i="16"/>
  <c r="C361" i="16"/>
  <c r="D361" i="16"/>
  <c r="E361" i="16"/>
  <c r="F361" i="16"/>
  <c r="G361" i="16"/>
  <c r="H361" i="16"/>
  <c r="I361" i="16"/>
  <c r="J361" i="16"/>
  <c r="C362" i="16"/>
  <c r="D362" i="16"/>
  <c r="E362" i="16"/>
  <c r="F362" i="16"/>
  <c r="G362" i="16"/>
  <c r="H362" i="16"/>
  <c r="I362" i="16"/>
  <c r="J362" i="16"/>
  <c r="C363" i="16"/>
  <c r="D363" i="16"/>
  <c r="E363" i="16"/>
  <c r="F363" i="16"/>
  <c r="G363" i="16"/>
  <c r="H363" i="16"/>
  <c r="I363" i="16"/>
  <c r="J363" i="16"/>
  <c r="C364" i="16"/>
  <c r="D364" i="16"/>
  <c r="E364" i="16"/>
  <c r="F364" i="16"/>
  <c r="G364" i="16"/>
  <c r="H364" i="16"/>
  <c r="I364" i="16"/>
  <c r="J364" i="16"/>
  <c r="C365" i="16"/>
  <c r="D365" i="16"/>
  <c r="E365" i="16"/>
  <c r="F365" i="16"/>
  <c r="G365" i="16"/>
  <c r="H365" i="16"/>
  <c r="I365" i="16"/>
  <c r="J365" i="16"/>
  <c r="C366" i="16"/>
  <c r="D366" i="16"/>
  <c r="E366" i="16"/>
  <c r="F366" i="16"/>
  <c r="G366" i="16"/>
  <c r="H366" i="16"/>
  <c r="I366" i="16"/>
  <c r="J366" i="16"/>
  <c r="C367" i="16"/>
  <c r="D367" i="16"/>
  <c r="E367" i="16"/>
  <c r="F367" i="16"/>
  <c r="G367" i="16"/>
  <c r="H367" i="16"/>
  <c r="I367" i="16"/>
  <c r="J367" i="16"/>
  <c r="C368" i="16"/>
  <c r="D368" i="16"/>
  <c r="E368" i="16"/>
  <c r="F368" i="16"/>
  <c r="G368" i="16"/>
  <c r="H368" i="16"/>
  <c r="I368" i="16"/>
  <c r="J368" i="16"/>
  <c r="C369" i="16"/>
  <c r="D369" i="16"/>
  <c r="E369" i="16"/>
  <c r="F369" i="16"/>
  <c r="G369" i="16"/>
  <c r="H369" i="16"/>
  <c r="I369" i="16"/>
  <c r="J369" i="16"/>
  <c r="C370" i="16"/>
  <c r="D370" i="16"/>
  <c r="E370" i="16"/>
  <c r="F370" i="16"/>
  <c r="G370" i="16"/>
  <c r="H370" i="16"/>
  <c r="I370" i="16"/>
  <c r="J370" i="16"/>
  <c r="C371" i="16"/>
  <c r="D371" i="16"/>
  <c r="E371" i="16"/>
  <c r="F371" i="16"/>
  <c r="G371" i="16"/>
  <c r="H371" i="16"/>
  <c r="I371" i="16"/>
  <c r="J371" i="16"/>
  <c r="C372" i="16"/>
  <c r="D372" i="16"/>
  <c r="E372" i="16"/>
  <c r="F372" i="16"/>
  <c r="G372" i="16"/>
  <c r="H372" i="16"/>
  <c r="I372" i="16"/>
  <c r="J372" i="16"/>
  <c r="C373" i="16"/>
  <c r="D373" i="16"/>
  <c r="E373" i="16"/>
  <c r="F373" i="16"/>
  <c r="G373" i="16"/>
  <c r="H373" i="16"/>
  <c r="I373" i="16"/>
  <c r="J373" i="16"/>
  <c r="C374" i="16"/>
  <c r="D374" i="16"/>
  <c r="E374" i="16"/>
  <c r="F374" i="16"/>
  <c r="G374" i="16"/>
  <c r="H374" i="16"/>
  <c r="I374" i="16"/>
  <c r="J374" i="16"/>
  <c r="C375" i="16"/>
  <c r="D375" i="16"/>
  <c r="E375" i="16"/>
  <c r="F375" i="16"/>
  <c r="G375" i="16"/>
  <c r="H375" i="16"/>
  <c r="I375" i="16"/>
  <c r="J375" i="16"/>
  <c r="C376" i="16"/>
  <c r="D376" i="16"/>
  <c r="E376" i="16"/>
  <c r="F376" i="16"/>
  <c r="G376" i="16"/>
  <c r="H376" i="16"/>
  <c r="I376" i="16"/>
  <c r="J376" i="16"/>
  <c r="C377" i="16"/>
  <c r="D377" i="16"/>
  <c r="E377" i="16"/>
  <c r="F377" i="16"/>
  <c r="G377" i="16"/>
  <c r="H377" i="16"/>
  <c r="I377" i="16"/>
  <c r="J377" i="16"/>
  <c r="C378" i="16"/>
  <c r="D378" i="16"/>
  <c r="E378" i="16"/>
  <c r="F378" i="16"/>
  <c r="G378" i="16"/>
  <c r="H378" i="16"/>
  <c r="I378" i="16"/>
  <c r="J378" i="16"/>
  <c r="C379" i="16"/>
  <c r="D379" i="16"/>
  <c r="E379" i="16"/>
  <c r="F379" i="16"/>
  <c r="G379" i="16"/>
  <c r="H379" i="16"/>
  <c r="I379" i="16"/>
  <c r="J379" i="16"/>
  <c r="C380" i="16"/>
  <c r="D380" i="16"/>
  <c r="E380" i="16"/>
  <c r="F380" i="16"/>
  <c r="G380" i="16"/>
  <c r="H380" i="16"/>
  <c r="I380" i="16"/>
  <c r="J380" i="16"/>
  <c r="C381" i="16"/>
  <c r="D381" i="16"/>
  <c r="E381" i="16"/>
  <c r="F381" i="16"/>
  <c r="G381" i="16"/>
  <c r="H381" i="16"/>
  <c r="I381" i="16"/>
  <c r="J381" i="16"/>
  <c r="C382" i="16"/>
  <c r="D382" i="16"/>
  <c r="E382" i="16"/>
  <c r="F382" i="16"/>
  <c r="G382" i="16"/>
  <c r="H382" i="16"/>
  <c r="I382" i="16"/>
  <c r="J382" i="16"/>
  <c r="C383" i="16"/>
  <c r="D383" i="16"/>
  <c r="E383" i="16"/>
  <c r="F383" i="16"/>
  <c r="G383" i="16"/>
  <c r="H383" i="16"/>
  <c r="I383" i="16"/>
  <c r="J383" i="16"/>
  <c r="C384" i="16"/>
  <c r="D384" i="16"/>
  <c r="E384" i="16"/>
  <c r="F384" i="16"/>
  <c r="G384" i="16"/>
  <c r="H384" i="16"/>
  <c r="I384" i="16"/>
  <c r="J384" i="16"/>
  <c r="C385" i="16"/>
  <c r="D385" i="16"/>
  <c r="E385" i="16"/>
  <c r="F385" i="16"/>
  <c r="G385" i="16"/>
  <c r="H385" i="16"/>
  <c r="I385" i="16"/>
  <c r="J385" i="16"/>
  <c r="C386" i="16"/>
  <c r="D386" i="16"/>
  <c r="E386" i="16"/>
  <c r="F386" i="16"/>
  <c r="G386" i="16"/>
  <c r="H386" i="16"/>
  <c r="I386" i="16"/>
  <c r="J386" i="16"/>
  <c r="C387" i="16"/>
  <c r="D387" i="16"/>
  <c r="E387" i="16"/>
  <c r="F387" i="16"/>
  <c r="G387" i="16"/>
  <c r="H387" i="16"/>
  <c r="I387" i="16"/>
  <c r="J387" i="16"/>
  <c r="C388" i="16"/>
  <c r="D388" i="16"/>
  <c r="E388" i="16"/>
  <c r="F388" i="16"/>
  <c r="G388" i="16"/>
  <c r="H388" i="16"/>
  <c r="I388" i="16"/>
  <c r="J388" i="16"/>
  <c r="C389" i="16"/>
  <c r="D389" i="16"/>
  <c r="E389" i="16"/>
  <c r="F389" i="16"/>
  <c r="G389" i="16"/>
  <c r="H389" i="16"/>
  <c r="I389" i="16"/>
  <c r="J389" i="16"/>
  <c r="C390" i="16"/>
  <c r="D390" i="16"/>
  <c r="E390" i="16"/>
  <c r="F390" i="16"/>
  <c r="G390" i="16"/>
  <c r="H390" i="16"/>
  <c r="I390" i="16"/>
  <c r="J390" i="16"/>
  <c r="C391" i="16"/>
  <c r="D391" i="16"/>
  <c r="E391" i="16"/>
  <c r="F391" i="16"/>
  <c r="G391" i="16"/>
  <c r="H391" i="16"/>
  <c r="I391" i="16"/>
  <c r="J391" i="16"/>
  <c r="C392" i="16"/>
  <c r="D392" i="16"/>
  <c r="E392" i="16"/>
  <c r="F392" i="16"/>
  <c r="G392" i="16"/>
  <c r="H392" i="16"/>
  <c r="I392" i="16"/>
  <c r="J392" i="16"/>
  <c r="C393" i="16"/>
  <c r="D393" i="16"/>
  <c r="E393" i="16"/>
  <c r="F393" i="16"/>
  <c r="G393" i="16"/>
  <c r="H393" i="16"/>
  <c r="I393" i="16"/>
  <c r="J393" i="16"/>
  <c r="C394" i="16"/>
  <c r="D394" i="16"/>
  <c r="E394" i="16"/>
  <c r="F394" i="16"/>
  <c r="G394" i="16"/>
  <c r="H394" i="16"/>
  <c r="I394" i="16"/>
  <c r="J394" i="16"/>
  <c r="C395" i="16"/>
  <c r="D395" i="16"/>
  <c r="E395" i="16"/>
  <c r="F395" i="16"/>
  <c r="G395" i="16"/>
  <c r="H395" i="16"/>
  <c r="I395" i="16"/>
  <c r="J395" i="16"/>
  <c r="C396" i="16"/>
  <c r="D396" i="16"/>
  <c r="E396" i="16"/>
  <c r="F396" i="16"/>
  <c r="G396" i="16"/>
  <c r="H396" i="16"/>
  <c r="I396" i="16"/>
  <c r="J396" i="16"/>
  <c r="C397" i="16"/>
  <c r="D397" i="16"/>
  <c r="E397" i="16"/>
  <c r="F397" i="16"/>
  <c r="G397" i="16"/>
  <c r="H397" i="16"/>
  <c r="I397" i="16"/>
  <c r="J397" i="16"/>
  <c r="C398" i="16"/>
  <c r="D398" i="16"/>
  <c r="E398" i="16"/>
  <c r="F398" i="16"/>
  <c r="G398" i="16"/>
  <c r="H398" i="16"/>
  <c r="I398" i="16"/>
  <c r="J398" i="16"/>
  <c r="C399" i="16"/>
  <c r="D399" i="16"/>
  <c r="E399" i="16"/>
  <c r="F399" i="16"/>
  <c r="G399" i="16"/>
  <c r="H399" i="16"/>
  <c r="I399" i="16"/>
  <c r="J399" i="16"/>
  <c r="C400" i="16"/>
  <c r="D400" i="16"/>
  <c r="E400" i="16"/>
  <c r="F400" i="16"/>
  <c r="G400" i="16"/>
  <c r="H400" i="16"/>
  <c r="I400" i="16"/>
  <c r="J400" i="16"/>
  <c r="C401" i="16"/>
  <c r="D401" i="16"/>
  <c r="E401" i="16"/>
  <c r="F401" i="16"/>
  <c r="G401" i="16"/>
  <c r="H401" i="16"/>
  <c r="I401" i="16"/>
  <c r="J401" i="16"/>
  <c r="C402" i="16"/>
  <c r="D402" i="16"/>
  <c r="E402" i="16"/>
  <c r="F402" i="16"/>
  <c r="G402" i="16"/>
  <c r="H402" i="16"/>
  <c r="I402" i="16"/>
  <c r="J402" i="16"/>
  <c r="C403" i="16"/>
  <c r="D403" i="16"/>
  <c r="E403" i="16"/>
  <c r="F403" i="16"/>
  <c r="G403" i="16"/>
  <c r="H403" i="16"/>
  <c r="I403" i="16"/>
  <c r="J403" i="16"/>
  <c r="C404" i="16"/>
  <c r="D404" i="16"/>
  <c r="E404" i="16"/>
  <c r="F404" i="16"/>
  <c r="G404" i="16"/>
  <c r="H404" i="16"/>
  <c r="I404" i="16"/>
  <c r="J404" i="16"/>
  <c r="C405" i="16"/>
  <c r="D405" i="16"/>
  <c r="E405" i="16"/>
  <c r="F405" i="16"/>
  <c r="G405" i="16"/>
  <c r="H405" i="16"/>
  <c r="I405" i="16"/>
  <c r="J405" i="16"/>
  <c r="C406" i="16"/>
  <c r="D406" i="16"/>
  <c r="E406" i="16"/>
  <c r="F406" i="16"/>
  <c r="G406" i="16"/>
  <c r="H406" i="16"/>
  <c r="I406" i="16"/>
  <c r="J406" i="16"/>
  <c r="C407" i="16"/>
  <c r="D407" i="16"/>
  <c r="E407" i="16"/>
  <c r="F407" i="16"/>
  <c r="G407" i="16"/>
  <c r="H407" i="16"/>
  <c r="I407" i="16"/>
  <c r="J407" i="16"/>
  <c r="C408" i="16"/>
  <c r="D408" i="16"/>
  <c r="E408" i="16"/>
  <c r="F408" i="16"/>
  <c r="G408" i="16"/>
  <c r="H408" i="16"/>
  <c r="I408" i="16"/>
  <c r="J408" i="16"/>
  <c r="C409" i="16"/>
  <c r="D409" i="16"/>
  <c r="E409" i="16"/>
  <c r="F409" i="16"/>
  <c r="G409" i="16"/>
  <c r="H409" i="16"/>
  <c r="I409" i="16"/>
  <c r="J409" i="16"/>
  <c r="C410" i="16"/>
  <c r="D410" i="16"/>
  <c r="E410" i="16"/>
  <c r="F410" i="16"/>
  <c r="G410" i="16"/>
  <c r="H410" i="16"/>
  <c r="I410" i="16"/>
  <c r="J410" i="16"/>
  <c r="C411" i="16"/>
  <c r="D411" i="16"/>
  <c r="E411" i="16"/>
  <c r="F411" i="16"/>
  <c r="G411" i="16"/>
  <c r="H411" i="16"/>
  <c r="I411" i="16"/>
  <c r="J411" i="16"/>
  <c r="C412" i="16"/>
  <c r="D412" i="16"/>
  <c r="E412" i="16"/>
  <c r="F412" i="16"/>
  <c r="G412" i="16"/>
  <c r="H412" i="16"/>
  <c r="I412" i="16"/>
  <c r="J412" i="16"/>
  <c r="C413" i="16"/>
  <c r="D413" i="16"/>
  <c r="E413" i="16"/>
  <c r="F413" i="16"/>
  <c r="G413" i="16"/>
  <c r="H413" i="16"/>
  <c r="I413" i="16"/>
  <c r="J413" i="16"/>
  <c r="C414" i="16"/>
  <c r="D414" i="16"/>
  <c r="E414" i="16"/>
  <c r="F414" i="16"/>
  <c r="G414" i="16"/>
  <c r="H414" i="16"/>
  <c r="I414" i="16"/>
  <c r="J414" i="16"/>
  <c r="C415" i="16"/>
  <c r="D415" i="16"/>
  <c r="E415" i="16"/>
  <c r="F415" i="16"/>
  <c r="G415" i="16"/>
  <c r="H415" i="16"/>
  <c r="I415" i="16"/>
  <c r="J415" i="16"/>
  <c r="C416" i="16"/>
  <c r="D416" i="16"/>
  <c r="E416" i="16"/>
  <c r="F416" i="16"/>
  <c r="G416" i="16"/>
  <c r="H416" i="16"/>
  <c r="I416" i="16"/>
  <c r="J416" i="16"/>
  <c r="C417" i="16"/>
  <c r="D417" i="16"/>
  <c r="E417" i="16"/>
  <c r="F417" i="16"/>
  <c r="G417" i="16"/>
  <c r="H417" i="16"/>
  <c r="I417" i="16"/>
  <c r="J417" i="16"/>
  <c r="C418" i="16"/>
  <c r="D418" i="16"/>
  <c r="E418" i="16"/>
  <c r="F418" i="16"/>
  <c r="G418" i="16"/>
  <c r="H418" i="16"/>
  <c r="I418" i="16"/>
  <c r="J418" i="16"/>
  <c r="C419" i="16"/>
  <c r="D419" i="16"/>
  <c r="E419" i="16"/>
  <c r="F419" i="16"/>
  <c r="G419" i="16"/>
  <c r="H419" i="16"/>
  <c r="I419" i="16"/>
  <c r="J419" i="16"/>
  <c r="C420" i="16"/>
  <c r="D420" i="16"/>
  <c r="E420" i="16"/>
  <c r="F420" i="16"/>
  <c r="G420" i="16"/>
  <c r="H420" i="16"/>
  <c r="I420" i="16"/>
  <c r="J420" i="16"/>
  <c r="C421" i="16"/>
  <c r="D421" i="16"/>
  <c r="E421" i="16"/>
  <c r="F421" i="16"/>
  <c r="G421" i="16"/>
  <c r="H421" i="16"/>
  <c r="I421" i="16"/>
  <c r="J421" i="16"/>
  <c r="C422" i="16"/>
  <c r="D422" i="16"/>
  <c r="E422" i="16"/>
  <c r="F422" i="16"/>
  <c r="G422" i="16"/>
  <c r="H422" i="16"/>
  <c r="I422" i="16"/>
  <c r="J422" i="16"/>
  <c r="C423" i="16"/>
  <c r="D423" i="16"/>
  <c r="E423" i="16"/>
  <c r="F423" i="16"/>
  <c r="G423" i="16"/>
  <c r="H423" i="16"/>
  <c r="I423" i="16"/>
  <c r="J423" i="16"/>
  <c r="C424" i="16"/>
  <c r="D424" i="16"/>
  <c r="E424" i="16"/>
  <c r="F424" i="16"/>
  <c r="G424" i="16"/>
  <c r="H424" i="16"/>
  <c r="I424" i="16"/>
  <c r="J424" i="16"/>
  <c r="C425" i="16"/>
  <c r="D425" i="16"/>
  <c r="E425" i="16"/>
  <c r="F425" i="16"/>
  <c r="G425" i="16"/>
  <c r="H425" i="16"/>
  <c r="I425" i="16"/>
  <c r="J425" i="16"/>
  <c r="C426" i="16"/>
  <c r="D426" i="16"/>
  <c r="E426" i="16"/>
  <c r="F426" i="16"/>
  <c r="G426" i="16"/>
  <c r="H426" i="16"/>
  <c r="I426" i="16"/>
  <c r="J426" i="16"/>
  <c r="C427" i="16"/>
  <c r="D427" i="16"/>
  <c r="E427" i="16"/>
  <c r="F427" i="16"/>
  <c r="G427" i="16"/>
  <c r="H427" i="16"/>
  <c r="I427" i="16"/>
  <c r="J427" i="16"/>
  <c r="C428" i="16"/>
  <c r="D428" i="16"/>
  <c r="E428" i="16"/>
  <c r="F428" i="16"/>
  <c r="G428" i="16"/>
  <c r="H428" i="16"/>
  <c r="I428" i="16"/>
  <c r="J428" i="16"/>
  <c r="C429" i="16"/>
  <c r="D429" i="16"/>
  <c r="E429" i="16"/>
  <c r="F429" i="16"/>
  <c r="G429" i="16"/>
  <c r="H429" i="16"/>
  <c r="I429" i="16"/>
  <c r="J429" i="16"/>
  <c r="C430" i="16"/>
  <c r="D430" i="16"/>
  <c r="E430" i="16"/>
  <c r="F430" i="16"/>
  <c r="G430" i="16"/>
  <c r="H430" i="16"/>
  <c r="I430" i="16"/>
  <c r="J430" i="16"/>
  <c r="C431" i="16"/>
  <c r="D431" i="16"/>
  <c r="E431" i="16"/>
  <c r="F431" i="16"/>
  <c r="G431" i="16"/>
  <c r="H431" i="16"/>
  <c r="I431" i="16"/>
  <c r="J431" i="16"/>
  <c r="C432" i="16"/>
  <c r="D432" i="16"/>
  <c r="E432" i="16"/>
  <c r="F432" i="16"/>
  <c r="G432" i="16"/>
  <c r="H432" i="16"/>
  <c r="I432" i="16"/>
  <c r="J432" i="16"/>
  <c r="C433" i="16"/>
  <c r="D433" i="16"/>
  <c r="E433" i="16"/>
  <c r="F433" i="16"/>
  <c r="G433" i="16"/>
  <c r="H433" i="16"/>
  <c r="I433" i="16"/>
  <c r="J433" i="16"/>
  <c r="C434" i="16"/>
  <c r="D434" i="16"/>
  <c r="E434" i="16"/>
  <c r="F434" i="16"/>
  <c r="G434" i="16"/>
  <c r="H434" i="16"/>
  <c r="I434" i="16"/>
  <c r="J434" i="16"/>
  <c r="C435" i="16"/>
  <c r="D435" i="16"/>
  <c r="E435" i="16"/>
  <c r="F435" i="16"/>
  <c r="G435" i="16"/>
  <c r="H435" i="16"/>
  <c r="I435" i="16"/>
  <c r="J435" i="16"/>
  <c r="C436" i="16"/>
  <c r="D436" i="16"/>
  <c r="E436" i="16"/>
  <c r="F436" i="16"/>
  <c r="G436" i="16"/>
  <c r="H436" i="16"/>
  <c r="I436" i="16"/>
  <c r="J436" i="16"/>
  <c r="C437" i="16"/>
  <c r="D437" i="16"/>
  <c r="E437" i="16"/>
  <c r="F437" i="16"/>
  <c r="G437" i="16"/>
  <c r="H437" i="16"/>
  <c r="I437" i="16"/>
  <c r="J437" i="16"/>
  <c r="C438" i="16"/>
  <c r="D438" i="16"/>
  <c r="E438" i="16"/>
  <c r="F438" i="16"/>
  <c r="G438" i="16"/>
  <c r="H438" i="16"/>
  <c r="I438" i="16"/>
  <c r="J438" i="16"/>
  <c r="C439" i="16"/>
  <c r="D439" i="16"/>
  <c r="E439" i="16"/>
  <c r="F439" i="16"/>
  <c r="G439" i="16"/>
  <c r="H439" i="16"/>
  <c r="I439" i="16"/>
  <c r="J439" i="16"/>
  <c r="C440" i="16"/>
  <c r="D440" i="16"/>
  <c r="E440" i="16"/>
  <c r="F440" i="16"/>
  <c r="G440" i="16"/>
  <c r="H440" i="16"/>
  <c r="I440" i="16"/>
  <c r="J440" i="16"/>
  <c r="C441" i="16"/>
  <c r="D441" i="16"/>
  <c r="E441" i="16"/>
  <c r="F441" i="16"/>
  <c r="G441" i="16"/>
  <c r="H441" i="16"/>
  <c r="I441" i="16"/>
  <c r="J441" i="16"/>
  <c r="C442" i="16"/>
  <c r="D442" i="16"/>
  <c r="E442" i="16"/>
  <c r="F442" i="16"/>
  <c r="G442" i="16"/>
  <c r="H442" i="16"/>
  <c r="I442" i="16"/>
  <c r="J442" i="16"/>
  <c r="C443" i="16"/>
  <c r="D443" i="16"/>
  <c r="E443" i="16"/>
  <c r="F443" i="16"/>
  <c r="G443" i="16"/>
  <c r="H443" i="16"/>
  <c r="I443" i="16"/>
  <c r="J443" i="16"/>
  <c r="C444" i="16"/>
  <c r="D444" i="16"/>
  <c r="E444" i="16"/>
  <c r="F444" i="16"/>
  <c r="G444" i="16"/>
  <c r="H444" i="16"/>
  <c r="I444" i="16"/>
  <c r="J444" i="16"/>
  <c r="C445" i="16"/>
  <c r="D445" i="16"/>
  <c r="E445" i="16"/>
  <c r="F445" i="16"/>
  <c r="G445" i="16"/>
  <c r="H445" i="16"/>
  <c r="I445" i="16"/>
  <c r="J445" i="16"/>
  <c r="C446" i="16"/>
  <c r="D446" i="16"/>
  <c r="E446" i="16"/>
  <c r="F446" i="16"/>
  <c r="G446" i="16"/>
  <c r="H446" i="16"/>
  <c r="I446" i="16"/>
  <c r="J446" i="16"/>
  <c r="C447" i="16"/>
  <c r="D447" i="16"/>
  <c r="E447" i="16"/>
  <c r="F447" i="16"/>
  <c r="G447" i="16"/>
  <c r="H447" i="16"/>
  <c r="I447" i="16"/>
  <c r="J447" i="16"/>
  <c r="C448" i="16"/>
  <c r="D448" i="16"/>
  <c r="E448" i="16"/>
  <c r="F448" i="16"/>
  <c r="G448" i="16"/>
  <c r="H448" i="16"/>
  <c r="I448" i="16"/>
  <c r="J448" i="16"/>
  <c r="C449" i="16"/>
  <c r="D449" i="16"/>
  <c r="E449" i="16"/>
  <c r="F449" i="16"/>
  <c r="G449" i="16"/>
  <c r="H449" i="16"/>
  <c r="I449" i="16"/>
  <c r="J449" i="16"/>
  <c r="C450" i="16"/>
  <c r="D450" i="16"/>
  <c r="E450" i="16"/>
  <c r="F450" i="16"/>
  <c r="G450" i="16"/>
  <c r="H450" i="16"/>
  <c r="I450" i="16"/>
  <c r="J450" i="16"/>
  <c r="C451" i="16"/>
  <c r="D451" i="16"/>
  <c r="E451" i="16"/>
  <c r="F451" i="16"/>
  <c r="G451" i="16"/>
  <c r="H451" i="16"/>
  <c r="I451" i="16"/>
  <c r="J451" i="16"/>
  <c r="C452" i="16"/>
  <c r="D452" i="16"/>
  <c r="E452" i="16"/>
  <c r="F452" i="16"/>
  <c r="G452" i="16"/>
  <c r="H452" i="16"/>
  <c r="I452" i="16"/>
  <c r="J452" i="16"/>
  <c r="C453" i="16"/>
  <c r="D453" i="16"/>
  <c r="E453" i="16"/>
  <c r="F453" i="16"/>
  <c r="G453" i="16"/>
  <c r="H453" i="16"/>
  <c r="I453" i="16"/>
  <c r="J453" i="16"/>
  <c r="C454" i="16"/>
  <c r="D454" i="16"/>
  <c r="E454" i="16"/>
  <c r="F454" i="16"/>
  <c r="G454" i="16"/>
  <c r="H454" i="16"/>
  <c r="I454" i="16"/>
  <c r="J454" i="16"/>
  <c r="C455" i="16"/>
  <c r="D455" i="16"/>
  <c r="E455" i="16"/>
  <c r="F455" i="16"/>
  <c r="G455" i="16"/>
  <c r="H455" i="16"/>
  <c r="I455" i="16"/>
  <c r="J455" i="16"/>
  <c r="C456" i="16"/>
  <c r="D456" i="16"/>
  <c r="E456" i="16"/>
  <c r="F456" i="16"/>
  <c r="G456" i="16"/>
  <c r="H456" i="16"/>
  <c r="I456" i="16"/>
  <c r="J456" i="16"/>
  <c r="C457" i="16"/>
  <c r="D457" i="16"/>
  <c r="E457" i="16"/>
  <c r="F457" i="16"/>
  <c r="G457" i="16"/>
  <c r="H457" i="16"/>
  <c r="I457" i="16"/>
  <c r="J457" i="16"/>
  <c r="C458" i="16"/>
  <c r="D458" i="16"/>
  <c r="E458" i="16"/>
  <c r="F458" i="16"/>
  <c r="G458" i="16"/>
  <c r="H458" i="16"/>
  <c r="I458" i="16"/>
  <c r="J458" i="16"/>
  <c r="C459" i="16"/>
  <c r="D459" i="16"/>
  <c r="E459" i="16"/>
  <c r="F459" i="16"/>
  <c r="G459" i="16"/>
  <c r="H459" i="16"/>
  <c r="I459" i="16"/>
  <c r="J459" i="16"/>
  <c r="C460" i="16"/>
  <c r="D460" i="16"/>
  <c r="E460" i="16"/>
  <c r="F460" i="16"/>
  <c r="G460" i="16"/>
  <c r="H460" i="16"/>
  <c r="I460" i="16"/>
  <c r="J460" i="16"/>
  <c r="C461" i="16"/>
  <c r="D461" i="16"/>
  <c r="E461" i="16"/>
  <c r="F461" i="16"/>
  <c r="G461" i="16"/>
  <c r="H461" i="16"/>
  <c r="I461" i="16"/>
  <c r="J461" i="16"/>
  <c r="C462" i="16"/>
  <c r="D462" i="16"/>
  <c r="E462" i="16"/>
  <c r="F462" i="16"/>
  <c r="G462" i="16"/>
  <c r="H462" i="16"/>
  <c r="I462" i="16"/>
  <c r="J462" i="16"/>
  <c r="C463" i="16"/>
  <c r="D463" i="16"/>
  <c r="E463" i="16"/>
  <c r="F463" i="16"/>
  <c r="G463" i="16"/>
  <c r="H463" i="16"/>
  <c r="I463" i="16"/>
  <c r="J463" i="16"/>
  <c r="C464" i="16"/>
  <c r="D464" i="16"/>
  <c r="E464" i="16"/>
  <c r="F464" i="16"/>
  <c r="G464" i="16"/>
  <c r="H464" i="16"/>
  <c r="I464" i="16"/>
  <c r="J464" i="16"/>
  <c r="C465" i="16"/>
  <c r="D465" i="16"/>
  <c r="E465" i="16"/>
  <c r="F465" i="16"/>
  <c r="G465" i="16"/>
  <c r="H465" i="16"/>
  <c r="I465" i="16"/>
  <c r="J465" i="16"/>
  <c r="C466" i="16"/>
  <c r="D466" i="16"/>
  <c r="E466" i="16"/>
  <c r="F466" i="16"/>
  <c r="G466" i="16"/>
  <c r="H466" i="16"/>
  <c r="I466" i="16"/>
  <c r="J466" i="16"/>
  <c r="C467" i="16"/>
  <c r="D467" i="16"/>
  <c r="E467" i="16"/>
  <c r="F467" i="16"/>
  <c r="G467" i="16"/>
  <c r="H467" i="16"/>
  <c r="I467" i="16"/>
  <c r="J467" i="16"/>
  <c r="C468" i="16"/>
  <c r="D468" i="16"/>
  <c r="E468" i="16"/>
  <c r="F468" i="16"/>
  <c r="G468" i="16"/>
  <c r="H468" i="16"/>
  <c r="I468" i="16"/>
  <c r="J468" i="16"/>
  <c r="C469" i="16"/>
  <c r="D469" i="16"/>
  <c r="E469" i="16"/>
  <c r="F469" i="16"/>
  <c r="G469" i="16"/>
  <c r="H469" i="16"/>
  <c r="I469" i="16"/>
  <c r="J469" i="16"/>
  <c r="C470" i="16"/>
  <c r="D470" i="16"/>
  <c r="E470" i="16"/>
  <c r="F470" i="16"/>
  <c r="G470" i="16"/>
  <c r="H470" i="16"/>
  <c r="I470" i="16"/>
  <c r="J470" i="16"/>
  <c r="C471" i="16"/>
  <c r="D471" i="16"/>
  <c r="E471" i="16"/>
  <c r="F471" i="16"/>
  <c r="G471" i="16"/>
  <c r="H471" i="16"/>
  <c r="I471" i="16"/>
  <c r="J471" i="16"/>
  <c r="C472" i="16"/>
  <c r="D472" i="16"/>
  <c r="E472" i="16"/>
  <c r="F472" i="16"/>
  <c r="G472" i="16"/>
  <c r="H472" i="16"/>
  <c r="I472" i="16"/>
  <c r="J472" i="16"/>
  <c r="C473" i="16"/>
  <c r="D473" i="16"/>
  <c r="E473" i="16"/>
  <c r="F473" i="16"/>
  <c r="G473" i="16"/>
  <c r="H473" i="16"/>
  <c r="I473" i="16"/>
  <c r="J473" i="16"/>
  <c r="C474" i="16"/>
  <c r="D474" i="16"/>
  <c r="E474" i="16"/>
  <c r="F474" i="16"/>
  <c r="G474" i="16"/>
  <c r="H474" i="16"/>
  <c r="I474" i="16"/>
  <c r="J474" i="16"/>
  <c r="C475" i="16"/>
  <c r="D475" i="16"/>
  <c r="E475" i="16"/>
  <c r="F475" i="16"/>
  <c r="G475" i="16"/>
  <c r="H475" i="16"/>
  <c r="I475" i="16"/>
  <c r="J475" i="16"/>
  <c r="C476" i="16"/>
  <c r="D476" i="16"/>
  <c r="E476" i="16"/>
  <c r="F476" i="16"/>
  <c r="G476" i="16"/>
  <c r="H476" i="16"/>
  <c r="I476" i="16"/>
  <c r="J476" i="16"/>
  <c r="C477" i="16"/>
  <c r="D477" i="16"/>
  <c r="E477" i="16"/>
  <c r="F477" i="16"/>
  <c r="G477" i="16"/>
  <c r="H477" i="16"/>
  <c r="I477" i="16"/>
  <c r="J477" i="16"/>
  <c r="C478" i="16"/>
  <c r="D478" i="16"/>
  <c r="E478" i="16"/>
  <c r="F478" i="16"/>
  <c r="G478" i="16"/>
  <c r="H478" i="16"/>
  <c r="I478" i="16"/>
  <c r="J478" i="16"/>
  <c r="C479" i="16"/>
  <c r="D479" i="16"/>
  <c r="E479" i="16"/>
  <c r="F479" i="16"/>
  <c r="G479" i="16"/>
  <c r="H479" i="16"/>
  <c r="I479" i="16"/>
  <c r="J479" i="16"/>
  <c r="C480" i="16"/>
  <c r="D480" i="16"/>
  <c r="E480" i="16"/>
  <c r="F480" i="16"/>
  <c r="G480" i="16"/>
  <c r="H480" i="16"/>
  <c r="I480" i="16"/>
  <c r="J480" i="16"/>
  <c r="C481" i="16"/>
  <c r="D481" i="16"/>
  <c r="E481" i="16"/>
  <c r="F481" i="16"/>
  <c r="G481" i="16"/>
  <c r="H481" i="16"/>
  <c r="I481" i="16"/>
  <c r="J481" i="16"/>
  <c r="C482" i="16"/>
  <c r="D482" i="16"/>
  <c r="E482" i="16"/>
  <c r="F482" i="16"/>
  <c r="G482" i="16"/>
  <c r="H482" i="16"/>
  <c r="I482" i="16"/>
  <c r="J482" i="16"/>
  <c r="C483" i="16"/>
  <c r="D483" i="16"/>
  <c r="E483" i="16"/>
  <c r="F483" i="16"/>
  <c r="G483" i="16"/>
  <c r="H483" i="16"/>
  <c r="I483" i="16"/>
  <c r="J483" i="16"/>
  <c r="C484" i="16"/>
  <c r="D484" i="16"/>
  <c r="E484" i="16"/>
  <c r="F484" i="16"/>
  <c r="G484" i="16"/>
  <c r="H484" i="16"/>
  <c r="I484" i="16"/>
  <c r="J484" i="16"/>
  <c r="C485" i="16"/>
  <c r="D485" i="16"/>
  <c r="E485" i="16"/>
  <c r="F485" i="16"/>
  <c r="G485" i="16"/>
  <c r="H485" i="16"/>
  <c r="I485" i="16"/>
  <c r="J485" i="16"/>
  <c r="C486" i="16"/>
  <c r="D486" i="16"/>
  <c r="E486" i="16"/>
  <c r="F486" i="16"/>
  <c r="G486" i="16"/>
  <c r="H486" i="16"/>
  <c r="I486" i="16"/>
  <c r="J486" i="16"/>
  <c r="C487" i="16"/>
  <c r="D487" i="16"/>
  <c r="E487" i="16"/>
  <c r="F487" i="16"/>
  <c r="G487" i="16"/>
  <c r="H487" i="16"/>
  <c r="I487" i="16"/>
  <c r="J487" i="16"/>
  <c r="C488" i="16"/>
  <c r="D488" i="16"/>
  <c r="E488" i="16"/>
  <c r="F488" i="16"/>
  <c r="G488" i="16"/>
  <c r="H488" i="16"/>
  <c r="I488" i="16"/>
  <c r="J488" i="16"/>
  <c r="C489" i="16"/>
  <c r="D489" i="16"/>
  <c r="E489" i="16"/>
  <c r="F489" i="16"/>
  <c r="G489" i="16"/>
  <c r="H489" i="16"/>
  <c r="I489" i="16"/>
  <c r="J489" i="16"/>
  <c r="C490" i="16"/>
  <c r="D490" i="16"/>
  <c r="E490" i="16"/>
  <c r="F490" i="16"/>
  <c r="G490" i="16"/>
  <c r="H490" i="16"/>
  <c r="I490" i="16"/>
  <c r="J490" i="16"/>
  <c r="C491" i="16"/>
  <c r="D491" i="16"/>
  <c r="E491" i="16"/>
  <c r="F491" i="16"/>
  <c r="G491" i="16"/>
  <c r="H491" i="16"/>
  <c r="I491" i="16"/>
  <c r="J491" i="16"/>
  <c r="C492" i="16"/>
  <c r="D492" i="16"/>
  <c r="E492" i="16"/>
  <c r="F492" i="16"/>
  <c r="G492" i="16"/>
  <c r="H492" i="16"/>
  <c r="I492" i="16"/>
  <c r="J492" i="16"/>
  <c r="C493" i="16"/>
  <c r="D493" i="16"/>
  <c r="E493" i="16"/>
  <c r="F493" i="16"/>
  <c r="G493" i="16"/>
  <c r="H493" i="16"/>
  <c r="I493" i="16"/>
  <c r="J493" i="16"/>
  <c r="C494" i="16"/>
  <c r="D494" i="16"/>
  <c r="E494" i="16"/>
  <c r="F494" i="16"/>
  <c r="G494" i="16"/>
  <c r="H494" i="16"/>
  <c r="I494" i="16"/>
  <c r="J494" i="16"/>
  <c r="C495" i="16"/>
  <c r="D495" i="16"/>
  <c r="E495" i="16"/>
  <c r="F495" i="16"/>
  <c r="G495" i="16"/>
  <c r="H495" i="16"/>
  <c r="I495" i="16"/>
  <c r="J495" i="16"/>
  <c r="C496" i="16"/>
  <c r="D496" i="16"/>
  <c r="E496" i="16"/>
  <c r="F496" i="16"/>
  <c r="G496" i="16"/>
  <c r="H496" i="16"/>
  <c r="I496" i="16"/>
  <c r="J496" i="16"/>
  <c r="C497" i="16"/>
  <c r="D497" i="16"/>
  <c r="E497" i="16"/>
  <c r="F497" i="16"/>
  <c r="G497" i="16"/>
  <c r="H497" i="16"/>
  <c r="I497" i="16"/>
  <c r="J497" i="16"/>
  <c r="C498" i="16"/>
  <c r="D498" i="16"/>
  <c r="E498" i="16"/>
  <c r="F498" i="16"/>
  <c r="G498" i="16"/>
  <c r="H498" i="16"/>
  <c r="I498" i="16"/>
  <c r="J498" i="16"/>
  <c r="C499" i="16"/>
  <c r="D499" i="16"/>
  <c r="E499" i="16"/>
  <c r="F499" i="16"/>
  <c r="G499" i="16"/>
  <c r="H499" i="16"/>
  <c r="I499" i="16"/>
  <c r="J499" i="16"/>
  <c r="C500" i="16"/>
  <c r="D500" i="16"/>
  <c r="E500" i="16"/>
  <c r="F500" i="16"/>
  <c r="G500" i="16"/>
  <c r="H500" i="16"/>
  <c r="I500" i="16"/>
  <c r="J500" i="16"/>
  <c r="C501" i="16"/>
  <c r="D501" i="16"/>
  <c r="E501" i="16"/>
  <c r="F501" i="16"/>
  <c r="G501" i="16"/>
  <c r="H501" i="16"/>
  <c r="I501" i="16"/>
  <c r="J501" i="16"/>
  <c r="C502" i="16"/>
  <c r="D502" i="16"/>
  <c r="E502" i="16"/>
  <c r="F502" i="16"/>
  <c r="G502" i="16"/>
  <c r="H502" i="16"/>
  <c r="I502" i="16"/>
  <c r="J502" i="16"/>
  <c r="C503" i="16"/>
  <c r="D503" i="16"/>
  <c r="E503" i="16"/>
  <c r="F503" i="16"/>
  <c r="G503" i="16"/>
  <c r="H503" i="16"/>
  <c r="I503" i="16"/>
  <c r="J503" i="16"/>
  <c r="C504" i="16"/>
  <c r="D504" i="16"/>
  <c r="E504" i="16"/>
  <c r="F504" i="16"/>
  <c r="G504" i="16"/>
  <c r="H504" i="16"/>
  <c r="I504" i="16"/>
  <c r="J504" i="16"/>
  <c r="C505" i="16"/>
  <c r="D505" i="16"/>
  <c r="E505" i="16"/>
  <c r="F505" i="16"/>
  <c r="G505" i="16"/>
  <c r="H505" i="16"/>
  <c r="I505" i="16"/>
  <c r="J505" i="16"/>
  <c r="C506" i="16"/>
  <c r="D506" i="16"/>
  <c r="E506" i="16"/>
  <c r="F506" i="16"/>
  <c r="G506" i="16"/>
  <c r="H506" i="16"/>
  <c r="I506" i="16"/>
  <c r="J506" i="16"/>
  <c r="C507" i="16"/>
  <c r="D507" i="16"/>
  <c r="E507" i="16"/>
  <c r="F507" i="16"/>
  <c r="G507" i="16"/>
  <c r="H507" i="16"/>
  <c r="I507" i="16"/>
  <c r="J507" i="16"/>
  <c r="C508" i="16"/>
  <c r="D508" i="16"/>
  <c r="E508" i="16"/>
  <c r="F508" i="16"/>
  <c r="G508" i="16"/>
  <c r="H508" i="16"/>
  <c r="I508" i="16"/>
  <c r="J508" i="16"/>
  <c r="C509" i="16"/>
  <c r="D509" i="16"/>
  <c r="E509" i="16"/>
  <c r="F509" i="16"/>
  <c r="G509" i="16"/>
  <c r="H509" i="16"/>
  <c r="I509" i="16"/>
  <c r="J509" i="16"/>
  <c r="C510" i="16"/>
  <c r="D510" i="16"/>
  <c r="E510" i="16"/>
  <c r="F510" i="16"/>
  <c r="G510" i="16"/>
  <c r="H510" i="16"/>
  <c r="I510" i="16"/>
  <c r="J510" i="16"/>
  <c r="C511" i="16"/>
  <c r="D511" i="16"/>
  <c r="E511" i="16"/>
  <c r="F511" i="16"/>
  <c r="G511" i="16"/>
  <c r="H511" i="16"/>
  <c r="I511" i="16"/>
  <c r="J511" i="16"/>
  <c r="C512" i="16"/>
  <c r="D512" i="16"/>
  <c r="E512" i="16"/>
  <c r="F512" i="16"/>
  <c r="G512" i="16"/>
  <c r="H512" i="16"/>
  <c r="I512" i="16"/>
  <c r="J512" i="16"/>
  <c r="C513" i="16"/>
  <c r="D513" i="16"/>
  <c r="E513" i="16"/>
  <c r="F513" i="16"/>
  <c r="G513" i="16"/>
  <c r="H513" i="16"/>
  <c r="I513" i="16"/>
  <c r="J513" i="16"/>
  <c r="C514" i="16"/>
  <c r="D514" i="16"/>
  <c r="E514" i="16"/>
  <c r="F514" i="16"/>
  <c r="G514" i="16"/>
  <c r="H514" i="16"/>
  <c r="I514" i="16"/>
  <c r="J514" i="16"/>
  <c r="C515" i="16"/>
  <c r="D515" i="16"/>
  <c r="E515" i="16"/>
  <c r="F515" i="16"/>
  <c r="G515" i="16"/>
  <c r="H515" i="16"/>
  <c r="I515" i="16"/>
  <c r="J515" i="16"/>
  <c r="C516" i="16"/>
  <c r="D516" i="16"/>
  <c r="E516" i="16"/>
  <c r="F516" i="16"/>
  <c r="G516" i="16"/>
  <c r="H516" i="16"/>
  <c r="I516" i="16"/>
  <c r="J516" i="16"/>
  <c r="C517" i="16"/>
  <c r="D517" i="16"/>
  <c r="E517" i="16"/>
  <c r="F517" i="16"/>
  <c r="G517" i="16"/>
  <c r="H517" i="16"/>
  <c r="I517" i="16"/>
  <c r="J517" i="16"/>
  <c r="C518" i="16"/>
  <c r="D518" i="16"/>
  <c r="E518" i="16"/>
  <c r="F518" i="16"/>
  <c r="G518" i="16"/>
  <c r="H518" i="16"/>
  <c r="I518" i="16"/>
  <c r="J518" i="16"/>
  <c r="C519" i="16"/>
  <c r="D519" i="16"/>
  <c r="E519" i="16"/>
  <c r="F519" i="16"/>
  <c r="G519" i="16"/>
  <c r="H519" i="16"/>
  <c r="I519" i="16"/>
  <c r="J519" i="16"/>
  <c r="C520" i="16"/>
  <c r="D520" i="16"/>
  <c r="E520" i="16"/>
  <c r="F520" i="16"/>
  <c r="G520" i="16"/>
  <c r="H520" i="16"/>
  <c r="I520" i="16"/>
  <c r="J520" i="16"/>
  <c r="C521" i="16"/>
  <c r="D521" i="16"/>
  <c r="E521" i="16"/>
  <c r="F521" i="16"/>
  <c r="G521" i="16"/>
  <c r="H521" i="16"/>
  <c r="I521" i="16"/>
  <c r="J521" i="16"/>
  <c r="C522" i="16"/>
  <c r="D522" i="16"/>
  <c r="E522" i="16"/>
  <c r="F522" i="16"/>
  <c r="G522" i="16"/>
  <c r="H522" i="16"/>
  <c r="I522" i="16"/>
  <c r="J522" i="16"/>
  <c r="C523" i="16"/>
  <c r="D523" i="16"/>
  <c r="E523" i="16"/>
  <c r="F523" i="16"/>
  <c r="G523" i="16"/>
  <c r="H523" i="16"/>
  <c r="I523" i="16"/>
  <c r="J523" i="16"/>
  <c r="C524" i="16"/>
  <c r="D524" i="16"/>
  <c r="E524" i="16"/>
  <c r="F524" i="16"/>
  <c r="G524" i="16"/>
  <c r="H524" i="16"/>
  <c r="I524" i="16"/>
  <c r="J524" i="16"/>
  <c r="C525" i="16"/>
  <c r="D525" i="16"/>
  <c r="E525" i="16"/>
  <c r="F525" i="16"/>
  <c r="G525" i="16"/>
  <c r="H525" i="16"/>
  <c r="I525" i="16"/>
  <c r="J525" i="16"/>
  <c r="C526" i="16"/>
  <c r="D526" i="16"/>
  <c r="E526" i="16"/>
  <c r="F526" i="16"/>
  <c r="G526" i="16"/>
  <c r="H526" i="16"/>
  <c r="I526" i="16"/>
  <c r="J526" i="16"/>
  <c r="C527" i="16"/>
  <c r="D527" i="16"/>
  <c r="E527" i="16"/>
  <c r="F527" i="16"/>
  <c r="G527" i="16"/>
  <c r="H527" i="16"/>
  <c r="I527" i="16"/>
  <c r="J527" i="16"/>
  <c r="C528" i="16"/>
  <c r="D528" i="16"/>
  <c r="E528" i="16"/>
  <c r="F528" i="16"/>
  <c r="G528" i="16"/>
  <c r="H528" i="16"/>
  <c r="I528" i="16"/>
  <c r="J528" i="16"/>
  <c r="C529" i="16"/>
  <c r="D529" i="16"/>
  <c r="E529" i="16"/>
  <c r="F529" i="16"/>
  <c r="G529" i="16"/>
  <c r="H529" i="16"/>
  <c r="I529" i="16"/>
  <c r="J529" i="16"/>
  <c r="C530" i="16"/>
  <c r="D530" i="16"/>
  <c r="E530" i="16"/>
  <c r="F530" i="16"/>
  <c r="G530" i="16"/>
  <c r="H530" i="16"/>
  <c r="I530" i="16"/>
  <c r="J530" i="16"/>
  <c r="C531" i="16"/>
  <c r="D531" i="16"/>
  <c r="E531" i="16"/>
  <c r="F531" i="16"/>
  <c r="G531" i="16"/>
  <c r="H531" i="16"/>
  <c r="I531" i="16"/>
  <c r="J531" i="16"/>
  <c r="C532" i="16"/>
  <c r="D532" i="16"/>
  <c r="E532" i="16"/>
  <c r="F532" i="16"/>
  <c r="G532" i="16"/>
  <c r="H532" i="16"/>
  <c r="I532" i="16"/>
  <c r="J532" i="16"/>
  <c r="C533" i="16"/>
  <c r="D533" i="16"/>
  <c r="E533" i="16"/>
  <c r="F533" i="16"/>
  <c r="G533" i="16"/>
  <c r="H533" i="16"/>
  <c r="I533" i="16"/>
  <c r="J533" i="16"/>
  <c r="C534" i="16"/>
  <c r="D534" i="16"/>
  <c r="E534" i="16"/>
  <c r="F534" i="16"/>
  <c r="G534" i="16"/>
  <c r="H534" i="16"/>
  <c r="I534" i="16"/>
  <c r="J534" i="16"/>
  <c r="C535" i="16"/>
  <c r="D535" i="16"/>
  <c r="E535" i="16"/>
  <c r="F535" i="16"/>
  <c r="G535" i="16"/>
  <c r="H535" i="16"/>
  <c r="I535" i="16"/>
  <c r="J535" i="16"/>
  <c r="C536" i="16"/>
  <c r="D536" i="16"/>
  <c r="E536" i="16"/>
  <c r="F536" i="16"/>
  <c r="G536" i="16"/>
  <c r="H536" i="16"/>
  <c r="I536" i="16"/>
  <c r="J536" i="16"/>
  <c r="C537" i="16"/>
  <c r="D537" i="16"/>
  <c r="E537" i="16"/>
  <c r="F537" i="16"/>
  <c r="G537" i="16"/>
  <c r="H537" i="16"/>
  <c r="I537" i="16"/>
  <c r="J537" i="16"/>
  <c r="C538" i="16"/>
  <c r="D538" i="16"/>
  <c r="E538" i="16"/>
  <c r="F538" i="16"/>
  <c r="G538" i="16"/>
  <c r="H538" i="16"/>
  <c r="I538" i="16"/>
  <c r="J538" i="16"/>
  <c r="C539" i="16"/>
  <c r="D539" i="16"/>
  <c r="E539" i="16"/>
  <c r="F539" i="16"/>
  <c r="G539" i="16"/>
  <c r="H539" i="16"/>
  <c r="I539" i="16"/>
  <c r="J539" i="16"/>
  <c r="C540" i="16"/>
  <c r="D540" i="16"/>
  <c r="E540" i="16"/>
  <c r="F540" i="16"/>
  <c r="G540" i="16"/>
  <c r="H540" i="16"/>
  <c r="I540" i="16"/>
  <c r="J540" i="16"/>
  <c r="C541" i="16"/>
  <c r="D541" i="16"/>
  <c r="E541" i="16"/>
  <c r="F541" i="16"/>
  <c r="G541" i="16"/>
  <c r="H541" i="16"/>
  <c r="I541" i="16"/>
  <c r="J541" i="16"/>
  <c r="C542" i="16"/>
  <c r="D542" i="16"/>
  <c r="E542" i="16"/>
  <c r="F542" i="16"/>
  <c r="G542" i="16"/>
  <c r="H542" i="16"/>
  <c r="I542" i="16"/>
  <c r="J542" i="16"/>
  <c r="C543" i="16"/>
  <c r="D543" i="16"/>
  <c r="E543" i="16"/>
  <c r="F543" i="16"/>
  <c r="G543" i="16"/>
  <c r="H543" i="16"/>
  <c r="I543" i="16"/>
  <c r="J543" i="16"/>
  <c r="C544" i="16"/>
  <c r="D544" i="16"/>
  <c r="E544" i="16"/>
  <c r="F544" i="16"/>
  <c r="G544" i="16"/>
  <c r="H544" i="16"/>
  <c r="I544" i="16"/>
  <c r="J544" i="16"/>
  <c r="C545" i="16"/>
  <c r="D545" i="16"/>
  <c r="E545" i="16"/>
  <c r="F545" i="16"/>
  <c r="G545" i="16"/>
  <c r="H545" i="16"/>
  <c r="I545" i="16"/>
  <c r="J545" i="16"/>
  <c r="C546" i="16"/>
  <c r="D546" i="16"/>
  <c r="E546" i="16"/>
  <c r="F546" i="16"/>
  <c r="G546" i="16"/>
  <c r="H546" i="16"/>
  <c r="I546" i="16"/>
  <c r="J546" i="16"/>
  <c r="C547" i="16"/>
  <c r="D547" i="16"/>
  <c r="E547" i="16"/>
  <c r="F547" i="16"/>
  <c r="G547" i="16"/>
  <c r="H547" i="16"/>
  <c r="I547" i="16"/>
  <c r="J547" i="16"/>
  <c r="C548" i="16"/>
  <c r="D548" i="16"/>
  <c r="E548" i="16"/>
  <c r="F548" i="16"/>
  <c r="G548" i="16"/>
  <c r="H548" i="16"/>
  <c r="I548" i="16"/>
  <c r="J548" i="16"/>
  <c r="C549" i="16"/>
  <c r="D549" i="16"/>
  <c r="E549" i="16"/>
  <c r="F549" i="16"/>
  <c r="G549" i="16"/>
  <c r="H549" i="16"/>
  <c r="I549" i="16"/>
  <c r="J549" i="16"/>
  <c r="C550" i="16"/>
  <c r="D550" i="16"/>
  <c r="E550" i="16"/>
  <c r="F550" i="16"/>
  <c r="G550" i="16"/>
  <c r="H550" i="16"/>
  <c r="I550" i="16"/>
  <c r="J550" i="16"/>
  <c r="C551" i="16"/>
  <c r="D551" i="16"/>
  <c r="E551" i="16"/>
  <c r="F551" i="16"/>
  <c r="G551" i="16"/>
  <c r="H551" i="16"/>
  <c r="I551" i="16"/>
  <c r="J551" i="16"/>
  <c r="C552" i="16"/>
  <c r="D552" i="16"/>
  <c r="E552" i="16"/>
  <c r="F552" i="16"/>
  <c r="G552" i="16"/>
  <c r="H552" i="16"/>
  <c r="I552" i="16"/>
  <c r="J552" i="16"/>
  <c r="C553" i="16"/>
  <c r="D553" i="16"/>
  <c r="E553" i="16"/>
  <c r="F553" i="16"/>
  <c r="G553" i="16"/>
  <c r="H553" i="16"/>
  <c r="I553" i="16"/>
  <c r="J553" i="16"/>
  <c r="C554" i="16"/>
  <c r="D554" i="16"/>
  <c r="E554" i="16"/>
  <c r="F554" i="16"/>
  <c r="G554" i="16"/>
  <c r="H554" i="16"/>
  <c r="I554" i="16"/>
  <c r="J554" i="16"/>
  <c r="C555" i="16"/>
  <c r="D555" i="16"/>
  <c r="E555" i="16"/>
  <c r="F555" i="16"/>
  <c r="G555" i="16"/>
  <c r="H555" i="16"/>
  <c r="I555" i="16"/>
  <c r="J555" i="16"/>
  <c r="C556" i="16"/>
  <c r="D556" i="16"/>
  <c r="E556" i="16"/>
  <c r="F556" i="16"/>
  <c r="G556" i="16"/>
  <c r="H556" i="16"/>
  <c r="I556" i="16"/>
  <c r="J556" i="16"/>
  <c r="C557" i="16"/>
  <c r="D557" i="16"/>
  <c r="E557" i="16"/>
  <c r="F557" i="16"/>
  <c r="G557" i="16"/>
  <c r="H557" i="16"/>
  <c r="I557" i="16"/>
  <c r="J557" i="16"/>
  <c r="C558" i="16"/>
  <c r="D558" i="16"/>
  <c r="E558" i="16"/>
  <c r="F558" i="16"/>
  <c r="G558" i="16"/>
  <c r="H558" i="16"/>
  <c r="I558" i="16"/>
  <c r="J558" i="16"/>
  <c r="C559" i="16"/>
  <c r="D559" i="16"/>
  <c r="E559" i="16"/>
  <c r="F559" i="16"/>
  <c r="G559" i="16"/>
  <c r="H559" i="16"/>
  <c r="I559" i="16"/>
  <c r="J559" i="16"/>
  <c r="C560" i="16"/>
  <c r="D560" i="16"/>
  <c r="E560" i="16"/>
  <c r="F560" i="16"/>
  <c r="G560" i="16"/>
  <c r="H560" i="16"/>
  <c r="I560" i="16"/>
  <c r="J560" i="16"/>
  <c r="C561" i="16"/>
  <c r="D561" i="16"/>
  <c r="E561" i="16"/>
  <c r="F561" i="16"/>
  <c r="G561" i="16"/>
  <c r="H561" i="16"/>
  <c r="I561" i="16"/>
  <c r="J561" i="16"/>
  <c r="C562" i="16"/>
  <c r="D562" i="16"/>
  <c r="E562" i="16"/>
  <c r="F562" i="16"/>
  <c r="G562" i="16"/>
  <c r="H562" i="16"/>
  <c r="I562" i="16"/>
  <c r="J562" i="16"/>
  <c r="C563" i="16"/>
  <c r="D563" i="16"/>
  <c r="E563" i="16"/>
  <c r="F563" i="16"/>
  <c r="G563" i="16"/>
  <c r="H563" i="16"/>
  <c r="I563" i="16"/>
  <c r="J563" i="16"/>
  <c r="C564" i="16"/>
  <c r="D564" i="16"/>
  <c r="E564" i="16"/>
  <c r="F564" i="16"/>
  <c r="G564" i="16"/>
  <c r="H564" i="16"/>
  <c r="I564" i="16"/>
  <c r="J564" i="16"/>
  <c r="C565" i="16"/>
  <c r="D565" i="16"/>
  <c r="E565" i="16"/>
  <c r="F565" i="16"/>
  <c r="G565" i="16"/>
  <c r="H565" i="16"/>
  <c r="I565" i="16"/>
  <c r="J565" i="16"/>
  <c r="C566" i="16"/>
  <c r="D566" i="16"/>
  <c r="E566" i="16"/>
  <c r="F566" i="16"/>
  <c r="G566" i="16"/>
  <c r="H566" i="16"/>
  <c r="I566" i="16"/>
  <c r="J566" i="16"/>
  <c r="C567" i="16"/>
  <c r="D567" i="16"/>
  <c r="E567" i="16"/>
  <c r="F567" i="16"/>
  <c r="G567" i="16"/>
  <c r="H567" i="16"/>
  <c r="I567" i="16"/>
  <c r="J567" i="16"/>
  <c r="C568" i="16"/>
  <c r="D568" i="16"/>
  <c r="E568" i="16"/>
  <c r="F568" i="16"/>
  <c r="G568" i="16"/>
  <c r="H568" i="16"/>
  <c r="I568" i="16"/>
  <c r="J568" i="16"/>
  <c r="C569" i="16"/>
  <c r="D569" i="16"/>
  <c r="E569" i="16"/>
  <c r="F569" i="16"/>
  <c r="G569" i="16"/>
  <c r="H569" i="16"/>
  <c r="I569" i="16"/>
  <c r="J569" i="16"/>
  <c r="C570" i="16"/>
  <c r="D570" i="16"/>
  <c r="E570" i="16"/>
  <c r="F570" i="16"/>
  <c r="G570" i="16"/>
  <c r="H570" i="16"/>
  <c r="I570" i="16"/>
  <c r="J570" i="16"/>
  <c r="C571" i="16"/>
  <c r="D571" i="16"/>
  <c r="E571" i="16"/>
  <c r="F571" i="16"/>
  <c r="G571" i="16"/>
  <c r="H571" i="16"/>
  <c r="I571" i="16"/>
  <c r="J571" i="16"/>
  <c r="C572" i="16"/>
  <c r="D572" i="16"/>
  <c r="E572" i="16"/>
  <c r="F572" i="16"/>
  <c r="G572" i="16"/>
  <c r="H572" i="16"/>
  <c r="I572" i="16"/>
  <c r="J572" i="16"/>
  <c r="C573" i="16"/>
  <c r="D573" i="16"/>
  <c r="E573" i="16"/>
  <c r="F573" i="16"/>
  <c r="G573" i="16"/>
  <c r="H573" i="16"/>
  <c r="I573" i="16"/>
  <c r="J573" i="16"/>
  <c r="C574" i="16"/>
  <c r="D574" i="16"/>
  <c r="E574" i="16"/>
  <c r="F574" i="16"/>
  <c r="G574" i="16"/>
  <c r="H574" i="16"/>
  <c r="I574" i="16"/>
  <c r="J574" i="16"/>
  <c r="C575" i="16"/>
  <c r="D575" i="16"/>
  <c r="E575" i="16"/>
  <c r="F575" i="16"/>
  <c r="G575" i="16"/>
  <c r="H575" i="16"/>
  <c r="I575" i="16"/>
  <c r="J575" i="16"/>
  <c r="C576" i="16"/>
  <c r="D576" i="16"/>
  <c r="E576" i="16"/>
  <c r="F576" i="16"/>
  <c r="G576" i="16"/>
  <c r="H576" i="16"/>
  <c r="I576" i="16"/>
  <c r="J576" i="16"/>
  <c r="C577" i="16"/>
  <c r="D577" i="16"/>
  <c r="E577" i="16"/>
  <c r="F577" i="16"/>
  <c r="G577" i="16"/>
  <c r="H577" i="16"/>
  <c r="I577" i="16"/>
  <c r="J577" i="16"/>
  <c r="C578" i="16"/>
  <c r="D578" i="16"/>
  <c r="E578" i="16"/>
  <c r="F578" i="16"/>
  <c r="G578" i="16"/>
  <c r="H578" i="16"/>
  <c r="I578" i="16"/>
  <c r="J578" i="16"/>
  <c r="C579" i="16"/>
  <c r="D579" i="16"/>
  <c r="E579" i="16"/>
  <c r="F579" i="16"/>
  <c r="G579" i="16"/>
  <c r="H579" i="16"/>
  <c r="I579" i="16"/>
  <c r="J579" i="16"/>
  <c r="C580" i="16"/>
  <c r="D580" i="16"/>
  <c r="E580" i="16"/>
  <c r="F580" i="16"/>
  <c r="G580" i="16"/>
  <c r="H580" i="16"/>
  <c r="I580" i="16"/>
  <c r="J580" i="16"/>
  <c r="C581" i="16"/>
  <c r="D581" i="16"/>
  <c r="E581" i="16"/>
  <c r="F581" i="16"/>
  <c r="G581" i="16"/>
  <c r="H581" i="16"/>
  <c r="I581" i="16"/>
  <c r="J581" i="16"/>
  <c r="C582" i="16"/>
  <c r="D582" i="16"/>
  <c r="E582" i="16"/>
  <c r="F582" i="16"/>
  <c r="G582" i="16"/>
  <c r="H582" i="16"/>
  <c r="I582" i="16"/>
  <c r="J582" i="16"/>
  <c r="C583" i="16"/>
  <c r="D583" i="16"/>
  <c r="E583" i="16"/>
  <c r="F583" i="16"/>
  <c r="G583" i="16"/>
  <c r="H583" i="16"/>
  <c r="I583" i="16"/>
  <c r="J583" i="16"/>
  <c r="C584" i="16"/>
  <c r="D584" i="16"/>
  <c r="E584" i="16"/>
  <c r="F584" i="16"/>
  <c r="G584" i="16"/>
  <c r="H584" i="16"/>
  <c r="I584" i="16"/>
  <c r="J584" i="16"/>
  <c r="C585" i="16"/>
  <c r="D585" i="16"/>
  <c r="E585" i="16"/>
  <c r="F585" i="16"/>
  <c r="G585" i="16"/>
  <c r="H585" i="16"/>
  <c r="I585" i="16"/>
  <c r="J585" i="16"/>
  <c r="C586" i="16"/>
  <c r="D586" i="16"/>
  <c r="E586" i="16"/>
  <c r="F586" i="16"/>
  <c r="G586" i="16"/>
  <c r="H586" i="16"/>
  <c r="I586" i="16"/>
  <c r="J586" i="16"/>
  <c r="C587" i="16"/>
  <c r="D587" i="16"/>
  <c r="E587" i="16"/>
  <c r="F587" i="16"/>
  <c r="G587" i="16"/>
  <c r="H587" i="16"/>
  <c r="I587" i="16"/>
  <c r="J587" i="16"/>
  <c r="C588" i="16"/>
  <c r="D588" i="16"/>
  <c r="E588" i="16"/>
  <c r="F588" i="16"/>
  <c r="G588" i="16"/>
  <c r="H588" i="16"/>
  <c r="I588" i="16"/>
  <c r="J588" i="16"/>
  <c r="C589" i="16"/>
  <c r="D589" i="16"/>
  <c r="E589" i="16"/>
  <c r="F589" i="16"/>
  <c r="G589" i="16"/>
  <c r="H589" i="16"/>
  <c r="I589" i="16"/>
  <c r="J589" i="16"/>
  <c r="C590" i="16"/>
  <c r="D590" i="16"/>
  <c r="E590" i="16"/>
  <c r="F590" i="16"/>
  <c r="G590" i="16"/>
  <c r="H590" i="16"/>
  <c r="I590" i="16"/>
  <c r="J590" i="16"/>
  <c r="C591" i="16"/>
  <c r="D591" i="16"/>
  <c r="E591" i="16"/>
  <c r="F591" i="16"/>
  <c r="G591" i="16"/>
  <c r="H591" i="16"/>
  <c r="I591" i="16"/>
  <c r="J591" i="16"/>
  <c r="C592" i="16"/>
  <c r="D592" i="16"/>
  <c r="E592" i="16"/>
  <c r="F592" i="16"/>
  <c r="G592" i="16"/>
  <c r="H592" i="16"/>
  <c r="I592" i="16"/>
  <c r="J592" i="16"/>
  <c r="C593" i="16"/>
  <c r="D593" i="16"/>
  <c r="E593" i="16"/>
  <c r="F593" i="16"/>
  <c r="G593" i="16"/>
  <c r="H593" i="16"/>
  <c r="I593" i="16"/>
  <c r="J593" i="16"/>
  <c r="C594" i="16"/>
  <c r="D594" i="16"/>
  <c r="E594" i="16"/>
  <c r="F594" i="16"/>
  <c r="G594" i="16"/>
  <c r="H594" i="16"/>
  <c r="I594" i="16"/>
  <c r="J594" i="16"/>
  <c r="C595" i="16"/>
  <c r="D595" i="16"/>
  <c r="E595" i="16"/>
  <c r="F595" i="16"/>
  <c r="G595" i="16"/>
  <c r="H595" i="16"/>
  <c r="I595" i="16"/>
  <c r="J595" i="16"/>
  <c r="C596" i="16"/>
  <c r="D596" i="16"/>
  <c r="E596" i="16"/>
  <c r="F596" i="16"/>
  <c r="G596" i="16"/>
  <c r="H596" i="16"/>
  <c r="I596" i="16"/>
  <c r="J596" i="16"/>
  <c r="C597" i="16"/>
  <c r="D597" i="16"/>
  <c r="E597" i="16"/>
  <c r="F597" i="16"/>
  <c r="G597" i="16"/>
  <c r="H597" i="16"/>
  <c r="I597" i="16"/>
  <c r="J597" i="16"/>
  <c r="C598" i="16"/>
  <c r="D598" i="16"/>
  <c r="E598" i="16"/>
  <c r="F598" i="16"/>
  <c r="G598" i="16"/>
  <c r="H598" i="16"/>
  <c r="I598" i="16"/>
  <c r="J598" i="16"/>
  <c r="C599" i="16"/>
  <c r="D599" i="16"/>
  <c r="E599" i="16"/>
  <c r="F599" i="16"/>
  <c r="G599" i="16"/>
  <c r="H599" i="16"/>
  <c r="I599" i="16"/>
  <c r="J599" i="16"/>
  <c r="C600" i="16"/>
  <c r="D600" i="16"/>
  <c r="E600" i="16"/>
  <c r="F600" i="16"/>
  <c r="G600" i="16"/>
  <c r="H600" i="16"/>
  <c r="I600" i="16"/>
  <c r="J600" i="16"/>
  <c r="C601" i="16"/>
  <c r="D601" i="16"/>
  <c r="E601" i="16"/>
  <c r="F601" i="16"/>
  <c r="G601" i="16"/>
  <c r="H601" i="16"/>
  <c r="I601" i="16"/>
  <c r="J601" i="16"/>
  <c r="C602" i="16"/>
  <c r="D602" i="16"/>
  <c r="E602" i="16"/>
  <c r="F602" i="16"/>
  <c r="G602" i="16"/>
  <c r="H602" i="16"/>
  <c r="I602" i="16"/>
  <c r="J602" i="16"/>
  <c r="C603" i="16"/>
  <c r="D603" i="16"/>
  <c r="E603" i="16"/>
  <c r="F603" i="16"/>
  <c r="G603" i="16"/>
  <c r="H603" i="16"/>
  <c r="I603" i="16"/>
  <c r="J603" i="16"/>
  <c r="C604" i="16"/>
  <c r="D604" i="16"/>
  <c r="E604" i="16"/>
  <c r="F604" i="16"/>
  <c r="G604" i="16"/>
  <c r="H604" i="16"/>
  <c r="I604" i="16"/>
  <c r="J604" i="16"/>
  <c r="C605" i="16"/>
  <c r="D605" i="16"/>
  <c r="E605" i="16"/>
  <c r="F605" i="16"/>
  <c r="G605" i="16"/>
  <c r="H605" i="16"/>
  <c r="I605" i="16"/>
  <c r="J605" i="16"/>
  <c r="C606" i="16"/>
  <c r="D606" i="16"/>
  <c r="E606" i="16"/>
  <c r="F606" i="16"/>
  <c r="G606" i="16"/>
  <c r="H606" i="16"/>
  <c r="I606" i="16"/>
  <c r="J606" i="16"/>
  <c r="C607" i="16"/>
  <c r="D607" i="16"/>
  <c r="E607" i="16"/>
  <c r="F607" i="16"/>
  <c r="G607" i="16"/>
  <c r="H607" i="16"/>
  <c r="I607" i="16"/>
  <c r="J607" i="16"/>
  <c r="C608" i="16"/>
  <c r="D608" i="16"/>
  <c r="E608" i="16"/>
  <c r="F608" i="16"/>
  <c r="G608" i="16"/>
  <c r="H608" i="16"/>
  <c r="I608" i="16"/>
  <c r="J608" i="16"/>
  <c r="C609" i="16"/>
  <c r="D609" i="16"/>
  <c r="E609" i="16"/>
  <c r="F609" i="16"/>
  <c r="G609" i="16"/>
  <c r="H609" i="16"/>
  <c r="I609" i="16"/>
  <c r="J609" i="16"/>
  <c r="C610" i="16"/>
  <c r="D610" i="16"/>
  <c r="E610" i="16"/>
  <c r="F610" i="16"/>
  <c r="G610" i="16"/>
  <c r="H610" i="16"/>
  <c r="I610" i="16"/>
  <c r="J610" i="16"/>
  <c r="C611" i="16"/>
  <c r="D611" i="16"/>
  <c r="E611" i="16"/>
  <c r="F611" i="16"/>
  <c r="G611" i="16"/>
  <c r="H611" i="16"/>
  <c r="I611" i="16"/>
  <c r="J611" i="16"/>
  <c r="C612" i="16"/>
  <c r="D612" i="16"/>
  <c r="E612" i="16"/>
  <c r="F612" i="16"/>
  <c r="G612" i="16"/>
  <c r="H612" i="16"/>
  <c r="I612" i="16"/>
  <c r="J612" i="16"/>
  <c r="C613" i="16"/>
  <c r="D613" i="16"/>
  <c r="E613" i="16"/>
  <c r="F613" i="16"/>
  <c r="G613" i="16"/>
  <c r="H613" i="16"/>
  <c r="I613" i="16"/>
  <c r="J613" i="16"/>
  <c r="C614" i="16"/>
  <c r="D614" i="16"/>
  <c r="E614" i="16"/>
  <c r="F614" i="16"/>
  <c r="G614" i="16"/>
  <c r="H614" i="16"/>
  <c r="I614" i="16"/>
  <c r="J614" i="16"/>
  <c r="C615" i="16"/>
  <c r="D615" i="16"/>
  <c r="E615" i="16"/>
  <c r="F615" i="16"/>
  <c r="G615" i="16"/>
  <c r="H615" i="16"/>
  <c r="I615" i="16"/>
  <c r="J615" i="16"/>
  <c r="C616" i="16"/>
  <c r="D616" i="16"/>
  <c r="E616" i="16"/>
  <c r="F616" i="16"/>
  <c r="G616" i="16"/>
  <c r="H616" i="16"/>
  <c r="I616" i="16"/>
  <c r="J616" i="16"/>
  <c r="C617" i="16"/>
  <c r="D617" i="16"/>
  <c r="E617" i="16"/>
  <c r="F617" i="16"/>
  <c r="G617" i="16"/>
  <c r="H617" i="16"/>
  <c r="I617" i="16"/>
  <c r="J617" i="16"/>
  <c r="C618" i="16"/>
  <c r="D618" i="16"/>
  <c r="E618" i="16"/>
  <c r="F618" i="16"/>
  <c r="G618" i="16"/>
  <c r="H618" i="16"/>
  <c r="I618" i="16"/>
  <c r="J618" i="16"/>
  <c r="C619" i="16"/>
  <c r="D619" i="16"/>
  <c r="E619" i="16"/>
  <c r="F619" i="16"/>
  <c r="G619" i="16"/>
  <c r="H619" i="16"/>
  <c r="I619" i="16"/>
  <c r="J619" i="16"/>
  <c r="C620" i="16"/>
  <c r="D620" i="16"/>
  <c r="E620" i="16"/>
  <c r="F620" i="16"/>
  <c r="G620" i="16"/>
  <c r="H620" i="16"/>
  <c r="I620" i="16"/>
  <c r="J620" i="16"/>
  <c r="C621" i="16"/>
  <c r="D621" i="16"/>
  <c r="E621" i="16"/>
  <c r="F621" i="16"/>
  <c r="G621" i="16"/>
  <c r="H621" i="16"/>
  <c r="I621" i="16"/>
  <c r="J621" i="16"/>
  <c r="C622" i="16"/>
  <c r="D622" i="16"/>
  <c r="E622" i="16"/>
  <c r="F622" i="16"/>
  <c r="G622" i="16"/>
  <c r="H622" i="16"/>
  <c r="I622" i="16"/>
  <c r="J622" i="16"/>
  <c r="C623" i="16"/>
  <c r="D623" i="16"/>
  <c r="E623" i="16"/>
  <c r="F623" i="16"/>
  <c r="G623" i="16"/>
  <c r="H623" i="16"/>
  <c r="I623" i="16"/>
  <c r="J623" i="16"/>
  <c r="C624" i="16"/>
  <c r="D624" i="16"/>
  <c r="E624" i="16"/>
  <c r="F624" i="16"/>
  <c r="G624" i="16"/>
  <c r="H624" i="16"/>
  <c r="I624" i="16"/>
  <c r="J624" i="16"/>
  <c r="C625" i="16"/>
  <c r="D625" i="16"/>
  <c r="E625" i="16"/>
  <c r="F625" i="16"/>
  <c r="G625" i="16"/>
  <c r="H625" i="16"/>
  <c r="I625" i="16"/>
  <c r="J625" i="16"/>
  <c r="C626" i="16"/>
  <c r="D626" i="16"/>
  <c r="E626" i="16"/>
  <c r="F626" i="16"/>
  <c r="G626" i="16"/>
  <c r="H626" i="16"/>
  <c r="I626" i="16"/>
  <c r="J626" i="16"/>
  <c r="C627" i="16"/>
  <c r="D627" i="16"/>
  <c r="E627" i="16"/>
  <c r="F627" i="16"/>
  <c r="G627" i="16"/>
  <c r="H627" i="16"/>
  <c r="I627" i="16"/>
  <c r="J627" i="16"/>
  <c r="C628" i="16"/>
  <c r="D628" i="16"/>
  <c r="E628" i="16"/>
  <c r="F628" i="16"/>
  <c r="G628" i="16"/>
  <c r="H628" i="16"/>
  <c r="I628" i="16"/>
  <c r="J628" i="16"/>
  <c r="C629" i="16"/>
  <c r="D629" i="16"/>
  <c r="E629" i="16"/>
  <c r="F629" i="16"/>
  <c r="G629" i="16"/>
  <c r="H629" i="16"/>
  <c r="I629" i="16"/>
  <c r="J629" i="16"/>
  <c r="C630" i="16"/>
  <c r="D630" i="16"/>
  <c r="E630" i="16"/>
  <c r="F630" i="16"/>
  <c r="G630" i="16"/>
  <c r="H630" i="16"/>
  <c r="I630" i="16"/>
  <c r="J630" i="16"/>
  <c r="C631" i="16"/>
  <c r="D631" i="16"/>
  <c r="E631" i="16"/>
  <c r="F631" i="16"/>
  <c r="G631" i="16"/>
  <c r="H631" i="16"/>
  <c r="I631" i="16"/>
  <c r="J631" i="16"/>
  <c r="C632" i="16"/>
  <c r="D632" i="16"/>
  <c r="E632" i="16"/>
  <c r="F632" i="16"/>
  <c r="G632" i="16"/>
  <c r="H632" i="16"/>
  <c r="I632" i="16"/>
  <c r="J632" i="16"/>
  <c r="C633" i="16"/>
  <c r="D633" i="16"/>
  <c r="E633" i="16"/>
  <c r="F633" i="16"/>
  <c r="G633" i="16"/>
  <c r="H633" i="16"/>
  <c r="I633" i="16"/>
  <c r="J633" i="16"/>
  <c r="C634" i="16"/>
  <c r="D634" i="16"/>
  <c r="E634" i="16"/>
  <c r="F634" i="16"/>
  <c r="G634" i="16"/>
  <c r="H634" i="16"/>
  <c r="I634" i="16"/>
  <c r="J634" i="16"/>
  <c r="C635" i="16"/>
  <c r="D635" i="16"/>
  <c r="E635" i="16"/>
  <c r="F635" i="16"/>
  <c r="G635" i="16"/>
  <c r="H635" i="16"/>
  <c r="I635" i="16"/>
  <c r="J635" i="16"/>
  <c r="C636" i="16"/>
  <c r="D636" i="16"/>
  <c r="E636" i="16"/>
  <c r="F636" i="16"/>
  <c r="G636" i="16"/>
  <c r="H636" i="16"/>
  <c r="I636" i="16"/>
  <c r="J636" i="16"/>
  <c r="C637" i="16"/>
  <c r="D637" i="16"/>
  <c r="E637" i="16"/>
  <c r="F637" i="16"/>
  <c r="G637" i="16"/>
  <c r="H637" i="16"/>
  <c r="I637" i="16"/>
  <c r="J637" i="16"/>
  <c r="C638" i="16"/>
  <c r="D638" i="16"/>
  <c r="E638" i="16"/>
  <c r="F638" i="16"/>
  <c r="G638" i="16"/>
  <c r="H638" i="16"/>
  <c r="I638" i="16"/>
  <c r="J638" i="16"/>
  <c r="C639" i="16"/>
  <c r="D639" i="16"/>
  <c r="E639" i="16"/>
  <c r="F639" i="16"/>
  <c r="G639" i="16"/>
  <c r="H639" i="16"/>
  <c r="I639" i="16"/>
  <c r="J639" i="16"/>
  <c r="C640" i="16"/>
  <c r="D640" i="16"/>
  <c r="E640" i="16"/>
  <c r="F640" i="16"/>
  <c r="G640" i="16"/>
  <c r="H640" i="16"/>
  <c r="I640" i="16"/>
  <c r="J640" i="16"/>
  <c r="C641" i="16"/>
  <c r="D641" i="16"/>
  <c r="E641" i="16"/>
  <c r="F641" i="16"/>
  <c r="G641" i="16"/>
  <c r="H641" i="16"/>
  <c r="I641" i="16"/>
  <c r="J641" i="16"/>
  <c r="C642" i="16"/>
  <c r="D642" i="16"/>
  <c r="E642" i="16"/>
  <c r="F642" i="16"/>
  <c r="G642" i="16"/>
  <c r="H642" i="16"/>
  <c r="I642" i="16"/>
  <c r="J642" i="16"/>
  <c r="C643" i="16"/>
  <c r="D643" i="16"/>
  <c r="E643" i="16"/>
  <c r="F643" i="16"/>
  <c r="G643" i="16"/>
  <c r="H643" i="16"/>
  <c r="I643" i="16"/>
  <c r="J643" i="16"/>
  <c r="C644" i="16"/>
  <c r="D644" i="16"/>
  <c r="E644" i="16"/>
  <c r="F644" i="16"/>
  <c r="G644" i="16"/>
  <c r="H644" i="16"/>
  <c r="I644" i="16"/>
  <c r="J644" i="16"/>
  <c r="C645" i="16"/>
  <c r="D645" i="16"/>
  <c r="E645" i="16"/>
  <c r="F645" i="16"/>
  <c r="G645" i="16"/>
  <c r="H645" i="16"/>
  <c r="I645" i="16"/>
  <c r="J645" i="16"/>
  <c r="C646" i="16"/>
  <c r="D646" i="16"/>
  <c r="E646" i="16"/>
  <c r="F646" i="16"/>
  <c r="G646" i="16"/>
  <c r="H646" i="16"/>
  <c r="I646" i="16"/>
  <c r="J646" i="16"/>
  <c r="C647" i="16"/>
  <c r="D647" i="16"/>
  <c r="E647" i="16"/>
  <c r="F647" i="16"/>
  <c r="G647" i="16"/>
  <c r="H647" i="16"/>
  <c r="I647" i="16"/>
  <c r="J647" i="16"/>
  <c r="C648" i="16"/>
  <c r="D648" i="16"/>
  <c r="E648" i="16"/>
  <c r="F648" i="16"/>
  <c r="G648" i="16"/>
  <c r="H648" i="16"/>
  <c r="I648" i="16"/>
  <c r="J648" i="16"/>
  <c r="C649" i="16"/>
  <c r="D649" i="16"/>
  <c r="E649" i="16"/>
  <c r="F649" i="16"/>
  <c r="G649" i="16"/>
  <c r="H649" i="16"/>
  <c r="I649" i="16"/>
  <c r="J649" i="16"/>
  <c r="C650" i="16"/>
  <c r="D650" i="16"/>
  <c r="E650" i="16"/>
  <c r="F650" i="16"/>
  <c r="G650" i="16"/>
  <c r="H650" i="16"/>
  <c r="I650" i="16"/>
  <c r="J650" i="16"/>
  <c r="C651" i="16"/>
  <c r="D651" i="16"/>
  <c r="E651" i="16"/>
  <c r="F651" i="16"/>
  <c r="G651" i="16"/>
  <c r="H651" i="16"/>
  <c r="I651" i="16"/>
  <c r="J651" i="16"/>
  <c r="C652" i="16"/>
  <c r="D652" i="16"/>
  <c r="E652" i="16"/>
  <c r="F652" i="16"/>
  <c r="G652" i="16"/>
  <c r="H652" i="16"/>
  <c r="I652" i="16"/>
  <c r="J652" i="16"/>
  <c r="C653" i="16"/>
  <c r="D653" i="16"/>
  <c r="E653" i="16"/>
  <c r="F653" i="16"/>
  <c r="G653" i="16"/>
  <c r="H653" i="16"/>
  <c r="I653" i="16"/>
  <c r="J653" i="16"/>
  <c r="C654" i="16"/>
  <c r="D654" i="16"/>
  <c r="E654" i="16"/>
  <c r="F654" i="16"/>
  <c r="G654" i="16"/>
  <c r="H654" i="16"/>
  <c r="I654" i="16"/>
  <c r="J654" i="16"/>
  <c r="C655" i="16"/>
  <c r="D655" i="16"/>
  <c r="E655" i="16"/>
  <c r="F655" i="16"/>
  <c r="G655" i="16"/>
  <c r="H655" i="16"/>
  <c r="I655" i="16"/>
  <c r="J655" i="16"/>
  <c r="C656" i="16"/>
  <c r="D656" i="16"/>
  <c r="E656" i="16"/>
  <c r="F656" i="16"/>
  <c r="G656" i="16"/>
  <c r="H656" i="16"/>
  <c r="I656" i="16"/>
  <c r="J656" i="16"/>
  <c r="C657" i="16"/>
  <c r="D657" i="16"/>
  <c r="E657" i="16"/>
  <c r="F657" i="16"/>
  <c r="G657" i="16"/>
  <c r="H657" i="16"/>
  <c r="I657" i="16"/>
  <c r="J657" i="16"/>
  <c r="C658" i="16"/>
  <c r="D658" i="16"/>
  <c r="E658" i="16"/>
  <c r="F658" i="16"/>
  <c r="G658" i="16"/>
  <c r="H658" i="16"/>
  <c r="I658" i="16"/>
  <c r="J658" i="16"/>
  <c r="C659" i="16"/>
  <c r="D659" i="16"/>
  <c r="E659" i="16"/>
  <c r="F659" i="16"/>
  <c r="G659" i="16"/>
  <c r="H659" i="16"/>
  <c r="I659" i="16"/>
  <c r="J659" i="16"/>
  <c r="C660" i="16"/>
  <c r="D660" i="16"/>
  <c r="E660" i="16"/>
  <c r="F660" i="16"/>
  <c r="G660" i="16"/>
  <c r="H660" i="16"/>
  <c r="I660" i="16"/>
  <c r="J660" i="16"/>
  <c r="C661" i="16"/>
  <c r="D661" i="16"/>
  <c r="E661" i="16"/>
  <c r="F661" i="16"/>
  <c r="G661" i="16"/>
  <c r="H661" i="16"/>
  <c r="I661" i="16"/>
  <c r="J661" i="16"/>
  <c r="C662" i="16"/>
  <c r="D662" i="16"/>
  <c r="E662" i="16"/>
  <c r="F662" i="16"/>
  <c r="G662" i="16"/>
  <c r="H662" i="16"/>
  <c r="I662" i="16"/>
  <c r="J662" i="16"/>
  <c r="C663" i="16"/>
  <c r="D663" i="16"/>
  <c r="E663" i="16"/>
  <c r="F663" i="16"/>
  <c r="G663" i="16"/>
  <c r="H663" i="16"/>
  <c r="I663" i="16"/>
  <c r="J663" i="16"/>
  <c r="C664" i="16"/>
  <c r="D664" i="16"/>
  <c r="E664" i="16"/>
  <c r="F664" i="16"/>
  <c r="G664" i="16"/>
  <c r="H664" i="16"/>
  <c r="I664" i="16"/>
  <c r="J664" i="16"/>
  <c r="C665" i="16"/>
  <c r="D665" i="16"/>
  <c r="E665" i="16"/>
  <c r="F665" i="16"/>
  <c r="G665" i="16"/>
  <c r="H665" i="16"/>
  <c r="I665" i="16"/>
  <c r="J665" i="16"/>
  <c r="C666" i="16"/>
  <c r="D666" i="16"/>
  <c r="E666" i="16"/>
  <c r="F666" i="16"/>
  <c r="G666" i="16"/>
  <c r="H666" i="16"/>
  <c r="I666" i="16"/>
  <c r="J666" i="16"/>
  <c r="C667" i="16"/>
  <c r="D667" i="16"/>
  <c r="E667" i="16"/>
  <c r="F667" i="16"/>
  <c r="G667" i="16"/>
  <c r="H667" i="16"/>
  <c r="I667" i="16"/>
  <c r="J667" i="16"/>
  <c r="C668" i="16"/>
  <c r="D668" i="16"/>
  <c r="E668" i="16"/>
  <c r="F668" i="16"/>
  <c r="G668" i="16"/>
  <c r="H668" i="16"/>
  <c r="I668" i="16"/>
  <c r="J668" i="16"/>
  <c r="C669" i="16"/>
  <c r="D669" i="16"/>
  <c r="E669" i="16"/>
  <c r="F669" i="16"/>
  <c r="G669" i="16"/>
  <c r="H669" i="16"/>
  <c r="I669" i="16"/>
  <c r="J669" i="16"/>
  <c r="C670" i="16"/>
  <c r="D670" i="16"/>
  <c r="E670" i="16"/>
  <c r="F670" i="16"/>
  <c r="G670" i="16"/>
  <c r="H670" i="16"/>
  <c r="I670" i="16"/>
  <c r="J670" i="16"/>
  <c r="C671" i="16"/>
  <c r="D671" i="16"/>
  <c r="E671" i="16"/>
  <c r="F671" i="16"/>
  <c r="G671" i="16"/>
  <c r="H671" i="16"/>
  <c r="I671" i="16"/>
  <c r="J671" i="16"/>
  <c r="C672" i="16"/>
  <c r="D672" i="16"/>
  <c r="E672" i="16"/>
  <c r="F672" i="16"/>
  <c r="G672" i="16"/>
  <c r="H672" i="16"/>
  <c r="I672" i="16"/>
  <c r="J672" i="16"/>
  <c r="C673" i="16"/>
  <c r="D673" i="16"/>
  <c r="E673" i="16"/>
  <c r="F673" i="16"/>
  <c r="G673" i="16"/>
  <c r="H673" i="16"/>
  <c r="I673" i="16"/>
  <c r="J673" i="16"/>
  <c r="C674" i="16"/>
  <c r="D674" i="16"/>
  <c r="E674" i="16"/>
  <c r="F674" i="16"/>
  <c r="G674" i="16"/>
  <c r="H674" i="16"/>
  <c r="I674" i="16"/>
  <c r="J674" i="16"/>
  <c r="C675" i="16"/>
  <c r="D675" i="16"/>
  <c r="E675" i="16"/>
  <c r="F675" i="16"/>
  <c r="G675" i="16"/>
  <c r="H675" i="16"/>
  <c r="I675" i="16"/>
  <c r="J675" i="16"/>
  <c r="C676" i="16"/>
  <c r="D676" i="16"/>
  <c r="E676" i="16"/>
  <c r="F676" i="16"/>
  <c r="G676" i="16"/>
  <c r="H676" i="16"/>
  <c r="I676" i="16"/>
  <c r="J676" i="16"/>
  <c r="C677" i="16"/>
  <c r="D677" i="16"/>
  <c r="E677" i="16"/>
  <c r="F677" i="16"/>
  <c r="G677" i="16"/>
  <c r="H677" i="16"/>
  <c r="I677" i="16"/>
  <c r="J677" i="16"/>
  <c r="C678" i="16"/>
  <c r="D678" i="16"/>
  <c r="E678" i="16"/>
  <c r="F678" i="16"/>
  <c r="G678" i="16"/>
  <c r="H678" i="16"/>
  <c r="I678" i="16"/>
  <c r="J678" i="16"/>
  <c r="C679" i="16"/>
  <c r="D679" i="16"/>
  <c r="E679" i="16"/>
  <c r="F679" i="16"/>
  <c r="G679" i="16"/>
  <c r="H679" i="16"/>
  <c r="I679" i="16"/>
  <c r="J679" i="16"/>
  <c r="C680" i="16"/>
  <c r="D680" i="16"/>
  <c r="E680" i="16"/>
  <c r="F680" i="16"/>
  <c r="G680" i="16"/>
  <c r="H680" i="16"/>
  <c r="I680" i="16"/>
  <c r="J680" i="16"/>
  <c r="C681" i="16"/>
  <c r="D681" i="16"/>
  <c r="E681" i="16"/>
  <c r="F681" i="16"/>
  <c r="G681" i="16"/>
  <c r="H681" i="16"/>
  <c r="I681" i="16"/>
  <c r="J681" i="16"/>
  <c r="C682" i="16"/>
  <c r="D682" i="16"/>
  <c r="E682" i="16"/>
  <c r="F682" i="16"/>
  <c r="G682" i="16"/>
  <c r="H682" i="16"/>
  <c r="I682" i="16"/>
  <c r="J682" i="16"/>
  <c r="C683" i="16"/>
  <c r="D683" i="16"/>
  <c r="E683" i="16"/>
  <c r="F683" i="16"/>
  <c r="G683" i="16"/>
  <c r="H683" i="16"/>
  <c r="I683" i="16"/>
  <c r="J683" i="16"/>
  <c r="C684" i="16"/>
  <c r="D684" i="16"/>
  <c r="E684" i="16"/>
  <c r="F684" i="16"/>
  <c r="G684" i="16"/>
  <c r="H684" i="16"/>
  <c r="I684" i="16"/>
  <c r="J684" i="16"/>
  <c r="C685" i="16"/>
  <c r="D685" i="16"/>
  <c r="E685" i="16"/>
  <c r="F685" i="16"/>
  <c r="G685" i="16"/>
  <c r="H685" i="16"/>
  <c r="I685" i="16"/>
  <c r="J685" i="16"/>
  <c r="C686" i="16"/>
  <c r="D686" i="16"/>
  <c r="E686" i="16"/>
  <c r="F686" i="16"/>
  <c r="G686" i="16"/>
  <c r="H686" i="16"/>
  <c r="I686" i="16"/>
  <c r="J686" i="16"/>
  <c r="C687" i="16"/>
  <c r="D687" i="16"/>
  <c r="E687" i="16"/>
  <c r="F687" i="16"/>
  <c r="G687" i="16"/>
  <c r="H687" i="16"/>
  <c r="I687" i="16"/>
  <c r="J687" i="16"/>
  <c r="C688" i="16"/>
  <c r="D688" i="16"/>
  <c r="E688" i="16"/>
  <c r="F688" i="16"/>
  <c r="G688" i="16"/>
  <c r="H688" i="16"/>
  <c r="I688" i="16"/>
  <c r="J688" i="16"/>
  <c r="C689" i="16"/>
  <c r="D689" i="16"/>
  <c r="E689" i="16"/>
  <c r="F689" i="16"/>
  <c r="G689" i="16"/>
  <c r="H689" i="16"/>
  <c r="I689" i="16"/>
  <c r="J689" i="16"/>
  <c r="C690" i="16"/>
  <c r="D690" i="16"/>
  <c r="E690" i="16"/>
  <c r="F690" i="16"/>
  <c r="G690" i="16"/>
  <c r="H690" i="16"/>
  <c r="I690" i="16"/>
  <c r="J690" i="16"/>
  <c r="C691" i="16"/>
  <c r="D691" i="16"/>
  <c r="E691" i="16"/>
  <c r="F691" i="16"/>
  <c r="G691" i="16"/>
  <c r="H691" i="16"/>
  <c r="I691" i="16"/>
  <c r="J691" i="16"/>
  <c r="C692" i="16"/>
  <c r="D692" i="16"/>
  <c r="E692" i="16"/>
  <c r="F692" i="16"/>
  <c r="G692" i="16"/>
  <c r="H692" i="16"/>
  <c r="I692" i="16"/>
  <c r="J692" i="16"/>
  <c r="C693" i="16"/>
  <c r="D693" i="16"/>
  <c r="E693" i="16"/>
  <c r="F693" i="16"/>
  <c r="G693" i="16"/>
  <c r="H693" i="16"/>
  <c r="I693" i="16"/>
  <c r="J693" i="16"/>
  <c r="C694" i="16"/>
  <c r="D694" i="16"/>
  <c r="E694" i="16"/>
  <c r="F694" i="16"/>
  <c r="G694" i="16"/>
  <c r="H694" i="16"/>
  <c r="I694" i="16"/>
  <c r="J694" i="16"/>
  <c r="C695" i="16"/>
  <c r="D695" i="16"/>
  <c r="E695" i="16"/>
  <c r="F695" i="16"/>
  <c r="G695" i="16"/>
  <c r="H695" i="16"/>
  <c r="I695" i="16"/>
  <c r="J695" i="16"/>
  <c r="C696" i="16"/>
  <c r="D696" i="16"/>
  <c r="E696" i="16"/>
  <c r="F696" i="16"/>
  <c r="G696" i="16"/>
  <c r="H696" i="16"/>
  <c r="I696" i="16"/>
  <c r="J696" i="16"/>
  <c r="C697" i="16"/>
  <c r="D697" i="16"/>
  <c r="E697" i="16"/>
  <c r="F697" i="16"/>
  <c r="G697" i="16"/>
  <c r="H697" i="16"/>
  <c r="I697" i="16"/>
  <c r="J697" i="16"/>
  <c r="C698" i="16"/>
  <c r="D698" i="16"/>
  <c r="E698" i="16"/>
  <c r="F698" i="16"/>
  <c r="G698" i="16"/>
  <c r="H698" i="16"/>
  <c r="I698" i="16"/>
  <c r="J698" i="16"/>
  <c r="C699" i="16"/>
  <c r="D699" i="16"/>
  <c r="E699" i="16"/>
  <c r="F699" i="16"/>
  <c r="G699" i="16"/>
  <c r="H699" i="16"/>
  <c r="I699" i="16"/>
  <c r="J699" i="16"/>
  <c r="C700" i="16"/>
  <c r="D700" i="16"/>
  <c r="E700" i="16"/>
  <c r="F700" i="16"/>
  <c r="G700" i="16"/>
  <c r="H700" i="16"/>
  <c r="I700" i="16"/>
  <c r="J700" i="16"/>
  <c r="C701" i="16"/>
  <c r="D701" i="16"/>
  <c r="E701" i="16"/>
  <c r="F701" i="16"/>
  <c r="G701" i="16"/>
  <c r="H701" i="16"/>
  <c r="I701" i="16"/>
  <c r="J701" i="16"/>
  <c r="C702" i="16"/>
  <c r="D702" i="16"/>
  <c r="E702" i="16"/>
  <c r="F702" i="16"/>
  <c r="G702" i="16"/>
  <c r="H702" i="16"/>
  <c r="I702" i="16"/>
  <c r="J702" i="16"/>
  <c r="C703" i="16"/>
  <c r="D703" i="16"/>
  <c r="E703" i="16"/>
  <c r="F703" i="16"/>
  <c r="G703" i="16"/>
  <c r="H703" i="16"/>
  <c r="I703" i="16"/>
  <c r="J703" i="16"/>
  <c r="C704" i="16"/>
  <c r="D704" i="16"/>
  <c r="E704" i="16"/>
  <c r="F704" i="16"/>
  <c r="G704" i="16"/>
  <c r="H704" i="16"/>
  <c r="I704" i="16"/>
  <c r="J704" i="16"/>
  <c r="C705" i="16"/>
  <c r="D705" i="16"/>
  <c r="E705" i="16"/>
  <c r="F705" i="16"/>
  <c r="G705" i="16"/>
  <c r="H705" i="16"/>
  <c r="I705" i="16"/>
  <c r="J705" i="16"/>
  <c r="C706" i="16"/>
  <c r="D706" i="16"/>
  <c r="E706" i="16"/>
  <c r="F706" i="16"/>
  <c r="G706" i="16"/>
  <c r="H706" i="16"/>
  <c r="I706" i="16"/>
  <c r="J706" i="16"/>
  <c r="C707" i="16"/>
  <c r="D707" i="16"/>
  <c r="E707" i="16"/>
  <c r="F707" i="16"/>
  <c r="G707" i="16"/>
  <c r="H707" i="16"/>
  <c r="I707" i="16"/>
  <c r="J707" i="16"/>
  <c r="C708" i="16"/>
  <c r="D708" i="16"/>
  <c r="E708" i="16"/>
  <c r="F708" i="16"/>
  <c r="G708" i="16"/>
  <c r="H708" i="16"/>
  <c r="I708" i="16"/>
  <c r="J708" i="16"/>
  <c r="C709" i="16"/>
  <c r="D709" i="16"/>
  <c r="E709" i="16"/>
  <c r="F709" i="16"/>
  <c r="G709" i="16"/>
  <c r="H709" i="16"/>
  <c r="I709" i="16"/>
  <c r="J709" i="16"/>
  <c r="C710" i="16"/>
  <c r="D710" i="16"/>
  <c r="E710" i="16"/>
  <c r="F710" i="16"/>
  <c r="G710" i="16"/>
  <c r="H710" i="16"/>
  <c r="I710" i="16"/>
  <c r="J710" i="16"/>
  <c r="C711" i="16"/>
  <c r="D711" i="16"/>
  <c r="E711" i="16"/>
  <c r="F711" i="16"/>
  <c r="G711" i="16"/>
  <c r="H711" i="16"/>
  <c r="I711" i="16"/>
  <c r="J711" i="16"/>
  <c r="C712" i="16"/>
  <c r="D712" i="16"/>
  <c r="E712" i="16"/>
  <c r="F712" i="16"/>
  <c r="G712" i="16"/>
  <c r="H712" i="16"/>
  <c r="I712" i="16"/>
  <c r="J712" i="16"/>
  <c r="C713" i="16"/>
  <c r="D713" i="16"/>
  <c r="E713" i="16"/>
  <c r="F713" i="16"/>
  <c r="G713" i="16"/>
  <c r="H713" i="16"/>
  <c r="I713" i="16"/>
  <c r="J713" i="16"/>
  <c r="C714" i="16"/>
  <c r="D714" i="16"/>
  <c r="E714" i="16"/>
  <c r="F714" i="16"/>
  <c r="G714" i="16"/>
  <c r="H714" i="16"/>
  <c r="I714" i="16"/>
  <c r="J714" i="16"/>
  <c r="C715" i="16"/>
  <c r="D715" i="16"/>
  <c r="E715" i="16"/>
  <c r="F715" i="16"/>
  <c r="G715" i="16"/>
  <c r="H715" i="16"/>
  <c r="I715" i="16"/>
  <c r="J715" i="16"/>
  <c r="C716" i="16"/>
  <c r="D716" i="16"/>
  <c r="E716" i="16"/>
  <c r="F716" i="16"/>
  <c r="G716" i="16"/>
  <c r="H716" i="16"/>
  <c r="I716" i="16"/>
  <c r="J716" i="16"/>
  <c r="C717" i="16"/>
  <c r="D717" i="16"/>
  <c r="E717" i="16"/>
  <c r="F717" i="16"/>
  <c r="G717" i="16"/>
  <c r="H717" i="16"/>
  <c r="I717" i="16"/>
  <c r="J717" i="16"/>
  <c r="C718" i="16"/>
  <c r="D718" i="16"/>
  <c r="E718" i="16"/>
  <c r="F718" i="16"/>
  <c r="G718" i="16"/>
  <c r="H718" i="16"/>
  <c r="I718" i="16"/>
  <c r="J718" i="16"/>
  <c r="C719" i="16"/>
  <c r="D719" i="16"/>
  <c r="E719" i="16"/>
  <c r="F719" i="16"/>
  <c r="G719" i="16"/>
  <c r="H719" i="16"/>
  <c r="I719" i="16"/>
  <c r="J719" i="16"/>
  <c r="C720" i="16"/>
  <c r="D720" i="16"/>
  <c r="E720" i="16"/>
  <c r="F720" i="16"/>
  <c r="G720" i="16"/>
  <c r="H720" i="16"/>
  <c r="I720" i="16"/>
  <c r="J720" i="16"/>
  <c r="C721" i="16"/>
  <c r="D721" i="16"/>
  <c r="E721" i="16"/>
  <c r="F721" i="16"/>
  <c r="G721" i="16"/>
  <c r="H721" i="16"/>
  <c r="I721" i="16"/>
  <c r="J721" i="16"/>
  <c r="C722" i="16"/>
  <c r="D722" i="16"/>
  <c r="E722" i="16"/>
  <c r="F722" i="16"/>
  <c r="G722" i="16"/>
  <c r="H722" i="16"/>
  <c r="I722" i="16"/>
  <c r="J722" i="16"/>
  <c r="C723" i="16"/>
  <c r="D723" i="16"/>
  <c r="E723" i="16"/>
  <c r="F723" i="16"/>
  <c r="G723" i="16"/>
  <c r="H723" i="16"/>
  <c r="I723" i="16"/>
  <c r="J723" i="16"/>
  <c r="C724" i="16"/>
  <c r="D724" i="16"/>
  <c r="E724" i="16"/>
  <c r="F724" i="16"/>
  <c r="G724" i="16"/>
  <c r="H724" i="16"/>
  <c r="I724" i="16"/>
  <c r="J724" i="16"/>
  <c r="C725" i="16"/>
  <c r="D725" i="16"/>
  <c r="E725" i="16"/>
  <c r="F725" i="16"/>
  <c r="G725" i="16"/>
  <c r="H725" i="16"/>
  <c r="I725" i="16"/>
  <c r="J725" i="16"/>
  <c r="C726" i="16"/>
  <c r="D726" i="16"/>
  <c r="E726" i="16"/>
  <c r="F726" i="16"/>
  <c r="G726" i="16"/>
  <c r="H726" i="16"/>
  <c r="I726" i="16"/>
  <c r="J726" i="16"/>
  <c r="C727" i="16"/>
  <c r="D727" i="16"/>
  <c r="E727" i="16"/>
  <c r="F727" i="16"/>
  <c r="G727" i="16"/>
  <c r="H727" i="16"/>
  <c r="I727" i="16"/>
  <c r="J727" i="16"/>
  <c r="C728" i="16"/>
  <c r="D728" i="16"/>
  <c r="E728" i="16"/>
  <c r="F728" i="16"/>
  <c r="G728" i="16"/>
  <c r="H728" i="16"/>
  <c r="I728" i="16"/>
  <c r="J728" i="16"/>
  <c r="C729" i="16"/>
  <c r="D729" i="16"/>
  <c r="E729" i="16"/>
  <c r="F729" i="16"/>
  <c r="G729" i="16"/>
  <c r="H729" i="16"/>
  <c r="I729" i="16"/>
  <c r="J729" i="16"/>
  <c r="C730" i="16"/>
  <c r="D730" i="16"/>
  <c r="E730" i="16"/>
  <c r="F730" i="16"/>
  <c r="G730" i="16"/>
  <c r="H730" i="16"/>
  <c r="I730" i="16"/>
  <c r="J730" i="16"/>
  <c r="C731" i="16"/>
  <c r="D731" i="16"/>
  <c r="E731" i="16"/>
  <c r="F731" i="16"/>
  <c r="G731" i="16"/>
  <c r="H731" i="16"/>
  <c r="I731" i="16"/>
  <c r="J731" i="16"/>
  <c r="C732" i="16"/>
  <c r="D732" i="16"/>
  <c r="E732" i="16"/>
  <c r="F732" i="16"/>
  <c r="G732" i="16"/>
  <c r="H732" i="16"/>
  <c r="I732" i="16"/>
  <c r="J732" i="16"/>
  <c r="C733" i="16"/>
  <c r="D733" i="16"/>
  <c r="E733" i="16"/>
  <c r="F733" i="16"/>
  <c r="G733" i="16"/>
  <c r="H733" i="16"/>
  <c r="I733" i="16"/>
  <c r="J733" i="16"/>
  <c r="C734" i="16"/>
  <c r="D734" i="16"/>
  <c r="E734" i="16"/>
  <c r="F734" i="16"/>
  <c r="G734" i="16"/>
  <c r="H734" i="16"/>
  <c r="I734" i="16"/>
  <c r="J734" i="16"/>
  <c r="C735" i="16"/>
  <c r="D735" i="16"/>
  <c r="E735" i="16"/>
  <c r="F735" i="16"/>
  <c r="G735" i="16"/>
  <c r="H735" i="16"/>
  <c r="I735" i="16"/>
  <c r="J735" i="16"/>
  <c r="C736" i="16"/>
  <c r="D736" i="16"/>
  <c r="E736" i="16"/>
  <c r="F736" i="16"/>
  <c r="G736" i="16"/>
  <c r="H736" i="16"/>
  <c r="I736" i="16"/>
  <c r="J736" i="16"/>
  <c r="C737" i="16"/>
  <c r="D737" i="16"/>
  <c r="E737" i="16"/>
  <c r="F737" i="16"/>
  <c r="G737" i="16"/>
  <c r="H737" i="16"/>
  <c r="I737" i="16"/>
  <c r="J737" i="16"/>
  <c r="C738" i="16"/>
  <c r="D738" i="16"/>
  <c r="E738" i="16"/>
  <c r="F738" i="16"/>
  <c r="G738" i="16"/>
  <c r="H738" i="16"/>
  <c r="I738" i="16"/>
  <c r="J738" i="16"/>
  <c r="C739" i="16"/>
  <c r="D739" i="16"/>
  <c r="E739" i="16"/>
  <c r="F739" i="16"/>
  <c r="G739" i="16"/>
  <c r="H739" i="16"/>
  <c r="I739" i="16"/>
  <c r="J739" i="16"/>
  <c r="C740" i="16"/>
  <c r="D740" i="16"/>
  <c r="E740" i="16"/>
  <c r="F740" i="16"/>
  <c r="G740" i="16"/>
  <c r="H740" i="16"/>
  <c r="I740" i="16"/>
  <c r="J740" i="16"/>
  <c r="C741" i="16"/>
  <c r="D741" i="16"/>
  <c r="E741" i="16"/>
  <c r="F741" i="16"/>
  <c r="G741" i="16"/>
  <c r="H741" i="16"/>
  <c r="I741" i="16"/>
  <c r="J741" i="16"/>
  <c r="C742" i="16"/>
  <c r="D742" i="16"/>
  <c r="E742" i="16"/>
  <c r="F742" i="16"/>
  <c r="G742" i="16"/>
  <c r="H742" i="16"/>
  <c r="I742" i="16"/>
  <c r="J742" i="16"/>
  <c r="C743" i="16"/>
  <c r="D743" i="16"/>
  <c r="E743" i="16"/>
  <c r="F743" i="16"/>
  <c r="G743" i="16"/>
  <c r="H743" i="16"/>
  <c r="I743" i="16"/>
  <c r="J743" i="16"/>
  <c r="C744" i="16"/>
  <c r="D744" i="16"/>
  <c r="E744" i="16"/>
  <c r="F744" i="16"/>
  <c r="G744" i="16"/>
  <c r="H744" i="16"/>
  <c r="I744" i="16"/>
  <c r="J744" i="16"/>
  <c r="C745" i="16"/>
  <c r="D745" i="16"/>
  <c r="E745" i="16"/>
  <c r="F745" i="16"/>
  <c r="G745" i="16"/>
  <c r="H745" i="16"/>
  <c r="I745" i="16"/>
  <c r="J745" i="16"/>
  <c r="C746" i="16"/>
  <c r="D746" i="16"/>
  <c r="E746" i="16"/>
  <c r="F746" i="16"/>
  <c r="G746" i="16"/>
  <c r="H746" i="16"/>
  <c r="I746" i="16"/>
  <c r="J746" i="16"/>
  <c r="C747" i="16"/>
  <c r="D747" i="16"/>
  <c r="E747" i="16"/>
  <c r="F747" i="16"/>
  <c r="G747" i="16"/>
  <c r="H747" i="16"/>
  <c r="I747" i="16"/>
  <c r="J747" i="16"/>
  <c r="C748" i="16"/>
  <c r="D748" i="16"/>
  <c r="E748" i="16"/>
  <c r="F748" i="16"/>
  <c r="G748" i="16"/>
  <c r="H748" i="16"/>
  <c r="I748" i="16"/>
  <c r="J748" i="16"/>
  <c r="C749" i="16"/>
  <c r="D749" i="16"/>
  <c r="E749" i="16"/>
  <c r="F749" i="16"/>
  <c r="G749" i="16"/>
  <c r="H749" i="16"/>
  <c r="I749" i="16"/>
  <c r="J749" i="16"/>
  <c r="C750" i="16"/>
  <c r="D750" i="16"/>
  <c r="E750" i="16"/>
  <c r="F750" i="16"/>
  <c r="G750" i="16"/>
  <c r="H750" i="16"/>
  <c r="I750" i="16"/>
  <c r="J750" i="16"/>
  <c r="C751" i="16"/>
  <c r="D751" i="16"/>
  <c r="E751" i="16"/>
  <c r="F751" i="16"/>
  <c r="G751" i="16"/>
  <c r="H751" i="16"/>
  <c r="I751" i="16"/>
  <c r="J751" i="16"/>
  <c r="C752" i="16"/>
  <c r="D752" i="16"/>
  <c r="E752" i="16"/>
  <c r="F752" i="16"/>
  <c r="G752" i="16"/>
  <c r="H752" i="16"/>
  <c r="I752" i="16"/>
  <c r="J752" i="16"/>
  <c r="C753" i="16"/>
  <c r="D753" i="16"/>
  <c r="E753" i="16"/>
  <c r="F753" i="16"/>
  <c r="G753" i="16"/>
  <c r="H753" i="16"/>
  <c r="I753" i="16"/>
  <c r="J753" i="16"/>
  <c r="C754" i="16"/>
  <c r="D754" i="16"/>
  <c r="E754" i="16"/>
  <c r="F754" i="16"/>
  <c r="G754" i="16"/>
  <c r="H754" i="16"/>
  <c r="I754" i="16"/>
  <c r="J754" i="16"/>
  <c r="C755" i="16"/>
  <c r="D755" i="16"/>
  <c r="E755" i="16"/>
  <c r="F755" i="16"/>
  <c r="G755" i="16"/>
  <c r="H755" i="16"/>
  <c r="I755" i="16"/>
  <c r="J755" i="16"/>
  <c r="C756" i="16"/>
  <c r="D756" i="16"/>
  <c r="E756" i="16"/>
  <c r="F756" i="16"/>
  <c r="G756" i="16"/>
  <c r="H756" i="16"/>
  <c r="I756" i="16"/>
  <c r="J756" i="16"/>
  <c r="C757" i="16"/>
  <c r="D757" i="16"/>
  <c r="E757" i="16"/>
  <c r="F757" i="16"/>
  <c r="G757" i="16"/>
  <c r="H757" i="16"/>
  <c r="I757" i="16"/>
  <c r="J757" i="16"/>
  <c r="C758" i="16"/>
  <c r="D758" i="16"/>
  <c r="E758" i="16"/>
  <c r="F758" i="16"/>
  <c r="G758" i="16"/>
  <c r="H758" i="16"/>
  <c r="I758" i="16"/>
  <c r="J758" i="16"/>
  <c r="C759" i="16"/>
  <c r="D759" i="16"/>
  <c r="E759" i="16"/>
  <c r="F759" i="16"/>
  <c r="G759" i="16"/>
  <c r="H759" i="16"/>
  <c r="I759" i="16"/>
  <c r="J759" i="16"/>
  <c r="C760" i="16"/>
  <c r="D760" i="16"/>
  <c r="E760" i="16"/>
  <c r="F760" i="16"/>
  <c r="G760" i="16"/>
  <c r="H760" i="16"/>
  <c r="I760" i="16"/>
  <c r="J760" i="16"/>
  <c r="C761" i="16"/>
  <c r="D761" i="16"/>
  <c r="E761" i="16"/>
  <c r="F761" i="16"/>
  <c r="G761" i="16"/>
  <c r="H761" i="16"/>
  <c r="I761" i="16"/>
  <c r="J761" i="16"/>
  <c r="C762" i="16"/>
  <c r="D762" i="16"/>
  <c r="E762" i="16"/>
  <c r="F762" i="16"/>
  <c r="G762" i="16"/>
  <c r="H762" i="16"/>
  <c r="I762" i="16"/>
  <c r="J762" i="16"/>
  <c r="C763" i="16"/>
  <c r="D763" i="16"/>
  <c r="E763" i="16"/>
  <c r="F763" i="16"/>
  <c r="G763" i="16"/>
  <c r="H763" i="16"/>
  <c r="I763" i="16"/>
  <c r="J763" i="16"/>
  <c r="C764" i="16"/>
  <c r="D764" i="16"/>
  <c r="E764" i="16"/>
  <c r="F764" i="16"/>
  <c r="G764" i="16"/>
  <c r="H764" i="16"/>
  <c r="I764" i="16"/>
  <c r="J764" i="16"/>
  <c r="C765" i="16"/>
  <c r="D765" i="16"/>
  <c r="E765" i="16"/>
  <c r="F765" i="16"/>
  <c r="G765" i="16"/>
  <c r="H765" i="16"/>
  <c r="I765" i="16"/>
  <c r="J765" i="16"/>
  <c r="C766" i="16"/>
  <c r="D766" i="16"/>
  <c r="E766" i="16"/>
  <c r="F766" i="16"/>
  <c r="G766" i="16"/>
  <c r="H766" i="16"/>
  <c r="I766" i="16"/>
  <c r="J766" i="16"/>
  <c r="C767" i="16"/>
  <c r="D767" i="16"/>
  <c r="E767" i="16"/>
  <c r="F767" i="16"/>
  <c r="G767" i="16"/>
  <c r="H767" i="16"/>
  <c r="I767" i="16"/>
  <c r="J767" i="16"/>
  <c r="C768" i="16"/>
  <c r="D768" i="16"/>
  <c r="E768" i="16"/>
  <c r="F768" i="16"/>
  <c r="G768" i="16"/>
  <c r="H768" i="16"/>
  <c r="I768" i="16"/>
  <c r="J768" i="16"/>
  <c r="C769" i="16"/>
  <c r="D769" i="16"/>
  <c r="E769" i="16"/>
  <c r="F769" i="16"/>
  <c r="G769" i="16"/>
  <c r="H769" i="16"/>
  <c r="I769" i="16"/>
  <c r="J769" i="16"/>
  <c r="C770" i="16"/>
  <c r="D770" i="16"/>
  <c r="E770" i="16"/>
  <c r="F770" i="16"/>
  <c r="G770" i="16"/>
  <c r="H770" i="16"/>
  <c r="I770" i="16"/>
  <c r="J770" i="16"/>
  <c r="C771" i="16"/>
  <c r="D771" i="16"/>
  <c r="E771" i="16"/>
  <c r="F771" i="16"/>
  <c r="G771" i="16"/>
  <c r="H771" i="16"/>
  <c r="I771" i="16"/>
  <c r="J771" i="16"/>
  <c r="C772" i="16"/>
  <c r="D772" i="16"/>
  <c r="E772" i="16"/>
  <c r="F772" i="16"/>
  <c r="G772" i="16"/>
  <c r="H772" i="16"/>
  <c r="I772" i="16"/>
  <c r="J772" i="16"/>
  <c r="C773" i="16"/>
  <c r="D773" i="16"/>
  <c r="E773" i="16"/>
  <c r="F773" i="16"/>
  <c r="G773" i="16"/>
  <c r="H773" i="16"/>
  <c r="I773" i="16"/>
  <c r="J773" i="16"/>
  <c r="C774" i="16"/>
  <c r="D774" i="16"/>
  <c r="E774" i="16"/>
  <c r="F774" i="16"/>
  <c r="G774" i="16"/>
  <c r="H774" i="16"/>
  <c r="I774" i="16"/>
  <c r="J774" i="16"/>
  <c r="C775" i="16"/>
  <c r="D775" i="16"/>
  <c r="E775" i="16"/>
  <c r="F775" i="16"/>
  <c r="G775" i="16"/>
  <c r="H775" i="16"/>
  <c r="I775" i="16"/>
  <c r="J775" i="16"/>
  <c r="C776" i="16"/>
  <c r="D776" i="16"/>
  <c r="E776" i="16"/>
  <c r="F776" i="16"/>
  <c r="G776" i="16"/>
  <c r="H776" i="16"/>
  <c r="I776" i="16"/>
  <c r="J776" i="16"/>
  <c r="C777" i="16"/>
  <c r="D777" i="16"/>
  <c r="E777" i="16"/>
  <c r="F777" i="16"/>
  <c r="G777" i="16"/>
  <c r="H777" i="16"/>
  <c r="I777" i="16"/>
  <c r="J777" i="16"/>
  <c r="C778" i="16"/>
  <c r="D778" i="16"/>
  <c r="E778" i="16"/>
  <c r="F778" i="16"/>
  <c r="G778" i="16"/>
  <c r="H778" i="16"/>
  <c r="I778" i="16"/>
  <c r="J778" i="16"/>
  <c r="C779" i="16"/>
  <c r="D779" i="16"/>
  <c r="E779" i="16"/>
  <c r="F779" i="16"/>
  <c r="G779" i="16"/>
  <c r="H779" i="16"/>
  <c r="I779" i="16"/>
  <c r="J779" i="16"/>
  <c r="C780" i="16"/>
  <c r="D780" i="16"/>
  <c r="E780" i="16"/>
  <c r="F780" i="16"/>
  <c r="G780" i="16"/>
  <c r="H780" i="16"/>
  <c r="I780" i="16"/>
  <c r="J780" i="16"/>
  <c r="C781" i="16"/>
  <c r="D781" i="16"/>
  <c r="E781" i="16"/>
  <c r="F781" i="16"/>
  <c r="G781" i="16"/>
  <c r="H781" i="16"/>
  <c r="I781" i="16"/>
  <c r="J781" i="16"/>
  <c r="C782" i="16"/>
  <c r="D782" i="16"/>
  <c r="E782" i="16"/>
  <c r="F782" i="16"/>
  <c r="G782" i="16"/>
  <c r="H782" i="16"/>
  <c r="I782" i="16"/>
  <c r="J782" i="16"/>
  <c r="C783" i="16"/>
  <c r="D783" i="16"/>
  <c r="E783" i="16"/>
  <c r="F783" i="16"/>
  <c r="G783" i="16"/>
  <c r="H783" i="16"/>
  <c r="I783" i="16"/>
  <c r="J783" i="16"/>
  <c r="C784" i="16"/>
  <c r="D784" i="16"/>
  <c r="E784" i="16"/>
  <c r="F784" i="16"/>
  <c r="G784" i="16"/>
  <c r="H784" i="16"/>
  <c r="I784" i="16"/>
  <c r="J784" i="16"/>
  <c r="C785" i="16"/>
  <c r="D785" i="16"/>
  <c r="E785" i="16"/>
  <c r="F785" i="16"/>
  <c r="G785" i="16"/>
  <c r="H785" i="16"/>
  <c r="I785" i="16"/>
  <c r="J785" i="16"/>
  <c r="C786" i="16"/>
  <c r="D786" i="16"/>
  <c r="E786" i="16"/>
  <c r="F786" i="16"/>
  <c r="G786" i="16"/>
  <c r="H786" i="16"/>
  <c r="I786" i="16"/>
  <c r="J786" i="16"/>
  <c r="C787" i="16"/>
  <c r="D787" i="16"/>
  <c r="E787" i="16"/>
  <c r="F787" i="16"/>
  <c r="G787" i="16"/>
  <c r="H787" i="16"/>
  <c r="I787" i="16"/>
  <c r="J787" i="16"/>
  <c r="C788" i="16"/>
  <c r="D788" i="16"/>
  <c r="E788" i="16"/>
  <c r="F788" i="16"/>
  <c r="G788" i="16"/>
  <c r="H788" i="16"/>
  <c r="I788" i="16"/>
  <c r="J788" i="16"/>
  <c r="C789" i="16"/>
  <c r="D789" i="16"/>
  <c r="E789" i="16"/>
  <c r="F789" i="16"/>
  <c r="G789" i="16"/>
  <c r="H789" i="16"/>
  <c r="I789" i="16"/>
  <c r="J789" i="16"/>
  <c r="C790" i="16"/>
  <c r="D790" i="16"/>
  <c r="E790" i="16"/>
  <c r="F790" i="16"/>
  <c r="G790" i="16"/>
  <c r="H790" i="16"/>
  <c r="I790" i="16"/>
  <c r="J790" i="16"/>
  <c r="C791" i="16"/>
  <c r="D791" i="16"/>
  <c r="E791" i="16"/>
  <c r="F791" i="16"/>
  <c r="G791" i="16"/>
  <c r="H791" i="16"/>
  <c r="I791" i="16"/>
  <c r="J791" i="16"/>
  <c r="C792" i="16"/>
  <c r="D792" i="16"/>
  <c r="E792" i="16"/>
  <c r="F792" i="16"/>
  <c r="G792" i="16"/>
  <c r="H792" i="16"/>
  <c r="I792" i="16"/>
  <c r="J792" i="16"/>
  <c r="C793" i="16"/>
  <c r="D793" i="16"/>
  <c r="E793" i="16"/>
  <c r="F793" i="16"/>
  <c r="G793" i="16"/>
  <c r="H793" i="16"/>
  <c r="I793" i="16"/>
  <c r="J793" i="16"/>
  <c r="C794" i="16"/>
  <c r="D794" i="16"/>
  <c r="E794" i="16"/>
  <c r="F794" i="16"/>
  <c r="G794" i="16"/>
  <c r="H794" i="16"/>
  <c r="I794" i="16"/>
  <c r="J794" i="16"/>
  <c r="C795" i="16"/>
  <c r="D795" i="16"/>
  <c r="E795" i="16"/>
  <c r="F795" i="16"/>
  <c r="G795" i="16"/>
  <c r="H795" i="16"/>
  <c r="I795" i="16"/>
  <c r="J795" i="16"/>
  <c r="C796" i="16"/>
  <c r="D796" i="16"/>
  <c r="E796" i="16"/>
  <c r="F796" i="16"/>
  <c r="G796" i="16"/>
  <c r="H796" i="16"/>
  <c r="I796" i="16"/>
  <c r="J796" i="16"/>
  <c r="C797" i="16"/>
  <c r="D797" i="16"/>
  <c r="E797" i="16"/>
  <c r="F797" i="16"/>
  <c r="G797" i="16"/>
  <c r="H797" i="16"/>
  <c r="I797" i="16"/>
  <c r="J797" i="16"/>
  <c r="C798" i="16"/>
  <c r="D798" i="16"/>
  <c r="E798" i="16"/>
  <c r="F798" i="16"/>
  <c r="G798" i="16"/>
  <c r="H798" i="16"/>
  <c r="I798" i="16"/>
  <c r="J798" i="16"/>
  <c r="C799" i="16"/>
  <c r="D799" i="16"/>
  <c r="E799" i="16"/>
  <c r="F799" i="16"/>
  <c r="G799" i="16"/>
  <c r="H799" i="16"/>
  <c r="I799" i="16"/>
  <c r="J799" i="16"/>
  <c r="C800" i="16"/>
  <c r="D800" i="16"/>
  <c r="E800" i="16"/>
  <c r="F800" i="16"/>
  <c r="G800" i="16"/>
  <c r="H800" i="16"/>
  <c r="I800" i="16"/>
  <c r="J800" i="16"/>
  <c r="C801" i="16"/>
  <c r="D801" i="16"/>
  <c r="E801" i="16"/>
  <c r="F801" i="16"/>
  <c r="G801" i="16"/>
  <c r="H801" i="16"/>
  <c r="I801" i="16"/>
  <c r="J801" i="16"/>
  <c r="C802" i="16"/>
  <c r="D802" i="16"/>
  <c r="E802" i="16"/>
  <c r="F802" i="16"/>
  <c r="G802" i="16"/>
  <c r="H802" i="16"/>
  <c r="I802" i="16"/>
  <c r="J802" i="16"/>
  <c r="C803" i="16"/>
  <c r="D803" i="16"/>
  <c r="E803" i="16"/>
  <c r="F803" i="16"/>
  <c r="G803" i="16"/>
  <c r="H803" i="16"/>
  <c r="I803" i="16"/>
  <c r="J803" i="16"/>
  <c r="C804" i="16"/>
  <c r="D804" i="16"/>
  <c r="E804" i="16"/>
  <c r="F804" i="16"/>
  <c r="G804" i="16"/>
  <c r="H804" i="16"/>
  <c r="I804" i="16"/>
  <c r="J804" i="16"/>
  <c r="C805" i="16"/>
  <c r="D805" i="16"/>
  <c r="E805" i="16"/>
  <c r="F805" i="16"/>
  <c r="G805" i="16"/>
  <c r="H805" i="16"/>
  <c r="I805" i="16"/>
  <c r="J805" i="16"/>
  <c r="C806" i="16"/>
  <c r="D806" i="16"/>
  <c r="E806" i="16"/>
  <c r="F806" i="16"/>
  <c r="G806" i="16"/>
  <c r="H806" i="16"/>
  <c r="I806" i="16"/>
  <c r="J806" i="16"/>
  <c r="C807" i="16"/>
  <c r="D807" i="16"/>
  <c r="E807" i="16"/>
  <c r="F807" i="16"/>
  <c r="G807" i="16"/>
  <c r="H807" i="16"/>
  <c r="I807" i="16"/>
  <c r="J807" i="16"/>
  <c r="C808" i="16"/>
  <c r="D808" i="16"/>
  <c r="E808" i="16"/>
  <c r="F808" i="16"/>
  <c r="G808" i="16"/>
  <c r="H808" i="16"/>
  <c r="I808" i="16"/>
  <c r="J808" i="16"/>
  <c r="C809" i="16"/>
  <c r="D809" i="16"/>
  <c r="E809" i="16"/>
  <c r="F809" i="16"/>
  <c r="G809" i="16"/>
  <c r="H809" i="16"/>
  <c r="I809" i="16"/>
  <c r="J809" i="16"/>
  <c r="C810" i="16"/>
  <c r="D810" i="16"/>
  <c r="E810" i="16"/>
  <c r="F810" i="16"/>
  <c r="G810" i="16"/>
  <c r="H810" i="16"/>
  <c r="I810" i="16"/>
  <c r="J810" i="16"/>
  <c r="C811" i="16"/>
  <c r="D811" i="16"/>
  <c r="E811" i="16"/>
  <c r="F811" i="16"/>
  <c r="G811" i="16"/>
  <c r="H811" i="16"/>
  <c r="I811" i="16"/>
  <c r="J811" i="16"/>
  <c r="C812" i="16"/>
  <c r="D812" i="16"/>
  <c r="E812" i="16"/>
  <c r="F812" i="16"/>
  <c r="G812" i="16"/>
  <c r="H812" i="16"/>
  <c r="I812" i="16"/>
  <c r="J812" i="16"/>
  <c r="C813" i="16"/>
  <c r="D813" i="16"/>
  <c r="E813" i="16"/>
  <c r="F813" i="16"/>
  <c r="G813" i="16"/>
  <c r="H813" i="16"/>
  <c r="I813" i="16"/>
  <c r="J813" i="16"/>
  <c r="C814" i="16"/>
  <c r="D814" i="16"/>
  <c r="E814" i="16"/>
  <c r="F814" i="16"/>
  <c r="G814" i="16"/>
  <c r="H814" i="16"/>
  <c r="I814" i="16"/>
  <c r="J814" i="16"/>
  <c r="C815" i="16"/>
  <c r="D815" i="16"/>
  <c r="E815" i="16"/>
  <c r="F815" i="16"/>
  <c r="G815" i="16"/>
  <c r="H815" i="16"/>
  <c r="I815" i="16"/>
  <c r="J815" i="16"/>
  <c r="C816" i="16"/>
  <c r="D816" i="16"/>
  <c r="E816" i="16"/>
  <c r="F816" i="16"/>
  <c r="G816" i="16"/>
  <c r="H816" i="16"/>
  <c r="I816" i="16"/>
  <c r="J816" i="16"/>
  <c r="C817" i="16"/>
  <c r="D817" i="16"/>
  <c r="E817" i="16"/>
  <c r="F817" i="16"/>
  <c r="G817" i="16"/>
  <c r="H817" i="16"/>
  <c r="I817" i="16"/>
  <c r="J817" i="16"/>
  <c r="C818" i="16"/>
  <c r="D818" i="16"/>
  <c r="E818" i="16"/>
  <c r="F818" i="16"/>
  <c r="G818" i="16"/>
  <c r="H818" i="16"/>
  <c r="I818" i="16"/>
  <c r="J818" i="16"/>
  <c r="C819" i="16"/>
  <c r="D819" i="16"/>
  <c r="E819" i="16"/>
  <c r="F819" i="16"/>
  <c r="G819" i="16"/>
  <c r="H819" i="16"/>
  <c r="I819" i="16"/>
  <c r="J819" i="16"/>
  <c r="C820" i="16"/>
  <c r="D820" i="16"/>
  <c r="E820" i="16"/>
  <c r="F820" i="16"/>
  <c r="G820" i="16"/>
  <c r="H820" i="16"/>
  <c r="I820" i="16"/>
  <c r="J820" i="16"/>
  <c r="C821" i="16"/>
  <c r="D821" i="16"/>
  <c r="E821" i="16"/>
  <c r="F821" i="16"/>
  <c r="G821" i="16"/>
  <c r="H821" i="16"/>
  <c r="I821" i="16"/>
  <c r="J821" i="16"/>
  <c r="C822" i="16"/>
  <c r="D822" i="16"/>
  <c r="E822" i="16"/>
  <c r="F822" i="16"/>
  <c r="G822" i="16"/>
  <c r="H822" i="16"/>
  <c r="I822" i="16"/>
  <c r="J822" i="16"/>
  <c r="C823" i="16"/>
  <c r="D823" i="16"/>
  <c r="E823" i="16"/>
  <c r="F823" i="16"/>
  <c r="G823" i="16"/>
  <c r="H823" i="16"/>
  <c r="I823" i="16"/>
  <c r="J823" i="16"/>
  <c r="C824" i="16"/>
  <c r="D824" i="16"/>
  <c r="E824" i="16"/>
  <c r="F824" i="16"/>
  <c r="G824" i="16"/>
  <c r="H824" i="16"/>
  <c r="I824" i="16"/>
  <c r="J824" i="16"/>
  <c r="C825" i="16"/>
  <c r="D825" i="16"/>
  <c r="E825" i="16"/>
  <c r="F825" i="16"/>
  <c r="G825" i="16"/>
  <c r="H825" i="16"/>
  <c r="I825" i="16"/>
  <c r="J825" i="16"/>
  <c r="C826" i="16"/>
  <c r="D826" i="16"/>
  <c r="E826" i="16"/>
  <c r="F826" i="16"/>
  <c r="G826" i="16"/>
  <c r="H826" i="16"/>
  <c r="I826" i="16"/>
  <c r="J826" i="16"/>
  <c r="C827" i="16"/>
  <c r="D827" i="16"/>
  <c r="E827" i="16"/>
  <c r="F827" i="16"/>
  <c r="G827" i="16"/>
  <c r="H827" i="16"/>
  <c r="I827" i="16"/>
  <c r="J827" i="16"/>
  <c r="C828" i="16"/>
  <c r="D828" i="16"/>
  <c r="E828" i="16"/>
  <c r="F828" i="16"/>
  <c r="G828" i="16"/>
  <c r="H828" i="16"/>
  <c r="I828" i="16"/>
  <c r="J828" i="16"/>
  <c r="C829" i="16"/>
  <c r="D829" i="16"/>
  <c r="E829" i="16"/>
  <c r="F829" i="16"/>
  <c r="G829" i="16"/>
  <c r="H829" i="16"/>
  <c r="I829" i="16"/>
  <c r="J829" i="16"/>
  <c r="C830" i="16"/>
  <c r="D830" i="16"/>
  <c r="E830" i="16"/>
  <c r="F830" i="16"/>
  <c r="G830" i="16"/>
  <c r="H830" i="16"/>
  <c r="I830" i="16"/>
  <c r="J830" i="16"/>
  <c r="C831" i="16"/>
  <c r="D831" i="16"/>
  <c r="E831" i="16"/>
  <c r="F831" i="16"/>
  <c r="G831" i="16"/>
  <c r="H831" i="16"/>
  <c r="I831" i="16"/>
  <c r="J831" i="16"/>
  <c r="C832" i="16"/>
  <c r="D832" i="16"/>
  <c r="E832" i="16"/>
  <c r="F832" i="16"/>
  <c r="G832" i="16"/>
  <c r="H832" i="16"/>
  <c r="I832" i="16"/>
  <c r="J832" i="16"/>
  <c r="C833" i="16"/>
  <c r="D833" i="16"/>
  <c r="E833" i="16"/>
  <c r="F833" i="16"/>
  <c r="G833" i="16"/>
  <c r="H833" i="16"/>
  <c r="I833" i="16"/>
  <c r="J833" i="16"/>
  <c r="C834" i="16"/>
  <c r="D834" i="16"/>
  <c r="E834" i="16"/>
  <c r="F834" i="16"/>
  <c r="G834" i="16"/>
  <c r="H834" i="16"/>
  <c r="I834" i="16"/>
  <c r="J834" i="16"/>
  <c r="C835" i="16"/>
  <c r="D835" i="16"/>
  <c r="E835" i="16"/>
  <c r="F835" i="16"/>
  <c r="G835" i="16"/>
  <c r="H835" i="16"/>
  <c r="I835" i="16"/>
  <c r="J835" i="16"/>
  <c r="C836" i="16"/>
  <c r="D836" i="16"/>
  <c r="E836" i="16"/>
  <c r="F836" i="16"/>
  <c r="G836" i="16"/>
  <c r="H836" i="16"/>
  <c r="I836" i="16"/>
  <c r="J836" i="16"/>
  <c r="C837" i="16"/>
  <c r="D837" i="16"/>
  <c r="E837" i="16"/>
  <c r="F837" i="16"/>
  <c r="G837" i="16"/>
  <c r="H837" i="16"/>
  <c r="I837" i="16"/>
  <c r="J837" i="16"/>
  <c r="C838" i="16"/>
  <c r="D838" i="16"/>
  <c r="E838" i="16"/>
  <c r="F838" i="16"/>
  <c r="G838" i="16"/>
  <c r="H838" i="16"/>
  <c r="I838" i="16"/>
  <c r="J838" i="16"/>
  <c r="C839" i="16"/>
  <c r="D839" i="16"/>
  <c r="E839" i="16"/>
  <c r="F839" i="16"/>
  <c r="G839" i="16"/>
  <c r="H839" i="16"/>
  <c r="I839" i="16"/>
  <c r="J839" i="16"/>
  <c r="C840" i="16"/>
  <c r="D840" i="16"/>
  <c r="E840" i="16"/>
  <c r="F840" i="16"/>
  <c r="G840" i="16"/>
  <c r="H840" i="16"/>
  <c r="I840" i="16"/>
  <c r="J840" i="16"/>
  <c r="C841" i="16"/>
  <c r="D841" i="16"/>
  <c r="E841" i="16"/>
  <c r="F841" i="16"/>
  <c r="G841" i="16"/>
  <c r="H841" i="16"/>
  <c r="I841" i="16"/>
  <c r="J841" i="16"/>
  <c r="C842" i="16"/>
  <c r="D842" i="16"/>
  <c r="E842" i="16"/>
  <c r="F842" i="16"/>
  <c r="G842" i="16"/>
  <c r="H842" i="16"/>
  <c r="I842" i="16"/>
  <c r="J842" i="16"/>
  <c r="C843" i="16"/>
  <c r="D843" i="16"/>
  <c r="E843" i="16"/>
  <c r="F843" i="16"/>
  <c r="G843" i="16"/>
  <c r="H843" i="16"/>
  <c r="I843" i="16"/>
  <c r="J843" i="16"/>
  <c r="C844" i="16"/>
  <c r="D844" i="16"/>
  <c r="E844" i="16"/>
  <c r="F844" i="16"/>
  <c r="G844" i="16"/>
  <c r="H844" i="16"/>
  <c r="I844" i="16"/>
  <c r="J844" i="16"/>
  <c r="C845" i="16"/>
  <c r="D845" i="16"/>
  <c r="E845" i="16"/>
  <c r="F845" i="16"/>
  <c r="G845" i="16"/>
  <c r="H845" i="16"/>
  <c r="I845" i="16"/>
  <c r="J845" i="16"/>
  <c r="C846" i="16"/>
  <c r="D846" i="16"/>
  <c r="E846" i="16"/>
  <c r="F846" i="16"/>
  <c r="G846" i="16"/>
  <c r="H846" i="16"/>
  <c r="I846" i="16"/>
  <c r="J846" i="16"/>
  <c r="C847" i="16"/>
  <c r="D847" i="16"/>
  <c r="E847" i="16"/>
  <c r="F847" i="16"/>
  <c r="G847" i="16"/>
  <c r="H847" i="16"/>
  <c r="I847" i="16"/>
  <c r="J847" i="16"/>
  <c r="C848" i="16"/>
  <c r="D848" i="16"/>
  <c r="E848" i="16"/>
  <c r="F848" i="16"/>
  <c r="G848" i="16"/>
  <c r="H848" i="16"/>
  <c r="I848" i="16"/>
  <c r="J848" i="16"/>
  <c r="C849" i="16"/>
  <c r="D849" i="16"/>
  <c r="E849" i="16"/>
  <c r="F849" i="16"/>
  <c r="G849" i="16"/>
  <c r="H849" i="16"/>
  <c r="I849" i="16"/>
  <c r="J849" i="16"/>
  <c r="C850" i="16"/>
  <c r="D850" i="16"/>
  <c r="E850" i="16"/>
  <c r="F850" i="16"/>
  <c r="G850" i="16"/>
  <c r="H850" i="16"/>
  <c r="I850" i="16"/>
  <c r="J850" i="16"/>
  <c r="C851" i="16"/>
  <c r="D851" i="16"/>
  <c r="E851" i="16"/>
  <c r="F851" i="16"/>
  <c r="G851" i="16"/>
  <c r="H851" i="16"/>
  <c r="I851" i="16"/>
  <c r="J851" i="16"/>
  <c r="C852" i="16"/>
  <c r="D852" i="16"/>
  <c r="E852" i="16"/>
  <c r="F852" i="16"/>
  <c r="G852" i="16"/>
  <c r="H852" i="16"/>
  <c r="I852" i="16"/>
  <c r="J852" i="16"/>
  <c r="C853" i="16"/>
  <c r="D853" i="16"/>
  <c r="E853" i="16"/>
  <c r="F853" i="16"/>
  <c r="G853" i="16"/>
  <c r="H853" i="16"/>
  <c r="I853" i="16"/>
  <c r="J853" i="16"/>
  <c r="C854" i="16"/>
  <c r="D854" i="16"/>
  <c r="E854" i="16"/>
  <c r="F854" i="16"/>
  <c r="G854" i="16"/>
  <c r="H854" i="16"/>
  <c r="I854" i="16"/>
  <c r="J854" i="16"/>
  <c r="C855" i="16"/>
  <c r="D855" i="16"/>
  <c r="E855" i="16"/>
  <c r="F855" i="16"/>
  <c r="G855" i="16"/>
  <c r="H855" i="16"/>
  <c r="I855" i="16"/>
  <c r="J855" i="16"/>
  <c r="C856" i="16"/>
  <c r="D856" i="16"/>
  <c r="E856" i="16"/>
  <c r="F856" i="16"/>
  <c r="G856" i="16"/>
  <c r="H856" i="16"/>
  <c r="I856" i="16"/>
  <c r="J856" i="16"/>
  <c r="C857" i="16"/>
  <c r="D857" i="16"/>
  <c r="E857" i="16"/>
  <c r="F857" i="16"/>
  <c r="G857" i="16"/>
  <c r="H857" i="16"/>
  <c r="I857" i="16"/>
  <c r="J857" i="16"/>
  <c r="C858" i="16"/>
  <c r="D858" i="16"/>
  <c r="E858" i="16"/>
  <c r="F858" i="16"/>
  <c r="G858" i="16"/>
  <c r="H858" i="16"/>
  <c r="I858" i="16"/>
  <c r="J858" i="16"/>
  <c r="C859" i="16"/>
  <c r="D859" i="16"/>
  <c r="E859" i="16"/>
  <c r="F859" i="16"/>
  <c r="G859" i="16"/>
  <c r="H859" i="16"/>
  <c r="I859" i="16"/>
  <c r="J859" i="16"/>
  <c r="C860" i="16"/>
  <c r="D860" i="16"/>
  <c r="E860" i="16"/>
  <c r="F860" i="16"/>
  <c r="G860" i="16"/>
  <c r="H860" i="16"/>
  <c r="I860" i="16"/>
  <c r="J860" i="16"/>
  <c r="C861" i="16"/>
  <c r="D861" i="16"/>
  <c r="E861" i="16"/>
  <c r="F861" i="16"/>
  <c r="G861" i="16"/>
  <c r="H861" i="16"/>
  <c r="I861" i="16"/>
  <c r="J861" i="16"/>
  <c r="C862" i="16"/>
  <c r="D862" i="16"/>
  <c r="E862" i="16"/>
  <c r="F862" i="16"/>
  <c r="G862" i="16"/>
  <c r="H862" i="16"/>
  <c r="I862" i="16"/>
  <c r="J862" i="16"/>
  <c r="C863" i="16"/>
  <c r="D863" i="16"/>
  <c r="E863" i="16"/>
  <c r="F863" i="16"/>
  <c r="G863" i="16"/>
  <c r="H863" i="16"/>
  <c r="I863" i="16"/>
  <c r="J863" i="16"/>
  <c r="C864" i="16"/>
  <c r="D864" i="16"/>
  <c r="E864" i="16"/>
  <c r="F864" i="16"/>
  <c r="G864" i="16"/>
  <c r="H864" i="16"/>
  <c r="I864" i="16"/>
  <c r="J864" i="16"/>
  <c r="C865" i="16"/>
  <c r="D865" i="16"/>
  <c r="E865" i="16"/>
  <c r="F865" i="16"/>
  <c r="G865" i="16"/>
  <c r="H865" i="16"/>
  <c r="I865" i="16"/>
  <c r="J865" i="16"/>
  <c r="C866" i="16"/>
  <c r="D866" i="16"/>
  <c r="E866" i="16"/>
  <c r="F866" i="16"/>
  <c r="G866" i="16"/>
  <c r="H866" i="16"/>
  <c r="I866" i="16"/>
  <c r="J866" i="16"/>
  <c r="C867" i="16"/>
  <c r="D867" i="16"/>
  <c r="E867" i="16"/>
  <c r="F867" i="16"/>
  <c r="G867" i="16"/>
  <c r="H867" i="16"/>
  <c r="I867" i="16"/>
  <c r="J867" i="16"/>
  <c r="C868" i="16"/>
  <c r="D868" i="16"/>
  <c r="E868" i="16"/>
  <c r="F868" i="16"/>
  <c r="G868" i="16"/>
  <c r="H868" i="16"/>
  <c r="I868" i="16"/>
  <c r="J868" i="16"/>
  <c r="C869" i="16"/>
  <c r="D869" i="16"/>
  <c r="E869" i="16"/>
  <c r="F869" i="16"/>
  <c r="G869" i="16"/>
  <c r="H869" i="16"/>
  <c r="I869" i="16"/>
  <c r="J869" i="16"/>
  <c r="C870" i="16"/>
  <c r="D870" i="16"/>
  <c r="E870" i="16"/>
  <c r="F870" i="16"/>
  <c r="G870" i="16"/>
  <c r="H870" i="16"/>
  <c r="I870" i="16"/>
  <c r="J870" i="16"/>
  <c r="C871" i="16"/>
  <c r="D871" i="16"/>
  <c r="E871" i="16"/>
  <c r="F871" i="16"/>
  <c r="G871" i="16"/>
  <c r="H871" i="16"/>
  <c r="I871" i="16"/>
  <c r="J871" i="16"/>
  <c r="C872" i="16"/>
  <c r="D872" i="16"/>
  <c r="E872" i="16"/>
  <c r="F872" i="16"/>
  <c r="G872" i="16"/>
  <c r="H872" i="16"/>
  <c r="I872" i="16"/>
  <c r="J872" i="16"/>
  <c r="C873" i="16"/>
  <c r="D873" i="16"/>
  <c r="E873" i="16"/>
  <c r="F873" i="16"/>
  <c r="G873" i="16"/>
  <c r="H873" i="16"/>
  <c r="I873" i="16"/>
  <c r="J873" i="16"/>
  <c r="C874" i="16"/>
  <c r="D874" i="16"/>
  <c r="E874" i="16"/>
  <c r="F874" i="16"/>
  <c r="G874" i="16"/>
  <c r="H874" i="16"/>
  <c r="I874" i="16"/>
  <c r="J874" i="16"/>
  <c r="C875" i="16"/>
  <c r="D875" i="16"/>
  <c r="E875" i="16"/>
  <c r="F875" i="16"/>
  <c r="G875" i="16"/>
  <c r="H875" i="16"/>
  <c r="I875" i="16"/>
  <c r="J875" i="16"/>
  <c r="C876" i="16"/>
  <c r="D876" i="16"/>
  <c r="E876" i="16"/>
  <c r="F876" i="16"/>
  <c r="G876" i="16"/>
  <c r="H876" i="16"/>
  <c r="I876" i="16"/>
  <c r="J876" i="16"/>
  <c r="C877" i="16"/>
  <c r="D877" i="16"/>
  <c r="E877" i="16"/>
  <c r="F877" i="16"/>
  <c r="G877" i="16"/>
  <c r="H877" i="16"/>
  <c r="I877" i="16"/>
  <c r="J877" i="16"/>
  <c r="C878" i="16"/>
  <c r="D878" i="16"/>
  <c r="E878" i="16"/>
  <c r="F878" i="16"/>
  <c r="G878" i="16"/>
  <c r="H878" i="16"/>
  <c r="I878" i="16"/>
  <c r="J878" i="16"/>
  <c r="C879" i="16"/>
  <c r="D879" i="16"/>
  <c r="E879" i="16"/>
  <c r="F879" i="16"/>
  <c r="G879" i="16"/>
  <c r="H879" i="16"/>
  <c r="I879" i="16"/>
  <c r="J879" i="16"/>
  <c r="C880" i="16"/>
  <c r="D880" i="16"/>
  <c r="E880" i="16"/>
  <c r="F880" i="16"/>
  <c r="G880" i="16"/>
  <c r="H880" i="16"/>
  <c r="I880" i="16"/>
  <c r="J880" i="16"/>
  <c r="C881" i="16"/>
  <c r="D881" i="16"/>
  <c r="E881" i="16"/>
  <c r="F881" i="16"/>
  <c r="G881" i="16"/>
  <c r="H881" i="16"/>
  <c r="I881" i="16"/>
  <c r="J881" i="16"/>
  <c r="C882" i="16"/>
  <c r="D882" i="16"/>
  <c r="E882" i="16"/>
  <c r="F882" i="16"/>
  <c r="G882" i="16"/>
  <c r="H882" i="16"/>
  <c r="I882" i="16"/>
  <c r="J882" i="16"/>
  <c r="C883" i="16"/>
  <c r="D883" i="16"/>
  <c r="E883" i="16"/>
  <c r="F883" i="16"/>
  <c r="G883" i="16"/>
  <c r="H883" i="16"/>
  <c r="I883" i="16"/>
  <c r="J883" i="16"/>
  <c r="C884" i="16"/>
  <c r="D884" i="16"/>
  <c r="E884" i="16"/>
  <c r="F884" i="16"/>
  <c r="G884" i="16"/>
  <c r="H884" i="16"/>
  <c r="I884" i="16"/>
  <c r="J884" i="16"/>
  <c r="C885" i="16"/>
  <c r="D885" i="16"/>
  <c r="E885" i="16"/>
  <c r="F885" i="16"/>
  <c r="G885" i="16"/>
  <c r="H885" i="16"/>
  <c r="I885" i="16"/>
  <c r="J885" i="16"/>
  <c r="C886" i="16"/>
  <c r="D886" i="16"/>
  <c r="E886" i="16"/>
  <c r="F886" i="16"/>
  <c r="G886" i="16"/>
  <c r="H886" i="16"/>
  <c r="I886" i="16"/>
  <c r="J886" i="16"/>
  <c r="C887" i="16"/>
  <c r="D887" i="16"/>
  <c r="E887" i="16"/>
  <c r="F887" i="16"/>
  <c r="G887" i="16"/>
  <c r="H887" i="16"/>
  <c r="I887" i="16"/>
  <c r="J887" i="16"/>
  <c r="C888" i="16"/>
  <c r="D888" i="16"/>
  <c r="E888" i="16"/>
  <c r="F888" i="16"/>
  <c r="G888" i="16"/>
  <c r="H888" i="16"/>
  <c r="I888" i="16"/>
  <c r="J888" i="16"/>
  <c r="C889" i="16"/>
  <c r="D889" i="16"/>
  <c r="E889" i="16"/>
  <c r="F889" i="16"/>
  <c r="G889" i="16"/>
  <c r="H889" i="16"/>
  <c r="I889" i="16"/>
  <c r="J889" i="16"/>
  <c r="C890" i="16"/>
  <c r="D890" i="16"/>
  <c r="E890" i="16"/>
  <c r="F890" i="16"/>
  <c r="G890" i="16"/>
  <c r="H890" i="16"/>
  <c r="I890" i="16"/>
  <c r="J890" i="16"/>
  <c r="C891" i="16"/>
  <c r="D891" i="16"/>
  <c r="E891" i="16"/>
  <c r="F891" i="16"/>
  <c r="G891" i="16"/>
  <c r="H891" i="16"/>
  <c r="I891" i="16"/>
  <c r="J891" i="16"/>
  <c r="C892" i="16"/>
  <c r="D892" i="16"/>
  <c r="E892" i="16"/>
  <c r="F892" i="16"/>
  <c r="G892" i="16"/>
  <c r="H892" i="16"/>
  <c r="I892" i="16"/>
  <c r="J892" i="16"/>
  <c r="C893" i="16"/>
  <c r="D893" i="16"/>
  <c r="E893" i="16"/>
  <c r="F893" i="16"/>
  <c r="G893" i="16"/>
  <c r="H893" i="16"/>
  <c r="I893" i="16"/>
  <c r="J893" i="16"/>
  <c r="C894" i="16"/>
  <c r="D894" i="16"/>
  <c r="E894" i="16"/>
  <c r="F894" i="16"/>
  <c r="G894" i="16"/>
  <c r="H894" i="16"/>
  <c r="I894" i="16"/>
  <c r="J894" i="16"/>
  <c r="C895" i="16"/>
  <c r="D895" i="16"/>
  <c r="E895" i="16"/>
  <c r="F895" i="16"/>
  <c r="G895" i="16"/>
  <c r="H895" i="16"/>
  <c r="I895" i="16"/>
  <c r="J895" i="16"/>
  <c r="C896" i="16"/>
  <c r="D896" i="16"/>
  <c r="E896" i="16"/>
  <c r="F896" i="16"/>
  <c r="G896" i="16"/>
  <c r="H896" i="16"/>
  <c r="I896" i="16"/>
  <c r="J896" i="16"/>
  <c r="C897" i="16"/>
  <c r="D897" i="16"/>
  <c r="E897" i="16"/>
  <c r="F897" i="16"/>
  <c r="G897" i="16"/>
  <c r="H897" i="16"/>
  <c r="I897" i="16"/>
  <c r="J897" i="16"/>
  <c r="C898" i="16"/>
  <c r="D898" i="16"/>
  <c r="E898" i="16"/>
  <c r="F898" i="16"/>
  <c r="G898" i="16"/>
  <c r="H898" i="16"/>
  <c r="I898" i="16"/>
  <c r="J898" i="16"/>
  <c r="C899" i="16"/>
  <c r="D899" i="16"/>
  <c r="E899" i="16"/>
  <c r="F899" i="16"/>
  <c r="G899" i="16"/>
  <c r="H899" i="16"/>
  <c r="I899" i="16"/>
  <c r="J899" i="16"/>
  <c r="C900" i="16"/>
  <c r="D900" i="16"/>
  <c r="E900" i="16"/>
  <c r="F900" i="16"/>
  <c r="G900" i="16"/>
  <c r="H900" i="16"/>
  <c r="I900" i="16"/>
  <c r="J900" i="16"/>
  <c r="C901" i="16"/>
  <c r="D901" i="16"/>
  <c r="E901" i="16"/>
  <c r="F901" i="16"/>
  <c r="G901" i="16"/>
  <c r="H901" i="16"/>
  <c r="I901" i="16"/>
  <c r="J901" i="16"/>
  <c r="C902" i="16"/>
  <c r="D902" i="16"/>
  <c r="E902" i="16"/>
  <c r="F902" i="16"/>
  <c r="G902" i="16"/>
  <c r="H902" i="16"/>
  <c r="I902" i="16"/>
  <c r="J902" i="16"/>
  <c r="C903" i="16"/>
  <c r="D903" i="16"/>
  <c r="E903" i="16"/>
  <c r="F903" i="16"/>
  <c r="G903" i="16"/>
  <c r="H903" i="16"/>
  <c r="I903" i="16"/>
  <c r="J903" i="16"/>
  <c r="C904" i="16"/>
  <c r="D904" i="16"/>
  <c r="E904" i="16"/>
  <c r="F904" i="16"/>
  <c r="G904" i="16"/>
  <c r="H904" i="16"/>
  <c r="I904" i="16"/>
  <c r="J904" i="16"/>
  <c r="C905" i="16"/>
  <c r="D905" i="16"/>
  <c r="E905" i="16"/>
  <c r="F905" i="16"/>
  <c r="G905" i="16"/>
  <c r="H905" i="16"/>
  <c r="I905" i="16"/>
  <c r="J905" i="16"/>
  <c r="C906" i="16"/>
  <c r="D906" i="16"/>
  <c r="E906" i="16"/>
  <c r="F906" i="16"/>
  <c r="G906" i="16"/>
  <c r="H906" i="16"/>
  <c r="I906" i="16"/>
  <c r="J906" i="16"/>
  <c r="C907" i="16"/>
  <c r="D907" i="16"/>
  <c r="E907" i="16"/>
  <c r="F907" i="16"/>
  <c r="G907" i="16"/>
  <c r="H907" i="16"/>
  <c r="I907" i="16"/>
  <c r="J907" i="16"/>
  <c r="C908" i="16"/>
  <c r="D908" i="16"/>
  <c r="E908" i="16"/>
  <c r="F908" i="16"/>
  <c r="G908" i="16"/>
  <c r="H908" i="16"/>
  <c r="I908" i="16"/>
  <c r="J908" i="16"/>
  <c r="C909" i="16"/>
  <c r="D909" i="16"/>
  <c r="E909" i="16"/>
  <c r="F909" i="16"/>
  <c r="G909" i="16"/>
  <c r="H909" i="16"/>
  <c r="I909" i="16"/>
  <c r="J909" i="16"/>
  <c r="C910" i="16"/>
  <c r="D910" i="16"/>
  <c r="E910" i="16"/>
  <c r="F910" i="16"/>
  <c r="G910" i="16"/>
  <c r="H910" i="16"/>
  <c r="I910" i="16"/>
  <c r="J910" i="16"/>
  <c r="C911" i="16"/>
  <c r="D911" i="16"/>
  <c r="E911" i="16"/>
  <c r="F911" i="16"/>
  <c r="G911" i="16"/>
  <c r="H911" i="16"/>
  <c r="I911" i="16"/>
  <c r="J911" i="16"/>
  <c r="C912" i="16"/>
  <c r="D912" i="16"/>
  <c r="E912" i="16"/>
  <c r="F912" i="16"/>
  <c r="G912" i="16"/>
  <c r="H912" i="16"/>
  <c r="I912" i="16"/>
  <c r="J912" i="16"/>
  <c r="C913" i="16"/>
  <c r="D913" i="16"/>
  <c r="E913" i="16"/>
  <c r="F913" i="16"/>
  <c r="G913" i="16"/>
  <c r="H913" i="16"/>
  <c r="I913" i="16"/>
  <c r="J913" i="16"/>
  <c r="C914" i="16"/>
  <c r="D914" i="16"/>
  <c r="E914" i="16"/>
  <c r="F914" i="16"/>
  <c r="G914" i="16"/>
  <c r="H914" i="16"/>
  <c r="I914" i="16"/>
  <c r="J914" i="16"/>
  <c r="C915" i="16"/>
  <c r="D915" i="16"/>
  <c r="E915" i="16"/>
  <c r="F915" i="16"/>
  <c r="G915" i="16"/>
  <c r="H915" i="16"/>
  <c r="I915" i="16"/>
  <c r="J915" i="16"/>
  <c r="C916" i="16"/>
  <c r="D916" i="16"/>
  <c r="E916" i="16"/>
  <c r="F916" i="16"/>
  <c r="G916" i="16"/>
  <c r="H916" i="16"/>
  <c r="I916" i="16"/>
  <c r="J916" i="16"/>
  <c r="C917" i="16"/>
  <c r="D917" i="16"/>
  <c r="E917" i="16"/>
  <c r="F917" i="16"/>
  <c r="G917" i="16"/>
  <c r="H917" i="16"/>
  <c r="I917" i="16"/>
  <c r="J917" i="16"/>
  <c r="C918" i="16"/>
  <c r="D918" i="16"/>
  <c r="E918" i="16"/>
  <c r="F918" i="16"/>
  <c r="G918" i="16"/>
  <c r="H918" i="16"/>
  <c r="I918" i="16"/>
  <c r="J918" i="16"/>
  <c r="C919" i="16"/>
  <c r="D919" i="16"/>
  <c r="E919" i="16"/>
  <c r="F919" i="16"/>
  <c r="G919" i="16"/>
  <c r="H919" i="16"/>
  <c r="I919" i="16"/>
  <c r="J919" i="16"/>
  <c r="C920" i="16"/>
  <c r="D920" i="16"/>
  <c r="E920" i="16"/>
  <c r="F920" i="16"/>
  <c r="G920" i="16"/>
  <c r="H920" i="16"/>
  <c r="I920" i="16"/>
  <c r="J920" i="16"/>
  <c r="C921" i="16"/>
  <c r="D921" i="16"/>
  <c r="E921" i="16"/>
  <c r="F921" i="16"/>
  <c r="G921" i="16"/>
  <c r="H921" i="16"/>
  <c r="I921" i="16"/>
  <c r="J921" i="16"/>
  <c r="C922" i="16"/>
  <c r="D922" i="16"/>
  <c r="E922" i="16"/>
  <c r="F922" i="16"/>
  <c r="G922" i="16"/>
  <c r="H922" i="16"/>
  <c r="I922" i="16"/>
  <c r="J922" i="16"/>
  <c r="C923" i="16"/>
  <c r="D923" i="16"/>
  <c r="E923" i="16"/>
  <c r="F923" i="16"/>
  <c r="G923" i="16"/>
  <c r="H923" i="16"/>
  <c r="I923" i="16"/>
  <c r="J923" i="16"/>
  <c r="C924" i="16"/>
  <c r="D924" i="16"/>
  <c r="E924" i="16"/>
  <c r="F924" i="16"/>
  <c r="G924" i="16"/>
  <c r="H924" i="16"/>
  <c r="I924" i="16"/>
  <c r="J924" i="16"/>
  <c r="C925" i="16"/>
  <c r="D925" i="16"/>
  <c r="E925" i="16"/>
  <c r="F925" i="16"/>
  <c r="G925" i="16"/>
  <c r="H925" i="16"/>
  <c r="I925" i="16"/>
  <c r="J925" i="16"/>
  <c r="C926" i="16"/>
  <c r="D926" i="16"/>
  <c r="E926" i="16"/>
  <c r="F926" i="16"/>
  <c r="G926" i="16"/>
  <c r="H926" i="16"/>
  <c r="I926" i="16"/>
  <c r="J926" i="16"/>
  <c r="C927" i="16"/>
  <c r="D927" i="16"/>
  <c r="E927" i="16"/>
  <c r="F927" i="16"/>
  <c r="G927" i="16"/>
  <c r="H927" i="16"/>
  <c r="I927" i="16"/>
  <c r="J927" i="16"/>
  <c r="C928" i="16"/>
  <c r="D928" i="16"/>
  <c r="E928" i="16"/>
  <c r="F928" i="16"/>
  <c r="G928" i="16"/>
  <c r="H928" i="16"/>
  <c r="I928" i="16"/>
  <c r="J928" i="16"/>
  <c r="C929" i="16"/>
  <c r="D929" i="16"/>
  <c r="E929" i="16"/>
  <c r="F929" i="16"/>
  <c r="G929" i="16"/>
  <c r="H929" i="16"/>
  <c r="I929" i="16"/>
  <c r="J929" i="16"/>
  <c r="C930" i="16"/>
  <c r="D930" i="16"/>
  <c r="E930" i="16"/>
  <c r="F930" i="16"/>
  <c r="G930" i="16"/>
  <c r="H930" i="16"/>
  <c r="I930" i="16"/>
  <c r="J930" i="16"/>
  <c r="C931" i="16"/>
  <c r="D931" i="16"/>
  <c r="E931" i="16"/>
  <c r="F931" i="16"/>
  <c r="G931" i="16"/>
  <c r="H931" i="16"/>
  <c r="I931" i="16"/>
  <c r="J931" i="16"/>
  <c r="C932" i="16"/>
  <c r="D932" i="16"/>
  <c r="E932" i="16"/>
  <c r="F932" i="16"/>
  <c r="G932" i="16"/>
  <c r="H932" i="16"/>
  <c r="I932" i="16"/>
  <c r="J932" i="16"/>
  <c r="C933" i="16"/>
  <c r="D933" i="16"/>
  <c r="E933" i="16"/>
  <c r="F933" i="16"/>
  <c r="G933" i="16"/>
  <c r="H933" i="16"/>
  <c r="I933" i="16"/>
  <c r="J933" i="16"/>
  <c r="C934" i="16"/>
  <c r="D934" i="16"/>
  <c r="E934" i="16"/>
  <c r="F934" i="16"/>
  <c r="G934" i="16"/>
  <c r="H934" i="16"/>
  <c r="I934" i="16"/>
  <c r="J934" i="16"/>
  <c r="C935" i="16"/>
  <c r="D935" i="16"/>
  <c r="E935" i="16"/>
  <c r="F935" i="16"/>
  <c r="G935" i="16"/>
  <c r="H935" i="16"/>
  <c r="I935" i="16"/>
  <c r="J935" i="16"/>
  <c r="C936" i="16"/>
  <c r="D936" i="16"/>
  <c r="E936" i="16"/>
  <c r="F936" i="16"/>
  <c r="G936" i="16"/>
  <c r="H936" i="16"/>
  <c r="I936" i="16"/>
  <c r="J936" i="16"/>
  <c r="C937" i="16"/>
  <c r="D937" i="16"/>
  <c r="E937" i="16"/>
  <c r="F937" i="16"/>
  <c r="G937" i="16"/>
  <c r="H937" i="16"/>
  <c r="I937" i="16"/>
  <c r="J937" i="16"/>
  <c r="C938" i="16"/>
  <c r="D938" i="16"/>
  <c r="E938" i="16"/>
  <c r="F938" i="16"/>
  <c r="G938" i="16"/>
  <c r="H938" i="16"/>
  <c r="I938" i="16"/>
  <c r="J938" i="16"/>
  <c r="C939" i="16"/>
  <c r="D939" i="16"/>
  <c r="E939" i="16"/>
  <c r="F939" i="16"/>
  <c r="G939" i="16"/>
  <c r="H939" i="16"/>
  <c r="I939" i="16"/>
  <c r="J939" i="16"/>
  <c r="C940" i="16"/>
  <c r="D940" i="16"/>
  <c r="E940" i="16"/>
  <c r="F940" i="16"/>
  <c r="G940" i="16"/>
  <c r="H940" i="16"/>
  <c r="I940" i="16"/>
  <c r="J940" i="16"/>
  <c r="C941" i="16"/>
  <c r="D941" i="16"/>
  <c r="E941" i="16"/>
  <c r="F941" i="16"/>
  <c r="G941" i="16"/>
  <c r="H941" i="16"/>
  <c r="I941" i="16"/>
  <c r="J941" i="16"/>
  <c r="C942" i="16"/>
  <c r="D942" i="16"/>
  <c r="E942" i="16"/>
  <c r="F942" i="16"/>
  <c r="G942" i="16"/>
  <c r="H942" i="16"/>
  <c r="I942" i="16"/>
  <c r="J942" i="16"/>
  <c r="C943" i="16"/>
  <c r="D943" i="16"/>
  <c r="E943" i="16"/>
  <c r="F943" i="16"/>
  <c r="G943" i="16"/>
  <c r="H943" i="16"/>
  <c r="I943" i="16"/>
  <c r="J943" i="16"/>
  <c r="C944" i="16"/>
  <c r="D944" i="16"/>
  <c r="E944" i="16"/>
  <c r="F944" i="16"/>
  <c r="G944" i="16"/>
  <c r="H944" i="16"/>
  <c r="I944" i="16"/>
  <c r="J944" i="16"/>
  <c r="C945" i="16"/>
  <c r="D945" i="16"/>
  <c r="E945" i="16"/>
  <c r="F945" i="16"/>
  <c r="G945" i="16"/>
  <c r="H945" i="16"/>
  <c r="I945" i="16"/>
  <c r="J945" i="16"/>
  <c r="C946" i="16"/>
  <c r="D946" i="16"/>
  <c r="E946" i="16"/>
  <c r="F946" i="16"/>
  <c r="G946" i="16"/>
  <c r="H946" i="16"/>
  <c r="I946" i="16"/>
  <c r="J946" i="16"/>
  <c r="C947" i="16"/>
  <c r="D947" i="16"/>
  <c r="E947" i="16"/>
  <c r="F947" i="16"/>
  <c r="G947" i="16"/>
  <c r="H947" i="16"/>
  <c r="I947" i="16"/>
  <c r="J947" i="16"/>
  <c r="C948" i="16"/>
  <c r="D948" i="16"/>
  <c r="E948" i="16"/>
  <c r="F948" i="16"/>
  <c r="G948" i="16"/>
  <c r="H948" i="16"/>
  <c r="I948" i="16"/>
  <c r="J948" i="16"/>
  <c r="C949" i="16"/>
  <c r="D949" i="16"/>
  <c r="E949" i="16"/>
  <c r="F949" i="16"/>
  <c r="G949" i="16"/>
  <c r="H949" i="16"/>
  <c r="I949" i="16"/>
  <c r="J949" i="16"/>
  <c r="C950" i="16"/>
  <c r="D950" i="16"/>
  <c r="E950" i="16"/>
  <c r="F950" i="16"/>
  <c r="G950" i="16"/>
  <c r="H950" i="16"/>
  <c r="I950" i="16"/>
  <c r="J950" i="16"/>
  <c r="C951" i="16"/>
  <c r="D951" i="16"/>
  <c r="E951" i="16"/>
  <c r="F951" i="16"/>
  <c r="G951" i="16"/>
  <c r="H951" i="16"/>
  <c r="I951" i="16"/>
  <c r="J951" i="16"/>
  <c r="C952" i="16"/>
  <c r="D952" i="16"/>
  <c r="E952" i="16"/>
  <c r="F952" i="16"/>
  <c r="G952" i="16"/>
  <c r="H952" i="16"/>
  <c r="I952" i="16"/>
  <c r="J952" i="16"/>
  <c r="C953" i="16"/>
  <c r="D953" i="16"/>
  <c r="E953" i="16"/>
  <c r="F953" i="16"/>
  <c r="G953" i="16"/>
  <c r="H953" i="16"/>
  <c r="I953" i="16"/>
  <c r="J953" i="16"/>
  <c r="C954" i="16"/>
  <c r="D954" i="16"/>
  <c r="E954" i="16"/>
  <c r="F954" i="16"/>
  <c r="G954" i="16"/>
  <c r="H954" i="16"/>
  <c r="I954" i="16"/>
  <c r="J954" i="16"/>
  <c r="C955" i="16"/>
  <c r="D955" i="16"/>
  <c r="E955" i="16"/>
  <c r="F955" i="16"/>
  <c r="G955" i="16"/>
  <c r="H955" i="16"/>
  <c r="I955" i="16"/>
  <c r="J955" i="16"/>
  <c r="C956" i="16"/>
  <c r="D956" i="16"/>
  <c r="E956" i="16"/>
  <c r="F956" i="16"/>
  <c r="G956" i="16"/>
  <c r="H956" i="16"/>
  <c r="I956" i="16"/>
  <c r="J956" i="16"/>
  <c r="C957" i="16"/>
  <c r="D957" i="16"/>
  <c r="E957" i="16"/>
  <c r="F957" i="16"/>
  <c r="G957" i="16"/>
  <c r="H957" i="16"/>
  <c r="I957" i="16"/>
  <c r="J957" i="16"/>
  <c r="C958" i="16"/>
  <c r="D958" i="16"/>
  <c r="E958" i="16"/>
  <c r="F958" i="16"/>
  <c r="G958" i="16"/>
  <c r="H958" i="16"/>
  <c r="I958" i="16"/>
  <c r="J958" i="16"/>
  <c r="C959" i="16"/>
  <c r="D959" i="16"/>
  <c r="E959" i="16"/>
  <c r="F959" i="16"/>
  <c r="G959" i="16"/>
  <c r="H959" i="16"/>
  <c r="I959" i="16"/>
  <c r="J959" i="16"/>
  <c r="C960" i="16"/>
  <c r="D960" i="16"/>
  <c r="E960" i="16"/>
  <c r="F960" i="16"/>
  <c r="G960" i="16"/>
  <c r="H960" i="16"/>
  <c r="I960" i="16"/>
  <c r="J960" i="16"/>
  <c r="C961" i="16"/>
  <c r="D961" i="16"/>
  <c r="E961" i="16"/>
  <c r="F961" i="16"/>
  <c r="G961" i="16"/>
  <c r="H961" i="16"/>
  <c r="I961" i="16"/>
  <c r="J961" i="16"/>
  <c r="C962" i="16"/>
  <c r="D962" i="16"/>
  <c r="E962" i="16"/>
  <c r="F962" i="16"/>
  <c r="G962" i="16"/>
  <c r="H962" i="16"/>
  <c r="I962" i="16"/>
  <c r="J962" i="16"/>
  <c r="C963" i="16"/>
  <c r="D963" i="16"/>
  <c r="E963" i="16"/>
  <c r="F963" i="16"/>
  <c r="G963" i="16"/>
  <c r="H963" i="16"/>
  <c r="I963" i="16"/>
  <c r="J963" i="16"/>
  <c r="C964" i="16"/>
  <c r="D964" i="16"/>
  <c r="E964" i="16"/>
  <c r="F964" i="16"/>
  <c r="G964" i="16"/>
  <c r="H964" i="16"/>
  <c r="I964" i="16"/>
  <c r="J964" i="16"/>
  <c r="C965" i="16"/>
  <c r="D965" i="16"/>
  <c r="E965" i="16"/>
  <c r="F965" i="16"/>
  <c r="G965" i="16"/>
  <c r="H965" i="16"/>
  <c r="I965" i="16"/>
  <c r="J965" i="16"/>
  <c r="C966" i="16"/>
  <c r="D966" i="16"/>
  <c r="E966" i="16"/>
  <c r="F966" i="16"/>
  <c r="G966" i="16"/>
  <c r="H966" i="16"/>
  <c r="I966" i="16"/>
  <c r="J966" i="16"/>
  <c r="C967" i="16"/>
  <c r="D967" i="16"/>
  <c r="E967" i="16"/>
  <c r="F967" i="16"/>
  <c r="G967" i="16"/>
  <c r="H967" i="16"/>
  <c r="I967" i="16"/>
  <c r="J967" i="16"/>
  <c r="C968" i="16"/>
  <c r="D968" i="16"/>
  <c r="E968" i="16"/>
  <c r="F968" i="16"/>
  <c r="G968" i="16"/>
  <c r="H968" i="16"/>
  <c r="I968" i="16"/>
  <c r="J968" i="16"/>
  <c r="C969" i="16"/>
  <c r="D969" i="16"/>
  <c r="E969" i="16"/>
  <c r="F969" i="16"/>
  <c r="G969" i="16"/>
  <c r="H969" i="16"/>
  <c r="I969" i="16"/>
  <c r="J969" i="16"/>
  <c r="C970" i="16"/>
  <c r="D970" i="16"/>
  <c r="E970" i="16"/>
  <c r="F970" i="16"/>
  <c r="G970" i="16"/>
  <c r="H970" i="16"/>
  <c r="I970" i="16"/>
  <c r="J970" i="16"/>
  <c r="C971" i="16"/>
  <c r="D971" i="16"/>
  <c r="E971" i="16"/>
  <c r="F971" i="16"/>
  <c r="G971" i="16"/>
  <c r="H971" i="16"/>
  <c r="I971" i="16"/>
  <c r="J971" i="16"/>
  <c r="C972" i="16"/>
  <c r="D972" i="16"/>
  <c r="E972" i="16"/>
  <c r="F972" i="16"/>
  <c r="G972" i="16"/>
  <c r="H972" i="16"/>
  <c r="I972" i="16"/>
  <c r="J972" i="16"/>
  <c r="C973" i="16"/>
  <c r="D973" i="16"/>
  <c r="E973" i="16"/>
  <c r="F973" i="16"/>
  <c r="G973" i="16"/>
  <c r="H973" i="16"/>
  <c r="I973" i="16"/>
  <c r="J973" i="16"/>
  <c r="C974" i="16"/>
  <c r="D974" i="16"/>
  <c r="E974" i="16"/>
  <c r="F974" i="16"/>
  <c r="G974" i="16"/>
  <c r="H974" i="16"/>
  <c r="I974" i="16"/>
  <c r="J974" i="16"/>
  <c r="C975" i="16"/>
  <c r="D975" i="16"/>
  <c r="E975" i="16"/>
  <c r="F975" i="16"/>
  <c r="G975" i="16"/>
  <c r="H975" i="16"/>
  <c r="I975" i="16"/>
  <c r="J975" i="16"/>
  <c r="C976" i="16"/>
  <c r="D976" i="16"/>
  <c r="E976" i="16"/>
  <c r="F976" i="16"/>
  <c r="G976" i="16"/>
  <c r="H976" i="16"/>
  <c r="I976" i="16"/>
  <c r="J976" i="16"/>
  <c r="C977" i="16"/>
  <c r="D977" i="16"/>
  <c r="E977" i="16"/>
  <c r="F977" i="16"/>
  <c r="G977" i="16"/>
  <c r="H977" i="16"/>
  <c r="I977" i="16"/>
  <c r="J977" i="16"/>
  <c r="C978" i="16"/>
  <c r="D978" i="16"/>
  <c r="E978" i="16"/>
  <c r="F978" i="16"/>
  <c r="G978" i="16"/>
  <c r="H978" i="16"/>
  <c r="I978" i="16"/>
  <c r="J978" i="16"/>
  <c r="C979" i="16"/>
  <c r="D979" i="16"/>
  <c r="E979" i="16"/>
  <c r="F979" i="16"/>
  <c r="G979" i="16"/>
  <c r="H979" i="16"/>
  <c r="I979" i="16"/>
  <c r="J979" i="16"/>
  <c r="C980" i="16"/>
  <c r="D980" i="16"/>
  <c r="E980" i="16"/>
  <c r="F980" i="16"/>
  <c r="G980" i="16"/>
  <c r="H980" i="16"/>
  <c r="I980" i="16"/>
  <c r="J980" i="16"/>
  <c r="C981" i="16"/>
  <c r="D981" i="16"/>
  <c r="E981" i="16"/>
  <c r="F981" i="16"/>
  <c r="G981" i="16"/>
  <c r="H981" i="16"/>
  <c r="I981" i="16"/>
  <c r="J981" i="16"/>
  <c r="C982" i="16"/>
  <c r="D982" i="16"/>
  <c r="E982" i="16"/>
  <c r="F982" i="16"/>
  <c r="G982" i="16"/>
  <c r="H982" i="16"/>
  <c r="I982" i="16"/>
  <c r="J982" i="16"/>
  <c r="C983" i="16"/>
  <c r="D983" i="16"/>
  <c r="E983" i="16"/>
  <c r="F983" i="16"/>
  <c r="G983" i="16"/>
  <c r="H983" i="16"/>
  <c r="I983" i="16"/>
  <c r="J983" i="16"/>
  <c r="C984" i="16"/>
  <c r="D984" i="16"/>
  <c r="E984" i="16"/>
  <c r="F984" i="16"/>
  <c r="G984" i="16"/>
  <c r="H984" i="16"/>
  <c r="I984" i="16"/>
  <c r="J984" i="16"/>
  <c r="C985" i="16"/>
  <c r="D985" i="16"/>
  <c r="E985" i="16"/>
  <c r="F985" i="16"/>
  <c r="G985" i="16"/>
  <c r="H985" i="16"/>
  <c r="I985" i="16"/>
  <c r="J985" i="16"/>
  <c r="C986" i="16"/>
  <c r="D986" i="16"/>
  <c r="E986" i="16"/>
  <c r="F986" i="16"/>
  <c r="G986" i="16"/>
  <c r="H986" i="16"/>
  <c r="I986" i="16"/>
  <c r="J986" i="16"/>
  <c r="C987" i="16"/>
  <c r="D987" i="16"/>
  <c r="E987" i="16"/>
  <c r="F987" i="16"/>
  <c r="G987" i="16"/>
  <c r="H987" i="16"/>
  <c r="I987" i="16"/>
  <c r="J987" i="16"/>
  <c r="C988" i="16"/>
  <c r="D988" i="16"/>
  <c r="E988" i="16"/>
  <c r="F988" i="16"/>
  <c r="G988" i="16"/>
  <c r="H988" i="16"/>
  <c r="I988" i="16"/>
  <c r="J988" i="16"/>
  <c r="C989" i="16"/>
  <c r="D989" i="16"/>
  <c r="E989" i="16"/>
  <c r="F989" i="16"/>
  <c r="G989" i="16"/>
  <c r="H989" i="16"/>
  <c r="I989" i="16"/>
  <c r="J989" i="16"/>
  <c r="C990" i="16"/>
  <c r="D990" i="16"/>
  <c r="E990" i="16"/>
  <c r="F990" i="16"/>
  <c r="G990" i="16"/>
  <c r="H990" i="16"/>
  <c r="I990" i="16"/>
  <c r="J990" i="16"/>
  <c r="C991" i="16"/>
  <c r="D991" i="16"/>
  <c r="E991" i="16"/>
  <c r="F991" i="16"/>
  <c r="G991" i="16"/>
  <c r="H991" i="16"/>
  <c r="I991" i="16"/>
  <c r="J991" i="16"/>
  <c r="C992" i="16"/>
  <c r="D992" i="16"/>
  <c r="E992" i="16"/>
  <c r="F992" i="16"/>
  <c r="G992" i="16"/>
  <c r="H992" i="16"/>
  <c r="I992" i="16"/>
  <c r="J992" i="16"/>
  <c r="C993" i="16"/>
  <c r="D993" i="16"/>
  <c r="E993" i="16"/>
  <c r="F993" i="16"/>
  <c r="G993" i="16"/>
  <c r="H993" i="16"/>
  <c r="I993" i="16"/>
  <c r="J993" i="16"/>
  <c r="C994" i="16"/>
  <c r="D994" i="16"/>
  <c r="E994" i="16"/>
  <c r="F994" i="16"/>
  <c r="G994" i="16"/>
  <c r="H994" i="16"/>
  <c r="I994" i="16"/>
  <c r="J994" i="16"/>
  <c r="C995" i="16"/>
  <c r="D995" i="16"/>
  <c r="E995" i="16"/>
  <c r="F995" i="16"/>
  <c r="G995" i="16"/>
  <c r="H995" i="16"/>
  <c r="I995" i="16"/>
  <c r="J995" i="16"/>
  <c r="C996" i="16"/>
  <c r="D996" i="16"/>
  <c r="E996" i="16"/>
  <c r="F996" i="16"/>
  <c r="G996" i="16"/>
  <c r="H996" i="16"/>
  <c r="I996" i="16"/>
  <c r="J996" i="16"/>
  <c r="C997" i="16"/>
  <c r="D997" i="16"/>
  <c r="E997" i="16"/>
  <c r="F997" i="16"/>
  <c r="G997" i="16"/>
  <c r="H997" i="16"/>
  <c r="I997" i="16"/>
  <c r="J997" i="16"/>
  <c r="C998" i="16"/>
  <c r="D998" i="16"/>
  <c r="E998" i="16"/>
  <c r="F998" i="16"/>
  <c r="G998" i="16"/>
  <c r="H998" i="16"/>
  <c r="I998" i="16"/>
  <c r="J998" i="16"/>
  <c r="C999" i="16"/>
  <c r="D999" i="16"/>
  <c r="E999" i="16"/>
  <c r="F999" i="16"/>
  <c r="G999" i="16"/>
  <c r="H999" i="16"/>
  <c r="I999" i="16"/>
  <c r="J999" i="16"/>
  <c r="C1000" i="16"/>
  <c r="D1000" i="16"/>
  <c r="E1000" i="16"/>
  <c r="F1000" i="16"/>
  <c r="G1000" i="16"/>
  <c r="H1000" i="16"/>
  <c r="I1000" i="16"/>
  <c r="J1000" i="16"/>
  <c r="C1001" i="16"/>
  <c r="D1001" i="16"/>
  <c r="E1001" i="16"/>
  <c r="F1001" i="16"/>
  <c r="G1001" i="16"/>
  <c r="H1001" i="16"/>
  <c r="I1001" i="16"/>
  <c r="J1001" i="16"/>
  <c r="C1002" i="16"/>
  <c r="D1002" i="16"/>
  <c r="E1002" i="16"/>
  <c r="F1002" i="16"/>
  <c r="G1002" i="16"/>
  <c r="H1002" i="16"/>
  <c r="I1002" i="16"/>
  <c r="J1002" i="16"/>
  <c r="C1003" i="16"/>
  <c r="D1003" i="16"/>
  <c r="E1003" i="16"/>
  <c r="F1003" i="16"/>
  <c r="G1003" i="16"/>
  <c r="H1003" i="16"/>
  <c r="I1003" i="16"/>
  <c r="J1003" i="16"/>
  <c r="C1004" i="16"/>
  <c r="D1004" i="16"/>
  <c r="E1004" i="16"/>
  <c r="F1004" i="16"/>
  <c r="G1004" i="16"/>
  <c r="H1004" i="16"/>
  <c r="I1004" i="16"/>
  <c r="J1004" i="16"/>
  <c r="C1005" i="16"/>
  <c r="D1005" i="16"/>
  <c r="E1005" i="16"/>
  <c r="F1005" i="16"/>
  <c r="G1005" i="16"/>
  <c r="H1005" i="16"/>
  <c r="I1005" i="16"/>
  <c r="J1005" i="16"/>
  <c r="C1006" i="16"/>
  <c r="D1006" i="16"/>
  <c r="E1006" i="16"/>
  <c r="F1006" i="16"/>
  <c r="G1006" i="16"/>
  <c r="H1006" i="16"/>
  <c r="I1006" i="16"/>
  <c r="J1006" i="16"/>
  <c r="C1007" i="16"/>
  <c r="D1007" i="16"/>
  <c r="E1007" i="16"/>
  <c r="F1007" i="16"/>
  <c r="G1007" i="16"/>
  <c r="H1007" i="16"/>
  <c r="I1007" i="16"/>
  <c r="J1007" i="16"/>
  <c r="C1008" i="16"/>
  <c r="D1008" i="16"/>
  <c r="E1008" i="16"/>
  <c r="F1008" i="16"/>
  <c r="G1008" i="16"/>
  <c r="H1008" i="16"/>
  <c r="I1008" i="16"/>
  <c r="J1008" i="16"/>
  <c r="C1009" i="16"/>
  <c r="D1009" i="16"/>
  <c r="E1009" i="16"/>
  <c r="F1009" i="16"/>
  <c r="G1009" i="16"/>
  <c r="H1009" i="16"/>
  <c r="I1009" i="16"/>
  <c r="J1009" i="16"/>
  <c r="C1010" i="16"/>
  <c r="D1010" i="16"/>
  <c r="E1010" i="16"/>
  <c r="F1010" i="16"/>
  <c r="G1010" i="16"/>
  <c r="H1010" i="16"/>
  <c r="I1010" i="16"/>
  <c r="J1010" i="16"/>
  <c r="C1011" i="16"/>
  <c r="D1011" i="16"/>
  <c r="E1011" i="16"/>
  <c r="F1011" i="16"/>
  <c r="G1011" i="16"/>
  <c r="H1011" i="16"/>
  <c r="I1011" i="16"/>
  <c r="J1011" i="16"/>
  <c r="C1012" i="16"/>
  <c r="D1012" i="16"/>
  <c r="E1012" i="16"/>
  <c r="F1012" i="16"/>
  <c r="G1012" i="16"/>
  <c r="H1012" i="16"/>
  <c r="I1012" i="16"/>
  <c r="J1012" i="16"/>
  <c r="C1013" i="16"/>
  <c r="D1013" i="16"/>
  <c r="E1013" i="16"/>
  <c r="F1013" i="16"/>
  <c r="G1013" i="16"/>
  <c r="H1013" i="16"/>
  <c r="I1013" i="16"/>
  <c r="J1013" i="16"/>
  <c r="C1014" i="16"/>
  <c r="D1014" i="16"/>
  <c r="E1014" i="16"/>
  <c r="F1014" i="16"/>
  <c r="G1014" i="16"/>
  <c r="H1014" i="16"/>
  <c r="I1014" i="16"/>
  <c r="J1014" i="16"/>
  <c r="C1015" i="16"/>
  <c r="D1015" i="16"/>
  <c r="E1015" i="16"/>
  <c r="F1015" i="16"/>
  <c r="G1015" i="16"/>
  <c r="H1015" i="16"/>
  <c r="I1015" i="16"/>
  <c r="J1015" i="16"/>
  <c r="C1016" i="16"/>
  <c r="D1016" i="16"/>
  <c r="E1016" i="16"/>
  <c r="F1016" i="16"/>
  <c r="G1016" i="16"/>
  <c r="H1016" i="16"/>
  <c r="I1016" i="16"/>
  <c r="J1016" i="16"/>
  <c r="C1017" i="16"/>
  <c r="D1017" i="16"/>
  <c r="E1017" i="16"/>
  <c r="F1017" i="16"/>
  <c r="G1017" i="16"/>
  <c r="H1017" i="16"/>
  <c r="I1017" i="16"/>
  <c r="J1017" i="16"/>
  <c r="C1018" i="16"/>
  <c r="D1018" i="16"/>
  <c r="E1018" i="16"/>
  <c r="F1018" i="16"/>
  <c r="G1018" i="16"/>
  <c r="H1018" i="16"/>
  <c r="I1018" i="16"/>
  <c r="J1018" i="16"/>
  <c r="C1019" i="16"/>
  <c r="D1019" i="16"/>
  <c r="E1019" i="16"/>
  <c r="F1019" i="16"/>
  <c r="G1019" i="16"/>
  <c r="H1019" i="16"/>
  <c r="I1019" i="16"/>
  <c r="J1019" i="16"/>
  <c r="C1020" i="16"/>
  <c r="D1020" i="16"/>
  <c r="E1020" i="16"/>
  <c r="F1020" i="16"/>
  <c r="G1020" i="16"/>
  <c r="H1020" i="16"/>
  <c r="I1020" i="16"/>
  <c r="J1020" i="16"/>
  <c r="C1021" i="16"/>
  <c r="D1021" i="16"/>
  <c r="E1021" i="16"/>
  <c r="F1021" i="16"/>
  <c r="G1021" i="16"/>
  <c r="H1021" i="16"/>
  <c r="I1021" i="16"/>
  <c r="J1021" i="16"/>
  <c r="C1022" i="16"/>
  <c r="D1022" i="16"/>
  <c r="E1022" i="16"/>
  <c r="F1022" i="16"/>
  <c r="G1022" i="16"/>
  <c r="H1022" i="16"/>
  <c r="I1022" i="16"/>
  <c r="J1022" i="16"/>
  <c r="C1023" i="16"/>
  <c r="D1023" i="16"/>
  <c r="E1023" i="16"/>
  <c r="F1023" i="16"/>
  <c r="G1023" i="16"/>
  <c r="H1023" i="16"/>
  <c r="I1023" i="16"/>
  <c r="J1023" i="16"/>
  <c r="C1024" i="16"/>
  <c r="D1024" i="16"/>
  <c r="E1024" i="16"/>
  <c r="F1024" i="16"/>
  <c r="G1024" i="16"/>
  <c r="H1024" i="16"/>
  <c r="I1024" i="16"/>
  <c r="J1024" i="16"/>
  <c r="C1025" i="16"/>
  <c r="D1025" i="16"/>
  <c r="E1025" i="16"/>
  <c r="F1025" i="16"/>
  <c r="G1025" i="16"/>
  <c r="H1025" i="16"/>
  <c r="I1025" i="16"/>
  <c r="J1025" i="16"/>
  <c r="C1026" i="16"/>
  <c r="D1026" i="16"/>
  <c r="E1026" i="16"/>
  <c r="F1026" i="16"/>
  <c r="G1026" i="16"/>
  <c r="H1026" i="16"/>
  <c r="I1026" i="16"/>
  <c r="J1026" i="16"/>
  <c r="C1027" i="16"/>
  <c r="D1027" i="16"/>
  <c r="E1027" i="16"/>
  <c r="F1027" i="16"/>
  <c r="G1027" i="16"/>
  <c r="H1027" i="16"/>
  <c r="I1027" i="16"/>
  <c r="J1027" i="16"/>
  <c r="C1028" i="16"/>
  <c r="D1028" i="16"/>
  <c r="E1028" i="16"/>
  <c r="F1028" i="16"/>
  <c r="G1028" i="16"/>
  <c r="H1028" i="16"/>
  <c r="I1028" i="16"/>
  <c r="J1028" i="16"/>
  <c r="C1029" i="16"/>
  <c r="D1029" i="16"/>
  <c r="E1029" i="16"/>
  <c r="F1029" i="16"/>
  <c r="G1029" i="16"/>
  <c r="H1029" i="16"/>
  <c r="I1029" i="16"/>
  <c r="J1029" i="16"/>
  <c r="C1030" i="16"/>
  <c r="D1030" i="16"/>
  <c r="E1030" i="16"/>
  <c r="F1030" i="16"/>
  <c r="G1030" i="16"/>
  <c r="H1030" i="16"/>
  <c r="I1030" i="16"/>
  <c r="J1030" i="16"/>
  <c r="C1031" i="16"/>
  <c r="D1031" i="16"/>
  <c r="E1031" i="16"/>
  <c r="F1031" i="16"/>
  <c r="G1031" i="16"/>
  <c r="H1031" i="16"/>
  <c r="I1031" i="16"/>
  <c r="J1031" i="16"/>
  <c r="C1032" i="16"/>
  <c r="D1032" i="16"/>
  <c r="E1032" i="16"/>
  <c r="F1032" i="16"/>
  <c r="G1032" i="16"/>
  <c r="H1032" i="16"/>
  <c r="I1032" i="16"/>
  <c r="J1032" i="16"/>
  <c r="C1033" i="16"/>
  <c r="D1033" i="16"/>
  <c r="E1033" i="16"/>
  <c r="F1033" i="16"/>
  <c r="G1033" i="16"/>
  <c r="H1033" i="16"/>
  <c r="I1033" i="16"/>
  <c r="J1033" i="16"/>
  <c r="C1034" i="16"/>
  <c r="D1034" i="16"/>
  <c r="E1034" i="16"/>
  <c r="F1034" i="16"/>
  <c r="G1034" i="16"/>
  <c r="H1034" i="16"/>
  <c r="I1034" i="16"/>
  <c r="J1034" i="16"/>
  <c r="C1035" i="16"/>
  <c r="D1035" i="16"/>
  <c r="E1035" i="16"/>
  <c r="F1035" i="16"/>
  <c r="G1035" i="16"/>
  <c r="H1035" i="16"/>
  <c r="I1035" i="16"/>
  <c r="J1035" i="16"/>
  <c r="C1036" i="16"/>
  <c r="D1036" i="16"/>
  <c r="E1036" i="16"/>
  <c r="F1036" i="16"/>
  <c r="G1036" i="16"/>
  <c r="H1036" i="16"/>
  <c r="I1036" i="16"/>
  <c r="J1036" i="16"/>
  <c r="C1037" i="16"/>
  <c r="D1037" i="16"/>
  <c r="E1037" i="16"/>
  <c r="F1037" i="16"/>
  <c r="G1037" i="16"/>
  <c r="H1037" i="16"/>
  <c r="I1037" i="16"/>
  <c r="J1037" i="16"/>
  <c r="C1038" i="16"/>
  <c r="D1038" i="16"/>
  <c r="E1038" i="16"/>
  <c r="F1038" i="16"/>
  <c r="G1038" i="16"/>
  <c r="H1038" i="16"/>
  <c r="I1038" i="16"/>
  <c r="J1038" i="16"/>
  <c r="C1039" i="16"/>
  <c r="D1039" i="16"/>
  <c r="E1039" i="16"/>
  <c r="F1039" i="16"/>
  <c r="G1039" i="16"/>
  <c r="H1039" i="16"/>
  <c r="I1039" i="16"/>
  <c r="J1039" i="16"/>
  <c r="C1040" i="16"/>
  <c r="D1040" i="16"/>
  <c r="E1040" i="16"/>
  <c r="F1040" i="16"/>
  <c r="G1040" i="16"/>
  <c r="H1040" i="16"/>
  <c r="I1040" i="16"/>
  <c r="J1040" i="16"/>
  <c r="C1041" i="16"/>
  <c r="D1041" i="16"/>
  <c r="E1041" i="16"/>
  <c r="F1041" i="16"/>
  <c r="G1041" i="16"/>
  <c r="H1041" i="16"/>
  <c r="I1041" i="16"/>
  <c r="J1041" i="16"/>
  <c r="C1042" i="16"/>
  <c r="D1042" i="16"/>
  <c r="E1042" i="16"/>
  <c r="F1042" i="16"/>
  <c r="G1042" i="16"/>
  <c r="H1042" i="16"/>
  <c r="I1042" i="16"/>
  <c r="J1042" i="16"/>
  <c r="C1043" i="16"/>
  <c r="D1043" i="16"/>
  <c r="E1043" i="16"/>
  <c r="F1043" i="16"/>
  <c r="G1043" i="16"/>
  <c r="H1043" i="16"/>
  <c r="I1043" i="16"/>
  <c r="J1043" i="16"/>
  <c r="C1044" i="16"/>
  <c r="D1044" i="16"/>
  <c r="E1044" i="16"/>
  <c r="F1044" i="16"/>
  <c r="G1044" i="16"/>
  <c r="H1044" i="16"/>
  <c r="I1044" i="16"/>
  <c r="J1044" i="16"/>
  <c r="C1045" i="16"/>
  <c r="D1045" i="16"/>
  <c r="E1045" i="16"/>
  <c r="F1045" i="16"/>
  <c r="G1045" i="16"/>
  <c r="H1045" i="16"/>
  <c r="I1045" i="16"/>
  <c r="J1045" i="16"/>
  <c r="C1046" i="16"/>
  <c r="D1046" i="16"/>
  <c r="E1046" i="16"/>
  <c r="F1046" i="16"/>
  <c r="G1046" i="16"/>
  <c r="H1046" i="16"/>
  <c r="I1046" i="16"/>
  <c r="J1046" i="16"/>
  <c r="C1047" i="16"/>
  <c r="D1047" i="16"/>
  <c r="E1047" i="16"/>
  <c r="F1047" i="16"/>
  <c r="G1047" i="16"/>
  <c r="H1047" i="16"/>
  <c r="I1047" i="16"/>
  <c r="J1047" i="16"/>
  <c r="C1048" i="16"/>
  <c r="D1048" i="16"/>
  <c r="E1048" i="16"/>
  <c r="F1048" i="16"/>
  <c r="G1048" i="16"/>
  <c r="H1048" i="16"/>
  <c r="I1048" i="16"/>
  <c r="J1048" i="16"/>
  <c r="C1049" i="16"/>
  <c r="D1049" i="16"/>
  <c r="E1049" i="16"/>
  <c r="F1049" i="16"/>
  <c r="G1049" i="16"/>
  <c r="H1049" i="16"/>
  <c r="I1049" i="16"/>
  <c r="J1049" i="16"/>
  <c r="C1050" i="16"/>
  <c r="D1050" i="16"/>
  <c r="E1050" i="16"/>
  <c r="F1050" i="16"/>
  <c r="G1050" i="16"/>
  <c r="H1050" i="16"/>
  <c r="I1050" i="16"/>
  <c r="J1050" i="16"/>
  <c r="C1051" i="16"/>
  <c r="D1051" i="16"/>
  <c r="E1051" i="16"/>
  <c r="F1051" i="16"/>
  <c r="G1051" i="16"/>
  <c r="H1051" i="16"/>
  <c r="I1051" i="16"/>
  <c r="J1051" i="16"/>
  <c r="C1052" i="16"/>
  <c r="D1052" i="16"/>
  <c r="E1052" i="16"/>
  <c r="F1052" i="16"/>
  <c r="G1052" i="16"/>
  <c r="H1052" i="16"/>
  <c r="I1052" i="16"/>
  <c r="J1052" i="16"/>
  <c r="C1053" i="16"/>
  <c r="D1053" i="16"/>
  <c r="E1053" i="16"/>
  <c r="F1053" i="16"/>
  <c r="G1053" i="16"/>
  <c r="H1053" i="16"/>
  <c r="I1053" i="16"/>
  <c r="J1053" i="16"/>
  <c r="C1054" i="16"/>
  <c r="D1054" i="16"/>
  <c r="E1054" i="16"/>
  <c r="F1054" i="16"/>
  <c r="G1054" i="16"/>
  <c r="H1054" i="16"/>
  <c r="I1054" i="16"/>
  <c r="J1054" i="16"/>
  <c r="C1055" i="16"/>
  <c r="D1055" i="16"/>
  <c r="E1055" i="16"/>
  <c r="F1055" i="16"/>
  <c r="G1055" i="16"/>
  <c r="H1055" i="16"/>
  <c r="I1055" i="16"/>
  <c r="J1055" i="16"/>
  <c r="C1056" i="16"/>
  <c r="D1056" i="16"/>
  <c r="E1056" i="16"/>
  <c r="F1056" i="16"/>
  <c r="G1056" i="16"/>
  <c r="H1056" i="16"/>
  <c r="I1056" i="16"/>
  <c r="J1056" i="16"/>
  <c r="C1057" i="16"/>
  <c r="D1057" i="16"/>
  <c r="E1057" i="16"/>
  <c r="F1057" i="16"/>
  <c r="G1057" i="16"/>
  <c r="H1057" i="16"/>
  <c r="I1057" i="16"/>
  <c r="J1057" i="16"/>
  <c r="C1058" i="16"/>
  <c r="D1058" i="16"/>
  <c r="E1058" i="16"/>
  <c r="F1058" i="16"/>
  <c r="G1058" i="16"/>
  <c r="H1058" i="16"/>
  <c r="I1058" i="16"/>
  <c r="J1058" i="16"/>
  <c r="C1059" i="16"/>
  <c r="D1059" i="16"/>
  <c r="E1059" i="16"/>
  <c r="F1059" i="16"/>
  <c r="G1059" i="16"/>
  <c r="H1059" i="16"/>
  <c r="I1059" i="16"/>
  <c r="J1059" i="16"/>
  <c r="C1060" i="16"/>
  <c r="D1060" i="16"/>
  <c r="E1060" i="16"/>
  <c r="F1060" i="16"/>
  <c r="G1060" i="16"/>
  <c r="H1060" i="16"/>
  <c r="I1060" i="16"/>
  <c r="J1060" i="16"/>
  <c r="C1061" i="16"/>
  <c r="D1061" i="16"/>
  <c r="E1061" i="16"/>
  <c r="F1061" i="16"/>
  <c r="G1061" i="16"/>
  <c r="H1061" i="16"/>
  <c r="I1061" i="16"/>
  <c r="J1061" i="16"/>
  <c r="C1062" i="16"/>
  <c r="D1062" i="16"/>
  <c r="E1062" i="16"/>
  <c r="F1062" i="16"/>
  <c r="G1062" i="16"/>
  <c r="H1062" i="16"/>
  <c r="I1062" i="16"/>
  <c r="J1062" i="16"/>
  <c r="C1063" i="16"/>
  <c r="D1063" i="16"/>
  <c r="E1063" i="16"/>
  <c r="F1063" i="16"/>
  <c r="G1063" i="16"/>
  <c r="H1063" i="16"/>
  <c r="I1063" i="16"/>
  <c r="J1063" i="16"/>
  <c r="C1064" i="16"/>
  <c r="D1064" i="16"/>
  <c r="E1064" i="16"/>
  <c r="F1064" i="16"/>
  <c r="G1064" i="16"/>
  <c r="H1064" i="16"/>
  <c r="I1064" i="16"/>
  <c r="J1064" i="16"/>
  <c r="C1065" i="16"/>
  <c r="D1065" i="16"/>
  <c r="E1065" i="16"/>
  <c r="F1065" i="16"/>
  <c r="G1065" i="16"/>
  <c r="H1065" i="16"/>
  <c r="I1065" i="16"/>
  <c r="J1065" i="16"/>
  <c r="C1066" i="16"/>
  <c r="D1066" i="16"/>
  <c r="E1066" i="16"/>
  <c r="F1066" i="16"/>
  <c r="G1066" i="16"/>
  <c r="H1066" i="16"/>
  <c r="I1066" i="16"/>
  <c r="J1066" i="16"/>
  <c r="C1067" i="16"/>
  <c r="D1067" i="16"/>
  <c r="E1067" i="16"/>
  <c r="F1067" i="16"/>
  <c r="G1067" i="16"/>
  <c r="H1067" i="16"/>
  <c r="I1067" i="16"/>
  <c r="J1067" i="16"/>
  <c r="C1068" i="16"/>
  <c r="D1068" i="16"/>
  <c r="E1068" i="16"/>
  <c r="F1068" i="16"/>
  <c r="G1068" i="16"/>
  <c r="H1068" i="16"/>
  <c r="I1068" i="16"/>
  <c r="J1068" i="16"/>
  <c r="C1069" i="16"/>
  <c r="D1069" i="16"/>
  <c r="E1069" i="16"/>
  <c r="F1069" i="16"/>
  <c r="G1069" i="16"/>
  <c r="H1069" i="16"/>
  <c r="I1069" i="16"/>
  <c r="J1069" i="16"/>
  <c r="C1070" i="16"/>
  <c r="D1070" i="16"/>
  <c r="E1070" i="16"/>
  <c r="F1070" i="16"/>
  <c r="G1070" i="16"/>
  <c r="H1070" i="16"/>
  <c r="I1070" i="16"/>
  <c r="J1070" i="16"/>
  <c r="C1071" i="16"/>
  <c r="D1071" i="16"/>
  <c r="E1071" i="16"/>
  <c r="F1071" i="16"/>
  <c r="G1071" i="16"/>
  <c r="H1071" i="16"/>
  <c r="I1071" i="16"/>
  <c r="J1071" i="16"/>
  <c r="C1072" i="16"/>
  <c r="D1072" i="16"/>
  <c r="E1072" i="16"/>
  <c r="F1072" i="16"/>
  <c r="G1072" i="16"/>
  <c r="H1072" i="16"/>
  <c r="I1072" i="16"/>
  <c r="J1072" i="16"/>
  <c r="C1073" i="16"/>
  <c r="D1073" i="16"/>
  <c r="E1073" i="16"/>
  <c r="F1073" i="16"/>
  <c r="G1073" i="16"/>
  <c r="H1073" i="16"/>
  <c r="I1073" i="16"/>
  <c r="J1073" i="16"/>
  <c r="C1074" i="16"/>
  <c r="D1074" i="16"/>
  <c r="E1074" i="16"/>
  <c r="F1074" i="16"/>
  <c r="G1074" i="16"/>
  <c r="H1074" i="16"/>
  <c r="I1074" i="16"/>
  <c r="J1074" i="16"/>
  <c r="C1075" i="16"/>
  <c r="D1075" i="16"/>
  <c r="E1075" i="16"/>
  <c r="F1075" i="16"/>
  <c r="G1075" i="16"/>
  <c r="H1075" i="16"/>
  <c r="I1075" i="16"/>
  <c r="J1075" i="16"/>
  <c r="C1076" i="16"/>
  <c r="D1076" i="16"/>
  <c r="E1076" i="16"/>
  <c r="F1076" i="16"/>
  <c r="G1076" i="16"/>
  <c r="H1076" i="16"/>
  <c r="I1076" i="16"/>
  <c r="J1076" i="16"/>
  <c r="C1077" i="16"/>
  <c r="D1077" i="16"/>
  <c r="E1077" i="16"/>
  <c r="F1077" i="16"/>
  <c r="G1077" i="16"/>
  <c r="H1077" i="16"/>
  <c r="I1077" i="16"/>
  <c r="J1077" i="16"/>
  <c r="C1078" i="16"/>
  <c r="D1078" i="16"/>
  <c r="E1078" i="16"/>
  <c r="F1078" i="16"/>
  <c r="G1078" i="16"/>
  <c r="H1078" i="16"/>
  <c r="I1078" i="16"/>
  <c r="J1078" i="16"/>
  <c r="C1079" i="16"/>
  <c r="D1079" i="16"/>
  <c r="E1079" i="16"/>
  <c r="F1079" i="16"/>
  <c r="G1079" i="16"/>
  <c r="H1079" i="16"/>
  <c r="I1079" i="16"/>
  <c r="J1079" i="16"/>
  <c r="C1080" i="16"/>
  <c r="D1080" i="16"/>
  <c r="E1080" i="16"/>
  <c r="F1080" i="16"/>
  <c r="G1080" i="16"/>
  <c r="H1080" i="16"/>
  <c r="I1080" i="16"/>
  <c r="J1080" i="16"/>
  <c r="C1081" i="16"/>
  <c r="D1081" i="16"/>
  <c r="E1081" i="16"/>
  <c r="F1081" i="16"/>
  <c r="G1081" i="16"/>
  <c r="H1081" i="16"/>
  <c r="I1081" i="16"/>
  <c r="J1081" i="16"/>
  <c r="C1082" i="16"/>
  <c r="D1082" i="16"/>
  <c r="E1082" i="16"/>
  <c r="F1082" i="16"/>
  <c r="G1082" i="16"/>
  <c r="H1082" i="16"/>
  <c r="I1082" i="16"/>
  <c r="J1082" i="16"/>
  <c r="C1083" i="16"/>
  <c r="D1083" i="16"/>
  <c r="E1083" i="16"/>
  <c r="F1083" i="16"/>
  <c r="G1083" i="16"/>
  <c r="H1083" i="16"/>
  <c r="I1083" i="16"/>
  <c r="J1083" i="16"/>
  <c r="C1084" i="16"/>
  <c r="D1084" i="16"/>
  <c r="E1084" i="16"/>
  <c r="F1084" i="16"/>
  <c r="G1084" i="16"/>
  <c r="H1084" i="16"/>
  <c r="I1084" i="16"/>
  <c r="J1084" i="16"/>
  <c r="C1085" i="16"/>
  <c r="D1085" i="16"/>
  <c r="E1085" i="16"/>
  <c r="F1085" i="16"/>
  <c r="G1085" i="16"/>
  <c r="H1085" i="16"/>
  <c r="I1085" i="16"/>
  <c r="J1085" i="16"/>
  <c r="C1086" i="16"/>
  <c r="D1086" i="16"/>
  <c r="E1086" i="16"/>
  <c r="F1086" i="16"/>
  <c r="G1086" i="16"/>
  <c r="H1086" i="16"/>
  <c r="I1086" i="16"/>
  <c r="J1086" i="16"/>
  <c r="C1087" i="16"/>
  <c r="D1087" i="16"/>
  <c r="E1087" i="16"/>
  <c r="F1087" i="16"/>
  <c r="G1087" i="16"/>
  <c r="H1087" i="16"/>
  <c r="I1087" i="16"/>
  <c r="J1087" i="16"/>
  <c r="C1088" i="16"/>
  <c r="D1088" i="16"/>
  <c r="E1088" i="16"/>
  <c r="F1088" i="16"/>
  <c r="G1088" i="16"/>
  <c r="H1088" i="16"/>
  <c r="I1088" i="16"/>
  <c r="J1088" i="16"/>
  <c r="C1089" i="16"/>
  <c r="D1089" i="16"/>
  <c r="E1089" i="16"/>
  <c r="F1089" i="16"/>
  <c r="G1089" i="16"/>
  <c r="H1089" i="16"/>
  <c r="I1089" i="16"/>
  <c r="J1089" i="16"/>
  <c r="C1090" i="16"/>
  <c r="D1090" i="16"/>
  <c r="E1090" i="16"/>
  <c r="F1090" i="16"/>
  <c r="G1090" i="16"/>
  <c r="H1090" i="16"/>
  <c r="I1090" i="16"/>
  <c r="J1090" i="16"/>
  <c r="C1091" i="16"/>
  <c r="D1091" i="16"/>
  <c r="E1091" i="16"/>
  <c r="F1091" i="16"/>
  <c r="G1091" i="16"/>
  <c r="H1091" i="16"/>
  <c r="I1091" i="16"/>
  <c r="J1091" i="16"/>
  <c r="C1092" i="16"/>
  <c r="D1092" i="16"/>
  <c r="E1092" i="16"/>
  <c r="F1092" i="16"/>
  <c r="G1092" i="16"/>
  <c r="H1092" i="16"/>
  <c r="I1092" i="16"/>
  <c r="J1092" i="16"/>
  <c r="C1093" i="16"/>
  <c r="D1093" i="16"/>
  <c r="E1093" i="16"/>
  <c r="F1093" i="16"/>
  <c r="G1093" i="16"/>
  <c r="H1093" i="16"/>
  <c r="I1093" i="16"/>
  <c r="J1093" i="16"/>
  <c r="C1094" i="16"/>
  <c r="D1094" i="16"/>
  <c r="E1094" i="16"/>
  <c r="F1094" i="16"/>
  <c r="G1094" i="16"/>
  <c r="H1094" i="16"/>
  <c r="I1094" i="16"/>
  <c r="J1094" i="16"/>
  <c r="C1095" i="16"/>
  <c r="D1095" i="16"/>
  <c r="E1095" i="16"/>
  <c r="F1095" i="16"/>
  <c r="G1095" i="16"/>
  <c r="H1095" i="16"/>
  <c r="I1095" i="16"/>
  <c r="J1095" i="16"/>
  <c r="C1096" i="16"/>
  <c r="D1096" i="16"/>
  <c r="E1096" i="16"/>
  <c r="F1096" i="16"/>
  <c r="G1096" i="16"/>
  <c r="H1096" i="16"/>
  <c r="I1096" i="16"/>
  <c r="J1096" i="16"/>
  <c r="C1097" i="16"/>
  <c r="D1097" i="16"/>
  <c r="E1097" i="16"/>
  <c r="F1097" i="16"/>
  <c r="G1097" i="16"/>
  <c r="H1097" i="16"/>
  <c r="I1097" i="16"/>
  <c r="J1097" i="16"/>
  <c r="C1098" i="16"/>
  <c r="D1098" i="16"/>
  <c r="E1098" i="16"/>
  <c r="F1098" i="16"/>
  <c r="G1098" i="16"/>
  <c r="H1098" i="16"/>
  <c r="I1098" i="16"/>
  <c r="J1098" i="16"/>
  <c r="C1099" i="16"/>
  <c r="D1099" i="16"/>
  <c r="E1099" i="16"/>
  <c r="F1099" i="16"/>
  <c r="G1099" i="16"/>
  <c r="H1099" i="16"/>
  <c r="I1099" i="16"/>
  <c r="J1099" i="16"/>
  <c r="C1100" i="16"/>
  <c r="D1100" i="16"/>
  <c r="E1100" i="16"/>
  <c r="F1100" i="16"/>
  <c r="G1100" i="16"/>
  <c r="H1100" i="16"/>
  <c r="I1100" i="16"/>
  <c r="J1100" i="16"/>
  <c r="C1101" i="16"/>
  <c r="D1101" i="16"/>
  <c r="E1101" i="16"/>
  <c r="F1101" i="16"/>
  <c r="G1101" i="16"/>
  <c r="H1101" i="16"/>
  <c r="I1101" i="16"/>
  <c r="J1101" i="16"/>
  <c r="C1102" i="16"/>
  <c r="D1102" i="16"/>
  <c r="E1102" i="16"/>
  <c r="F1102" i="16"/>
  <c r="G1102" i="16"/>
  <c r="H1102" i="16"/>
  <c r="I1102" i="16"/>
  <c r="J1102" i="16"/>
  <c r="C1103" i="16"/>
  <c r="D1103" i="16"/>
  <c r="E1103" i="16"/>
  <c r="F1103" i="16"/>
  <c r="G1103" i="16"/>
  <c r="H1103" i="16"/>
  <c r="I1103" i="16"/>
  <c r="J1103" i="16"/>
  <c r="C1104" i="16"/>
  <c r="D1104" i="16"/>
  <c r="E1104" i="16"/>
  <c r="F1104" i="16"/>
  <c r="G1104" i="16"/>
  <c r="H1104" i="16"/>
  <c r="I1104" i="16"/>
  <c r="J1104" i="16"/>
  <c r="C1105" i="16"/>
  <c r="D1105" i="16"/>
  <c r="E1105" i="16"/>
  <c r="F1105" i="16"/>
  <c r="G1105" i="16"/>
  <c r="H1105" i="16"/>
  <c r="I1105" i="16"/>
  <c r="J1105" i="16"/>
  <c r="C1106" i="16"/>
  <c r="D1106" i="16"/>
  <c r="E1106" i="16"/>
  <c r="F1106" i="16"/>
  <c r="G1106" i="16"/>
  <c r="H1106" i="16"/>
  <c r="I1106" i="16"/>
  <c r="J1106" i="16"/>
  <c r="C1107" i="16"/>
  <c r="D1107" i="16"/>
  <c r="E1107" i="16"/>
  <c r="F1107" i="16"/>
  <c r="G1107" i="16"/>
  <c r="H1107" i="16"/>
  <c r="I1107" i="16"/>
  <c r="J1107" i="16"/>
  <c r="C1108" i="16"/>
  <c r="D1108" i="16"/>
  <c r="E1108" i="16"/>
  <c r="F1108" i="16"/>
  <c r="G1108" i="16"/>
  <c r="H1108" i="16"/>
  <c r="I1108" i="16"/>
  <c r="J1108" i="16"/>
  <c r="C1109" i="16"/>
  <c r="D1109" i="16"/>
  <c r="E1109" i="16"/>
  <c r="F1109" i="16"/>
  <c r="G1109" i="16"/>
  <c r="H1109" i="16"/>
  <c r="I1109" i="16"/>
  <c r="J1109" i="16"/>
  <c r="C1110" i="16"/>
  <c r="D1110" i="16"/>
  <c r="E1110" i="16"/>
  <c r="F1110" i="16"/>
  <c r="G1110" i="16"/>
  <c r="H1110" i="16"/>
  <c r="I1110" i="16"/>
  <c r="J1110" i="16"/>
  <c r="C1111" i="16"/>
  <c r="D1111" i="16"/>
  <c r="E1111" i="16"/>
  <c r="F1111" i="16"/>
  <c r="G1111" i="16"/>
  <c r="H1111" i="16"/>
  <c r="I1111" i="16"/>
  <c r="J1111" i="16"/>
  <c r="C1112" i="16"/>
  <c r="D1112" i="16"/>
  <c r="E1112" i="16"/>
  <c r="F1112" i="16"/>
  <c r="G1112" i="16"/>
  <c r="H1112" i="16"/>
  <c r="I1112" i="16"/>
  <c r="J1112" i="16"/>
  <c r="C1113" i="16"/>
  <c r="D1113" i="16"/>
  <c r="E1113" i="16"/>
  <c r="F1113" i="16"/>
  <c r="G1113" i="16"/>
  <c r="H1113" i="16"/>
  <c r="I1113" i="16"/>
  <c r="J1113" i="16"/>
  <c r="C1114" i="16"/>
  <c r="D1114" i="16"/>
  <c r="E1114" i="16"/>
  <c r="F1114" i="16"/>
  <c r="G1114" i="16"/>
  <c r="H1114" i="16"/>
  <c r="I1114" i="16"/>
  <c r="J1114" i="16"/>
  <c r="C1115" i="16"/>
  <c r="D1115" i="16"/>
  <c r="E1115" i="16"/>
  <c r="F1115" i="16"/>
  <c r="G1115" i="16"/>
  <c r="H1115" i="16"/>
  <c r="I1115" i="16"/>
  <c r="J1115" i="16"/>
  <c r="C1116" i="16"/>
  <c r="D1116" i="16"/>
  <c r="E1116" i="16"/>
  <c r="F1116" i="16"/>
  <c r="G1116" i="16"/>
  <c r="H1116" i="16"/>
  <c r="I1116" i="16"/>
  <c r="J1116" i="16"/>
  <c r="C1117" i="16"/>
  <c r="D1117" i="16"/>
  <c r="E1117" i="16"/>
  <c r="F1117" i="16"/>
  <c r="G1117" i="16"/>
  <c r="H1117" i="16"/>
  <c r="I1117" i="16"/>
  <c r="J1117" i="16"/>
  <c r="C1118" i="16"/>
  <c r="D1118" i="16"/>
  <c r="E1118" i="16"/>
  <c r="F1118" i="16"/>
  <c r="G1118" i="16"/>
  <c r="H1118" i="16"/>
  <c r="I1118" i="16"/>
  <c r="J1118" i="16"/>
  <c r="C1119" i="16"/>
  <c r="D1119" i="16"/>
  <c r="E1119" i="16"/>
  <c r="F1119" i="16"/>
  <c r="G1119" i="16"/>
  <c r="H1119" i="16"/>
  <c r="I1119" i="16"/>
  <c r="J1119" i="16"/>
  <c r="C1120" i="16"/>
  <c r="D1120" i="16"/>
  <c r="E1120" i="16"/>
  <c r="F1120" i="16"/>
  <c r="G1120" i="16"/>
  <c r="H1120" i="16"/>
  <c r="I1120" i="16"/>
  <c r="J1120" i="16"/>
  <c r="C1121" i="16"/>
  <c r="D1121" i="16"/>
  <c r="E1121" i="16"/>
  <c r="F1121" i="16"/>
  <c r="G1121" i="16"/>
  <c r="H1121" i="16"/>
  <c r="I1121" i="16"/>
  <c r="J1121" i="16"/>
  <c r="C1122" i="16"/>
  <c r="D1122" i="16"/>
  <c r="E1122" i="16"/>
  <c r="F1122" i="16"/>
  <c r="G1122" i="16"/>
  <c r="H1122" i="16"/>
  <c r="I1122" i="16"/>
  <c r="J1122" i="16"/>
  <c r="C1123" i="16"/>
  <c r="D1123" i="16"/>
  <c r="E1123" i="16"/>
  <c r="F1123" i="16"/>
  <c r="G1123" i="16"/>
  <c r="H1123" i="16"/>
  <c r="I1123" i="16"/>
  <c r="J1123" i="16"/>
  <c r="C1124" i="16"/>
  <c r="D1124" i="16"/>
  <c r="E1124" i="16"/>
  <c r="F1124" i="16"/>
  <c r="G1124" i="16"/>
  <c r="H1124" i="16"/>
  <c r="I1124" i="16"/>
  <c r="J1124" i="16"/>
  <c r="C1125" i="16"/>
  <c r="D1125" i="16"/>
  <c r="E1125" i="16"/>
  <c r="F1125" i="16"/>
  <c r="G1125" i="16"/>
  <c r="H1125" i="16"/>
  <c r="I1125" i="16"/>
  <c r="J1125" i="16"/>
  <c r="C1126" i="16"/>
  <c r="D1126" i="16"/>
  <c r="E1126" i="16"/>
  <c r="F1126" i="16"/>
  <c r="G1126" i="16"/>
  <c r="H1126" i="16"/>
  <c r="I1126" i="16"/>
  <c r="J1126" i="16"/>
  <c r="C1127" i="16"/>
  <c r="D1127" i="16"/>
  <c r="E1127" i="16"/>
  <c r="F1127" i="16"/>
  <c r="G1127" i="16"/>
  <c r="H1127" i="16"/>
  <c r="I1127" i="16"/>
  <c r="J1127" i="16"/>
  <c r="C1128" i="16"/>
  <c r="D1128" i="16"/>
  <c r="E1128" i="16"/>
  <c r="F1128" i="16"/>
  <c r="G1128" i="16"/>
  <c r="H1128" i="16"/>
  <c r="I1128" i="16"/>
  <c r="J1128" i="16"/>
  <c r="C1129" i="16"/>
  <c r="D1129" i="16"/>
  <c r="E1129" i="16"/>
  <c r="F1129" i="16"/>
  <c r="G1129" i="16"/>
  <c r="H1129" i="16"/>
  <c r="I1129" i="16"/>
  <c r="J1129" i="16"/>
  <c r="C1130" i="16"/>
  <c r="D1130" i="16"/>
  <c r="E1130" i="16"/>
  <c r="F1130" i="16"/>
  <c r="G1130" i="16"/>
  <c r="H1130" i="16"/>
  <c r="I1130" i="16"/>
  <c r="J1130" i="16"/>
  <c r="C1131" i="16"/>
  <c r="D1131" i="16"/>
  <c r="E1131" i="16"/>
  <c r="F1131" i="16"/>
  <c r="G1131" i="16"/>
  <c r="H1131" i="16"/>
  <c r="I1131" i="16"/>
  <c r="J1131" i="16"/>
  <c r="C1132" i="16"/>
  <c r="D1132" i="16"/>
  <c r="E1132" i="16"/>
  <c r="F1132" i="16"/>
  <c r="G1132" i="16"/>
  <c r="H1132" i="16"/>
  <c r="I1132" i="16"/>
  <c r="J1132" i="16"/>
  <c r="C1133" i="16"/>
  <c r="D1133" i="16"/>
  <c r="E1133" i="16"/>
  <c r="F1133" i="16"/>
  <c r="G1133" i="16"/>
  <c r="H1133" i="16"/>
  <c r="I1133" i="16"/>
  <c r="J1133" i="16"/>
  <c r="C1134" i="16"/>
  <c r="D1134" i="16"/>
  <c r="E1134" i="16"/>
  <c r="F1134" i="16"/>
  <c r="G1134" i="16"/>
  <c r="H1134" i="16"/>
  <c r="I1134" i="16"/>
  <c r="J1134" i="16"/>
  <c r="C1135" i="16"/>
  <c r="D1135" i="16"/>
  <c r="E1135" i="16"/>
  <c r="F1135" i="16"/>
  <c r="G1135" i="16"/>
  <c r="H1135" i="16"/>
  <c r="I1135" i="16"/>
  <c r="J1135" i="16"/>
  <c r="C1136" i="16"/>
  <c r="D1136" i="16"/>
  <c r="E1136" i="16"/>
  <c r="F1136" i="16"/>
  <c r="G1136" i="16"/>
  <c r="H1136" i="16"/>
  <c r="I1136" i="16"/>
  <c r="J1136" i="16"/>
  <c r="C1137" i="16"/>
  <c r="D1137" i="16"/>
  <c r="E1137" i="16"/>
  <c r="F1137" i="16"/>
  <c r="G1137" i="16"/>
  <c r="H1137" i="16"/>
  <c r="I1137" i="16"/>
  <c r="J1137" i="16"/>
  <c r="C1138" i="16"/>
  <c r="D1138" i="16"/>
  <c r="E1138" i="16"/>
  <c r="F1138" i="16"/>
  <c r="G1138" i="16"/>
  <c r="H1138" i="16"/>
  <c r="I1138" i="16"/>
  <c r="J1138" i="16"/>
  <c r="C1139" i="16"/>
  <c r="D1139" i="16"/>
  <c r="E1139" i="16"/>
  <c r="F1139" i="16"/>
  <c r="G1139" i="16"/>
  <c r="H1139" i="16"/>
  <c r="I1139" i="16"/>
  <c r="J1139" i="16"/>
  <c r="C1140" i="16"/>
  <c r="D1140" i="16"/>
  <c r="E1140" i="16"/>
  <c r="F1140" i="16"/>
  <c r="G1140" i="16"/>
  <c r="H1140" i="16"/>
  <c r="I1140" i="16"/>
  <c r="J1140" i="16"/>
  <c r="C1141" i="16"/>
  <c r="D1141" i="16"/>
  <c r="E1141" i="16"/>
  <c r="F1141" i="16"/>
  <c r="G1141" i="16"/>
  <c r="H1141" i="16"/>
  <c r="I1141" i="16"/>
  <c r="J1141" i="16"/>
  <c r="C1142" i="16"/>
  <c r="D1142" i="16"/>
  <c r="E1142" i="16"/>
  <c r="F1142" i="16"/>
  <c r="G1142" i="16"/>
  <c r="H1142" i="16"/>
  <c r="I1142" i="16"/>
  <c r="J1142" i="16"/>
  <c r="C1143" i="16"/>
  <c r="D1143" i="16"/>
  <c r="E1143" i="16"/>
  <c r="F1143" i="16"/>
  <c r="G1143" i="16"/>
  <c r="H1143" i="16"/>
  <c r="I1143" i="16"/>
  <c r="J1143" i="16"/>
  <c r="C1144" i="16"/>
  <c r="D1144" i="16"/>
  <c r="E1144" i="16"/>
  <c r="F1144" i="16"/>
  <c r="G1144" i="16"/>
  <c r="H1144" i="16"/>
  <c r="I1144" i="16"/>
  <c r="J1144" i="16"/>
  <c r="C1145" i="16"/>
  <c r="D1145" i="16"/>
  <c r="E1145" i="16"/>
  <c r="F1145" i="16"/>
  <c r="G1145" i="16"/>
  <c r="H1145" i="16"/>
  <c r="I1145" i="16"/>
  <c r="J1145" i="16"/>
  <c r="C1146" i="16"/>
  <c r="D1146" i="16"/>
  <c r="E1146" i="16"/>
  <c r="F1146" i="16"/>
  <c r="G1146" i="16"/>
  <c r="H1146" i="16"/>
  <c r="I1146" i="16"/>
  <c r="J1146" i="16"/>
  <c r="C1147" i="16"/>
  <c r="D1147" i="16"/>
  <c r="E1147" i="16"/>
  <c r="F1147" i="16"/>
  <c r="G1147" i="16"/>
  <c r="H1147" i="16"/>
  <c r="I1147" i="16"/>
  <c r="J1147" i="16"/>
  <c r="C1148" i="16"/>
  <c r="D1148" i="16"/>
  <c r="E1148" i="16"/>
  <c r="F1148" i="16"/>
  <c r="G1148" i="16"/>
  <c r="H1148" i="16"/>
  <c r="I1148" i="16"/>
  <c r="J1148" i="16"/>
  <c r="C1149" i="16"/>
  <c r="D1149" i="16"/>
  <c r="E1149" i="16"/>
  <c r="F1149" i="16"/>
  <c r="G1149" i="16"/>
  <c r="H1149" i="16"/>
  <c r="I1149" i="16"/>
  <c r="J1149" i="16"/>
  <c r="C1150" i="16"/>
  <c r="D1150" i="16"/>
  <c r="E1150" i="16"/>
  <c r="F1150" i="16"/>
  <c r="G1150" i="16"/>
  <c r="H1150" i="16"/>
  <c r="I1150" i="16"/>
  <c r="J1150" i="16"/>
  <c r="C1151" i="16"/>
  <c r="D1151" i="16"/>
  <c r="E1151" i="16"/>
  <c r="F1151" i="16"/>
  <c r="G1151" i="16"/>
  <c r="H1151" i="16"/>
  <c r="I1151" i="16"/>
  <c r="J1151" i="16"/>
  <c r="C1152" i="16"/>
  <c r="D1152" i="16"/>
  <c r="E1152" i="16"/>
  <c r="F1152" i="16"/>
  <c r="G1152" i="16"/>
  <c r="H1152" i="16"/>
  <c r="I1152" i="16"/>
  <c r="J1152" i="16"/>
  <c r="C1153" i="16"/>
  <c r="D1153" i="16"/>
  <c r="E1153" i="16"/>
  <c r="F1153" i="16"/>
  <c r="G1153" i="16"/>
  <c r="H1153" i="16"/>
  <c r="I1153" i="16"/>
  <c r="J1153" i="16"/>
  <c r="C1154" i="16"/>
  <c r="D1154" i="16"/>
  <c r="E1154" i="16"/>
  <c r="F1154" i="16"/>
  <c r="G1154" i="16"/>
  <c r="H1154" i="16"/>
  <c r="I1154" i="16"/>
  <c r="J1154" i="16"/>
  <c r="C1155" i="16"/>
  <c r="D1155" i="16"/>
  <c r="E1155" i="16"/>
  <c r="F1155" i="16"/>
  <c r="G1155" i="16"/>
  <c r="H1155" i="16"/>
  <c r="I1155" i="16"/>
  <c r="J1155" i="16"/>
  <c r="C1156" i="16"/>
  <c r="D1156" i="16"/>
  <c r="E1156" i="16"/>
  <c r="F1156" i="16"/>
  <c r="G1156" i="16"/>
  <c r="H1156" i="16"/>
  <c r="I1156" i="16"/>
  <c r="J1156" i="16"/>
  <c r="C1157" i="16"/>
  <c r="D1157" i="16"/>
  <c r="E1157" i="16"/>
  <c r="F1157" i="16"/>
  <c r="G1157" i="16"/>
  <c r="H1157" i="16"/>
  <c r="I1157" i="16"/>
  <c r="J1157" i="16"/>
  <c r="C1158" i="16"/>
  <c r="D1158" i="16"/>
  <c r="E1158" i="16"/>
  <c r="F1158" i="16"/>
  <c r="G1158" i="16"/>
  <c r="H1158" i="16"/>
  <c r="I1158" i="16"/>
  <c r="J1158" i="16"/>
  <c r="C1159" i="16"/>
  <c r="D1159" i="16"/>
  <c r="E1159" i="16"/>
  <c r="F1159" i="16"/>
  <c r="G1159" i="16"/>
  <c r="H1159" i="16"/>
  <c r="I1159" i="16"/>
  <c r="J1159" i="16"/>
  <c r="C1160" i="16"/>
  <c r="D1160" i="16"/>
  <c r="E1160" i="16"/>
  <c r="F1160" i="16"/>
  <c r="G1160" i="16"/>
  <c r="H1160" i="16"/>
  <c r="I1160" i="16"/>
  <c r="J1160" i="16"/>
  <c r="C1161" i="16"/>
  <c r="D1161" i="16"/>
  <c r="E1161" i="16"/>
  <c r="F1161" i="16"/>
  <c r="G1161" i="16"/>
  <c r="H1161" i="16"/>
  <c r="I1161" i="16"/>
  <c r="J1161" i="16"/>
  <c r="C1162" i="16"/>
  <c r="D1162" i="16"/>
  <c r="E1162" i="16"/>
  <c r="F1162" i="16"/>
  <c r="G1162" i="16"/>
  <c r="H1162" i="16"/>
  <c r="I1162" i="16"/>
  <c r="J1162" i="16"/>
  <c r="C1163" i="16"/>
  <c r="D1163" i="16"/>
  <c r="E1163" i="16"/>
  <c r="F1163" i="16"/>
  <c r="G1163" i="16"/>
  <c r="H1163" i="16"/>
  <c r="I1163" i="16"/>
  <c r="J1163" i="16"/>
  <c r="C1164" i="16"/>
  <c r="D1164" i="16"/>
  <c r="E1164" i="16"/>
  <c r="F1164" i="16"/>
  <c r="G1164" i="16"/>
  <c r="H1164" i="16"/>
  <c r="I1164" i="16"/>
  <c r="J1164" i="16"/>
  <c r="C1165" i="16"/>
  <c r="D1165" i="16"/>
  <c r="E1165" i="16"/>
  <c r="F1165" i="16"/>
  <c r="G1165" i="16"/>
  <c r="H1165" i="16"/>
  <c r="I1165" i="16"/>
  <c r="J1165" i="16"/>
  <c r="C1166" i="16"/>
  <c r="D1166" i="16"/>
  <c r="E1166" i="16"/>
  <c r="F1166" i="16"/>
  <c r="G1166" i="16"/>
  <c r="H1166" i="16"/>
  <c r="I1166" i="16"/>
  <c r="J1166" i="16"/>
  <c r="C1167" i="16"/>
  <c r="D1167" i="16"/>
  <c r="E1167" i="16"/>
  <c r="F1167" i="16"/>
  <c r="G1167" i="16"/>
  <c r="H1167" i="16"/>
  <c r="I1167" i="16"/>
  <c r="J1167" i="16"/>
  <c r="C1168" i="16"/>
  <c r="D1168" i="16"/>
  <c r="E1168" i="16"/>
  <c r="F1168" i="16"/>
  <c r="G1168" i="16"/>
  <c r="H1168" i="16"/>
  <c r="I1168" i="16"/>
  <c r="J1168" i="16"/>
  <c r="C1169" i="16"/>
  <c r="D1169" i="16"/>
  <c r="E1169" i="16"/>
  <c r="F1169" i="16"/>
  <c r="G1169" i="16"/>
  <c r="H1169" i="16"/>
  <c r="I1169" i="16"/>
  <c r="J1169" i="16"/>
  <c r="C1170" i="16"/>
  <c r="D1170" i="16"/>
  <c r="E1170" i="16"/>
  <c r="F1170" i="16"/>
  <c r="G1170" i="16"/>
  <c r="H1170" i="16"/>
  <c r="I1170" i="16"/>
  <c r="J1170" i="16"/>
  <c r="C1171" i="16"/>
  <c r="D1171" i="16"/>
  <c r="E1171" i="16"/>
  <c r="F1171" i="16"/>
  <c r="G1171" i="16"/>
  <c r="H1171" i="16"/>
  <c r="I1171" i="16"/>
  <c r="J1171" i="16"/>
  <c r="C1172" i="16"/>
  <c r="D1172" i="16"/>
  <c r="E1172" i="16"/>
  <c r="F1172" i="16"/>
  <c r="G1172" i="16"/>
  <c r="H1172" i="16"/>
  <c r="I1172" i="16"/>
  <c r="J1172" i="16"/>
  <c r="C1173" i="16"/>
  <c r="D1173" i="16"/>
  <c r="E1173" i="16"/>
  <c r="F1173" i="16"/>
  <c r="G1173" i="16"/>
  <c r="H1173" i="16"/>
  <c r="I1173" i="16"/>
  <c r="J1173" i="16"/>
  <c r="C1174" i="16"/>
  <c r="D1174" i="16"/>
  <c r="E1174" i="16"/>
  <c r="F1174" i="16"/>
  <c r="G1174" i="16"/>
  <c r="H1174" i="16"/>
  <c r="I1174" i="16"/>
  <c r="J1174" i="16"/>
  <c r="C1175" i="16"/>
  <c r="D1175" i="16"/>
  <c r="E1175" i="16"/>
  <c r="F1175" i="16"/>
  <c r="G1175" i="16"/>
  <c r="H1175" i="16"/>
  <c r="I1175" i="16"/>
  <c r="J1175" i="16"/>
  <c r="C1176" i="16"/>
  <c r="D1176" i="16"/>
  <c r="E1176" i="16"/>
  <c r="F1176" i="16"/>
  <c r="G1176" i="16"/>
  <c r="H1176" i="16"/>
  <c r="I1176" i="16"/>
  <c r="J1176" i="16"/>
  <c r="C1177" i="16"/>
  <c r="D1177" i="16"/>
  <c r="E1177" i="16"/>
  <c r="F1177" i="16"/>
  <c r="G1177" i="16"/>
  <c r="H1177" i="16"/>
  <c r="I1177" i="16"/>
  <c r="J1177" i="16"/>
  <c r="C1178" i="16"/>
  <c r="D1178" i="16"/>
  <c r="E1178" i="16"/>
  <c r="F1178" i="16"/>
  <c r="G1178" i="16"/>
  <c r="H1178" i="16"/>
  <c r="I1178" i="16"/>
  <c r="J1178" i="16"/>
  <c r="C1179" i="16"/>
  <c r="D1179" i="16"/>
  <c r="E1179" i="16"/>
  <c r="F1179" i="16"/>
  <c r="G1179" i="16"/>
  <c r="H1179" i="16"/>
  <c r="I1179" i="16"/>
  <c r="J1179" i="16"/>
  <c r="C1180" i="16"/>
  <c r="D1180" i="16"/>
  <c r="E1180" i="16"/>
  <c r="F1180" i="16"/>
  <c r="G1180" i="16"/>
  <c r="H1180" i="16"/>
  <c r="I1180" i="16"/>
  <c r="J1180" i="16"/>
  <c r="C1181" i="16"/>
  <c r="D1181" i="16"/>
  <c r="E1181" i="16"/>
  <c r="F1181" i="16"/>
  <c r="G1181" i="16"/>
  <c r="H1181" i="16"/>
  <c r="I1181" i="16"/>
  <c r="J1181" i="16"/>
  <c r="C1182" i="16"/>
  <c r="D1182" i="16"/>
  <c r="E1182" i="16"/>
  <c r="F1182" i="16"/>
  <c r="G1182" i="16"/>
  <c r="H1182" i="16"/>
  <c r="I1182" i="16"/>
  <c r="J1182" i="16"/>
  <c r="C1183" i="16"/>
  <c r="D1183" i="16"/>
  <c r="E1183" i="16"/>
  <c r="F1183" i="16"/>
  <c r="G1183" i="16"/>
  <c r="H1183" i="16"/>
  <c r="I1183" i="16"/>
  <c r="J1183" i="16"/>
  <c r="C1184" i="16"/>
  <c r="D1184" i="16"/>
  <c r="E1184" i="16"/>
  <c r="F1184" i="16"/>
  <c r="G1184" i="16"/>
  <c r="H1184" i="16"/>
  <c r="I1184" i="16"/>
  <c r="J1184" i="16"/>
  <c r="C1185" i="16"/>
  <c r="D1185" i="16"/>
  <c r="E1185" i="16"/>
  <c r="F1185" i="16"/>
  <c r="G1185" i="16"/>
  <c r="H1185" i="16"/>
  <c r="I1185" i="16"/>
  <c r="J1185" i="16"/>
  <c r="C1186" i="16"/>
  <c r="D1186" i="16"/>
  <c r="E1186" i="16"/>
  <c r="F1186" i="16"/>
  <c r="G1186" i="16"/>
  <c r="H1186" i="16"/>
  <c r="I1186" i="16"/>
  <c r="J1186" i="16"/>
  <c r="C1187" i="16"/>
  <c r="D1187" i="16"/>
  <c r="E1187" i="16"/>
  <c r="F1187" i="16"/>
  <c r="G1187" i="16"/>
  <c r="H1187" i="16"/>
  <c r="I1187" i="16"/>
  <c r="J1187" i="16"/>
  <c r="C1188" i="16"/>
  <c r="D1188" i="16"/>
  <c r="E1188" i="16"/>
  <c r="F1188" i="16"/>
  <c r="G1188" i="16"/>
  <c r="H1188" i="16"/>
  <c r="I1188" i="16"/>
  <c r="J1188" i="16"/>
  <c r="C1189" i="16"/>
  <c r="D1189" i="16"/>
  <c r="E1189" i="16"/>
  <c r="F1189" i="16"/>
  <c r="G1189" i="16"/>
  <c r="H1189" i="16"/>
  <c r="I1189" i="16"/>
  <c r="J1189" i="16"/>
  <c r="C1190" i="16"/>
  <c r="D1190" i="16"/>
  <c r="E1190" i="16"/>
  <c r="F1190" i="16"/>
  <c r="G1190" i="16"/>
  <c r="H1190" i="16"/>
  <c r="I1190" i="16"/>
  <c r="J1190" i="16"/>
  <c r="C1191" i="16"/>
  <c r="D1191" i="16"/>
  <c r="E1191" i="16"/>
  <c r="F1191" i="16"/>
  <c r="G1191" i="16"/>
  <c r="H1191" i="16"/>
  <c r="I1191" i="16"/>
  <c r="J1191" i="16"/>
  <c r="C1192" i="16"/>
  <c r="D1192" i="16"/>
  <c r="E1192" i="16"/>
  <c r="F1192" i="16"/>
  <c r="G1192" i="16"/>
  <c r="H1192" i="16"/>
  <c r="I1192" i="16"/>
  <c r="J1192" i="16"/>
  <c r="C1193" i="16"/>
  <c r="D1193" i="16"/>
  <c r="E1193" i="16"/>
  <c r="F1193" i="16"/>
  <c r="G1193" i="16"/>
  <c r="H1193" i="16"/>
  <c r="I1193" i="16"/>
  <c r="J1193" i="16"/>
  <c r="C1194" i="16"/>
  <c r="D1194" i="16"/>
  <c r="E1194" i="16"/>
  <c r="F1194" i="16"/>
  <c r="G1194" i="16"/>
  <c r="H1194" i="16"/>
  <c r="I1194" i="16"/>
  <c r="J1194" i="16"/>
  <c r="C1195" i="16"/>
  <c r="D1195" i="16"/>
  <c r="E1195" i="16"/>
  <c r="F1195" i="16"/>
  <c r="G1195" i="16"/>
  <c r="H1195" i="16"/>
  <c r="I1195" i="16"/>
  <c r="J1195" i="16"/>
  <c r="C1196" i="16"/>
  <c r="D1196" i="16"/>
  <c r="E1196" i="16"/>
  <c r="F1196" i="16"/>
  <c r="G1196" i="16"/>
  <c r="H1196" i="16"/>
  <c r="I1196" i="16"/>
  <c r="J1196" i="16"/>
  <c r="C1197" i="16"/>
  <c r="D1197" i="16"/>
  <c r="E1197" i="16"/>
  <c r="F1197" i="16"/>
  <c r="G1197" i="16"/>
  <c r="H1197" i="16"/>
  <c r="I1197" i="16"/>
  <c r="J1197" i="16"/>
  <c r="C1198" i="16"/>
  <c r="D1198" i="16"/>
  <c r="E1198" i="16"/>
  <c r="F1198" i="16"/>
  <c r="G1198" i="16"/>
  <c r="H1198" i="16"/>
  <c r="I1198" i="16"/>
  <c r="J1198" i="16"/>
  <c r="C1199" i="16"/>
  <c r="D1199" i="16"/>
  <c r="E1199" i="16"/>
  <c r="F1199" i="16"/>
  <c r="G1199" i="16"/>
  <c r="H1199" i="16"/>
  <c r="I1199" i="16"/>
  <c r="J1199" i="16"/>
  <c r="C1200" i="16"/>
  <c r="D1200" i="16"/>
  <c r="E1200" i="16"/>
  <c r="F1200" i="16"/>
  <c r="G1200" i="16"/>
  <c r="H1200" i="16"/>
  <c r="I1200" i="16"/>
  <c r="J1200" i="16"/>
  <c r="C1201" i="16"/>
  <c r="D1201" i="16"/>
  <c r="E1201" i="16"/>
  <c r="F1201" i="16"/>
  <c r="G1201" i="16"/>
  <c r="H1201" i="16"/>
  <c r="I1201" i="16"/>
  <c r="J1201" i="16"/>
  <c r="C1202" i="16"/>
  <c r="D1202" i="16"/>
  <c r="E1202" i="16"/>
  <c r="F1202" i="16"/>
  <c r="G1202" i="16"/>
  <c r="H1202" i="16"/>
  <c r="I1202" i="16"/>
  <c r="J1202" i="16"/>
  <c r="C1203" i="16"/>
  <c r="D1203" i="16"/>
  <c r="E1203" i="16"/>
  <c r="F1203" i="16"/>
  <c r="G1203" i="16"/>
  <c r="H1203" i="16"/>
  <c r="I1203" i="16"/>
  <c r="J1203" i="16"/>
  <c r="C1204" i="16"/>
  <c r="D1204" i="16"/>
  <c r="E1204" i="16"/>
  <c r="F1204" i="16"/>
  <c r="G1204" i="16"/>
  <c r="H1204" i="16"/>
  <c r="I1204" i="16"/>
  <c r="J1204" i="16"/>
  <c r="C1205" i="16"/>
  <c r="D1205" i="16"/>
  <c r="E1205" i="16"/>
  <c r="F1205" i="16"/>
  <c r="G1205" i="16"/>
  <c r="H1205" i="16"/>
  <c r="I1205" i="16"/>
  <c r="J1205" i="16"/>
  <c r="C1206" i="16"/>
  <c r="D1206" i="16"/>
  <c r="E1206" i="16"/>
  <c r="F1206" i="16"/>
  <c r="G1206" i="16"/>
  <c r="H1206" i="16"/>
  <c r="I1206" i="16"/>
  <c r="J1206" i="16"/>
  <c r="C1207" i="16"/>
  <c r="D1207" i="16"/>
  <c r="E1207" i="16"/>
  <c r="F1207" i="16"/>
  <c r="G1207" i="16"/>
  <c r="H1207" i="16"/>
  <c r="I1207" i="16"/>
  <c r="J1207" i="16"/>
  <c r="C1208" i="16"/>
  <c r="D1208" i="16"/>
  <c r="E1208" i="16"/>
  <c r="F1208" i="16"/>
  <c r="G1208" i="16"/>
  <c r="H1208" i="16"/>
  <c r="I1208" i="16"/>
  <c r="J1208" i="16"/>
  <c r="C1209" i="16"/>
  <c r="D1209" i="16"/>
  <c r="E1209" i="16"/>
  <c r="F1209" i="16"/>
  <c r="G1209" i="16"/>
  <c r="H1209" i="16"/>
  <c r="I1209" i="16"/>
  <c r="J1209" i="16"/>
  <c r="C1210" i="16"/>
  <c r="D1210" i="16"/>
  <c r="E1210" i="16"/>
  <c r="F1210" i="16"/>
  <c r="G1210" i="16"/>
  <c r="H1210" i="16"/>
  <c r="I1210" i="16"/>
  <c r="J1210" i="16"/>
  <c r="C1211" i="16"/>
  <c r="D1211" i="16"/>
  <c r="E1211" i="16"/>
  <c r="F1211" i="16"/>
  <c r="G1211" i="16"/>
  <c r="H1211" i="16"/>
  <c r="I1211" i="16"/>
  <c r="J1211" i="16"/>
  <c r="C1212" i="16"/>
  <c r="D1212" i="16"/>
  <c r="E1212" i="16"/>
  <c r="F1212" i="16"/>
  <c r="G1212" i="16"/>
  <c r="H1212" i="16"/>
  <c r="I1212" i="16"/>
  <c r="J1212" i="16"/>
  <c r="C1213" i="16"/>
  <c r="D1213" i="16"/>
  <c r="E1213" i="16"/>
  <c r="F1213" i="16"/>
  <c r="G1213" i="16"/>
  <c r="H1213" i="16"/>
  <c r="I1213" i="16"/>
  <c r="J1213" i="16"/>
  <c r="C1214" i="16"/>
  <c r="D1214" i="16"/>
  <c r="E1214" i="16"/>
  <c r="F1214" i="16"/>
  <c r="G1214" i="16"/>
  <c r="H1214" i="16"/>
  <c r="I1214" i="16"/>
  <c r="J1214" i="16"/>
  <c r="C1215" i="16"/>
  <c r="D1215" i="16"/>
  <c r="E1215" i="16"/>
  <c r="F1215" i="16"/>
  <c r="G1215" i="16"/>
  <c r="H1215" i="16"/>
  <c r="I1215" i="16"/>
  <c r="J1215" i="16"/>
  <c r="C1216" i="16"/>
  <c r="D1216" i="16"/>
  <c r="E1216" i="16"/>
  <c r="F1216" i="16"/>
  <c r="G1216" i="16"/>
  <c r="H1216" i="16"/>
  <c r="I1216" i="16"/>
  <c r="J1216" i="16"/>
  <c r="C1217" i="16"/>
  <c r="D1217" i="16"/>
  <c r="E1217" i="16"/>
  <c r="F1217" i="16"/>
  <c r="G1217" i="16"/>
  <c r="H1217" i="16"/>
  <c r="I1217" i="16"/>
  <c r="J1217" i="16"/>
  <c r="C1218" i="16"/>
  <c r="D1218" i="16"/>
  <c r="E1218" i="16"/>
  <c r="F1218" i="16"/>
  <c r="G1218" i="16"/>
  <c r="H1218" i="16"/>
  <c r="I1218" i="16"/>
  <c r="J1218" i="16"/>
  <c r="C1219" i="16"/>
  <c r="D1219" i="16"/>
  <c r="E1219" i="16"/>
  <c r="F1219" i="16"/>
  <c r="G1219" i="16"/>
  <c r="H1219" i="16"/>
  <c r="I1219" i="16"/>
  <c r="J1219" i="16"/>
  <c r="C1220" i="16"/>
  <c r="D1220" i="16"/>
  <c r="E1220" i="16"/>
  <c r="F1220" i="16"/>
  <c r="G1220" i="16"/>
  <c r="H1220" i="16"/>
  <c r="I1220" i="16"/>
  <c r="J1220" i="16"/>
  <c r="C1221" i="16"/>
  <c r="D1221" i="16"/>
  <c r="E1221" i="16"/>
  <c r="F1221" i="16"/>
  <c r="G1221" i="16"/>
  <c r="H1221" i="16"/>
  <c r="I1221" i="16"/>
  <c r="J1221" i="16"/>
  <c r="C1222" i="16"/>
  <c r="D1222" i="16"/>
  <c r="E1222" i="16"/>
  <c r="F1222" i="16"/>
  <c r="G1222" i="16"/>
  <c r="H1222" i="16"/>
  <c r="I1222" i="16"/>
  <c r="J1222" i="16"/>
  <c r="C1223" i="16"/>
  <c r="D1223" i="16"/>
  <c r="E1223" i="16"/>
  <c r="F1223" i="16"/>
  <c r="G1223" i="16"/>
  <c r="H1223" i="16"/>
  <c r="I1223" i="16"/>
  <c r="J1223" i="16"/>
  <c r="C1224" i="16"/>
  <c r="D1224" i="16"/>
  <c r="E1224" i="16"/>
  <c r="F1224" i="16"/>
  <c r="G1224" i="16"/>
  <c r="H1224" i="16"/>
  <c r="I1224" i="16"/>
  <c r="J1224" i="16"/>
  <c r="C1225" i="16"/>
  <c r="D1225" i="16"/>
  <c r="E1225" i="16"/>
  <c r="F1225" i="16"/>
  <c r="G1225" i="16"/>
  <c r="H1225" i="16"/>
  <c r="I1225" i="16"/>
  <c r="J1225" i="16"/>
  <c r="C1226" i="16"/>
  <c r="D1226" i="16"/>
  <c r="E1226" i="16"/>
  <c r="F1226" i="16"/>
  <c r="G1226" i="16"/>
  <c r="H1226" i="16"/>
  <c r="I1226" i="16"/>
  <c r="J1226" i="16"/>
  <c r="C1227" i="16"/>
  <c r="D1227" i="16"/>
  <c r="E1227" i="16"/>
  <c r="F1227" i="16"/>
  <c r="G1227" i="16"/>
  <c r="H1227" i="16"/>
  <c r="I1227" i="16"/>
  <c r="J1227" i="16"/>
  <c r="C1228" i="16"/>
  <c r="D1228" i="16"/>
  <c r="E1228" i="16"/>
  <c r="F1228" i="16"/>
  <c r="G1228" i="16"/>
  <c r="H1228" i="16"/>
  <c r="I1228" i="16"/>
  <c r="J1228" i="16"/>
  <c r="C1229" i="16"/>
  <c r="D1229" i="16"/>
  <c r="E1229" i="16"/>
  <c r="F1229" i="16"/>
  <c r="G1229" i="16"/>
  <c r="H1229" i="16"/>
  <c r="I1229" i="16"/>
  <c r="J1229" i="16"/>
  <c r="C1230" i="16"/>
  <c r="D1230" i="16"/>
  <c r="E1230" i="16"/>
  <c r="F1230" i="16"/>
  <c r="G1230" i="16"/>
  <c r="H1230" i="16"/>
  <c r="I1230" i="16"/>
  <c r="J1230" i="16"/>
  <c r="C1231" i="16"/>
  <c r="D1231" i="16"/>
  <c r="E1231" i="16"/>
  <c r="F1231" i="16"/>
  <c r="G1231" i="16"/>
  <c r="H1231" i="16"/>
  <c r="I1231" i="16"/>
  <c r="J1231" i="16"/>
  <c r="C1232" i="16"/>
  <c r="D1232" i="16"/>
  <c r="E1232" i="16"/>
  <c r="F1232" i="16"/>
  <c r="G1232" i="16"/>
  <c r="H1232" i="16"/>
  <c r="I1232" i="16"/>
  <c r="J1232" i="16"/>
  <c r="C1233" i="16"/>
  <c r="D1233" i="16"/>
  <c r="E1233" i="16"/>
  <c r="F1233" i="16"/>
  <c r="G1233" i="16"/>
  <c r="H1233" i="16"/>
  <c r="I1233" i="16"/>
  <c r="J1233" i="16"/>
  <c r="C1234" i="16"/>
  <c r="D1234" i="16"/>
  <c r="E1234" i="16"/>
  <c r="F1234" i="16"/>
  <c r="G1234" i="16"/>
  <c r="H1234" i="16"/>
  <c r="I1234" i="16"/>
  <c r="J1234" i="16"/>
  <c r="C1235" i="16"/>
  <c r="D1235" i="16"/>
  <c r="E1235" i="16"/>
  <c r="F1235" i="16"/>
  <c r="G1235" i="16"/>
  <c r="H1235" i="16"/>
  <c r="I1235" i="16"/>
  <c r="J1235" i="16"/>
  <c r="C1236" i="16"/>
  <c r="D1236" i="16"/>
  <c r="E1236" i="16"/>
  <c r="F1236" i="16"/>
  <c r="G1236" i="16"/>
  <c r="H1236" i="16"/>
  <c r="I1236" i="16"/>
  <c r="J1236" i="16"/>
  <c r="C1237" i="16"/>
  <c r="D1237" i="16"/>
  <c r="E1237" i="16"/>
  <c r="F1237" i="16"/>
  <c r="G1237" i="16"/>
  <c r="H1237" i="16"/>
  <c r="I1237" i="16"/>
  <c r="J1237" i="16"/>
  <c r="C1238" i="16"/>
  <c r="D1238" i="16"/>
  <c r="E1238" i="16"/>
  <c r="F1238" i="16"/>
  <c r="G1238" i="16"/>
  <c r="H1238" i="16"/>
  <c r="I1238" i="16"/>
  <c r="J1238" i="16"/>
  <c r="C1239" i="16"/>
  <c r="D1239" i="16"/>
  <c r="E1239" i="16"/>
  <c r="F1239" i="16"/>
  <c r="G1239" i="16"/>
  <c r="H1239" i="16"/>
  <c r="I1239" i="16"/>
  <c r="J1239" i="16"/>
  <c r="C1240" i="16"/>
  <c r="D1240" i="16"/>
  <c r="E1240" i="16"/>
  <c r="F1240" i="16"/>
  <c r="G1240" i="16"/>
  <c r="H1240" i="16"/>
  <c r="I1240" i="16"/>
  <c r="J1240" i="16"/>
  <c r="C1241" i="16"/>
  <c r="D1241" i="16"/>
  <c r="E1241" i="16"/>
  <c r="F1241" i="16"/>
  <c r="G1241" i="16"/>
  <c r="H1241" i="16"/>
  <c r="I1241" i="16"/>
  <c r="J1241" i="16"/>
  <c r="C1242" i="16"/>
  <c r="D1242" i="16"/>
  <c r="E1242" i="16"/>
  <c r="F1242" i="16"/>
  <c r="G1242" i="16"/>
  <c r="H1242" i="16"/>
  <c r="I1242" i="16"/>
  <c r="J1242" i="16"/>
  <c r="C1243" i="16"/>
  <c r="D1243" i="16"/>
  <c r="E1243" i="16"/>
  <c r="F1243" i="16"/>
  <c r="G1243" i="16"/>
  <c r="H1243" i="16"/>
  <c r="I1243" i="16"/>
  <c r="J1243" i="16"/>
  <c r="C1244" i="16"/>
  <c r="D1244" i="16"/>
  <c r="E1244" i="16"/>
  <c r="F1244" i="16"/>
  <c r="G1244" i="16"/>
  <c r="H1244" i="16"/>
  <c r="I1244" i="16"/>
  <c r="J1244" i="16"/>
  <c r="C1245" i="16"/>
  <c r="D1245" i="16"/>
  <c r="E1245" i="16"/>
  <c r="F1245" i="16"/>
  <c r="G1245" i="16"/>
  <c r="H1245" i="16"/>
  <c r="I1245" i="16"/>
  <c r="J1245" i="16"/>
  <c r="C1246" i="16"/>
  <c r="D1246" i="16"/>
  <c r="E1246" i="16"/>
  <c r="F1246" i="16"/>
  <c r="G1246" i="16"/>
  <c r="H1246" i="16"/>
  <c r="I1246" i="16"/>
  <c r="J1246" i="16"/>
  <c r="C1247" i="16"/>
  <c r="D1247" i="16"/>
  <c r="E1247" i="16"/>
  <c r="F1247" i="16"/>
  <c r="G1247" i="16"/>
  <c r="H1247" i="16"/>
  <c r="I1247" i="16"/>
  <c r="J1247" i="16"/>
  <c r="C1248" i="16"/>
  <c r="D1248" i="16"/>
  <c r="E1248" i="16"/>
  <c r="F1248" i="16"/>
  <c r="G1248" i="16"/>
  <c r="H1248" i="16"/>
  <c r="I1248" i="16"/>
  <c r="J1248" i="16"/>
  <c r="C1249" i="16"/>
  <c r="D1249" i="16"/>
  <c r="E1249" i="16"/>
  <c r="F1249" i="16"/>
  <c r="G1249" i="16"/>
  <c r="H1249" i="16"/>
  <c r="I1249" i="16"/>
  <c r="J1249" i="16"/>
  <c r="C1250" i="16"/>
  <c r="D1250" i="16"/>
  <c r="E1250" i="16"/>
  <c r="F1250" i="16"/>
  <c r="G1250" i="16"/>
  <c r="H1250" i="16"/>
  <c r="I1250" i="16"/>
  <c r="J1250" i="16"/>
  <c r="C1251" i="16"/>
  <c r="D1251" i="16"/>
  <c r="E1251" i="16"/>
  <c r="F1251" i="16"/>
  <c r="G1251" i="16"/>
  <c r="H1251" i="16"/>
  <c r="I1251" i="16"/>
  <c r="J1251" i="16"/>
  <c r="C1252" i="16"/>
  <c r="D1252" i="16"/>
  <c r="E1252" i="16"/>
  <c r="F1252" i="16"/>
  <c r="G1252" i="16"/>
  <c r="H1252" i="16"/>
  <c r="I1252" i="16"/>
  <c r="J1252" i="16"/>
  <c r="C1253" i="16"/>
  <c r="D1253" i="16"/>
  <c r="E1253" i="16"/>
  <c r="F1253" i="16"/>
  <c r="G1253" i="16"/>
  <c r="H1253" i="16"/>
  <c r="I1253" i="16"/>
  <c r="J1253" i="16"/>
  <c r="C1254" i="16"/>
  <c r="D1254" i="16"/>
  <c r="E1254" i="16"/>
  <c r="F1254" i="16"/>
  <c r="G1254" i="16"/>
  <c r="H1254" i="16"/>
  <c r="I1254" i="16"/>
  <c r="J1254" i="16"/>
  <c r="C1255" i="16"/>
  <c r="D1255" i="16"/>
  <c r="E1255" i="16"/>
  <c r="F1255" i="16"/>
  <c r="G1255" i="16"/>
  <c r="H1255" i="16"/>
  <c r="I1255" i="16"/>
  <c r="J1255" i="16"/>
  <c r="C1256" i="16"/>
  <c r="D1256" i="16"/>
  <c r="E1256" i="16"/>
  <c r="F1256" i="16"/>
  <c r="G1256" i="16"/>
  <c r="H1256" i="16"/>
  <c r="I1256" i="16"/>
  <c r="J1256" i="16"/>
  <c r="C1257" i="16"/>
  <c r="D1257" i="16"/>
  <c r="E1257" i="16"/>
  <c r="F1257" i="16"/>
  <c r="G1257" i="16"/>
  <c r="H1257" i="16"/>
  <c r="I1257" i="16"/>
  <c r="J1257" i="16"/>
  <c r="C1258" i="16"/>
  <c r="D1258" i="16"/>
  <c r="E1258" i="16"/>
  <c r="F1258" i="16"/>
  <c r="G1258" i="16"/>
  <c r="H1258" i="16"/>
  <c r="I1258" i="16"/>
  <c r="J1258" i="16"/>
  <c r="C1259" i="16"/>
  <c r="D1259" i="16"/>
  <c r="E1259" i="16"/>
  <c r="F1259" i="16"/>
  <c r="G1259" i="16"/>
  <c r="H1259" i="16"/>
  <c r="I1259" i="16"/>
  <c r="J1259" i="16"/>
  <c r="C1260" i="16"/>
  <c r="D1260" i="16"/>
  <c r="E1260" i="16"/>
  <c r="F1260" i="16"/>
  <c r="G1260" i="16"/>
  <c r="H1260" i="16"/>
  <c r="I1260" i="16"/>
  <c r="J1260" i="16"/>
  <c r="C1261" i="16"/>
  <c r="D1261" i="16"/>
  <c r="E1261" i="16"/>
  <c r="F1261" i="16"/>
  <c r="G1261" i="16"/>
  <c r="H1261" i="16"/>
  <c r="I1261" i="16"/>
  <c r="J1261" i="16"/>
  <c r="C1262" i="16"/>
  <c r="D1262" i="16"/>
  <c r="E1262" i="16"/>
  <c r="F1262" i="16"/>
  <c r="G1262" i="16"/>
  <c r="H1262" i="16"/>
  <c r="I1262" i="16"/>
  <c r="J1262" i="16"/>
  <c r="C1263" i="16"/>
  <c r="D1263" i="16"/>
  <c r="E1263" i="16"/>
  <c r="F1263" i="16"/>
  <c r="G1263" i="16"/>
  <c r="H1263" i="16"/>
  <c r="I1263" i="16"/>
  <c r="J1263" i="16"/>
  <c r="C1264" i="16"/>
  <c r="D1264" i="16"/>
  <c r="E1264" i="16"/>
  <c r="F1264" i="16"/>
  <c r="G1264" i="16"/>
  <c r="H1264" i="16"/>
  <c r="I1264" i="16"/>
  <c r="J1264" i="16"/>
  <c r="C1265" i="16"/>
  <c r="D1265" i="16"/>
  <c r="E1265" i="16"/>
  <c r="F1265" i="16"/>
  <c r="G1265" i="16"/>
  <c r="H1265" i="16"/>
  <c r="I1265" i="16"/>
  <c r="J1265" i="16"/>
  <c r="C1266" i="16"/>
  <c r="D1266" i="16"/>
  <c r="E1266" i="16"/>
  <c r="F1266" i="16"/>
  <c r="G1266" i="16"/>
  <c r="H1266" i="16"/>
  <c r="I1266" i="16"/>
  <c r="J1266" i="16"/>
  <c r="C1267" i="16"/>
  <c r="D1267" i="16"/>
  <c r="E1267" i="16"/>
  <c r="F1267" i="16"/>
  <c r="G1267" i="16"/>
  <c r="H1267" i="16"/>
  <c r="I1267" i="16"/>
  <c r="J1267" i="16"/>
  <c r="C1268" i="16"/>
  <c r="D1268" i="16"/>
  <c r="E1268" i="16"/>
  <c r="F1268" i="16"/>
  <c r="G1268" i="16"/>
  <c r="H1268" i="16"/>
  <c r="I1268" i="16"/>
  <c r="J1268" i="16"/>
  <c r="C1269" i="16"/>
  <c r="D1269" i="16"/>
  <c r="E1269" i="16"/>
  <c r="F1269" i="16"/>
  <c r="G1269" i="16"/>
  <c r="H1269" i="16"/>
  <c r="I1269" i="16"/>
  <c r="J1269" i="16"/>
  <c r="C1270" i="16"/>
  <c r="D1270" i="16"/>
  <c r="E1270" i="16"/>
  <c r="F1270" i="16"/>
  <c r="G1270" i="16"/>
  <c r="H1270" i="16"/>
  <c r="I1270" i="16"/>
  <c r="J1270" i="16"/>
  <c r="C1271" i="16"/>
  <c r="D1271" i="16"/>
  <c r="E1271" i="16"/>
  <c r="F1271" i="16"/>
  <c r="G1271" i="16"/>
  <c r="H1271" i="16"/>
  <c r="I1271" i="16"/>
  <c r="J1271" i="16"/>
  <c r="C1272" i="16"/>
  <c r="D1272" i="16"/>
  <c r="E1272" i="16"/>
  <c r="F1272" i="16"/>
  <c r="G1272" i="16"/>
  <c r="H1272" i="16"/>
  <c r="I1272" i="16"/>
  <c r="J1272" i="16"/>
  <c r="C1273" i="16"/>
  <c r="D1273" i="16"/>
  <c r="E1273" i="16"/>
  <c r="F1273" i="16"/>
  <c r="G1273" i="16"/>
  <c r="H1273" i="16"/>
  <c r="I1273" i="16"/>
  <c r="J1273" i="16"/>
  <c r="C1274" i="16"/>
  <c r="D1274" i="16"/>
  <c r="E1274" i="16"/>
  <c r="F1274" i="16"/>
  <c r="G1274" i="16"/>
  <c r="H1274" i="16"/>
  <c r="I1274" i="16"/>
  <c r="J1274" i="16"/>
  <c r="C1275" i="16"/>
  <c r="D1275" i="16"/>
  <c r="E1275" i="16"/>
  <c r="F1275" i="16"/>
  <c r="G1275" i="16"/>
  <c r="H1275" i="16"/>
  <c r="I1275" i="16"/>
  <c r="J1275" i="16"/>
  <c r="C1276" i="16"/>
  <c r="D1276" i="16"/>
  <c r="E1276" i="16"/>
  <c r="F1276" i="16"/>
  <c r="G1276" i="16"/>
  <c r="H1276" i="16"/>
  <c r="I1276" i="16"/>
  <c r="J1276" i="16"/>
  <c r="C1277" i="16"/>
  <c r="D1277" i="16"/>
  <c r="E1277" i="16"/>
  <c r="F1277" i="16"/>
  <c r="G1277" i="16"/>
  <c r="H1277" i="16"/>
  <c r="I1277" i="16"/>
  <c r="J1277" i="16"/>
  <c r="C1278" i="16"/>
  <c r="D1278" i="16"/>
  <c r="E1278" i="16"/>
  <c r="F1278" i="16"/>
  <c r="G1278" i="16"/>
  <c r="H1278" i="16"/>
  <c r="I1278" i="16"/>
  <c r="J1278" i="16"/>
  <c r="C1279" i="16"/>
  <c r="D1279" i="16"/>
  <c r="E1279" i="16"/>
  <c r="F1279" i="16"/>
  <c r="G1279" i="16"/>
  <c r="H1279" i="16"/>
  <c r="I1279" i="16"/>
  <c r="J1279" i="16"/>
  <c r="C1280" i="16"/>
  <c r="D1280" i="16"/>
  <c r="E1280" i="16"/>
  <c r="F1280" i="16"/>
  <c r="G1280" i="16"/>
  <c r="H1280" i="16"/>
  <c r="I1280" i="16"/>
  <c r="J1280" i="16"/>
  <c r="C1281" i="16"/>
  <c r="D1281" i="16"/>
  <c r="E1281" i="16"/>
  <c r="F1281" i="16"/>
  <c r="G1281" i="16"/>
  <c r="H1281" i="16"/>
  <c r="I1281" i="16"/>
  <c r="J1281" i="16"/>
  <c r="C1282" i="16"/>
  <c r="D1282" i="16"/>
  <c r="E1282" i="16"/>
  <c r="F1282" i="16"/>
  <c r="G1282" i="16"/>
  <c r="H1282" i="16"/>
  <c r="I1282" i="16"/>
  <c r="J1282" i="16"/>
  <c r="C1283" i="16"/>
  <c r="D1283" i="16"/>
  <c r="E1283" i="16"/>
  <c r="F1283" i="16"/>
  <c r="G1283" i="16"/>
  <c r="H1283" i="16"/>
  <c r="I1283" i="16"/>
  <c r="J1283" i="16"/>
  <c r="C1284" i="16"/>
  <c r="D1284" i="16"/>
  <c r="E1284" i="16"/>
  <c r="F1284" i="16"/>
  <c r="G1284" i="16"/>
  <c r="H1284" i="16"/>
  <c r="I1284" i="16"/>
  <c r="J1284" i="16"/>
  <c r="C1285" i="16"/>
  <c r="D1285" i="16"/>
  <c r="E1285" i="16"/>
  <c r="F1285" i="16"/>
  <c r="G1285" i="16"/>
  <c r="H1285" i="16"/>
  <c r="I1285" i="16"/>
  <c r="J1285" i="16"/>
  <c r="C1286" i="16"/>
  <c r="D1286" i="16"/>
  <c r="E1286" i="16"/>
  <c r="F1286" i="16"/>
  <c r="G1286" i="16"/>
  <c r="H1286" i="16"/>
  <c r="I1286" i="16"/>
  <c r="J1286" i="16"/>
  <c r="C1287" i="16"/>
  <c r="D1287" i="16"/>
  <c r="E1287" i="16"/>
  <c r="F1287" i="16"/>
  <c r="G1287" i="16"/>
  <c r="H1287" i="16"/>
  <c r="I1287" i="16"/>
  <c r="J1287" i="16"/>
  <c r="C1288" i="16"/>
  <c r="D1288" i="16"/>
  <c r="E1288" i="16"/>
  <c r="F1288" i="16"/>
  <c r="G1288" i="16"/>
  <c r="H1288" i="16"/>
  <c r="I1288" i="16"/>
  <c r="J1288" i="16"/>
  <c r="C1289" i="16"/>
  <c r="D1289" i="16"/>
  <c r="E1289" i="16"/>
  <c r="F1289" i="16"/>
  <c r="G1289" i="16"/>
  <c r="H1289" i="16"/>
  <c r="I1289" i="16"/>
  <c r="J1289" i="16"/>
  <c r="C1290" i="16"/>
  <c r="D1290" i="16"/>
  <c r="E1290" i="16"/>
  <c r="F1290" i="16"/>
  <c r="G1290" i="16"/>
  <c r="H1290" i="16"/>
  <c r="I1290" i="16"/>
  <c r="J1290" i="16"/>
  <c r="C1291" i="16"/>
  <c r="D1291" i="16"/>
  <c r="E1291" i="16"/>
  <c r="F1291" i="16"/>
  <c r="G1291" i="16"/>
  <c r="H1291" i="16"/>
  <c r="I1291" i="16"/>
  <c r="J1291" i="16"/>
  <c r="C1292" i="16"/>
  <c r="D1292" i="16"/>
  <c r="E1292" i="16"/>
  <c r="F1292" i="16"/>
  <c r="G1292" i="16"/>
  <c r="H1292" i="16"/>
  <c r="I1292" i="16"/>
  <c r="J1292" i="16"/>
  <c r="C1293" i="16"/>
  <c r="D1293" i="16"/>
  <c r="E1293" i="16"/>
  <c r="F1293" i="16"/>
  <c r="G1293" i="16"/>
  <c r="H1293" i="16"/>
  <c r="I1293" i="16"/>
  <c r="J1293" i="16"/>
  <c r="C1294" i="16"/>
  <c r="D1294" i="16"/>
  <c r="E1294" i="16"/>
  <c r="F1294" i="16"/>
  <c r="G1294" i="16"/>
  <c r="H1294" i="16"/>
  <c r="I1294" i="16"/>
  <c r="J1294" i="16"/>
  <c r="C1295" i="16"/>
  <c r="D1295" i="16"/>
  <c r="E1295" i="16"/>
  <c r="F1295" i="16"/>
  <c r="G1295" i="16"/>
  <c r="H1295" i="16"/>
  <c r="I1295" i="16"/>
  <c r="J1295" i="16"/>
  <c r="C1296" i="16"/>
  <c r="D1296" i="16"/>
  <c r="E1296" i="16"/>
  <c r="F1296" i="16"/>
  <c r="G1296" i="16"/>
  <c r="H1296" i="16"/>
  <c r="I1296" i="16"/>
  <c r="J1296" i="16"/>
  <c r="C1297" i="16"/>
  <c r="D1297" i="16"/>
  <c r="E1297" i="16"/>
  <c r="F1297" i="16"/>
  <c r="G1297" i="16"/>
  <c r="H1297" i="16"/>
  <c r="I1297" i="16"/>
  <c r="J1297" i="16"/>
  <c r="C1298" i="16"/>
  <c r="D1298" i="16"/>
  <c r="E1298" i="16"/>
  <c r="F1298" i="16"/>
  <c r="G1298" i="16"/>
  <c r="H1298" i="16"/>
  <c r="I1298" i="16"/>
  <c r="J1298" i="16"/>
  <c r="C1299" i="16"/>
  <c r="D1299" i="16"/>
  <c r="E1299" i="16"/>
  <c r="F1299" i="16"/>
  <c r="G1299" i="16"/>
  <c r="H1299" i="16"/>
  <c r="I1299" i="16"/>
  <c r="J1299" i="16"/>
  <c r="C1300" i="16"/>
  <c r="D1300" i="16"/>
  <c r="E1300" i="16"/>
  <c r="F1300" i="16"/>
  <c r="G1300" i="16"/>
  <c r="H1300" i="16"/>
  <c r="I1300" i="16"/>
  <c r="J1300" i="16"/>
  <c r="C1301" i="16"/>
  <c r="D1301" i="16"/>
  <c r="E1301" i="16"/>
  <c r="F1301" i="16"/>
  <c r="G1301" i="16"/>
  <c r="H1301" i="16"/>
  <c r="I1301" i="16"/>
  <c r="J1301" i="16"/>
  <c r="C1302" i="16"/>
  <c r="D1302" i="16"/>
  <c r="E1302" i="16"/>
  <c r="F1302" i="16"/>
  <c r="G1302" i="16"/>
  <c r="H1302" i="16"/>
  <c r="I1302" i="16"/>
  <c r="J1302" i="16"/>
  <c r="C1303" i="16"/>
  <c r="D1303" i="16"/>
  <c r="E1303" i="16"/>
  <c r="F1303" i="16"/>
  <c r="G1303" i="16"/>
  <c r="H1303" i="16"/>
  <c r="I1303" i="16"/>
  <c r="J1303" i="16"/>
  <c r="C1304" i="16"/>
  <c r="D1304" i="16"/>
  <c r="E1304" i="16"/>
  <c r="F1304" i="16"/>
  <c r="G1304" i="16"/>
  <c r="H1304" i="16"/>
  <c r="I1304" i="16"/>
  <c r="J1304" i="16"/>
  <c r="C1305" i="16"/>
  <c r="D1305" i="16"/>
  <c r="E1305" i="16"/>
  <c r="F1305" i="16"/>
  <c r="G1305" i="16"/>
  <c r="H1305" i="16"/>
  <c r="I1305" i="16"/>
  <c r="J1305" i="16"/>
  <c r="C1306" i="16"/>
  <c r="D1306" i="16"/>
  <c r="E1306" i="16"/>
  <c r="F1306" i="16"/>
  <c r="G1306" i="16"/>
  <c r="H1306" i="16"/>
  <c r="I1306" i="16"/>
  <c r="J1306" i="16"/>
  <c r="C1307" i="16"/>
  <c r="D1307" i="16"/>
  <c r="E1307" i="16"/>
  <c r="F1307" i="16"/>
  <c r="G1307" i="16"/>
  <c r="H1307" i="16"/>
  <c r="I1307" i="16"/>
  <c r="J1307" i="16"/>
  <c r="C1308" i="16"/>
  <c r="D1308" i="16"/>
  <c r="E1308" i="16"/>
  <c r="F1308" i="16"/>
  <c r="G1308" i="16"/>
  <c r="H1308" i="16"/>
  <c r="I1308" i="16"/>
  <c r="J1308" i="16"/>
  <c r="C1309" i="16"/>
  <c r="D1309" i="16"/>
  <c r="E1309" i="16"/>
  <c r="F1309" i="16"/>
  <c r="G1309" i="16"/>
  <c r="H1309" i="16"/>
  <c r="I1309" i="16"/>
  <c r="J1309" i="16"/>
  <c r="C1310" i="16"/>
  <c r="D1310" i="16"/>
  <c r="E1310" i="16"/>
  <c r="F1310" i="16"/>
  <c r="G1310" i="16"/>
  <c r="H1310" i="16"/>
  <c r="I1310" i="16"/>
  <c r="J1310" i="16"/>
  <c r="C1311" i="16"/>
  <c r="D1311" i="16"/>
  <c r="E1311" i="16"/>
  <c r="F1311" i="16"/>
  <c r="G1311" i="16"/>
  <c r="H1311" i="16"/>
  <c r="I1311" i="16"/>
  <c r="J1311" i="16"/>
  <c r="C1312" i="16"/>
  <c r="D1312" i="16"/>
  <c r="E1312" i="16"/>
  <c r="F1312" i="16"/>
  <c r="G1312" i="16"/>
  <c r="H1312" i="16"/>
  <c r="I1312" i="16"/>
  <c r="J1312" i="16"/>
  <c r="C1313" i="16"/>
  <c r="D1313" i="16"/>
  <c r="E1313" i="16"/>
  <c r="F1313" i="16"/>
  <c r="G1313" i="16"/>
  <c r="H1313" i="16"/>
  <c r="I1313" i="16"/>
  <c r="J1313" i="16"/>
  <c r="C1314" i="16"/>
  <c r="D1314" i="16"/>
  <c r="E1314" i="16"/>
  <c r="F1314" i="16"/>
  <c r="G1314" i="16"/>
  <c r="H1314" i="16"/>
  <c r="I1314" i="16"/>
  <c r="J1314" i="16"/>
  <c r="C1315" i="16"/>
  <c r="D1315" i="16"/>
  <c r="E1315" i="16"/>
  <c r="F1315" i="16"/>
  <c r="G1315" i="16"/>
  <c r="H1315" i="16"/>
  <c r="I1315" i="16"/>
  <c r="J1315" i="16"/>
  <c r="C1316" i="16"/>
  <c r="D1316" i="16"/>
  <c r="E1316" i="16"/>
  <c r="F1316" i="16"/>
  <c r="G1316" i="16"/>
  <c r="H1316" i="16"/>
  <c r="I1316" i="16"/>
  <c r="J1316" i="16"/>
  <c r="C1317" i="16"/>
  <c r="D1317" i="16"/>
  <c r="E1317" i="16"/>
  <c r="F1317" i="16"/>
  <c r="G1317" i="16"/>
  <c r="H1317" i="16"/>
  <c r="I1317" i="16"/>
  <c r="J1317" i="16"/>
  <c r="C1318" i="16"/>
  <c r="D1318" i="16"/>
  <c r="E1318" i="16"/>
  <c r="F1318" i="16"/>
  <c r="G1318" i="16"/>
  <c r="H1318" i="16"/>
  <c r="I1318" i="16"/>
  <c r="J1318" i="16"/>
  <c r="C1319" i="16"/>
  <c r="D1319" i="16"/>
  <c r="E1319" i="16"/>
  <c r="F1319" i="16"/>
  <c r="G1319" i="16"/>
  <c r="H1319" i="16"/>
  <c r="I1319" i="16"/>
  <c r="J1319" i="16"/>
  <c r="C1320" i="16"/>
  <c r="D1320" i="16"/>
  <c r="E1320" i="16"/>
  <c r="F1320" i="16"/>
  <c r="G1320" i="16"/>
  <c r="H1320" i="16"/>
  <c r="I1320" i="16"/>
  <c r="J1320" i="16"/>
  <c r="C1321" i="16"/>
  <c r="D1321" i="16"/>
  <c r="E1321" i="16"/>
  <c r="F1321" i="16"/>
  <c r="G1321" i="16"/>
  <c r="H1321" i="16"/>
  <c r="I1321" i="16"/>
  <c r="J1321" i="16"/>
  <c r="C1322" i="16"/>
  <c r="D1322" i="16"/>
  <c r="E1322" i="16"/>
  <c r="F1322" i="16"/>
  <c r="G1322" i="16"/>
  <c r="H1322" i="16"/>
  <c r="I1322" i="16"/>
  <c r="J1322" i="16"/>
  <c r="C1323" i="16"/>
  <c r="D1323" i="16"/>
  <c r="E1323" i="16"/>
  <c r="F1323" i="16"/>
  <c r="G1323" i="16"/>
  <c r="H1323" i="16"/>
  <c r="I1323" i="16"/>
  <c r="J1323" i="16"/>
  <c r="C1324" i="16"/>
  <c r="D1324" i="16"/>
  <c r="E1324" i="16"/>
  <c r="F1324" i="16"/>
  <c r="G1324" i="16"/>
  <c r="H1324" i="16"/>
  <c r="I1324" i="16"/>
  <c r="J1324" i="16"/>
  <c r="C1325" i="16"/>
  <c r="D1325" i="16"/>
  <c r="E1325" i="16"/>
  <c r="F1325" i="16"/>
  <c r="G1325" i="16"/>
  <c r="H1325" i="16"/>
  <c r="I1325" i="16"/>
  <c r="J1325" i="16"/>
  <c r="C1326" i="16"/>
  <c r="D1326" i="16"/>
  <c r="E1326" i="16"/>
  <c r="F1326" i="16"/>
  <c r="G1326" i="16"/>
  <c r="H1326" i="16"/>
  <c r="I1326" i="16"/>
  <c r="J1326" i="16"/>
  <c r="C1327" i="16"/>
  <c r="D1327" i="16"/>
  <c r="E1327" i="16"/>
  <c r="F1327" i="16"/>
  <c r="G1327" i="16"/>
  <c r="H1327" i="16"/>
  <c r="I1327" i="16"/>
  <c r="J1327" i="16"/>
  <c r="C1328" i="16"/>
  <c r="D1328" i="16"/>
  <c r="E1328" i="16"/>
  <c r="F1328" i="16"/>
  <c r="G1328" i="16"/>
  <c r="H1328" i="16"/>
  <c r="I1328" i="16"/>
  <c r="J1328" i="16"/>
  <c r="C1329" i="16"/>
  <c r="D1329" i="16"/>
  <c r="E1329" i="16"/>
  <c r="F1329" i="16"/>
  <c r="G1329" i="16"/>
  <c r="H1329" i="16"/>
  <c r="I1329" i="16"/>
  <c r="J1329" i="16"/>
  <c r="C1330" i="16"/>
  <c r="D1330" i="16"/>
  <c r="E1330" i="16"/>
  <c r="F1330" i="16"/>
  <c r="G1330" i="16"/>
  <c r="H1330" i="16"/>
  <c r="I1330" i="16"/>
  <c r="J1330" i="16"/>
  <c r="C1331" i="16"/>
  <c r="D1331" i="16"/>
  <c r="E1331" i="16"/>
  <c r="F1331" i="16"/>
  <c r="G1331" i="16"/>
  <c r="H1331" i="16"/>
  <c r="I1331" i="16"/>
  <c r="J1331" i="16"/>
  <c r="C1332" i="16"/>
  <c r="D1332" i="16"/>
  <c r="E1332" i="16"/>
  <c r="F1332" i="16"/>
  <c r="G1332" i="16"/>
  <c r="H1332" i="16"/>
  <c r="I1332" i="16"/>
  <c r="J1332" i="16"/>
  <c r="C1333" i="16"/>
  <c r="D1333" i="16"/>
  <c r="E1333" i="16"/>
  <c r="F1333" i="16"/>
  <c r="G1333" i="16"/>
  <c r="H1333" i="16"/>
  <c r="I1333" i="16"/>
  <c r="J1333" i="16"/>
  <c r="C1334" i="16"/>
  <c r="D1334" i="16"/>
  <c r="E1334" i="16"/>
  <c r="F1334" i="16"/>
  <c r="G1334" i="16"/>
  <c r="H1334" i="16"/>
  <c r="I1334" i="16"/>
  <c r="J1334" i="16"/>
  <c r="C1335" i="16"/>
  <c r="D1335" i="16"/>
  <c r="E1335" i="16"/>
  <c r="F1335" i="16"/>
  <c r="G1335" i="16"/>
  <c r="H1335" i="16"/>
  <c r="I1335" i="16"/>
  <c r="J1335" i="16"/>
  <c r="C1336" i="16"/>
  <c r="D1336" i="16"/>
  <c r="E1336" i="16"/>
  <c r="F1336" i="16"/>
  <c r="G1336" i="16"/>
  <c r="H1336" i="16"/>
  <c r="I1336" i="16"/>
  <c r="J1336" i="16"/>
  <c r="C1337" i="16"/>
  <c r="D1337" i="16"/>
  <c r="E1337" i="16"/>
  <c r="F1337" i="16"/>
  <c r="G1337" i="16"/>
  <c r="H1337" i="16"/>
  <c r="I1337" i="16"/>
  <c r="J1337" i="16"/>
  <c r="C1338" i="16"/>
  <c r="D1338" i="16"/>
  <c r="E1338" i="16"/>
  <c r="F1338" i="16"/>
  <c r="G1338" i="16"/>
  <c r="H1338" i="16"/>
  <c r="I1338" i="16"/>
  <c r="J1338" i="16"/>
  <c r="C1339" i="16"/>
  <c r="D1339" i="16"/>
  <c r="E1339" i="16"/>
  <c r="F1339" i="16"/>
  <c r="G1339" i="16"/>
  <c r="H1339" i="16"/>
  <c r="I1339" i="16"/>
  <c r="J1339" i="16"/>
  <c r="C1340" i="16"/>
  <c r="D1340" i="16"/>
  <c r="E1340" i="16"/>
  <c r="F1340" i="16"/>
  <c r="G1340" i="16"/>
  <c r="H1340" i="16"/>
  <c r="I1340" i="16"/>
  <c r="J1340" i="16"/>
  <c r="C1341" i="16"/>
  <c r="D1341" i="16"/>
  <c r="E1341" i="16"/>
  <c r="F1341" i="16"/>
  <c r="G1341" i="16"/>
  <c r="H1341" i="16"/>
  <c r="I1341" i="16"/>
  <c r="J1341" i="16"/>
  <c r="C1342" i="16"/>
  <c r="D1342" i="16"/>
  <c r="E1342" i="16"/>
  <c r="F1342" i="16"/>
  <c r="G1342" i="16"/>
  <c r="H1342" i="16"/>
  <c r="I1342" i="16"/>
  <c r="J1342" i="16"/>
  <c r="C1343" i="16"/>
  <c r="D1343" i="16"/>
  <c r="E1343" i="16"/>
  <c r="F1343" i="16"/>
  <c r="G1343" i="16"/>
  <c r="H1343" i="16"/>
  <c r="I1343" i="16"/>
  <c r="J1343" i="16"/>
  <c r="C1344" i="16"/>
  <c r="D1344" i="16"/>
  <c r="E1344" i="16"/>
  <c r="F1344" i="16"/>
  <c r="G1344" i="16"/>
  <c r="H1344" i="16"/>
  <c r="I1344" i="16"/>
  <c r="J1344" i="16"/>
  <c r="C1345" i="16"/>
  <c r="D1345" i="16"/>
  <c r="E1345" i="16"/>
  <c r="F1345" i="16"/>
  <c r="G1345" i="16"/>
  <c r="H1345" i="16"/>
  <c r="I1345" i="16"/>
  <c r="J1345" i="16"/>
  <c r="C1346" i="16"/>
  <c r="D1346" i="16"/>
  <c r="E1346" i="16"/>
  <c r="F1346" i="16"/>
  <c r="G1346" i="16"/>
  <c r="H1346" i="16"/>
  <c r="I1346" i="16"/>
  <c r="J1346" i="16"/>
  <c r="C1347" i="16"/>
  <c r="D1347" i="16"/>
  <c r="E1347" i="16"/>
  <c r="F1347" i="16"/>
  <c r="G1347" i="16"/>
  <c r="H1347" i="16"/>
  <c r="I1347" i="16"/>
  <c r="J1347" i="16"/>
  <c r="C1348" i="16"/>
  <c r="D1348" i="16"/>
  <c r="E1348" i="16"/>
  <c r="F1348" i="16"/>
  <c r="G1348" i="16"/>
  <c r="H1348" i="16"/>
  <c r="I1348" i="16"/>
  <c r="J1348" i="16"/>
  <c r="C1349" i="16"/>
  <c r="D1349" i="16"/>
  <c r="E1349" i="16"/>
  <c r="F1349" i="16"/>
  <c r="G1349" i="16"/>
  <c r="H1349" i="16"/>
  <c r="I1349" i="16"/>
  <c r="J1349" i="16"/>
  <c r="C1350" i="16"/>
  <c r="D1350" i="16"/>
  <c r="E1350" i="16"/>
  <c r="F1350" i="16"/>
  <c r="G1350" i="16"/>
  <c r="H1350" i="16"/>
  <c r="I1350" i="16"/>
  <c r="J1350" i="16"/>
  <c r="C1351" i="16"/>
  <c r="D1351" i="16"/>
  <c r="E1351" i="16"/>
  <c r="F1351" i="16"/>
  <c r="G1351" i="16"/>
  <c r="H1351" i="16"/>
  <c r="I1351" i="16"/>
  <c r="J1351" i="16"/>
  <c r="C1352" i="16"/>
  <c r="D1352" i="16"/>
  <c r="E1352" i="16"/>
  <c r="F1352" i="16"/>
  <c r="G1352" i="16"/>
  <c r="H1352" i="16"/>
  <c r="I1352" i="16"/>
  <c r="J1352" i="16"/>
  <c r="C1353" i="16"/>
  <c r="D1353" i="16"/>
  <c r="E1353" i="16"/>
  <c r="F1353" i="16"/>
  <c r="G1353" i="16"/>
  <c r="H1353" i="16"/>
  <c r="I1353" i="16"/>
  <c r="J1353" i="16"/>
  <c r="C1354" i="16"/>
  <c r="D1354" i="16"/>
  <c r="E1354" i="16"/>
  <c r="F1354" i="16"/>
  <c r="G1354" i="16"/>
  <c r="H1354" i="16"/>
  <c r="I1354" i="16"/>
  <c r="J1354" i="16"/>
  <c r="C1355" i="16"/>
  <c r="D1355" i="16"/>
  <c r="E1355" i="16"/>
  <c r="F1355" i="16"/>
  <c r="G1355" i="16"/>
  <c r="H1355" i="16"/>
  <c r="I1355" i="16"/>
  <c r="J1355" i="16"/>
  <c r="C1356" i="16"/>
  <c r="D1356" i="16"/>
  <c r="E1356" i="16"/>
  <c r="F1356" i="16"/>
  <c r="G1356" i="16"/>
  <c r="H1356" i="16"/>
  <c r="I1356" i="16"/>
  <c r="J1356" i="16"/>
  <c r="C1357" i="16"/>
  <c r="D1357" i="16"/>
  <c r="E1357" i="16"/>
  <c r="F1357" i="16"/>
  <c r="G1357" i="16"/>
  <c r="H1357" i="16"/>
  <c r="I1357" i="16"/>
  <c r="J1357" i="16"/>
  <c r="C1358" i="16"/>
  <c r="D1358" i="16"/>
  <c r="E1358" i="16"/>
  <c r="F1358" i="16"/>
  <c r="G1358" i="16"/>
  <c r="H1358" i="16"/>
  <c r="I1358" i="16"/>
  <c r="J1358" i="16"/>
  <c r="C1359" i="16"/>
  <c r="D1359" i="16"/>
  <c r="E1359" i="16"/>
  <c r="F1359" i="16"/>
  <c r="G1359" i="16"/>
  <c r="H1359" i="16"/>
  <c r="I1359" i="16"/>
  <c r="J1359" i="16"/>
  <c r="C1360" i="16"/>
  <c r="D1360" i="16"/>
  <c r="E1360" i="16"/>
  <c r="F1360" i="16"/>
  <c r="G1360" i="16"/>
  <c r="H1360" i="16"/>
  <c r="I1360" i="16"/>
  <c r="J1360" i="16"/>
  <c r="C1361" i="16"/>
  <c r="D1361" i="16"/>
  <c r="E1361" i="16"/>
  <c r="F1361" i="16"/>
  <c r="G1361" i="16"/>
  <c r="H1361" i="16"/>
  <c r="I1361" i="16"/>
  <c r="J1361" i="16"/>
  <c r="C1362" i="16"/>
  <c r="D1362" i="16"/>
  <c r="E1362" i="16"/>
  <c r="F1362" i="16"/>
  <c r="G1362" i="16"/>
  <c r="H1362" i="16"/>
  <c r="I1362" i="16"/>
  <c r="J1362" i="16"/>
  <c r="C1363" i="16"/>
  <c r="D1363" i="16"/>
  <c r="E1363" i="16"/>
  <c r="F1363" i="16"/>
  <c r="G1363" i="16"/>
  <c r="H1363" i="16"/>
  <c r="I1363" i="16"/>
  <c r="J1363" i="16"/>
  <c r="C1364" i="16"/>
  <c r="D1364" i="16"/>
  <c r="E1364" i="16"/>
  <c r="F1364" i="16"/>
  <c r="G1364" i="16"/>
  <c r="H1364" i="16"/>
  <c r="I1364" i="16"/>
  <c r="J1364" i="16"/>
  <c r="C1365" i="16"/>
  <c r="D1365" i="16"/>
  <c r="E1365" i="16"/>
  <c r="F1365" i="16"/>
  <c r="G1365" i="16"/>
  <c r="H1365" i="16"/>
  <c r="I1365" i="16"/>
  <c r="J1365" i="16"/>
  <c r="C1366" i="16"/>
  <c r="D1366" i="16"/>
  <c r="E1366" i="16"/>
  <c r="F1366" i="16"/>
  <c r="G1366" i="16"/>
  <c r="H1366" i="16"/>
  <c r="I1366" i="16"/>
  <c r="J1366" i="16"/>
  <c r="C1367" i="16"/>
  <c r="D1367" i="16"/>
  <c r="E1367" i="16"/>
  <c r="F1367" i="16"/>
  <c r="G1367" i="16"/>
  <c r="H1367" i="16"/>
  <c r="I1367" i="16"/>
  <c r="J1367" i="16"/>
  <c r="C1368" i="16"/>
  <c r="D1368" i="16"/>
  <c r="E1368" i="16"/>
  <c r="F1368" i="16"/>
  <c r="G1368" i="16"/>
  <c r="H1368" i="16"/>
  <c r="I1368" i="16"/>
  <c r="J1368" i="16"/>
  <c r="C1369" i="16"/>
  <c r="D1369" i="16"/>
  <c r="E1369" i="16"/>
  <c r="F1369" i="16"/>
  <c r="G1369" i="16"/>
  <c r="H1369" i="16"/>
  <c r="I1369" i="16"/>
  <c r="J1369" i="16"/>
  <c r="C1370" i="16"/>
  <c r="D1370" i="16"/>
  <c r="E1370" i="16"/>
  <c r="F1370" i="16"/>
  <c r="G1370" i="16"/>
  <c r="H1370" i="16"/>
  <c r="I1370" i="16"/>
  <c r="J1370" i="16"/>
  <c r="C1371" i="16"/>
  <c r="D1371" i="16"/>
  <c r="E1371" i="16"/>
  <c r="F1371" i="16"/>
  <c r="G1371" i="16"/>
  <c r="H1371" i="16"/>
  <c r="I1371" i="16"/>
  <c r="J1371" i="16"/>
  <c r="C1372" i="16"/>
  <c r="D1372" i="16"/>
  <c r="E1372" i="16"/>
  <c r="F1372" i="16"/>
  <c r="G1372" i="16"/>
  <c r="H1372" i="16"/>
  <c r="I1372" i="16"/>
  <c r="J1372" i="16"/>
  <c r="C1373" i="16"/>
  <c r="D1373" i="16"/>
  <c r="E1373" i="16"/>
  <c r="F1373" i="16"/>
  <c r="G1373" i="16"/>
  <c r="H1373" i="16"/>
  <c r="I1373" i="16"/>
  <c r="J1373" i="16"/>
  <c r="C1374" i="16"/>
  <c r="D1374" i="16"/>
  <c r="E1374" i="16"/>
  <c r="F1374" i="16"/>
  <c r="G1374" i="16"/>
  <c r="H1374" i="16"/>
  <c r="I1374" i="16"/>
  <c r="J1374" i="16"/>
  <c r="C1375" i="16"/>
  <c r="D1375" i="16"/>
  <c r="E1375" i="16"/>
  <c r="F1375" i="16"/>
  <c r="G1375" i="16"/>
  <c r="H1375" i="16"/>
  <c r="I1375" i="16"/>
  <c r="J1375" i="16"/>
  <c r="C1376" i="16"/>
  <c r="D1376" i="16"/>
  <c r="E1376" i="16"/>
  <c r="F1376" i="16"/>
  <c r="G1376" i="16"/>
  <c r="H1376" i="16"/>
  <c r="I1376" i="16"/>
  <c r="J1376" i="16"/>
  <c r="C1377" i="16"/>
  <c r="D1377" i="16"/>
  <c r="E1377" i="16"/>
  <c r="F1377" i="16"/>
  <c r="G1377" i="16"/>
  <c r="H1377" i="16"/>
  <c r="I1377" i="16"/>
  <c r="J1377" i="16"/>
  <c r="C1378" i="16"/>
  <c r="D1378" i="16"/>
  <c r="E1378" i="16"/>
  <c r="F1378" i="16"/>
  <c r="G1378" i="16"/>
  <c r="H1378" i="16"/>
  <c r="I1378" i="16"/>
  <c r="J1378" i="16"/>
  <c r="C1379" i="16"/>
  <c r="D1379" i="16"/>
  <c r="E1379" i="16"/>
  <c r="F1379" i="16"/>
  <c r="G1379" i="16"/>
  <c r="H1379" i="16"/>
  <c r="I1379" i="16"/>
  <c r="J1379" i="16"/>
  <c r="C1380" i="16"/>
  <c r="D1380" i="16"/>
  <c r="E1380" i="16"/>
  <c r="F1380" i="16"/>
  <c r="G1380" i="16"/>
  <c r="H1380" i="16"/>
  <c r="I1380" i="16"/>
  <c r="J1380" i="16"/>
  <c r="C1381" i="16"/>
  <c r="D1381" i="16"/>
  <c r="E1381" i="16"/>
  <c r="F1381" i="16"/>
  <c r="G1381" i="16"/>
  <c r="H1381" i="16"/>
  <c r="I1381" i="16"/>
  <c r="J1381" i="16"/>
  <c r="C1382" i="16"/>
  <c r="D1382" i="16"/>
  <c r="E1382" i="16"/>
  <c r="F1382" i="16"/>
  <c r="G1382" i="16"/>
  <c r="H1382" i="16"/>
  <c r="I1382" i="16"/>
  <c r="J1382" i="16"/>
  <c r="C1383" i="16"/>
  <c r="D1383" i="16"/>
  <c r="E1383" i="16"/>
  <c r="F1383" i="16"/>
  <c r="G1383" i="16"/>
  <c r="H1383" i="16"/>
  <c r="I1383" i="16"/>
  <c r="J1383" i="16"/>
  <c r="C1384" i="16"/>
  <c r="D1384" i="16"/>
  <c r="E1384" i="16"/>
  <c r="F1384" i="16"/>
  <c r="G1384" i="16"/>
  <c r="H1384" i="16"/>
  <c r="I1384" i="16"/>
  <c r="J1384" i="16"/>
  <c r="C1385" i="16"/>
  <c r="D1385" i="16"/>
  <c r="E1385" i="16"/>
  <c r="F1385" i="16"/>
  <c r="G1385" i="16"/>
  <c r="H1385" i="16"/>
  <c r="I1385" i="16"/>
  <c r="J1385" i="16"/>
  <c r="C1386" i="16"/>
  <c r="D1386" i="16"/>
  <c r="E1386" i="16"/>
  <c r="F1386" i="16"/>
  <c r="G1386" i="16"/>
  <c r="H1386" i="16"/>
  <c r="I1386" i="16"/>
  <c r="J1386" i="16"/>
  <c r="C1387" i="16"/>
  <c r="D1387" i="16"/>
  <c r="E1387" i="16"/>
  <c r="F1387" i="16"/>
  <c r="G1387" i="16"/>
  <c r="H1387" i="16"/>
  <c r="I1387" i="16"/>
  <c r="J1387" i="16"/>
  <c r="C1388" i="16"/>
  <c r="D1388" i="16"/>
  <c r="E1388" i="16"/>
  <c r="F1388" i="16"/>
  <c r="G1388" i="16"/>
  <c r="H1388" i="16"/>
  <c r="I1388" i="16"/>
  <c r="J1388" i="16"/>
  <c r="C1389" i="16"/>
  <c r="D1389" i="16"/>
  <c r="E1389" i="16"/>
  <c r="F1389" i="16"/>
  <c r="G1389" i="16"/>
  <c r="H1389" i="16"/>
  <c r="I1389" i="16"/>
  <c r="J1389" i="16"/>
  <c r="C1390" i="16"/>
  <c r="D1390" i="16"/>
  <c r="E1390" i="16"/>
  <c r="F1390" i="16"/>
  <c r="G1390" i="16"/>
  <c r="H1390" i="16"/>
  <c r="I1390" i="16"/>
  <c r="J1390" i="16"/>
  <c r="C1391" i="16"/>
  <c r="D1391" i="16"/>
  <c r="E1391" i="16"/>
  <c r="F1391" i="16"/>
  <c r="G1391" i="16"/>
  <c r="H1391" i="16"/>
  <c r="I1391" i="16"/>
  <c r="J1391" i="16"/>
  <c r="C1392" i="16"/>
  <c r="D1392" i="16"/>
  <c r="E1392" i="16"/>
  <c r="F1392" i="16"/>
  <c r="G1392" i="16"/>
  <c r="H1392" i="16"/>
  <c r="I1392" i="16"/>
  <c r="J1392" i="16"/>
  <c r="C1393" i="16"/>
  <c r="D1393" i="16"/>
  <c r="E1393" i="16"/>
  <c r="F1393" i="16"/>
  <c r="G1393" i="16"/>
  <c r="H1393" i="16"/>
  <c r="I1393" i="16"/>
  <c r="J1393" i="16"/>
  <c r="C1394" i="16"/>
  <c r="D1394" i="16"/>
  <c r="E1394" i="16"/>
  <c r="F1394" i="16"/>
  <c r="G1394" i="16"/>
  <c r="H1394" i="16"/>
  <c r="I1394" i="16"/>
  <c r="J1394" i="16"/>
  <c r="C1395" i="16"/>
  <c r="D1395" i="16"/>
  <c r="E1395" i="16"/>
  <c r="F1395" i="16"/>
  <c r="G1395" i="16"/>
  <c r="H1395" i="16"/>
  <c r="I1395" i="16"/>
  <c r="J1395" i="16"/>
  <c r="C1396" i="16"/>
  <c r="D1396" i="16"/>
  <c r="E1396" i="16"/>
  <c r="F1396" i="16"/>
  <c r="G1396" i="16"/>
  <c r="H1396" i="16"/>
  <c r="I1396" i="16"/>
  <c r="J1396" i="16"/>
  <c r="C1397" i="16"/>
  <c r="D1397" i="16"/>
  <c r="E1397" i="16"/>
  <c r="F1397" i="16"/>
  <c r="G1397" i="16"/>
  <c r="H1397" i="16"/>
  <c r="I1397" i="16"/>
  <c r="J1397" i="16"/>
  <c r="C1398" i="16"/>
  <c r="D1398" i="16"/>
  <c r="E1398" i="16"/>
  <c r="F1398" i="16"/>
  <c r="G1398" i="16"/>
  <c r="H1398" i="16"/>
  <c r="I1398" i="16"/>
  <c r="J1398" i="16"/>
  <c r="C1399" i="16"/>
  <c r="D1399" i="16"/>
  <c r="E1399" i="16"/>
  <c r="F1399" i="16"/>
  <c r="G1399" i="16"/>
  <c r="H1399" i="16"/>
  <c r="I1399" i="16"/>
  <c r="J1399" i="16"/>
  <c r="C1400" i="16"/>
  <c r="D1400" i="16"/>
  <c r="E1400" i="16"/>
  <c r="F1400" i="16"/>
  <c r="G1400" i="16"/>
  <c r="H1400" i="16"/>
  <c r="I1400" i="16"/>
  <c r="J1400" i="16"/>
  <c r="C1401" i="16"/>
  <c r="D1401" i="16"/>
  <c r="E1401" i="16"/>
  <c r="F1401" i="16"/>
  <c r="G1401" i="16"/>
  <c r="H1401" i="16"/>
  <c r="I1401" i="16"/>
  <c r="J1401" i="16"/>
  <c r="C1402" i="16"/>
  <c r="D1402" i="16"/>
  <c r="E1402" i="16"/>
  <c r="F1402" i="16"/>
  <c r="G1402" i="16"/>
  <c r="H1402" i="16"/>
  <c r="I1402" i="16"/>
  <c r="J1402" i="16"/>
  <c r="C1403" i="16"/>
  <c r="D1403" i="16"/>
  <c r="E1403" i="16"/>
  <c r="F1403" i="16"/>
  <c r="G1403" i="16"/>
  <c r="H1403" i="16"/>
  <c r="I1403" i="16"/>
  <c r="J1403" i="16"/>
  <c r="C1404" i="16"/>
  <c r="D1404" i="16"/>
  <c r="E1404" i="16"/>
  <c r="F1404" i="16"/>
  <c r="G1404" i="16"/>
  <c r="H1404" i="16"/>
  <c r="I1404" i="16"/>
  <c r="J1404" i="16"/>
  <c r="C1405" i="16"/>
  <c r="D1405" i="16"/>
  <c r="E1405" i="16"/>
  <c r="F1405" i="16"/>
  <c r="G1405" i="16"/>
  <c r="H1405" i="16"/>
  <c r="I1405" i="16"/>
  <c r="J1405" i="16"/>
  <c r="C1406" i="16"/>
  <c r="D1406" i="16"/>
  <c r="E1406" i="16"/>
  <c r="F1406" i="16"/>
  <c r="G1406" i="16"/>
  <c r="H1406" i="16"/>
  <c r="I1406" i="16"/>
  <c r="J1406" i="16"/>
  <c r="C1407" i="16"/>
  <c r="D1407" i="16"/>
  <c r="E1407" i="16"/>
  <c r="F1407" i="16"/>
  <c r="G1407" i="16"/>
  <c r="H1407" i="16"/>
  <c r="I1407" i="16"/>
  <c r="J1407" i="16"/>
  <c r="C1408" i="16"/>
  <c r="D1408" i="16"/>
  <c r="E1408" i="16"/>
  <c r="F1408" i="16"/>
  <c r="G1408" i="16"/>
  <c r="H1408" i="16"/>
  <c r="I1408" i="16"/>
  <c r="J1408" i="16"/>
  <c r="C1409" i="16"/>
  <c r="D1409" i="16"/>
  <c r="E1409" i="16"/>
  <c r="F1409" i="16"/>
  <c r="G1409" i="16"/>
  <c r="H1409" i="16"/>
  <c r="I1409" i="16"/>
  <c r="J1409" i="16"/>
  <c r="C1410" i="16"/>
  <c r="D1410" i="16"/>
  <c r="E1410" i="16"/>
  <c r="F1410" i="16"/>
  <c r="G1410" i="16"/>
  <c r="H1410" i="16"/>
  <c r="I1410" i="16"/>
  <c r="J1410" i="16"/>
  <c r="C1411" i="16"/>
  <c r="D1411" i="16"/>
  <c r="E1411" i="16"/>
  <c r="F1411" i="16"/>
  <c r="G1411" i="16"/>
  <c r="H1411" i="16"/>
  <c r="I1411" i="16"/>
  <c r="J1411" i="16"/>
  <c r="C1412" i="16"/>
  <c r="D1412" i="16"/>
  <c r="E1412" i="16"/>
  <c r="F1412" i="16"/>
  <c r="G1412" i="16"/>
  <c r="H1412" i="16"/>
  <c r="I1412" i="16"/>
  <c r="J1412" i="16"/>
  <c r="C1413" i="16"/>
  <c r="D1413" i="16"/>
  <c r="E1413" i="16"/>
  <c r="F1413" i="16"/>
  <c r="G1413" i="16"/>
  <c r="H1413" i="16"/>
  <c r="I1413" i="16"/>
  <c r="J1413" i="16"/>
  <c r="C1414" i="16"/>
  <c r="D1414" i="16"/>
  <c r="E1414" i="16"/>
  <c r="F1414" i="16"/>
  <c r="G1414" i="16"/>
  <c r="H1414" i="16"/>
  <c r="I1414" i="16"/>
  <c r="J1414" i="16"/>
  <c r="C1415" i="16"/>
  <c r="D1415" i="16"/>
  <c r="E1415" i="16"/>
  <c r="F1415" i="16"/>
  <c r="G1415" i="16"/>
  <c r="H1415" i="16"/>
  <c r="I1415" i="16"/>
  <c r="J1415" i="16"/>
  <c r="C1416" i="16"/>
  <c r="D1416" i="16"/>
  <c r="E1416" i="16"/>
  <c r="F1416" i="16"/>
  <c r="G1416" i="16"/>
  <c r="H1416" i="16"/>
  <c r="I1416" i="16"/>
  <c r="J1416" i="16"/>
  <c r="C1417" i="16"/>
  <c r="D1417" i="16"/>
  <c r="E1417" i="16"/>
  <c r="F1417" i="16"/>
  <c r="G1417" i="16"/>
  <c r="H1417" i="16"/>
  <c r="I1417" i="16"/>
  <c r="J1417" i="16"/>
  <c r="C1418" i="16"/>
  <c r="D1418" i="16"/>
  <c r="E1418" i="16"/>
  <c r="F1418" i="16"/>
  <c r="G1418" i="16"/>
  <c r="H1418" i="16"/>
  <c r="I1418" i="16"/>
  <c r="J1418" i="16"/>
  <c r="C1419" i="16"/>
  <c r="D1419" i="16"/>
  <c r="E1419" i="16"/>
  <c r="F1419" i="16"/>
  <c r="G1419" i="16"/>
  <c r="H1419" i="16"/>
  <c r="I1419" i="16"/>
  <c r="J1419" i="16"/>
  <c r="C1420" i="16"/>
  <c r="D1420" i="16"/>
  <c r="E1420" i="16"/>
  <c r="F1420" i="16"/>
  <c r="G1420" i="16"/>
  <c r="H1420" i="16"/>
  <c r="I1420" i="16"/>
  <c r="J1420" i="16"/>
  <c r="C1421" i="16"/>
  <c r="D1421" i="16"/>
  <c r="E1421" i="16"/>
  <c r="F1421" i="16"/>
  <c r="G1421" i="16"/>
  <c r="H1421" i="16"/>
  <c r="I1421" i="16"/>
  <c r="J1421" i="16"/>
  <c r="C1422" i="16"/>
  <c r="D1422" i="16"/>
  <c r="E1422" i="16"/>
  <c r="F1422" i="16"/>
  <c r="G1422" i="16"/>
  <c r="H1422" i="16"/>
  <c r="I1422" i="16"/>
  <c r="J1422" i="16"/>
  <c r="C1423" i="16"/>
  <c r="D1423" i="16"/>
  <c r="E1423" i="16"/>
  <c r="F1423" i="16"/>
  <c r="G1423" i="16"/>
  <c r="H1423" i="16"/>
  <c r="I1423" i="16"/>
  <c r="J1423" i="16"/>
  <c r="C1424" i="16"/>
  <c r="D1424" i="16"/>
  <c r="E1424" i="16"/>
  <c r="F1424" i="16"/>
  <c r="G1424" i="16"/>
  <c r="H1424" i="16"/>
  <c r="I1424" i="16"/>
  <c r="J1424" i="16"/>
  <c r="C1425" i="16"/>
  <c r="D1425" i="16"/>
  <c r="E1425" i="16"/>
  <c r="F1425" i="16"/>
  <c r="G1425" i="16"/>
  <c r="H1425" i="16"/>
  <c r="I1425" i="16"/>
  <c r="J1425" i="16"/>
  <c r="C1426" i="16"/>
  <c r="D1426" i="16"/>
  <c r="E1426" i="16"/>
  <c r="F1426" i="16"/>
  <c r="G1426" i="16"/>
  <c r="H1426" i="16"/>
  <c r="I1426" i="16"/>
  <c r="J1426" i="16"/>
  <c r="C1427" i="16"/>
  <c r="D1427" i="16"/>
  <c r="E1427" i="16"/>
  <c r="F1427" i="16"/>
  <c r="G1427" i="16"/>
  <c r="H1427" i="16"/>
  <c r="I1427" i="16"/>
  <c r="J1427" i="16"/>
  <c r="C1428" i="16"/>
  <c r="D1428" i="16"/>
  <c r="E1428" i="16"/>
  <c r="F1428" i="16"/>
  <c r="G1428" i="16"/>
  <c r="H1428" i="16"/>
  <c r="I1428" i="16"/>
  <c r="J1428" i="16"/>
  <c r="C1429" i="16"/>
  <c r="D1429" i="16"/>
  <c r="E1429" i="16"/>
  <c r="F1429" i="16"/>
  <c r="G1429" i="16"/>
  <c r="H1429" i="16"/>
  <c r="I1429" i="16"/>
  <c r="J1429" i="16"/>
  <c r="C1430" i="16"/>
  <c r="D1430" i="16"/>
  <c r="E1430" i="16"/>
  <c r="F1430" i="16"/>
  <c r="G1430" i="16"/>
  <c r="H1430" i="16"/>
  <c r="I1430" i="16"/>
  <c r="J1430" i="16"/>
  <c r="C1431" i="16"/>
  <c r="D1431" i="16"/>
  <c r="E1431" i="16"/>
  <c r="F1431" i="16"/>
  <c r="G1431" i="16"/>
  <c r="H1431" i="16"/>
  <c r="I1431" i="16"/>
  <c r="J1431" i="16"/>
  <c r="C1432" i="16"/>
  <c r="D1432" i="16"/>
  <c r="E1432" i="16"/>
  <c r="F1432" i="16"/>
  <c r="G1432" i="16"/>
  <c r="H1432" i="16"/>
  <c r="I1432" i="16"/>
  <c r="J1432" i="16"/>
  <c r="C1433" i="16"/>
  <c r="D1433" i="16"/>
  <c r="E1433" i="16"/>
  <c r="F1433" i="16"/>
  <c r="G1433" i="16"/>
  <c r="H1433" i="16"/>
  <c r="I1433" i="16"/>
  <c r="J1433" i="16"/>
  <c r="C1434" i="16"/>
  <c r="D1434" i="16"/>
  <c r="E1434" i="16"/>
  <c r="F1434" i="16"/>
  <c r="G1434" i="16"/>
  <c r="H1434" i="16"/>
  <c r="I1434" i="16"/>
  <c r="J1434" i="16"/>
  <c r="C1435" i="16"/>
  <c r="D1435" i="16"/>
  <c r="E1435" i="16"/>
  <c r="F1435" i="16"/>
  <c r="G1435" i="16"/>
  <c r="H1435" i="16"/>
  <c r="I1435" i="16"/>
  <c r="J1435" i="16"/>
  <c r="C1436" i="16"/>
  <c r="D1436" i="16"/>
  <c r="E1436" i="16"/>
  <c r="F1436" i="16"/>
  <c r="G1436" i="16"/>
  <c r="H1436" i="16"/>
  <c r="I1436" i="16"/>
  <c r="J1436" i="16"/>
  <c r="C1437" i="16"/>
  <c r="D1437" i="16"/>
  <c r="E1437" i="16"/>
  <c r="F1437" i="16"/>
  <c r="G1437" i="16"/>
  <c r="H1437" i="16"/>
  <c r="I1437" i="16"/>
  <c r="J1437" i="16"/>
  <c r="C1438" i="16"/>
  <c r="D1438" i="16"/>
  <c r="E1438" i="16"/>
  <c r="F1438" i="16"/>
  <c r="G1438" i="16"/>
  <c r="H1438" i="16"/>
  <c r="I1438" i="16"/>
  <c r="J1438" i="16"/>
  <c r="C1439" i="16"/>
  <c r="D1439" i="16"/>
  <c r="E1439" i="16"/>
  <c r="F1439" i="16"/>
  <c r="G1439" i="16"/>
  <c r="H1439" i="16"/>
  <c r="I1439" i="16"/>
  <c r="J1439" i="16"/>
  <c r="C1440" i="16"/>
  <c r="D1440" i="16"/>
  <c r="E1440" i="16"/>
  <c r="F1440" i="16"/>
  <c r="G1440" i="16"/>
  <c r="H1440" i="16"/>
  <c r="I1440" i="16"/>
  <c r="J1440" i="16"/>
  <c r="C1441" i="16"/>
  <c r="D1441" i="16"/>
  <c r="E1441" i="16"/>
  <c r="F1441" i="16"/>
  <c r="G1441" i="16"/>
  <c r="H1441" i="16"/>
  <c r="I1441" i="16"/>
  <c r="J1441" i="16"/>
  <c r="C1442" i="16"/>
  <c r="D1442" i="16"/>
  <c r="E1442" i="16"/>
  <c r="F1442" i="16"/>
  <c r="G1442" i="16"/>
  <c r="H1442" i="16"/>
  <c r="I1442" i="16"/>
  <c r="J1442" i="16"/>
  <c r="C1443" i="16"/>
  <c r="D1443" i="16"/>
  <c r="E1443" i="16"/>
  <c r="F1443" i="16"/>
  <c r="G1443" i="16"/>
  <c r="H1443" i="16"/>
  <c r="I1443" i="16"/>
  <c r="J1443" i="16"/>
  <c r="C1444" i="16"/>
  <c r="D1444" i="16"/>
  <c r="E1444" i="16"/>
  <c r="F1444" i="16"/>
  <c r="G1444" i="16"/>
  <c r="H1444" i="16"/>
  <c r="I1444" i="16"/>
  <c r="J1444" i="16"/>
  <c r="C1445" i="16"/>
  <c r="D1445" i="16"/>
  <c r="E1445" i="16"/>
  <c r="F1445" i="16"/>
  <c r="G1445" i="16"/>
  <c r="H1445" i="16"/>
  <c r="I1445" i="16"/>
  <c r="J1445" i="16"/>
  <c r="C1446" i="16"/>
  <c r="D1446" i="16"/>
  <c r="E1446" i="16"/>
  <c r="F1446" i="16"/>
  <c r="G1446" i="16"/>
  <c r="H1446" i="16"/>
  <c r="I1446" i="16"/>
  <c r="J1446" i="16"/>
  <c r="C1447" i="16"/>
  <c r="D1447" i="16"/>
  <c r="E1447" i="16"/>
  <c r="F1447" i="16"/>
  <c r="G1447" i="16"/>
  <c r="H1447" i="16"/>
  <c r="I1447" i="16"/>
  <c r="J1447" i="16"/>
  <c r="C1448" i="16"/>
  <c r="D1448" i="16"/>
  <c r="E1448" i="16"/>
  <c r="F1448" i="16"/>
  <c r="G1448" i="16"/>
  <c r="H1448" i="16"/>
  <c r="I1448" i="16"/>
  <c r="J1448" i="16"/>
  <c r="C1449" i="16"/>
  <c r="D1449" i="16"/>
  <c r="E1449" i="16"/>
  <c r="F1449" i="16"/>
  <c r="G1449" i="16"/>
  <c r="H1449" i="16"/>
  <c r="I1449" i="16"/>
  <c r="J1449" i="16"/>
  <c r="C1450" i="16"/>
  <c r="D1450" i="16"/>
  <c r="E1450" i="16"/>
  <c r="F1450" i="16"/>
  <c r="G1450" i="16"/>
  <c r="H1450" i="16"/>
  <c r="I1450" i="16"/>
  <c r="J1450" i="16"/>
  <c r="C1451" i="16"/>
  <c r="D1451" i="16"/>
  <c r="E1451" i="16"/>
  <c r="F1451" i="16"/>
  <c r="G1451" i="16"/>
  <c r="H1451" i="16"/>
  <c r="I1451" i="16"/>
  <c r="J1451" i="16"/>
  <c r="C1452" i="16"/>
  <c r="D1452" i="16"/>
  <c r="E1452" i="16"/>
  <c r="F1452" i="16"/>
  <c r="G1452" i="16"/>
  <c r="H1452" i="16"/>
  <c r="I1452" i="16"/>
  <c r="J1452" i="16"/>
  <c r="C1453" i="16"/>
  <c r="D1453" i="16"/>
  <c r="E1453" i="16"/>
  <c r="F1453" i="16"/>
  <c r="G1453" i="16"/>
  <c r="H1453" i="16"/>
  <c r="I1453" i="16"/>
  <c r="J1453" i="16"/>
  <c r="C1454" i="16"/>
  <c r="D1454" i="16"/>
  <c r="E1454" i="16"/>
  <c r="F1454" i="16"/>
  <c r="G1454" i="16"/>
  <c r="H1454" i="16"/>
  <c r="I1454" i="16"/>
  <c r="J1454" i="16"/>
  <c r="C1455" i="16"/>
  <c r="D1455" i="16"/>
  <c r="E1455" i="16"/>
  <c r="F1455" i="16"/>
  <c r="G1455" i="16"/>
  <c r="H1455" i="16"/>
  <c r="I1455" i="16"/>
  <c r="J1455" i="16"/>
  <c r="C1456" i="16"/>
  <c r="D1456" i="16"/>
  <c r="E1456" i="16"/>
  <c r="F1456" i="16"/>
  <c r="G1456" i="16"/>
  <c r="H1456" i="16"/>
  <c r="I1456" i="16"/>
  <c r="J1456" i="16"/>
  <c r="C1457" i="16"/>
  <c r="D1457" i="16"/>
  <c r="E1457" i="16"/>
  <c r="F1457" i="16"/>
  <c r="G1457" i="16"/>
  <c r="H1457" i="16"/>
  <c r="I1457" i="16"/>
  <c r="J1457" i="16"/>
  <c r="C1458" i="16"/>
  <c r="D1458" i="16"/>
  <c r="E1458" i="16"/>
  <c r="F1458" i="16"/>
  <c r="G1458" i="16"/>
  <c r="H1458" i="16"/>
  <c r="I1458" i="16"/>
  <c r="J1458" i="16"/>
  <c r="C1459" i="16"/>
  <c r="D1459" i="16"/>
  <c r="E1459" i="16"/>
  <c r="F1459" i="16"/>
  <c r="G1459" i="16"/>
  <c r="H1459" i="16"/>
  <c r="I1459" i="16"/>
  <c r="J1459" i="16"/>
  <c r="C1460" i="16"/>
  <c r="D1460" i="16"/>
  <c r="E1460" i="16"/>
  <c r="F1460" i="16"/>
  <c r="G1460" i="16"/>
  <c r="H1460" i="16"/>
  <c r="I1460" i="16"/>
  <c r="J1460" i="16"/>
  <c r="C1461" i="16"/>
  <c r="D1461" i="16"/>
  <c r="E1461" i="16"/>
  <c r="F1461" i="16"/>
  <c r="G1461" i="16"/>
  <c r="H1461" i="16"/>
  <c r="I1461" i="16"/>
  <c r="J1461" i="16"/>
  <c r="C1462" i="16"/>
  <c r="D1462" i="16"/>
  <c r="E1462" i="16"/>
  <c r="F1462" i="16"/>
  <c r="G1462" i="16"/>
  <c r="H1462" i="16"/>
  <c r="I1462" i="16"/>
  <c r="J1462" i="16"/>
  <c r="C1463" i="16"/>
  <c r="D1463" i="16"/>
  <c r="E1463" i="16"/>
  <c r="F1463" i="16"/>
  <c r="G1463" i="16"/>
  <c r="H1463" i="16"/>
  <c r="I1463" i="16"/>
  <c r="J1463" i="16"/>
  <c r="C1464" i="16"/>
  <c r="D1464" i="16"/>
  <c r="E1464" i="16"/>
  <c r="F1464" i="16"/>
  <c r="G1464" i="16"/>
  <c r="H1464" i="16"/>
  <c r="I1464" i="16"/>
  <c r="J1464" i="16"/>
  <c r="C1465" i="16"/>
  <c r="D1465" i="16"/>
  <c r="E1465" i="16"/>
  <c r="F1465" i="16"/>
  <c r="G1465" i="16"/>
  <c r="H1465" i="16"/>
  <c r="I1465" i="16"/>
  <c r="J1465" i="16"/>
  <c r="C1466" i="16"/>
  <c r="D1466" i="16"/>
  <c r="E1466" i="16"/>
  <c r="F1466" i="16"/>
  <c r="G1466" i="16"/>
  <c r="H1466" i="16"/>
  <c r="I1466" i="16"/>
  <c r="J1466" i="16"/>
  <c r="C1467" i="16"/>
  <c r="D1467" i="16"/>
  <c r="E1467" i="16"/>
  <c r="F1467" i="16"/>
  <c r="G1467" i="16"/>
  <c r="H1467" i="16"/>
  <c r="I1467" i="16"/>
  <c r="J1467" i="16"/>
  <c r="C1468" i="16"/>
  <c r="D1468" i="16"/>
  <c r="E1468" i="16"/>
  <c r="F1468" i="16"/>
  <c r="G1468" i="16"/>
  <c r="H1468" i="16"/>
  <c r="I1468" i="16"/>
  <c r="J1468" i="16"/>
  <c r="C1469" i="16"/>
  <c r="D1469" i="16"/>
  <c r="E1469" i="16"/>
  <c r="F1469" i="16"/>
  <c r="G1469" i="16"/>
  <c r="H1469" i="16"/>
  <c r="I1469" i="16"/>
  <c r="J1469" i="16"/>
  <c r="C1470" i="16"/>
  <c r="D1470" i="16"/>
  <c r="E1470" i="16"/>
  <c r="F1470" i="16"/>
  <c r="G1470" i="16"/>
  <c r="H1470" i="16"/>
  <c r="I1470" i="16"/>
  <c r="J1470" i="16"/>
  <c r="C1471" i="16"/>
  <c r="D1471" i="16"/>
  <c r="E1471" i="16"/>
  <c r="F1471" i="16"/>
  <c r="G1471" i="16"/>
  <c r="H1471" i="16"/>
  <c r="I1471" i="16"/>
  <c r="J1471" i="16"/>
  <c r="C1472" i="16"/>
  <c r="D1472" i="16"/>
  <c r="E1472" i="16"/>
  <c r="F1472" i="16"/>
  <c r="G1472" i="16"/>
  <c r="H1472" i="16"/>
  <c r="I1472" i="16"/>
  <c r="J1472" i="16"/>
  <c r="C1473" i="16"/>
  <c r="D1473" i="16"/>
  <c r="E1473" i="16"/>
  <c r="F1473" i="16"/>
  <c r="G1473" i="16"/>
  <c r="H1473" i="16"/>
  <c r="I1473" i="16"/>
  <c r="J1473" i="16"/>
  <c r="C1474" i="16"/>
  <c r="D1474" i="16"/>
  <c r="E1474" i="16"/>
  <c r="F1474" i="16"/>
  <c r="G1474" i="16"/>
  <c r="H1474" i="16"/>
  <c r="I1474" i="16"/>
  <c r="J1474" i="16"/>
  <c r="C1475" i="16"/>
  <c r="D1475" i="16"/>
  <c r="E1475" i="16"/>
  <c r="F1475" i="16"/>
  <c r="G1475" i="16"/>
  <c r="H1475" i="16"/>
  <c r="I1475" i="16"/>
  <c r="J1475" i="16"/>
  <c r="C1476" i="16"/>
  <c r="D1476" i="16"/>
  <c r="E1476" i="16"/>
  <c r="F1476" i="16"/>
  <c r="G1476" i="16"/>
  <c r="H1476" i="16"/>
  <c r="I1476" i="16"/>
  <c r="J1476" i="16"/>
  <c r="C1477" i="16"/>
  <c r="D1477" i="16"/>
  <c r="E1477" i="16"/>
  <c r="F1477" i="16"/>
  <c r="G1477" i="16"/>
  <c r="H1477" i="16"/>
  <c r="I1477" i="16"/>
  <c r="J1477" i="16"/>
  <c r="C1478" i="16"/>
  <c r="D1478" i="16"/>
  <c r="E1478" i="16"/>
  <c r="F1478" i="16"/>
  <c r="G1478" i="16"/>
  <c r="H1478" i="16"/>
  <c r="I1478" i="16"/>
  <c r="J1478" i="16"/>
  <c r="C1479" i="16"/>
  <c r="D1479" i="16"/>
  <c r="E1479" i="16"/>
  <c r="F1479" i="16"/>
  <c r="G1479" i="16"/>
  <c r="H1479" i="16"/>
  <c r="I1479" i="16"/>
  <c r="J1479" i="16"/>
  <c r="C1480" i="16"/>
  <c r="D1480" i="16"/>
  <c r="E1480" i="16"/>
  <c r="F1480" i="16"/>
  <c r="G1480" i="16"/>
  <c r="H1480" i="16"/>
  <c r="I1480" i="16"/>
  <c r="J1480" i="16"/>
  <c r="C1481" i="16"/>
  <c r="D1481" i="16"/>
  <c r="E1481" i="16"/>
  <c r="F1481" i="16"/>
  <c r="G1481" i="16"/>
  <c r="H1481" i="16"/>
  <c r="I1481" i="16"/>
  <c r="J1481" i="16"/>
  <c r="C1482" i="16"/>
  <c r="D1482" i="16"/>
  <c r="E1482" i="16"/>
  <c r="F1482" i="16"/>
  <c r="G1482" i="16"/>
  <c r="H1482" i="16"/>
  <c r="I1482" i="16"/>
  <c r="J1482" i="16"/>
  <c r="C1483" i="16"/>
  <c r="D1483" i="16"/>
  <c r="E1483" i="16"/>
  <c r="F1483" i="16"/>
  <c r="G1483" i="16"/>
  <c r="H1483" i="16"/>
  <c r="I1483" i="16"/>
  <c r="J1483" i="16"/>
  <c r="C1484" i="16"/>
  <c r="D1484" i="16"/>
  <c r="E1484" i="16"/>
  <c r="F1484" i="16"/>
  <c r="G1484" i="16"/>
  <c r="H1484" i="16"/>
  <c r="I1484" i="16"/>
  <c r="J1484" i="16"/>
  <c r="C1485" i="16"/>
  <c r="D1485" i="16"/>
  <c r="E1485" i="16"/>
  <c r="F1485" i="16"/>
  <c r="G1485" i="16"/>
  <c r="H1485" i="16"/>
  <c r="I1485" i="16"/>
  <c r="J1485" i="16"/>
  <c r="C1486" i="16"/>
  <c r="D1486" i="16"/>
  <c r="E1486" i="16"/>
  <c r="F1486" i="16"/>
  <c r="G1486" i="16"/>
  <c r="H1486" i="16"/>
  <c r="I1486" i="16"/>
  <c r="J1486" i="16"/>
  <c r="C1487" i="16"/>
  <c r="D1487" i="16"/>
  <c r="E1487" i="16"/>
  <c r="F1487" i="16"/>
  <c r="G1487" i="16"/>
  <c r="H1487" i="16"/>
  <c r="I1487" i="16"/>
  <c r="J1487" i="16"/>
  <c r="C1488" i="16"/>
  <c r="D1488" i="16"/>
  <c r="E1488" i="16"/>
  <c r="F1488" i="16"/>
  <c r="G1488" i="16"/>
  <c r="H1488" i="16"/>
  <c r="I1488" i="16"/>
  <c r="J1488" i="16"/>
  <c r="C1489" i="16"/>
  <c r="D1489" i="16"/>
  <c r="E1489" i="16"/>
  <c r="F1489" i="16"/>
  <c r="G1489" i="16"/>
  <c r="H1489" i="16"/>
  <c r="I1489" i="16"/>
  <c r="J1489" i="16"/>
  <c r="C1490" i="16"/>
  <c r="D1490" i="16"/>
  <c r="E1490" i="16"/>
  <c r="F1490" i="16"/>
  <c r="G1490" i="16"/>
  <c r="H1490" i="16"/>
  <c r="I1490" i="16"/>
  <c r="J1490" i="16"/>
  <c r="C1491" i="16"/>
  <c r="D1491" i="16"/>
  <c r="E1491" i="16"/>
  <c r="F1491" i="16"/>
  <c r="G1491" i="16"/>
  <c r="H1491" i="16"/>
  <c r="I1491" i="16"/>
  <c r="J1491" i="16"/>
  <c r="C1492" i="16"/>
  <c r="D1492" i="16"/>
  <c r="E1492" i="16"/>
  <c r="F1492" i="16"/>
  <c r="G1492" i="16"/>
  <c r="H1492" i="16"/>
  <c r="I1492" i="16"/>
  <c r="J1492" i="16"/>
  <c r="C1493" i="16"/>
  <c r="D1493" i="16"/>
  <c r="E1493" i="16"/>
  <c r="F1493" i="16"/>
  <c r="G1493" i="16"/>
  <c r="H1493" i="16"/>
  <c r="I1493" i="16"/>
  <c r="J1493" i="16"/>
  <c r="C1494" i="16"/>
  <c r="D1494" i="16"/>
  <c r="E1494" i="16"/>
  <c r="F1494" i="16"/>
  <c r="G1494" i="16"/>
  <c r="H1494" i="16"/>
  <c r="I1494" i="16"/>
  <c r="J1494" i="16"/>
  <c r="C1495" i="16"/>
  <c r="D1495" i="16"/>
  <c r="E1495" i="16"/>
  <c r="F1495" i="16"/>
  <c r="G1495" i="16"/>
  <c r="H1495" i="16"/>
  <c r="I1495" i="16"/>
  <c r="J1495" i="16"/>
  <c r="C1496" i="16"/>
  <c r="D1496" i="16"/>
  <c r="E1496" i="16"/>
  <c r="F1496" i="16"/>
  <c r="G1496" i="16"/>
  <c r="H1496" i="16"/>
  <c r="I1496" i="16"/>
  <c r="J1496" i="16"/>
  <c r="C1497" i="16"/>
  <c r="D1497" i="16"/>
  <c r="E1497" i="16"/>
  <c r="F1497" i="16"/>
  <c r="G1497" i="16"/>
  <c r="H1497" i="16"/>
  <c r="I1497" i="16"/>
  <c r="J1497" i="16"/>
  <c r="C1498" i="16"/>
  <c r="D1498" i="16"/>
  <c r="E1498" i="16"/>
  <c r="F1498" i="16"/>
  <c r="G1498" i="16"/>
  <c r="H1498" i="16"/>
  <c r="I1498" i="16"/>
  <c r="J1498" i="16"/>
  <c r="C1499" i="16"/>
  <c r="D1499" i="16"/>
  <c r="E1499" i="16"/>
  <c r="F1499" i="16"/>
  <c r="G1499" i="16"/>
  <c r="H1499" i="16"/>
  <c r="I1499" i="16"/>
  <c r="J1499" i="16"/>
  <c r="C1500" i="16"/>
  <c r="D1500" i="16"/>
  <c r="E1500" i="16"/>
  <c r="F1500" i="16"/>
  <c r="G1500" i="16"/>
  <c r="H1500" i="16"/>
  <c r="I1500" i="16"/>
  <c r="J1500" i="16"/>
  <c r="C1501" i="16"/>
  <c r="D1501" i="16"/>
  <c r="E1501" i="16"/>
  <c r="F1501" i="16"/>
  <c r="G1501" i="16"/>
  <c r="H1501" i="16"/>
  <c r="I1501" i="16"/>
  <c r="J1501" i="16"/>
  <c r="C1502" i="16"/>
  <c r="D1502" i="16"/>
  <c r="E1502" i="16"/>
  <c r="F1502" i="16"/>
  <c r="G1502" i="16"/>
  <c r="H1502" i="16"/>
  <c r="I1502" i="16"/>
  <c r="J1502" i="16"/>
  <c r="C1503" i="16"/>
  <c r="D1503" i="16"/>
  <c r="E1503" i="16"/>
  <c r="F1503" i="16"/>
  <c r="G1503" i="16"/>
  <c r="H1503" i="16"/>
  <c r="I1503" i="16"/>
  <c r="J1503" i="16"/>
  <c r="C1504" i="16"/>
  <c r="D1504" i="16"/>
  <c r="E1504" i="16"/>
  <c r="F1504" i="16"/>
  <c r="G1504" i="16"/>
  <c r="H1504" i="16"/>
  <c r="I1504" i="16"/>
  <c r="J1504" i="16"/>
  <c r="C1505" i="16"/>
  <c r="D1505" i="16"/>
  <c r="E1505" i="16"/>
  <c r="F1505" i="16"/>
  <c r="G1505" i="16"/>
  <c r="H1505" i="16"/>
  <c r="I1505" i="16"/>
  <c r="J1505" i="16"/>
  <c r="C1506" i="16"/>
  <c r="D1506" i="16"/>
  <c r="E1506" i="16"/>
  <c r="F1506" i="16"/>
  <c r="G1506" i="16"/>
  <c r="H1506" i="16"/>
  <c r="I1506" i="16"/>
  <c r="J1506" i="16"/>
  <c r="C1507" i="16"/>
  <c r="D1507" i="16"/>
  <c r="E1507" i="16"/>
  <c r="F1507" i="16"/>
  <c r="G1507" i="16"/>
  <c r="H1507" i="16"/>
  <c r="I1507" i="16"/>
  <c r="J1507" i="16"/>
  <c r="C1508" i="16"/>
  <c r="D1508" i="16"/>
  <c r="E1508" i="16"/>
  <c r="F1508" i="16"/>
  <c r="G1508" i="16"/>
  <c r="H1508" i="16"/>
  <c r="I1508" i="16"/>
  <c r="J1508" i="16"/>
  <c r="C1509" i="16"/>
  <c r="D1509" i="16"/>
  <c r="E1509" i="16"/>
  <c r="F1509" i="16"/>
  <c r="G1509" i="16"/>
  <c r="H1509" i="16"/>
  <c r="I1509" i="16"/>
  <c r="J1509" i="16"/>
  <c r="C1510" i="16"/>
  <c r="D1510" i="16"/>
  <c r="E1510" i="16"/>
  <c r="F1510" i="16"/>
  <c r="G1510" i="16"/>
  <c r="H1510" i="16"/>
  <c r="I1510" i="16"/>
  <c r="J1510" i="16"/>
  <c r="C1511" i="16"/>
  <c r="D1511" i="16"/>
  <c r="E1511" i="16"/>
  <c r="F1511" i="16"/>
  <c r="G1511" i="16"/>
  <c r="H1511" i="16"/>
  <c r="I1511" i="16"/>
  <c r="J1511" i="16"/>
  <c r="C1512" i="16"/>
  <c r="D1512" i="16"/>
  <c r="E1512" i="16"/>
  <c r="F1512" i="16"/>
  <c r="G1512" i="16"/>
  <c r="H1512" i="16"/>
  <c r="I1512" i="16"/>
  <c r="J1512" i="16"/>
  <c r="C1513" i="16"/>
  <c r="D1513" i="16"/>
  <c r="E1513" i="16"/>
  <c r="F1513" i="16"/>
  <c r="G1513" i="16"/>
  <c r="H1513" i="16"/>
  <c r="I1513" i="16"/>
  <c r="J1513" i="16"/>
  <c r="C1514" i="16"/>
  <c r="D1514" i="16"/>
  <c r="E1514" i="16"/>
  <c r="F1514" i="16"/>
  <c r="G1514" i="16"/>
  <c r="H1514" i="16"/>
  <c r="I1514" i="16"/>
  <c r="J1514" i="16"/>
  <c r="C1515" i="16"/>
  <c r="D1515" i="16"/>
  <c r="E1515" i="16"/>
  <c r="F1515" i="16"/>
  <c r="G1515" i="16"/>
  <c r="H1515" i="16"/>
  <c r="I1515" i="16"/>
  <c r="J1515" i="16"/>
  <c r="C1516" i="16"/>
  <c r="D1516" i="16"/>
  <c r="E1516" i="16"/>
  <c r="F1516" i="16"/>
  <c r="G1516" i="16"/>
  <c r="H1516" i="16"/>
  <c r="I1516" i="16"/>
  <c r="J1516" i="16"/>
  <c r="C1517" i="16"/>
  <c r="D1517" i="16"/>
  <c r="E1517" i="16"/>
  <c r="F1517" i="16"/>
  <c r="G1517" i="16"/>
  <c r="H1517" i="16"/>
  <c r="I1517" i="16"/>
  <c r="J1517" i="16"/>
  <c r="C1518" i="16"/>
  <c r="D1518" i="16"/>
  <c r="E1518" i="16"/>
  <c r="F1518" i="16"/>
  <c r="G1518" i="16"/>
  <c r="H1518" i="16"/>
  <c r="I1518" i="16"/>
  <c r="J1518" i="16"/>
  <c r="C1519" i="16"/>
  <c r="D1519" i="16"/>
  <c r="E1519" i="16"/>
  <c r="F1519" i="16"/>
  <c r="G1519" i="16"/>
  <c r="H1519" i="16"/>
  <c r="I1519" i="16"/>
  <c r="J1519" i="16"/>
  <c r="C1520" i="16"/>
  <c r="D1520" i="16"/>
  <c r="E1520" i="16"/>
  <c r="F1520" i="16"/>
  <c r="G1520" i="16"/>
  <c r="H1520" i="16"/>
  <c r="I1520" i="16"/>
  <c r="J1520" i="16"/>
  <c r="C1521" i="16"/>
  <c r="D1521" i="16"/>
  <c r="E1521" i="16"/>
  <c r="F1521" i="16"/>
  <c r="G1521" i="16"/>
  <c r="H1521" i="16"/>
  <c r="I1521" i="16"/>
  <c r="J1521" i="16"/>
  <c r="C1522" i="16"/>
  <c r="D1522" i="16"/>
  <c r="E1522" i="16"/>
  <c r="F1522" i="16"/>
  <c r="G1522" i="16"/>
  <c r="H1522" i="16"/>
  <c r="I1522" i="16"/>
  <c r="J1522" i="16"/>
  <c r="C1523" i="16"/>
  <c r="D1523" i="16"/>
  <c r="E1523" i="16"/>
  <c r="F1523" i="16"/>
  <c r="G1523" i="16"/>
  <c r="H1523" i="16"/>
  <c r="I1523" i="16"/>
  <c r="J1523" i="16"/>
  <c r="C1524" i="16"/>
  <c r="D1524" i="16"/>
  <c r="E1524" i="16"/>
  <c r="F1524" i="16"/>
  <c r="G1524" i="16"/>
  <c r="H1524" i="16"/>
  <c r="I1524" i="16"/>
  <c r="J1524" i="16"/>
  <c r="C1525" i="16"/>
  <c r="D1525" i="16"/>
  <c r="E1525" i="16"/>
  <c r="F1525" i="16"/>
  <c r="G1525" i="16"/>
  <c r="H1525" i="16"/>
  <c r="I1525" i="16"/>
  <c r="J1525" i="16"/>
  <c r="C1526" i="16"/>
  <c r="D1526" i="16"/>
  <c r="E1526" i="16"/>
  <c r="F1526" i="16"/>
  <c r="G1526" i="16"/>
  <c r="H1526" i="16"/>
  <c r="I1526" i="16"/>
  <c r="J1526" i="16"/>
  <c r="C1527" i="16"/>
  <c r="D1527" i="16"/>
  <c r="E1527" i="16"/>
  <c r="F1527" i="16"/>
  <c r="G1527" i="16"/>
  <c r="H1527" i="16"/>
  <c r="I1527" i="16"/>
  <c r="J1527" i="16"/>
  <c r="C1528" i="16"/>
  <c r="D1528" i="16"/>
  <c r="E1528" i="16"/>
  <c r="F1528" i="16"/>
  <c r="G1528" i="16"/>
  <c r="H1528" i="16"/>
  <c r="I1528" i="16"/>
  <c r="J1528" i="16"/>
  <c r="C1529" i="16"/>
  <c r="D1529" i="16"/>
  <c r="E1529" i="16"/>
  <c r="F1529" i="16"/>
  <c r="G1529" i="16"/>
  <c r="H1529" i="16"/>
  <c r="I1529" i="16"/>
  <c r="J1529" i="16"/>
  <c r="C1530" i="16"/>
  <c r="D1530" i="16"/>
  <c r="E1530" i="16"/>
  <c r="F1530" i="16"/>
  <c r="G1530" i="16"/>
  <c r="H1530" i="16"/>
  <c r="I1530" i="16"/>
  <c r="J1530" i="16"/>
  <c r="C1531" i="16"/>
  <c r="D1531" i="16"/>
  <c r="E1531" i="16"/>
  <c r="F1531" i="16"/>
  <c r="G1531" i="16"/>
  <c r="H1531" i="16"/>
  <c r="I1531" i="16"/>
  <c r="J1531" i="16"/>
  <c r="C1532" i="16"/>
  <c r="D1532" i="16"/>
  <c r="E1532" i="16"/>
  <c r="F1532" i="16"/>
  <c r="G1532" i="16"/>
  <c r="H1532" i="16"/>
  <c r="I1532" i="16"/>
  <c r="J1532" i="16"/>
  <c r="C1533" i="16"/>
  <c r="D1533" i="16"/>
  <c r="E1533" i="16"/>
  <c r="F1533" i="16"/>
  <c r="G1533" i="16"/>
  <c r="H1533" i="16"/>
  <c r="I1533" i="16"/>
  <c r="J1533" i="16"/>
  <c r="C1534" i="16"/>
  <c r="D1534" i="16"/>
  <c r="E1534" i="16"/>
  <c r="F1534" i="16"/>
  <c r="G1534" i="16"/>
  <c r="H1534" i="16"/>
  <c r="I1534" i="16"/>
  <c r="J1534" i="16"/>
  <c r="C1535" i="16"/>
  <c r="D1535" i="16"/>
  <c r="E1535" i="16"/>
  <c r="F1535" i="16"/>
  <c r="G1535" i="16"/>
  <c r="H1535" i="16"/>
  <c r="I1535" i="16"/>
  <c r="J1535" i="16"/>
  <c r="C1536" i="16"/>
  <c r="D1536" i="16"/>
  <c r="E1536" i="16"/>
  <c r="F1536" i="16"/>
  <c r="G1536" i="16"/>
  <c r="H1536" i="16"/>
  <c r="I1536" i="16"/>
  <c r="J1536" i="16"/>
  <c r="C1537" i="16"/>
  <c r="D1537" i="16"/>
  <c r="E1537" i="16"/>
  <c r="F1537" i="16"/>
  <c r="G1537" i="16"/>
  <c r="H1537" i="16"/>
  <c r="I1537" i="16"/>
  <c r="J1537" i="16"/>
  <c r="C1538" i="16"/>
  <c r="D1538" i="16"/>
  <c r="E1538" i="16"/>
  <c r="F1538" i="16"/>
  <c r="G1538" i="16"/>
  <c r="H1538" i="16"/>
  <c r="I1538" i="16"/>
  <c r="J1538" i="16"/>
  <c r="C1539" i="16"/>
  <c r="D1539" i="16"/>
  <c r="E1539" i="16"/>
  <c r="F1539" i="16"/>
  <c r="G1539" i="16"/>
  <c r="H1539" i="16"/>
  <c r="I1539" i="16"/>
  <c r="J1539" i="16"/>
  <c r="C1540" i="16"/>
  <c r="D1540" i="16"/>
  <c r="E1540" i="16"/>
  <c r="F1540" i="16"/>
  <c r="G1540" i="16"/>
  <c r="H1540" i="16"/>
  <c r="I1540" i="16"/>
  <c r="J1540" i="16"/>
  <c r="C1541" i="16"/>
  <c r="D1541" i="16"/>
  <c r="E1541" i="16"/>
  <c r="F1541" i="16"/>
  <c r="G1541" i="16"/>
  <c r="H1541" i="16"/>
  <c r="I1541" i="16"/>
  <c r="J1541" i="16"/>
  <c r="C1542" i="16"/>
  <c r="D1542" i="16"/>
  <c r="E1542" i="16"/>
  <c r="F1542" i="16"/>
  <c r="G1542" i="16"/>
  <c r="H1542" i="16"/>
  <c r="I1542" i="16"/>
  <c r="J1542" i="16"/>
  <c r="C1543" i="16"/>
  <c r="D1543" i="16"/>
  <c r="E1543" i="16"/>
  <c r="F1543" i="16"/>
  <c r="G1543" i="16"/>
  <c r="H1543" i="16"/>
  <c r="I1543" i="16"/>
  <c r="J1543" i="16"/>
  <c r="C1544" i="16"/>
  <c r="D1544" i="16"/>
  <c r="E1544" i="16"/>
  <c r="F1544" i="16"/>
  <c r="G1544" i="16"/>
  <c r="H1544" i="16"/>
  <c r="I1544" i="16"/>
  <c r="J1544" i="16"/>
  <c r="C1545" i="16"/>
  <c r="D1545" i="16"/>
  <c r="E1545" i="16"/>
  <c r="F1545" i="16"/>
  <c r="G1545" i="16"/>
  <c r="H1545" i="16"/>
  <c r="I1545" i="16"/>
  <c r="J1545" i="16"/>
  <c r="C1546" i="16"/>
  <c r="D1546" i="16"/>
  <c r="E1546" i="16"/>
  <c r="F1546" i="16"/>
  <c r="G1546" i="16"/>
  <c r="H1546" i="16"/>
  <c r="I1546" i="16"/>
  <c r="J1546" i="16"/>
  <c r="C1547" i="16"/>
  <c r="D1547" i="16"/>
  <c r="E1547" i="16"/>
  <c r="F1547" i="16"/>
  <c r="G1547" i="16"/>
  <c r="H1547" i="16"/>
  <c r="I1547" i="16"/>
  <c r="J1547" i="16"/>
  <c r="C1548" i="16"/>
  <c r="D1548" i="16"/>
  <c r="E1548" i="16"/>
  <c r="F1548" i="16"/>
  <c r="G1548" i="16"/>
  <c r="H1548" i="16"/>
  <c r="I1548" i="16"/>
  <c r="J1548" i="16"/>
  <c r="C1549" i="16"/>
  <c r="D1549" i="16"/>
  <c r="E1549" i="16"/>
  <c r="F1549" i="16"/>
  <c r="G1549" i="16"/>
  <c r="H1549" i="16"/>
  <c r="I1549" i="16"/>
  <c r="J1549" i="16"/>
  <c r="C1550" i="16"/>
  <c r="D1550" i="16"/>
  <c r="E1550" i="16"/>
  <c r="F1550" i="16"/>
  <c r="G1550" i="16"/>
  <c r="H1550" i="16"/>
  <c r="I1550" i="16"/>
  <c r="J1550" i="16"/>
  <c r="C1551" i="16"/>
  <c r="D1551" i="16"/>
  <c r="E1551" i="16"/>
  <c r="F1551" i="16"/>
  <c r="G1551" i="16"/>
  <c r="H1551" i="16"/>
  <c r="I1551" i="16"/>
  <c r="J1551" i="16"/>
  <c r="C1552" i="16"/>
  <c r="D1552" i="16"/>
  <c r="E1552" i="16"/>
  <c r="F1552" i="16"/>
  <c r="G1552" i="16"/>
  <c r="H1552" i="16"/>
  <c r="I1552" i="16"/>
  <c r="J1552" i="16"/>
  <c r="C1553" i="16"/>
  <c r="D1553" i="16"/>
  <c r="E1553" i="16"/>
  <c r="F1553" i="16"/>
  <c r="G1553" i="16"/>
  <c r="H1553" i="16"/>
  <c r="I1553" i="16"/>
  <c r="J1553" i="16"/>
  <c r="C1554" i="16"/>
  <c r="D1554" i="16"/>
  <c r="E1554" i="16"/>
  <c r="F1554" i="16"/>
  <c r="G1554" i="16"/>
  <c r="H1554" i="16"/>
  <c r="I1554" i="16"/>
  <c r="J1554" i="16"/>
  <c r="C1555" i="16"/>
  <c r="D1555" i="16"/>
  <c r="E1555" i="16"/>
  <c r="F1555" i="16"/>
  <c r="G1555" i="16"/>
  <c r="H1555" i="16"/>
  <c r="I1555" i="16"/>
  <c r="J1555" i="16"/>
  <c r="C1556" i="16"/>
  <c r="D1556" i="16"/>
  <c r="E1556" i="16"/>
  <c r="F1556" i="16"/>
  <c r="G1556" i="16"/>
  <c r="H1556" i="16"/>
  <c r="I1556" i="16"/>
  <c r="J1556" i="16"/>
  <c r="C1557" i="16"/>
  <c r="D1557" i="16"/>
  <c r="E1557" i="16"/>
  <c r="F1557" i="16"/>
  <c r="G1557" i="16"/>
  <c r="H1557" i="16"/>
  <c r="I1557" i="16"/>
  <c r="J1557" i="16"/>
  <c r="C1558" i="16"/>
  <c r="D1558" i="16"/>
  <c r="E1558" i="16"/>
  <c r="F1558" i="16"/>
  <c r="G1558" i="16"/>
  <c r="H1558" i="16"/>
  <c r="I1558" i="16"/>
  <c r="J1558" i="16"/>
  <c r="C1559" i="16"/>
  <c r="D1559" i="16"/>
  <c r="E1559" i="16"/>
  <c r="F1559" i="16"/>
  <c r="G1559" i="16"/>
  <c r="H1559" i="16"/>
  <c r="I1559" i="16"/>
  <c r="J1559" i="16"/>
  <c r="C1560" i="16"/>
  <c r="D1560" i="16"/>
  <c r="E1560" i="16"/>
  <c r="F1560" i="16"/>
  <c r="G1560" i="16"/>
  <c r="H1560" i="16"/>
  <c r="I1560" i="16"/>
  <c r="J1560" i="16"/>
  <c r="C1561" i="16"/>
  <c r="D1561" i="16"/>
  <c r="E1561" i="16"/>
  <c r="F1561" i="16"/>
  <c r="G1561" i="16"/>
  <c r="H1561" i="16"/>
  <c r="I1561" i="16"/>
  <c r="J1561" i="16"/>
  <c r="C1562" i="16"/>
  <c r="D1562" i="16"/>
  <c r="E1562" i="16"/>
  <c r="F1562" i="16"/>
  <c r="G1562" i="16"/>
  <c r="H1562" i="16"/>
  <c r="I1562" i="16"/>
  <c r="J1562" i="16"/>
  <c r="C1563" i="16"/>
  <c r="D1563" i="16"/>
  <c r="E1563" i="16"/>
  <c r="F1563" i="16"/>
  <c r="G1563" i="16"/>
  <c r="H1563" i="16"/>
  <c r="I1563" i="16"/>
  <c r="J1563" i="16"/>
  <c r="C1564" i="16"/>
  <c r="D1564" i="16"/>
  <c r="E1564" i="16"/>
  <c r="F1564" i="16"/>
  <c r="G1564" i="16"/>
  <c r="H1564" i="16"/>
  <c r="I1564" i="16"/>
  <c r="J1564" i="16"/>
  <c r="C1565" i="16"/>
  <c r="D1565" i="16"/>
  <c r="E1565" i="16"/>
  <c r="F1565" i="16"/>
  <c r="G1565" i="16"/>
  <c r="H1565" i="16"/>
  <c r="I1565" i="16"/>
  <c r="J1565" i="16"/>
  <c r="C1566" i="16"/>
  <c r="D1566" i="16"/>
  <c r="E1566" i="16"/>
  <c r="F1566" i="16"/>
  <c r="G1566" i="16"/>
  <c r="H1566" i="16"/>
  <c r="I1566" i="16"/>
  <c r="J1566" i="16"/>
  <c r="C1567" i="16"/>
  <c r="D1567" i="16"/>
  <c r="E1567" i="16"/>
  <c r="F1567" i="16"/>
  <c r="G1567" i="16"/>
  <c r="H1567" i="16"/>
  <c r="I1567" i="16"/>
  <c r="J1567" i="16"/>
  <c r="C1568" i="16"/>
  <c r="D1568" i="16"/>
  <c r="E1568" i="16"/>
  <c r="F1568" i="16"/>
  <c r="G1568" i="16"/>
  <c r="H1568" i="16"/>
  <c r="I1568" i="16"/>
  <c r="J1568" i="16"/>
  <c r="C1569" i="16"/>
  <c r="D1569" i="16"/>
  <c r="E1569" i="16"/>
  <c r="F1569" i="16"/>
  <c r="G1569" i="16"/>
  <c r="H1569" i="16"/>
  <c r="I1569" i="16"/>
  <c r="J1569" i="16"/>
  <c r="C1570" i="16"/>
  <c r="D1570" i="16"/>
  <c r="E1570" i="16"/>
  <c r="F1570" i="16"/>
  <c r="G1570" i="16"/>
  <c r="H1570" i="16"/>
  <c r="I1570" i="16"/>
  <c r="J1570" i="16"/>
  <c r="C1571" i="16"/>
  <c r="D1571" i="16"/>
  <c r="E1571" i="16"/>
  <c r="F1571" i="16"/>
  <c r="G1571" i="16"/>
  <c r="H1571" i="16"/>
  <c r="I1571" i="16"/>
  <c r="J1571" i="16"/>
  <c r="C1572" i="16"/>
  <c r="D1572" i="16"/>
  <c r="E1572" i="16"/>
  <c r="F1572" i="16"/>
  <c r="G1572" i="16"/>
  <c r="H1572" i="16"/>
  <c r="I1572" i="16"/>
  <c r="J1572" i="16"/>
  <c r="C1573" i="16"/>
  <c r="D1573" i="16"/>
  <c r="E1573" i="16"/>
  <c r="F1573" i="16"/>
  <c r="G1573" i="16"/>
  <c r="H1573" i="16"/>
  <c r="I1573" i="16"/>
  <c r="J1573" i="16"/>
  <c r="C1574" i="16"/>
  <c r="D1574" i="16"/>
  <c r="E1574" i="16"/>
  <c r="F1574" i="16"/>
  <c r="G1574" i="16"/>
  <c r="H1574" i="16"/>
  <c r="I1574" i="16"/>
  <c r="J1574" i="16"/>
  <c r="C1575" i="16"/>
  <c r="D1575" i="16"/>
  <c r="E1575" i="16"/>
  <c r="F1575" i="16"/>
  <c r="G1575" i="16"/>
  <c r="H1575" i="16"/>
  <c r="I1575" i="16"/>
  <c r="J1575" i="16"/>
  <c r="C1576" i="16"/>
  <c r="D1576" i="16"/>
  <c r="E1576" i="16"/>
  <c r="F1576" i="16"/>
  <c r="G1576" i="16"/>
  <c r="H1576" i="16"/>
  <c r="I1576" i="16"/>
  <c r="J1576" i="16"/>
  <c r="C1577" i="16"/>
  <c r="D1577" i="16"/>
  <c r="E1577" i="16"/>
  <c r="F1577" i="16"/>
  <c r="G1577" i="16"/>
  <c r="H1577" i="16"/>
  <c r="I1577" i="16"/>
  <c r="J1577" i="16"/>
  <c r="C1578" i="16"/>
  <c r="D1578" i="16"/>
  <c r="E1578" i="16"/>
  <c r="F1578" i="16"/>
  <c r="G1578" i="16"/>
  <c r="H1578" i="16"/>
  <c r="I1578" i="16"/>
  <c r="J1578" i="16"/>
  <c r="C1579" i="16"/>
  <c r="D1579" i="16"/>
  <c r="E1579" i="16"/>
  <c r="F1579" i="16"/>
  <c r="G1579" i="16"/>
  <c r="H1579" i="16"/>
  <c r="I1579" i="16"/>
  <c r="J1579" i="16"/>
  <c r="C1580" i="16"/>
  <c r="D1580" i="16"/>
  <c r="E1580" i="16"/>
  <c r="F1580" i="16"/>
  <c r="G1580" i="16"/>
  <c r="H1580" i="16"/>
  <c r="I1580" i="16"/>
  <c r="J1580" i="16"/>
  <c r="C1581" i="16"/>
  <c r="D1581" i="16"/>
  <c r="E1581" i="16"/>
  <c r="F1581" i="16"/>
  <c r="G1581" i="16"/>
  <c r="H1581" i="16"/>
  <c r="I1581" i="16"/>
  <c r="J1581" i="16"/>
  <c r="C1582" i="16"/>
  <c r="D1582" i="16"/>
  <c r="E1582" i="16"/>
  <c r="F1582" i="16"/>
  <c r="G1582" i="16"/>
  <c r="H1582" i="16"/>
  <c r="I1582" i="16"/>
  <c r="J1582" i="16"/>
  <c r="C1583" i="16"/>
  <c r="D1583" i="16"/>
  <c r="E1583" i="16"/>
  <c r="F1583" i="16"/>
  <c r="G1583" i="16"/>
  <c r="H1583" i="16"/>
  <c r="I1583" i="16"/>
  <c r="J1583" i="16"/>
  <c r="C1584" i="16"/>
  <c r="D1584" i="16"/>
  <c r="E1584" i="16"/>
  <c r="F1584" i="16"/>
  <c r="G1584" i="16"/>
  <c r="H1584" i="16"/>
  <c r="I1584" i="16"/>
  <c r="J1584" i="16"/>
  <c r="C1585" i="16"/>
  <c r="D1585" i="16"/>
  <c r="E1585" i="16"/>
  <c r="F1585" i="16"/>
  <c r="G1585" i="16"/>
  <c r="H1585" i="16"/>
  <c r="I1585" i="16"/>
  <c r="J1585" i="16"/>
  <c r="C1586" i="16"/>
  <c r="D1586" i="16"/>
  <c r="E1586" i="16"/>
  <c r="F1586" i="16"/>
  <c r="G1586" i="16"/>
  <c r="H1586" i="16"/>
  <c r="I1586" i="16"/>
  <c r="J1586" i="16"/>
  <c r="C1587" i="16"/>
  <c r="D1587" i="16"/>
  <c r="E1587" i="16"/>
  <c r="F1587" i="16"/>
  <c r="G1587" i="16"/>
  <c r="H1587" i="16"/>
  <c r="I1587" i="16"/>
  <c r="J1587" i="16"/>
  <c r="C1588" i="16"/>
  <c r="D1588" i="16"/>
  <c r="E1588" i="16"/>
  <c r="F1588" i="16"/>
  <c r="G1588" i="16"/>
  <c r="H1588" i="16"/>
  <c r="I1588" i="16"/>
  <c r="J1588" i="16"/>
  <c r="C1589" i="16"/>
  <c r="D1589" i="16"/>
  <c r="E1589" i="16"/>
  <c r="F1589" i="16"/>
  <c r="G1589" i="16"/>
  <c r="H1589" i="16"/>
  <c r="I1589" i="16"/>
  <c r="J1589" i="16"/>
  <c r="C1590" i="16"/>
  <c r="D1590" i="16"/>
  <c r="E1590" i="16"/>
  <c r="F1590" i="16"/>
  <c r="G1590" i="16"/>
  <c r="H1590" i="16"/>
  <c r="I1590" i="16"/>
  <c r="J1590" i="16"/>
  <c r="C1591" i="16"/>
  <c r="D1591" i="16"/>
  <c r="E1591" i="16"/>
  <c r="F1591" i="16"/>
  <c r="G1591" i="16"/>
  <c r="H1591" i="16"/>
  <c r="I1591" i="16"/>
  <c r="J1591" i="16"/>
  <c r="C1592" i="16"/>
  <c r="D1592" i="16"/>
  <c r="E1592" i="16"/>
  <c r="F1592" i="16"/>
  <c r="G1592" i="16"/>
  <c r="H1592" i="16"/>
  <c r="I1592" i="16"/>
  <c r="J1592" i="16"/>
  <c r="C1593" i="16"/>
  <c r="D1593" i="16"/>
  <c r="E1593" i="16"/>
  <c r="F1593" i="16"/>
  <c r="G1593" i="16"/>
  <c r="H1593" i="16"/>
  <c r="I1593" i="16"/>
  <c r="J1593" i="16"/>
  <c r="C1594" i="16"/>
  <c r="D1594" i="16"/>
  <c r="E1594" i="16"/>
  <c r="F1594" i="16"/>
  <c r="G1594" i="16"/>
  <c r="H1594" i="16"/>
  <c r="I1594" i="16"/>
  <c r="J1594" i="16"/>
  <c r="C1595" i="16"/>
  <c r="D1595" i="16"/>
  <c r="E1595" i="16"/>
  <c r="F1595" i="16"/>
  <c r="G1595" i="16"/>
  <c r="H1595" i="16"/>
  <c r="I1595" i="16"/>
  <c r="J1595" i="16"/>
  <c r="C1596" i="16"/>
  <c r="D1596" i="16"/>
  <c r="E1596" i="16"/>
  <c r="F1596" i="16"/>
  <c r="G1596" i="16"/>
  <c r="H1596" i="16"/>
  <c r="I1596" i="16"/>
  <c r="J1596" i="16"/>
  <c r="C1597" i="16"/>
  <c r="D1597" i="16"/>
  <c r="E1597" i="16"/>
  <c r="F1597" i="16"/>
  <c r="G1597" i="16"/>
  <c r="H1597" i="16"/>
  <c r="I1597" i="16"/>
  <c r="J1597" i="16"/>
  <c r="C1598" i="16"/>
  <c r="D1598" i="16"/>
  <c r="E1598" i="16"/>
  <c r="F1598" i="16"/>
  <c r="G1598" i="16"/>
  <c r="H1598" i="16"/>
  <c r="I1598" i="16"/>
  <c r="J1598" i="16"/>
  <c r="C1599" i="16"/>
  <c r="D1599" i="16"/>
  <c r="E1599" i="16"/>
  <c r="F1599" i="16"/>
  <c r="G1599" i="16"/>
  <c r="H1599" i="16"/>
  <c r="I1599" i="16"/>
  <c r="J1599" i="16"/>
  <c r="C1600" i="16"/>
  <c r="D1600" i="16"/>
  <c r="E1600" i="16"/>
  <c r="F1600" i="16"/>
  <c r="G1600" i="16"/>
  <c r="H1600" i="16"/>
  <c r="I1600" i="16"/>
  <c r="J1600" i="16"/>
  <c r="C1601" i="16"/>
  <c r="D1601" i="16"/>
  <c r="E1601" i="16"/>
  <c r="F1601" i="16"/>
  <c r="G1601" i="16"/>
  <c r="H1601" i="16"/>
  <c r="I1601" i="16"/>
  <c r="J1601" i="16"/>
  <c r="C1602" i="16"/>
  <c r="D1602" i="16"/>
  <c r="E1602" i="16"/>
  <c r="F1602" i="16"/>
  <c r="G1602" i="16"/>
  <c r="H1602" i="16"/>
  <c r="I1602" i="16"/>
  <c r="J1602" i="16"/>
  <c r="C1603" i="16"/>
  <c r="D1603" i="16"/>
  <c r="E1603" i="16"/>
  <c r="F1603" i="16"/>
  <c r="G1603" i="16"/>
  <c r="H1603" i="16"/>
  <c r="I1603" i="16"/>
  <c r="J1603" i="16"/>
  <c r="C1604" i="16"/>
  <c r="D1604" i="16"/>
  <c r="E1604" i="16"/>
  <c r="F1604" i="16"/>
  <c r="G1604" i="16"/>
  <c r="H1604" i="16"/>
  <c r="I1604" i="16"/>
  <c r="J1604" i="16"/>
  <c r="C1605" i="16"/>
  <c r="D1605" i="16"/>
  <c r="E1605" i="16"/>
  <c r="F1605" i="16"/>
  <c r="G1605" i="16"/>
  <c r="H1605" i="16"/>
  <c r="I1605" i="16"/>
  <c r="J1605" i="16"/>
  <c r="C1606" i="16"/>
  <c r="D1606" i="16"/>
  <c r="E1606" i="16"/>
  <c r="F1606" i="16"/>
  <c r="G1606" i="16"/>
  <c r="H1606" i="16"/>
  <c r="I1606" i="16"/>
  <c r="J1606" i="16"/>
  <c r="C1607" i="16"/>
  <c r="D1607" i="16"/>
  <c r="E1607" i="16"/>
  <c r="F1607" i="16"/>
  <c r="G1607" i="16"/>
  <c r="H1607" i="16"/>
  <c r="I1607" i="16"/>
  <c r="J1607" i="16"/>
  <c r="C1608" i="16"/>
  <c r="D1608" i="16"/>
  <c r="E1608" i="16"/>
  <c r="F1608" i="16"/>
  <c r="G1608" i="16"/>
  <c r="H1608" i="16"/>
  <c r="I1608" i="16"/>
  <c r="J1608" i="16"/>
  <c r="C1609" i="16"/>
  <c r="D1609" i="16"/>
  <c r="E1609" i="16"/>
  <c r="F1609" i="16"/>
  <c r="G1609" i="16"/>
  <c r="H1609" i="16"/>
  <c r="I1609" i="16"/>
  <c r="J1609" i="16"/>
  <c r="C1610" i="16"/>
  <c r="D1610" i="16"/>
  <c r="E1610" i="16"/>
  <c r="F1610" i="16"/>
  <c r="G1610" i="16"/>
  <c r="H1610" i="16"/>
  <c r="I1610" i="16"/>
  <c r="J1610" i="16"/>
  <c r="C1611" i="16"/>
  <c r="D1611" i="16"/>
  <c r="E1611" i="16"/>
  <c r="F1611" i="16"/>
  <c r="G1611" i="16"/>
  <c r="H1611" i="16"/>
  <c r="I1611" i="16"/>
  <c r="J1611" i="16"/>
  <c r="C1612" i="16"/>
  <c r="D1612" i="16"/>
  <c r="E1612" i="16"/>
  <c r="F1612" i="16"/>
  <c r="G1612" i="16"/>
  <c r="H1612" i="16"/>
  <c r="I1612" i="16"/>
  <c r="J1612" i="16"/>
  <c r="C1613" i="16"/>
  <c r="D1613" i="16"/>
  <c r="E1613" i="16"/>
  <c r="F1613" i="16"/>
  <c r="G1613" i="16"/>
  <c r="H1613" i="16"/>
  <c r="I1613" i="16"/>
  <c r="J1613" i="16"/>
  <c r="C1614" i="16"/>
  <c r="D1614" i="16"/>
  <c r="E1614" i="16"/>
  <c r="F1614" i="16"/>
  <c r="G1614" i="16"/>
  <c r="H1614" i="16"/>
  <c r="I1614" i="16"/>
  <c r="J1614" i="16"/>
  <c r="C1615" i="16"/>
  <c r="D1615" i="16"/>
  <c r="E1615" i="16"/>
  <c r="F1615" i="16"/>
  <c r="G1615" i="16"/>
  <c r="H1615" i="16"/>
  <c r="I1615" i="16"/>
  <c r="J1615" i="16"/>
  <c r="C1616" i="16"/>
  <c r="D1616" i="16"/>
  <c r="E1616" i="16"/>
  <c r="F1616" i="16"/>
  <c r="G1616" i="16"/>
  <c r="H1616" i="16"/>
  <c r="I1616" i="16"/>
  <c r="J1616" i="16"/>
  <c r="C1617" i="16"/>
  <c r="D1617" i="16"/>
  <c r="E1617" i="16"/>
  <c r="F1617" i="16"/>
  <c r="G1617" i="16"/>
  <c r="H1617" i="16"/>
  <c r="I1617" i="16"/>
  <c r="J1617" i="16"/>
  <c r="C1618" i="16"/>
  <c r="D1618" i="16"/>
  <c r="E1618" i="16"/>
  <c r="F1618" i="16"/>
  <c r="G1618" i="16"/>
  <c r="H1618" i="16"/>
  <c r="I1618" i="16"/>
  <c r="J1618" i="16"/>
  <c r="C1619" i="16"/>
  <c r="D1619" i="16"/>
  <c r="E1619" i="16"/>
  <c r="F1619" i="16"/>
  <c r="G1619" i="16"/>
  <c r="H1619" i="16"/>
  <c r="I1619" i="16"/>
  <c r="J1619" i="16"/>
  <c r="C1620" i="16"/>
  <c r="D1620" i="16"/>
  <c r="E1620" i="16"/>
  <c r="F1620" i="16"/>
  <c r="G1620" i="16"/>
  <c r="H1620" i="16"/>
  <c r="I1620" i="16"/>
  <c r="J1620" i="16"/>
  <c r="C1621" i="16"/>
  <c r="D1621" i="16"/>
  <c r="E1621" i="16"/>
  <c r="F1621" i="16"/>
  <c r="G1621" i="16"/>
  <c r="H1621" i="16"/>
  <c r="I1621" i="16"/>
  <c r="J1621" i="16"/>
  <c r="C1622" i="16"/>
  <c r="D1622" i="16"/>
  <c r="E1622" i="16"/>
  <c r="F1622" i="16"/>
  <c r="G1622" i="16"/>
  <c r="H1622" i="16"/>
  <c r="I1622" i="16"/>
  <c r="J1622" i="16"/>
  <c r="C1623" i="16"/>
  <c r="D1623" i="16"/>
  <c r="E1623" i="16"/>
  <c r="F1623" i="16"/>
  <c r="G1623" i="16"/>
  <c r="H1623" i="16"/>
  <c r="I1623" i="16"/>
  <c r="J1623" i="16"/>
  <c r="C1624" i="16"/>
  <c r="D1624" i="16"/>
  <c r="E1624" i="16"/>
  <c r="F1624" i="16"/>
  <c r="G1624" i="16"/>
  <c r="H1624" i="16"/>
  <c r="I1624" i="16"/>
  <c r="J1624" i="16"/>
  <c r="C1625" i="16"/>
  <c r="D1625" i="16"/>
  <c r="E1625" i="16"/>
  <c r="F1625" i="16"/>
  <c r="G1625" i="16"/>
  <c r="H1625" i="16"/>
  <c r="I1625" i="16"/>
  <c r="J1625" i="16"/>
  <c r="C1626" i="16"/>
  <c r="D1626" i="16"/>
  <c r="E1626" i="16"/>
  <c r="F1626" i="16"/>
  <c r="G1626" i="16"/>
  <c r="H1626" i="16"/>
  <c r="I1626" i="16"/>
  <c r="J1626" i="16"/>
  <c r="C1627" i="16"/>
  <c r="D1627" i="16"/>
  <c r="E1627" i="16"/>
  <c r="F1627" i="16"/>
  <c r="G1627" i="16"/>
  <c r="H1627" i="16"/>
  <c r="I1627" i="16"/>
  <c r="J1627" i="16"/>
  <c r="C1628" i="16"/>
  <c r="D1628" i="16"/>
  <c r="E1628" i="16"/>
  <c r="F1628" i="16"/>
  <c r="G1628" i="16"/>
  <c r="H1628" i="16"/>
  <c r="I1628" i="16"/>
  <c r="J1628" i="16"/>
  <c r="C1629" i="16"/>
  <c r="D1629" i="16"/>
  <c r="E1629" i="16"/>
  <c r="F1629" i="16"/>
  <c r="G1629" i="16"/>
  <c r="H1629" i="16"/>
  <c r="I1629" i="16"/>
  <c r="J1629" i="16"/>
  <c r="C1630" i="16"/>
  <c r="D1630" i="16"/>
  <c r="E1630" i="16"/>
  <c r="F1630" i="16"/>
  <c r="G1630" i="16"/>
  <c r="H1630" i="16"/>
  <c r="I1630" i="16"/>
  <c r="J1630" i="16"/>
  <c r="C1631" i="16"/>
  <c r="D1631" i="16"/>
  <c r="E1631" i="16"/>
  <c r="F1631" i="16"/>
  <c r="G1631" i="16"/>
  <c r="H1631" i="16"/>
  <c r="I1631" i="16"/>
  <c r="J1631" i="16"/>
  <c r="C1632" i="16"/>
  <c r="D1632" i="16"/>
  <c r="E1632" i="16"/>
  <c r="F1632" i="16"/>
  <c r="G1632" i="16"/>
  <c r="H1632" i="16"/>
  <c r="I1632" i="16"/>
  <c r="J1632" i="16"/>
  <c r="C1633" i="16"/>
  <c r="D1633" i="16"/>
  <c r="E1633" i="16"/>
  <c r="F1633" i="16"/>
  <c r="G1633" i="16"/>
  <c r="H1633" i="16"/>
  <c r="I1633" i="16"/>
  <c r="J1633" i="16"/>
  <c r="C1634" i="16"/>
  <c r="D1634" i="16"/>
  <c r="E1634" i="16"/>
  <c r="F1634" i="16"/>
  <c r="G1634" i="16"/>
  <c r="H1634" i="16"/>
  <c r="I1634" i="16"/>
  <c r="J1634" i="16"/>
  <c r="C1635" i="16"/>
  <c r="D1635" i="16"/>
  <c r="E1635" i="16"/>
  <c r="F1635" i="16"/>
  <c r="G1635" i="16"/>
  <c r="H1635" i="16"/>
  <c r="I1635" i="16"/>
  <c r="J1635" i="16"/>
  <c r="C1636" i="16"/>
  <c r="D1636" i="16"/>
  <c r="E1636" i="16"/>
  <c r="F1636" i="16"/>
  <c r="G1636" i="16"/>
  <c r="H1636" i="16"/>
  <c r="I1636" i="16"/>
  <c r="J1636" i="16"/>
  <c r="C1637" i="16"/>
  <c r="D1637" i="16"/>
  <c r="E1637" i="16"/>
  <c r="F1637" i="16"/>
  <c r="G1637" i="16"/>
  <c r="H1637" i="16"/>
  <c r="I1637" i="16"/>
  <c r="J1637" i="16"/>
  <c r="C1638" i="16"/>
  <c r="D1638" i="16"/>
  <c r="E1638" i="16"/>
  <c r="F1638" i="16"/>
  <c r="G1638" i="16"/>
  <c r="H1638" i="16"/>
  <c r="I1638" i="16"/>
  <c r="J1638" i="16"/>
  <c r="C1639" i="16"/>
  <c r="D1639" i="16"/>
  <c r="E1639" i="16"/>
  <c r="F1639" i="16"/>
  <c r="G1639" i="16"/>
  <c r="H1639" i="16"/>
  <c r="I1639" i="16"/>
  <c r="J1639" i="16"/>
  <c r="C1640" i="16"/>
  <c r="D1640" i="16"/>
  <c r="E1640" i="16"/>
  <c r="F1640" i="16"/>
  <c r="G1640" i="16"/>
  <c r="H1640" i="16"/>
  <c r="I1640" i="16"/>
  <c r="J1640" i="16"/>
  <c r="C1641" i="16"/>
  <c r="D1641" i="16"/>
  <c r="E1641" i="16"/>
  <c r="F1641" i="16"/>
  <c r="G1641" i="16"/>
  <c r="H1641" i="16"/>
  <c r="I1641" i="16"/>
  <c r="J1641" i="16"/>
  <c r="C1642" i="16"/>
  <c r="D1642" i="16"/>
  <c r="E1642" i="16"/>
  <c r="F1642" i="16"/>
  <c r="G1642" i="16"/>
  <c r="H1642" i="16"/>
  <c r="I1642" i="16"/>
  <c r="J1642" i="16"/>
  <c r="C1643" i="16"/>
  <c r="D1643" i="16"/>
  <c r="E1643" i="16"/>
  <c r="F1643" i="16"/>
  <c r="G1643" i="16"/>
  <c r="H1643" i="16"/>
  <c r="I1643" i="16"/>
  <c r="J1643" i="16"/>
  <c r="C1644" i="16"/>
  <c r="D1644" i="16"/>
  <c r="E1644" i="16"/>
  <c r="F1644" i="16"/>
  <c r="G1644" i="16"/>
  <c r="H1644" i="16"/>
  <c r="I1644" i="16"/>
  <c r="J1644" i="16"/>
  <c r="C1645" i="16"/>
  <c r="D1645" i="16"/>
  <c r="E1645" i="16"/>
  <c r="F1645" i="16"/>
  <c r="G1645" i="16"/>
  <c r="H1645" i="16"/>
  <c r="I1645" i="16"/>
  <c r="J1645" i="16"/>
  <c r="C1646" i="16"/>
  <c r="D1646" i="16"/>
  <c r="E1646" i="16"/>
  <c r="F1646" i="16"/>
  <c r="G1646" i="16"/>
  <c r="H1646" i="16"/>
  <c r="I1646" i="16"/>
  <c r="J1646" i="16"/>
  <c r="C1647" i="16"/>
  <c r="D1647" i="16"/>
  <c r="E1647" i="16"/>
  <c r="F1647" i="16"/>
  <c r="G1647" i="16"/>
  <c r="H1647" i="16"/>
  <c r="I1647" i="16"/>
  <c r="J1647" i="16"/>
  <c r="C1648" i="16"/>
  <c r="D1648" i="16"/>
  <c r="E1648" i="16"/>
  <c r="F1648" i="16"/>
  <c r="G1648" i="16"/>
  <c r="H1648" i="16"/>
  <c r="I1648" i="16"/>
  <c r="J1648" i="16"/>
  <c r="C1649" i="16"/>
  <c r="D1649" i="16"/>
  <c r="E1649" i="16"/>
  <c r="F1649" i="16"/>
  <c r="G1649" i="16"/>
  <c r="H1649" i="16"/>
  <c r="I1649" i="16"/>
  <c r="J1649" i="16"/>
  <c r="C1650" i="16"/>
  <c r="D1650" i="16"/>
  <c r="E1650" i="16"/>
  <c r="F1650" i="16"/>
  <c r="G1650" i="16"/>
  <c r="H1650" i="16"/>
  <c r="I1650" i="16"/>
  <c r="J1650" i="16"/>
  <c r="C1651" i="16"/>
  <c r="D1651" i="16"/>
  <c r="E1651" i="16"/>
  <c r="F1651" i="16"/>
  <c r="G1651" i="16"/>
  <c r="H1651" i="16"/>
  <c r="I1651" i="16"/>
  <c r="J1651" i="16"/>
  <c r="C1652" i="16"/>
  <c r="D1652" i="16"/>
  <c r="E1652" i="16"/>
  <c r="F1652" i="16"/>
  <c r="G1652" i="16"/>
  <c r="H1652" i="16"/>
  <c r="I1652" i="16"/>
  <c r="J1652" i="16"/>
  <c r="C1653" i="16"/>
  <c r="D1653" i="16"/>
  <c r="E1653" i="16"/>
  <c r="F1653" i="16"/>
  <c r="G1653" i="16"/>
  <c r="H1653" i="16"/>
  <c r="I1653" i="16"/>
  <c r="J1653" i="16"/>
  <c r="C1654" i="16"/>
  <c r="D1654" i="16"/>
  <c r="E1654" i="16"/>
  <c r="F1654" i="16"/>
  <c r="G1654" i="16"/>
  <c r="H1654" i="16"/>
  <c r="I1654" i="16"/>
  <c r="J1654" i="16"/>
  <c r="C1655" i="16"/>
  <c r="D1655" i="16"/>
  <c r="E1655" i="16"/>
  <c r="F1655" i="16"/>
  <c r="G1655" i="16"/>
  <c r="H1655" i="16"/>
  <c r="I1655" i="16"/>
  <c r="J1655" i="16"/>
  <c r="C1656" i="16"/>
  <c r="D1656" i="16"/>
  <c r="E1656" i="16"/>
  <c r="F1656" i="16"/>
  <c r="G1656" i="16"/>
  <c r="H1656" i="16"/>
  <c r="I1656" i="16"/>
  <c r="J1656" i="16"/>
  <c r="C1657" i="16"/>
  <c r="D1657" i="16"/>
  <c r="E1657" i="16"/>
  <c r="F1657" i="16"/>
  <c r="G1657" i="16"/>
  <c r="H1657" i="16"/>
  <c r="I1657" i="16"/>
  <c r="J1657" i="16"/>
  <c r="C1658" i="16"/>
  <c r="D1658" i="16"/>
  <c r="E1658" i="16"/>
  <c r="F1658" i="16"/>
  <c r="G1658" i="16"/>
  <c r="H1658" i="16"/>
  <c r="I1658" i="16"/>
  <c r="J1658" i="16"/>
  <c r="C1659" i="16"/>
  <c r="D1659" i="16"/>
  <c r="E1659" i="16"/>
  <c r="F1659" i="16"/>
  <c r="G1659" i="16"/>
  <c r="H1659" i="16"/>
  <c r="I1659" i="16"/>
  <c r="J1659" i="16"/>
  <c r="C1660" i="16"/>
  <c r="D1660" i="16"/>
  <c r="E1660" i="16"/>
  <c r="F1660" i="16"/>
  <c r="G1660" i="16"/>
  <c r="H1660" i="16"/>
  <c r="I1660" i="16"/>
  <c r="J1660" i="16"/>
  <c r="C1661" i="16"/>
  <c r="D1661" i="16"/>
  <c r="E1661" i="16"/>
  <c r="F1661" i="16"/>
  <c r="G1661" i="16"/>
  <c r="H1661" i="16"/>
  <c r="I1661" i="16"/>
  <c r="J1661" i="16"/>
  <c r="C1662" i="16"/>
  <c r="D1662" i="16"/>
  <c r="E1662" i="16"/>
  <c r="F1662" i="16"/>
  <c r="G1662" i="16"/>
  <c r="H1662" i="16"/>
  <c r="I1662" i="16"/>
  <c r="J1662" i="16"/>
  <c r="C1663" i="16"/>
  <c r="D1663" i="16"/>
  <c r="E1663" i="16"/>
  <c r="F1663" i="16"/>
  <c r="G1663" i="16"/>
  <c r="H1663" i="16"/>
  <c r="I1663" i="16"/>
  <c r="J1663" i="16"/>
  <c r="C1664" i="16"/>
  <c r="D1664" i="16"/>
  <c r="E1664" i="16"/>
  <c r="F1664" i="16"/>
  <c r="G1664" i="16"/>
  <c r="H1664" i="16"/>
  <c r="I1664" i="16"/>
  <c r="J1664" i="16"/>
  <c r="C1665" i="16"/>
  <c r="D1665" i="16"/>
  <c r="E1665" i="16"/>
  <c r="F1665" i="16"/>
  <c r="G1665" i="16"/>
  <c r="H1665" i="16"/>
  <c r="I1665" i="16"/>
  <c r="J1665" i="16"/>
  <c r="C1666" i="16"/>
  <c r="D1666" i="16"/>
  <c r="E1666" i="16"/>
  <c r="F1666" i="16"/>
  <c r="G1666" i="16"/>
  <c r="H1666" i="16"/>
  <c r="I1666" i="16"/>
  <c r="J1666" i="16"/>
  <c r="C1667" i="16"/>
  <c r="D1667" i="16"/>
  <c r="E1667" i="16"/>
  <c r="F1667" i="16"/>
  <c r="G1667" i="16"/>
  <c r="H1667" i="16"/>
  <c r="I1667" i="16"/>
  <c r="J1667" i="16"/>
  <c r="C1668" i="16"/>
  <c r="D1668" i="16"/>
  <c r="E1668" i="16"/>
  <c r="F1668" i="16"/>
  <c r="G1668" i="16"/>
  <c r="H1668" i="16"/>
  <c r="I1668" i="16"/>
  <c r="J1668" i="16"/>
  <c r="C1669" i="16"/>
  <c r="D1669" i="16"/>
  <c r="E1669" i="16"/>
  <c r="F1669" i="16"/>
  <c r="G1669" i="16"/>
  <c r="H1669" i="16"/>
  <c r="I1669" i="16"/>
  <c r="J1669" i="16"/>
  <c r="C1670" i="16"/>
  <c r="D1670" i="16"/>
  <c r="E1670" i="16"/>
  <c r="F1670" i="16"/>
  <c r="G1670" i="16"/>
  <c r="H1670" i="16"/>
  <c r="I1670" i="16"/>
  <c r="J1670" i="16"/>
  <c r="C1671" i="16"/>
  <c r="D1671" i="16"/>
  <c r="E1671" i="16"/>
  <c r="F1671" i="16"/>
  <c r="G1671" i="16"/>
  <c r="H1671" i="16"/>
  <c r="I1671" i="16"/>
  <c r="J1671" i="16"/>
  <c r="C1672" i="16"/>
  <c r="D1672" i="16"/>
  <c r="E1672" i="16"/>
  <c r="F1672" i="16"/>
  <c r="G1672" i="16"/>
  <c r="H1672" i="16"/>
  <c r="I1672" i="16"/>
  <c r="J1672" i="16"/>
  <c r="C1673" i="16"/>
  <c r="D1673" i="16"/>
  <c r="E1673" i="16"/>
  <c r="F1673" i="16"/>
  <c r="G1673" i="16"/>
  <c r="H1673" i="16"/>
  <c r="I1673" i="16"/>
  <c r="J1673" i="16"/>
  <c r="C1674" i="16"/>
  <c r="D1674" i="16"/>
  <c r="E1674" i="16"/>
  <c r="F1674" i="16"/>
  <c r="G1674" i="16"/>
  <c r="H1674" i="16"/>
  <c r="I1674" i="16"/>
  <c r="J1674" i="16"/>
  <c r="C1675" i="16"/>
  <c r="D1675" i="16"/>
  <c r="E1675" i="16"/>
  <c r="F1675" i="16"/>
  <c r="G1675" i="16"/>
  <c r="H1675" i="16"/>
  <c r="I1675" i="16"/>
  <c r="J1675" i="16"/>
  <c r="C1676" i="16"/>
  <c r="D1676" i="16"/>
  <c r="E1676" i="16"/>
  <c r="F1676" i="16"/>
  <c r="G1676" i="16"/>
  <c r="H1676" i="16"/>
  <c r="I1676" i="16"/>
  <c r="J1676" i="16"/>
  <c r="C1677" i="16"/>
  <c r="D1677" i="16"/>
  <c r="E1677" i="16"/>
  <c r="F1677" i="16"/>
  <c r="G1677" i="16"/>
  <c r="H1677" i="16"/>
  <c r="I1677" i="16"/>
  <c r="J1677" i="16"/>
  <c r="C1678" i="16"/>
  <c r="D1678" i="16"/>
  <c r="E1678" i="16"/>
  <c r="F1678" i="16"/>
  <c r="G1678" i="16"/>
  <c r="H1678" i="16"/>
  <c r="I1678" i="16"/>
  <c r="J1678" i="16"/>
  <c r="C1679" i="16"/>
  <c r="D1679" i="16"/>
  <c r="E1679" i="16"/>
  <c r="F1679" i="16"/>
  <c r="G1679" i="16"/>
  <c r="H1679" i="16"/>
  <c r="I1679" i="16"/>
  <c r="J1679" i="16"/>
  <c r="C1680" i="16"/>
  <c r="D1680" i="16"/>
  <c r="E1680" i="16"/>
  <c r="F1680" i="16"/>
  <c r="G1680" i="16"/>
  <c r="H1680" i="16"/>
  <c r="I1680" i="16"/>
  <c r="J1680" i="16"/>
  <c r="C1681" i="16"/>
  <c r="D1681" i="16"/>
  <c r="E1681" i="16"/>
  <c r="F1681" i="16"/>
  <c r="G1681" i="16"/>
  <c r="H1681" i="16"/>
  <c r="I1681" i="16"/>
  <c r="J1681" i="16"/>
  <c r="C1682" i="16"/>
  <c r="D1682" i="16"/>
  <c r="E1682" i="16"/>
  <c r="F1682" i="16"/>
  <c r="G1682" i="16"/>
  <c r="H1682" i="16"/>
  <c r="I1682" i="16"/>
  <c r="J1682" i="16"/>
  <c r="C1683" i="16"/>
  <c r="D1683" i="16"/>
  <c r="E1683" i="16"/>
  <c r="F1683" i="16"/>
  <c r="G1683" i="16"/>
  <c r="H1683" i="16"/>
  <c r="I1683" i="16"/>
  <c r="J1683" i="16"/>
  <c r="C1684" i="16"/>
  <c r="D1684" i="16"/>
  <c r="E1684" i="16"/>
  <c r="F1684" i="16"/>
  <c r="G1684" i="16"/>
  <c r="H1684" i="16"/>
  <c r="I1684" i="16"/>
  <c r="J1684" i="16"/>
  <c r="C1685" i="16"/>
  <c r="D1685" i="16"/>
  <c r="E1685" i="16"/>
  <c r="F1685" i="16"/>
  <c r="G1685" i="16"/>
  <c r="H1685" i="16"/>
  <c r="I1685" i="16"/>
  <c r="J1685" i="16"/>
  <c r="C1686" i="16"/>
  <c r="D1686" i="16"/>
  <c r="E1686" i="16"/>
  <c r="F1686" i="16"/>
  <c r="G1686" i="16"/>
  <c r="H1686" i="16"/>
  <c r="I1686" i="16"/>
  <c r="J1686" i="16"/>
  <c r="C1687" i="16"/>
  <c r="D1687" i="16"/>
  <c r="E1687" i="16"/>
  <c r="F1687" i="16"/>
  <c r="G1687" i="16"/>
  <c r="H1687" i="16"/>
  <c r="I1687" i="16"/>
  <c r="J1687" i="16"/>
  <c r="C1688" i="16"/>
  <c r="D1688" i="16"/>
  <c r="E1688" i="16"/>
  <c r="F1688" i="16"/>
  <c r="G1688" i="16"/>
  <c r="H1688" i="16"/>
  <c r="I1688" i="16"/>
  <c r="J1688" i="16"/>
  <c r="C1689" i="16"/>
  <c r="D1689" i="16"/>
  <c r="E1689" i="16"/>
  <c r="F1689" i="16"/>
  <c r="G1689" i="16"/>
  <c r="H1689" i="16"/>
  <c r="I1689" i="16"/>
  <c r="J1689" i="16"/>
  <c r="C1690" i="16"/>
  <c r="D1690" i="16"/>
  <c r="E1690" i="16"/>
  <c r="F1690" i="16"/>
  <c r="G1690" i="16"/>
  <c r="H1690" i="16"/>
  <c r="I1690" i="16"/>
  <c r="J1690" i="16"/>
  <c r="C1691" i="16"/>
  <c r="D1691" i="16"/>
  <c r="E1691" i="16"/>
  <c r="F1691" i="16"/>
  <c r="G1691" i="16"/>
  <c r="H1691" i="16"/>
  <c r="I1691" i="16"/>
  <c r="J1691" i="16"/>
  <c r="C1692" i="16"/>
  <c r="D1692" i="16"/>
  <c r="E1692" i="16"/>
  <c r="F1692" i="16"/>
  <c r="G1692" i="16"/>
  <c r="H1692" i="16"/>
  <c r="I1692" i="16"/>
  <c r="J1692" i="16"/>
  <c r="C1693" i="16"/>
  <c r="D1693" i="16"/>
  <c r="E1693" i="16"/>
  <c r="F1693" i="16"/>
  <c r="G1693" i="16"/>
  <c r="H1693" i="16"/>
  <c r="I1693" i="16"/>
  <c r="J1693" i="16"/>
  <c r="C1694" i="16"/>
  <c r="D1694" i="16"/>
  <c r="E1694" i="16"/>
  <c r="F1694" i="16"/>
  <c r="G1694" i="16"/>
  <c r="H1694" i="16"/>
  <c r="I1694" i="16"/>
  <c r="J1694" i="16"/>
  <c r="C1695" i="16"/>
  <c r="D1695" i="16"/>
  <c r="E1695" i="16"/>
  <c r="F1695" i="16"/>
  <c r="G1695" i="16"/>
  <c r="H1695" i="16"/>
  <c r="I1695" i="16"/>
  <c r="J1695" i="16"/>
  <c r="C1696" i="16"/>
  <c r="D1696" i="16"/>
  <c r="E1696" i="16"/>
  <c r="F1696" i="16"/>
  <c r="G1696" i="16"/>
  <c r="H1696" i="16"/>
  <c r="I1696" i="16"/>
  <c r="J1696" i="16"/>
  <c r="C1697" i="16"/>
  <c r="D1697" i="16"/>
  <c r="E1697" i="16"/>
  <c r="F1697" i="16"/>
  <c r="G1697" i="16"/>
  <c r="H1697" i="16"/>
  <c r="I1697" i="16"/>
  <c r="J1697" i="16"/>
  <c r="C1698" i="16"/>
  <c r="D1698" i="16"/>
  <c r="E1698" i="16"/>
  <c r="F1698" i="16"/>
  <c r="G1698" i="16"/>
  <c r="H1698" i="16"/>
  <c r="I1698" i="16"/>
  <c r="J1698" i="16"/>
  <c r="C1699" i="16"/>
  <c r="D1699" i="16"/>
  <c r="E1699" i="16"/>
  <c r="F1699" i="16"/>
  <c r="G1699" i="16"/>
  <c r="H1699" i="16"/>
  <c r="I1699" i="16"/>
  <c r="J1699" i="16"/>
  <c r="C1700" i="16"/>
  <c r="D1700" i="16"/>
  <c r="E1700" i="16"/>
  <c r="F1700" i="16"/>
  <c r="G1700" i="16"/>
  <c r="H1700" i="16"/>
  <c r="I1700" i="16"/>
  <c r="J1700" i="16"/>
  <c r="C1701" i="16"/>
  <c r="D1701" i="16"/>
  <c r="E1701" i="16"/>
  <c r="F1701" i="16"/>
  <c r="G1701" i="16"/>
  <c r="H1701" i="16"/>
  <c r="I1701" i="16"/>
  <c r="J1701" i="16"/>
  <c r="C1702" i="16"/>
  <c r="D1702" i="16"/>
  <c r="E1702" i="16"/>
  <c r="F1702" i="16"/>
  <c r="G1702" i="16"/>
  <c r="H1702" i="16"/>
  <c r="I1702" i="16"/>
  <c r="J1702" i="16"/>
  <c r="C1703" i="16"/>
  <c r="D1703" i="16"/>
  <c r="E1703" i="16"/>
  <c r="F1703" i="16"/>
  <c r="G1703" i="16"/>
  <c r="H1703" i="16"/>
  <c r="I1703" i="16"/>
  <c r="J1703" i="16"/>
  <c r="C1704" i="16"/>
  <c r="D1704" i="16"/>
  <c r="E1704" i="16"/>
  <c r="F1704" i="16"/>
  <c r="G1704" i="16"/>
  <c r="H1704" i="16"/>
  <c r="I1704" i="16"/>
  <c r="J1704" i="16"/>
  <c r="C1705" i="16"/>
  <c r="D1705" i="16"/>
  <c r="E1705" i="16"/>
  <c r="F1705" i="16"/>
  <c r="G1705" i="16"/>
  <c r="H1705" i="16"/>
  <c r="I1705" i="16"/>
  <c r="J1705" i="16"/>
  <c r="C1706" i="16"/>
  <c r="D1706" i="16"/>
  <c r="E1706" i="16"/>
  <c r="F1706" i="16"/>
  <c r="G1706" i="16"/>
  <c r="H1706" i="16"/>
  <c r="I1706" i="16"/>
  <c r="J1706" i="16"/>
  <c r="C1707" i="16"/>
  <c r="D1707" i="16"/>
  <c r="E1707" i="16"/>
  <c r="F1707" i="16"/>
  <c r="G1707" i="16"/>
  <c r="H1707" i="16"/>
  <c r="I1707" i="16"/>
  <c r="J1707" i="16"/>
  <c r="C1708" i="16"/>
  <c r="D1708" i="16"/>
  <c r="E1708" i="16"/>
  <c r="F1708" i="16"/>
  <c r="G1708" i="16"/>
  <c r="H1708" i="16"/>
  <c r="I1708" i="16"/>
  <c r="J1708" i="16"/>
  <c r="C1709" i="16"/>
  <c r="D1709" i="16"/>
  <c r="E1709" i="16"/>
  <c r="F1709" i="16"/>
  <c r="G1709" i="16"/>
  <c r="H1709" i="16"/>
  <c r="I1709" i="16"/>
  <c r="J1709" i="16"/>
  <c r="C1710" i="16"/>
  <c r="D1710" i="16"/>
  <c r="E1710" i="16"/>
  <c r="F1710" i="16"/>
  <c r="G1710" i="16"/>
  <c r="H1710" i="16"/>
  <c r="I1710" i="16"/>
  <c r="J1710" i="16"/>
  <c r="C1711" i="16"/>
  <c r="D1711" i="16"/>
  <c r="E1711" i="16"/>
  <c r="F1711" i="16"/>
  <c r="G1711" i="16"/>
  <c r="H1711" i="16"/>
  <c r="I1711" i="16"/>
  <c r="J1711" i="16"/>
  <c r="C1712" i="16"/>
  <c r="D1712" i="16"/>
  <c r="E1712" i="16"/>
  <c r="F1712" i="16"/>
  <c r="G1712" i="16"/>
  <c r="H1712" i="16"/>
  <c r="I1712" i="16"/>
  <c r="J1712" i="16"/>
  <c r="C1713" i="16"/>
  <c r="D1713" i="16"/>
  <c r="E1713" i="16"/>
  <c r="F1713" i="16"/>
  <c r="G1713" i="16"/>
  <c r="H1713" i="16"/>
  <c r="I1713" i="16"/>
  <c r="J1713" i="16"/>
  <c r="C1714" i="16"/>
  <c r="D1714" i="16"/>
  <c r="E1714" i="16"/>
  <c r="F1714" i="16"/>
  <c r="G1714" i="16"/>
  <c r="H1714" i="16"/>
  <c r="I1714" i="16"/>
  <c r="J1714" i="16"/>
  <c r="C1715" i="16"/>
  <c r="D1715" i="16"/>
  <c r="E1715" i="16"/>
  <c r="F1715" i="16"/>
  <c r="G1715" i="16"/>
  <c r="H1715" i="16"/>
  <c r="I1715" i="16"/>
  <c r="J1715" i="16"/>
  <c r="C1716" i="16"/>
  <c r="D1716" i="16"/>
  <c r="E1716" i="16"/>
  <c r="F1716" i="16"/>
  <c r="G1716" i="16"/>
  <c r="H1716" i="16"/>
  <c r="I1716" i="16"/>
  <c r="J1716" i="16"/>
  <c r="C1717" i="16"/>
  <c r="D1717" i="16"/>
  <c r="E1717" i="16"/>
  <c r="F1717" i="16"/>
  <c r="G1717" i="16"/>
  <c r="H1717" i="16"/>
  <c r="I1717" i="16"/>
  <c r="J1717" i="16"/>
  <c r="C1718" i="16"/>
  <c r="D1718" i="16"/>
  <c r="E1718" i="16"/>
  <c r="F1718" i="16"/>
  <c r="G1718" i="16"/>
  <c r="H1718" i="16"/>
  <c r="I1718" i="16"/>
  <c r="J1718" i="16"/>
  <c r="C1719" i="16"/>
  <c r="D1719" i="16"/>
  <c r="E1719" i="16"/>
  <c r="F1719" i="16"/>
  <c r="G1719" i="16"/>
  <c r="H1719" i="16"/>
  <c r="I1719" i="16"/>
  <c r="J1719" i="16"/>
  <c r="C1720" i="16"/>
  <c r="D1720" i="16"/>
  <c r="E1720" i="16"/>
  <c r="F1720" i="16"/>
  <c r="G1720" i="16"/>
  <c r="H1720" i="16"/>
  <c r="I1720" i="16"/>
  <c r="J1720" i="16"/>
  <c r="C1721" i="16"/>
  <c r="D1721" i="16"/>
  <c r="E1721" i="16"/>
  <c r="F1721" i="16"/>
  <c r="G1721" i="16"/>
  <c r="H1721" i="16"/>
  <c r="I1721" i="16"/>
  <c r="J1721" i="16"/>
  <c r="C1722" i="16"/>
  <c r="D1722" i="16"/>
  <c r="E1722" i="16"/>
  <c r="F1722" i="16"/>
  <c r="G1722" i="16"/>
  <c r="H1722" i="16"/>
  <c r="I1722" i="16"/>
  <c r="J1722" i="16"/>
  <c r="C1723" i="16"/>
  <c r="D1723" i="16"/>
  <c r="E1723" i="16"/>
  <c r="F1723" i="16"/>
  <c r="G1723" i="16"/>
  <c r="H1723" i="16"/>
  <c r="I1723" i="16"/>
  <c r="J1723" i="16"/>
  <c r="C1724" i="16"/>
  <c r="D1724" i="16"/>
  <c r="E1724" i="16"/>
  <c r="F1724" i="16"/>
  <c r="G1724" i="16"/>
  <c r="H1724" i="16"/>
  <c r="I1724" i="16"/>
  <c r="J1724" i="16"/>
  <c r="C1725" i="16"/>
  <c r="D1725" i="16"/>
  <c r="E1725" i="16"/>
  <c r="F1725" i="16"/>
  <c r="G1725" i="16"/>
  <c r="H1725" i="16"/>
  <c r="I1725" i="16"/>
  <c r="J1725" i="16"/>
  <c r="C1726" i="16"/>
  <c r="D1726" i="16"/>
  <c r="E1726" i="16"/>
  <c r="F1726" i="16"/>
  <c r="G1726" i="16"/>
  <c r="H1726" i="16"/>
  <c r="I1726" i="16"/>
  <c r="J1726" i="16"/>
  <c r="C1727" i="16"/>
  <c r="D1727" i="16"/>
  <c r="E1727" i="16"/>
  <c r="F1727" i="16"/>
  <c r="G1727" i="16"/>
  <c r="H1727" i="16"/>
  <c r="I1727" i="16"/>
  <c r="J1727" i="16"/>
  <c r="C1728" i="16"/>
  <c r="D1728" i="16"/>
  <c r="E1728" i="16"/>
  <c r="F1728" i="16"/>
  <c r="G1728" i="16"/>
  <c r="H1728" i="16"/>
  <c r="I1728" i="16"/>
  <c r="J1728" i="16"/>
  <c r="C1729" i="16"/>
  <c r="D1729" i="16"/>
  <c r="E1729" i="16"/>
  <c r="F1729" i="16"/>
  <c r="G1729" i="16"/>
  <c r="H1729" i="16"/>
  <c r="I1729" i="16"/>
  <c r="J1729" i="16"/>
  <c r="C1730" i="16"/>
  <c r="D1730" i="16"/>
  <c r="E1730" i="16"/>
  <c r="F1730" i="16"/>
  <c r="G1730" i="16"/>
  <c r="H1730" i="16"/>
  <c r="I1730" i="16"/>
  <c r="J1730" i="16"/>
  <c r="C1731" i="16"/>
  <c r="D1731" i="16"/>
  <c r="E1731" i="16"/>
  <c r="F1731" i="16"/>
  <c r="G1731" i="16"/>
  <c r="H1731" i="16"/>
  <c r="I1731" i="16"/>
  <c r="J1731" i="16"/>
  <c r="C1732" i="16"/>
  <c r="D1732" i="16"/>
  <c r="E1732" i="16"/>
  <c r="F1732" i="16"/>
  <c r="G1732" i="16"/>
  <c r="H1732" i="16"/>
  <c r="I1732" i="16"/>
  <c r="J1732" i="16"/>
  <c r="C1733" i="16"/>
  <c r="D1733" i="16"/>
  <c r="E1733" i="16"/>
  <c r="F1733" i="16"/>
  <c r="G1733" i="16"/>
  <c r="H1733" i="16"/>
  <c r="I1733" i="16"/>
  <c r="J1733" i="16"/>
  <c r="C1734" i="16"/>
  <c r="D1734" i="16"/>
  <c r="E1734" i="16"/>
  <c r="F1734" i="16"/>
  <c r="G1734" i="16"/>
  <c r="H1734" i="16"/>
  <c r="I1734" i="16"/>
  <c r="J1734" i="16"/>
  <c r="C1735" i="16"/>
  <c r="D1735" i="16"/>
  <c r="E1735" i="16"/>
  <c r="F1735" i="16"/>
  <c r="G1735" i="16"/>
  <c r="H1735" i="16"/>
  <c r="I1735" i="16"/>
  <c r="J1735" i="16"/>
  <c r="C1736" i="16"/>
  <c r="D1736" i="16"/>
  <c r="E1736" i="16"/>
  <c r="F1736" i="16"/>
  <c r="G1736" i="16"/>
  <c r="H1736" i="16"/>
  <c r="I1736" i="16"/>
  <c r="J1736" i="16"/>
  <c r="C1737" i="16"/>
  <c r="D1737" i="16"/>
  <c r="E1737" i="16"/>
  <c r="F1737" i="16"/>
  <c r="G1737" i="16"/>
  <c r="H1737" i="16"/>
  <c r="I1737" i="16"/>
  <c r="J1737" i="16"/>
  <c r="C1738" i="16"/>
  <c r="D1738" i="16"/>
  <c r="E1738" i="16"/>
  <c r="F1738" i="16"/>
  <c r="G1738" i="16"/>
  <c r="H1738" i="16"/>
  <c r="I1738" i="16"/>
  <c r="J1738" i="16"/>
  <c r="C1739" i="16"/>
  <c r="D1739" i="16"/>
  <c r="E1739" i="16"/>
  <c r="F1739" i="16"/>
  <c r="G1739" i="16"/>
  <c r="H1739" i="16"/>
  <c r="I1739" i="16"/>
  <c r="J1739" i="16"/>
  <c r="C1740" i="16"/>
  <c r="D1740" i="16"/>
  <c r="E1740" i="16"/>
  <c r="F1740" i="16"/>
  <c r="G1740" i="16"/>
  <c r="H1740" i="16"/>
  <c r="I1740" i="16"/>
  <c r="J1740" i="16"/>
  <c r="C1741" i="16"/>
  <c r="D1741" i="16"/>
  <c r="E1741" i="16"/>
  <c r="F1741" i="16"/>
  <c r="G1741" i="16"/>
  <c r="H1741" i="16"/>
  <c r="I1741" i="16"/>
  <c r="J1741" i="16"/>
  <c r="C1742" i="16"/>
  <c r="D1742" i="16"/>
  <c r="E1742" i="16"/>
  <c r="F1742" i="16"/>
  <c r="G1742" i="16"/>
  <c r="H1742" i="16"/>
  <c r="I1742" i="16"/>
  <c r="J1742" i="16"/>
  <c r="C1743" i="16"/>
  <c r="D1743" i="16"/>
  <c r="E1743" i="16"/>
  <c r="F1743" i="16"/>
  <c r="G1743" i="16"/>
  <c r="H1743" i="16"/>
  <c r="I1743" i="16"/>
  <c r="J1743" i="16"/>
  <c r="C1744" i="16"/>
  <c r="D1744" i="16"/>
  <c r="E1744" i="16"/>
  <c r="F1744" i="16"/>
  <c r="G1744" i="16"/>
  <c r="H1744" i="16"/>
  <c r="I1744" i="16"/>
  <c r="J1744" i="16"/>
  <c r="C1745" i="16"/>
  <c r="D1745" i="16"/>
  <c r="E1745" i="16"/>
  <c r="F1745" i="16"/>
  <c r="G1745" i="16"/>
  <c r="H1745" i="16"/>
  <c r="I1745" i="16"/>
  <c r="J1745" i="16"/>
  <c r="C1746" i="16"/>
  <c r="D1746" i="16"/>
  <c r="E1746" i="16"/>
  <c r="F1746" i="16"/>
  <c r="G1746" i="16"/>
  <c r="H1746" i="16"/>
  <c r="I1746" i="16"/>
  <c r="J1746" i="16"/>
  <c r="C1747" i="16"/>
  <c r="D1747" i="16"/>
  <c r="E1747" i="16"/>
  <c r="F1747" i="16"/>
  <c r="G1747" i="16"/>
  <c r="H1747" i="16"/>
  <c r="I1747" i="16"/>
  <c r="J1747" i="16"/>
  <c r="C1748" i="16"/>
  <c r="D1748" i="16"/>
  <c r="E1748" i="16"/>
  <c r="F1748" i="16"/>
  <c r="G1748" i="16"/>
  <c r="H1748" i="16"/>
  <c r="I1748" i="16"/>
  <c r="J1748" i="16"/>
  <c r="C1749" i="16"/>
  <c r="D1749" i="16"/>
  <c r="E1749" i="16"/>
  <c r="F1749" i="16"/>
  <c r="G1749" i="16"/>
  <c r="H1749" i="16"/>
  <c r="I1749" i="16"/>
  <c r="J1749" i="16"/>
  <c r="C1750" i="16"/>
  <c r="D1750" i="16"/>
  <c r="E1750" i="16"/>
  <c r="F1750" i="16"/>
  <c r="G1750" i="16"/>
  <c r="H1750" i="16"/>
  <c r="I1750" i="16"/>
  <c r="J1750" i="16"/>
  <c r="C1751" i="16"/>
  <c r="D1751" i="16"/>
  <c r="E1751" i="16"/>
  <c r="F1751" i="16"/>
  <c r="G1751" i="16"/>
  <c r="H1751" i="16"/>
  <c r="I1751" i="16"/>
  <c r="J1751" i="16"/>
  <c r="C1752" i="16"/>
  <c r="D1752" i="16"/>
  <c r="E1752" i="16"/>
  <c r="F1752" i="16"/>
  <c r="G1752" i="16"/>
  <c r="H1752" i="16"/>
  <c r="I1752" i="16"/>
  <c r="J1752" i="16"/>
  <c r="C1753" i="16"/>
  <c r="D1753" i="16"/>
  <c r="E1753" i="16"/>
  <c r="F1753" i="16"/>
  <c r="G1753" i="16"/>
  <c r="H1753" i="16"/>
  <c r="I1753" i="16"/>
  <c r="J1753" i="16"/>
  <c r="C1754" i="16"/>
  <c r="D1754" i="16"/>
  <c r="E1754" i="16"/>
  <c r="F1754" i="16"/>
  <c r="G1754" i="16"/>
  <c r="H1754" i="16"/>
  <c r="I1754" i="16"/>
  <c r="J1754" i="16"/>
  <c r="C1755" i="16"/>
  <c r="D1755" i="16"/>
  <c r="E1755" i="16"/>
  <c r="F1755" i="16"/>
  <c r="G1755" i="16"/>
  <c r="H1755" i="16"/>
  <c r="I1755" i="16"/>
  <c r="J1755" i="16"/>
  <c r="C1756" i="16"/>
  <c r="D1756" i="16"/>
  <c r="E1756" i="16"/>
  <c r="F1756" i="16"/>
  <c r="G1756" i="16"/>
  <c r="H1756" i="16"/>
  <c r="I1756" i="16"/>
  <c r="J1756" i="16"/>
  <c r="C1757" i="16"/>
  <c r="D1757" i="16"/>
  <c r="E1757" i="16"/>
  <c r="F1757" i="16"/>
  <c r="G1757" i="16"/>
  <c r="H1757" i="16"/>
  <c r="I1757" i="16"/>
  <c r="J1757" i="16"/>
  <c r="C1758" i="16"/>
  <c r="D1758" i="16"/>
  <c r="E1758" i="16"/>
  <c r="F1758" i="16"/>
  <c r="G1758" i="16"/>
  <c r="H1758" i="16"/>
  <c r="I1758" i="16"/>
  <c r="J1758" i="16"/>
  <c r="C1759" i="16"/>
  <c r="D1759" i="16"/>
  <c r="E1759" i="16"/>
  <c r="F1759" i="16"/>
  <c r="G1759" i="16"/>
  <c r="H1759" i="16"/>
  <c r="I1759" i="16"/>
  <c r="J1759" i="16"/>
  <c r="C1760" i="16"/>
  <c r="D1760" i="16"/>
  <c r="E1760" i="16"/>
  <c r="F1760" i="16"/>
  <c r="G1760" i="16"/>
  <c r="H1760" i="16"/>
  <c r="I1760" i="16"/>
  <c r="J1760" i="16"/>
  <c r="C1761" i="16"/>
  <c r="D1761" i="16"/>
  <c r="E1761" i="16"/>
  <c r="F1761" i="16"/>
  <c r="G1761" i="16"/>
  <c r="H1761" i="16"/>
  <c r="I1761" i="16"/>
  <c r="J1761" i="16"/>
  <c r="C1762" i="16"/>
  <c r="D1762" i="16"/>
  <c r="E1762" i="16"/>
  <c r="F1762" i="16"/>
  <c r="G1762" i="16"/>
  <c r="H1762" i="16"/>
  <c r="I1762" i="16"/>
  <c r="J1762" i="16"/>
  <c r="C1763" i="16"/>
  <c r="D1763" i="16"/>
  <c r="E1763" i="16"/>
  <c r="F1763" i="16"/>
  <c r="G1763" i="16"/>
  <c r="H1763" i="16"/>
  <c r="I1763" i="16"/>
  <c r="J1763" i="16"/>
  <c r="C1764" i="16"/>
  <c r="D1764" i="16"/>
  <c r="E1764" i="16"/>
  <c r="F1764" i="16"/>
  <c r="G1764" i="16"/>
  <c r="H1764" i="16"/>
  <c r="I1764" i="16"/>
  <c r="J1764" i="16"/>
  <c r="C1765" i="16"/>
  <c r="D1765" i="16"/>
  <c r="E1765" i="16"/>
  <c r="F1765" i="16"/>
  <c r="G1765" i="16"/>
  <c r="H1765" i="16"/>
  <c r="I1765" i="16"/>
  <c r="J1765" i="16"/>
  <c r="C1766" i="16"/>
  <c r="D1766" i="16"/>
  <c r="E1766" i="16"/>
  <c r="F1766" i="16"/>
  <c r="G1766" i="16"/>
  <c r="H1766" i="16"/>
  <c r="I1766" i="16"/>
  <c r="J1766" i="16"/>
  <c r="C1767" i="16"/>
  <c r="D1767" i="16"/>
  <c r="E1767" i="16"/>
  <c r="F1767" i="16"/>
  <c r="G1767" i="16"/>
  <c r="H1767" i="16"/>
  <c r="I1767" i="16"/>
  <c r="J1767" i="16"/>
  <c r="C1768" i="16"/>
  <c r="D1768" i="16"/>
  <c r="E1768" i="16"/>
  <c r="F1768" i="16"/>
  <c r="G1768" i="16"/>
  <c r="H1768" i="16"/>
  <c r="I1768" i="16"/>
  <c r="J1768" i="16"/>
  <c r="C1769" i="16"/>
  <c r="D1769" i="16"/>
  <c r="E1769" i="16"/>
  <c r="F1769" i="16"/>
  <c r="G1769" i="16"/>
  <c r="H1769" i="16"/>
  <c r="I1769" i="16"/>
  <c r="J1769" i="16"/>
  <c r="C1770" i="16"/>
  <c r="D1770" i="16"/>
  <c r="E1770" i="16"/>
  <c r="F1770" i="16"/>
  <c r="G1770" i="16"/>
  <c r="H1770" i="16"/>
  <c r="I1770" i="16"/>
  <c r="J1770" i="16"/>
  <c r="C1771" i="16"/>
  <c r="D1771" i="16"/>
  <c r="E1771" i="16"/>
  <c r="F1771" i="16"/>
  <c r="G1771" i="16"/>
  <c r="H1771" i="16"/>
  <c r="I1771" i="16"/>
  <c r="J1771" i="16"/>
  <c r="C1772" i="16"/>
  <c r="D1772" i="16"/>
  <c r="E1772" i="16"/>
  <c r="F1772" i="16"/>
  <c r="G1772" i="16"/>
  <c r="H1772" i="16"/>
  <c r="I1772" i="16"/>
  <c r="J1772" i="16"/>
  <c r="C1773" i="16"/>
  <c r="D1773" i="16"/>
  <c r="E1773" i="16"/>
  <c r="F1773" i="16"/>
  <c r="G1773" i="16"/>
  <c r="H1773" i="16"/>
  <c r="I1773" i="16"/>
  <c r="J1773" i="16"/>
  <c r="C1774" i="16"/>
  <c r="D1774" i="16"/>
  <c r="E1774" i="16"/>
  <c r="F1774" i="16"/>
  <c r="G1774" i="16"/>
  <c r="H1774" i="16"/>
  <c r="I1774" i="16"/>
  <c r="J1774" i="16"/>
  <c r="C1775" i="16"/>
  <c r="D1775" i="16"/>
  <c r="E1775" i="16"/>
  <c r="F1775" i="16"/>
  <c r="G1775" i="16"/>
  <c r="H1775" i="16"/>
  <c r="I1775" i="16"/>
  <c r="J1775" i="16"/>
  <c r="C1776" i="16"/>
  <c r="D1776" i="16"/>
  <c r="E1776" i="16"/>
  <c r="F1776" i="16"/>
  <c r="G1776" i="16"/>
  <c r="H1776" i="16"/>
  <c r="I1776" i="16"/>
  <c r="J1776" i="16"/>
  <c r="C1777" i="16"/>
  <c r="D1777" i="16"/>
  <c r="E1777" i="16"/>
  <c r="F1777" i="16"/>
  <c r="G1777" i="16"/>
  <c r="H1777" i="16"/>
  <c r="I1777" i="16"/>
  <c r="J1777" i="16"/>
  <c r="C1778" i="16"/>
  <c r="D1778" i="16"/>
  <c r="E1778" i="16"/>
  <c r="F1778" i="16"/>
  <c r="G1778" i="16"/>
  <c r="H1778" i="16"/>
  <c r="I1778" i="16"/>
  <c r="J1778" i="16"/>
  <c r="C1779" i="16"/>
  <c r="D1779" i="16"/>
  <c r="E1779" i="16"/>
  <c r="F1779" i="16"/>
  <c r="G1779" i="16"/>
  <c r="H1779" i="16"/>
  <c r="I1779" i="16"/>
  <c r="J1779" i="16"/>
  <c r="C1780" i="16"/>
  <c r="D1780" i="16"/>
  <c r="E1780" i="16"/>
  <c r="F1780" i="16"/>
  <c r="G1780" i="16"/>
  <c r="H1780" i="16"/>
  <c r="I1780" i="16"/>
  <c r="J1780" i="16"/>
  <c r="C1781" i="16"/>
  <c r="D1781" i="16"/>
  <c r="E1781" i="16"/>
  <c r="F1781" i="16"/>
  <c r="G1781" i="16"/>
  <c r="H1781" i="16"/>
  <c r="I1781" i="16"/>
  <c r="J1781" i="16"/>
  <c r="C1782" i="16"/>
  <c r="D1782" i="16"/>
  <c r="E1782" i="16"/>
  <c r="F1782" i="16"/>
  <c r="G1782" i="16"/>
  <c r="H1782" i="16"/>
  <c r="I1782" i="16"/>
  <c r="J1782" i="16"/>
  <c r="C1783" i="16"/>
  <c r="D1783" i="16"/>
  <c r="E1783" i="16"/>
  <c r="F1783" i="16"/>
  <c r="G1783" i="16"/>
  <c r="H1783" i="16"/>
  <c r="I1783" i="16"/>
  <c r="J1783" i="16"/>
  <c r="C1784" i="16"/>
  <c r="D1784" i="16"/>
  <c r="E1784" i="16"/>
  <c r="F1784" i="16"/>
  <c r="G1784" i="16"/>
  <c r="H1784" i="16"/>
  <c r="I1784" i="16"/>
  <c r="J1784" i="16"/>
  <c r="C1785" i="16"/>
  <c r="D1785" i="16"/>
  <c r="E1785" i="16"/>
  <c r="F1785" i="16"/>
  <c r="G1785" i="16"/>
  <c r="H1785" i="16"/>
  <c r="I1785" i="16"/>
  <c r="J1785" i="16"/>
  <c r="C1786" i="16"/>
  <c r="D1786" i="16"/>
  <c r="E1786" i="16"/>
  <c r="F1786" i="16"/>
  <c r="G1786" i="16"/>
  <c r="H1786" i="16"/>
  <c r="I1786" i="16"/>
  <c r="J1786" i="16"/>
  <c r="C1787" i="16"/>
  <c r="D1787" i="16"/>
  <c r="E1787" i="16"/>
  <c r="F1787" i="16"/>
  <c r="G1787" i="16"/>
  <c r="H1787" i="16"/>
  <c r="I1787" i="16"/>
  <c r="J1787" i="16"/>
  <c r="C1788" i="16"/>
  <c r="D1788" i="16"/>
  <c r="E1788" i="16"/>
  <c r="F1788" i="16"/>
  <c r="G1788" i="16"/>
  <c r="H1788" i="16"/>
  <c r="I1788" i="16"/>
  <c r="J1788" i="16"/>
  <c r="C1789" i="16"/>
  <c r="D1789" i="16"/>
  <c r="E1789" i="16"/>
  <c r="F1789" i="16"/>
  <c r="G1789" i="16"/>
  <c r="H1789" i="16"/>
  <c r="I1789" i="16"/>
  <c r="J1789" i="16"/>
  <c r="C1790" i="16"/>
  <c r="D1790" i="16"/>
  <c r="E1790" i="16"/>
  <c r="F1790" i="16"/>
  <c r="G1790" i="16"/>
  <c r="H1790" i="16"/>
  <c r="I1790" i="16"/>
  <c r="J1790" i="16"/>
  <c r="C1791" i="16"/>
  <c r="D1791" i="16"/>
  <c r="E1791" i="16"/>
  <c r="F1791" i="16"/>
  <c r="G1791" i="16"/>
  <c r="H1791" i="16"/>
  <c r="I1791" i="16"/>
  <c r="J1791" i="16"/>
  <c r="C1792" i="16"/>
  <c r="D1792" i="16"/>
  <c r="E1792" i="16"/>
  <c r="F1792" i="16"/>
  <c r="G1792" i="16"/>
  <c r="H1792" i="16"/>
  <c r="I1792" i="16"/>
  <c r="J1792" i="16"/>
  <c r="C1793" i="16"/>
  <c r="D1793" i="16"/>
  <c r="E1793" i="16"/>
  <c r="F1793" i="16"/>
  <c r="G1793" i="16"/>
  <c r="H1793" i="16"/>
  <c r="I1793" i="16"/>
  <c r="J1793" i="16"/>
  <c r="C1794" i="16"/>
  <c r="D1794" i="16"/>
  <c r="E1794" i="16"/>
  <c r="F1794" i="16"/>
  <c r="G1794" i="16"/>
  <c r="H1794" i="16"/>
  <c r="I1794" i="16"/>
  <c r="J1794" i="16"/>
  <c r="C1795" i="16"/>
  <c r="D1795" i="16"/>
  <c r="E1795" i="16"/>
  <c r="F1795" i="16"/>
  <c r="G1795" i="16"/>
  <c r="H1795" i="16"/>
  <c r="I1795" i="16"/>
  <c r="J1795" i="16"/>
  <c r="C1796" i="16"/>
  <c r="D1796" i="16"/>
  <c r="E1796" i="16"/>
  <c r="F1796" i="16"/>
  <c r="G1796" i="16"/>
  <c r="H1796" i="16"/>
  <c r="I1796" i="16"/>
  <c r="J1796" i="16"/>
  <c r="C1797" i="16"/>
  <c r="D1797" i="16"/>
  <c r="E1797" i="16"/>
  <c r="F1797" i="16"/>
  <c r="G1797" i="16"/>
  <c r="H1797" i="16"/>
  <c r="I1797" i="16"/>
  <c r="J1797" i="16"/>
  <c r="C1798" i="16"/>
  <c r="D1798" i="16"/>
  <c r="E1798" i="16"/>
  <c r="F1798" i="16"/>
  <c r="G1798" i="16"/>
  <c r="H1798" i="16"/>
  <c r="I1798" i="16"/>
  <c r="J1798" i="16"/>
  <c r="C1799" i="16"/>
  <c r="D1799" i="16"/>
  <c r="E1799" i="16"/>
  <c r="F1799" i="16"/>
  <c r="G1799" i="16"/>
  <c r="H1799" i="16"/>
  <c r="I1799" i="16"/>
  <c r="J1799" i="16"/>
  <c r="C1800" i="16"/>
  <c r="D1800" i="16"/>
  <c r="E1800" i="16"/>
  <c r="F1800" i="16"/>
  <c r="G1800" i="16"/>
  <c r="H1800" i="16"/>
  <c r="I1800" i="16"/>
  <c r="J1800" i="16"/>
  <c r="C1801" i="16"/>
  <c r="D1801" i="16"/>
  <c r="E1801" i="16"/>
  <c r="F1801" i="16"/>
  <c r="G1801" i="16"/>
  <c r="H1801" i="16"/>
  <c r="I1801" i="16"/>
  <c r="J1801" i="16"/>
  <c r="C1802" i="16"/>
  <c r="D1802" i="16"/>
  <c r="E1802" i="16"/>
  <c r="F1802" i="16"/>
  <c r="G1802" i="16"/>
  <c r="H1802" i="16"/>
  <c r="I1802" i="16"/>
  <c r="J1802" i="16"/>
  <c r="C1803" i="16"/>
  <c r="D1803" i="16"/>
  <c r="E1803" i="16"/>
  <c r="F1803" i="16"/>
  <c r="G1803" i="16"/>
  <c r="H1803" i="16"/>
  <c r="I1803" i="16"/>
  <c r="J1803" i="16"/>
  <c r="C1804" i="16"/>
  <c r="D1804" i="16"/>
  <c r="E1804" i="16"/>
  <c r="F1804" i="16"/>
  <c r="G1804" i="16"/>
  <c r="H1804" i="16"/>
  <c r="I1804" i="16"/>
  <c r="J1804" i="16"/>
  <c r="C1805" i="16"/>
  <c r="D1805" i="16"/>
  <c r="E1805" i="16"/>
  <c r="F1805" i="16"/>
  <c r="G1805" i="16"/>
  <c r="H1805" i="16"/>
  <c r="I1805" i="16"/>
  <c r="J1805" i="16"/>
  <c r="C1806" i="16"/>
  <c r="D1806" i="16"/>
  <c r="E1806" i="16"/>
  <c r="F1806" i="16"/>
  <c r="G1806" i="16"/>
  <c r="H1806" i="16"/>
  <c r="I1806" i="16"/>
  <c r="J1806" i="16"/>
  <c r="C1807" i="16"/>
  <c r="D1807" i="16"/>
  <c r="E1807" i="16"/>
  <c r="F1807" i="16"/>
  <c r="G1807" i="16"/>
  <c r="H1807" i="16"/>
  <c r="I1807" i="16"/>
  <c r="J1807" i="16"/>
  <c r="C1808" i="16"/>
  <c r="D1808" i="16"/>
  <c r="E1808" i="16"/>
  <c r="F1808" i="16"/>
  <c r="G1808" i="16"/>
  <c r="H1808" i="16"/>
  <c r="I1808" i="16"/>
  <c r="J1808" i="16"/>
  <c r="C1809" i="16"/>
  <c r="D1809" i="16"/>
  <c r="E1809" i="16"/>
  <c r="F1809" i="16"/>
  <c r="G1809" i="16"/>
  <c r="H1809" i="16"/>
  <c r="I1809" i="16"/>
  <c r="J1809" i="16"/>
  <c r="C1810" i="16"/>
  <c r="D1810" i="16"/>
  <c r="E1810" i="16"/>
  <c r="F1810" i="16"/>
  <c r="G1810" i="16"/>
  <c r="H1810" i="16"/>
  <c r="I1810" i="16"/>
  <c r="J1810" i="16"/>
  <c r="C1811" i="16"/>
  <c r="D1811" i="16"/>
  <c r="E1811" i="16"/>
  <c r="F1811" i="16"/>
  <c r="G1811" i="16"/>
  <c r="H1811" i="16"/>
  <c r="I1811" i="16"/>
  <c r="J1811" i="16"/>
  <c r="C1812" i="16"/>
  <c r="D1812" i="16"/>
  <c r="E1812" i="16"/>
  <c r="F1812" i="16"/>
  <c r="G1812" i="16"/>
  <c r="H1812" i="16"/>
  <c r="I1812" i="16"/>
  <c r="J1812" i="16"/>
  <c r="C1813" i="16"/>
  <c r="D1813" i="16"/>
  <c r="E1813" i="16"/>
  <c r="F1813" i="16"/>
  <c r="G1813" i="16"/>
  <c r="H1813" i="16"/>
  <c r="I1813" i="16"/>
  <c r="J1813" i="16"/>
  <c r="C1814" i="16"/>
  <c r="D1814" i="16"/>
  <c r="E1814" i="16"/>
  <c r="F1814" i="16"/>
  <c r="G1814" i="16"/>
  <c r="H1814" i="16"/>
  <c r="I1814" i="16"/>
  <c r="J1814" i="16"/>
  <c r="C1815" i="16"/>
  <c r="D1815" i="16"/>
  <c r="E1815" i="16"/>
  <c r="F1815" i="16"/>
  <c r="G1815" i="16"/>
  <c r="H1815" i="16"/>
  <c r="I1815" i="16"/>
  <c r="J1815" i="16"/>
  <c r="C1816" i="16"/>
  <c r="D1816" i="16"/>
  <c r="E1816" i="16"/>
  <c r="F1816" i="16"/>
  <c r="G1816" i="16"/>
  <c r="H1816" i="16"/>
  <c r="I1816" i="16"/>
  <c r="J1816" i="16"/>
  <c r="C1817" i="16"/>
  <c r="D1817" i="16"/>
  <c r="E1817" i="16"/>
  <c r="F1817" i="16"/>
  <c r="G1817" i="16"/>
  <c r="H1817" i="16"/>
  <c r="I1817" i="16"/>
  <c r="J1817" i="16"/>
  <c r="C1818" i="16"/>
  <c r="D1818" i="16"/>
  <c r="E1818" i="16"/>
  <c r="F1818" i="16"/>
  <c r="G1818" i="16"/>
  <c r="H1818" i="16"/>
  <c r="I1818" i="16"/>
  <c r="J1818" i="16"/>
  <c r="C1819" i="16"/>
  <c r="D1819" i="16"/>
  <c r="E1819" i="16"/>
  <c r="F1819" i="16"/>
  <c r="G1819" i="16"/>
  <c r="H1819" i="16"/>
  <c r="I1819" i="16"/>
  <c r="J1819" i="16"/>
  <c r="C1820" i="16"/>
  <c r="D1820" i="16"/>
  <c r="E1820" i="16"/>
  <c r="F1820" i="16"/>
  <c r="G1820" i="16"/>
  <c r="H1820" i="16"/>
  <c r="I1820" i="16"/>
  <c r="J1820" i="16"/>
  <c r="C1821" i="16"/>
  <c r="D1821" i="16"/>
  <c r="E1821" i="16"/>
  <c r="F1821" i="16"/>
  <c r="G1821" i="16"/>
  <c r="H1821" i="16"/>
  <c r="I1821" i="16"/>
  <c r="J1821" i="16"/>
  <c r="C1822" i="16"/>
  <c r="D1822" i="16"/>
  <c r="E1822" i="16"/>
  <c r="F1822" i="16"/>
  <c r="G1822" i="16"/>
  <c r="H1822" i="16"/>
  <c r="I1822" i="16"/>
  <c r="J1822" i="16"/>
  <c r="C1823" i="16"/>
  <c r="D1823" i="16"/>
  <c r="E1823" i="16"/>
  <c r="F1823" i="16"/>
  <c r="G1823" i="16"/>
  <c r="H1823" i="16"/>
  <c r="I1823" i="16"/>
  <c r="J1823" i="16"/>
  <c r="C1824" i="16"/>
  <c r="D1824" i="16"/>
  <c r="E1824" i="16"/>
  <c r="F1824" i="16"/>
  <c r="G1824" i="16"/>
  <c r="H1824" i="16"/>
  <c r="I1824" i="16"/>
  <c r="J1824" i="16"/>
  <c r="C1825" i="16"/>
  <c r="D1825" i="16"/>
  <c r="E1825" i="16"/>
  <c r="F1825" i="16"/>
  <c r="G1825" i="16"/>
  <c r="H1825" i="16"/>
  <c r="I1825" i="16"/>
  <c r="J1825" i="16"/>
  <c r="C1826" i="16"/>
  <c r="D1826" i="16"/>
  <c r="E1826" i="16"/>
  <c r="F1826" i="16"/>
  <c r="G1826" i="16"/>
  <c r="H1826" i="16"/>
  <c r="I1826" i="16"/>
  <c r="J1826" i="16"/>
  <c r="C1827" i="16"/>
  <c r="D1827" i="16"/>
  <c r="E1827" i="16"/>
  <c r="F1827" i="16"/>
  <c r="G1827" i="16"/>
  <c r="H1827" i="16"/>
  <c r="I1827" i="16"/>
  <c r="J1827" i="16"/>
  <c r="C1828" i="16"/>
  <c r="D1828" i="16"/>
  <c r="E1828" i="16"/>
  <c r="F1828" i="16"/>
  <c r="G1828" i="16"/>
  <c r="H1828" i="16"/>
  <c r="I1828" i="16"/>
  <c r="J1828" i="16"/>
  <c r="C1829" i="16"/>
  <c r="D1829" i="16"/>
  <c r="E1829" i="16"/>
  <c r="F1829" i="16"/>
  <c r="G1829" i="16"/>
  <c r="H1829" i="16"/>
  <c r="I1829" i="16"/>
  <c r="J1829" i="16"/>
  <c r="C1830" i="16"/>
  <c r="D1830" i="16"/>
  <c r="E1830" i="16"/>
  <c r="F1830" i="16"/>
  <c r="G1830" i="16"/>
  <c r="H1830" i="16"/>
  <c r="I1830" i="16"/>
  <c r="J1830" i="16"/>
  <c r="C1831" i="16"/>
  <c r="D1831" i="16"/>
  <c r="E1831" i="16"/>
  <c r="F1831" i="16"/>
  <c r="G1831" i="16"/>
  <c r="H1831" i="16"/>
  <c r="I1831" i="16"/>
  <c r="J1831" i="16"/>
  <c r="C1832" i="16"/>
  <c r="D1832" i="16"/>
  <c r="E1832" i="16"/>
  <c r="F1832" i="16"/>
  <c r="G1832" i="16"/>
  <c r="H1832" i="16"/>
  <c r="I1832" i="16"/>
  <c r="J1832" i="16"/>
  <c r="C1833" i="16"/>
  <c r="D1833" i="16"/>
  <c r="E1833" i="16"/>
  <c r="F1833" i="16"/>
  <c r="G1833" i="16"/>
  <c r="H1833" i="16"/>
  <c r="I1833" i="16"/>
  <c r="J1833" i="16"/>
  <c r="C1834" i="16"/>
  <c r="D1834" i="16"/>
  <c r="E1834" i="16"/>
  <c r="F1834" i="16"/>
  <c r="G1834" i="16"/>
  <c r="H1834" i="16"/>
  <c r="I1834" i="16"/>
  <c r="J1834" i="16"/>
  <c r="C1835" i="16"/>
  <c r="D1835" i="16"/>
  <c r="E1835" i="16"/>
  <c r="F1835" i="16"/>
  <c r="G1835" i="16"/>
  <c r="H1835" i="16"/>
  <c r="I1835" i="16"/>
  <c r="J1835" i="16"/>
  <c r="C1836" i="16"/>
  <c r="D1836" i="16"/>
  <c r="E1836" i="16"/>
  <c r="F1836" i="16"/>
  <c r="G1836" i="16"/>
  <c r="H1836" i="16"/>
  <c r="I1836" i="16"/>
  <c r="J1836" i="16"/>
  <c r="C1837" i="16"/>
  <c r="D1837" i="16"/>
  <c r="E1837" i="16"/>
  <c r="F1837" i="16"/>
  <c r="G1837" i="16"/>
  <c r="H1837" i="16"/>
  <c r="I1837" i="16"/>
  <c r="J1837" i="16"/>
  <c r="C1838" i="16"/>
  <c r="D1838" i="16"/>
  <c r="E1838" i="16"/>
  <c r="F1838" i="16"/>
  <c r="G1838" i="16"/>
  <c r="H1838" i="16"/>
  <c r="I1838" i="16"/>
  <c r="J1838" i="16"/>
  <c r="C1839" i="16"/>
  <c r="D1839" i="16"/>
  <c r="E1839" i="16"/>
  <c r="F1839" i="16"/>
  <c r="G1839" i="16"/>
  <c r="H1839" i="16"/>
  <c r="I1839" i="16"/>
  <c r="J1839" i="16"/>
  <c r="C1840" i="16"/>
  <c r="D1840" i="16"/>
  <c r="E1840" i="16"/>
  <c r="F1840" i="16"/>
  <c r="G1840" i="16"/>
  <c r="H1840" i="16"/>
  <c r="I1840" i="16"/>
  <c r="J1840" i="16"/>
  <c r="C1841" i="16"/>
  <c r="D1841" i="16"/>
  <c r="E1841" i="16"/>
  <c r="F1841" i="16"/>
  <c r="G1841" i="16"/>
  <c r="H1841" i="16"/>
  <c r="I1841" i="16"/>
  <c r="J1841" i="16"/>
  <c r="C1842" i="16"/>
  <c r="D1842" i="16"/>
  <c r="E1842" i="16"/>
  <c r="F1842" i="16"/>
  <c r="G1842" i="16"/>
  <c r="H1842" i="16"/>
  <c r="I1842" i="16"/>
  <c r="J1842" i="16"/>
  <c r="C1843" i="16"/>
  <c r="D1843" i="16"/>
  <c r="E1843" i="16"/>
  <c r="F1843" i="16"/>
  <c r="G1843" i="16"/>
  <c r="H1843" i="16"/>
  <c r="I1843" i="16"/>
  <c r="J1843" i="16"/>
  <c r="C1844" i="16"/>
  <c r="D1844" i="16"/>
  <c r="E1844" i="16"/>
  <c r="F1844" i="16"/>
  <c r="G1844" i="16"/>
  <c r="H1844" i="16"/>
  <c r="I1844" i="16"/>
  <c r="J1844" i="16"/>
  <c r="C1845" i="16"/>
  <c r="D1845" i="16"/>
  <c r="E1845" i="16"/>
  <c r="F1845" i="16"/>
  <c r="G1845" i="16"/>
  <c r="H1845" i="16"/>
  <c r="I1845" i="16"/>
  <c r="J1845" i="16"/>
  <c r="C1846" i="16"/>
  <c r="D1846" i="16"/>
  <c r="E1846" i="16"/>
  <c r="F1846" i="16"/>
  <c r="G1846" i="16"/>
  <c r="H1846" i="16"/>
  <c r="I1846" i="16"/>
  <c r="J1846" i="16"/>
  <c r="C1847" i="16"/>
  <c r="D1847" i="16"/>
  <c r="E1847" i="16"/>
  <c r="F1847" i="16"/>
  <c r="G1847" i="16"/>
  <c r="H1847" i="16"/>
  <c r="I1847" i="16"/>
  <c r="J1847" i="16"/>
  <c r="C1848" i="16"/>
  <c r="D1848" i="16"/>
  <c r="E1848" i="16"/>
  <c r="F1848" i="16"/>
  <c r="G1848" i="16"/>
  <c r="H1848" i="16"/>
  <c r="I1848" i="16"/>
  <c r="J1848" i="16"/>
  <c r="C1849" i="16"/>
  <c r="D1849" i="16"/>
  <c r="E1849" i="16"/>
  <c r="F1849" i="16"/>
  <c r="G1849" i="16"/>
  <c r="H1849" i="16"/>
  <c r="I1849" i="16"/>
  <c r="J1849" i="16"/>
  <c r="C1850" i="16"/>
  <c r="D1850" i="16"/>
  <c r="E1850" i="16"/>
  <c r="F1850" i="16"/>
  <c r="G1850" i="16"/>
  <c r="H1850" i="16"/>
  <c r="I1850" i="16"/>
  <c r="J1850" i="16"/>
  <c r="C1851" i="16"/>
  <c r="D1851" i="16"/>
  <c r="E1851" i="16"/>
  <c r="F1851" i="16"/>
  <c r="G1851" i="16"/>
  <c r="H1851" i="16"/>
  <c r="I1851" i="16"/>
  <c r="J1851" i="16"/>
  <c r="C1852" i="16"/>
  <c r="D1852" i="16"/>
  <c r="E1852" i="16"/>
  <c r="F1852" i="16"/>
  <c r="G1852" i="16"/>
  <c r="H1852" i="16"/>
  <c r="I1852" i="16"/>
  <c r="J1852" i="16"/>
  <c r="C1853" i="16"/>
  <c r="D1853" i="16"/>
  <c r="E1853" i="16"/>
  <c r="F1853" i="16"/>
  <c r="G1853" i="16"/>
  <c r="H1853" i="16"/>
  <c r="I1853" i="16"/>
  <c r="J1853" i="16"/>
  <c r="C1854" i="16"/>
  <c r="D1854" i="16"/>
  <c r="E1854" i="16"/>
  <c r="F1854" i="16"/>
  <c r="G1854" i="16"/>
  <c r="H1854" i="16"/>
  <c r="I1854" i="16"/>
  <c r="J1854" i="16"/>
  <c r="C1855" i="16"/>
  <c r="D1855" i="16"/>
  <c r="E1855" i="16"/>
  <c r="F1855" i="16"/>
  <c r="G1855" i="16"/>
  <c r="H1855" i="16"/>
  <c r="I1855" i="16"/>
  <c r="J1855" i="16"/>
  <c r="C1856" i="16"/>
  <c r="D1856" i="16"/>
  <c r="E1856" i="16"/>
  <c r="F1856" i="16"/>
  <c r="G1856" i="16"/>
  <c r="H1856" i="16"/>
  <c r="I1856" i="16"/>
  <c r="J1856" i="16"/>
  <c r="C1857" i="16"/>
  <c r="D1857" i="16"/>
  <c r="E1857" i="16"/>
  <c r="F1857" i="16"/>
  <c r="G1857" i="16"/>
  <c r="H1857" i="16"/>
  <c r="I1857" i="16"/>
  <c r="J1857" i="16"/>
  <c r="C1858" i="16"/>
  <c r="D1858" i="16"/>
  <c r="E1858" i="16"/>
  <c r="F1858" i="16"/>
  <c r="G1858" i="16"/>
  <c r="H1858" i="16"/>
  <c r="I1858" i="16"/>
  <c r="J1858" i="16"/>
  <c r="C1859" i="16"/>
  <c r="D1859" i="16"/>
  <c r="E1859" i="16"/>
  <c r="F1859" i="16"/>
  <c r="G1859" i="16"/>
  <c r="H1859" i="16"/>
  <c r="I1859" i="16"/>
  <c r="J1859" i="16"/>
  <c r="C1860" i="16"/>
  <c r="D1860" i="16"/>
  <c r="E1860" i="16"/>
  <c r="F1860" i="16"/>
  <c r="G1860" i="16"/>
  <c r="H1860" i="16"/>
  <c r="I1860" i="16"/>
  <c r="J1860" i="16"/>
  <c r="C1861" i="16"/>
  <c r="D1861" i="16"/>
  <c r="E1861" i="16"/>
  <c r="F1861" i="16"/>
  <c r="G1861" i="16"/>
  <c r="H1861" i="16"/>
  <c r="I1861" i="16"/>
  <c r="J1861" i="16"/>
  <c r="C1862" i="16"/>
  <c r="D1862" i="16"/>
  <c r="E1862" i="16"/>
  <c r="F1862" i="16"/>
  <c r="G1862" i="16"/>
  <c r="H1862" i="16"/>
  <c r="I1862" i="16"/>
  <c r="J1862" i="16"/>
  <c r="C1863" i="16"/>
  <c r="D1863" i="16"/>
  <c r="E1863" i="16"/>
  <c r="F1863" i="16"/>
  <c r="G1863" i="16"/>
  <c r="H1863" i="16"/>
  <c r="I1863" i="16"/>
  <c r="J1863" i="16"/>
  <c r="C1864" i="16"/>
  <c r="D1864" i="16"/>
  <c r="E1864" i="16"/>
  <c r="F1864" i="16"/>
  <c r="G1864" i="16"/>
  <c r="H1864" i="16"/>
  <c r="I1864" i="16"/>
  <c r="J1864" i="16"/>
  <c r="C1865" i="16"/>
  <c r="D1865" i="16"/>
  <c r="E1865" i="16"/>
  <c r="F1865" i="16"/>
  <c r="G1865" i="16"/>
  <c r="H1865" i="16"/>
  <c r="I1865" i="16"/>
  <c r="J1865" i="16"/>
  <c r="C1866" i="16"/>
  <c r="D1866" i="16"/>
  <c r="E1866" i="16"/>
  <c r="F1866" i="16"/>
  <c r="G1866" i="16"/>
  <c r="H1866" i="16"/>
  <c r="I1866" i="16"/>
  <c r="J1866" i="16"/>
  <c r="C1867" i="16"/>
  <c r="D1867" i="16"/>
  <c r="E1867" i="16"/>
  <c r="F1867" i="16"/>
  <c r="G1867" i="16"/>
  <c r="H1867" i="16"/>
  <c r="I1867" i="16"/>
  <c r="J1867" i="16"/>
  <c r="C1868" i="16"/>
  <c r="D1868" i="16"/>
  <c r="E1868" i="16"/>
  <c r="F1868" i="16"/>
  <c r="G1868" i="16"/>
  <c r="H1868" i="16"/>
  <c r="I1868" i="16"/>
  <c r="J1868" i="16"/>
  <c r="C1869" i="16"/>
  <c r="D1869" i="16"/>
  <c r="E1869" i="16"/>
  <c r="F1869" i="16"/>
  <c r="G1869" i="16"/>
  <c r="H1869" i="16"/>
  <c r="I1869" i="16"/>
  <c r="J1869" i="16"/>
  <c r="C1870" i="16"/>
  <c r="D1870" i="16"/>
  <c r="E1870" i="16"/>
  <c r="F1870" i="16"/>
  <c r="G1870" i="16"/>
  <c r="H1870" i="16"/>
  <c r="I1870" i="16"/>
  <c r="J1870" i="16"/>
  <c r="C1871" i="16"/>
  <c r="D1871" i="16"/>
  <c r="E1871" i="16"/>
  <c r="F1871" i="16"/>
  <c r="G1871" i="16"/>
  <c r="H1871" i="16"/>
  <c r="I1871" i="16"/>
  <c r="J1871" i="16"/>
  <c r="C1872" i="16"/>
  <c r="D1872" i="16"/>
  <c r="E1872" i="16"/>
  <c r="F1872" i="16"/>
  <c r="G1872" i="16"/>
  <c r="H1872" i="16"/>
  <c r="I1872" i="16"/>
  <c r="J1872" i="16"/>
  <c r="C1873" i="16"/>
  <c r="D1873" i="16"/>
  <c r="E1873" i="16"/>
  <c r="F1873" i="16"/>
  <c r="G1873" i="16"/>
  <c r="H1873" i="16"/>
  <c r="I1873" i="16"/>
  <c r="J1873" i="16"/>
  <c r="C1874" i="16"/>
  <c r="D1874" i="16"/>
  <c r="E1874" i="16"/>
  <c r="F1874" i="16"/>
  <c r="G1874" i="16"/>
  <c r="H1874" i="16"/>
  <c r="I1874" i="16"/>
  <c r="J1874" i="16"/>
  <c r="C1875" i="16"/>
  <c r="D1875" i="16"/>
  <c r="E1875" i="16"/>
  <c r="F1875" i="16"/>
  <c r="G1875" i="16"/>
  <c r="H1875" i="16"/>
  <c r="I1875" i="16"/>
  <c r="J1875" i="16"/>
  <c r="C1876" i="16"/>
  <c r="D1876" i="16"/>
  <c r="E1876" i="16"/>
  <c r="F1876" i="16"/>
  <c r="G1876" i="16"/>
  <c r="H1876" i="16"/>
  <c r="I1876" i="16"/>
  <c r="J1876" i="16"/>
  <c r="C1877" i="16"/>
  <c r="D1877" i="16"/>
  <c r="E1877" i="16"/>
  <c r="F1877" i="16"/>
  <c r="G1877" i="16"/>
  <c r="H1877" i="16"/>
  <c r="I1877" i="16"/>
  <c r="J1877" i="16"/>
  <c r="C1878" i="16"/>
  <c r="D1878" i="16"/>
  <c r="E1878" i="16"/>
  <c r="F1878" i="16"/>
  <c r="G1878" i="16"/>
  <c r="H1878" i="16"/>
  <c r="I1878" i="16"/>
  <c r="J1878" i="16"/>
  <c r="C1879" i="16"/>
  <c r="D1879" i="16"/>
  <c r="E1879" i="16"/>
  <c r="F1879" i="16"/>
  <c r="G1879" i="16"/>
  <c r="H1879" i="16"/>
  <c r="I1879" i="16"/>
  <c r="J1879" i="16"/>
  <c r="C1880" i="16"/>
  <c r="D1880" i="16"/>
  <c r="E1880" i="16"/>
  <c r="F1880" i="16"/>
  <c r="G1880" i="16"/>
  <c r="H1880" i="16"/>
  <c r="I1880" i="16"/>
  <c r="J1880" i="16"/>
  <c r="C1881" i="16"/>
  <c r="D1881" i="16"/>
  <c r="E1881" i="16"/>
  <c r="F1881" i="16"/>
  <c r="G1881" i="16"/>
  <c r="H1881" i="16"/>
  <c r="I1881" i="16"/>
  <c r="J1881" i="16"/>
  <c r="C1882" i="16"/>
  <c r="D1882" i="16"/>
  <c r="E1882" i="16"/>
  <c r="F1882" i="16"/>
  <c r="G1882" i="16"/>
  <c r="H1882" i="16"/>
  <c r="I1882" i="16"/>
  <c r="J1882" i="16"/>
  <c r="C1883" i="16"/>
  <c r="D1883" i="16"/>
  <c r="E1883" i="16"/>
  <c r="F1883" i="16"/>
  <c r="G1883" i="16"/>
  <c r="H1883" i="16"/>
  <c r="I1883" i="16"/>
  <c r="J1883" i="16"/>
  <c r="C1884" i="16"/>
  <c r="D1884" i="16"/>
  <c r="E1884" i="16"/>
  <c r="F1884" i="16"/>
  <c r="G1884" i="16"/>
  <c r="H1884" i="16"/>
  <c r="I1884" i="16"/>
  <c r="J1884" i="16"/>
  <c r="C1885" i="16"/>
  <c r="D1885" i="16"/>
  <c r="E1885" i="16"/>
  <c r="F1885" i="16"/>
  <c r="G1885" i="16"/>
  <c r="H1885" i="16"/>
  <c r="I1885" i="16"/>
  <c r="J1885" i="16"/>
  <c r="C1886" i="16"/>
  <c r="D1886" i="16"/>
  <c r="E1886" i="16"/>
  <c r="F1886" i="16"/>
  <c r="G1886" i="16"/>
  <c r="H1886" i="16"/>
  <c r="I1886" i="16"/>
  <c r="J1886" i="16"/>
  <c r="C1887" i="16"/>
  <c r="D1887" i="16"/>
  <c r="E1887" i="16"/>
  <c r="F1887" i="16"/>
  <c r="G1887" i="16"/>
  <c r="H1887" i="16"/>
  <c r="I1887" i="16"/>
  <c r="J1887" i="16"/>
  <c r="C1888" i="16"/>
  <c r="D1888" i="16"/>
  <c r="E1888" i="16"/>
  <c r="F1888" i="16"/>
  <c r="G1888" i="16"/>
  <c r="H1888" i="16"/>
  <c r="I1888" i="16"/>
  <c r="J1888" i="16"/>
  <c r="C1889" i="16"/>
  <c r="D1889" i="16"/>
  <c r="E1889" i="16"/>
  <c r="F1889" i="16"/>
  <c r="G1889" i="16"/>
  <c r="H1889" i="16"/>
  <c r="I1889" i="16"/>
  <c r="J1889" i="16"/>
  <c r="C1890" i="16"/>
  <c r="D1890" i="16"/>
  <c r="E1890" i="16"/>
  <c r="F1890" i="16"/>
  <c r="G1890" i="16"/>
  <c r="H1890" i="16"/>
  <c r="I1890" i="16"/>
  <c r="J1890" i="16"/>
  <c r="C1891" i="16"/>
  <c r="D1891" i="16"/>
  <c r="E1891" i="16"/>
  <c r="F1891" i="16"/>
  <c r="G1891" i="16"/>
  <c r="H1891" i="16"/>
  <c r="I1891" i="16"/>
  <c r="J1891" i="16"/>
  <c r="C1892" i="16"/>
  <c r="D1892" i="16"/>
  <c r="E1892" i="16"/>
  <c r="F1892" i="16"/>
  <c r="G1892" i="16"/>
  <c r="H1892" i="16"/>
  <c r="I1892" i="16"/>
  <c r="J1892" i="16"/>
  <c r="C1893" i="16"/>
  <c r="D1893" i="16"/>
  <c r="E1893" i="16"/>
  <c r="F1893" i="16"/>
  <c r="G1893" i="16"/>
  <c r="H1893" i="16"/>
  <c r="I1893" i="16"/>
  <c r="J1893" i="16"/>
  <c r="C1894" i="16"/>
  <c r="D1894" i="16"/>
  <c r="E1894" i="16"/>
  <c r="F1894" i="16"/>
  <c r="G1894" i="16"/>
  <c r="H1894" i="16"/>
  <c r="I1894" i="16"/>
  <c r="J1894" i="16"/>
  <c r="C1895" i="16"/>
  <c r="D1895" i="16"/>
  <c r="E1895" i="16"/>
  <c r="F1895" i="16"/>
  <c r="G1895" i="16"/>
  <c r="H1895" i="16"/>
  <c r="I1895" i="16"/>
  <c r="J1895" i="16"/>
  <c r="C1896" i="16"/>
  <c r="D1896" i="16"/>
  <c r="E1896" i="16"/>
  <c r="F1896" i="16"/>
  <c r="G1896" i="16"/>
  <c r="H1896" i="16"/>
  <c r="I1896" i="16"/>
  <c r="J1896" i="16"/>
  <c r="C1897" i="16"/>
  <c r="D1897" i="16"/>
  <c r="E1897" i="16"/>
  <c r="F1897" i="16"/>
  <c r="G1897" i="16"/>
  <c r="H1897" i="16"/>
  <c r="I1897" i="16"/>
  <c r="J1897" i="16"/>
  <c r="C1898" i="16"/>
  <c r="D1898" i="16"/>
  <c r="E1898" i="16"/>
  <c r="F1898" i="16"/>
  <c r="G1898" i="16"/>
  <c r="H1898" i="16"/>
  <c r="I1898" i="16"/>
  <c r="J1898" i="16"/>
  <c r="C1899" i="16"/>
  <c r="D1899" i="16"/>
  <c r="E1899" i="16"/>
  <c r="F1899" i="16"/>
  <c r="G1899" i="16"/>
  <c r="H1899" i="16"/>
  <c r="I1899" i="16"/>
  <c r="J1899" i="16"/>
  <c r="C1900" i="16"/>
  <c r="D1900" i="16"/>
  <c r="E1900" i="16"/>
  <c r="F1900" i="16"/>
  <c r="G1900" i="16"/>
  <c r="H1900" i="16"/>
  <c r="I1900" i="16"/>
  <c r="J1900" i="16"/>
  <c r="C1901" i="16"/>
  <c r="D1901" i="16"/>
  <c r="E1901" i="16"/>
  <c r="F1901" i="16"/>
  <c r="G1901" i="16"/>
  <c r="H1901" i="16"/>
  <c r="I1901" i="16"/>
  <c r="J1901" i="16"/>
  <c r="C1902" i="16"/>
  <c r="D1902" i="16"/>
  <c r="E1902" i="16"/>
  <c r="F1902" i="16"/>
  <c r="G1902" i="16"/>
  <c r="H1902" i="16"/>
  <c r="I1902" i="16"/>
  <c r="J1902" i="16"/>
  <c r="C1903" i="16"/>
  <c r="D1903" i="16"/>
  <c r="E1903" i="16"/>
  <c r="F1903" i="16"/>
  <c r="G1903" i="16"/>
  <c r="H1903" i="16"/>
  <c r="I1903" i="16"/>
  <c r="J1903" i="16"/>
  <c r="C1904" i="16"/>
  <c r="D1904" i="16"/>
  <c r="E1904" i="16"/>
  <c r="F1904" i="16"/>
  <c r="G1904" i="16"/>
  <c r="H1904" i="16"/>
  <c r="I1904" i="16"/>
  <c r="J1904" i="16"/>
  <c r="C1905" i="16"/>
  <c r="D1905" i="16"/>
  <c r="E1905" i="16"/>
  <c r="F1905" i="16"/>
  <c r="G1905" i="16"/>
  <c r="H1905" i="16"/>
  <c r="I1905" i="16"/>
  <c r="J1905" i="16"/>
  <c r="C1906" i="16"/>
  <c r="D1906" i="16"/>
  <c r="E1906" i="16"/>
  <c r="F1906" i="16"/>
  <c r="G1906" i="16"/>
  <c r="H1906" i="16"/>
  <c r="I1906" i="16"/>
  <c r="J1906" i="16"/>
  <c r="C1907" i="16"/>
  <c r="D1907" i="16"/>
  <c r="E1907" i="16"/>
  <c r="F1907" i="16"/>
  <c r="G1907" i="16"/>
  <c r="H1907" i="16"/>
  <c r="I1907" i="16"/>
  <c r="J1907" i="16"/>
  <c r="C1908" i="16"/>
  <c r="D1908" i="16"/>
  <c r="E1908" i="16"/>
  <c r="F1908" i="16"/>
  <c r="G1908" i="16"/>
  <c r="H1908" i="16"/>
  <c r="I1908" i="16"/>
  <c r="J1908" i="16"/>
  <c r="C1909" i="16"/>
  <c r="D1909" i="16"/>
  <c r="E1909" i="16"/>
  <c r="F1909" i="16"/>
  <c r="G1909" i="16"/>
  <c r="H1909" i="16"/>
  <c r="I1909" i="16"/>
  <c r="J1909" i="16"/>
  <c r="C1910" i="16"/>
  <c r="D1910" i="16"/>
  <c r="E1910" i="16"/>
  <c r="F1910" i="16"/>
  <c r="G1910" i="16"/>
  <c r="H1910" i="16"/>
  <c r="I1910" i="16"/>
  <c r="J1910" i="16"/>
  <c r="C1911" i="16"/>
  <c r="D1911" i="16"/>
  <c r="E1911" i="16"/>
  <c r="F1911" i="16"/>
  <c r="G1911" i="16"/>
  <c r="H1911" i="16"/>
  <c r="I1911" i="16"/>
  <c r="J1911" i="16"/>
  <c r="C1912" i="16"/>
  <c r="D1912" i="16"/>
  <c r="E1912" i="16"/>
  <c r="F1912" i="16"/>
  <c r="G1912" i="16"/>
  <c r="H1912" i="16"/>
  <c r="I1912" i="16"/>
  <c r="J1912" i="16"/>
  <c r="C1913" i="16"/>
  <c r="D1913" i="16"/>
  <c r="E1913" i="16"/>
  <c r="F1913" i="16"/>
  <c r="G1913" i="16"/>
  <c r="H1913" i="16"/>
  <c r="I1913" i="16"/>
  <c r="J1913" i="16"/>
  <c r="C1914" i="16"/>
  <c r="D1914" i="16"/>
  <c r="E1914" i="16"/>
  <c r="F1914" i="16"/>
  <c r="G1914" i="16"/>
  <c r="H1914" i="16"/>
  <c r="I1914" i="16"/>
  <c r="J1914" i="16"/>
  <c r="C1915" i="16"/>
  <c r="D1915" i="16"/>
  <c r="E1915" i="16"/>
  <c r="F1915" i="16"/>
  <c r="G1915" i="16"/>
  <c r="H1915" i="16"/>
  <c r="I1915" i="16"/>
  <c r="J1915" i="16"/>
  <c r="C1916" i="16"/>
  <c r="D1916" i="16"/>
  <c r="E1916" i="16"/>
  <c r="F1916" i="16"/>
  <c r="G1916" i="16"/>
  <c r="H1916" i="16"/>
  <c r="I1916" i="16"/>
  <c r="J1916" i="16"/>
  <c r="C1917" i="16"/>
  <c r="D1917" i="16"/>
  <c r="E1917" i="16"/>
  <c r="F1917" i="16"/>
  <c r="G1917" i="16"/>
  <c r="H1917" i="16"/>
  <c r="I1917" i="16"/>
  <c r="J1917" i="16"/>
  <c r="C1918" i="16"/>
  <c r="D1918" i="16"/>
  <c r="E1918" i="16"/>
  <c r="F1918" i="16"/>
  <c r="G1918" i="16"/>
  <c r="H1918" i="16"/>
  <c r="I1918" i="16"/>
  <c r="J1918" i="16"/>
  <c r="C1919" i="16"/>
  <c r="D1919" i="16"/>
  <c r="E1919" i="16"/>
  <c r="F1919" i="16"/>
  <c r="G1919" i="16"/>
  <c r="H1919" i="16"/>
  <c r="I1919" i="16"/>
  <c r="J1919" i="16"/>
  <c r="C1920" i="16"/>
  <c r="D1920" i="16"/>
  <c r="E1920" i="16"/>
  <c r="F1920" i="16"/>
  <c r="G1920" i="16"/>
  <c r="H1920" i="16"/>
  <c r="I1920" i="16"/>
  <c r="J1920" i="16"/>
  <c r="C1921" i="16"/>
  <c r="D1921" i="16"/>
  <c r="E1921" i="16"/>
  <c r="F1921" i="16"/>
  <c r="G1921" i="16"/>
  <c r="H1921" i="16"/>
  <c r="I1921" i="16"/>
  <c r="J1921" i="16"/>
  <c r="C1922" i="16"/>
  <c r="D1922" i="16"/>
  <c r="E1922" i="16"/>
  <c r="F1922" i="16"/>
  <c r="G1922" i="16"/>
  <c r="H1922" i="16"/>
  <c r="I1922" i="16"/>
  <c r="J1922" i="16"/>
  <c r="C1923" i="16"/>
  <c r="D1923" i="16"/>
  <c r="E1923" i="16"/>
  <c r="F1923" i="16"/>
  <c r="G1923" i="16"/>
  <c r="H1923" i="16"/>
  <c r="I1923" i="16"/>
  <c r="J1923" i="16"/>
  <c r="C1924" i="16"/>
  <c r="D1924" i="16"/>
  <c r="E1924" i="16"/>
  <c r="F1924" i="16"/>
  <c r="G1924" i="16"/>
  <c r="H1924" i="16"/>
  <c r="I1924" i="16"/>
  <c r="J1924" i="16"/>
  <c r="C1925" i="16"/>
  <c r="D1925" i="16"/>
  <c r="E1925" i="16"/>
  <c r="F1925" i="16"/>
  <c r="G1925" i="16"/>
  <c r="H1925" i="16"/>
  <c r="I1925" i="16"/>
  <c r="J1925" i="16"/>
  <c r="C1926" i="16"/>
  <c r="D1926" i="16"/>
  <c r="E1926" i="16"/>
  <c r="F1926" i="16"/>
  <c r="G1926" i="16"/>
  <c r="H1926" i="16"/>
  <c r="I1926" i="16"/>
  <c r="J1926" i="16"/>
  <c r="C1927" i="16"/>
  <c r="D1927" i="16"/>
  <c r="E1927" i="16"/>
  <c r="F1927" i="16"/>
  <c r="G1927" i="16"/>
  <c r="H1927" i="16"/>
  <c r="I1927" i="16"/>
  <c r="J1927" i="16"/>
  <c r="C1928" i="16"/>
  <c r="D1928" i="16"/>
  <c r="E1928" i="16"/>
  <c r="F1928" i="16"/>
  <c r="G1928" i="16"/>
  <c r="H1928" i="16"/>
  <c r="I1928" i="16"/>
  <c r="J1928" i="16"/>
  <c r="C1929" i="16"/>
  <c r="D1929" i="16"/>
  <c r="E1929" i="16"/>
  <c r="F1929" i="16"/>
  <c r="G1929" i="16"/>
  <c r="H1929" i="16"/>
  <c r="I1929" i="16"/>
  <c r="J1929" i="16"/>
  <c r="C1930" i="16"/>
  <c r="D1930" i="16"/>
  <c r="E1930" i="16"/>
  <c r="F1930" i="16"/>
  <c r="G1930" i="16"/>
  <c r="H1930" i="16"/>
  <c r="I1930" i="16"/>
  <c r="J1930" i="16"/>
  <c r="C1931" i="16"/>
  <c r="D1931" i="16"/>
  <c r="E1931" i="16"/>
  <c r="F1931" i="16"/>
  <c r="G1931" i="16"/>
  <c r="H1931" i="16"/>
  <c r="I1931" i="16"/>
  <c r="J1931" i="16"/>
  <c r="C1932" i="16"/>
  <c r="D1932" i="16"/>
  <c r="E1932" i="16"/>
  <c r="F1932" i="16"/>
  <c r="G1932" i="16"/>
  <c r="H1932" i="16"/>
  <c r="I1932" i="16"/>
  <c r="J1932" i="16"/>
  <c r="C1933" i="16"/>
  <c r="D1933" i="16"/>
  <c r="E1933" i="16"/>
  <c r="F1933" i="16"/>
  <c r="G1933" i="16"/>
  <c r="H1933" i="16"/>
  <c r="I1933" i="16"/>
  <c r="J1933" i="16"/>
  <c r="C1934" i="16"/>
  <c r="D1934" i="16"/>
  <c r="E1934" i="16"/>
  <c r="F1934" i="16"/>
  <c r="G1934" i="16"/>
  <c r="H1934" i="16"/>
  <c r="I1934" i="16"/>
  <c r="J1934" i="16"/>
  <c r="C1935" i="16"/>
  <c r="D1935" i="16"/>
  <c r="E1935" i="16"/>
  <c r="F1935" i="16"/>
  <c r="G1935" i="16"/>
  <c r="H1935" i="16"/>
  <c r="I1935" i="16"/>
  <c r="J1935" i="16"/>
  <c r="C1936" i="16"/>
  <c r="D1936" i="16"/>
  <c r="E1936" i="16"/>
  <c r="F1936" i="16"/>
  <c r="G1936" i="16"/>
  <c r="H1936" i="16"/>
  <c r="I1936" i="16"/>
  <c r="J1936" i="16"/>
  <c r="C1937" i="16"/>
  <c r="D1937" i="16"/>
  <c r="E1937" i="16"/>
  <c r="F1937" i="16"/>
  <c r="G1937" i="16"/>
  <c r="H1937" i="16"/>
  <c r="I1937" i="16"/>
  <c r="J1937" i="16"/>
  <c r="C1938" i="16"/>
  <c r="D1938" i="16"/>
  <c r="E1938" i="16"/>
  <c r="F1938" i="16"/>
  <c r="G1938" i="16"/>
  <c r="H1938" i="16"/>
  <c r="I1938" i="16"/>
  <c r="J1938" i="16"/>
  <c r="C1939" i="16"/>
  <c r="D1939" i="16"/>
  <c r="E1939" i="16"/>
  <c r="F1939" i="16"/>
  <c r="G1939" i="16"/>
  <c r="H1939" i="16"/>
  <c r="I1939" i="16"/>
  <c r="J1939" i="16"/>
  <c r="C1940" i="16"/>
  <c r="D1940" i="16"/>
  <c r="E1940" i="16"/>
  <c r="F1940" i="16"/>
  <c r="G1940" i="16"/>
  <c r="H1940" i="16"/>
  <c r="I1940" i="16"/>
  <c r="J1940" i="16"/>
  <c r="C1941" i="16"/>
  <c r="D1941" i="16"/>
  <c r="E1941" i="16"/>
  <c r="F1941" i="16"/>
  <c r="G1941" i="16"/>
  <c r="H1941" i="16"/>
  <c r="I1941" i="16"/>
  <c r="J1941" i="16"/>
  <c r="C1942" i="16"/>
  <c r="D1942" i="16"/>
  <c r="E1942" i="16"/>
  <c r="F1942" i="16"/>
  <c r="G1942" i="16"/>
  <c r="H1942" i="16"/>
  <c r="I1942" i="16"/>
  <c r="J1942" i="16"/>
  <c r="C1943" i="16"/>
  <c r="D1943" i="16"/>
  <c r="E1943" i="16"/>
  <c r="F1943" i="16"/>
  <c r="G1943" i="16"/>
  <c r="H1943" i="16"/>
  <c r="I1943" i="16"/>
  <c r="J1943" i="16"/>
  <c r="C1944" i="16"/>
  <c r="D1944" i="16"/>
  <c r="E1944" i="16"/>
  <c r="F1944" i="16"/>
  <c r="G1944" i="16"/>
  <c r="H1944" i="16"/>
  <c r="I1944" i="16"/>
  <c r="J1944" i="16"/>
  <c r="C1945" i="16"/>
  <c r="D1945" i="16"/>
  <c r="E1945" i="16"/>
  <c r="F1945" i="16"/>
  <c r="G1945" i="16"/>
  <c r="H1945" i="16"/>
  <c r="I1945" i="16"/>
  <c r="J1945" i="16"/>
  <c r="C1946" i="16"/>
  <c r="D1946" i="16"/>
  <c r="E1946" i="16"/>
  <c r="F1946" i="16"/>
  <c r="G1946" i="16"/>
  <c r="H1946" i="16"/>
  <c r="I1946" i="16"/>
  <c r="J1946" i="16"/>
  <c r="C1947" i="16"/>
  <c r="D1947" i="16"/>
  <c r="E1947" i="16"/>
  <c r="F1947" i="16"/>
  <c r="G1947" i="16"/>
  <c r="H1947" i="16"/>
  <c r="I1947" i="16"/>
  <c r="J1947" i="16"/>
  <c r="C1948" i="16"/>
  <c r="D1948" i="16"/>
  <c r="E1948" i="16"/>
  <c r="F1948" i="16"/>
  <c r="G1948" i="16"/>
  <c r="H1948" i="16"/>
  <c r="I1948" i="16"/>
  <c r="J1948" i="16"/>
  <c r="C1949" i="16"/>
  <c r="D1949" i="16"/>
  <c r="E1949" i="16"/>
  <c r="F1949" i="16"/>
  <c r="G1949" i="16"/>
  <c r="H1949" i="16"/>
  <c r="I1949" i="16"/>
  <c r="J1949" i="16"/>
  <c r="C1950" i="16"/>
  <c r="D1950" i="16"/>
  <c r="E1950" i="16"/>
  <c r="F1950" i="16"/>
  <c r="G1950" i="16"/>
  <c r="H1950" i="16"/>
  <c r="I1950" i="16"/>
  <c r="J1950" i="16"/>
  <c r="C1951" i="16"/>
  <c r="D1951" i="16"/>
  <c r="E1951" i="16"/>
  <c r="F1951" i="16"/>
  <c r="G1951" i="16"/>
  <c r="H1951" i="16"/>
  <c r="I1951" i="16"/>
  <c r="J1951" i="16"/>
  <c r="C1952" i="16"/>
  <c r="D1952" i="16"/>
  <c r="E1952" i="16"/>
  <c r="F1952" i="16"/>
  <c r="G1952" i="16"/>
  <c r="H1952" i="16"/>
  <c r="I1952" i="16"/>
  <c r="J1952" i="16"/>
  <c r="C1953" i="16"/>
  <c r="D1953" i="16"/>
  <c r="E1953" i="16"/>
  <c r="F1953" i="16"/>
  <c r="G1953" i="16"/>
  <c r="H1953" i="16"/>
  <c r="I1953" i="16"/>
  <c r="J1953" i="16"/>
  <c r="C1954" i="16"/>
  <c r="D1954" i="16"/>
  <c r="E1954" i="16"/>
  <c r="F1954" i="16"/>
  <c r="G1954" i="16"/>
  <c r="H1954" i="16"/>
  <c r="I1954" i="16"/>
  <c r="J1954" i="16"/>
  <c r="C1955" i="16"/>
  <c r="D1955" i="16"/>
  <c r="E1955" i="16"/>
  <c r="F1955" i="16"/>
  <c r="G1955" i="16"/>
  <c r="H1955" i="16"/>
  <c r="I1955" i="16"/>
  <c r="J1955" i="16"/>
  <c r="C1956" i="16"/>
  <c r="D1956" i="16"/>
  <c r="E1956" i="16"/>
  <c r="F1956" i="16"/>
  <c r="G1956" i="16"/>
  <c r="H1956" i="16"/>
  <c r="I1956" i="16"/>
  <c r="J1956" i="16"/>
  <c r="C1957" i="16"/>
  <c r="D1957" i="16"/>
  <c r="E1957" i="16"/>
  <c r="F1957" i="16"/>
  <c r="G1957" i="16"/>
  <c r="H1957" i="16"/>
  <c r="I1957" i="16"/>
  <c r="J1957" i="16"/>
  <c r="C1958" i="16"/>
  <c r="D1958" i="16"/>
  <c r="E1958" i="16"/>
  <c r="F1958" i="16"/>
  <c r="G1958" i="16"/>
  <c r="H1958" i="16"/>
  <c r="I1958" i="16"/>
  <c r="J1958" i="16"/>
  <c r="C1959" i="16"/>
  <c r="D1959" i="16"/>
  <c r="E1959" i="16"/>
  <c r="F1959" i="16"/>
  <c r="G1959" i="16"/>
  <c r="H1959" i="16"/>
  <c r="I1959" i="16"/>
  <c r="J1959" i="16"/>
  <c r="C1960" i="16"/>
  <c r="D1960" i="16"/>
  <c r="E1960" i="16"/>
  <c r="F1960" i="16"/>
  <c r="G1960" i="16"/>
  <c r="H1960" i="16"/>
  <c r="I1960" i="16"/>
  <c r="J1960" i="16"/>
  <c r="C1961" i="16"/>
  <c r="D1961" i="16"/>
  <c r="E1961" i="16"/>
  <c r="F1961" i="16"/>
  <c r="G1961" i="16"/>
  <c r="H1961" i="16"/>
  <c r="I1961" i="16"/>
  <c r="J1961" i="16"/>
  <c r="C1962" i="16"/>
  <c r="D1962" i="16"/>
  <c r="E1962" i="16"/>
  <c r="F1962" i="16"/>
  <c r="G1962" i="16"/>
  <c r="H1962" i="16"/>
  <c r="I1962" i="16"/>
  <c r="J1962" i="16"/>
  <c r="C1963" i="16"/>
  <c r="D1963" i="16"/>
  <c r="E1963" i="16"/>
  <c r="F1963" i="16"/>
  <c r="G1963" i="16"/>
  <c r="H1963" i="16"/>
  <c r="I1963" i="16"/>
  <c r="J1963" i="16"/>
  <c r="C1964" i="16"/>
  <c r="D1964" i="16"/>
  <c r="E1964" i="16"/>
  <c r="F1964" i="16"/>
  <c r="G1964" i="16"/>
  <c r="H1964" i="16"/>
  <c r="I1964" i="16"/>
  <c r="J1964" i="16"/>
  <c r="C1965" i="16"/>
  <c r="D1965" i="16"/>
  <c r="E1965" i="16"/>
  <c r="F1965" i="16"/>
  <c r="G1965" i="16"/>
  <c r="H1965" i="16"/>
  <c r="I1965" i="16"/>
  <c r="J1965" i="16"/>
  <c r="C1966" i="16"/>
  <c r="D1966" i="16"/>
  <c r="E1966" i="16"/>
  <c r="F1966" i="16"/>
  <c r="G1966" i="16"/>
  <c r="H1966" i="16"/>
  <c r="I1966" i="16"/>
  <c r="J1966" i="16"/>
  <c r="C1967" i="16"/>
  <c r="D1967" i="16"/>
  <c r="E1967" i="16"/>
  <c r="F1967" i="16"/>
  <c r="G1967" i="16"/>
  <c r="H1967" i="16"/>
  <c r="I1967" i="16"/>
  <c r="J1967" i="16"/>
  <c r="C1968" i="16"/>
  <c r="D1968" i="16"/>
  <c r="E1968" i="16"/>
  <c r="F1968" i="16"/>
  <c r="G1968" i="16"/>
  <c r="H1968" i="16"/>
  <c r="I1968" i="16"/>
  <c r="J1968" i="16"/>
  <c r="C1969" i="16"/>
  <c r="D1969" i="16"/>
  <c r="E1969" i="16"/>
  <c r="F1969" i="16"/>
  <c r="G1969" i="16"/>
  <c r="H1969" i="16"/>
  <c r="I1969" i="16"/>
  <c r="J1969" i="16"/>
  <c r="C1970" i="16"/>
  <c r="D1970" i="16"/>
  <c r="E1970" i="16"/>
  <c r="F1970" i="16"/>
  <c r="G1970" i="16"/>
  <c r="H1970" i="16"/>
  <c r="I1970" i="16"/>
  <c r="J1970" i="16"/>
  <c r="C1971" i="16"/>
  <c r="D1971" i="16"/>
  <c r="E1971" i="16"/>
  <c r="F1971" i="16"/>
  <c r="G1971" i="16"/>
  <c r="H1971" i="16"/>
  <c r="I1971" i="16"/>
  <c r="J1971" i="16"/>
  <c r="C1972" i="16"/>
  <c r="D1972" i="16"/>
  <c r="E1972" i="16"/>
  <c r="F1972" i="16"/>
  <c r="G1972" i="16"/>
  <c r="H1972" i="16"/>
  <c r="I1972" i="16"/>
  <c r="J1972" i="16"/>
  <c r="C1973" i="16"/>
  <c r="D1973" i="16"/>
  <c r="E1973" i="16"/>
  <c r="F1973" i="16"/>
  <c r="G1973" i="16"/>
  <c r="H1973" i="16"/>
  <c r="I1973" i="16"/>
  <c r="J1973" i="16"/>
  <c r="C1974" i="16"/>
  <c r="D1974" i="16"/>
  <c r="E1974" i="16"/>
  <c r="F1974" i="16"/>
  <c r="G1974" i="16"/>
  <c r="H1974" i="16"/>
  <c r="I1974" i="16"/>
  <c r="J1974" i="16"/>
  <c r="C1975" i="16"/>
  <c r="D1975" i="16"/>
  <c r="E1975" i="16"/>
  <c r="F1975" i="16"/>
  <c r="G1975" i="16"/>
  <c r="H1975" i="16"/>
  <c r="I1975" i="16"/>
  <c r="J1975" i="16"/>
  <c r="C1976" i="16"/>
  <c r="D1976" i="16"/>
  <c r="E1976" i="16"/>
  <c r="F1976" i="16"/>
  <c r="G1976" i="16"/>
  <c r="H1976" i="16"/>
  <c r="I1976" i="16"/>
  <c r="J1976" i="16"/>
  <c r="C1977" i="16"/>
  <c r="D1977" i="16"/>
  <c r="E1977" i="16"/>
  <c r="F1977" i="16"/>
  <c r="G1977" i="16"/>
  <c r="H1977" i="16"/>
  <c r="I1977" i="16"/>
  <c r="J1977" i="16"/>
  <c r="C1978" i="16"/>
  <c r="D1978" i="16"/>
  <c r="E1978" i="16"/>
  <c r="F1978" i="16"/>
  <c r="G1978" i="16"/>
  <c r="H1978" i="16"/>
  <c r="I1978" i="16"/>
  <c r="J1978" i="16"/>
  <c r="C1979" i="16"/>
  <c r="D1979" i="16"/>
  <c r="E1979" i="16"/>
  <c r="F1979" i="16"/>
  <c r="G1979" i="16"/>
  <c r="H1979" i="16"/>
  <c r="I1979" i="16"/>
  <c r="J1979" i="16"/>
  <c r="C1980" i="16"/>
  <c r="D1980" i="16"/>
  <c r="E1980" i="16"/>
  <c r="F1980" i="16"/>
  <c r="G1980" i="16"/>
  <c r="H1980" i="16"/>
  <c r="I1980" i="16"/>
  <c r="J1980" i="16"/>
  <c r="C1981" i="16"/>
  <c r="D1981" i="16"/>
  <c r="E1981" i="16"/>
  <c r="F1981" i="16"/>
  <c r="G1981" i="16"/>
  <c r="H1981" i="16"/>
  <c r="I1981" i="16"/>
  <c r="J1981" i="16"/>
  <c r="C1982" i="16"/>
  <c r="D1982" i="16"/>
  <c r="E1982" i="16"/>
  <c r="F1982" i="16"/>
  <c r="G1982" i="16"/>
  <c r="H1982" i="16"/>
  <c r="I1982" i="16"/>
  <c r="J1982" i="16"/>
  <c r="C1983" i="16"/>
  <c r="D1983" i="16"/>
  <c r="E1983" i="16"/>
  <c r="F1983" i="16"/>
  <c r="G1983" i="16"/>
  <c r="H1983" i="16"/>
  <c r="I1983" i="16"/>
  <c r="J1983" i="16"/>
  <c r="C1984" i="16"/>
  <c r="D1984" i="16"/>
  <c r="E1984" i="16"/>
  <c r="F1984" i="16"/>
  <c r="G1984" i="16"/>
  <c r="H1984" i="16"/>
  <c r="I1984" i="16"/>
  <c r="J1984" i="16"/>
  <c r="C1985" i="16"/>
  <c r="D1985" i="16"/>
  <c r="E1985" i="16"/>
  <c r="F1985" i="16"/>
  <c r="G1985" i="16"/>
  <c r="H1985" i="16"/>
  <c r="I1985" i="16"/>
  <c r="J1985" i="16"/>
  <c r="C1986" i="16"/>
  <c r="D1986" i="16"/>
  <c r="E1986" i="16"/>
  <c r="F1986" i="16"/>
  <c r="G1986" i="16"/>
  <c r="H1986" i="16"/>
  <c r="I1986" i="16"/>
  <c r="J1986" i="16"/>
  <c r="C1987" i="16"/>
  <c r="D1987" i="16"/>
  <c r="E1987" i="16"/>
  <c r="F1987" i="16"/>
  <c r="G1987" i="16"/>
  <c r="H1987" i="16"/>
  <c r="I1987" i="16"/>
  <c r="J1987" i="16"/>
  <c r="C1988" i="16"/>
  <c r="D1988" i="16"/>
  <c r="E1988" i="16"/>
  <c r="F1988" i="16"/>
  <c r="G1988" i="16"/>
  <c r="H1988" i="16"/>
  <c r="I1988" i="16"/>
  <c r="J1988" i="16"/>
  <c r="C1989" i="16"/>
  <c r="D1989" i="16"/>
  <c r="E1989" i="16"/>
  <c r="F1989" i="16"/>
  <c r="G1989" i="16"/>
  <c r="H1989" i="16"/>
  <c r="I1989" i="16"/>
  <c r="J1989" i="16"/>
  <c r="C1990" i="16"/>
  <c r="D1990" i="16"/>
  <c r="E1990" i="16"/>
  <c r="F1990" i="16"/>
  <c r="G1990" i="16"/>
  <c r="H1990" i="16"/>
  <c r="I1990" i="16"/>
  <c r="J1990" i="16"/>
  <c r="C1991" i="16"/>
  <c r="D1991" i="16"/>
  <c r="E1991" i="16"/>
  <c r="F1991" i="16"/>
  <c r="G1991" i="16"/>
  <c r="H1991" i="16"/>
  <c r="I1991" i="16"/>
  <c r="J1991" i="16"/>
  <c r="C1992" i="16"/>
  <c r="D1992" i="16"/>
  <c r="E1992" i="16"/>
  <c r="F1992" i="16"/>
  <c r="G1992" i="16"/>
  <c r="H1992" i="16"/>
  <c r="I1992" i="16"/>
  <c r="J1992" i="16"/>
  <c r="C1993" i="16"/>
  <c r="D1993" i="16"/>
  <c r="E1993" i="16"/>
  <c r="F1993" i="16"/>
  <c r="G1993" i="16"/>
  <c r="H1993" i="16"/>
  <c r="I1993" i="16"/>
  <c r="J1993" i="16"/>
  <c r="C1994" i="16"/>
  <c r="D1994" i="16"/>
  <c r="E1994" i="16"/>
  <c r="F1994" i="16"/>
  <c r="G1994" i="16"/>
  <c r="H1994" i="16"/>
  <c r="I1994" i="16"/>
  <c r="J1994" i="16"/>
  <c r="C1995" i="16"/>
  <c r="D1995" i="16"/>
  <c r="E1995" i="16"/>
  <c r="F1995" i="16"/>
  <c r="G1995" i="16"/>
  <c r="H1995" i="16"/>
  <c r="I1995" i="16"/>
  <c r="J1995" i="16"/>
  <c r="C1996" i="16"/>
  <c r="D1996" i="16"/>
  <c r="E1996" i="16"/>
  <c r="F1996" i="16"/>
  <c r="G1996" i="16"/>
  <c r="H1996" i="16"/>
  <c r="I1996" i="16"/>
  <c r="J1996" i="16"/>
  <c r="C1997" i="16"/>
  <c r="D1997" i="16"/>
  <c r="E1997" i="16"/>
  <c r="F1997" i="16"/>
  <c r="G1997" i="16"/>
  <c r="H1997" i="16"/>
  <c r="I1997" i="16"/>
  <c r="J1997" i="16"/>
  <c r="C1998" i="16"/>
  <c r="D1998" i="16"/>
  <c r="E1998" i="16"/>
  <c r="F1998" i="16"/>
  <c r="G1998" i="16"/>
  <c r="H1998" i="16"/>
  <c r="I1998" i="16"/>
  <c r="J1998" i="16"/>
  <c r="C1999" i="16"/>
  <c r="D1999" i="16"/>
  <c r="E1999" i="16"/>
  <c r="F1999" i="16"/>
  <c r="G1999" i="16"/>
  <c r="H1999" i="16"/>
  <c r="I1999" i="16"/>
  <c r="J1999" i="16"/>
  <c r="C2000" i="16"/>
  <c r="D2000" i="16"/>
  <c r="E2000" i="16"/>
  <c r="F2000" i="16"/>
  <c r="G2000" i="16"/>
  <c r="H2000" i="16"/>
  <c r="I2000" i="16"/>
  <c r="J2000" i="16"/>
  <c r="C2001" i="16"/>
  <c r="D2001" i="16"/>
  <c r="E2001" i="16"/>
  <c r="F2001" i="16"/>
  <c r="G2001" i="16"/>
  <c r="H2001" i="16"/>
  <c r="I2001" i="16"/>
  <c r="J2001" i="16"/>
  <c r="C2002" i="16"/>
  <c r="D2002" i="16"/>
  <c r="E2002" i="16"/>
  <c r="F2002" i="16"/>
  <c r="G2002" i="16"/>
  <c r="H2002" i="16"/>
  <c r="I2002" i="16"/>
  <c r="J2002" i="16"/>
  <c r="C2003" i="16"/>
  <c r="D2003" i="16"/>
  <c r="E2003" i="16"/>
  <c r="F2003" i="16"/>
  <c r="G2003" i="16"/>
  <c r="H2003" i="16"/>
  <c r="I2003" i="16"/>
  <c r="J2003" i="16"/>
  <c r="C2004" i="16"/>
  <c r="D2004" i="16"/>
  <c r="E2004" i="16"/>
  <c r="F2004" i="16"/>
  <c r="G2004" i="16"/>
  <c r="H2004" i="16"/>
  <c r="I2004" i="16"/>
  <c r="J2004" i="16"/>
  <c r="C2005" i="16"/>
  <c r="D2005" i="16"/>
  <c r="E2005" i="16"/>
  <c r="F2005" i="16"/>
  <c r="G2005" i="16"/>
  <c r="H2005" i="16"/>
  <c r="I2005" i="16"/>
  <c r="J2005" i="16"/>
  <c r="C2006" i="16"/>
  <c r="D2006" i="16"/>
  <c r="E2006" i="16"/>
  <c r="F2006" i="16"/>
  <c r="G2006" i="16"/>
  <c r="H2006" i="16"/>
  <c r="I2006" i="16"/>
  <c r="J2006" i="16"/>
  <c r="C2007" i="16"/>
  <c r="D2007" i="16"/>
  <c r="E2007" i="16"/>
  <c r="F2007" i="16"/>
  <c r="G2007" i="16"/>
  <c r="H2007" i="16"/>
  <c r="I2007" i="16"/>
  <c r="J2007" i="16"/>
  <c r="C2008" i="16"/>
  <c r="D2008" i="16"/>
  <c r="E2008" i="16"/>
  <c r="F2008" i="16"/>
  <c r="G2008" i="16"/>
  <c r="H2008" i="16"/>
  <c r="I2008" i="16"/>
  <c r="J2008" i="16"/>
  <c r="C2009" i="16"/>
  <c r="D2009" i="16"/>
  <c r="E2009" i="16"/>
  <c r="F2009" i="16"/>
  <c r="G2009" i="16"/>
  <c r="H2009" i="16"/>
  <c r="I2009" i="16"/>
  <c r="J2009" i="16"/>
  <c r="C2010" i="16"/>
  <c r="D2010" i="16"/>
  <c r="E2010" i="16"/>
  <c r="F2010" i="16"/>
  <c r="G2010" i="16"/>
  <c r="H2010" i="16"/>
  <c r="I2010" i="16"/>
  <c r="J2010" i="16"/>
  <c r="C2011" i="16"/>
  <c r="D2011" i="16"/>
  <c r="E2011" i="16"/>
  <c r="F2011" i="16"/>
  <c r="G2011" i="16"/>
  <c r="H2011" i="16"/>
  <c r="I2011" i="16"/>
  <c r="J2011" i="16"/>
  <c r="C2012" i="16"/>
  <c r="D2012" i="16"/>
  <c r="E2012" i="16"/>
  <c r="F2012" i="16"/>
  <c r="G2012" i="16"/>
  <c r="H2012" i="16"/>
  <c r="I2012" i="16"/>
  <c r="J2012" i="16"/>
  <c r="C2013" i="16"/>
  <c r="D2013" i="16"/>
  <c r="E2013" i="16"/>
  <c r="F2013" i="16"/>
  <c r="G2013" i="16"/>
  <c r="H2013" i="16"/>
  <c r="I2013" i="16"/>
  <c r="J2013" i="16"/>
  <c r="C2014" i="16"/>
  <c r="D2014" i="16"/>
  <c r="E2014" i="16"/>
  <c r="F2014" i="16"/>
  <c r="G2014" i="16"/>
  <c r="H2014" i="16"/>
  <c r="I2014" i="16"/>
  <c r="J2014" i="16"/>
  <c r="C2015" i="16"/>
  <c r="D2015" i="16"/>
  <c r="E2015" i="16"/>
  <c r="F2015" i="16"/>
  <c r="G2015" i="16"/>
  <c r="H2015" i="16"/>
  <c r="I2015" i="16"/>
  <c r="J2015" i="16"/>
  <c r="C2016" i="16"/>
  <c r="D2016" i="16"/>
  <c r="E2016" i="16"/>
  <c r="F2016" i="16"/>
  <c r="G2016" i="16"/>
  <c r="H2016" i="16"/>
  <c r="I2016" i="16"/>
  <c r="J2016" i="16"/>
  <c r="C2017" i="16"/>
  <c r="D2017" i="16"/>
  <c r="E2017" i="16"/>
  <c r="F2017" i="16"/>
  <c r="G2017" i="16"/>
  <c r="H2017" i="16"/>
  <c r="I2017" i="16"/>
  <c r="J2017" i="16"/>
  <c r="C2018" i="16"/>
  <c r="D2018" i="16"/>
  <c r="E2018" i="16"/>
  <c r="F2018" i="16"/>
  <c r="G2018" i="16"/>
  <c r="H2018" i="16"/>
  <c r="I2018" i="16"/>
  <c r="J2018" i="16"/>
  <c r="C2019" i="16"/>
  <c r="D2019" i="16"/>
  <c r="E2019" i="16"/>
  <c r="F2019" i="16"/>
  <c r="G2019" i="16"/>
  <c r="H2019" i="16"/>
  <c r="I2019" i="16"/>
  <c r="J2019" i="16"/>
  <c r="C2020" i="16"/>
  <c r="D2020" i="16"/>
  <c r="E2020" i="16"/>
  <c r="F2020" i="16"/>
  <c r="G2020" i="16"/>
  <c r="H2020" i="16"/>
  <c r="I2020" i="16"/>
  <c r="J2020" i="16"/>
  <c r="C2021" i="16"/>
  <c r="D2021" i="16"/>
  <c r="E2021" i="16"/>
  <c r="F2021" i="16"/>
  <c r="G2021" i="16"/>
  <c r="H2021" i="16"/>
  <c r="I2021" i="16"/>
  <c r="J2021" i="16"/>
  <c r="C2022" i="16"/>
  <c r="D2022" i="16"/>
  <c r="E2022" i="16"/>
  <c r="F2022" i="16"/>
  <c r="G2022" i="16"/>
  <c r="H2022" i="16"/>
  <c r="I2022" i="16"/>
  <c r="J2022" i="16"/>
  <c r="C2023" i="16"/>
  <c r="D2023" i="16"/>
  <c r="E2023" i="16"/>
  <c r="F2023" i="16"/>
  <c r="G2023" i="16"/>
  <c r="H2023" i="16"/>
  <c r="I2023" i="16"/>
  <c r="J2023" i="16"/>
  <c r="C2024" i="16"/>
  <c r="D2024" i="16"/>
  <c r="E2024" i="16"/>
  <c r="F2024" i="16"/>
  <c r="G2024" i="16"/>
  <c r="H2024" i="16"/>
  <c r="I2024" i="16"/>
  <c r="J2024" i="16"/>
  <c r="C2025" i="16"/>
  <c r="D2025" i="16"/>
  <c r="E2025" i="16"/>
  <c r="F2025" i="16"/>
  <c r="G2025" i="16"/>
  <c r="H2025" i="16"/>
  <c r="I2025" i="16"/>
  <c r="J2025" i="16"/>
  <c r="C2026" i="16"/>
  <c r="D2026" i="16"/>
  <c r="E2026" i="16"/>
  <c r="F2026" i="16"/>
  <c r="G2026" i="16"/>
  <c r="H2026" i="16"/>
  <c r="I2026" i="16"/>
  <c r="J2026" i="16"/>
  <c r="C2027" i="16"/>
  <c r="D2027" i="16"/>
  <c r="E2027" i="16"/>
  <c r="F2027" i="16"/>
  <c r="G2027" i="16"/>
  <c r="H2027" i="16"/>
  <c r="I2027" i="16"/>
  <c r="J2027" i="16"/>
  <c r="C2028" i="16"/>
  <c r="D2028" i="16"/>
  <c r="E2028" i="16"/>
  <c r="F2028" i="16"/>
  <c r="G2028" i="16"/>
  <c r="H2028" i="16"/>
  <c r="I2028" i="16"/>
  <c r="J2028" i="16"/>
  <c r="C2029" i="16"/>
  <c r="D2029" i="16"/>
  <c r="E2029" i="16"/>
  <c r="F2029" i="16"/>
  <c r="G2029" i="16"/>
  <c r="H2029" i="16"/>
  <c r="I2029" i="16"/>
  <c r="J2029" i="16"/>
  <c r="C2030" i="16"/>
  <c r="D2030" i="16"/>
  <c r="E2030" i="16"/>
  <c r="F2030" i="16"/>
  <c r="G2030" i="16"/>
  <c r="H2030" i="16"/>
  <c r="I2030" i="16"/>
  <c r="J2030" i="16"/>
  <c r="C2031" i="16"/>
  <c r="D2031" i="16"/>
  <c r="E2031" i="16"/>
  <c r="F2031" i="16"/>
  <c r="G2031" i="16"/>
  <c r="H2031" i="16"/>
  <c r="I2031" i="16"/>
  <c r="J2031" i="16"/>
  <c r="C2032" i="16"/>
  <c r="D2032" i="16"/>
  <c r="E2032" i="16"/>
  <c r="F2032" i="16"/>
  <c r="G2032" i="16"/>
  <c r="H2032" i="16"/>
  <c r="I2032" i="16"/>
  <c r="J2032" i="16"/>
  <c r="C2033" i="16"/>
  <c r="D2033" i="16"/>
  <c r="E2033" i="16"/>
  <c r="F2033" i="16"/>
  <c r="G2033" i="16"/>
  <c r="H2033" i="16"/>
  <c r="I2033" i="16"/>
  <c r="J2033" i="16"/>
  <c r="C2034" i="16"/>
  <c r="D2034" i="16"/>
  <c r="E2034" i="16"/>
  <c r="F2034" i="16"/>
  <c r="G2034" i="16"/>
  <c r="H2034" i="16"/>
  <c r="I2034" i="16"/>
  <c r="J2034" i="16"/>
  <c r="C2035" i="16"/>
  <c r="D2035" i="16"/>
  <c r="E2035" i="16"/>
  <c r="F2035" i="16"/>
  <c r="G2035" i="16"/>
  <c r="H2035" i="16"/>
  <c r="I2035" i="16"/>
  <c r="J2035" i="16"/>
  <c r="C2036" i="16"/>
  <c r="D2036" i="16"/>
  <c r="E2036" i="16"/>
  <c r="F2036" i="16"/>
  <c r="G2036" i="16"/>
  <c r="H2036" i="16"/>
  <c r="I2036" i="16"/>
  <c r="J2036" i="16"/>
  <c r="C2037" i="16"/>
  <c r="D2037" i="16"/>
  <c r="E2037" i="16"/>
  <c r="F2037" i="16"/>
  <c r="G2037" i="16"/>
  <c r="H2037" i="16"/>
  <c r="I2037" i="16"/>
  <c r="J2037" i="16"/>
  <c r="C2038" i="16"/>
  <c r="D2038" i="16"/>
  <c r="E2038" i="16"/>
  <c r="F2038" i="16"/>
  <c r="G2038" i="16"/>
  <c r="H2038" i="16"/>
  <c r="I2038" i="16"/>
  <c r="J2038" i="16"/>
  <c r="C2039" i="16"/>
  <c r="D2039" i="16"/>
  <c r="E2039" i="16"/>
  <c r="F2039" i="16"/>
  <c r="G2039" i="16"/>
  <c r="H2039" i="16"/>
  <c r="I2039" i="16"/>
  <c r="J2039" i="16"/>
  <c r="C2040" i="16"/>
  <c r="D2040" i="16"/>
  <c r="E2040" i="16"/>
  <c r="F2040" i="16"/>
  <c r="G2040" i="16"/>
  <c r="H2040" i="16"/>
  <c r="I2040" i="16"/>
  <c r="J2040" i="16"/>
  <c r="C2041" i="16"/>
  <c r="D2041" i="16"/>
  <c r="E2041" i="16"/>
  <c r="F2041" i="16"/>
  <c r="G2041" i="16"/>
  <c r="H2041" i="16"/>
  <c r="I2041" i="16"/>
  <c r="J2041" i="16"/>
  <c r="C2042" i="16"/>
  <c r="D2042" i="16"/>
  <c r="E2042" i="16"/>
  <c r="F2042" i="16"/>
  <c r="G2042" i="16"/>
  <c r="H2042" i="16"/>
  <c r="I2042" i="16"/>
  <c r="J2042" i="16"/>
  <c r="C2043" i="16"/>
  <c r="D2043" i="16"/>
  <c r="E2043" i="16"/>
  <c r="F2043" i="16"/>
  <c r="G2043" i="16"/>
  <c r="H2043" i="16"/>
  <c r="I2043" i="16"/>
  <c r="J2043" i="16"/>
  <c r="C2044" i="16"/>
  <c r="D2044" i="16"/>
  <c r="E2044" i="16"/>
  <c r="F2044" i="16"/>
  <c r="G2044" i="16"/>
  <c r="H2044" i="16"/>
  <c r="I2044" i="16"/>
  <c r="J2044" i="16"/>
  <c r="C2045" i="16"/>
  <c r="D2045" i="16"/>
  <c r="E2045" i="16"/>
  <c r="F2045" i="16"/>
  <c r="G2045" i="16"/>
  <c r="H2045" i="16"/>
  <c r="I2045" i="16"/>
  <c r="J2045" i="16"/>
  <c r="C2046" i="16"/>
  <c r="D2046" i="16"/>
  <c r="E2046" i="16"/>
  <c r="F2046" i="16"/>
  <c r="G2046" i="16"/>
  <c r="H2046" i="16"/>
  <c r="I2046" i="16"/>
  <c r="J2046" i="16"/>
  <c r="C2047" i="16"/>
  <c r="D2047" i="16"/>
  <c r="E2047" i="16"/>
  <c r="F2047" i="16"/>
  <c r="G2047" i="16"/>
  <c r="H2047" i="16"/>
  <c r="I2047" i="16"/>
  <c r="J2047" i="16"/>
  <c r="C2048" i="16"/>
  <c r="D2048" i="16"/>
  <c r="E2048" i="16"/>
  <c r="F2048" i="16"/>
  <c r="G2048" i="16"/>
  <c r="H2048" i="16"/>
  <c r="I2048" i="16"/>
  <c r="J2048" i="16"/>
  <c r="C2049" i="16"/>
  <c r="D2049" i="16"/>
  <c r="E2049" i="16"/>
  <c r="F2049" i="16"/>
  <c r="G2049" i="16"/>
  <c r="H2049" i="16"/>
  <c r="I2049" i="16"/>
  <c r="J2049" i="16"/>
  <c r="C2050" i="16"/>
  <c r="D2050" i="16"/>
  <c r="E2050" i="16"/>
  <c r="F2050" i="16"/>
  <c r="G2050" i="16"/>
  <c r="H2050" i="16"/>
  <c r="I2050" i="16"/>
  <c r="J2050" i="16"/>
  <c r="C2051" i="16"/>
  <c r="D2051" i="16"/>
  <c r="E2051" i="16"/>
  <c r="F2051" i="16"/>
  <c r="G2051" i="16"/>
  <c r="H2051" i="16"/>
  <c r="I2051" i="16"/>
  <c r="J2051" i="16"/>
  <c r="C2052" i="16"/>
  <c r="D2052" i="16"/>
  <c r="E2052" i="16"/>
  <c r="F2052" i="16"/>
  <c r="G2052" i="16"/>
  <c r="H2052" i="16"/>
  <c r="I2052" i="16"/>
  <c r="J2052" i="16"/>
  <c r="C2053" i="16"/>
  <c r="D2053" i="16"/>
  <c r="E2053" i="16"/>
  <c r="F2053" i="16"/>
  <c r="G2053" i="16"/>
  <c r="H2053" i="16"/>
  <c r="I2053" i="16"/>
  <c r="J2053" i="16"/>
  <c r="C2054" i="16"/>
  <c r="D2054" i="16"/>
  <c r="E2054" i="16"/>
  <c r="F2054" i="16"/>
  <c r="G2054" i="16"/>
  <c r="H2054" i="16"/>
  <c r="I2054" i="16"/>
  <c r="J2054" i="16"/>
  <c r="C2055" i="16"/>
  <c r="D2055" i="16"/>
  <c r="E2055" i="16"/>
  <c r="F2055" i="16"/>
  <c r="G2055" i="16"/>
  <c r="H2055" i="16"/>
  <c r="I2055" i="16"/>
  <c r="J2055" i="16"/>
  <c r="C2056" i="16"/>
  <c r="D2056" i="16"/>
  <c r="E2056" i="16"/>
  <c r="F2056" i="16"/>
  <c r="G2056" i="16"/>
  <c r="H2056" i="16"/>
  <c r="I2056" i="16"/>
  <c r="J2056" i="16"/>
  <c r="C2057" i="16"/>
  <c r="D2057" i="16"/>
  <c r="E2057" i="16"/>
  <c r="F2057" i="16"/>
  <c r="G2057" i="16"/>
  <c r="H2057" i="16"/>
  <c r="I2057" i="16"/>
  <c r="J2057" i="16"/>
  <c r="C2058" i="16"/>
  <c r="D2058" i="16"/>
  <c r="E2058" i="16"/>
  <c r="F2058" i="16"/>
  <c r="G2058" i="16"/>
  <c r="H2058" i="16"/>
  <c r="I2058" i="16"/>
  <c r="J2058" i="16"/>
  <c r="C2059" i="16"/>
  <c r="D2059" i="16"/>
  <c r="E2059" i="16"/>
  <c r="F2059" i="16"/>
  <c r="G2059" i="16"/>
  <c r="H2059" i="16"/>
  <c r="I2059" i="16"/>
  <c r="J2059" i="16"/>
  <c r="C2060" i="16"/>
  <c r="D2060" i="16"/>
  <c r="E2060" i="16"/>
  <c r="F2060" i="16"/>
  <c r="G2060" i="16"/>
  <c r="H2060" i="16"/>
  <c r="I2060" i="16"/>
  <c r="J2060" i="16"/>
  <c r="C2061" i="16"/>
  <c r="D2061" i="16"/>
  <c r="E2061" i="16"/>
  <c r="F2061" i="16"/>
  <c r="G2061" i="16"/>
  <c r="H2061" i="16"/>
  <c r="I2061" i="16"/>
  <c r="J2061" i="16"/>
  <c r="C2062" i="16"/>
  <c r="D2062" i="16"/>
  <c r="E2062" i="16"/>
  <c r="F2062" i="16"/>
  <c r="G2062" i="16"/>
  <c r="H2062" i="16"/>
  <c r="I2062" i="16"/>
  <c r="J2062" i="16"/>
  <c r="C2063" i="16"/>
  <c r="D2063" i="16"/>
  <c r="E2063" i="16"/>
  <c r="F2063" i="16"/>
  <c r="G2063" i="16"/>
  <c r="H2063" i="16"/>
  <c r="I2063" i="16"/>
  <c r="J2063" i="16"/>
  <c r="C2064" i="16"/>
  <c r="D2064" i="16"/>
  <c r="E2064" i="16"/>
  <c r="F2064" i="16"/>
  <c r="G2064" i="16"/>
  <c r="H2064" i="16"/>
  <c r="I2064" i="16"/>
  <c r="J2064" i="16"/>
  <c r="C2065" i="16"/>
  <c r="D2065" i="16"/>
  <c r="E2065" i="16"/>
  <c r="F2065" i="16"/>
  <c r="G2065" i="16"/>
  <c r="H2065" i="16"/>
  <c r="I2065" i="16"/>
  <c r="J2065" i="16"/>
  <c r="C2066" i="16"/>
  <c r="D2066" i="16"/>
  <c r="E2066" i="16"/>
  <c r="F2066" i="16"/>
  <c r="G2066" i="16"/>
  <c r="H2066" i="16"/>
  <c r="I2066" i="16"/>
  <c r="J2066" i="16"/>
  <c r="C2067" i="16"/>
  <c r="D2067" i="16"/>
  <c r="E2067" i="16"/>
  <c r="F2067" i="16"/>
  <c r="G2067" i="16"/>
  <c r="H2067" i="16"/>
  <c r="I2067" i="16"/>
  <c r="J2067" i="16"/>
  <c r="C2068" i="16"/>
  <c r="D2068" i="16"/>
  <c r="E2068" i="16"/>
  <c r="F2068" i="16"/>
  <c r="G2068" i="16"/>
  <c r="H2068" i="16"/>
  <c r="I2068" i="16"/>
  <c r="J2068" i="16"/>
  <c r="C2069" i="16"/>
  <c r="D2069" i="16"/>
  <c r="E2069" i="16"/>
  <c r="F2069" i="16"/>
  <c r="G2069" i="16"/>
  <c r="H2069" i="16"/>
  <c r="I2069" i="16"/>
  <c r="J2069" i="16"/>
  <c r="C2070" i="16"/>
  <c r="D2070" i="16"/>
  <c r="E2070" i="16"/>
  <c r="F2070" i="16"/>
  <c r="G2070" i="16"/>
  <c r="H2070" i="16"/>
  <c r="I2070" i="16"/>
  <c r="J2070" i="16"/>
  <c r="C2071" i="16"/>
  <c r="D2071" i="16"/>
  <c r="E2071" i="16"/>
  <c r="F2071" i="16"/>
  <c r="G2071" i="16"/>
  <c r="H2071" i="16"/>
  <c r="I2071" i="16"/>
  <c r="J2071" i="16"/>
  <c r="C2072" i="16"/>
  <c r="D2072" i="16"/>
  <c r="E2072" i="16"/>
  <c r="F2072" i="16"/>
  <c r="G2072" i="16"/>
  <c r="H2072" i="16"/>
  <c r="I2072" i="16"/>
  <c r="J2072" i="16"/>
  <c r="C2073" i="16"/>
  <c r="D2073" i="16"/>
  <c r="E2073" i="16"/>
  <c r="F2073" i="16"/>
  <c r="G2073" i="16"/>
  <c r="H2073" i="16"/>
  <c r="I2073" i="16"/>
  <c r="J2073" i="16"/>
  <c r="C2074" i="16"/>
  <c r="D2074" i="16"/>
  <c r="E2074" i="16"/>
  <c r="F2074" i="16"/>
  <c r="G2074" i="16"/>
  <c r="H2074" i="16"/>
  <c r="I2074" i="16"/>
  <c r="J2074" i="16"/>
  <c r="C2075" i="16"/>
  <c r="D2075" i="16"/>
  <c r="E2075" i="16"/>
  <c r="F2075" i="16"/>
  <c r="G2075" i="16"/>
  <c r="H2075" i="16"/>
  <c r="I2075" i="16"/>
  <c r="J2075" i="16"/>
  <c r="C2076" i="16"/>
  <c r="D2076" i="16"/>
  <c r="E2076" i="16"/>
  <c r="F2076" i="16"/>
  <c r="G2076" i="16"/>
  <c r="H2076" i="16"/>
  <c r="I2076" i="16"/>
  <c r="J2076" i="16"/>
  <c r="C2077" i="16"/>
  <c r="D2077" i="16"/>
  <c r="E2077" i="16"/>
  <c r="F2077" i="16"/>
  <c r="G2077" i="16"/>
  <c r="H2077" i="16"/>
  <c r="I2077" i="16"/>
  <c r="J2077" i="16"/>
  <c r="C2078" i="16"/>
  <c r="D2078" i="16"/>
  <c r="E2078" i="16"/>
  <c r="F2078" i="16"/>
  <c r="G2078" i="16"/>
  <c r="H2078" i="16"/>
  <c r="I2078" i="16"/>
  <c r="J2078" i="16"/>
  <c r="C2079" i="16"/>
  <c r="D2079" i="16"/>
  <c r="E2079" i="16"/>
  <c r="F2079" i="16"/>
  <c r="G2079" i="16"/>
  <c r="H2079" i="16"/>
  <c r="I2079" i="16"/>
  <c r="J2079" i="16"/>
  <c r="C2080" i="16"/>
  <c r="D2080" i="16"/>
  <c r="E2080" i="16"/>
  <c r="F2080" i="16"/>
  <c r="G2080" i="16"/>
  <c r="H2080" i="16"/>
  <c r="I2080" i="16"/>
  <c r="J2080" i="16"/>
  <c r="C2081" i="16"/>
  <c r="D2081" i="16"/>
  <c r="E2081" i="16"/>
  <c r="F2081" i="16"/>
  <c r="G2081" i="16"/>
  <c r="H2081" i="16"/>
  <c r="I2081" i="16"/>
  <c r="J2081" i="16"/>
  <c r="C2082" i="16"/>
  <c r="D2082" i="16"/>
  <c r="E2082" i="16"/>
  <c r="F2082" i="16"/>
  <c r="G2082" i="16"/>
  <c r="H2082" i="16"/>
  <c r="I2082" i="16"/>
  <c r="J2082" i="16"/>
  <c r="C2083" i="16"/>
  <c r="D2083" i="16"/>
  <c r="E2083" i="16"/>
  <c r="F2083" i="16"/>
  <c r="G2083" i="16"/>
  <c r="H2083" i="16"/>
  <c r="I2083" i="16"/>
  <c r="J2083" i="16"/>
  <c r="C2084" i="16"/>
  <c r="D2084" i="16"/>
  <c r="E2084" i="16"/>
  <c r="F2084" i="16"/>
  <c r="G2084" i="16"/>
  <c r="H2084" i="16"/>
  <c r="I2084" i="16"/>
  <c r="J2084" i="16"/>
  <c r="C2085" i="16"/>
  <c r="D2085" i="16"/>
  <c r="E2085" i="16"/>
  <c r="F2085" i="16"/>
  <c r="G2085" i="16"/>
  <c r="H2085" i="16"/>
  <c r="I2085" i="16"/>
  <c r="J2085" i="16"/>
  <c r="C2086" i="16"/>
  <c r="D2086" i="16"/>
  <c r="E2086" i="16"/>
  <c r="F2086" i="16"/>
  <c r="G2086" i="16"/>
  <c r="H2086" i="16"/>
  <c r="I2086" i="16"/>
  <c r="J2086" i="16"/>
  <c r="C2087" i="16"/>
  <c r="D2087" i="16"/>
  <c r="E2087" i="16"/>
  <c r="F2087" i="16"/>
  <c r="G2087" i="16"/>
  <c r="H2087" i="16"/>
  <c r="I2087" i="16"/>
  <c r="J2087" i="16"/>
  <c r="C2088" i="16"/>
  <c r="D2088" i="16"/>
  <c r="E2088" i="16"/>
  <c r="F2088" i="16"/>
  <c r="G2088" i="16"/>
  <c r="H2088" i="16"/>
  <c r="I2088" i="16"/>
  <c r="J2088" i="16"/>
  <c r="C2089" i="16"/>
  <c r="D2089" i="16"/>
  <c r="E2089" i="16"/>
  <c r="F2089" i="16"/>
  <c r="G2089" i="16"/>
  <c r="H2089" i="16"/>
  <c r="I2089" i="16"/>
  <c r="J2089" i="16"/>
  <c r="C2090" i="16"/>
  <c r="D2090" i="16"/>
  <c r="E2090" i="16"/>
  <c r="F2090" i="16"/>
  <c r="G2090" i="16"/>
  <c r="H2090" i="16"/>
  <c r="I2090" i="16"/>
  <c r="J2090" i="16"/>
  <c r="C2091" i="16"/>
  <c r="D2091" i="16"/>
  <c r="E2091" i="16"/>
  <c r="F2091" i="16"/>
  <c r="G2091" i="16"/>
  <c r="H2091" i="16"/>
  <c r="I2091" i="16"/>
  <c r="J2091" i="16"/>
  <c r="C2092" i="16"/>
  <c r="D2092" i="16"/>
  <c r="E2092" i="16"/>
  <c r="F2092" i="16"/>
  <c r="G2092" i="16"/>
  <c r="H2092" i="16"/>
  <c r="I2092" i="16"/>
  <c r="J2092" i="16"/>
  <c r="C2093" i="16"/>
  <c r="D2093" i="16"/>
  <c r="E2093" i="16"/>
  <c r="F2093" i="16"/>
  <c r="G2093" i="16"/>
  <c r="H2093" i="16"/>
  <c r="I2093" i="16"/>
  <c r="J2093" i="16"/>
  <c r="C2094" i="16"/>
  <c r="D2094" i="16"/>
  <c r="E2094" i="16"/>
  <c r="F2094" i="16"/>
  <c r="G2094" i="16"/>
  <c r="H2094" i="16"/>
  <c r="I2094" i="16"/>
  <c r="J2094" i="16"/>
  <c r="C2095" i="16"/>
  <c r="D2095" i="16"/>
  <c r="E2095" i="16"/>
  <c r="F2095" i="16"/>
  <c r="G2095" i="16"/>
  <c r="H2095" i="16"/>
  <c r="I2095" i="16"/>
  <c r="J2095" i="16"/>
  <c r="C2096" i="16"/>
  <c r="D2096" i="16"/>
  <c r="E2096" i="16"/>
  <c r="F2096" i="16"/>
  <c r="G2096" i="16"/>
  <c r="H2096" i="16"/>
  <c r="I2096" i="16"/>
  <c r="J2096" i="16"/>
  <c r="C2097" i="16"/>
  <c r="D2097" i="16"/>
  <c r="E2097" i="16"/>
  <c r="F2097" i="16"/>
  <c r="G2097" i="16"/>
  <c r="H2097" i="16"/>
  <c r="I2097" i="16"/>
  <c r="J2097" i="16"/>
  <c r="C2098" i="16"/>
  <c r="D2098" i="16"/>
  <c r="E2098" i="16"/>
  <c r="F2098" i="16"/>
  <c r="G2098" i="16"/>
  <c r="H2098" i="16"/>
  <c r="I2098" i="16"/>
  <c r="J2098" i="16"/>
  <c r="C2099" i="16"/>
  <c r="D2099" i="16"/>
  <c r="E2099" i="16"/>
  <c r="F2099" i="16"/>
  <c r="G2099" i="16"/>
  <c r="H2099" i="16"/>
  <c r="I2099" i="16"/>
  <c r="J2099" i="16"/>
  <c r="C2100" i="16"/>
  <c r="D2100" i="16"/>
  <c r="E2100" i="16"/>
  <c r="F2100" i="16"/>
  <c r="G2100" i="16"/>
  <c r="H2100" i="16"/>
  <c r="I2100" i="16"/>
  <c r="J2100" i="16"/>
  <c r="C2101" i="16"/>
  <c r="D2101" i="16"/>
  <c r="E2101" i="16"/>
  <c r="F2101" i="16"/>
  <c r="G2101" i="16"/>
  <c r="H2101" i="16"/>
  <c r="I2101" i="16"/>
  <c r="J2101" i="16"/>
  <c r="C2102" i="16"/>
  <c r="D2102" i="16"/>
  <c r="E2102" i="16"/>
  <c r="F2102" i="16"/>
  <c r="G2102" i="16"/>
  <c r="H2102" i="16"/>
  <c r="I2102" i="16"/>
  <c r="J2102" i="16"/>
  <c r="C2103" i="16"/>
  <c r="D2103" i="16"/>
  <c r="E2103" i="16"/>
  <c r="F2103" i="16"/>
  <c r="G2103" i="16"/>
  <c r="H2103" i="16"/>
  <c r="I2103" i="16"/>
  <c r="J2103" i="16"/>
  <c r="C2104" i="16"/>
  <c r="D2104" i="16"/>
  <c r="E2104" i="16"/>
  <c r="F2104" i="16"/>
  <c r="G2104" i="16"/>
  <c r="H2104" i="16"/>
  <c r="I2104" i="16"/>
  <c r="J2104" i="16"/>
  <c r="C2105" i="16"/>
  <c r="D2105" i="16"/>
  <c r="E2105" i="16"/>
  <c r="F2105" i="16"/>
  <c r="G2105" i="16"/>
  <c r="H2105" i="16"/>
  <c r="I2105" i="16"/>
  <c r="J2105" i="16"/>
  <c r="C2106" i="16"/>
  <c r="D2106" i="16"/>
  <c r="E2106" i="16"/>
  <c r="F2106" i="16"/>
  <c r="G2106" i="16"/>
  <c r="H2106" i="16"/>
  <c r="I2106" i="16"/>
  <c r="J2106" i="16"/>
  <c r="C2107" i="16"/>
  <c r="D2107" i="16"/>
  <c r="E2107" i="16"/>
  <c r="F2107" i="16"/>
  <c r="G2107" i="16"/>
  <c r="H2107" i="16"/>
  <c r="I2107" i="16"/>
  <c r="J2107" i="16"/>
  <c r="C2108" i="16"/>
  <c r="D2108" i="16"/>
  <c r="E2108" i="16"/>
  <c r="F2108" i="16"/>
  <c r="G2108" i="16"/>
  <c r="H2108" i="16"/>
  <c r="I2108" i="16"/>
  <c r="J2108" i="16"/>
  <c r="C2109" i="16"/>
  <c r="D2109" i="16"/>
  <c r="E2109" i="16"/>
  <c r="F2109" i="16"/>
  <c r="G2109" i="16"/>
  <c r="H2109" i="16"/>
  <c r="I2109" i="16"/>
  <c r="J2109" i="16"/>
  <c r="C2110" i="16"/>
  <c r="D2110" i="16"/>
  <c r="E2110" i="16"/>
  <c r="F2110" i="16"/>
  <c r="G2110" i="16"/>
  <c r="H2110" i="16"/>
  <c r="I2110" i="16"/>
  <c r="J2110" i="16"/>
  <c r="C2111" i="16"/>
  <c r="D2111" i="16"/>
  <c r="E2111" i="16"/>
  <c r="F2111" i="16"/>
  <c r="G2111" i="16"/>
  <c r="H2111" i="16"/>
  <c r="I2111" i="16"/>
  <c r="J2111" i="16"/>
  <c r="C2112" i="16"/>
  <c r="D2112" i="16"/>
  <c r="E2112" i="16"/>
  <c r="F2112" i="16"/>
  <c r="G2112" i="16"/>
  <c r="H2112" i="16"/>
  <c r="I2112" i="16"/>
  <c r="J2112" i="16"/>
  <c r="C2113" i="16"/>
  <c r="D2113" i="16"/>
  <c r="E2113" i="16"/>
  <c r="F2113" i="16"/>
  <c r="G2113" i="16"/>
  <c r="H2113" i="16"/>
  <c r="I2113" i="16"/>
  <c r="J2113" i="16"/>
  <c r="C2114" i="16"/>
  <c r="D2114" i="16"/>
  <c r="E2114" i="16"/>
  <c r="F2114" i="16"/>
  <c r="G2114" i="16"/>
  <c r="H2114" i="16"/>
  <c r="I2114" i="16"/>
  <c r="J2114" i="16"/>
  <c r="C2115" i="16"/>
  <c r="D2115" i="16"/>
  <c r="E2115" i="16"/>
  <c r="F2115" i="16"/>
  <c r="G2115" i="16"/>
  <c r="H2115" i="16"/>
  <c r="I2115" i="16"/>
  <c r="J2115" i="16"/>
  <c r="C2116" i="16"/>
  <c r="D2116" i="16"/>
  <c r="E2116" i="16"/>
  <c r="F2116" i="16"/>
  <c r="G2116" i="16"/>
  <c r="H2116" i="16"/>
  <c r="I2116" i="16"/>
  <c r="J2116" i="16"/>
  <c r="C2117" i="16"/>
  <c r="D2117" i="16"/>
  <c r="E2117" i="16"/>
  <c r="F2117" i="16"/>
  <c r="G2117" i="16"/>
  <c r="H2117" i="16"/>
  <c r="I2117" i="16"/>
  <c r="J2117" i="16"/>
  <c r="C2118" i="16"/>
  <c r="D2118" i="16"/>
  <c r="E2118" i="16"/>
  <c r="F2118" i="16"/>
  <c r="G2118" i="16"/>
  <c r="H2118" i="16"/>
  <c r="I2118" i="16"/>
  <c r="J2118" i="16"/>
  <c r="C2119" i="16"/>
  <c r="D2119" i="16"/>
  <c r="E2119" i="16"/>
  <c r="F2119" i="16"/>
  <c r="G2119" i="16"/>
  <c r="H2119" i="16"/>
  <c r="I2119" i="16"/>
  <c r="J2119" i="16"/>
  <c r="C2120" i="16"/>
  <c r="D2120" i="16"/>
  <c r="E2120" i="16"/>
  <c r="F2120" i="16"/>
  <c r="G2120" i="16"/>
  <c r="H2120" i="16"/>
  <c r="I2120" i="16"/>
  <c r="J2120" i="16"/>
  <c r="C2121" i="16"/>
  <c r="D2121" i="16"/>
  <c r="E2121" i="16"/>
  <c r="F2121" i="16"/>
  <c r="G2121" i="16"/>
  <c r="H2121" i="16"/>
  <c r="I2121" i="16"/>
  <c r="J2121" i="16"/>
  <c r="C2122" i="16"/>
  <c r="D2122" i="16"/>
  <c r="E2122" i="16"/>
  <c r="F2122" i="16"/>
  <c r="G2122" i="16"/>
  <c r="H2122" i="16"/>
  <c r="I2122" i="16"/>
  <c r="J2122" i="16"/>
  <c r="C2123" i="16"/>
  <c r="D2123" i="16"/>
  <c r="E2123" i="16"/>
  <c r="F2123" i="16"/>
  <c r="G2123" i="16"/>
  <c r="H2123" i="16"/>
  <c r="I2123" i="16"/>
  <c r="J2123" i="16"/>
  <c r="C2124" i="16"/>
  <c r="D2124" i="16"/>
  <c r="E2124" i="16"/>
  <c r="F2124" i="16"/>
  <c r="G2124" i="16"/>
  <c r="H2124" i="16"/>
  <c r="I2124" i="16"/>
  <c r="J2124" i="16"/>
  <c r="C2125" i="16"/>
  <c r="D2125" i="16"/>
  <c r="E2125" i="16"/>
  <c r="F2125" i="16"/>
  <c r="G2125" i="16"/>
  <c r="H2125" i="16"/>
  <c r="I2125" i="16"/>
  <c r="J2125" i="16"/>
  <c r="C2126" i="16"/>
  <c r="D2126" i="16"/>
  <c r="E2126" i="16"/>
  <c r="F2126" i="16"/>
  <c r="G2126" i="16"/>
  <c r="H2126" i="16"/>
  <c r="I2126" i="16"/>
  <c r="J2126" i="16"/>
  <c r="C2127" i="16"/>
  <c r="D2127" i="16"/>
  <c r="E2127" i="16"/>
  <c r="F2127" i="16"/>
  <c r="G2127" i="16"/>
  <c r="H2127" i="16"/>
  <c r="I2127" i="16"/>
  <c r="J2127" i="16"/>
  <c r="C2128" i="16"/>
  <c r="D2128" i="16"/>
  <c r="E2128" i="16"/>
  <c r="F2128" i="16"/>
  <c r="G2128" i="16"/>
  <c r="H2128" i="16"/>
  <c r="I2128" i="16"/>
  <c r="J2128" i="16"/>
  <c r="C2129" i="16"/>
  <c r="D2129" i="16"/>
  <c r="E2129" i="16"/>
  <c r="F2129" i="16"/>
  <c r="G2129" i="16"/>
  <c r="H2129" i="16"/>
  <c r="I2129" i="16"/>
  <c r="J2129" i="16"/>
  <c r="C2130" i="16"/>
  <c r="D2130" i="16"/>
  <c r="E2130" i="16"/>
  <c r="F2130" i="16"/>
  <c r="G2130" i="16"/>
  <c r="H2130" i="16"/>
  <c r="I2130" i="16"/>
  <c r="J2130" i="16"/>
  <c r="C2131" i="16"/>
  <c r="D2131" i="16"/>
  <c r="E2131" i="16"/>
  <c r="F2131" i="16"/>
  <c r="G2131" i="16"/>
  <c r="H2131" i="16"/>
  <c r="I2131" i="16"/>
  <c r="J2131" i="16"/>
  <c r="C2132" i="16"/>
  <c r="D2132" i="16"/>
  <c r="E2132" i="16"/>
  <c r="F2132" i="16"/>
  <c r="G2132" i="16"/>
  <c r="H2132" i="16"/>
  <c r="I2132" i="16"/>
  <c r="J2132" i="16"/>
  <c r="C2133" i="16"/>
  <c r="D2133" i="16"/>
  <c r="E2133" i="16"/>
  <c r="F2133" i="16"/>
  <c r="G2133" i="16"/>
  <c r="H2133" i="16"/>
  <c r="I2133" i="16"/>
  <c r="J2133" i="16"/>
  <c r="C2134" i="16"/>
  <c r="D2134" i="16"/>
  <c r="E2134" i="16"/>
  <c r="F2134" i="16"/>
  <c r="G2134" i="16"/>
  <c r="H2134" i="16"/>
  <c r="I2134" i="16"/>
  <c r="J2134" i="16"/>
  <c r="C2135" i="16"/>
  <c r="D2135" i="16"/>
  <c r="E2135" i="16"/>
  <c r="F2135" i="16"/>
  <c r="G2135" i="16"/>
  <c r="H2135" i="16"/>
  <c r="I2135" i="16"/>
  <c r="J2135" i="16"/>
  <c r="C2136" i="16"/>
  <c r="D2136" i="16"/>
  <c r="E2136" i="16"/>
  <c r="F2136" i="16"/>
  <c r="G2136" i="16"/>
  <c r="H2136" i="16"/>
  <c r="I2136" i="16"/>
  <c r="J2136" i="16"/>
  <c r="C2137" i="16"/>
  <c r="D2137" i="16"/>
  <c r="E2137" i="16"/>
  <c r="F2137" i="16"/>
  <c r="G2137" i="16"/>
  <c r="H2137" i="16"/>
  <c r="I2137" i="16"/>
  <c r="J2137" i="16"/>
  <c r="C2138" i="16"/>
  <c r="D2138" i="16"/>
  <c r="E2138" i="16"/>
  <c r="F2138" i="16"/>
  <c r="G2138" i="16"/>
  <c r="H2138" i="16"/>
  <c r="I2138" i="16"/>
  <c r="J2138" i="16"/>
  <c r="C2139" i="16"/>
  <c r="D2139" i="16"/>
  <c r="E2139" i="16"/>
  <c r="F2139" i="16"/>
  <c r="G2139" i="16"/>
  <c r="H2139" i="16"/>
  <c r="I2139" i="16"/>
  <c r="J2139" i="16"/>
  <c r="C2140" i="16"/>
  <c r="D2140" i="16"/>
  <c r="E2140" i="16"/>
  <c r="F2140" i="16"/>
  <c r="G2140" i="16"/>
  <c r="H2140" i="16"/>
  <c r="I2140" i="16"/>
  <c r="J2140" i="16"/>
  <c r="C2141" i="16"/>
  <c r="D2141" i="16"/>
  <c r="E2141" i="16"/>
  <c r="F2141" i="16"/>
  <c r="G2141" i="16"/>
  <c r="H2141" i="16"/>
  <c r="I2141" i="16"/>
  <c r="J2141" i="16"/>
  <c r="C2142" i="16"/>
  <c r="D2142" i="16"/>
  <c r="E2142" i="16"/>
  <c r="F2142" i="16"/>
  <c r="G2142" i="16"/>
  <c r="H2142" i="16"/>
  <c r="I2142" i="16"/>
  <c r="J2142" i="16"/>
  <c r="C2143" i="16"/>
  <c r="D2143" i="16"/>
  <c r="E2143" i="16"/>
  <c r="F2143" i="16"/>
  <c r="G2143" i="16"/>
  <c r="H2143" i="16"/>
  <c r="I2143" i="16"/>
  <c r="J2143" i="16"/>
  <c r="C2144" i="16"/>
  <c r="D2144" i="16"/>
  <c r="E2144" i="16"/>
  <c r="F2144" i="16"/>
  <c r="G2144" i="16"/>
  <c r="H2144" i="16"/>
  <c r="I2144" i="16"/>
  <c r="J2144" i="16"/>
  <c r="C2145" i="16"/>
  <c r="D2145" i="16"/>
  <c r="E2145" i="16"/>
  <c r="F2145" i="16"/>
  <c r="G2145" i="16"/>
  <c r="H2145" i="16"/>
  <c r="I2145" i="16"/>
  <c r="J2145" i="16"/>
  <c r="C2146" i="16"/>
  <c r="D2146" i="16"/>
  <c r="E2146" i="16"/>
  <c r="F2146" i="16"/>
  <c r="G2146" i="16"/>
  <c r="H2146" i="16"/>
  <c r="I2146" i="16"/>
  <c r="J2146" i="16"/>
  <c r="C2147" i="16"/>
  <c r="D2147" i="16"/>
  <c r="E2147" i="16"/>
  <c r="F2147" i="16"/>
  <c r="G2147" i="16"/>
  <c r="H2147" i="16"/>
  <c r="I2147" i="16"/>
  <c r="J2147" i="16"/>
  <c r="C2148" i="16"/>
  <c r="D2148" i="16"/>
  <c r="E2148" i="16"/>
  <c r="F2148" i="16"/>
  <c r="G2148" i="16"/>
  <c r="H2148" i="16"/>
  <c r="I2148" i="16"/>
  <c r="J2148" i="16"/>
  <c r="C2149" i="16"/>
  <c r="D2149" i="16"/>
  <c r="E2149" i="16"/>
  <c r="F2149" i="16"/>
  <c r="G2149" i="16"/>
  <c r="H2149" i="16"/>
  <c r="I2149" i="16"/>
  <c r="J2149" i="16"/>
  <c r="C2150" i="16"/>
  <c r="D2150" i="16"/>
  <c r="E2150" i="16"/>
  <c r="F2150" i="16"/>
  <c r="G2150" i="16"/>
  <c r="H2150" i="16"/>
  <c r="I2150" i="16"/>
  <c r="J2150" i="16"/>
  <c r="C2151" i="16"/>
  <c r="D2151" i="16"/>
  <c r="E2151" i="16"/>
  <c r="F2151" i="16"/>
  <c r="G2151" i="16"/>
  <c r="H2151" i="16"/>
  <c r="I2151" i="16"/>
  <c r="J2151" i="16"/>
  <c r="C2152" i="16"/>
  <c r="D2152" i="16"/>
  <c r="E2152" i="16"/>
  <c r="F2152" i="16"/>
  <c r="G2152" i="16"/>
  <c r="H2152" i="16"/>
  <c r="I2152" i="16"/>
  <c r="J2152" i="16"/>
  <c r="C2153" i="16"/>
  <c r="D2153" i="16"/>
  <c r="E2153" i="16"/>
  <c r="F2153" i="16"/>
  <c r="G2153" i="16"/>
  <c r="H2153" i="16"/>
  <c r="I2153" i="16"/>
  <c r="J2153" i="16"/>
  <c r="C2154" i="16"/>
  <c r="D2154" i="16"/>
  <c r="E2154" i="16"/>
  <c r="F2154" i="16"/>
  <c r="G2154" i="16"/>
  <c r="H2154" i="16"/>
  <c r="I2154" i="16"/>
  <c r="J2154" i="16"/>
  <c r="C2155" i="16"/>
  <c r="D2155" i="16"/>
  <c r="E2155" i="16"/>
  <c r="F2155" i="16"/>
  <c r="G2155" i="16"/>
  <c r="H2155" i="16"/>
  <c r="I2155" i="16"/>
  <c r="J2155" i="16"/>
  <c r="C2156" i="16"/>
  <c r="D2156" i="16"/>
  <c r="E2156" i="16"/>
  <c r="F2156" i="16"/>
  <c r="G2156" i="16"/>
  <c r="H2156" i="16"/>
  <c r="I2156" i="16"/>
  <c r="J2156" i="16"/>
  <c r="C2157" i="16"/>
  <c r="D2157" i="16"/>
  <c r="E2157" i="16"/>
  <c r="F2157" i="16"/>
  <c r="G2157" i="16"/>
  <c r="H2157" i="16"/>
  <c r="I2157" i="16"/>
  <c r="J2157" i="16"/>
  <c r="C2158" i="16"/>
  <c r="D2158" i="16"/>
  <c r="E2158" i="16"/>
  <c r="F2158" i="16"/>
  <c r="G2158" i="16"/>
  <c r="H2158" i="16"/>
  <c r="I2158" i="16"/>
  <c r="J2158" i="16"/>
  <c r="C2159" i="16"/>
  <c r="D2159" i="16"/>
  <c r="E2159" i="16"/>
  <c r="F2159" i="16"/>
  <c r="G2159" i="16"/>
  <c r="H2159" i="16"/>
  <c r="I2159" i="16"/>
  <c r="J2159" i="16"/>
  <c r="C2160" i="16"/>
  <c r="D2160" i="16"/>
  <c r="E2160" i="16"/>
  <c r="F2160" i="16"/>
  <c r="G2160" i="16"/>
  <c r="H2160" i="16"/>
  <c r="I2160" i="16"/>
  <c r="J2160" i="16"/>
  <c r="C2161" i="16"/>
  <c r="D2161" i="16"/>
  <c r="E2161" i="16"/>
  <c r="F2161" i="16"/>
  <c r="G2161" i="16"/>
  <c r="H2161" i="16"/>
  <c r="I2161" i="16"/>
  <c r="J2161" i="16"/>
  <c r="C2162" i="16"/>
  <c r="D2162" i="16"/>
  <c r="E2162" i="16"/>
  <c r="F2162" i="16"/>
  <c r="G2162" i="16"/>
  <c r="H2162" i="16"/>
  <c r="I2162" i="16"/>
  <c r="J2162" i="16"/>
  <c r="C2163" i="16"/>
  <c r="D2163" i="16"/>
  <c r="E2163" i="16"/>
  <c r="F2163" i="16"/>
  <c r="G2163" i="16"/>
  <c r="H2163" i="16"/>
  <c r="I2163" i="16"/>
  <c r="J2163" i="16"/>
  <c r="C2164" i="16"/>
  <c r="D2164" i="16"/>
  <c r="E2164" i="16"/>
  <c r="F2164" i="16"/>
  <c r="G2164" i="16"/>
  <c r="H2164" i="16"/>
  <c r="I2164" i="16"/>
  <c r="J2164" i="16"/>
  <c r="C2165" i="16"/>
  <c r="D2165" i="16"/>
  <c r="E2165" i="16"/>
  <c r="F2165" i="16"/>
  <c r="G2165" i="16"/>
  <c r="H2165" i="16"/>
  <c r="I2165" i="16"/>
  <c r="J2165" i="16"/>
  <c r="C2166" i="16"/>
  <c r="D2166" i="16"/>
  <c r="E2166" i="16"/>
  <c r="F2166" i="16"/>
  <c r="G2166" i="16"/>
  <c r="H2166" i="16"/>
  <c r="I2166" i="16"/>
  <c r="J2166" i="16"/>
  <c r="C2167" i="16"/>
  <c r="D2167" i="16"/>
  <c r="E2167" i="16"/>
  <c r="F2167" i="16"/>
  <c r="G2167" i="16"/>
  <c r="H2167" i="16"/>
  <c r="I2167" i="16"/>
  <c r="J2167" i="16"/>
  <c r="C2168" i="16"/>
  <c r="D2168" i="16"/>
  <c r="E2168" i="16"/>
  <c r="F2168" i="16"/>
  <c r="G2168" i="16"/>
  <c r="H2168" i="16"/>
  <c r="I2168" i="16"/>
  <c r="J2168" i="16"/>
  <c r="C2169" i="16"/>
  <c r="D2169" i="16"/>
  <c r="E2169" i="16"/>
  <c r="F2169" i="16"/>
  <c r="G2169" i="16"/>
  <c r="H2169" i="16"/>
  <c r="I2169" i="16"/>
  <c r="J2169" i="16"/>
  <c r="C2170" i="16"/>
  <c r="D2170" i="16"/>
  <c r="E2170" i="16"/>
  <c r="F2170" i="16"/>
  <c r="G2170" i="16"/>
  <c r="H2170" i="16"/>
  <c r="I2170" i="16"/>
  <c r="J2170" i="16"/>
  <c r="C2171" i="16"/>
  <c r="D2171" i="16"/>
  <c r="E2171" i="16"/>
  <c r="F2171" i="16"/>
  <c r="G2171" i="16"/>
  <c r="H2171" i="16"/>
  <c r="I2171" i="16"/>
  <c r="J2171" i="16"/>
  <c r="C2172" i="16"/>
  <c r="D2172" i="16"/>
  <c r="E2172" i="16"/>
  <c r="F2172" i="16"/>
  <c r="G2172" i="16"/>
  <c r="H2172" i="16"/>
  <c r="I2172" i="16"/>
  <c r="J2172" i="16"/>
  <c r="C2173" i="16"/>
  <c r="D2173" i="16"/>
  <c r="E2173" i="16"/>
  <c r="F2173" i="16"/>
  <c r="G2173" i="16"/>
  <c r="H2173" i="16"/>
  <c r="I2173" i="16"/>
  <c r="J2173" i="16"/>
  <c r="C2174" i="16"/>
  <c r="D2174" i="16"/>
  <c r="E2174" i="16"/>
  <c r="F2174" i="16"/>
  <c r="G2174" i="16"/>
  <c r="H2174" i="16"/>
  <c r="I2174" i="16"/>
  <c r="J2174" i="16"/>
  <c r="C2175" i="16"/>
  <c r="D2175" i="16"/>
  <c r="E2175" i="16"/>
  <c r="F2175" i="16"/>
  <c r="G2175" i="16"/>
  <c r="H2175" i="16"/>
  <c r="I2175" i="16"/>
  <c r="J2175" i="16"/>
  <c r="C2176" i="16"/>
  <c r="D2176" i="16"/>
  <c r="E2176" i="16"/>
  <c r="F2176" i="16"/>
  <c r="G2176" i="16"/>
  <c r="H2176" i="16"/>
  <c r="I2176" i="16"/>
  <c r="J2176" i="16"/>
  <c r="C2177" i="16"/>
  <c r="D2177" i="16"/>
  <c r="E2177" i="16"/>
  <c r="F2177" i="16"/>
  <c r="G2177" i="16"/>
  <c r="H2177" i="16"/>
  <c r="I2177" i="16"/>
  <c r="J2177" i="16"/>
  <c r="C2178" i="16"/>
  <c r="D2178" i="16"/>
  <c r="E2178" i="16"/>
  <c r="F2178" i="16"/>
  <c r="G2178" i="16"/>
  <c r="H2178" i="16"/>
  <c r="I2178" i="16"/>
  <c r="J2178" i="16"/>
  <c r="C2179" i="16"/>
  <c r="D2179" i="16"/>
  <c r="E2179" i="16"/>
  <c r="F2179" i="16"/>
  <c r="G2179" i="16"/>
  <c r="H2179" i="16"/>
  <c r="I2179" i="16"/>
  <c r="J2179" i="16"/>
  <c r="C2180" i="16"/>
  <c r="D2180" i="16"/>
  <c r="E2180" i="16"/>
  <c r="F2180" i="16"/>
  <c r="G2180" i="16"/>
  <c r="H2180" i="16"/>
  <c r="I2180" i="16"/>
  <c r="J2180" i="16"/>
  <c r="C2181" i="16"/>
  <c r="D2181" i="16"/>
  <c r="E2181" i="16"/>
  <c r="F2181" i="16"/>
  <c r="G2181" i="16"/>
  <c r="H2181" i="16"/>
  <c r="I2181" i="16"/>
  <c r="J2181" i="16"/>
  <c r="C2182" i="16"/>
  <c r="D2182" i="16"/>
  <c r="E2182" i="16"/>
  <c r="F2182" i="16"/>
  <c r="G2182" i="16"/>
  <c r="H2182" i="16"/>
  <c r="I2182" i="16"/>
  <c r="J2182" i="16"/>
  <c r="C2183" i="16"/>
  <c r="D2183" i="16"/>
  <c r="E2183" i="16"/>
  <c r="F2183" i="16"/>
  <c r="G2183" i="16"/>
  <c r="H2183" i="16"/>
  <c r="I2183" i="16"/>
  <c r="J2183" i="16"/>
  <c r="C2184" i="16"/>
  <c r="D2184" i="16"/>
  <c r="E2184" i="16"/>
  <c r="F2184" i="16"/>
  <c r="G2184" i="16"/>
  <c r="H2184" i="16"/>
  <c r="I2184" i="16"/>
  <c r="J2184" i="16"/>
  <c r="C2185" i="16"/>
  <c r="D2185" i="16"/>
  <c r="E2185" i="16"/>
  <c r="F2185" i="16"/>
  <c r="G2185" i="16"/>
  <c r="H2185" i="16"/>
  <c r="I2185" i="16"/>
  <c r="J2185" i="16"/>
  <c r="C2186" i="16"/>
  <c r="D2186" i="16"/>
  <c r="E2186" i="16"/>
  <c r="F2186" i="16"/>
  <c r="G2186" i="16"/>
  <c r="H2186" i="16"/>
  <c r="I2186" i="16"/>
  <c r="J2186" i="16"/>
  <c r="C2187" i="16"/>
  <c r="D2187" i="16"/>
  <c r="E2187" i="16"/>
  <c r="F2187" i="16"/>
  <c r="G2187" i="16"/>
  <c r="H2187" i="16"/>
  <c r="I2187" i="16"/>
  <c r="J2187" i="16"/>
  <c r="C2188" i="16"/>
  <c r="D2188" i="16"/>
  <c r="E2188" i="16"/>
  <c r="F2188" i="16"/>
  <c r="G2188" i="16"/>
  <c r="H2188" i="16"/>
  <c r="I2188" i="16"/>
  <c r="J2188" i="16"/>
  <c r="C2189" i="16"/>
  <c r="D2189" i="16"/>
  <c r="E2189" i="16"/>
  <c r="F2189" i="16"/>
  <c r="G2189" i="16"/>
  <c r="H2189" i="16"/>
  <c r="I2189" i="16"/>
  <c r="J2189" i="16"/>
  <c r="C2190" i="16"/>
  <c r="D2190" i="16"/>
  <c r="E2190" i="16"/>
  <c r="F2190" i="16"/>
  <c r="G2190" i="16"/>
  <c r="H2190" i="16"/>
  <c r="I2190" i="16"/>
  <c r="J2190" i="16"/>
  <c r="C2191" i="16"/>
  <c r="D2191" i="16"/>
  <c r="E2191" i="16"/>
  <c r="F2191" i="16"/>
  <c r="G2191" i="16"/>
  <c r="H2191" i="16"/>
  <c r="I2191" i="16"/>
  <c r="J2191" i="16"/>
  <c r="C2192" i="16"/>
  <c r="D2192" i="16"/>
  <c r="E2192" i="16"/>
  <c r="F2192" i="16"/>
  <c r="G2192" i="16"/>
  <c r="H2192" i="16"/>
  <c r="I2192" i="16"/>
  <c r="J2192" i="16"/>
  <c r="C2193" i="16"/>
  <c r="D2193" i="16"/>
  <c r="E2193" i="16"/>
  <c r="F2193" i="16"/>
  <c r="G2193" i="16"/>
  <c r="H2193" i="16"/>
  <c r="I2193" i="16"/>
  <c r="J2193" i="16"/>
  <c r="C2194" i="16"/>
  <c r="D2194" i="16"/>
  <c r="E2194" i="16"/>
  <c r="F2194" i="16"/>
  <c r="G2194" i="16"/>
  <c r="H2194" i="16"/>
  <c r="I2194" i="16"/>
  <c r="J2194" i="16"/>
  <c r="C2195" i="16"/>
  <c r="D2195" i="16"/>
  <c r="E2195" i="16"/>
  <c r="F2195" i="16"/>
  <c r="G2195" i="16"/>
  <c r="H2195" i="16"/>
  <c r="I2195" i="16"/>
  <c r="J2195" i="16"/>
  <c r="C2196" i="16"/>
  <c r="D2196" i="16"/>
  <c r="E2196" i="16"/>
  <c r="F2196" i="16"/>
  <c r="G2196" i="16"/>
  <c r="H2196" i="16"/>
  <c r="I2196" i="16"/>
  <c r="J2196" i="16"/>
  <c r="C2197" i="16"/>
  <c r="D2197" i="16"/>
  <c r="E2197" i="16"/>
  <c r="F2197" i="16"/>
  <c r="G2197" i="16"/>
  <c r="H2197" i="16"/>
  <c r="I2197" i="16"/>
  <c r="J2197" i="16"/>
  <c r="C2198" i="16"/>
  <c r="D2198" i="16"/>
  <c r="E2198" i="16"/>
  <c r="F2198" i="16"/>
  <c r="G2198" i="16"/>
  <c r="H2198" i="16"/>
  <c r="I2198" i="16"/>
  <c r="J2198" i="16"/>
  <c r="C2199" i="16"/>
  <c r="D2199" i="16"/>
  <c r="E2199" i="16"/>
  <c r="F2199" i="16"/>
  <c r="G2199" i="16"/>
  <c r="H2199" i="16"/>
  <c r="I2199" i="16"/>
  <c r="J2199" i="16"/>
  <c r="C2200" i="16"/>
  <c r="D2200" i="16"/>
  <c r="E2200" i="16"/>
  <c r="F2200" i="16"/>
  <c r="G2200" i="16"/>
  <c r="H2200" i="16"/>
  <c r="I2200" i="16"/>
  <c r="J2200" i="16"/>
  <c r="C2201" i="16"/>
  <c r="D2201" i="16"/>
  <c r="E2201" i="16"/>
  <c r="F2201" i="16"/>
  <c r="G2201" i="16"/>
  <c r="H2201" i="16"/>
  <c r="I2201" i="16"/>
  <c r="J2201" i="16"/>
  <c r="C2202" i="16"/>
  <c r="D2202" i="16"/>
  <c r="E2202" i="16"/>
  <c r="F2202" i="16"/>
  <c r="G2202" i="16"/>
  <c r="H2202" i="16"/>
  <c r="I2202" i="16"/>
  <c r="J2202" i="16"/>
  <c r="C2203" i="16"/>
  <c r="D2203" i="16"/>
  <c r="E2203" i="16"/>
  <c r="F2203" i="16"/>
  <c r="G2203" i="16"/>
  <c r="H2203" i="16"/>
  <c r="I2203" i="16"/>
  <c r="J2203" i="16"/>
  <c r="C2204" i="16"/>
  <c r="D2204" i="16"/>
  <c r="E2204" i="16"/>
  <c r="F2204" i="16"/>
  <c r="G2204" i="16"/>
  <c r="H2204" i="16"/>
  <c r="I2204" i="16"/>
  <c r="J2204" i="16"/>
  <c r="C2205" i="16"/>
  <c r="D2205" i="16"/>
  <c r="E2205" i="16"/>
  <c r="F2205" i="16"/>
  <c r="G2205" i="16"/>
  <c r="H2205" i="16"/>
  <c r="I2205" i="16"/>
  <c r="J2205" i="16"/>
  <c r="C2206" i="16"/>
  <c r="D2206" i="16"/>
  <c r="E2206" i="16"/>
  <c r="F2206" i="16"/>
  <c r="G2206" i="16"/>
  <c r="H2206" i="16"/>
  <c r="I2206" i="16"/>
  <c r="J2206" i="16"/>
  <c r="C2207" i="16"/>
  <c r="D2207" i="16"/>
  <c r="E2207" i="16"/>
  <c r="F2207" i="16"/>
  <c r="G2207" i="16"/>
  <c r="H2207" i="16"/>
  <c r="I2207" i="16"/>
  <c r="J2207" i="16"/>
  <c r="C2208" i="16"/>
  <c r="D2208" i="16"/>
  <c r="E2208" i="16"/>
  <c r="F2208" i="16"/>
  <c r="G2208" i="16"/>
  <c r="H2208" i="16"/>
  <c r="I2208" i="16"/>
  <c r="J2208" i="16"/>
  <c r="C2209" i="16"/>
  <c r="D2209" i="16"/>
  <c r="E2209" i="16"/>
  <c r="F2209" i="16"/>
  <c r="G2209" i="16"/>
  <c r="H2209" i="16"/>
  <c r="I2209" i="16"/>
  <c r="J2209" i="16"/>
  <c r="C2210" i="16"/>
  <c r="D2210" i="16"/>
  <c r="E2210" i="16"/>
  <c r="F2210" i="16"/>
  <c r="G2210" i="16"/>
  <c r="H2210" i="16"/>
  <c r="I2210" i="16"/>
  <c r="J2210" i="16"/>
  <c r="C2211" i="16"/>
  <c r="D2211" i="16"/>
  <c r="E2211" i="16"/>
  <c r="F2211" i="16"/>
  <c r="G2211" i="16"/>
  <c r="H2211" i="16"/>
  <c r="I2211" i="16"/>
  <c r="J2211" i="16"/>
  <c r="C2212" i="16"/>
  <c r="D2212" i="16"/>
  <c r="E2212" i="16"/>
  <c r="F2212" i="16"/>
  <c r="G2212" i="16"/>
  <c r="H2212" i="16"/>
  <c r="I2212" i="16"/>
  <c r="J2212" i="16"/>
  <c r="C2213" i="16"/>
  <c r="D2213" i="16"/>
  <c r="E2213" i="16"/>
  <c r="F2213" i="16"/>
  <c r="G2213" i="16"/>
  <c r="H2213" i="16"/>
  <c r="I2213" i="16"/>
  <c r="J2213" i="16"/>
  <c r="C2214" i="16"/>
  <c r="D2214" i="16"/>
  <c r="E2214" i="16"/>
  <c r="F2214" i="16"/>
  <c r="G2214" i="16"/>
  <c r="H2214" i="16"/>
  <c r="I2214" i="16"/>
  <c r="J2214" i="16"/>
  <c r="C2215" i="16"/>
  <c r="D2215" i="16"/>
  <c r="E2215" i="16"/>
  <c r="F2215" i="16"/>
  <c r="G2215" i="16"/>
  <c r="H2215" i="16"/>
  <c r="I2215" i="16"/>
  <c r="J2215" i="16"/>
  <c r="C2216" i="16"/>
  <c r="D2216" i="16"/>
  <c r="E2216" i="16"/>
  <c r="F2216" i="16"/>
  <c r="G2216" i="16"/>
  <c r="H2216" i="16"/>
  <c r="I2216" i="16"/>
  <c r="J2216" i="16"/>
  <c r="C2217" i="16"/>
  <c r="D2217" i="16"/>
  <c r="E2217" i="16"/>
  <c r="F2217" i="16"/>
  <c r="G2217" i="16"/>
  <c r="H2217" i="16"/>
  <c r="I2217" i="16"/>
  <c r="J2217" i="16"/>
  <c r="C2218" i="16"/>
  <c r="D2218" i="16"/>
  <c r="E2218" i="16"/>
  <c r="F2218" i="16"/>
  <c r="G2218" i="16"/>
  <c r="H2218" i="16"/>
  <c r="I2218" i="16"/>
  <c r="J2218" i="16"/>
  <c r="C2219" i="16"/>
  <c r="D2219" i="16"/>
  <c r="E2219" i="16"/>
  <c r="F2219" i="16"/>
  <c r="G2219" i="16"/>
  <c r="H2219" i="16"/>
  <c r="I2219" i="16"/>
  <c r="J2219" i="16"/>
  <c r="C2220" i="16"/>
  <c r="D2220" i="16"/>
  <c r="E2220" i="16"/>
  <c r="F2220" i="16"/>
  <c r="G2220" i="16"/>
  <c r="H2220" i="16"/>
  <c r="I2220" i="16"/>
  <c r="J2220" i="16"/>
  <c r="C2221" i="16"/>
  <c r="D2221" i="16"/>
  <c r="E2221" i="16"/>
  <c r="F2221" i="16"/>
  <c r="G2221" i="16"/>
  <c r="H2221" i="16"/>
  <c r="I2221" i="16"/>
  <c r="J2221" i="16"/>
  <c r="C2222" i="16"/>
  <c r="D2222" i="16"/>
  <c r="E2222" i="16"/>
  <c r="F2222" i="16"/>
  <c r="G2222" i="16"/>
  <c r="H2222" i="16"/>
  <c r="I2222" i="16"/>
  <c r="J2222" i="16"/>
  <c r="C2223" i="16"/>
  <c r="D2223" i="16"/>
  <c r="E2223" i="16"/>
  <c r="F2223" i="16"/>
  <c r="G2223" i="16"/>
  <c r="H2223" i="16"/>
  <c r="I2223" i="16"/>
  <c r="J2223" i="16"/>
  <c r="C2224" i="16"/>
  <c r="D2224" i="16"/>
  <c r="E2224" i="16"/>
  <c r="F2224" i="16"/>
  <c r="G2224" i="16"/>
  <c r="H2224" i="16"/>
  <c r="I2224" i="16"/>
  <c r="J2224" i="16"/>
  <c r="C2225" i="16"/>
  <c r="D2225" i="16"/>
  <c r="E2225" i="16"/>
  <c r="F2225" i="16"/>
  <c r="G2225" i="16"/>
  <c r="H2225" i="16"/>
  <c r="I2225" i="16"/>
  <c r="J2225" i="16"/>
  <c r="C2226" i="16"/>
  <c r="D2226" i="16"/>
  <c r="E2226" i="16"/>
  <c r="F2226" i="16"/>
  <c r="G2226" i="16"/>
  <c r="H2226" i="16"/>
  <c r="I2226" i="16"/>
  <c r="J2226" i="16"/>
  <c r="C2227" i="16"/>
  <c r="D2227" i="16"/>
  <c r="E2227" i="16"/>
  <c r="F2227" i="16"/>
  <c r="G2227" i="16"/>
  <c r="H2227" i="16"/>
  <c r="I2227" i="16"/>
  <c r="J2227" i="16"/>
  <c r="C2228" i="16"/>
  <c r="D2228" i="16"/>
  <c r="E2228" i="16"/>
  <c r="F2228" i="16"/>
  <c r="G2228" i="16"/>
  <c r="H2228" i="16"/>
  <c r="I2228" i="16"/>
  <c r="J2228" i="16"/>
  <c r="C2229" i="16"/>
  <c r="D2229" i="16"/>
  <c r="E2229" i="16"/>
  <c r="F2229" i="16"/>
  <c r="G2229" i="16"/>
  <c r="H2229" i="16"/>
  <c r="I2229" i="16"/>
  <c r="J2229" i="16"/>
  <c r="C2230" i="16"/>
  <c r="D2230" i="16"/>
  <c r="E2230" i="16"/>
  <c r="F2230" i="16"/>
  <c r="G2230" i="16"/>
  <c r="H2230" i="16"/>
  <c r="I2230" i="16"/>
  <c r="J2230" i="16"/>
  <c r="C2231" i="16"/>
  <c r="D2231" i="16"/>
  <c r="E2231" i="16"/>
  <c r="F2231" i="16"/>
  <c r="G2231" i="16"/>
  <c r="H2231" i="16"/>
  <c r="I2231" i="16"/>
  <c r="J2231" i="16"/>
  <c r="C2232" i="16"/>
  <c r="D2232" i="16"/>
  <c r="E2232" i="16"/>
  <c r="F2232" i="16"/>
  <c r="G2232" i="16"/>
  <c r="H2232" i="16"/>
  <c r="I2232" i="16"/>
  <c r="J2232" i="16"/>
  <c r="C2233" i="16"/>
  <c r="D2233" i="16"/>
  <c r="E2233" i="16"/>
  <c r="F2233" i="16"/>
  <c r="G2233" i="16"/>
  <c r="H2233" i="16"/>
  <c r="I2233" i="16"/>
  <c r="J2233" i="16"/>
  <c r="C2234" i="16"/>
  <c r="D2234" i="16"/>
  <c r="E2234" i="16"/>
  <c r="F2234" i="16"/>
  <c r="G2234" i="16"/>
  <c r="H2234" i="16"/>
  <c r="I2234" i="16"/>
  <c r="J2234" i="16"/>
  <c r="C2235" i="16"/>
  <c r="D2235" i="16"/>
  <c r="E2235" i="16"/>
  <c r="F2235" i="16"/>
  <c r="G2235" i="16"/>
  <c r="H2235" i="16"/>
  <c r="I2235" i="16"/>
  <c r="J2235" i="16"/>
  <c r="C2236" i="16"/>
  <c r="D2236" i="16"/>
  <c r="E2236" i="16"/>
  <c r="F2236" i="16"/>
  <c r="G2236" i="16"/>
  <c r="H2236" i="16"/>
  <c r="I2236" i="16"/>
  <c r="J2236" i="16"/>
  <c r="C2237" i="16"/>
  <c r="D2237" i="16"/>
  <c r="E2237" i="16"/>
  <c r="F2237" i="16"/>
  <c r="G2237" i="16"/>
  <c r="H2237" i="16"/>
  <c r="I2237" i="16"/>
  <c r="J2237" i="16"/>
  <c r="C2238" i="16"/>
  <c r="D2238" i="16"/>
  <c r="E2238" i="16"/>
  <c r="F2238" i="16"/>
  <c r="G2238" i="16"/>
  <c r="H2238" i="16"/>
  <c r="I2238" i="16"/>
  <c r="J2238" i="16"/>
  <c r="C2239" i="16"/>
  <c r="D2239" i="16"/>
  <c r="E2239" i="16"/>
  <c r="F2239" i="16"/>
  <c r="G2239" i="16"/>
  <c r="H2239" i="16"/>
  <c r="I2239" i="16"/>
  <c r="J2239" i="16"/>
  <c r="C2240" i="16"/>
  <c r="D2240" i="16"/>
  <c r="E2240" i="16"/>
  <c r="F2240" i="16"/>
  <c r="G2240" i="16"/>
  <c r="H2240" i="16"/>
  <c r="I2240" i="16"/>
  <c r="J2240" i="16"/>
  <c r="C2241" i="16"/>
  <c r="D2241" i="16"/>
  <c r="E2241" i="16"/>
  <c r="F2241" i="16"/>
  <c r="G2241" i="16"/>
  <c r="H2241" i="16"/>
  <c r="I2241" i="16"/>
  <c r="J2241" i="16"/>
  <c r="C2242" i="16"/>
  <c r="D2242" i="16"/>
  <c r="E2242" i="16"/>
  <c r="F2242" i="16"/>
  <c r="G2242" i="16"/>
  <c r="H2242" i="16"/>
  <c r="I2242" i="16"/>
  <c r="J2242" i="16"/>
  <c r="C2243" i="16"/>
  <c r="D2243" i="16"/>
  <c r="E2243" i="16"/>
  <c r="F2243" i="16"/>
  <c r="G2243" i="16"/>
  <c r="H2243" i="16"/>
  <c r="I2243" i="16"/>
  <c r="J2243" i="16"/>
  <c r="C2244" i="16"/>
  <c r="D2244" i="16"/>
  <c r="E2244" i="16"/>
  <c r="F2244" i="16"/>
  <c r="G2244" i="16"/>
  <c r="H2244" i="16"/>
  <c r="I2244" i="16"/>
  <c r="J2244" i="16"/>
  <c r="C2245" i="16"/>
  <c r="D2245" i="16"/>
  <c r="E2245" i="16"/>
  <c r="F2245" i="16"/>
  <c r="G2245" i="16"/>
  <c r="H2245" i="16"/>
  <c r="I2245" i="16"/>
  <c r="J2245" i="16"/>
  <c r="C2246" i="16"/>
  <c r="D2246" i="16"/>
  <c r="E2246" i="16"/>
  <c r="F2246" i="16"/>
  <c r="G2246" i="16"/>
  <c r="H2246" i="16"/>
  <c r="I2246" i="16"/>
  <c r="J2246" i="16"/>
  <c r="C2247" i="16"/>
  <c r="D2247" i="16"/>
  <c r="E2247" i="16"/>
  <c r="F2247" i="16"/>
  <c r="G2247" i="16"/>
  <c r="H2247" i="16"/>
  <c r="I2247" i="16"/>
  <c r="J2247" i="16"/>
  <c r="C2248" i="16"/>
  <c r="D2248" i="16"/>
  <c r="E2248" i="16"/>
  <c r="F2248" i="16"/>
  <c r="G2248" i="16"/>
  <c r="H2248" i="16"/>
  <c r="I2248" i="16"/>
  <c r="J2248" i="16"/>
  <c r="C2249" i="16"/>
  <c r="D2249" i="16"/>
  <c r="E2249" i="16"/>
  <c r="F2249" i="16"/>
  <c r="G2249" i="16"/>
  <c r="H2249" i="16"/>
  <c r="I2249" i="16"/>
  <c r="J2249" i="16"/>
  <c r="C2250" i="16"/>
  <c r="D2250" i="16"/>
  <c r="E2250" i="16"/>
  <c r="F2250" i="16"/>
  <c r="G2250" i="16"/>
  <c r="H2250" i="16"/>
  <c r="I2250" i="16"/>
  <c r="J2250" i="16"/>
  <c r="C2251" i="16"/>
  <c r="D2251" i="16"/>
  <c r="E2251" i="16"/>
  <c r="F2251" i="16"/>
  <c r="G2251" i="16"/>
  <c r="H2251" i="16"/>
  <c r="I2251" i="16"/>
  <c r="J2251" i="16"/>
  <c r="C2252" i="16"/>
  <c r="D2252" i="16"/>
  <c r="E2252" i="16"/>
  <c r="F2252" i="16"/>
  <c r="G2252" i="16"/>
  <c r="H2252" i="16"/>
  <c r="I2252" i="16"/>
  <c r="J2252" i="16"/>
  <c r="C2253" i="16"/>
  <c r="D2253" i="16"/>
  <c r="E2253" i="16"/>
  <c r="F2253" i="16"/>
  <c r="G2253" i="16"/>
  <c r="H2253" i="16"/>
  <c r="I2253" i="16"/>
  <c r="J2253" i="16"/>
  <c r="C2254" i="16"/>
  <c r="D2254" i="16"/>
  <c r="E2254" i="16"/>
  <c r="F2254" i="16"/>
  <c r="G2254" i="16"/>
  <c r="H2254" i="16"/>
  <c r="I2254" i="16"/>
  <c r="J2254" i="16"/>
  <c r="C2255" i="16"/>
  <c r="D2255" i="16"/>
  <c r="E2255" i="16"/>
  <c r="F2255" i="16"/>
  <c r="G2255" i="16"/>
  <c r="H2255" i="16"/>
  <c r="I2255" i="16"/>
  <c r="J2255" i="16"/>
  <c r="C2256" i="16"/>
  <c r="D2256" i="16"/>
  <c r="E2256" i="16"/>
  <c r="F2256" i="16"/>
  <c r="G2256" i="16"/>
  <c r="H2256" i="16"/>
  <c r="I2256" i="16"/>
  <c r="J2256" i="16"/>
  <c r="C2257" i="16"/>
  <c r="D2257" i="16"/>
  <c r="E2257" i="16"/>
  <c r="F2257" i="16"/>
  <c r="G2257" i="16"/>
  <c r="H2257" i="16"/>
  <c r="I2257" i="16"/>
  <c r="J2257" i="16"/>
  <c r="C2258" i="16"/>
  <c r="D2258" i="16"/>
  <c r="E2258" i="16"/>
  <c r="F2258" i="16"/>
  <c r="G2258" i="16"/>
  <c r="H2258" i="16"/>
  <c r="I2258" i="16"/>
  <c r="J2258" i="16"/>
  <c r="C2259" i="16"/>
  <c r="D2259" i="16"/>
  <c r="E2259" i="16"/>
  <c r="F2259" i="16"/>
  <c r="G2259" i="16"/>
  <c r="H2259" i="16"/>
  <c r="I2259" i="16"/>
  <c r="J2259" i="16"/>
  <c r="C2260" i="16"/>
  <c r="D2260" i="16"/>
  <c r="E2260" i="16"/>
  <c r="F2260" i="16"/>
  <c r="G2260" i="16"/>
  <c r="H2260" i="16"/>
  <c r="I2260" i="16"/>
  <c r="J2260" i="16"/>
  <c r="C2261" i="16"/>
  <c r="D2261" i="16"/>
  <c r="E2261" i="16"/>
  <c r="F2261" i="16"/>
  <c r="G2261" i="16"/>
  <c r="H2261" i="16"/>
  <c r="I2261" i="16"/>
  <c r="J2261" i="16"/>
  <c r="C2262" i="16"/>
  <c r="D2262" i="16"/>
  <c r="E2262" i="16"/>
  <c r="F2262" i="16"/>
  <c r="G2262" i="16"/>
  <c r="H2262" i="16"/>
  <c r="I2262" i="16"/>
  <c r="J2262" i="16"/>
  <c r="C2263" i="16"/>
  <c r="D2263" i="16"/>
  <c r="E2263" i="16"/>
  <c r="F2263" i="16"/>
  <c r="G2263" i="16"/>
  <c r="H2263" i="16"/>
  <c r="I2263" i="16"/>
  <c r="J2263" i="16"/>
  <c r="C2264" i="16"/>
  <c r="D2264" i="16"/>
  <c r="E2264" i="16"/>
  <c r="F2264" i="16"/>
  <c r="G2264" i="16"/>
  <c r="H2264" i="16"/>
  <c r="I2264" i="16"/>
  <c r="J2264" i="16"/>
  <c r="C2265" i="16"/>
  <c r="D2265" i="16"/>
  <c r="E2265" i="16"/>
  <c r="F2265" i="16"/>
  <c r="G2265" i="16"/>
  <c r="H2265" i="16"/>
  <c r="I2265" i="16"/>
  <c r="J2265" i="16"/>
  <c r="C2266" i="16"/>
  <c r="D2266" i="16"/>
  <c r="E2266" i="16"/>
  <c r="F2266" i="16"/>
  <c r="G2266" i="16"/>
  <c r="H2266" i="16"/>
  <c r="I2266" i="16"/>
  <c r="J2266" i="16"/>
  <c r="C2267" i="16"/>
  <c r="D2267" i="16"/>
  <c r="E2267" i="16"/>
  <c r="F2267" i="16"/>
  <c r="G2267" i="16"/>
  <c r="H2267" i="16"/>
  <c r="I2267" i="16"/>
  <c r="J2267" i="16"/>
  <c r="C2268" i="16"/>
  <c r="D2268" i="16"/>
  <c r="E2268" i="16"/>
  <c r="F2268" i="16"/>
  <c r="G2268" i="16"/>
  <c r="H2268" i="16"/>
  <c r="I2268" i="16"/>
  <c r="J2268" i="16"/>
  <c r="C2269" i="16"/>
  <c r="D2269" i="16"/>
  <c r="E2269" i="16"/>
  <c r="F2269" i="16"/>
  <c r="G2269" i="16"/>
  <c r="H2269" i="16"/>
  <c r="I2269" i="16"/>
  <c r="J2269" i="16"/>
  <c r="C2270" i="16"/>
  <c r="D2270" i="16"/>
  <c r="E2270" i="16"/>
  <c r="F2270" i="16"/>
  <c r="G2270" i="16"/>
  <c r="H2270" i="16"/>
  <c r="I2270" i="16"/>
  <c r="J2270" i="16"/>
  <c r="C2271" i="16"/>
  <c r="D2271" i="16"/>
  <c r="E2271" i="16"/>
  <c r="F2271" i="16"/>
  <c r="G2271" i="16"/>
  <c r="H2271" i="16"/>
  <c r="I2271" i="16"/>
  <c r="J2271" i="16"/>
  <c r="C2272" i="16"/>
  <c r="D2272" i="16"/>
  <c r="E2272" i="16"/>
  <c r="F2272" i="16"/>
  <c r="G2272" i="16"/>
  <c r="H2272" i="16"/>
  <c r="I2272" i="16"/>
  <c r="J2272" i="16"/>
  <c r="C2273" i="16"/>
  <c r="D2273" i="16"/>
  <c r="E2273" i="16"/>
  <c r="F2273" i="16"/>
  <c r="G2273" i="16"/>
  <c r="H2273" i="16"/>
  <c r="I2273" i="16"/>
  <c r="J2273" i="16"/>
  <c r="C2274" i="16"/>
  <c r="D2274" i="16"/>
  <c r="E2274" i="16"/>
  <c r="F2274" i="16"/>
  <c r="G2274" i="16"/>
  <c r="H2274" i="16"/>
  <c r="I2274" i="16"/>
  <c r="J2274" i="16"/>
  <c r="C2275" i="16"/>
  <c r="D2275" i="16"/>
  <c r="E2275" i="16"/>
  <c r="F2275" i="16"/>
  <c r="G2275" i="16"/>
  <c r="H2275" i="16"/>
  <c r="I2275" i="16"/>
  <c r="J2275" i="16"/>
  <c r="C2276" i="16"/>
  <c r="D2276" i="16"/>
  <c r="E2276" i="16"/>
  <c r="F2276" i="16"/>
  <c r="G2276" i="16"/>
  <c r="H2276" i="16"/>
  <c r="I2276" i="16"/>
  <c r="J2276" i="16"/>
  <c r="C2277" i="16"/>
  <c r="D2277" i="16"/>
  <c r="E2277" i="16"/>
  <c r="F2277" i="16"/>
  <c r="G2277" i="16"/>
  <c r="H2277" i="16"/>
  <c r="I2277" i="16"/>
  <c r="J2277" i="16"/>
  <c r="C2278" i="16"/>
  <c r="D2278" i="16"/>
  <c r="E2278" i="16"/>
  <c r="F2278" i="16"/>
  <c r="G2278" i="16"/>
  <c r="H2278" i="16"/>
  <c r="I2278" i="16"/>
  <c r="J2278" i="16"/>
  <c r="C2279" i="16"/>
  <c r="D2279" i="16"/>
  <c r="E2279" i="16"/>
  <c r="F2279" i="16"/>
  <c r="G2279" i="16"/>
  <c r="H2279" i="16"/>
  <c r="I2279" i="16"/>
  <c r="J2279" i="16"/>
  <c r="C2280" i="16"/>
  <c r="D2280" i="16"/>
  <c r="E2280" i="16"/>
  <c r="F2280" i="16"/>
  <c r="G2280" i="16"/>
  <c r="H2280" i="16"/>
  <c r="I2280" i="16"/>
  <c r="J2280" i="16"/>
  <c r="C2281" i="16"/>
  <c r="D2281" i="16"/>
  <c r="E2281" i="16"/>
  <c r="F2281" i="16"/>
  <c r="G2281" i="16"/>
  <c r="H2281" i="16"/>
  <c r="I2281" i="16"/>
  <c r="J2281" i="16"/>
  <c r="C2282" i="16"/>
  <c r="D2282" i="16"/>
  <c r="E2282" i="16"/>
  <c r="F2282" i="16"/>
  <c r="G2282" i="16"/>
  <c r="H2282" i="16"/>
  <c r="I2282" i="16"/>
  <c r="J2282" i="16"/>
  <c r="C2283" i="16"/>
  <c r="D2283" i="16"/>
  <c r="E2283" i="16"/>
  <c r="F2283" i="16"/>
  <c r="G2283" i="16"/>
  <c r="H2283" i="16"/>
  <c r="I2283" i="16"/>
  <c r="J2283" i="16"/>
  <c r="C2284" i="16"/>
  <c r="D2284" i="16"/>
  <c r="E2284" i="16"/>
  <c r="F2284" i="16"/>
  <c r="G2284" i="16"/>
  <c r="H2284" i="16"/>
  <c r="I2284" i="16"/>
  <c r="J2284" i="16"/>
  <c r="C2285" i="16"/>
  <c r="D2285" i="16"/>
  <c r="E2285" i="16"/>
  <c r="F2285" i="16"/>
  <c r="G2285" i="16"/>
  <c r="H2285" i="16"/>
  <c r="I2285" i="16"/>
  <c r="J2285" i="16"/>
  <c r="C2286" i="16"/>
  <c r="D2286" i="16"/>
  <c r="E2286" i="16"/>
  <c r="F2286" i="16"/>
  <c r="G2286" i="16"/>
  <c r="H2286" i="16"/>
  <c r="I2286" i="16"/>
  <c r="J2286" i="16"/>
  <c r="C2287" i="16"/>
  <c r="D2287" i="16"/>
  <c r="E2287" i="16"/>
  <c r="F2287" i="16"/>
  <c r="G2287" i="16"/>
  <c r="H2287" i="16"/>
  <c r="I2287" i="16"/>
  <c r="J2287" i="16"/>
  <c r="C2288" i="16"/>
  <c r="D2288" i="16"/>
  <c r="E2288" i="16"/>
  <c r="F2288" i="16"/>
  <c r="G2288" i="16"/>
  <c r="H2288" i="16"/>
  <c r="I2288" i="16"/>
  <c r="J2288" i="16"/>
  <c r="C2289" i="16"/>
  <c r="D2289" i="16"/>
  <c r="E2289" i="16"/>
  <c r="F2289" i="16"/>
  <c r="G2289" i="16"/>
  <c r="H2289" i="16"/>
  <c r="I2289" i="16"/>
  <c r="J2289" i="16"/>
  <c r="C2290" i="16"/>
  <c r="D2290" i="16"/>
  <c r="E2290" i="16"/>
  <c r="F2290" i="16"/>
  <c r="G2290" i="16"/>
  <c r="H2290" i="16"/>
  <c r="I2290" i="16"/>
  <c r="J2290" i="16"/>
  <c r="C2291" i="16"/>
  <c r="D2291" i="16"/>
  <c r="E2291" i="16"/>
  <c r="F2291" i="16"/>
  <c r="G2291" i="16"/>
  <c r="H2291" i="16"/>
  <c r="I2291" i="16"/>
  <c r="J2291" i="16"/>
  <c r="C2292" i="16"/>
  <c r="D2292" i="16"/>
  <c r="E2292" i="16"/>
  <c r="F2292" i="16"/>
  <c r="G2292" i="16"/>
  <c r="H2292" i="16"/>
  <c r="I2292" i="16"/>
  <c r="J2292" i="16"/>
  <c r="C2293" i="16"/>
  <c r="D2293" i="16"/>
  <c r="E2293" i="16"/>
  <c r="F2293" i="16"/>
  <c r="G2293" i="16"/>
  <c r="H2293" i="16"/>
  <c r="I2293" i="16"/>
  <c r="J2293" i="16"/>
  <c r="C2294" i="16"/>
  <c r="D2294" i="16"/>
  <c r="E2294" i="16"/>
  <c r="F2294" i="16"/>
  <c r="G2294" i="16"/>
  <c r="H2294" i="16"/>
  <c r="I2294" i="16"/>
  <c r="J2294" i="16"/>
  <c r="C2295" i="16"/>
  <c r="D2295" i="16"/>
  <c r="E2295" i="16"/>
  <c r="F2295" i="16"/>
  <c r="G2295" i="16"/>
  <c r="H2295" i="16"/>
  <c r="I2295" i="16"/>
  <c r="J2295" i="16"/>
  <c r="C2296" i="16"/>
  <c r="D2296" i="16"/>
  <c r="E2296" i="16"/>
  <c r="F2296" i="16"/>
  <c r="G2296" i="16"/>
  <c r="H2296" i="16"/>
  <c r="I2296" i="16"/>
  <c r="J2296" i="16"/>
  <c r="C2297" i="16"/>
  <c r="D2297" i="16"/>
  <c r="E2297" i="16"/>
  <c r="F2297" i="16"/>
  <c r="G2297" i="16"/>
  <c r="H2297" i="16"/>
  <c r="I2297" i="16"/>
  <c r="J2297" i="16"/>
  <c r="C2298" i="16"/>
  <c r="D2298" i="16"/>
  <c r="E2298" i="16"/>
  <c r="F2298" i="16"/>
  <c r="G2298" i="16"/>
  <c r="H2298" i="16"/>
  <c r="I2298" i="16"/>
  <c r="J2298" i="16"/>
  <c r="C2299" i="16"/>
  <c r="D2299" i="16"/>
  <c r="E2299" i="16"/>
  <c r="F2299" i="16"/>
  <c r="G2299" i="16"/>
  <c r="H2299" i="16"/>
  <c r="I2299" i="16"/>
  <c r="J2299" i="16"/>
  <c r="C2300" i="16"/>
  <c r="D2300" i="16"/>
  <c r="E2300" i="16"/>
  <c r="F2300" i="16"/>
  <c r="G2300" i="16"/>
  <c r="H2300" i="16"/>
  <c r="I2300" i="16"/>
  <c r="J2300" i="16"/>
  <c r="C2301" i="16"/>
  <c r="D2301" i="16"/>
  <c r="E2301" i="16"/>
  <c r="F2301" i="16"/>
  <c r="G2301" i="16"/>
  <c r="H2301" i="16"/>
  <c r="I2301" i="16"/>
  <c r="J2301" i="16"/>
  <c r="C2302" i="16"/>
  <c r="D2302" i="16"/>
  <c r="E2302" i="16"/>
  <c r="F2302" i="16"/>
  <c r="G2302" i="16"/>
  <c r="H2302" i="16"/>
  <c r="I2302" i="16"/>
  <c r="J2302" i="16"/>
  <c r="C2303" i="16"/>
  <c r="D2303" i="16"/>
  <c r="E2303" i="16"/>
  <c r="F2303" i="16"/>
  <c r="G2303" i="16"/>
  <c r="H2303" i="16"/>
  <c r="I2303" i="16"/>
  <c r="J2303" i="16"/>
  <c r="C2304" i="16"/>
  <c r="D2304" i="16"/>
  <c r="E2304" i="16"/>
  <c r="F2304" i="16"/>
  <c r="G2304" i="16"/>
  <c r="H2304" i="16"/>
  <c r="I2304" i="16"/>
  <c r="J2304" i="16"/>
  <c r="C2305" i="16"/>
  <c r="D2305" i="16"/>
  <c r="E2305" i="16"/>
  <c r="F2305" i="16"/>
  <c r="G2305" i="16"/>
  <c r="H2305" i="16"/>
  <c r="I2305" i="16"/>
  <c r="J2305" i="16"/>
  <c r="C2306" i="16"/>
  <c r="D2306" i="16"/>
  <c r="E2306" i="16"/>
  <c r="F2306" i="16"/>
  <c r="G2306" i="16"/>
  <c r="H2306" i="16"/>
  <c r="I2306" i="16"/>
  <c r="J2306" i="16"/>
  <c r="C2307" i="16"/>
  <c r="D2307" i="16"/>
  <c r="E2307" i="16"/>
  <c r="F2307" i="16"/>
  <c r="G2307" i="16"/>
  <c r="H2307" i="16"/>
  <c r="I2307" i="16"/>
  <c r="J2307" i="16"/>
  <c r="C2308" i="16"/>
  <c r="D2308" i="16"/>
  <c r="E2308" i="16"/>
  <c r="F2308" i="16"/>
  <c r="G2308" i="16"/>
  <c r="H2308" i="16"/>
  <c r="I2308" i="16"/>
  <c r="J2308" i="16"/>
  <c r="C2309" i="16"/>
  <c r="D2309" i="16"/>
  <c r="E2309" i="16"/>
  <c r="F2309" i="16"/>
  <c r="G2309" i="16"/>
  <c r="H2309" i="16"/>
  <c r="I2309" i="16"/>
  <c r="J2309" i="16"/>
  <c r="C2310" i="16"/>
  <c r="D2310" i="16"/>
  <c r="E2310" i="16"/>
  <c r="F2310" i="16"/>
  <c r="G2310" i="16"/>
  <c r="H2310" i="16"/>
  <c r="I2310" i="16"/>
  <c r="J2310" i="16"/>
  <c r="C2311" i="16"/>
  <c r="D2311" i="16"/>
  <c r="E2311" i="16"/>
  <c r="F2311" i="16"/>
  <c r="G2311" i="16"/>
  <c r="H2311" i="16"/>
  <c r="I2311" i="16"/>
  <c r="J2311" i="16"/>
  <c r="C2312" i="16"/>
  <c r="D2312" i="16"/>
  <c r="E2312" i="16"/>
  <c r="F2312" i="16"/>
  <c r="G2312" i="16"/>
  <c r="H2312" i="16"/>
  <c r="I2312" i="16"/>
  <c r="J2312" i="16"/>
  <c r="C2313" i="16"/>
  <c r="D2313" i="16"/>
  <c r="E2313" i="16"/>
  <c r="F2313" i="16"/>
  <c r="G2313" i="16"/>
  <c r="H2313" i="16"/>
  <c r="I2313" i="16"/>
  <c r="J2313" i="16"/>
  <c r="C2314" i="16"/>
  <c r="D2314" i="16"/>
  <c r="E2314" i="16"/>
  <c r="F2314" i="16"/>
  <c r="G2314" i="16"/>
  <c r="H2314" i="16"/>
  <c r="I2314" i="16"/>
  <c r="J2314" i="16"/>
  <c r="C2315" i="16"/>
  <c r="D2315" i="16"/>
  <c r="E2315" i="16"/>
  <c r="F2315" i="16"/>
  <c r="G2315" i="16"/>
  <c r="H2315" i="16"/>
  <c r="I2315" i="16"/>
  <c r="J2315" i="16"/>
  <c r="C2316" i="16"/>
  <c r="D2316" i="16"/>
  <c r="E2316" i="16"/>
  <c r="F2316" i="16"/>
  <c r="G2316" i="16"/>
  <c r="H2316" i="16"/>
  <c r="I2316" i="16"/>
  <c r="J2316" i="16"/>
  <c r="C2317" i="16"/>
  <c r="D2317" i="16"/>
  <c r="E2317" i="16"/>
  <c r="F2317" i="16"/>
  <c r="G2317" i="16"/>
  <c r="H2317" i="16"/>
  <c r="I2317" i="16"/>
  <c r="J2317" i="16"/>
  <c r="C2318" i="16"/>
  <c r="D2318" i="16"/>
  <c r="E2318" i="16"/>
  <c r="F2318" i="16"/>
  <c r="G2318" i="16"/>
  <c r="H2318" i="16"/>
  <c r="I2318" i="16"/>
  <c r="J2318" i="16"/>
  <c r="C2319" i="16"/>
  <c r="D2319" i="16"/>
  <c r="E2319" i="16"/>
  <c r="F2319" i="16"/>
  <c r="G2319" i="16"/>
  <c r="H2319" i="16"/>
  <c r="I2319" i="16"/>
  <c r="J2319" i="16"/>
  <c r="C2320" i="16"/>
  <c r="D2320" i="16"/>
  <c r="E2320" i="16"/>
  <c r="F2320" i="16"/>
  <c r="G2320" i="16"/>
  <c r="H2320" i="16"/>
  <c r="I2320" i="16"/>
  <c r="J2320" i="16"/>
  <c r="C2321" i="16"/>
  <c r="D2321" i="16"/>
  <c r="E2321" i="16"/>
  <c r="F2321" i="16"/>
  <c r="G2321" i="16"/>
  <c r="H2321" i="16"/>
  <c r="I2321" i="16"/>
  <c r="J2321" i="16"/>
  <c r="C2322" i="16"/>
  <c r="D2322" i="16"/>
  <c r="E2322" i="16"/>
  <c r="F2322" i="16"/>
  <c r="G2322" i="16"/>
  <c r="H2322" i="16"/>
  <c r="I2322" i="16"/>
  <c r="J2322" i="16"/>
  <c r="C2323" i="16"/>
  <c r="D2323" i="16"/>
  <c r="E2323" i="16"/>
  <c r="F2323" i="16"/>
  <c r="G2323" i="16"/>
  <c r="H2323" i="16"/>
  <c r="I2323" i="16"/>
  <c r="J2323" i="16"/>
  <c r="C2324" i="16"/>
  <c r="D2324" i="16"/>
  <c r="E2324" i="16"/>
  <c r="F2324" i="16"/>
  <c r="G2324" i="16"/>
  <c r="H2324" i="16"/>
  <c r="I2324" i="16"/>
  <c r="J2324" i="16"/>
  <c r="C2325" i="16"/>
  <c r="D2325" i="16"/>
  <c r="E2325" i="16"/>
  <c r="F2325" i="16"/>
  <c r="G2325" i="16"/>
  <c r="H2325" i="16"/>
  <c r="I2325" i="16"/>
  <c r="J2325" i="16"/>
  <c r="C2326" i="16"/>
  <c r="D2326" i="16"/>
  <c r="E2326" i="16"/>
  <c r="F2326" i="16"/>
  <c r="G2326" i="16"/>
  <c r="H2326" i="16"/>
  <c r="I2326" i="16"/>
  <c r="J2326" i="16"/>
  <c r="C2327" i="16"/>
  <c r="D2327" i="16"/>
  <c r="E2327" i="16"/>
  <c r="F2327" i="16"/>
  <c r="G2327" i="16"/>
  <c r="H2327" i="16"/>
  <c r="I2327" i="16"/>
  <c r="J2327" i="16"/>
  <c r="C2328" i="16"/>
  <c r="D2328" i="16"/>
  <c r="E2328" i="16"/>
  <c r="F2328" i="16"/>
  <c r="G2328" i="16"/>
  <c r="H2328" i="16"/>
  <c r="I2328" i="16"/>
  <c r="J2328" i="16"/>
  <c r="C2329" i="16"/>
  <c r="D2329" i="16"/>
  <c r="E2329" i="16"/>
  <c r="F2329" i="16"/>
  <c r="G2329" i="16"/>
  <c r="H2329" i="16"/>
  <c r="I2329" i="16"/>
  <c r="J2329" i="16"/>
  <c r="C2330" i="16"/>
  <c r="D2330" i="16"/>
  <c r="E2330" i="16"/>
  <c r="F2330" i="16"/>
  <c r="G2330" i="16"/>
  <c r="H2330" i="16"/>
  <c r="I2330" i="16"/>
  <c r="J2330" i="16"/>
  <c r="C2331" i="16"/>
  <c r="D2331" i="16"/>
  <c r="E2331" i="16"/>
  <c r="F2331" i="16"/>
  <c r="G2331" i="16"/>
  <c r="H2331" i="16"/>
  <c r="I2331" i="16"/>
  <c r="J2331" i="16"/>
  <c r="C2332" i="16"/>
  <c r="D2332" i="16"/>
  <c r="E2332" i="16"/>
  <c r="F2332" i="16"/>
  <c r="G2332" i="16"/>
  <c r="H2332" i="16"/>
  <c r="I2332" i="16"/>
  <c r="J2332" i="16"/>
  <c r="C2333" i="16"/>
  <c r="D2333" i="16"/>
  <c r="E2333" i="16"/>
  <c r="F2333" i="16"/>
  <c r="G2333" i="16"/>
  <c r="H2333" i="16"/>
  <c r="I2333" i="16"/>
  <c r="J2333" i="16"/>
  <c r="C2334" i="16"/>
  <c r="D2334" i="16"/>
  <c r="E2334" i="16"/>
  <c r="F2334" i="16"/>
  <c r="G2334" i="16"/>
  <c r="H2334" i="16"/>
  <c r="I2334" i="16"/>
  <c r="J2334" i="16"/>
  <c r="C2335" i="16"/>
  <c r="D2335" i="16"/>
  <c r="E2335" i="16"/>
  <c r="F2335" i="16"/>
  <c r="G2335" i="16"/>
  <c r="H2335" i="16"/>
  <c r="I2335" i="16"/>
  <c r="J2335" i="16"/>
  <c r="C2336" i="16"/>
  <c r="D2336" i="16"/>
  <c r="E2336" i="16"/>
  <c r="F2336" i="16"/>
  <c r="G2336" i="16"/>
  <c r="H2336" i="16"/>
  <c r="I2336" i="16"/>
  <c r="J2336" i="16"/>
  <c r="C2337" i="16"/>
  <c r="D2337" i="16"/>
  <c r="E2337" i="16"/>
  <c r="F2337" i="16"/>
  <c r="G2337" i="16"/>
  <c r="H2337" i="16"/>
  <c r="I2337" i="16"/>
  <c r="J2337" i="16"/>
  <c r="C2338" i="16"/>
  <c r="D2338" i="16"/>
  <c r="E2338" i="16"/>
  <c r="F2338" i="16"/>
  <c r="G2338" i="16"/>
  <c r="H2338" i="16"/>
  <c r="I2338" i="16"/>
  <c r="J2338" i="16"/>
  <c r="C2339" i="16"/>
  <c r="D2339" i="16"/>
  <c r="E2339" i="16"/>
  <c r="F2339" i="16"/>
  <c r="G2339" i="16"/>
  <c r="H2339" i="16"/>
  <c r="I2339" i="16"/>
  <c r="J2339" i="16"/>
  <c r="C2340" i="16"/>
  <c r="D2340" i="16"/>
  <c r="E2340" i="16"/>
  <c r="F2340" i="16"/>
  <c r="G2340" i="16"/>
  <c r="H2340" i="16"/>
  <c r="I2340" i="16"/>
  <c r="J2340" i="16"/>
  <c r="C2341" i="16"/>
  <c r="D2341" i="16"/>
  <c r="E2341" i="16"/>
  <c r="F2341" i="16"/>
  <c r="G2341" i="16"/>
  <c r="H2341" i="16"/>
  <c r="I2341" i="16"/>
  <c r="J2341" i="16"/>
  <c r="C2342" i="16"/>
  <c r="D2342" i="16"/>
  <c r="E2342" i="16"/>
  <c r="F2342" i="16"/>
  <c r="G2342" i="16"/>
  <c r="H2342" i="16"/>
  <c r="I2342" i="16"/>
  <c r="J2342" i="16"/>
  <c r="C2343" i="16"/>
  <c r="D2343" i="16"/>
  <c r="E2343" i="16"/>
  <c r="F2343" i="16"/>
  <c r="G2343" i="16"/>
  <c r="H2343" i="16"/>
  <c r="I2343" i="16"/>
  <c r="J2343" i="16"/>
  <c r="C2344" i="16"/>
  <c r="D2344" i="16"/>
  <c r="E2344" i="16"/>
  <c r="F2344" i="16"/>
  <c r="G2344" i="16"/>
  <c r="H2344" i="16"/>
  <c r="I2344" i="16"/>
  <c r="J2344" i="16"/>
  <c r="C2345" i="16"/>
  <c r="D2345" i="16"/>
  <c r="E2345" i="16"/>
  <c r="F2345" i="16"/>
  <c r="G2345" i="16"/>
  <c r="H2345" i="16"/>
  <c r="I2345" i="16"/>
  <c r="J2345" i="16"/>
  <c r="C2346" i="16"/>
  <c r="D2346" i="16"/>
  <c r="E2346" i="16"/>
  <c r="F2346" i="16"/>
  <c r="G2346" i="16"/>
  <c r="H2346" i="16"/>
  <c r="I2346" i="16"/>
  <c r="J2346" i="16"/>
  <c r="C2347" i="16"/>
  <c r="D2347" i="16"/>
  <c r="E2347" i="16"/>
  <c r="F2347" i="16"/>
  <c r="G2347" i="16"/>
  <c r="H2347" i="16"/>
  <c r="I2347" i="16"/>
  <c r="J2347" i="16"/>
  <c r="C2348" i="16"/>
  <c r="D2348" i="16"/>
  <c r="E2348" i="16"/>
  <c r="F2348" i="16"/>
  <c r="G2348" i="16"/>
  <c r="H2348" i="16"/>
  <c r="I2348" i="16"/>
  <c r="J2348" i="16"/>
  <c r="C2349" i="16"/>
  <c r="D2349" i="16"/>
  <c r="E2349" i="16"/>
  <c r="F2349" i="16"/>
  <c r="G2349" i="16"/>
  <c r="H2349" i="16"/>
  <c r="I2349" i="16"/>
  <c r="J2349" i="16"/>
  <c r="C2350" i="16"/>
  <c r="D2350" i="16"/>
  <c r="E2350" i="16"/>
  <c r="F2350" i="16"/>
  <c r="G2350" i="16"/>
  <c r="H2350" i="16"/>
  <c r="I2350" i="16"/>
  <c r="J2350" i="16"/>
  <c r="C2351" i="16"/>
  <c r="D2351" i="16"/>
  <c r="E2351" i="16"/>
  <c r="F2351" i="16"/>
  <c r="G2351" i="16"/>
  <c r="H2351" i="16"/>
  <c r="I2351" i="16"/>
  <c r="J2351" i="16"/>
  <c r="C2352" i="16"/>
  <c r="D2352" i="16"/>
  <c r="E2352" i="16"/>
  <c r="F2352" i="16"/>
  <c r="G2352" i="16"/>
  <c r="H2352" i="16"/>
  <c r="I2352" i="16"/>
  <c r="J2352" i="16"/>
  <c r="C2353" i="16"/>
  <c r="D2353" i="16"/>
  <c r="E2353" i="16"/>
  <c r="F2353" i="16"/>
  <c r="G2353" i="16"/>
  <c r="H2353" i="16"/>
  <c r="I2353" i="16"/>
  <c r="J2353" i="16"/>
  <c r="C2354" i="16"/>
  <c r="D2354" i="16"/>
  <c r="E2354" i="16"/>
  <c r="F2354" i="16"/>
  <c r="G2354" i="16"/>
  <c r="H2354" i="16"/>
  <c r="I2354" i="16"/>
  <c r="J2354" i="16"/>
  <c r="C2355" i="16"/>
  <c r="D2355" i="16"/>
  <c r="E2355" i="16"/>
  <c r="F2355" i="16"/>
  <c r="G2355" i="16"/>
  <c r="H2355" i="16"/>
  <c r="I2355" i="16"/>
  <c r="J2355" i="16"/>
  <c r="C2356" i="16"/>
  <c r="D2356" i="16"/>
  <c r="E2356" i="16"/>
  <c r="F2356" i="16"/>
  <c r="G2356" i="16"/>
  <c r="H2356" i="16"/>
  <c r="I2356" i="16"/>
  <c r="J2356" i="16"/>
  <c r="C2357" i="16"/>
  <c r="D2357" i="16"/>
  <c r="E2357" i="16"/>
  <c r="F2357" i="16"/>
  <c r="G2357" i="16"/>
  <c r="H2357" i="16"/>
  <c r="I2357" i="16"/>
  <c r="J2357" i="16"/>
  <c r="C2358" i="16"/>
  <c r="D2358" i="16"/>
  <c r="E2358" i="16"/>
  <c r="F2358" i="16"/>
  <c r="G2358" i="16"/>
  <c r="H2358" i="16"/>
  <c r="I2358" i="16"/>
  <c r="J2358" i="16"/>
  <c r="C2359" i="16"/>
  <c r="D2359" i="16"/>
  <c r="E2359" i="16"/>
  <c r="F2359" i="16"/>
  <c r="G2359" i="16"/>
  <c r="H2359" i="16"/>
  <c r="I2359" i="16"/>
  <c r="J2359" i="16"/>
  <c r="C2360" i="16"/>
  <c r="D2360" i="16"/>
  <c r="E2360" i="16"/>
  <c r="F2360" i="16"/>
  <c r="G2360" i="16"/>
  <c r="H2360" i="16"/>
  <c r="I2360" i="16"/>
  <c r="J2360" i="16"/>
  <c r="C2361" i="16"/>
  <c r="D2361" i="16"/>
  <c r="E2361" i="16"/>
  <c r="F2361" i="16"/>
  <c r="G2361" i="16"/>
  <c r="H2361" i="16"/>
  <c r="I2361" i="16"/>
  <c r="J2361" i="16"/>
  <c r="C2362" i="16"/>
  <c r="D2362" i="16"/>
  <c r="E2362" i="16"/>
  <c r="F2362" i="16"/>
  <c r="G2362" i="16"/>
  <c r="H2362" i="16"/>
  <c r="I2362" i="16"/>
  <c r="J2362" i="16"/>
  <c r="C2363" i="16"/>
  <c r="D2363" i="16"/>
  <c r="E2363" i="16"/>
  <c r="F2363" i="16"/>
  <c r="G2363" i="16"/>
  <c r="H2363" i="16"/>
  <c r="I2363" i="16"/>
  <c r="J2363" i="16"/>
  <c r="C2364" i="16"/>
  <c r="D2364" i="16"/>
  <c r="E2364" i="16"/>
  <c r="F2364" i="16"/>
  <c r="G2364" i="16"/>
  <c r="H2364" i="16"/>
  <c r="I2364" i="16"/>
  <c r="J2364" i="16"/>
  <c r="C2365" i="16"/>
  <c r="D2365" i="16"/>
  <c r="E2365" i="16"/>
  <c r="F2365" i="16"/>
  <c r="G2365" i="16"/>
  <c r="H2365" i="16"/>
  <c r="I2365" i="16"/>
  <c r="J2365" i="16"/>
  <c r="C2366" i="16"/>
  <c r="D2366" i="16"/>
  <c r="E2366" i="16"/>
  <c r="F2366" i="16"/>
  <c r="G2366" i="16"/>
  <c r="H2366" i="16"/>
  <c r="I2366" i="16"/>
  <c r="J2366" i="16"/>
  <c r="C2367" i="16"/>
  <c r="D2367" i="16"/>
  <c r="E2367" i="16"/>
  <c r="F2367" i="16"/>
  <c r="G2367" i="16"/>
  <c r="H2367" i="16"/>
  <c r="I2367" i="16"/>
  <c r="J2367" i="16"/>
  <c r="C2368" i="16"/>
  <c r="D2368" i="16"/>
  <c r="E2368" i="16"/>
  <c r="F2368" i="16"/>
  <c r="G2368" i="16"/>
  <c r="H2368" i="16"/>
  <c r="I2368" i="16"/>
  <c r="J2368" i="16"/>
  <c r="C2369" i="16"/>
  <c r="D2369" i="16"/>
  <c r="E2369" i="16"/>
  <c r="F2369" i="16"/>
  <c r="G2369" i="16"/>
  <c r="H2369" i="16"/>
  <c r="I2369" i="16"/>
  <c r="J2369" i="16"/>
  <c r="C2370" i="16"/>
  <c r="D2370" i="16"/>
  <c r="E2370" i="16"/>
  <c r="F2370" i="16"/>
  <c r="G2370" i="16"/>
  <c r="H2370" i="16"/>
  <c r="I2370" i="16"/>
  <c r="J2370" i="16"/>
  <c r="C2371" i="16"/>
  <c r="D2371" i="16"/>
  <c r="E2371" i="16"/>
  <c r="F2371" i="16"/>
  <c r="G2371" i="16"/>
  <c r="H2371" i="16"/>
  <c r="I2371" i="16"/>
  <c r="J2371" i="16"/>
  <c r="C2372" i="16"/>
  <c r="D2372" i="16"/>
  <c r="E2372" i="16"/>
  <c r="F2372" i="16"/>
  <c r="G2372" i="16"/>
  <c r="H2372" i="16"/>
  <c r="I2372" i="16"/>
  <c r="J2372" i="16"/>
  <c r="C2373" i="16"/>
  <c r="D2373" i="16"/>
  <c r="E2373" i="16"/>
  <c r="F2373" i="16"/>
  <c r="G2373" i="16"/>
  <c r="H2373" i="16"/>
  <c r="I2373" i="16"/>
  <c r="J2373" i="16"/>
  <c r="C2374" i="16"/>
  <c r="D2374" i="16"/>
  <c r="E2374" i="16"/>
  <c r="F2374" i="16"/>
  <c r="G2374" i="16"/>
  <c r="H2374" i="16"/>
  <c r="I2374" i="16"/>
  <c r="J2374" i="16"/>
  <c r="C2375" i="16"/>
  <c r="D2375" i="16"/>
  <c r="E2375" i="16"/>
  <c r="F2375" i="16"/>
  <c r="G2375" i="16"/>
  <c r="H2375" i="16"/>
  <c r="I2375" i="16"/>
  <c r="J2375" i="16"/>
  <c r="C2376" i="16"/>
  <c r="D2376" i="16"/>
  <c r="E2376" i="16"/>
  <c r="F2376" i="16"/>
  <c r="G2376" i="16"/>
  <c r="H2376" i="16"/>
  <c r="I2376" i="16"/>
  <c r="J2376" i="16"/>
  <c r="C2377" i="16"/>
  <c r="D2377" i="16"/>
  <c r="E2377" i="16"/>
  <c r="F2377" i="16"/>
  <c r="G2377" i="16"/>
  <c r="H2377" i="16"/>
  <c r="I2377" i="16"/>
  <c r="J2377" i="16"/>
  <c r="C2378" i="16"/>
  <c r="D2378" i="16"/>
  <c r="E2378" i="16"/>
  <c r="F2378" i="16"/>
  <c r="G2378" i="16"/>
  <c r="H2378" i="16"/>
  <c r="I2378" i="16"/>
  <c r="J2378" i="16"/>
  <c r="C2379" i="16"/>
  <c r="D2379" i="16"/>
  <c r="E2379" i="16"/>
  <c r="F2379" i="16"/>
  <c r="G2379" i="16"/>
  <c r="H2379" i="16"/>
  <c r="I2379" i="16"/>
  <c r="J2379" i="16"/>
  <c r="C2380" i="16"/>
  <c r="D2380" i="16"/>
  <c r="E2380" i="16"/>
  <c r="F2380" i="16"/>
  <c r="G2380" i="16"/>
  <c r="H2380" i="16"/>
  <c r="I2380" i="16"/>
  <c r="J2380" i="16"/>
  <c r="C2381" i="16"/>
  <c r="D2381" i="16"/>
  <c r="E2381" i="16"/>
  <c r="F2381" i="16"/>
  <c r="G2381" i="16"/>
  <c r="H2381" i="16"/>
  <c r="I2381" i="16"/>
  <c r="J2381" i="16"/>
  <c r="C2382" i="16"/>
  <c r="D2382" i="16"/>
  <c r="E2382" i="16"/>
  <c r="F2382" i="16"/>
  <c r="G2382" i="16"/>
  <c r="H2382" i="16"/>
  <c r="I2382" i="16"/>
  <c r="J2382" i="16"/>
  <c r="C2383" i="16"/>
  <c r="D2383" i="16"/>
  <c r="E2383" i="16"/>
  <c r="F2383" i="16"/>
  <c r="G2383" i="16"/>
  <c r="H2383" i="16"/>
  <c r="I2383" i="16"/>
  <c r="J2383" i="16"/>
  <c r="C2384" i="16"/>
  <c r="D2384" i="16"/>
  <c r="E2384" i="16"/>
  <c r="F2384" i="16"/>
  <c r="G2384" i="16"/>
  <c r="H2384" i="16"/>
  <c r="I2384" i="16"/>
  <c r="J2384" i="16"/>
  <c r="C2385" i="16"/>
  <c r="D2385" i="16"/>
  <c r="E2385" i="16"/>
  <c r="F2385" i="16"/>
  <c r="G2385" i="16"/>
  <c r="H2385" i="16"/>
  <c r="I2385" i="16"/>
  <c r="J2385" i="16"/>
  <c r="C2386" i="16"/>
  <c r="D2386" i="16"/>
  <c r="E2386" i="16"/>
  <c r="F2386" i="16"/>
  <c r="G2386" i="16"/>
  <c r="H2386" i="16"/>
  <c r="I2386" i="16"/>
  <c r="J2386" i="16"/>
  <c r="C2387" i="16"/>
  <c r="D2387" i="16"/>
  <c r="E2387" i="16"/>
  <c r="F2387" i="16"/>
  <c r="G2387" i="16"/>
  <c r="H2387" i="16"/>
  <c r="I2387" i="16"/>
  <c r="J2387" i="16"/>
  <c r="C2388" i="16"/>
  <c r="D2388" i="16"/>
  <c r="E2388" i="16"/>
  <c r="F2388" i="16"/>
  <c r="G2388" i="16"/>
  <c r="H2388" i="16"/>
  <c r="I2388" i="16"/>
  <c r="J2388" i="16"/>
  <c r="C2389" i="16"/>
  <c r="D2389" i="16"/>
  <c r="E2389" i="16"/>
  <c r="F2389" i="16"/>
  <c r="G2389" i="16"/>
  <c r="H2389" i="16"/>
  <c r="I2389" i="16"/>
  <c r="J2389" i="16"/>
  <c r="C2390" i="16"/>
  <c r="D2390" i="16"/>
  <c r="E2390" i="16"/>
  <c r="F2390" i="16"/>
  <c r="G2390" i="16"/>
  <c r="H2390" i="16"/>
  <c r="I2390" i="16"/>
  <c r="J2390" i="16"/>
  <c r="C2391" i="16"/>
  <c r="D2391" i="16"/>
  <c r="E2391" i="16"/>
  <c r="F2391" i="16"/>
  <c r="G2391" i="16"/>
  <c r="H2391" i="16"/>
  <c r="I2391" i="16"/>
  <c r="J2391" i="16"/>
  <c r="C2392" i="16"/>
  <c r="D2392" i="16"/>
  <c r="E2392" i="16"/>
  <c r="F2392" i="16"/>
  <c r="G2392" i="16"/>
  <c r="H2392" i="16"/>
  <c r="I2392" i="16"/>
  <c r="J2392" i="16"/>
  <c r="C2393" i="16"/>
  <c r="D2393" i="16"/>
  <c r="E2393" i="16"/>
  <c r="F2393" i="16"/>
  <c r="G2393" i="16"/>
  <c r="H2393" i="16"/>
  <c r="I2393" i="16"/>
  <c r="J2393" i="16"/>
  <c r="C2394" i="16"/>
  <c r="D2394" i="16"/>
  <c r="E2394" i="16"/>
  <c r="F2394" i="16"/>
  <c r="G2394" i="16"/>
  <c r="H2394" i="16"/>
  <c r="I2394" i="16"/>
  <c r="J2394" i="16"/>
  <c r="C2395" i="16"/>
  <c r="D2395" i="16"/>
  <c r="E2395" i="16"/>
  <c r="F2395" i="16"/>
  <c r="G2395" i="16"/>
  <c r="H2395" i="16"/>
  <c r="I2395" i="16"/>
  <c r="J2395" i="16"/>
  <c r="C2396" i="16"/>
  <c r="D2396" i="16"/>
  <c r="E2396" i="16"/>
  <c r="F2396" i="16"/>
  <c r="G2396" i="16"/>
  <c r="H2396" i="16"/>
  <c r="I2396" i="16"/>
  <c r="J2396" i="16"/>
  <c r="C2397" i="16"/>
  <c r="D2397" i="16"/>
  <c r="E2397" i="16"/>
  <c r="F2397" i="16"/>
  <c r="G2397" i="16"/>
  <c r="H2397" i="16"/>
  <c r="I2397" i="16"/>
  <c r="J2397" i="16"/>
  <c r="C2398" i="16"/>
  <c r="D2398" i="16"/>
  <c r="E2398" i="16"/>
  <c r="F2398" i="16"/>
  <c r="G2398" i="16"/>
  <c r="H2398" i="16"/>
  <c r="I2398" i="16"/>
  <c r="J2398" i="16"/>
  <c r="C2399" i="16"/>
  <c r="D2399" i="16"/>
  <c r="E2399" i="16"/>
  <c r="F2399" i="16"/>
  <c r="G2399" i="16"/>
  <c r="H2399" i="16"/>
  <c r="I2399" i="16"/>
  <c r="J2399" i="16"/>
  <c r="C2400" i="16"/>
  <c r="D2400" i="16"/>
  <c r="E2400" i="16"/>
  <c r="F2400" i="16"/>
  <c r="G2400" i="16"/>
  <c r="H2400" i="16"/>
  <c r="I2400" i="16"/>
  <c r="J2400" i="16"/>
  <c r="C2401" i="16"/>
  <c r="D2401" i="16"/>
  <c r="E2401" i="16"/>
  <c r="F2401" i="16"/>
  <c r="G2401" i="16"/>
  <c r="H2401" i="16"/>
  <c r="I2401" i="16"/>
  <c r="J2401" i="16"/>
  <c r="C2402" i="16"/>
  <c r="D2402" i="16"/>
  <c r="E2402" i="16"/>
  <c r="F2402" i="16"/>
  <c r="G2402" i="16"/>
  <c r="H2402" i="16"/>
  <c r="I2402" i="16"/>
  <c r="J2402" i="16"/>
  <c r="C2403" i="16"/>
  <c r="D2403" i="16"/>
  <c r="E2403" i="16"/>
  <c r="F2403" i="16"/>
  <c r="G2403" i="16"/>
  <c r="H2403" i="16"/>
  <c r="I2403" i="16"/>
  <c r="J2403" i="16"/>
  <c r="C2404" i="16"/>
  <c r="D2404" i="16"/>
  <c r="E2404" i="16"/>
  <c r="F2404" i="16"/>
  <c r="G2404" i="16"/>
  <c r="H2404" i="16"/>
  <c r="I2404" i="16"/>
  <c r="J2404" i="16"/>
  <c r="C2405" i="16"/>
  <c r="D2405" i="16"/>
  <c r="E2405" i="16"/>
  <c r="F2405" i="16"/>
  <c r="G2405" i="16"/>
  <c r="H2405" i="16"/>
  <c r="I2405" i="16"/>
  <c r="J2405" i="16"/>
  <c r="C2406" i="16"/>
  <c r="D2406" i="16"/>
  <c r="E2406" i="16"/>
  <c r="F2406" i="16"/>
  <c r="G2406" i="16"/>
  <c r="H2406" i="16"/>
  <c r="I2406" i="16"/>
  <c r="J2406" i="16"/>
  <c r="C2407" i="16"/>
  <c r="D2407" i="16"/>
  <c r="E2407" i="16"/>
  <c r="F2407" i="16"/>
  <c r="G2407" i="16"/>
  <c r="H2407" i="16"/>
  <c r="I2407" i="16"/>
  <c r="J2407" i="16"/>
  <c r="C2408" i="16"/>
  <c r="D2408" i="16"/>
  <c r="E2408" i="16"/>
  <c r="F2408" i="16"/>
  <c r="G2408" i="16"/>
  <c r="H2408" i="16"/>
  <c r="I2408" i="16"/>
  <c r="J2408" i="16"/>
  <c r="C2409" i="16"/>
  <c r="D2409" i="16"/>
  <c r="E2409" i="16"/>
  <c r="F2409" i="16"/>
  <c r="G2409" i="16"/>
  <c r="H2409" i="16"/>
  <c r="I2409" i="16"/>
  <c r="J2409" i="16"/>
  <c r="C2410" i="16"/>
  <c r="D2410" i="16"/>
  <c r="E2410" i="16"/>
  <c r="F2410" i="16"/>
  <c r="G2410" i="16"/>
  <c r="H2410" i="16"/>
  <c r="I2410" i="16"/>
  <c r="J2410" i="16"/>
  <c r="C2411" i="16"/>
  <c r="D2411" i="16"/>
  <c r="E2411" i="16"/>
  <c r="F2411" i="16"/>
  <c r="G2411" i="16"/>
  <c r="H2411" i="16"/>
  <c r="I2411" i="16"/>
  <c r="J2411" i="16"/>
  <c r="C2412" i="16"/>
  <c r="D2412" i="16"/>
  <c r="E2412" i="16"/>
  <c r="F2412" i="16"/>
  <c r="G2412" i="16"/>
  <c r="H2412" i="16"/>
  <c r="I2412" i="16"/>
  <c r="J2412" i="16"/>
  <c r="C2413" i="16"/>
  <c r="D2413" i="16"/>
  <c r="E2413" i="16"/>
  <c r="F2413" i="16"/>
  <c r="G2413" i="16"/>
  <c r="H2413" i="16"/>
  <c r="I2413" i="16"/>
  <c r="J2413" i="16"/>
  <c r="C2414" i="16"/>
  <c r="D2414" i="16"/>
  <c r="E2414" i="16"/>
  <c r="F2414" i="16"/>
  <c r="G2414" i="16"/>
  <c r="H2414" i="16"/>
  <c r="I2414" i="16"/>
  <c r="J2414" i="16"/>
  <c r="C2415" i="16"/>
  <c r="D2415" i="16"/>
  <c r="E2415" i="16"/>
  <c r="F2415" i="16"/>
  <c r="G2415" i="16"/>
  <c r="H2415" i="16"/>
  <c r="I2415" i="16"/>
  <c r="J2415" i="16"/>
  <c r="C2416" i="16"/>
  <c r="D2416" i="16"/>
  <c r="E2416" i="16"/>
  <c r="F2416" i="16"/>
  <c r="G2416" i="16"/>
  <c r="H2416" i="16"/>
  <c r="I2416" i="16"/>
  <c r="J2416" i="16"/>
  <c r="C2417" i="16"/>
  <c r="D2417" i="16"/>
  <c r="E2417" i="16"/>
  <c r="F2417" i="16"/>
  <c r="G2417" i="16"/>
  <c r="H2417" i="16"/>
  <c r="I2417" i="16"/>
  <c r="J2417" i="16"/>
  <c r="C2418" i="16"/>
  <c r="D2418" i="16"/>
  <c r="E2418" i="16"/>
  <c r="F2418" i="16"/>
  <c r="G2418" i="16"/>
  <c r="H2418" i="16"/>
  <c r="I2418" i="16"/>
  <c r="J2418" i="16"/>
  <c r="C2419" i="16"/>
  <c r="D2419" i="16"/>
  <c r="E2419" i="16"/>
  <c r="F2419" i="16"/>
  <c r="G2419" i="16"/>
  <c r="H2419" i="16"/>
  <c r="I2419" i="16"/>
  <c r="J2419" i="16"/>
  <c r="C2420" i="16"/>
  <c r="D2420" i="16"/>
  <c r="E2420" i="16"/>
  <c r="F2420" i="16"/>
  <c r="G2420" i="16"/>
  <c r="H2420" i="16"/>
  <c r="I2420" i="16"/>
  <c r="J2420" i="16"/>
  <c r="C2421" i="16"/>
  <c r="D2421" i="16"/>
  <c r="E2421" i="16"/>
  <c r="F2421" i="16"/>
  <c r="G2421" i="16"/>
  <c r="H2421" i="16"/>
  <c r="I2421" i="16"/>
  <c r="J2421" i="16"/>
  <c r="C2422" i="16"/>
  <c r="D2422" i="16"/>
  <c r="E2422" i="16"/>
  <c r="F2422" i="16"/>
  <c r="G2422" i="16"/>
  <c r="H2422" i="16"/>
  <c r="I2422" i="16"/>
  <c r="J2422" i="16"/>
  <c r="C2423" i="16"/>
  <c r="D2423" i="16"/>
  <c r="E2423" i="16"/>
  <c r="F2423" i="16"/>
  <c r="G2423" i="16"/>
  <c r="H2423" i="16"/>
  <c r="I2423" i="16"/>
  <c r="J2423" i="16"/>
  <c r="C2424" i="16"/>
  <c r="D2424" i="16"/>
  <c r="E2424" i="16"/>
  <c r="F2424" i="16"/>
  <c r="G2424" i="16"/>
  <c r="H2424" i="16"/>
  <c r="I2424" i="16"/>
  <c r="J2424" i="16"/>
  <c r="C2425" i="16"/>
  <c r="D2425" i="16"/>
  <c r="E2425" i="16"/>
  <c r="F2425" i="16"/>
  <c r="G2425" i="16"/>
  <c r="H2425" i="16"/>
  <c r="I2425" i="16"/>
  <c r="J2425" i="16"/>
  <c r="C2426" i="16"/>
  <c r="D2426" i="16"/>
  <c r="E2426" i="16"/>
  <c r="F2426" i="16"/>
  <c r="G2426" i="16"/>
  <c r="H2426" i="16"/>
  <c r="I2426" i="16"/>
  <c r="J2426" i="16"/>
  <c r="C2427" i="16"/>
  <c r="D2427" i="16"/>
  <c r="E2427" i="16"/>
  <c r="F2427" i="16"/>
  <c r="G2427" i="16"/>
  <c r="H2427" i="16"/>
  <c r="I2427" i="16"/>
  <c r="J2427" i="16"/>
  <c r="C2428" i="16"/>
  <c r="D2428" i="16"/>
  <c r="E2428" i="16"/>
  <c r="F2428" i="16"/>
  <c r="G2428" i="16"/>
  <c r="H2428" i="16"/>
  <c r="I2428" i="16"/>
  <c r="J2428" i="16"/>
  <c r="C2429" i="16"/>
  <c r="D2429" i="16"/>
  <c r="E2429" i="16"/>
  <c r="F2429" i="16"/>
  <c r="G2429" i="16"/>
  <c r="H2429" i="16"/>
  <c r="I2429" i="16"/>
  <c r="J2429" i="16"/>
  <c r="C2430" i="16"/>
  <c r="D2430" i="16"/>
  <c r="E2430" i="16"/>
  <c r="F2430" i="16"/>
  <c r="G2430" i="16"/>
  <c r="H2430" i="16"/>
  <c r="I2430" i="16"/>
  <c r="J2430" i="16"/>
  <c r="C2431" i="16"/>
  <c r="D2431" i="16"/>
  <c r="E2431" i="16"/>
  <c r="F2431" i="16"/>
  <c r="G2431" i="16"/>
  <c r="H2431" i="16"/>
  <c r="I2431" i="16"/>
  <c r="J2431" i="16"/>
  <c r="C2432" i="16"/>
  <c r="D2432" i="16"/>
  <c r="E2432" i="16"/>
  <c r="F2432" i="16"/>
  <c r="G2432" i="16"/>
  <c r="H2432" i="16"/>
  <c r="I2432" i="16"/>
  <c r="J2432" i="16"/>
  <c r="C2433" i="16"/>
  <c r="D2433" i="16"/>
  <c r="E2433" i="16"/>
  <c r="F2433" i="16"/>
  <c r="G2433" i="16"/>
  <c r="H2433" i="16"/>
  <c r="I2433" i="16"/>
  <c r="J2433" i="16"/>
  <c r="C2434" i="16"/>
  <c r="D2434" i="16"/>
  <c r="E2434" i="16"/>
  <c r="F2434" i="16"/>
  <c r="G2434" i="16"/>
  <c r="H2434" i="16"/>
  <c r="I2434" i="16"/>
  <c r="J2434" i="16"/>
  <c r="C2435" i="16"/>
  <c r="D2435" i="16"/>
  <c r="E2435" i="16"/>
  <c r="F2435" i="16"/>
  <c r="G2435" i="16"/>
  <c r="H2435" i="16"/>
  <c r="I2435" i="16"/>
  <c r="J2435" i="16"/>
  <c r="C2436" i="16"/>
  <c r="D2436" i="16"/>
  <c r="E2436" i="16"/>
  <c r="F2436" i="16"/>
  <c r="G2436" i="16"/>
  <c r="H2436" i="16"/>
  <c r="I2436" i="16"/>
  <c r="J2436" i="16"/>
  <c r="C2437" i="16"/>
  <c r="D2437" i="16"/>
  <c r="E2437" i="16"/>
  <c r="F2437" i="16"/>
  <c r="G2437" i="16"/>
  <c r="H2437" i="16"/>
  <c r="I2437" i="16"/>
  <c r="J2437" i="16"/>
  <c r="C2438" i="16"/>
  <c r="D2438" i="16"/>
  <c r="E2438" i="16"/>
  <c r="F2438" i="16"/>
  <c r="G2438" i="16"/>
  <c r="H2438" i="16"/>
  <c r="I2438" i="16"/>
  <c r="J2438" i="16"/>
  <c r="C2439" i="16"/>
  <c r="D2439" i="16"/>
  <c r="E2439" i="16"/>
  <c r="F2439" i="16"/>
  <c r="G2439" i="16"/>
  <c r="H2439" i="16"/>
  <c r="I2439" i="16"/>
  <c r="J2439" i="16"/>
  <c r="C2440" i="16"/>
  <c r="D2440" i="16"/>
  <c r="E2440" i="16"/>
  <c r="F2440" i="16"/>
  <c r="G2440" i="16"/>
  <c r="H2440" i="16"/>
  <c r="I2440" i="16"/>
  <c r="J2440" i="16"/>
  <c r="C2441" i="16"/>
  <c r="D2441" i="16"/>
  <c r="E2441" i="16"/>
  <c r="F2441" i="16"/>
  <c r="G2441" i="16"/>
  <c r="H2441" i="16"/>
  <c r="I2441" i="16"/>
  <c r="J2441" i="16"/>
  <c r="C2442" i="16"/>
  <c r="D2442" i="16"/>
  <c r="E2442" i="16"/>
  <c r="F2442" i="16"/>
  <c r="G2442" i="16"/>
  <c r="H2442" i="16"/>
  <c r="I2442" i="16"/>
  <c r="J2442" i="16"/>
  <c r="C2443" i="16"/>
  <c r="D2443" i="16"/>
  <c r="E2443" i="16"/>
  <c r="F2443" i="16"/>
  <c r="G2443" i="16"/>
  <c r="H2443" i="16"/>
  <c r="I2443" i="16"/>
  <c r="J2443" i="16"/>
  <c r="C2444" i="16"/>
  <c r="D2444" i="16"/>
  <c r="E2444" i="16"/>
  <c r="F2444" i="16"/>
  <c r="G2444" i="16"/>
  <c r="H2444" i="16"/>
  <c r="I2444" i="16"/>
  <c r="J2444" i="16"/>
  <c r="C2445" i="16"/>
  <c r="D2445" i="16"/>
  <c r="E2445" i="16"/>
  <c r="F2445" i="16"/>
  <c r="G2445" i="16"/>
  <c r="H2445" i="16"/>
  <c r="I2445" i="16"/>
  <c r="J2445" i="16"/>
  <c r="C2446" i="16"/>
  <c r="D2446" i="16"/>
  <c r="E2446" i="16"/>
  <c r="F2446" i="16"/>
  <c r="G2446" i="16"/>
  <c r="H2446" i="16"/>
  <c r="I2446" i="16"/>
  <c r="J2446" i="16"/>
  <c r="C2447" i="16"/>
  <c r="D2447" i="16"/>
  <c r="E2447" i="16"/>
  <c r="F2447" i="16"/>
  <c r="G2447" i="16"/>
  <c r="H2447" i="16"/>
  <c r="I2447" i="16"/>
  <c r="J2447" i="16"/>
  <c r="C2448" i="16"/>
  <c r="D2448" i="16"/>
  <c r="E2448" i="16"/>
  <c r="F2448" i="16"/>
  <c r="G2448" i="16"/>
  <c r="H2448" i="16"/>
  <c r="I2448" i="16"/>
  <c r="J2448" i="16"/>
  <c r="C2449" i="16"/>
  <c r="D2449" i="16"/>
  <c r="E2449" i="16"/>
  <c r="F2449" i="16"/>
  <c r="G2449" i="16"/>
  <c r="H2449" i="16"/>
  <c r="I2449" i="16"/>
  <c r="J2449" i="16"/>
  <c r="C2450" i="16"/>
  <c r="D2450" i="16"/>
  <c r="E2450" i="16"/>
  <c r="F2450" i="16"/>
  <c r="G2450" i="16"/>
  <c r="H2450" i="16"/>
  <c r="I2450" i="16"/>
  <c r="J2450" i="16"/>
  <c r="C2451" i="16"/>
  <c r="D2451" i="16"/>
  <c r="E2451" i="16"/>
  <c r="F2451" i="16"/>
  <c r="G2451" i="16"/>
  <c r="H2451" i="16"/>
  <c r="I2451" i="16"/>
  <c r="J2451" i="16"/>
  <c r="C2452" i="16"/>
  <c r="D2452" i="16"/>
  <c r="E2452" i="16"/>
  <c r="F2452" i="16"/>
  <c r="G2452" i="16"/>
  <c r="H2452" i="16"/>
  <c r="I2452" i="16"/>
  <c r="J2452" i="16"/>
  <c r="C2453" i="16"/>
  <c r="D2453" i="16"/>
  <c r="E2453" i="16"/>
  <c r="F2453" i="16"/>
  <c r="G2453" i="16"/>
  <c r="H2453" i="16"/>
  <c r="I2453" i="16"/>
  <c r="J2453" i="16"/>
  <c r="C2454" i="16"/>
  <c r="D2454" i="16"/>
  <c r="E2454" i="16"/>
  <c r="F2454" i="16"/>
  <c r="G2454" i="16"/>
  <c r="H2454" i="16"/>
  <c r="I2454" i="16"/>
  <c r="J2454" i="16"/>
  <c r="C2455" i="16"/>
  <c r="D2455" i="16"/>
  <c r="E2455" i="16"/>
  <c r="F2455" i="16"/>
  <c r="G2455" i="16"/>
  <c r="H2455" i="16"/>
  <c r="I2455" i="16"/>
  <c r="J2455" i="16"/>
  <c r="C2456" i="16"/>
  <c r="D2456" i="16"/>
  <c r="E2456" i="16"/>
  <c r="F2456" i="16"/>
  <c r="G2456" i="16"/>
  <c r="H2456" i="16"/>
  <c r="I2456" i="16"/>
  <c r="J2456" i="16"/>
  <c r="C2457" i="16"/>
  <c r="D2457" i="16"/>
  <c r="E2457" i="16"/>
  <c r="F2457" i="16"/>
  <c r="G2457" i="16"/>
  <c r="H2457" i="16"/>
  <c r="I2457" i="16"/>
  <c r="J2457" i="16"/>
  <c r="C2458" i="16"/>
  <c r="D2458" i="16"/>
  <c r="E2458" i="16"/>
  <c r="F2458" i="16"/>
  <c r="G2458" i="16"/>
  <c r="H2458" i="16"/>
  <c r="I2458" i="16"/>
  <c r="J2458" i="16"/>
  <c r="C2459" i="16"/>
  <c r="D2459" i="16"/>
  <c r="E2459" i="16"/>
  <c r="F2459" i="16"/>
  <c r="G2459" i="16"/>
  <c r="H2459" i="16"/>
  <c r="I2459" i="16"/>
  <c r="J2459" i="16"/>
  <c r="C2460" i="16"/>
  <c r="D2460" i="16"/>
  <c r="E2460" i="16"/>
  <c r="F2460" i="16"/>
  <c r="G2460" i="16"/>
  <c r="H2460" i="16"/>
  <c r="I2460" i="16"/>
  <c r="J2460" i="16"/>
  <c r="C2461" i="16"/>
  <c r="D2461" i="16"/>
  <c r="E2461" i="16"/>
  <c r="F2461" i="16"/>
  <c r="G2461" i="16"/>
  <c r="H2461" i="16"/>
  <c r="I2461" i="16"/>
  <c r="J2461" i="16"/>
  <c r="C2462" i="16"/>
  <c r="D2462" i="16"/>
  <c r="E2462" i="16"/>
  <c r="F2462" i="16"/>
  <c r="G2462" i="16"/>
  <c r="H2462" i="16"/>
  <c r="I2462" i="16"/>
  <c r="J2462" i="16"/>
  <c r="C2463" i="16"/>
  <c r="D2463" i="16"/>
  <c r="E2463" i="16"/>
  <c r="F2463" i="16"/>
  <c r="G2463" i="16"/>
  <c r="H2463" i="16"/>
  <c r="I2463" i="16"/>
  <c r="J2463" i="16"/>
  <c r="C2464" i="16"/>
  <c r="D2464" i="16"/>
  <c r="E2464" i="16"/>
  <c r="F2464" i="16"/>
  <c r="G2464" i="16"/>
  <c r="H2464" i="16"/>
  <c r="I2464" i="16"/>
  <c r="J2464" i="16"/>
  <c r="C2465" i="16"/>
  <c r="D2465" i="16"/>
  <c r="E2465" i="16"/>
  <c r="F2465" i="16"/>
  <c r="G2465" i="16"/>
  <c r="H2465" i="16"/>
  <c r="I2465" i="16"/>
  <c r="J2465" i="16"/>
  <c r="C2466" i="16"/>
  <c r="D2466" i="16"/>
  <c r="E2466" i="16"/>
  <c r="F2466" i="16"/>
  <c r="G2466" i="16"/>
  <c r="H2466" i="16"/>
  <c r="I2466" i="16"/>
  <c r="J2466" i="16"/>
  <c r="C2467" i="16"/>
  <c r="D2467" i="16"/>
  <c r="E2467" i="16"/>
  <c r="F2467" i="16"/>
  <c r="G2467" i="16"/>
  <c r="H2467" i="16"/>
  <c r="I2467" i="16"/>
  <c r="J2467" i="16"/>
  <c r="C2468" i="16"/>
  <c r="D2468" i="16"/>
  <c r="E2468" i="16"/>
  <c r="F2468" i="16"/>
  <c r="G2468" i="16"/>
  <c r="H2468" i="16"/>
  <c r="I2468" i="16"/>
  <c r="J2468" i="16"/>
  <c r="C2469" i="16"/>
  <c r="D2469" i="16"/>
  <c r="E2469" i="16"/>
  <c r="F2469" i="16"/>
  <c r="G2469" i="16"/>
  <c r="H2469" i="16"/>
  <c r="I2469" i="16"/>
  <c r="J2469" i="16"/>
  <c r="C2470" i="16"/>
  <c r="D2470" i="16"/>
  <c r="E2470" i="16"/>
  <c r="F2470" i="16"/>
  <c r="G2470" i="16"/>
  <c r="H2470" i="16"/>
  <c r="I2470" i="16"/>
  <c r="J2470" i="16"/>
  <c r="C2471" i="16"/>
  <c r="D2471" i="16"/>
  <c r="E2471" i="16"/>
  <c r="F2471" i="16"/>
  <c r="G2471" i="16"/>
  <c r="H2471" i="16"/>
  <c r="I2471" i="16"/>
  <c r="J2471" i="16"/>
  <c r="C2472" i="16"/>
  <c r="D2472" i="16"/>
  <c r="E2472" i="16"/>
  <c r="F2472" i="16"/>
  <c r="G2472" i="16"/>
  <c r="H2472" i="16"/>
  <c r="I2472" i="16"/>
  <c r="J2472" i="16"/>
  <c r="C2473" i="16"/>
  <c r="D2473" i="16"/>
  <c r="E2473" i="16"/>
  <c r="F2473" i="16"/>
  <c r="G2473" i="16"/>
  <c r="H2473" i="16"/>
  <c r="I2473" i="16"/>
  <c r="J2473" i="16"/>
  <c r="C2474" i="16"/>
  <c r="D2474" i="16"/>
  <c r="E2474" i="16"/>
  <c r="F2474" i="16"/>
  <c r="G2474" i="16"/>
  <c r="H2474" i="16"/>
  <c r="I2474" i="16"/>
  <c r="J2474" i="16"/>
  <c r="C2475" i="16"/>
  <c r="D2475" i="16"/>
  <c r="E2475" i="16"/>
  <c r="F2475" i="16"/>
  <c r="G2475" i="16"/>
  <c r="H2475" i="16"/>
  <c r="I2475" i="16"/>
  <c r="J2475" i="16"/>
  <c r="C2476" i="16"/>
  <c r="D2476" i="16"/>
  <c r="E2476" i="16"/>
  <c r="F2476" i="16"/>
  <c r="G2476" i="16"/>
  <c r="H2476" i="16"/>
  <c r="I2476" i="16"/>
  <c r="J2476" i="16"/>
  <c r="C2477" i="16"/>
  <c r="D2477" i="16"/>
  <c r="E2477" i="16"/>
  <c r="F2477" i="16"/>
  <c r="G2477" i="16"/>
  <c r="H2477" i="16"/>
  <c r="I2477" i="16"/>
  <c r="J2477" i="16"/>
  <c r="C2478" i="16"/>
  <c r="D2478" i="16"/>
  <c r="E2478" i="16"/>
  <c r="F2478" i="16"/>
  <c r="G2478" i="16"/>
  <c r="H2478" i="16"/>
  <c r="I2478" i="16"/>
  <c r="J2478" i="16"/>
  <c r="C2479" i="16"/>
  <c r="D2479" i="16"/>
  <c r="E2479" i="16"/>
  <c r="F2479" i="16"/>
  <c r="G2479" i="16"/>
  <c r="H2479" i="16"/>
  <c r="I2479" i="16"/>
  <c r="J2479" i="16"/>
  <c r="C2480" i="16"/>
  <c r="D2480" i="16"/>
  <c r="E2480" i="16"/>
  <c r="F2480" i="16"/>
  <c r="G2480" i="16"/>
  <c r="H2480" i="16"/>
  <c r="I2480" i="16"/>
  <c r="J2480" i="16"/>
  <c r="C2481" i="16"/>
  <c r="D2481" i="16"/>
  <c r="E2481" i="16"/>
  <c r="F2481" i="16"/>
  <c r="G2481" i="16"/>
  <c r="H2481" i="16"/>
  <c r="I2481" i="16"/>
  <c r="J2481" i="16"/>
  <c r="C2482" i="16"/>
  <c r="D2482" i="16"/>
  <c r="E2482" i="16"/>
  <c r="F2482" i="16"/>
  <c r="G2482" i="16"/>
  <c r="H2482" i="16"/>
  <c r="I2482" i="16"/>
  <c r="J2482" i="16"/>
  <c r="C2483" i="16"/>
  <c r="D2483" i="16"/>
  <c r="E2483" i="16"/>
  <c r="F2483" i="16"/>
  <c r="G2483" i="16"/>
  <c r="H2483" i="16"/>
  <c r="I2483" i="16"/>
  <c r="J2483" i="16"/>
  <c r="C2484" i="16"/>
  <c r="D2484" i="16"/>
  <c r="E2484" i="16"/>
  <c r="F2484" i="16"/>
  <c r="G2484" i="16"/>
  <c r="H2484" i="16"/>
  <c r="I2484" i="16"/>
  <c r="J2484" i="16"/>
  <c r="C2485" i="16"/>
  <c r="D2485" i="16"/>
  <c r="E2485" i="16"/>
  <c r="F2485" i="16"/>
  <c r="G2485" i="16"/>
  <c r="H2485" i="16"/>
  <c r="I2485" i="16"/>
  <c r="J2485" i="16"/>
  <c r="C2486" i="16"/>
  <c r="D2486" i="16"/>
  <c r="E2486" i="16"/>
  <c r="F2486" i="16"/>
  <c r="G2486" i="16"/>
  <c r="H2486" i="16"/>
  <c r="I2486" i="16"/>
  <c r="J2486" i="16"/>
  <c r="C2487" i="16"/>
  <c r="D2487" i="16"/>
  <c r="E2487" i="16"/>
  <c r="F2487" i="16"/>
  <c r="G2487" i="16"/>
  <c r="H2487" i="16"/>
  <c r="I2487" i="16"/>
  <c r="J2487" i="16"/>
  <c r="C2488" i="16"/>
  <c r="D2488" i="16"/>
  <c r="E2488" i="16"/>
  <c r="F2488" i="16"/>
  <c r="G2488" i="16"/>
  <c r="H2488" i="16"/>
  <c r="I2488" i="16"/>
  <c r="J2488" i="16"/>
  <c r="C2489" i="16"/>
  <c r="D2489" i="16"/>
  <c r="E2489" i="16"/>
  <c r="F2489" i="16"/>
  <c r="G2489" i="16"/>
  <c r="H2489" i="16"/>
  <c r="I2489" i="16"/>
  <c r="J2489" i="16"/>
  <c r="C2490" i="16"/>
  <c r="D2490" i="16"/>
  <c r="E2490" i="16"/>
  <c r="F2490" i="16"/>
  <c r="G2490" i="16"/>
  <c r="H2490" i="16"/>
  <c r="I2490" i="16"/>
  <c r="J2490" i="16"/>
  <c r="C2491" i="16"/>
  <c r="D2491" i="16"/>
  <c r="E2491" i="16"/>
  <c r="F2491" i="16"/>
  <c r="G2491" i="16"/>
  <c r="H2491" i="16"/>
  <c r="I2491" i="16"/>
  <c r="J2491" i="16"/>
  <c r="C2492" i="16"/>
  <c r="D2492" i="16"/>
  <c r="E2492" i="16"/>
  <c r="F2492" i="16"/>
  <c r="G2492" i="16"/>
  <c r="H2492" i="16"/>
  <c r="I2492" i="16"/>
  <c r="J2492" i="16"/>
  <c r="C2493" i="16"/>
  <c r="D2493" i="16"/>
  <c r="E2493" i="16"/>
  <c r="F2493" i="16"/>
  <c r="G2493" i="16"/>
  <c r="H2493" i="16"/>
  <c r="I2493" i="16"/>
  <c r="J2493" i="16"/>
  <c r="C2494" i="16"/>
  <c r="D2494" i="16"/>
  <c r="E2494" i="16"/>
  <c r="F2494" i="16"/>
  <c r="G2494" i="16"/>
  <c r="H2494" i="16"/>
  <c r="I2494" i="16"/>
  <c r="J2494" i="16"/>
  <c r="C2495" i="16"/>
  <c r="D2495" i="16"/>
  <c r="E2495" i="16"/>
  <c r="F2495" i="16"/>
  <c r="G2495" i="16"/>
  <c r="H2495" i="16"/>
  <c r="I2495" i="16"/>
  <c r="J2495" i="16"/>
  <c r="C2496" i="16"/>
  <c r="D2496" i="16"/>
  <c r="E2496" i="16"/>
  <c r="F2496" i="16"/>
  <c r="G2496" i="16"/>
  <c r="H2496" i="16"/>
  <c r="I2496" i="16"/>
  <c r="J2496" i="16"/>
  <c r="C2497" i="16"/>
  <c r="D2497" i="16"/>
  <c r="E2497" i="16"/>
  <c r="F2497" i="16"/>
  <c r="G2497" i="16"/>
  <c r="H2497" i="16"/>
  <c r="I2497" i="16"/>
  <c r="J2497" i="16"/>
  <c r="C2498" i="16"/>
  <c r="D2498" i="16"/>
  <c r="E2498" i="16"/>
  <c r="F2498" i="16"/>
  <c r="G2498" i="16"/>
  <c r="H2498" i="16"/>
  <c r="I2498" i="16"/>
  <c r="J2498" i="16"/>
  <c r="C2499" i="16"/>
  <c r="D2499" i="16"/>
  <c r="E2499" i="16"/>
  <c r="F2499" i="16"/>
  <c r="G2499" i="16"/>
  <c r="H2499" i="16"/>
  <c r="I2499" i="16"/>
  <c r="J2499" i="16"/>
  <c r="C2500" i="16"/>
  <c r="D2500" i="16"/>
  <c r="E2500" i="16"/>
  <c r="F2500" i="16"/>
  <c r="G2500" i="16"/>
  <c r="H2500" i="16"/>
  <c r="I2500" i="16"/>
  <c r="J2500" i="16"/>
  <c r="C2501" i="16"/>
  <c r="D2501" i="16"/>
  <c r="E2501" i="16"/>
  <c r="F2501" i="16"/>
  <c r="G2501" i="16"/>
  <c r="H2501" i="16"/>
  <c r="I2501" i="16"/>
  <c r="J2501" i="16"/>
  <c r="C2502" i="16"/>
  <c r="D2502" i="16"/>
  <c r="E2502" i="16"/>
  <c r="F2502" i="16"/>
  <c r="G2502" i="16"/>
  <c r="H2502" i="16"/>
  <c r="I2502" i="16"/>
  <c r="J2502" i="16"/>
  <c r="C2503" i="16"/>
  <c r="D2503" i="16"/>
  <c r="E2503" i="16"/>
  <c r="F2503" i="16"/>
  <c r="G2503" i="16"/>
  <c r="H2503" i="16"/>
  <c r="I2503" i="16"/>
  <c r="J2503" i="16"/>
  <c r="C2504" i="16"/>
  <c r="D2504" i="16"/>
  <c r="E2504" i="16"/>
  <c r="F2504" i="16"/>
  <c r="G2504" i="16"/>
  <c r="H2504" i="16"/>
  <c r="I2504" i="16"/>
  <c r="J2504" i="16"/>
  <c r="C2505" i="16"/>
  <c r="D2505" i="16"/>
  <c r="E2505" i="16"/>
  <c r="F2505" i="16"/>
  <c r="G2505" i="16"/>
  <c r="H2505" i="16"/>
  <c r="I2505" i="16"/>
  <c r="J2505" i="16"/>
  <c r="C2506" i="16"/>
  <c r="D2506" i="16"/>
  <c r="E2506" i="16"/>
  <c r="F2506" i="16"/>
  <c r="G2506" i="16"/>
  <c r="H2506" i="16"/>
  <c r="I2506" i="16"/>
  <c r="J2506" i="16"/>
  <c r="C2507" i="16"/>
  <c r="D2507" i="16"/>
  <c r="E2507" i="16"/>
  <c r="F2507" i="16"/>
  <c r="G2507" i="16"/>
  <c r="H2507" i="16"/>
  <c r="I2507" i="16"/>
  <c r="J2507" i="16"/>
  <c r="C2508" i="16"/>
  <c r="D2508" i="16"/>
  <c r="E2508" i="16"/>
  <c r="F2508" i="16"/>
  <c r="G2508" i="16"/>
  <c r="H2508" i="16"/>
  <c r="I2508" i="16"/>
  <c r="J2508" i="16"/>
  <c r="C2509" i="16"/>
  <c r="D2509" i="16"/>
  <c r="E2509" i="16"/>
  <c r="F2509" i="16"/>
  <c r="G2509" i="16"/>
  <c r="H2509" i="16"/>
  <c r="I2509" i="16"/>
  <c r="J2509" i="16"/>
  <c r="C2510" i="16"/>
  <c r="D2510" i="16"/>
  <c r="E2510" i="16"/>
  <c r="F2510" i="16"/>
  <c r="G2510" i="16"/>
  <c r="H2510" i="16"/>
  <c r="I2510" i="16"/>
  <c r="J2510" i="16"/>
  <c r="C2511" i="16"/>
  <c r="D2511" i="16"/>
  <c r="E2511" i="16"/>
  <c r="F2511" i="16"/>
  <c r="G2511" i="16"/>
  <c r="H2511" i="16"/>
  <c r="I2511" i="16"/>
  <c r="J2511" i="16"/>
  <c r="C2512" i="16"/>
  <c r="D2512" i="16"/>
  <c r="E2512" i="16"/>
  <c r="F2512" i="16"/>
  <c r="G2512" i="16"/>
  <c r="H2512" i="16"/>
  <c r="I2512" i="16"/>
  <c r="J2512" i="16"/>
  <c r="C2513" i="16"/>
  <c r="D2513" i="16"/>
  <c r="E2513" i="16"/>
  <c r="F2513" i="16"/>
  <c r="G2513" i="16"/>
  <c r="H2513" i="16"/>
  <c r="I2513" i="16"/>
  <c r="J2513" i="16"/>
  <c r="C2514" i="16"/>
  <c r="D2514" i="16"/>
  <c r="E2514" i="16"/>
  <c r="F2514" i="16"/>
  <c r="G2514" i="16"/>
  <c r="H2514" i="16"/>
  <c r="I2514" i="16"/>
  <c r="J2514" i="16"/>
  <c r="C2515" i="16"/>
  <c r="D2515" i="16"/>
  <c r="E2515" i="16"/>
  <c r="F2515" i="16"/>
  <c r="G2515" i="16"/>
  <c r="H2515" i="16"/>
  <c r="I2515" i="16"/>
  <c r="J2515" i="16"/>
  <c r="C2516" i="16"/>
  <c r="D2516" i="16"/>
  <c r="E2516" i="16"/>
  <c r="F2516" i="16"/>
  <c r="G2516" i="16"/>
  <c r="H2516" i="16"/>
  <c r="I2516" i="16"/>
  <c r="J2516" i="16"/>
  <c r="C2517" i="16"/>
  <c r="D2517" i="16"/>
  <c r="E2517" i="16"/>
  <c r="F2517" i="16"/>
  <c r="G2517" i="16"/>
  <c r="H2517" i="16"/>
  <c r="I2517" i="16"/>
  <c r="J2517" i="16"/>
  <c r="C2518" i="16"/>
  <c r="D2518" i="16"/>
  <c r="E2518" i="16"/>
  <c r="F2518" i="16"/>
  <c r="G2518" i="16"/>
  <c r="H2518" i="16"/>
  <c r="I2518" i="16"/>
  <c r="J2518" i="16"/>
  <c r="C2519" i="16"/>
  <c r="D2519" i="16"/>
  <c r="E2519" i="16"/>
  <c r="F2519" i="16"/>
  <c r="G2519" i="16"/>
  <c r="H2519" i="16"/>
  <c r="I2519" i="16"/>
  <c r="J2519" i="16"/>
  <c r="C2520" i="16"/>
  <c r="D2520" i="16"/>
  <c r="E2520" i="16"/>
  <c r="F2520" i="16"/>
  <c r="G2520" i="16"/>
  <c r="H2520" i="16"/>
  <c r="I2520" i="16"/>
  <c r="J2520" i="16"/>
  <c r="C2521" i="16"/>
  <c r="D2521" i="16"/>
  <c r="E2521" i="16"/>
  <c r="F2521" i="16"/>
  <c r="G2521" i="16"/>
  <c r="H2521" i="16"/>
  <c r="I2521" i="16"/>
  <c r="J2521" i="16"/>
  <c r="C2522" i="16"/>
  <c r="D2522" i="16"/>
  <c r="E2522" i="16"/>
  <c r="F2522" i="16"/>
  <c r="G2522" i="16"/>
  <c r="H2522" i="16"/>
  <c r="I2522" i="16"/>
  <c r="J2522" i="16"/>
  <c r="C2523" i="16"/>
  <c r="D2523" i="16"/>
  <c r="E2523" i="16"/>
  <c r="F2523" i="16"/>
  <c r="G2523" i="16"/>
  <c r="H2523" i="16"/>
  <c r="I2523" i="16"/>
  <c r="J2523" i="16"/>
  <c r="C2524" i="16"/>
  <c r="D2524" i="16"/>
  <c r="E2524" i="16"/>
  <c r="F2524" i="16"/>
  <c r="G2524" i="16"/>
  <c r="H2524" i="16"/>
  <c r="I2524" i="16"/>
  <c r="J2524" i="16"/>
  <c r="C2525" i="16"/>
  <c r="D2525" i="16"/>
  <c r="E2525" i="16"/>
  <c r="F2525" i="16"/>
  <c r="G2525" i="16"/>
  <c r="H2525" i="16"/>
  <c r="I2525" i="16"/>
  <c r="J2525" i="16"/>
  <c r="C2526" i="16"/>
  <c r="D2526" i="16"/>
  <c r="E2526" i="16"/>
  <c r="F2526" i="16"/>
  <c r="G2526" i="16"/>
  <c r="H2526" i="16"/>
  <c r="I2526" i="16"/>
  <c r="J2526" i="16"/>
  <c r="C2527" i="16"/>
  <c r="D2527" i="16"/>
  <c r="E2527" i="16"/>
  <c r="F2527" i="16"/>
  <c r="G2527" i="16"/>
  <c r="H2527" i="16"/>
  <c r="I2527" i="16"/>
  <c r="J2527" i="16"/>
  <c r="C2528" i="16"/>
  <c r="D2528" i="16"/>
  <c r="E2528" i="16"/>
  <c r="F2528" i="16"/>
  <c r="G2528" i="16"/>
  <c r="H2528" i="16"/>
  <c r="I2528" i="16"/>
  <c r="J2528" i="16"/>
  <c r="C2529" i="16"/>
  <c r="D2529" i="16"/>
  <c r="E2529" i="16"/>
  <c r="F2529" i="16"/>
  <c r="G2529" i="16"/>
  <c r="H2529" i="16"/>
  <c r="I2529" i="16"/>
  <c r="J2529" i="16"/>
  <c r="C2530" i="16"/>
  <c r="D2530" i="16"/>
  <c r="E2530" i="16"/>
  <c r="F2530" i="16"/>
  <c r="G2530" i="16"/>
  <c r="H2530" i="16"/>
  <c r="I2530" i="16"/>
  <c r="J2530" i="16"/>
  <c r="C2531" i="16"/>
  <c r="D2531" i="16"/>
  <c r="E2531" i="16"/>
  <c r="F2531" i="16"/>
  <c r="G2531" i="16"/>
  <c r="H2531" i="16"/>
  <c r="I2531" i="16"/>
  <c r="J2531" i="16"/>
  <c r="C2532" i="16"/>
  <c r="D2532" i="16"/>
  <c r="E2532" i="16"/>
  <c r="F2532" i="16"/>
  <c r="G2532" i="16"/>
  <c r="H2532" i="16"/>
  <c r="I2532" i="16"/>
  <c r="J2532" i="16"/>
  <c r="C2533" i="16"/>
  <c r="D2533" i="16"/>
  <c r="E2533" i="16"/>
  <c r="F2533" i="16"/>
  <c r="G2533" i="16"/>
  <c r="H2533" i="16"/>
  <c r="I2533" i="16"/>
  <c r="J2533" i="16"/>
  <c r="C2534" i="16"/>
  <c r="D2534" i="16"/>
  <c r="E2534" i="16"/>
  <c r="F2534" i="16"/>
  <c r="G2534" i="16"/>
  <c r="H2534" i="16"/>
  <c r="I2534" i="16"/>
  <c r="J2534" i="16"/>
  <c r="C2535" i="16"/>
  <c r="D2535" i="16"/>
  <c r="E2535" i="16"/>
  <c r="F2535" i="16"/>
  <c r="G2535" i="16"/>
  <c r="H2535" i="16"/>
  <c r="I2535" i="16"/>
  <c r="J2535" i="16"/>
  <c r="C2536" i="16"/>
  <c r="D2536" i="16"/>
  <c r="E2536" i="16"/>
  <c r="F2536" i="16"/>
  <c r="G2536" i="16"/>
  <c r="H2536" i="16"/>
  <c r="I2536" i="16"/>
  <c r="J2536" i="16"/>
  <c r="C2537" i="16"/>
  <c r="D2537" i="16"/>
  <c r="E2537" i="16"/>
  <c r="F2537" i="16"/>
  <c r="G2537" i="16"/>
  <c r="H2537" i="16"/>
  <c r="I2537" i="16"/>
  <c r="J2537" i="16"/>
  <c r="C2538" i="16"/>
  <c r="D2538" i="16"/>
  <c r="E2538" i="16"/>
  <c r="F2538" i="16"/>
  <c r="G2538" i="16"/>
  <c r="H2538" i="16"/>
  <c r="I2538" i="16"/>
  <c r="J2538" i="16"/>
  <c r="C2539" i="16"/>
  <c r="D2539" i="16"/>
  <c r="E2539" i="16"/>
  <c r="F2539" i="16"/>
  <c r="G2539" i="16"/>
  <c r="H2539" i="16"/>
  <c r="I2539" i="16"/>
  <c r="J2539" i="16"/>
  <c r="C2540" i="16"/>
  <c r="D2540" i="16"/>
  <c r="E2540" i="16"/>
  <c r="F2540" i="16"/>
  <c r="G2540" i="16"/>
  <c r="H2540" i="16"/>
  <c r="I2540" i="16"/>
  <c r="J2540" i="16"/>
  <c r="C2541" i="16"/>
  <c r="D2541" i="16"/>
  <c r="E2541" i="16"/>
  <c r="F2541" i="16"/>
  <c r="G2541" i="16"/>
  <c r="H2541" i="16"/>
  <c r="I2541" i="16"/>
  <c r="J2541" i="16"/>
  <c r="C2542" i="16"/>
  <c r="D2542" i="16"/>
  <c r="E2542" i="16"/>
  <c r="F2542" i="16"/>
  <c r="G2542" i="16"/>
  <c r="H2542" i="16"/>
  <c r="I2542" i="16"/>
  <c r="J2542" i="16"/>
  <c r="C2543" i="16"/>
  <c r="D2543" i="16"/>
  <c r="E2543" i="16"/>
  <c r="F2543" i="16"/>
  <c r="G2543" i="16"/>
  <c r="H2543" i="16"/>
  <c r="I2543" i="16"/>
  <c r="J2543" i="16"/>
  <c r="C2544" i="16"/>
  <c r="D2544" i="16"/>
  <c r="E2544" i="16"/>
  <c r="F2544" i="16"/>
  <c r="G2544" i="16"/>
  <c r="H2544" i="16"/>
  <c r="I2544" i="16"/>
  <c r="J2544" i="16"/>
  <c r="C2545" i="16"/>
  <c r="D2545" i="16"/>
  <c r="E2545" i="16"/>
  <c r="F2545" i="16"/>
  <c r="G2545" i="16"/>
  <c r="H2545" i="16"/>
  <c r="I2545" i="16"/>
  <c r="J2545" i="16"/>
  <c r="C2546" i="16"/>
  <c r="D2546" i="16"/>
  <c r="E2546" i="16"/>
  <c r="F2546" i="16"/>
  <c r="G2546" i="16"/>
  <c r="H2546" i="16"/>
  <c r="I2546" i="16"/>
  <c r="J2546" i="16"/>
  <c r="C2547" i="16"/>
  <c r="D2547" i="16"/>
  <c r="E2547" i="16"/>
  <c r="F2547" i="16"/>
  <c r="G2547" i="16"/>
  <c r="H2547" i="16"/>
  <c r="I2547" i="16"/>
  <c r="J2547" i="16"/>
  <c r="C2548" i="16"/>
  <c r="D2548" i="16"/>
  <c r="E2548" i="16"/>
  <c r="F2548" i="16"/>
  <c r="G2548" i="16"/>
  <c r="H2548" i="16"/>
  <c r="I2548" i="16"/>
  <c r="J2548" i="16"/>
  <c r="C2549" i="16"/>
  <c r="D2549" i="16"/>
  <c r="E2549" i="16"/>
  <c r="F2549" i="16"/>
  <c r="G2549" i="16"/>
  <c r="H2549" i="16"/>
  <c r="I2549" i="16"/>
  <c r="J2549" i="16"/>
  <c r="C2550" i="16"/>
  <c r="D2550" i="16"/>
  <c r="E2550" i="16"/>
  <c r="F2550" i="16"/>
  <c r="G2550" i="16"/>
  <c r="H2550" i="16"/>
  <c r="I2550" i="16"/>
  <c r="J2550" i="16"/>
  <c r="C2551" i="16"/>
  <c r="D2551" i="16"/>
  <c r="E2551" i="16"/>
  <c r="F2551" i="16"/>
  <c r="G2551" i="16"/>
  <c r="H2551" i="16"/>
  <c r="I2551" i="16"/>
  <c r="J2551" i="16"/>
  <c r="C2552" i="16"/>
  <c r="D2552" i="16"/>
  <c r="E2552" i="16"/>
  <c r="F2552" i="16"/>
  <c r="G2552" i="16"/>
  <c r="H2552" i="16"/>
  <c r="I2552" i="16"/>
  <c r="J2552" i="16"/>
  <c r="C2553" i="16"/>
  <c r="D2553" i="16"/>
  <c r="E2553" i="16"/>
  <c r="F2553" i="16"/>
  <c r="G2553" i="16"/>
  <c r="H2553" i="16"/>
  <c r="I2553" i="16"/>
  <c r="J2553" i="16"/>
  <c r="C2554" i="16"/>
  <c r="D2554" i="16"/>
  <c r="E2554" i="16"/>
  <c r="F2554" i="16"/>
  <c r="G2554" i="16"/>
  <c r="H2554" i="16"/>
  <c r="I2554" i="16"/>
  <c r="J2554" i="16"/>
  <c r="C2555" i="16"/>
  <c r="D2555" i="16"/>
  <c r="E2555" i="16"/>
  <c r="F2555" i="16"/>
  <c r="G2555" i="16"/>
  <c r="H2555" i="16"/>
  <c r="I2555" i="16"/>
  <c r="J2555" i="16"/>
  <c r="C2556" i="16"/>
  <c r="D2556" i="16"/>
  <c r="E2556" i="16"/>
  <c r="F2556" i="16"/>
  <c r="G2556" i="16"/>
  <c r="H2556" i="16"/>
  <c r="I2556" i="16"/>
  <c r="J2556" i="16"/>
  <c r="C2557" i="16"/>
  <c r="D2557" i="16"/>
  <c r="E2557" i="16"/>
  <c r="F2557" i="16"/>
  <c r="G2557" i="16"/>
  <c r="H2557" i="16"/>
  <c r="I2557" i="16"/>
  <c r="J2557" i="16"/>
  <c r="C2558" i="16"/>
  <c r="D2558" i="16"/>
  <c r="E2558" i="16"/>
  <c r="F2558" i="16"/>
  <c r="G2558" i="16"/>
  <c r="H2558" i="16"/>
  <c r="I2558" i="16"/>
  <c r="J2558" i="16"/>
  <c r="C2559" i="16"/>
  <c r="D2559" i="16"/>
  <c r="E2559" i="16"/>
  <c r="F2559" i="16"/>
  <c r="G2559" i="16"/>
  <c r="H2559" i="16"/>
  <c r="I2559" i="16"/>
  <c r="J2559" i="16"/>
  <c r="C2560" i="16"/>
  <c r="D2560" i="16"/>
  <c r="E2560" i="16"/>
  <c r="F2560" i="16"/>
  <c r="G2560" i="16"/>
  <c r="H2560" i="16"/>
  <c r="I2560" i="16"/>
  <c r="J2560" i="16"/>
  <c r="C2561" i="16"/>
  <c r="D2561" i="16"/>
  <c r="E2561" i="16"/>
  <c r="F2561" i="16"/>
  <c r="G2561" i="16"/>
  <c r="H2561" i="16"/>
  <c r="I2561" i="16"/>
  <c r="J2561" i="16"/>
  <c r="C2562" i="16"/>
  <c r="D2562" i="16"/>
  <c r="E2562" i="16"/>
  <c r="F2562" i="16"/>
  <c r="G2562" i="16"/>
  <c r="H2562" i="16"/>
  <c r="I2562" i="16"/>
  <c r="J2562" i="16"/>
  <c r="C2563" i="16"/>
  <c r="D2563" i="16"/>
  <c r="E2563" i="16"/>
  <c r="F2563" i="16"/>
  <c r="G2563" i="16"/>
  <c r="H2563" i="16"/>
  <c r="I2563" i="16"/>
  <c r="J2563" i="16"/>
  <c r="C2564" i="16"/>
  <c r="D2564" i="16"/>
  <c r="E2564" i="16"/>
  <c r="F2564" i="16"/>
  <c r="G2564" i="16"/>
  <c r="H2564" i="16"/>
  <c r="I2564" i="16"/>
  <c r="J2564" i="16"/>
  <c r="C2565" i="16"/>
  <c r="D2565" i="16"/>
  <c r="E2565" i="16"/>
  <c r="F2565" i="16"/>
  <c r="G2565" i="16"/>
  <c r="H2565" i="16"/>
  <c r="I2565" i="16"/>
  <c r="J2565" i="16"/>
  <c r="C2566" i="16"/>
  <c r="D2566" i="16"/>
  <c r="E2566" i="16"/>
  <c r="F2566" i="16"/>
  <c r="G2566" i="16"/>
  <c r="H2566" i="16"/>
  <c r="I2566" i="16"/>
  <c r="J2566" i="16"/>
  <c r="C2567" i="16"/>
  <c r="D2567" i="16"/>
  <c r="E2567" i="16"/>
  <c r="F2567" i="16"/>
  <c r="G2567" i="16"/>
  <c r="H2567" i="16"/>
  <c r="I2567" i="16"/>
  <c r="J2567" i="16"/>
  <c r="C2568" i="16"/>
  <c r="D2568" i="16"/>
  <c r="E2568" i="16"/>
  <c r="F2568" i="16"/>
  <c r="G2568" i="16"/>
  <c r="H2568" i="16"/>
  <c r="I2568" i="16"/>
  <c r="J2568" i="16"/>
  <c r="C2569" i="16"/>
  <c r="D2569" i="16"/>
  <c r="E2569" i="16"/>
  <c r="F2569" i="16"/>
  <c r="G2569" i="16"/>
  <c r="H2569" i="16"/>
  <c r="I2569" i="16"/>
  <c r="J2569" i="16"/>
  <c r="C2570" i="16"/>
  <c r="D2570" i="16"/>
  <c r="E2570" i="16"/>
  <c r="F2570" i="16"/>
  <c r="G2570" i="16"/>
  <c r="H2570" i="16"/>
  <c r="I2570" i="16"/>
  <c r="J2570" i="16"/>
  <c r="C2571" i="16"/>
  <c r="D2571" i="16"/>
  <c r="E2571" i="16"/>
  <c r="F2571" i="16"/>
  <c r="G2571" i="16"/>
  <c r="H2571" i="16"/>
  <c r="I2571" i="16"/>
  <c r="J2571" i="16"/>
  <c r="C2572" i="16"/>
  <c r="D2572" i="16"/>
  <c r="E2572" i="16"/>
  <c r="F2572" i="16"/>
  <c r="G2572" i="16"/>
  <c r="H2572" i="16"/>
  <c r="I2572" i="16"/>
  <c r="J2572" i="16"/>
  <c r="C2573" i="16"/>
  <c r="D2573" i="16"/>
  <c r="E2573" i="16"/>
  <c r="F2573" i="16"/>
  <c r="G2573" i="16"/>
  <c r="H2573" i="16"/>
  <c r="I2573" i="16"/>
  <c r="J2573" i="16"/>
  <c r="C2574" i="16"/>
  <c r="D2574" i="16"/>
  <c r="E2574" i="16"/>
  <c r="F2574" i="16"/>
  <c r="G2574" i="16"/>
  <c r="H2574" i="16"/>
  <c r="I2574" i="16"/>
  <c r="J2574" i="16"/>
  <c r="C2575" i="16"/>
  <c r="D2575" i="16"/>
  <c r="E2575" i="16"/>
  <c r="F2575" i="16"/>
  <c r="G2575" i="16"/>
  <c r="H2575" i="16"/>
  <c r="I2575" i="16"/>
  <c r="J2575" i="16"/>
  <c r="C2576" i="16"/>
  <c r="D2576" i="16"/>
  <c r="E2576" i="16"/>
  <c r="F2576" i="16"/>
  <c r="G2576" i="16"/>
  <c r="H2576" i="16"/>
  <c r="I2576" i="16"/>
  <c r="J2576" i="16"/>
  <c r="C2577" i="16"/>
  <c r="D2577" i="16"/>
  <c r="E2577" i="16"/>
  <c r="F2577" i="16"/>
  <c r="G2577" i="16"/>
  <c r="H2577" i="16"/>
  <c r="I2577" i="16"/>
  <c r="J2577" i="16"/>
  <c r="C2578" i="16"/>
  <c r="D2578" i="16"/>
  <c r="E2578" i="16"/>
  <c r="F2578" i="16"/>
  <c r="G2578" i="16"/>
  <c r="H2578" i="16"/>
  <c r="I2578" i="16"/>
  <c r="J2578" i="16"/>
  <c r="C2579" i="16"/>
  <c r="D2579" i="16"/>
  <c r="E2579" i="16"/>
  <c r="F2579" i="16"/>
  <c r="G2579" i="16"/>
  <c r="H2579" i="16"/>
  <c r="I2579" i="16"/>
  <c r="J2579" i="16"/>
  <c r="C2580" i="16"/>
  <c r="D2580" i="16"/>
  <c r="E2580" i="16"/>
  <c r="F2580" i="16"/>
  <c r="G2580" i="16"/>
  <c r="H2580" i="16"/>
  <c r="I2580" i="16"/>
  <c r="J2580" i="16"/>
  <c r="C2581" i="16"/>
  <c r="D2581" i="16"/>
  <c r="E2581" i="16"/>
  <c r="F2581" i="16"/>
  <c r="G2581" i="16"/>
  <c r="H2581" i="16"/>
  <c r="I2581" i="16"/>
  <c r="J2581" i="16"/>
  <c r="C2582" i="16"/>
  <c r="D2582" i="16"/>
  <c r="E2582" i="16"/>
  <c r="F2582" i="16"/>
  <c r="G2582" i="16"/>
  <c r="H2582" i="16"/>
  <c r="I2582" i="16"/>
  <c r="J2582" i="16"/>
  <c r="C2583" i="16"/>
  <c r="D2583" i="16"/>
  <c r="E2583" i="16"/>
  <c r="F2583" i="16"/>
  <c r="G2583" i="16"/>
  <c r="H2583" i="16"/>
  <c r="I2583" i="16"/>
  <c r="J2583" i="16"/>
  <c r="C2584" i="16"/>
  <c r="D2584" i="16"/>
  <c r="E2584" i="16"/>
  <c r="F2584" i="16"/>
  <c r="G2584" i="16"/>
  <c r="H2584" i="16"/>
  <c r="I2584" i="16"/>
  <c r="J2584" i="16"/>
  <c r="C2585" i="16"/>
  <c r="D2585" i="16"/>
  <c r="E2585" i="16"/>
  <c r="F2585" i="16"/>
  <c r="G2585" i="16"/>
  <c r="H2585" i="16"/>
  <c r="I2585" i="16"/>
  <c r="J2585" i="16"/>
  <c r="C2586" i="16"/>
  <c r="D2586" i="16"/>
  <c r="E2586" i="16"/>
  <c r="F2586" i="16"/>
  <c r="G2586" i="16"/>
  <c r="H2586" i="16"/>
  <c r="I2586" i="16"/>
  <c r="J2586" i="16"/>
  <c r="C2587" i="16"/>
  <c r="D2587" i="16"/>
  <c r="E2587" i="16"/>
  <c r="F2587" i="16"/>
  <c r="G2587" i="16"/>
  <c r="H2587" i="16"/>
  <c r="I2587" i="16"/>
  <c r="J2587" i="16"/>
  <c r="C2588" i="16"/>
  <c r="D2588" i="16"/>
  <c r="E2588" i="16"/>
  <c r="F2588" i="16"/>
  <c r="G2588" i="16"/>
  <c r="H2588" i="16"/>
  <c r="I2588" i="16"/>
  <c r="J2588" i="16"/>
  <c r="C2589" i="16"/>
  <c r="D2589" i="16"/>
  <c r="E2589" i="16"/>
  <c r="F2589" i="16"/>
  <c r="G2589" i="16"/>
  <c r="H2589" i="16"/>
  <c r="I2589" i="16"/>
  <c r="J2589" i="16"/>
  <c r="C2590" i="16"/>
  <c r="D2590" i="16"/>
  <c r="E2590" i="16"/>
  <c r="F2590" i="16"/>
  <c r="G2590" i="16"/>
  <c r="H2590" i="16"/>
  <c r="I2590" i="16"/>
  <c r="J2590" i="16"/>
  <c r="C2591" i="16"/>
  <c r="D2591" i="16"/>
  <c r="E2591" i="16"/>
  <c r="F2591" i="16"/>
  <c r="G2591" i="16"/>
  <c r="H2591" i="16"/>
  <c r="I2591" i="16"/>
  <c r="J2591" i="16"/>
  <c r="C2592" i="16"/>
  <c r="D2592" i="16"/>
  <c r="E2592" i="16"/>
  <c r="F2592" i="16"/>
  <c r="G2592" i="16"/>
  <c r="H2592" i="16"/>
  <c r="I2592" i="16"/>
  <c r="J2592" i="16"/>
  <c r="C2593" i="16"/>
  <c r="D2593" i="16"/>
  <c r="E2593" i="16"/>
  <c r="F2593" i="16"/>
  <c r="G2593" i="16"/>
  <c r="H2593" i="16"/>
  <c r="I2593" i="16"/>
  <c r="J2593" i="16"/>
  <c r="C2594" i="16"/>
  <c r="D2594" i="16"/>
  <c r="E2594" i="16"/>
  <c r="F2594" i="16"/>
  <c r="G2594" i="16"/>
  <c r="H2594" i="16"/>
  <c r="I2594" i="16"/>
  <c r="J2594" i="16"/>
  <c r="C2595" i="16"/>
  <c r="D2595" i="16"/>
  <c r="E2595" i="16"/>
  <c r="F2595" i="16"/>
  <c r="G2595" i="16"/>
  <c r="H2595" i="16"/>
  <c r="I2595" i="16"/>
  <c r="J2595" i="16"/>
  <c r="C2596" i="16"/>
  <c r="D2596" i="16"/>
  <c r="E2596" i="16"/>
  <c r="F2596" i="16"/>
  <c r="G2596" i="16"/>
  <c r="H2596" i="16"/>
  <c r="I2596" i="16"/>
  <c r="J2596" i="16"/>
  <c r="C2597" i="16"/>
  <c r="D2597" i="16"/>
  <c r="E2597" i="16"/>
  <c r="F2597" i="16"/>
  <c r="G2597" i="16"/>
  <c r="H2597" i="16"/>
  <c r="I2597" i="16"/>
  <c r="J2597" i="16"/>
  <c r="C2598" i="16"/>
  <c r="D2598" i="16"/>
  <c r="E2598" i="16"/>
  <c r="F2598" i="16"/>
  <c r="G2598" i="16"/>
  <c r="H2598" i="16"/>
  <c r="I2598" i="16"/>
  <c r="J2598" i="16"/>
  <c r="C2599" i="16"/>
  <c r="D2599" i="16"/>
  <c r="E2599" i="16"/>
  <c r="F2599" i="16"/>
  <c r="G2599" i="16"/>
  <c r="H2599" i="16"/>
  <c r="I2599" i="16"/>
  <c r="J2599" i="16"/>
  <c r="C2600" i="16"/>
  <c r="D2600" i="16"/>
  <c r="E2600" i="16"/>
  <c r="F2600" i="16"/>
  <c r="G2600" i="16"/>
  <c r="H2600" i="16"/>
  <c r="I2600" i="16"/>
  <c r="J2600" i="16"/>
  <c r="C2601" i="16"/>
  <c r="D2601" i="16"/>
  <c r="E2601" i="16"/>
  <c r="F2601" i="16"/>
  <c r="G2601" i="16"/>
  <c r="H2601" i="16"/>
  <c r="I2601" i="16"/>
  <c r="J2601" i="16"/>
  <c r="C2602" i="16"/>
  <c r="D2602" i="16"/>
  <c r="E2602" i="16"/>
  <c r="F2602" i="16"/>
  <c r="G2602" i="16"/>
  <c r="H2602" i="16"/>
  <c r="I2602" i="16"/>
  <c r="J2602" i="16"/>
  <c r="C2603" i="16"/>
  <c r="D2603" i="16"/>
  <c r="E2603" i="16"/>
  <c r="F2603" i="16"/>
  <c r="G2603" i="16"/>
  <c r="H2603" i="16"/>
  <c r="I2603" i="16"/>
  <c r="J2603" i="16"/>
  <c r="C2604" i="16"/>
  <c r="D2604" i="16"/>
  <c r="E2604" i="16"/>
  <c r="F2604" i="16"/>
  <c r="G2604" i="16"/>
  <c r="H2604" i="16"/>
  <c r="I2604" i="16"/>
  <c r="J2604" i="16"/>
  <c r="C2605" i="16"/>
  <c r="D2605" i="16"/>
  <c r="E2605" i="16"/>
  <c r="F2605" i="16"/>
  <c r="G2605" i="16"/>
  <c r="H2605" i="16"/>
  <c r="I2605" i="16"/>
  <c r="J2605" i="16"/>
  <c r="C2606" i="16"/>
  <c r="D2606" i="16"/>
  <c r="E2606" i="16"/>
  <c r="F2606" i="16"/>
  <c r="G2606" i="16"/>
  <c r="H2606" i="16"/>
  <c r="I2606" i="16"/>
  <c r="J2606" i="16"/>
  <c r="C2607" i="16"/>
  <c r="D2607" i="16"/>
  <c r="E2607" i="16"/>
  <c r="F2607" i="16"/>
  <c r="G2607" i="16"/>
  <c r="H2607" i="16"/>
  <c r="I2607" i="16"/>
  <c r="J2607" i="16"/>
  <c r="C2608" i="16"/>
  <c r="D2608" i="16"/>
  <c r="E2608" i="16"/>
  <c r="F2608" i="16"/>
  <c r="G2608" i="16"/>
  <c r="H2608" i="16"/>
  <c r="I2608" i="16"/>
  <c r="J2608" i="16"/>
  <c r="C2609" i="16"/>
  <c r="D2609" i="16"/>
  <c r="E2609" i="16"/>
  <c r="F2609" i="16"/>
  <c r="G2609" i="16"/>
  <c r="H2609" i="16"/>
  <c r="I2609" i="16"/>
  <c r="J2609" i="16"/>
  <c r="C2610" i="16"/>
  <c r="D2610" i="16"/>
  <c r="E2610" i="16"/>
  <c r="F2610" i="16"/>
  <c r="G2610" i="16"/>
  <c r="H2610" i="16"/>
  <c r="I2610" i="16"/>
  <c r="J2610" i="16"/>
  <c r="C2611" i="16"/>
  <c r="D2611" i="16"/>
  <c r="E2611" i="16"/>
  <c r="F2611" i="16"/>
  <c r="G2611" i="16"/>
  <c r="H2611" i="16"/>
  <c r="I2611" i="16"/>
  <c r="J2611" i="16"/>
  <c r="C2612" i="16"/>
  <c r="D2612" i="16"/>
  <c r="E2612" i="16"/>
  <c r="F2612" i="16"/>
  <c r="G2612" i="16"/>
  <c r="H2612" i="16"/>
  <c r="I2612" i="16"/>
  <c r="J2612" i="16"/>
  <c r="C2613" i="16"/>
  <c r="D2613" i="16"/>
  <c r="E2613" i="16"/>
  <c r="F2613" i="16"/>
  <c r="G2613" i="16"/>
  <c r="H2613" i="16"/>
  <c r="I2613" i="16"/>
  <c r="J2613" i="16"/>
  <c r="C2614" i="16"/>
  <c r="D2614" i="16"/>
  <c r="E2614" i="16"/>
  <c r="F2614" i="16"/>
  <c r="G2614" i="16"/>
  <c r="H2614" i="16"/>
  <c r="I2614" i="16"/>
  <c r="J2614" i="16"/>
  <c r="C2615" i="16"/>
  <c r="D2615" i="16"/>
  <c r="E2615" i="16"/>
  <c r="F2615" i="16"/>
  <c r="G2615" i="16"/>
  <c r="H2615" i="16"/>
  <c r="I2615" i="16"/>
  <c r="J2615" i="16"/>
  <c r="C2616" i="16"/>
  <c r="D2616" i="16"/>
  <c r="E2616" i="16"/>
  <c r="F2616" i="16"/>
  <c r="G2616" i="16"/>
  <c r="H2616" i="16"/>
  <c r="I2616" i="16"/>
  <c r="J2616" i="16"/>
  <c r="C2617" i="16"/>
  <c r="D2617" i="16"/>
  <c r="E2617" i="16"/>
  <c r="F2617" i="16"/>
  <c r="G2617" i="16"/>
  <c r="H2617" i="16"/>
  <c r="I2617" i="16"/>
  <c r="J2617" i="16"/>
  <c r="C2618" i="16"/>
  <c r="D2618" i="16"/>
  <c r="E2618" i="16"/>
  <c r="F2618" i="16"/>
  <c r="G2618" i="16"/>
  <c r="H2618" i="16"/>
  <c r="I2618" i="16"/>
  <c r="J2618" i="16"/>
  <c r="C2619" i="16"/>
  <c r="D2619" i="16"/>
  <c r="E2619" i="16"/>
  <c r="F2619" i="16"/>
  <c r="G2619" i="16"/>
  <c r="H2619" i="16"/>
  <c r="I2619" i="16"/>
  <c r="J2619" i="16"/>
  <c r="C2620" i="16"/>
  <c r="D2620" i="16"/>
  <c r="E2620" i="16"/>
  <c r="F2620" i="16"/>
  <c r="G2620" i="16"/>
  <c r="H2620" i="16"/>
  <c r="I2620" i="16"/>
  <c r="J2620" i="16"/>
  <c r="C2621" i="16"/>
  <c r="D2621" i="16"/>
  <c r="E2621" i="16"/>
  <c r="F2621" i="16"/>
  <c r="G2621" i="16"/>
  <c r="H2621" i="16"/>
  <c r="I2621" i="16"/>
  <c r="J2621" i="16"/>
  <c r="C2622" i="16"/>
  <c r="D2622" i="16"/>
  <c r="E2622" i="16"/>
  <c r="F2622" i="16"/>
  <c r="G2622" i="16"/>
  <c r="H2622" i="16"/>
  <c r="I2622" i="16"/>
  <c r="J2622" i="16"/>
  <c r="C2623" i="16"/>
  <c r="D2623" i="16"/>
  <c r="E2623" i="16"/>
  <c r="F2623" i="16"/>
  <c r="G2623" i="16"/>
  <c r="H2623" i="16"/>
  <c r="I2623" i="16"/>
  <c r="J2623" i="16"/>
  <c r="C2624" i="16"/>
  <c r="D2624" i="16"/>
  <c r="E2624" i="16"/>
  <c r="F2624" i="16"/>
  <c r="G2624" i="16"/>
  <c r="H2624" i="16"/>
  <c r="I2624" i="16"/>
  <c r="J2624" i="16"/>
  <c r="C2625" i="16"/>
  <c r="D2625" i="16"/>
  <c r="E2625" i="16"/>
  <c r="F2625" i="16"/>
  <c r="G2625" i="16"/>
  <c r="H2625" i="16"/>
  <c r="I2625" i="16"/>
  <c r="J2625" i="16"/>
  <c r="C2626" i="16"/>
  <c r="D2626" i="16"/>
  <c r="E2626" i="16"/>
  <c r="F2626" i="16"/>
  <c r="G2626" i="16"/>
  <c r="H2626" i="16"/>
  <c r="I2626" i="16"/>
  <c r="J2626" i="16"/>
  <c r="C2627" i="16"/>
  <c r="D2627" i="16"/>
  <c r="E2627" i="16"/>
  <c r="F2627" i="16"/>
  <c r="G2627" i="16"/>
  <c r="H2627" i="16"/>
  <c r="I2627" i="16"/>
  <c r="J2627" i="16"/>
  <c r="C2628" i="16"/>
  <c r="D2628" i="16"/>
  <c r="E2628" i="16"/>
  <c r="F2628" i="16"/>
  <c r="G2628" i="16"/>
  <c r="H2628" i="16"/>
  <c r="I2628" i="16"/>
  <c r="J2628" i="16"/>
  <c r="C2629" i="16"/>
  <c r="D2629" i="16"/>
  <c r="E2629" i="16"/>
  <c r="F2629" i="16"/>
  <c r="G2629" i="16"/>
  <c r="H2629" i="16"/>
  <c r="I2629" i="16"/>
  <c r="J2629" i="16"/>
  <c r="C2630" i="16"/>
  <c r="D2630" i="16"/>
  <c r="E2630" i="16"/>
  <c r="F2630" i="16"/>
  <c r="G2630" i="16"/>
  <c r="H2630" i="16"/>
  <c r="I2630" i="16"/>
  <c r="J2630" i="16"/>
  <c r="C2631" i="16"/>
  <c r="D2631" i="16"/>
  <c r="E2631" i="16"/>
  <c r="F2631" i="16"/>
  <c r="G2631" i="16"/>
  <c r="H2631" i="16"/>
  <c r="I2631" i="16"/>
  <c r="J2631" i="16"/>
  <c r="C2632" i="16"/>
  <c r="D2632" i="16"/>
  <c r="E2632" i="16"/>
  <c r="F2632" i="16"/>
  <c r="G2632" i="16"/>
  <c r="H2632" i="16"/>
  <c r="I2632" i="16"/>
  <c r="J2632" i="16"/>
  <c r="C2633" i="16"/>
  <c r="D2633" i="16"/>
  <c r="E2633" i="16"/>
  <c r="F2633" i="16"/>
  <c r="G2633" i="16"/>
  <c r="H2633" i="16"/>
  <c r="I2633" i="16"/>
  <c r="J2633" i="16"/>
  <c r="C2634" i="16"/>
  <c r="D2634" i="16"/>
  <c r="E2634" i="16"/>
  <c r="F2634" i="16"/>
  <c r="G2634" i="16"/>
  <c r="H2634" i="16"/>
  <c r="I2634" i="16"/>
  <c r="J2634" i="16"/>
  <c r="C2635" i="16"/>
  <c r="D2635" i="16"/>
  <c r="E2635" i="16"/>
  <c r="F2635" i="16"/>
  <c r="G2635" i="16"/>
  <c r="H2635" i="16"/>
  <c r="I2635" i="16"/>
  <c r="J2635" i="16"/>
  <c r="C2636" i="16"/>
  <c r="D2636" i="16"/>
  <c r="E2636" i="16"/>
  <c r="F2636" i="16"/>
  <c r="G2636" i="16"/>
  <c r="H2636" i="16"/>
  <c r="I2636" i="16"/>
  <c r="J2636" i="16"/>
  <c r="C2637" i="16"/>
  <c r="D2637" i="16"/>
  <c r="E2637" i="16"/>
  <c r="F2637" i="16"/>
  <c r="G2637" i="16"/>
  <c r="H2637" i="16"/>
  <c r="I2637" i="16"/>
  <c r="J2637" i="16"/>
  <c r="C2638" i="16"/>
  <c r="D2638" i="16"/>
  <c r="E2638" i="16"/>
  <c r="F2638" i="16"/>
  <c r="G2638" i="16"/>
  <c r="H2638" i="16"/>
  <c r="I2638" i="16"/>
  <c r="J2638" i="16"/>
  <c r="C2639" i="16"/>
  <c r="D2639" i="16"/>
  <c r="E2639" i="16"/>
  <c r="F2639" i="16"/>
  <c r="G2639" i="16"/>
  <c r="H2639" i="16"/>
  <c r="I2639" i="16"/>
  <c r="J2639" i="16"/>
  <c r="C2640" i="16"/>
  <c r="D2640" i="16"/>
  <c r="E2640" i="16"/>
  <c r="F2640" i="16"/>
  <c r="G2640" i="16"/>
  <c r="H2640" i="16"/>
  <c r="I2640" i="16"/>
  <c r="J2640" i="16"/>
  <c r="C2641" i="16"/>
  <c r="D2641" i="16"/>
  <c r="E2641" i="16"/>
  <c r="F2641" i="16"/>
  <c r="G2641" i="16"/>
  <c r="H2641" i="16"/>
  <c r="I2641" i="16"/>
  <c r="J2641" i="16"/>
  <c r="C2642" i="16"/>
  <c r="D2642" i="16"/>
  <c r="E2642" i="16"/>
  <c r="F2642" i="16"/>
  <c r="G2642" i="16"/>
  <c r="H2642" i="16"/>
  <c r="I2642" i="16"/>
  <c r="J2642" i="16"/>
  <c r="C2643" i="16"/>
  <c r="D2643" i="16"/>
  <c r="E2643" i="16"/>
  <c r="F2643" i="16"/>
  <c r="G2643" i="16"/>
  <c r="H2643" i="16"/>
  <c r="I2643" i="16"/>
  <c r="J2643" i="16"/>
  <c r="C2644" i="16"/>
  <c r="D2644" i="16"/>
  <c r="E2644" i="16"/>
  <c r="F2644" i="16"/>
  <c r="G2644" i="16"/>
  <c r="H2644" i="16"/>
  <c r="I2644" i="16"/>
  <c r="J2644" i="16"/>
  <c r="C2645" i="16"/>
  <c r="D2645" i="16"/>
  <c r="E2645" i="16"/>
  <c r="F2645" i="16"/>
  <c r="G2645" i="16"/>
  <c r="H2645" i="16"/>
  <c r="I2645" i="16"/>
  <c r="J2645" i="16"/>
  <c r="C2646" i="16"/>
  <c r="D2646" i="16"/>
  <c r="E2646" i="16"/>
  <c r="F2646" i="16"/>
  <c r="G2646" i="16"/>
  <c r="H2646" i="16"/>
  <c r="I2646" i="16"/>
  <c r="J2646" i="16"/>
  <c r="C2647" i="16"/>
  <c r="D2647" i="16"/>
  <c r="E2647" i="16"/>
  <c r="F2647" i="16"/>
  <c r="G2647" i="16"/>
  <c r="H2647" i="16"/>
  <c r="I2647" i="16"/>
  <c r="J2647" i="16"/>
  <c r="C2648" i="16"/>
  <c r="D2648" i="16"/>
  <c r="E2648" i="16"/>
  <c r="F2648" i="16"/>
  <c r="G2648" i="16"/>
  <c r="H2648" i="16"/>
  <c r="I2648" i="16"/>
  <c r="J2648" i="16"/>
  <c r="C2649" i="16"/>
  <c r="D2649" i="16"/>
  <c r="E2649" i="16"/>
  <c r="F2649" i="16"/>
  <c r="G2649" i="16"/>
  <c r="H2649" i="16"/>
  <c r="I2649" i="16"/>
  <c r="J2649" i="16"/>
  <c r="C2650" i="16"/>
  <c r="D2650" i="16"/>
  <c r="E2650" i="16"/>
  <c r="F2650" i="16"/>
  <c r="G2650" i="16"/>
  <c r="H2650" i="16"/>
  <c r="I2650" i="16"/>
  <c r="J2650" i="16"/>
  <c r="C2651" i="16"/>
  <c r="D2651" i="16"/>
  <c r="E2651" i="16"/>
  <c r="F2651" i="16"/>
  <c r="G2651" i="16"/>
  <c r="H2651" i="16"/>
  <c r="I2651" i="16"/>
  <c r="J2651" i="16"/>
  <c r="C2652" i="16"/>
  <c r="D2652" i="16"/>
  <c r="E2652" i="16"/>
  <c r="F2652" i="16"/>
  <c r="G2652" i="16"/>
  <c r="H2652" i="16"/>
  <c r="I2652" i="16"/>
  <c r="J2652" i="16"/>
  <c r="C2653" i="16"/>
  <c r="D2653" i="16"/>
  <c r="E2653" i="16"/>
  <c r="F2653" i="16"/>
  <c r="G2653" i="16"/>
  <c r="H2653" i="16"/>
  <c r="I2653" i="16"/>
  <c r="J2653" i="16"/>
  <c r="C2654" i="16"/>
  <c r="D2654" i="16"/>
  <c r="E2654" i="16"/>
  <c r="F2654" i="16"/>
  <c r="G2654" i="16"/>
  <c r="H2654" i="16"/>
  <c r="I2654" i="16"/>
  <c r="J2654" i="16"/>
  <c r="C2655" i="16"/>
  <c r="D2655" i="16"/>
  <c r="E2655" i="16"/>
  <c r="F2655" i="16"/>
  <c r="G2655" i="16"/>
  <c r="H2655" i="16"/>
  <c r="I2655" i="16"/>
  <c r="J2655" i="16"/>
  <c r="C2656" i="16"/>
  <c r="D2656" i="16"/>
  <c r="E2656" i="16"/>
  <c r="F2656" i="16"/>
  <c r="G2656" i="16"/>
  <c r="H2656" i="16"/>
  <c r="I2656" i="16"/>
  <c r="J2656" i="16"/>
  <c r="C2657" i="16"/>
  <c r="D2657" i="16"/>
  <c r="E2657" i="16"/>
  <c r="F2657" i="16"/>
  <c r="G2657" i="16"/>
  <c r="H2657" i="16"/>
  <c r="I2657" i="16"/>
  <c r="J2657" i="16"/>
  <c r="C2658" i="16"/>
  <c r="D2658" i="16"/>
  <c r="E2658" i="16"/>
  <c r="F2658" i="16"/>
  <c r="G2658" i="16"/>
  <c r="H2658" i="16"/>
  <c r="I2658" i="16"/>
  <c r="J2658" i="16"/>
  <c r="C2659" i="16"/>
  <c r="D2659" i="16"/>
  <c r="E2659" i="16"/>
  <c r="F2659" i="16"/>
  <c r="G2659" i="16"/>
  <c r="H2659" i="16"/>
  <c r="I2659" i="16"/>
  <c r="J2659" i="16"/>
  <c r="C2660" i="16"/>
  <c r="D2660" i="16"/>
  <c r="E2660" i="16"/>
  <c r="F2660" i="16"/>
  <c r="G2660" i="16"/>
  <c r="H2660" i="16"/>
  <c r="I2660" i="16"/>
  <c r="J2660" i="16"/>
  <c r="C2661" i="16"/>
  <c r="D2661" i="16"/>
  <c r="E2661" i="16"/>
  <c r="F2661" i="16"/>
  <c r="G2661" i="16"/>
  <c r="H2661" i="16"/>
  <c r="I2661" i="16"/>
  <c r="J2661" i="16"/>
  <c r="C2662" i="16"/>
  <c r="D2662" i="16"/>
  <c r="E2662" i="16"/>
  <c r="F2662" i="16"/>
  <c r="G2662" i="16"/>
  <c r="H2662" i="16"/>
  <c r="I2662" i="16"/>
  <c r="J2662" i="16"/>
  <c r="C2663" i="16"/>
  <c r="D2663" i="16"/>
  <c r="E2663" i="16"/>
  <c r="F2663" i="16"/>
  <c r="G2663" i="16"/>
  <c r="H2663" i="16"/>
  <c r="I2663" i="16"/>
  <c r="J2663" i="16"/>
  <c r="C2664" i="16"/>
  <c r="D2664" i="16"/>
  <c r="E2664" i="16"/>
  <c r="F2664" i="16"/>
  <c r="G2664" i="16"/>
  <c r="H2664" i="16"/>
  <c r="I2664" i="16"/>
  <c r="J2664" i="16"/>
  <c r="C2665" i="16"/>
  <c r="D2665" i="16"/>
  <c r="E2665" i="16"/>
  <c r="F2665" i="16"/>
  <c r="G2665" i="16"/>
  <c r="H2665" i="16"/>
  <c r="I2665" i="16"/>
  <c r="J2665" i="16"/>
  <c r="C2666" i="16"/>
  <c r="D2666" i="16"/>
  <c r="E2666" i="16"/>
  <c r="F2666" i="16"/>
  <c r="G2666" i="16"/>
  <c r="H2666" i="16"/>
  <c r="I2666" i="16"/>
  <c r="J2666" i="16"/>
  <c r="C2667" i="16"/>
  <c r="D2667" i="16"/>
  <c r="E2667" i="16"/>
  <c r="F2667" i="16"/>
  <c r="G2667" i="16"/>
  <c r="H2667" i="16"/>
  <c r="I2667" i="16"/>
  <c r="J2667" i="16"/>
  <c r="C2668" i="16"/>
  <c r="D2668" i="16"/>
  <c r="E2668" i="16"/>
  <c r="F2668" i="16"/>
  <c r="G2668" i="16"/>
  <c r="H2668" i="16"/>
  <c r="I2668" i="16"/>
  <c r="J2668" i="16"/>
  <c r="C2669" i="16"/>
  <c r="D2669" i="16"/>
  <c r="E2669" i="16"/>
  <c r="F2669" i="16"/>
  <c r="G2669" i="16"/>
  <c r="H2669" i="16"/>
  <c r="I2669" i="16"/>
  <c r="J2669" i="16"/>
  <c r="C2670" i="16"/>
  <c r="D2670" i="16"/>
  <c r="E2670" i="16"/>
  <c r="F2670" i="16"/>
  <c r="G2670" i="16"/>
  <c r="H2670" i="16"/>
  <c r="I2670" i="16"/>
  <c r="J2670" i="16"/>
  <c r="C2671" i="16"/>
  <c r="D2671" i="16"/>
  <c r="E2671" i="16"/>
  <c r="F2671" i="16"/>
  <c r="G2671" i="16"/>
  <c r="H2671" i="16"/>
  <c r="I2671" i="16"/>
  <c r="J2671" i="16"/>
  <c r="C2672" i="16"/>
  <c r="D2672" i="16"/>
  <c r="E2672" i="16"/>
  <c r="F2672" i="16"/>
  <c r="G2672" i="16"/>
  <c r="H2672" i="16"/>
  <c r="I2672" i="16"/>
  <c r="J2672" i="16"/>
  <c r="C2673" i="16"/>
  <c r="D2673" i="16"/>
  <c r="E2673" i="16"/>
  <c r="F2673" i="16"/>
  <c r="G2673" i="16"/>
  <c r="H2673" i="16"/>
  <c r="I2673" i="16"/>
  <c r="J2673" i="16"/>
  <c r="C2674" i="16"/>
  <c r="D2674" i="16"/>
  <c r="E2674" i="16"/>
  <c r="F2674" i="16"/>
  <c r="G2674" i="16"/>
  <c r="H2674" i="16"/>
  <c r="I2674" i="16"/>
  <c r="J2674" i="16"/>
  <c r="C2675" i="16"/>
  <c r="D2675" i="16"/>
  <c r="E2675" i="16"/>
  <c r="F2675" i="16"/>
  <c r="G2675" i="16"/>
  <c r="H2675" i="16"/>
  <c r="I2675" i="16"/>
  <c r="J2675" i="16"/>
  <c r="C2676" i="16"/>
  <c r="D2676" i="16"/>
  <c r="E2676" i="16"/>
  <c r="F2676" i="16"/>
  <c r="G2676" i="16"/>
  <c r="H2676" i="16"/>
  <c r="I2676" i="16"/>
  <c r="J2676" i="16"/>
  <c r="C2677" i="16"/>
  <c r="D2677" i="16"/>
  <c r="E2677" i="16"/>
  <c r="F2677" i="16"/>
  <c r="G2677" i="16"/>
  <c r="H2677" i="16"/>
  <c r="I2677" i="16"/>
  <c r="J2677" i="16"/>
  <c r="C2678" i="16"/>
  <c r="D2678" i="16"/>
  <c r="E2678" i="16"/>
  <c r="F2678" i="16"/>
  <c r="G2678" i="16"/>
  <c r="H2678" i="16"/>
  <c r="I2678" i="16"/>
  <c r="J2678" i="16"/>
  <c r="C2679" i="16"/>
  <c r="D2679" i="16"/>
  <c r="E2679" i="16"/>
  <c r="F2679" i="16"/>
  <c r="G2679" i="16"/>
  <c r="H2679" i="16"/>
  <c r="I2679" i="16"/>
  <c r="J2679" i="16"/>
  <c r="C2680" i="16"/>
  <c r="D2680" i="16"/>
  <c r="E2680" i="16"/>
  <c r="F2680" i="16"/>
  <c r="G2680" i="16"/>
  <c r="H2680" i="16"/>
  <c r="I2680" i="16"/>
  <c r="J2680" i="16"/>
  <c r="C2681" i="16"/>
  <c r="D2681" i="16"/>
  <c r="E2681" i="16"/>
  <c r="F2681" i="16"/>
  <c r="G2681" i="16"/>
  <c r="H2681" i="16"/>
  <c r="I2681" i="16"/>
  <c r="J2681" i="16"/>
  <c r="C2682" i="16"/>
  <c r="D2682" i="16"/>
  <c r="E2682" i="16"/>
  <c r="F2682" i="16"/>
  <c r="G2682" i="16"/>
  <c r="H2682" i="16"/>
  <c r="I2682" i="16"/>
  <c r="J2682" i="16"/>
  <c r="C2683" i="16"/>
  <c r="D2683" i="16"/>
  <c r="E2683" i="16"/>
  <c r="F2683" i="16"/>
  <c r="G2683" i="16"/>
  <c r="H2683" i="16"/>
  <c r="I2683" i="16"/>
  <c r="J2683" i="16"/>
  <c r="C2684" i="16"/>
  <c r="D2684" i="16"/>
  <c r="E2684" i="16"/>
  <c r="F2684" i="16"/>
  <c r="G2684" i="16"/>
  <c r="H2684" i="16"/>
  <c r="I2684" i="16"/>
  <c r="J2684" i="16"/>
  <c r="C2685" i="16"/>
  <c r="D2685" i="16"/>
  <c r="E2685" i="16"/>
  <c r="F2685" i="16"/>
  <c r="G2685" i="16"/>
  <c r="H2685" i="16"/>
  <c r="I2685" i="16"/>
  <c r="J2685" i="16"/>
  <c r="C2686" i="16"/>
  <c r="D2686" i="16"/>
  <c r="E2686" i="16"/>
  <c r="F2686" i="16"/>
  <c r="G2686" i="16"/>
  <c r="H2686" i="16"/>
  <c r="I2686" i="16"/>
  <c r="J2686" i="16"/>
  <c r="C2687" i="16"/>
  <c r="D2687" i="16"/>
  <c r="E2687" i="16"/>
  <c r="F2687" i="16"/>
  <c r="G2687" i="16"/>
  <c r="H2687" i="16"/>
  <c r="I2687" i="16"/>
  <c r="J2687" i="16"/>
  <c r="C2688" i="16"/>
  <c r="D2688" i="16"/>
  <c r="E2688" i="16"/>
  <c r="F2688" i="16"/>
  <c r="G2688" i="16"/>
  <c r="H2688" i="16"/>
  <c r="I2688" i="16"/>
  <c r="J2688" i="16"/>
  <c r="C2689" i="16"/>
  <c r="D2689" i="16"/>
  <c r="E2689" i="16"/>
  <c r="F2689" i="16"/>
  <c r="G2689" i="16"/>
  <c r="H2689" i="16"/>
  <c r="I2689" i="16"/>
  <c r="J2689" i="16"/>
  <c r="C2690" i="16"/>
  <c r="D2690" i="16"/>
  <c r="E2690" i="16"/>
  <c r="F2690" i="16"/>
  <c r="G2690" i="16"/>
  <c r="H2690" i="16"/>
  <c r="I2690" i="16"/>
  <c r="J2690" i="16"/>
  <c r="C2691" i="16"/>
  <c r="D2691" i="16"/>
  <c r="E2691" i="16"/>
  <c r="F2691" i="16"/>
  <c r="G2691" i="16"/>
  <c r="H2691" i="16"/>
  <c r="I2691" i="16"/>
  <c r="J2691" i="16"/>
  <c r="C2692" i="16"/>
  <c r="D2692" i="16"/>
  <c r="E2692" i="16"/>
  <c r="F2692" i="16"/>
  <c r="G2692" i="16"/>
  <c r="H2692" i="16"/>
  <c r="I2692" i="16"/>
  <c r="J2692" i="16"/>
  <c r="C2693" i="16"/>
  <c r="D2693" i="16"/>
  <c r="E2693" i="16"/>
  <c r="F2693" i="16"/>
  <c r="G2693" i="16"/>
  <c r="H2693" i="16"/>
  <c r="I2693" i="16"/>
  <c r="J2693" i="16"/>
  <c r="C2694" i="16"/>
  <c r="D2694" i="16"/>
  <c r="E2694" i="16"/>
  <c r="F2694" i="16"/>
  <c r="G2694" i="16"/>
  <c r="H2694" i="16"/>
  <c r="I2694" i="16"/>
  <c r="J2694" i="16"/>
  <c r="C2695" i="16"/>
  <c r="D2695" i="16"/>
  <c r="E2695" i="16"/>
  <c r="F2695" i="16"/>
  <c r="G2695" i="16"/>
  <c r="H2695" i="16"/>
  <c r="I2695" i="16"/>
  <c r="J2695" i="16"/>
  <c r="C2696" i="16"/>
  <c r="D2696" i="16"/>
  <c r="E2696" i="16"/>
  <c r="F2696" i="16"/>
  <c r="G2696" i="16"/>
  <c r="H2696" i="16"/>
  <c r="I2696" i="16"/>
  <c r="J2696" i="16"/>
  <c r="C2697" i="16"/>
  <c r="D2697" i="16"/>
  <c r="E2697" i="16"/>
  <c r="F2697" i="16"/>
  <c r="G2697" i="16"/>
  <c r="H2697" i="16"/>
  <c r="I2697" i="16"/>
  <c r="J2697" i="16"/>
  <c r="C2698" i="16"/>
  <c r="D2698" i="16"/>
  <c r="E2698" i="16"/>
  <c r="F2698" i="16"/>
  <c r="G2698" i="16"/>
  <c r="H2698" i="16"/>
  <c r="I2698" i="16"/>
  <c r="J2698" i="16"/>
  <c r="C2699" i="16"/>
  <c r="D2699" i="16"/>
  <c r="E2699" i="16"/>
  <c r="F2699" i="16"/>
  <c r="G2699" i="16"/>
  <c r="H2699" i="16"/>
  <c r="I2699" i="16"/>
  <c r="J2699" i="16"/>
  <c r="C2700" i="16"/>
  <c r="D2700" i="16"/>
  <c r="E2700" i="16"/>
  <c r="F2700" i="16"/>
  <c r="G2700" i="16"/>
  <c r="H2700" i="16"/>
  <c r="I2700" i="16"/>
  <c r="J2700" i="16"/>
  <c r="C2701" i="16"/>
  <c r="D2701" i="16"/>
  <c r="E2701" i="16"/>
  <c r="F2701" i="16"/>
  <c r="G2701" i="16"/>
  <c r="H2701" i="16"/>
  <c r="I2701" i="16"/>
  <c r="J2701" i="16"/>
  <c r="C2702" i="16"/>
  <c r="D2702" i="16"/>
  <c r="E2702" i="16"/>
  <c r="F2702" i="16"/>
  <c r="G2702" i="16"/>
  <c r="H2702" i="16"/>
  <c r="I2702" i="16"/>
  <c r="J2702" i="16"/>
  <c r="C2703" i="16"/>
  <c r="D2703" i="16"/>
  <c r="E2703" i="16"/>
  <c r="F2703" i="16"/>
  <c r="G2703" i="16"/>
  <c r="H2703" i="16"/>
  <c r="I2703" i="16"/>
  <c r="J2703" i="16"/>
  <c r="C2704" i="16"/>
  <c r="D2704" i="16"/>
  <c r="E2704" i="16"/>
  <c r="F2704" i="16"/>
  <c r="G2704" i="16"/>
  <c r="H2704" i="16"/>
  <c r="I2704" i="16"/>
  <c r="J2704" i="16"/>
  <c r="C2705" i="16"/>
  <c r="D2705" i="16"/>
  <c r="E2705" i="16"/>
  <c r="F2705" i="16"/>
  <c r="G2705" i="16"/>
  <c r="H2705" i="16"/>
  <c r="I2705" i="16"/>
  <c r="J2705" i="16"/>
  <c r="C2706" i="16"/>
  <c r="D2706" i="16"/>
  <c r="E2706" i="16"/>
  <c r="F2706" i="16"/>
  <c r="G2706" i="16"/>
  <c r="H2706" i="16"/>
  <c r="I2706" i="16"/>
  <c r="J2706" i="16"/>
  <c r="C2707" i="16"/>
  <c r="D2707" i="16"/>
  <c r="E2707" i="16"/>
  <c r="F2707" i="16"/>
  <c r="G2707" i="16"/>
  <c r="H2707" i="16"/>
  <c r="I2707" i="16"/>
  <c r="J2707" i="16"/>
  <c r="C2708" i="16"/>
  <c r="D2708" i="16"/>
  <c r="E2708" i="16"/>
  <c r="F2708" i="16"/>
  <c r="G2708" i="16"/>
  <c r="H2708" i="16"/>
  <c r="I2708" i="16"/>
  <c r="J2708" i="16"/>
  <c r="C2709" i="16"/>
  <c r="D2709" i="16"/>
  <c r="E2709" i="16"/>
  <c r="F2709" i="16"/>
  <c r="G2709" i="16"/>
  <c r="H2709" i="16"/>
  <c r="I2709" i="16"/>
  <c r="J2709" i="16"/>
  <c r="C2710" i="16"/>
  <c r="D2710" i="16"/>
  <c r="E2710" i="16"/>
  <c r="F2710" i="16"/>
  <c r="G2710" i="16"/>
  <c r="H2710" i="16"/>
  <c r="I2710" i="16"/>
  <c r="J2710" i="16"/>
  <c r="C2711" i="16"/>
  <c r="D2711" i="16"/>
  <c r="E2711" i="16"/>
  <c r="F2711" i="16"/>
  <c r="G2711" i="16"/>
  <c r="H2711" i="16"/>
  <c r="I2711" i="16"/>
  <c r="J2711" i="16"/>
  <c r="C2712" i="16"/>
  <c r="D2712" i="16"/>
  <c r="E2712" i="16"/>
  <c r="F2712" i="16"/>
  <c r="G2712" i="16"/>
  <c r="H2712" i="16"/>
  <c r="I2712" i="16"/>
  <c r="J2712" i="16"/>
  <c r="C2713" i="16"/>
  <c r="D2713" i="16"/>
  <c r="E2713" i="16"/>
  <c r="F2713" i="16"/>
  <c r="G2713" i="16"/>
  <c r="H2713" i="16"/>
  <c r="I2713" i="16"/>
  <c r="J2713" i="16"/>
  <c r="C2714" i="16"/>
  <c r="D2714" i="16"/>
  <c r="E2714" i="16"/>
  <c r="F2714" i="16"/>
  <c r="G2714" i="16"/>
  <c r="H2714" i="16"/>
  <c r="I2714" i="16"/>
  <c r="J2714" i="16"/>
  <c r="C2715" i="16"/>
  <c r="D2715" i="16"/>
  <c r="E2715" i="16"/>
  <c r="F2715" i="16"/>
  <c r="G2715" i="16"/>
  <c r="H2715" i="16"/>
  <c r="I2715" i="16"/>
  <c r="J2715" i="16"/>
  <c r="C2716" i="16"/>
  <c r="D2716" i="16"/>
  <c r="E2716" i="16"/>
  <c r="F2716" i="16"/>
  <c r="G2716" i="16"/>
  <c r="H2716" i="16"/>
  <c r="I2716" i="16"/>
  <c r="J2716" i="16"/>
  <c r="C2717" i="16"/>
  <c r="D2717" i="16"/>
  <c r="E2717" i="16"/>
  <c r="F2717" i="16"/>
  <c r="G2717" i="16"/>
  <c r="H2717" i="16"/>
  <c r="I2717" i="16"/>
  <c r="J2717" i="16"/>
  <c r="C2718" i="16"/>
  <c r="D2718" i="16"/>
  <c r="E2718" i="16"/>
  <c r="F2718" i="16"/>
  <c r="G2718" i="16"/>
  <c r="H2718" i="16"/>
  <c r="I2718" i="16"/>
  <c r="J2718" i="16"/>
  <c r="C2719" i="16"/>
  <c r="D2719" i="16"/>
  <c r="E2719" i="16"/>
  <c r="F2719" i="16"/>
  <c r="G2719" i="16"/>
  <c r="H2719" i="16"/>
  <c r="I2719" i="16"/>
  <c r="J2719" i="16"/>
  <c r="C2720" i="16"/>
  <c r="D2720" i="16"/>
  <c r="E2720" i="16"/>
  <c r="F2720" i="16"/>
  <c r="G2720" i="16"/>
  <c r="H2720" i="16"/>
  <c r="I2720" i="16"/>
  <c r="J2720" i="16"/>
  <c r="C2721" i="16"/>
  <c r="D2721" i="16"/>
  <c r="E2721" i="16"/>
  <c r="F2721" i="16"/>
  <c r="G2721" i="16"/>
  <c r="H2721" i="16"/>
  <c r="I2721" i="16"/>
  <c r="J2721" i="16"/>
  <c r="C2722" i="16"/>
  <c r="D2722" i="16"/>
  <c r="E2722" i="16"/>
  <c r="F2722" i="16"/>
  <c r="G2722" i="16"/>
  <c r="H2722" i="16"/>
  <c r="I2722" i="16"/>
  <c r="J2722" i="16"/>
  <c r="C2723" i="16"/>
  <c r="D2723" i="16"/>
  <c r="E2723" i="16"/>
  <c r="F2723" i="16"/>
  <c r="G2723" i="16"/>
  <c r="H2723" i="16"/>
  <c r="I2723" i="16"/>
  <c r="J2723" i="16"/>
  <c r="C2724" i="16"/>
  <c r="D2724" i="16"/>
  <c r="E2724" i="16"/>
  <c r="F2724" i="16"/>
  <c r="G2724" i="16"/>
  <c r="H2724" i="16"/>
  <c r="I2724" i="16"/>
  <c r="J2724" i="16"/>
  <c r="C2725" i="16"/>
  <c r="D2725" i="16"/>
  <c r="E2725" i="16"/>
  <c r="F2725" i="16"/>
  <c r="G2725" i="16"/>
  <c r="H2725" i="16"/>
  <c r="I2725" i="16"/>
  <c r="J2725" i="16"/>
  <c r="C2726" i="16"/>
  <c r="D2726" i="16"/>
  <c r="E2726" i="16"/>
  <c r="F2726" i="16"/>
  <c r="G2726" i="16"/>
  <c r="H2726" i="16"/>
  <c r="I2726" i="16"/>
  <c r="J2726" i="16"/>
  <c r="C2727" i="16"/>
  <c r="D2727" i="16"/>
  <c r="E2727" i="16"/>
  <c r="F2727" i="16"/>
  <c r="G2727" i="16"/>
  <c r="H2727" i="16"/>
  <c r="I2727" i="16"/>
  <c r="J2727" i="16"/>
  <c r="C2728" i="16"/>
  <c r="D2728" i="16"/>
  <c r="E2728" i="16"/>
  <c r="F2728" i="16"/>
  <c r="G2728" i="16"/>
  <c r="H2728" i="16"/>
  <c r="I2728" i="16"/>
  <c r="J2728" i="16"/>
  <c r="C2729" i="16"/>
  <c r="D2729" i="16"/>
  <c r="E2729" i="16"/>
  <c r="F2729" i="16"/>
  <c r="G2729" i="16"/>
  <c r="H2729" i="16"/>
  <c r="I2729" i="16"/>
  <c r="J2729" i="16"/>
  <c r="C2730" i="16"/>
  <c r="D2730" i="16"/>
  <c r="E2730" i="16"/>
  <c r="F2730" i="16"/>
  <c r="G2730" i="16"/>
  <c r="H2730" i="16"/>
  <c r="I2730" i="16"/>
  <c r="J2730" i="16"/>
  <c r="C2731" i="16"/>
  <c r="D2731" i="16"/>
  <c r="E2731" i="16"/>
  <c r="F2731" i="16"/>
  <c r="G2731" i="16"/>
  <c r="H2731" i="16"/>
  <c r="I2731" i="16"/>
  <c r="J2731" i="16"/>
  <c r="C2732" i="16"/>
  <c r="D2732" i="16"/>
  <c r="E2732" i="16"/>
  <c r="F2732" i="16"/>
  <c r="G2732" i="16"/>
  <c r="H2732" i="16"/>
  <c r="I2732" i="16"/>
  <c r="J2732" i="16"/>
  <c r="C2733" i="16"/>
  <c r="D2733" i="16"/>
  <c r="E2733" i="16"/>
  <c r="F2733" i="16"/>
  <c r="G2733" i="16"/>
  <c r="H2733" i="16"/>
  <c r="I2733" i="16"/>
  <c r="J2733" i="16"/>
  <c r="C2734" i="16"/>
  <c r="D2734" i="16"/>
  <c r="E2734" i="16"/>
  <c r="F2734" i="16"/>
  <c r="G2734" i="16"/>
  <c r="H2734" i="16"/>
  <c r="I2734" i="16"/>
  <c r="J2734" i="16"/>
  <c r="C2735" i="16"/>
  <c r="D2735" i="16"/>
  <c r="E2735" i="16"/>
  <c r="F2735" i="16"/>
  <c r="G2735" i="16"/>
  <c r="H2735" i="16"/>
  <c r="I2735" i="16"/>
  <c r="J2735" i="16"/>
  <c r="C2736" i="16"/>
  <c r="D2736" i="16"/>
  <c r="E2736" i="16"/>
  <c r="F2736" i="16"/>
  <c r="G2736" i="16"/>
  <c r="H2736" i="16"/>
  <c r="I2736" i="16"/>
  <c r="J2736" i="16"/>
  <c r="C2737" i="16"/>
  <c r="D2737" i="16"/>
  <c r="E2737" i="16"/>
  <c r="F2737" i="16"/>
  <c r="G2737" i="16"/>
  <c r="H2737" i="16"/>
  <c r="I2737" i="16"/>
  <c r="J2737" i="16"/>
  <c r="C2738" i="16"/>
  <c r="D2738" i="16"/>
  <c r="E2738" i="16"/>
  <c r="F2738" i="16"/>
  <c r="G2738" i="16"/>
  <c r="H2738" i="16"/>
  <c r="I2738" i="16"/>
  <c r="J2738" i="16"/>
  <c r="C2739" i="16"/>
  <c r="D2739" i="16"/>
  <c r="E2739" i="16"/>
  <c r="F2739" i="16"/>
  <c r="G2739" i="16"/>
  <c r="H2739" i="16"/>
  <c r="I2739" i="16"/>
  <c r="J2739" i="16"/>
  <c r="C2740" i="16"/>
  <c r="D2740" i="16"/>
  <c r="E2740" i="16"/>
  <c r="F2740" i="16"/>
  <c r="G2740" i="16"/>
  <c r="H2740" i="16"/>
  <c r="I2740" i="16"/>
  <c r="J2740" i="16"/>
  <c r="C2741" i="16"/>
  <c r="D2741" i="16"/>
  <c r="E2741" i="16"/>
  <c r="F2741" i="16"/>
  <c r="G2741" i="16"/>
  <c r="H2741" i="16"/>
  <c r="I2741" i="16"/>
  <c r="J2741" i="16"/>
  <c r="C2742" i="16"/>
  <c r="D2742" i="16"/>
  <c r="E2742" i="16"/>
  <c r="F2742" i="16"/>
  <c r="G2742" i="16"/>
  <c r="H2742" i="16"/>
  <c r="I2742" i="16"/>
  <c r="J2742" i="16"/>
  <c r="C2743" i="16"/>
  <c r="D2743" i="16"/>
  <c r="E2743" i="16"/>
  <c r="F2743" i="16"/>
  <c r="G2743" i="16"/>
  <c r="H2743" i="16"/>
  <c r="I2743" i="16"/>
  <c r="J2743" i="16"/>
  <c r="C2744" i="16"/>
  <c r="D2744" i="16"/>
  <c r="E2744" i="16"/>
  <c r="F2744" i="16"/>
  <c r="G2744" i="16"/>
  <c r="H2744" i="16"/>
  <c r="I2744" i="16"/>
  <c r="J2744" i="16"/>
  <c r="C2745" i="16"/>
  <c r="D2745" i="16"/>
  <c r="E2745" i="16"/>
  <c r="F2745" i="16"/>
  <c r="G2745" i="16"/>
  <c r="H2745" i="16"/>
  <c r="I2745" i="16"/>
  <c r="J2745" i="16"/>
  <c r="C2746" i="16"/>
  <c r="D2746" i="16"/>
  <c r="E2746" i="16"/>
  <c r="F2746" i="16"/>
  <c r="G2746" i="16"/>
  <c r="H2746" i="16"/>
  <c r="I2746" i="16"/>
  <c r="J2746" i="16"/>
  <c r="C2747" i="16"/>
  <c r="D2747" i="16"/>
  <c r="E2747" i="16"/>
  <c r="F2747" i="16"/>
  <c r="G2747" i="16"/>
  <c r="H2747" i="16"/>
  <c r="I2747" i="16"/>
  <c r="J2747" i="16"/>
  <c r="C2748" i="16"/>
  <c r="D2748" i="16"/>
  <c r="E2748" i="16"/>
  <c r="F2748" i="16"/>
  <c r="G2748" i="16"/>
  <c r="H2748" i="16"/>
  <c r="I2748" i="16"/>
  <c r="J2748" i="16"/>
  <c r="C2749" i="16"/>
  <c r="D2749" i="16"/>
  <c r="E2749" i="16"/>
  <c r="F2749" i="16"/>
  <c r="G2749" i="16"/>
  <c r="H2749" i="16"/>
  <c r="I2749" i="16"/>
  <c r="J2749" i="16"/>
  <c r="C2750" i="16"/>
  <c r="D2750" i="16"/>
  <c r="E2750" i="16"/>
  <c r="F2750" i="16"/>
  <c r="G2750" i="16"/>
  <c r="H2750" i="16"/>
  <c r="I2750" i="16"/>
  <c r="J2750" i="16"/>
  <c r="C2751" i="16"/>
  <c r="D2751" i="16"/>
  <c r="E2751" i="16"/>
  <c r="F2751" i="16"/>
  <c r="G2751" i="16"/>
  <c r="H2751" i="16"/>
  <c r="I2751" i="16"/>
  <c r="J2751" i="16"/>
  <c r="C2752" i="16"/>
  <c r="D2752" i="16"/>
  <c r="E2752" i="16"/>
  <c r="F2752" i="16"/>
  <c r="G2752" i="16"/>
  <c r="H2752" i="16"/>
  <c r="I2752" i="16"/>
  <c r="J2752" i="16"/>
  <c r="C2753" i="16"/>
  <c r="D2753" i="16"/>
  <c r="E2753" i="16"/>
  <c r="F2753" i="16"/>
  <c r="G2753" i="16"/>
  <c r="H2753" i="16"/>
  <c r="I2753" i="16"/>
  <c r="J2753" i="16"/>
  <c r="C2754" i="16"/>
  <c r="D2754" i="16"/>
  <c r="E2754" i="16"/>
  <c r="F2754" i="16"/>
  <c r="G2754" i="16"/>
  <c r="H2754" i="16"/>
  <c r="I2754" i="16"/>
  <c r="J2754" i="16"/>
  <c r="C2755" i="16"/>
  <c r="D2755" i="16"/>
  <c r="E2755" i="16"/>
  <c r="F2755" i="16"/>
  <c r="G2755" i="16"/>
  <c r="H2755" i="16"/>
  <c r="I2755" i="16"/>
  <c r="J2755" i="16"/>
  <c r="C2756" i="16"/>
  <c r="D2756" i="16"/>
  <c r="E2756" i="16"/>
  <c r="F2756" i="16"/>
  <c r="G2756" i="16"/>
  <c r="H2756" i="16"/>
  <c r="I2756" i="16"/>
  <c r="J2756" i="16"/>
  <c r="C2757" i="16"/>
  <c r="D2757" i="16"/>
  <c r="E2757" i="16"/>
  <c r="F2757" i="16"/>
  <c r="G2757" i="16"/>
  <c r="H2757" i="16"/>
  <c r="I2757" i="16"/>
  <c r="J2757" i="16"/>
  <c r="C2758" i="16"/>
  <c r="D2758" i="16"/>
  <c r="E2758" i="16"/>
  <c r="F2758" i="16"/>
  <c r="G2758" i="16"/>
  <c r="H2758" i="16"/>
  <c r="I2758" i="16"/>
  <c r="J2758" i="16"/>
  <c r="C2759" i="16"/>
  <c r="D2759" i="16"/>
  <c r="E2759" i="16"/>
  <c r="F2759" i="16"/>
  <c r="G2759" i="16"/>
  <c r="H2759" i="16"/>
  <c r="I2759" i="16"/>
  <c r="J2759" i="16"/>
  <c r="C2760" i="16"/>
  <c r="D2760" i="16"/>
  <c r="E2760" i="16"/>
  <c r="F2760" i="16"/>
  <c r="G2760" i="16"/>
  <c r="H2760" i="16"/>
  <c r="I2760" i="16"/>
  <c r="J2760" i="16"/>
  <c r="C2761" i="16"/>
  <c r="D2761" i="16"/>
  <c r="E2761" i="16"/>
  <c r="F2761" i="16"/>
  <c r="G2761" i="16"/>
  <c r="H2761" i="16"/>
  <c r="I2761" i="16"/>
  <c r="J2761" i="16"/>
  <c r="C2762" i="16"/>
  <c r="D2762" i="16"/>
  <c r="E2762" i="16"/>
  <c r="F2762" i="16"/>
  <c r="G2762" i="16"/>
  <c r="H2762" i="16"/>
  <c r="I2762" i="16"/>
  <c r="J2762" i="16"/>
  <c r="C2763" i="16"/>
  <c r="D2763" i="16"/>
  <c r="E2763" i="16"/>
  <c r="F2763" i="16"/>
  <c r="G2763" i="16"/>
  <c r="H2763" i="16"/>
  <c r="I2763" i="16"/>
  <c r="J2763" i="16"/>
  <c r="C2764" i="16"/>
  <c r="D2764" i="16"/>
  <c r="E2764" i="16"/>
  <c r="F2764" i="16"/>
  <c r="G2764" i="16"/>
  <c r="H2764" i="16"/>
  <c r="I2764" i="16"/>
  <c r="J2764" i="16"/>
  <c r="C2765" i="16"/>
  <c r="D2765" i="16"/>
  <c r="E2765" i="16"/>
  <c r="F2765" i="16"/>
  <c r="G2765" i="16"/>
  <c r="H2765" i="16"/>
  <c r="I2765" i="16"/>
  <c r="J2765" i="16"/>
  <c r="C2766" i="16"/>
  <c r="D2766" i="16"/>
  <c r="E2766" i="16"/>
  <c r="F2766" i="16"/>
  <c r="G2766" i="16"/>
  <c r="H2766" i="16"/>
  <c r="I2766" i="16"/>
  <c r="J2766" i="16"/>
  <c r="C2767" i="16"/>
  <c r="D2767" i="16"/>
  <c r="E2767" i="16"/>
  <c r="F2767" i="16"/>
  <c r="G2767" i="16"/>
  <c r="H2767" i="16"/>
  <c r="I2767" i="16"/>
  <c r="J2767" i="16"/>
  <c r="C2768" i="16"/>
  <c r="D2768" i="16"/>
  <c r="E2768" i="16"/>
  <c r="F2768" i="16"/>
  <c r="G2768" i="16"/>
  <c r="H2768" i="16"/>
  <c r="I2768" i="16"/>
  <c r="J2768" i="16"/>
  <c r="C2769" i="16"/>
  <c r="D2769" i="16"/>
  <c r="E2769" i="16"/>
  <c r="F2769" i="16"/>
  <c r="G2769" i="16"/>
  <c r="H2769" i="16"/>
  <c r="I2769" i="16"/>
  <c r="J2769" i="16"/>
  <c r="C2770" i="16"/>
  <c r="D2770" i="16"/>
  <c r="E2770" i="16"/>
  <c r="F2770" i="16"/>
  <c r="G2770" i="16"/>
  <c r="H2770" i="16"/>
  <c r="I2770" i="16"/>
  <c r="J2770" i="16"/>
  <c r="C2771" i="16"/>
  <c r="D2771" i="16"/>
  <c r="E2771" i="16"/>
  <c r="F2771" i="16"/>
  <c r="G2771" i="16"/>
  <c r="H2771" i="16"/>
  <c r="I2771" i="16"/>
  <c r="J2771" i="16"/>
  <c r="C2772" i="16"/>
  <c r="D2772" i="16"/>
  <c r="E2772" i="16"/>
  <c r="F2772" i="16"/>
  <c r="G2772" i="16"/>
  <c r="H2772" i="16"/>
  <c r="I2772" i="16"/>
  <c r="J2772" i="16"/>
  <c r="C2773" i="16"/>
  <c r="D2773" i="16"/>
  <c r="E2773" i="16"/>
  <c r="F2773" i="16"/>
  <c r="G2773" i="16"/>
  <c r="H2773" i="16"/>
  <c r="I2773" i="16"/>
  <c r="J2773" i="16"/>
  <c r="C2774" i="16"/>
  <c r="D2774" i="16"/>
  <c r="E2774" i="16"/>
  <c r="F2774" i="16"/>
  <c r="G2774" i="16"/>
  <c r="H2774" i="16"/>
  <c r="I2774" i="16"/>
  <c r="J2774" i="16"/>
  <c r="C2775" i="16"/>
  <c r="D2775" i="16"/>
  <c r="E2775" i="16"/>
  <c r="F2775" i="16"/>
  <c r="G2775" i="16"/>
  <c r="H2775" i="16"/>
  <c r="I2775" i="16"/>
  <c r="J2775" i="16"/>
  <c r="C2776" i="16"/>
  <c r="D2776" i="16"/>
  <c r="E2776" i="16"/>
  <c r="F2776" i="16"/>
  <c r="G2776" i="16"/>
  <c r="H2776" i="16"/>
  <c r="I2776" i="16"/>
  <c r="J2776" i="16"/>
  <c r="C2777" i="16"/>
  <c r="D2777" i="16"/>
  <c r="E2777" i="16"/>
  <c r="F2777" i="16"/>
  <c r="G2777" i="16"/>
  <c r="H2777" i="16"/>
  <c r="I2777" i="16"/>
  <c r="J2777" i="16"/>
  <c r="C2778" i="16"/>
  <c r="D2778" i="16"/>
  <c r="E2778" i="16"/>
  <c r="F2778" i="16"/>
  <c r="G2778" i="16"/>
  <c r="H2778" i="16"/>
  <c r="I2778" i="16"/>
  <c r="J2778" i="16"/>
  <c r="C2779" i="16"/>
  <c r="D2779" i="16"/>
  <c r="E2779" i="16"/>
  <c r="F2779" i="16"/>
  <c r="G2779" i="16"/>
  <c r="H2779" i="16"/>
  <c r="I2779" i="16"/>
  <c r="J2779" i="16"/>
  <c r="C2780" i="16"/>
  <c r="D2780" i="16"/>
  <c r="E2780" i="16"/>
  <c r="F2780" i="16"/>
  <c r="G2780" i="16"/>
  <c r="H2780" i="16"/>
  <c r="I2780" i="16"/>
  <c r="J2780" i="16"/>
  <c r="C2781" i="16"/>
  <c r="D2781" i="16"/>
  <c r="E2781" i="16"/>
  <c r="F2781" i="16"/>
  <c r="G2781" i="16"/>
  <c r="H2781" i="16"/>
  <c r="I2781" i="16"/>
  <c r="J2781" i="16"/>
  <c r="C2782" i="16"/>
  <c r="D2782" i="16"/>
  <c r="E2782" i="16"/>
  <c r="F2782" i="16"/>
  <c r="G2782" i="16"/>
  <c r="H2782" i="16"/>
  <c r="I2782" i="16"/>
  <c r="J2782" i="16"/>
  <c r="C2783" i="16"/>
  <c r="D2783" i="16"/>
  <c r="E2783" i="16"/>
  <c r="F2783" i="16"/>
  <c r="G2783" i="16"/>
  <c r="H2783" i="16"/>
  <c r="I2783" i="16"/>
  <c r="J2783" i="16"/>
  <c r="C2784" i="16"/>
  <c r="D2784" i="16"/>
  <c r="E2784" i="16"/>
  <c r="F2784" i="16"/>
  <c r="G2784" i="16"/>
  <c r="H2784" i="16"/>
  <c r="I2784" i="16"/>
  <c r="J2784" i="16"/>
  <c r="C2785" i="16"/>
  <c r="D2785" i="16"/>
  <c r="E2785" i="16"/>
  <c r="F2785" i="16"/>
  <c r="G2785" i="16"/>
  <c r="H2785" i="16"/>
  <c r="I2785" i="16"/>
  <c r="J2785" i="16"/>
  <c r="C2786" i="16"/>
  <c r="D2786" i="16"/>
  <c r="E2786" i="16"/>
  <c r="F2786" i="16"/>
  <c r="G2786" i="16"/>
  <c r="H2786" i="16"/>
  <c r="I2786" i="16"/>
  <c r="J2786" i="16"/>
  <c r="C2787" i="16"/>
  <c r="D2787" i="16"/>
  <c r="E2787" i="16"/>
  <c r="F2787" i="16"/>
  <c r="G2787" i="16"/>
  <c r="H2787" i="16"/>
  <c r="I2787" i="16"/>
  <c r="J2787" i="16"/>
  <c r="C2788" i="16"/>
  <c r="D2788" i="16"/>
  <c r="E2788" i="16"/>
  <c r="F2788" i="16"/>
  <c r="G2788" i="16"/>
  <c r="H2788" i="16"/>
  <c r="I2788" i="16"/>
  <c r="J2788" i="16"/>
  <c r="C2789" i="16"/>
  <c r="D2789" i="16"/>
  <c r="E2789" i="16"/>
  <c r="F2789" i="16"/>
  <c r="G2789" i="16"/>
  <c r="H2789" i="16"/>
  <c r="I2789" i="16"/>
  <c r="J2789" i="16"/>
  <c r="C2790" i="16"/>
  <c r="D2790" i="16"/>
  <c r="E2790" i="16"/>
  <c r="F2790" i="16"/>
  <c r="G2790" i="16"/>
  <c r="H2790" i="16"/>
  <c r="I2790" i="16"/>
  <c r="J2790" i="16"/>
  <c r="C2791" i="16"/>
  <c r="D2791" i="16"/>
  <c r="E2791" i="16"/>
  <c r="F2791" i="16"/>
  <c r="G2791" i="16"/>
  <c r="H2791" i="16"/>
  <c r="I2791" i="16"/>
  <c r="J2791" i="16"/>
  <c r="C2792" i="16"/>
  <c r="D2792" i="16"/>
  <c r="E2792" i="16"/>
  <c r="F2792" i="16"/>
  <c r="G2792" i="16"/>
  <c r="H2792" i="16"/>
  <c r="I2792" i="16"/>
  <c r="J2792" i="16"/>
  <c r="C2793" i="16"/>
  <c r="D2793" i="16"/>
  <c r="E2793" i="16"/>
  <c r="F2793" i="16"/>
  <c r="G2793" i="16"/>
  <c r="H2793" i="16"/>
  <c r="I2793" i="16"/>
  <c r="J2793" i="16"/>
  <c r="C2794" i="16"/>
  <c r="D2794" i="16"/>
  <c r="E2794" i="16"/>
  <c r="F2794" i="16"/>
  <c r="G2794" i="16"/>
  <c r="H2794" i="16"/>
  <c r="I2794" i="16"/>
  <c r="J2794" i="16"/>
  <c r="C2795" i="16"/>
  <c r="D2795" i="16"/>
  <c r="E2795" i="16"/>
  <c r="F2795" i="16"/>
  <c r="G2795" i="16"/>
  <c r="H2795" i="16"/>
  <c r="I2795" i="16"/>
  <c r="J2795" i="16"/>
  <c r="C2796" i="16"/>
  <c r="D2796" i="16"/>
  <c r="E2796" i="16"/>
  <c r="F2796" i="16"/>
  <c r="G2796" i="16"/>
  <c r="H2796" i="16"/>
  <c r="I2796" i="16"/>
  <c r="J2796" i="16"/>
  <c r="C2797" i="16"/>
  <c r="D2797" i="16"/>
  <c r="E2797" i="16"/>
  <c r="F2797" i="16"/>
  <c r="G2797" i="16"/>
  <c r="H2797" i="16"/>
  <c r="I2797" i="16"/>
  <c r="J2797" i="16"/>
  <c r="C2798" i="16"/>
  <c r="D2798" i="16"/>
  <c r="E2798" i="16"/>
  <c r="F2798" i="16"/>
  <c r="G2798" i="16"/>
  <c r="H2798" i="16"/>
  <c r="I2798" i="16"/>
  <c r="J2798" i="16"/>
  <c r="C2799" i="16"/>
  <c r="D2799" i="16"/>
  <c r="E2799" i="16"/>
  <c r="F2799" i="16"/>
  <c r="G2799" i="16"/>
  <c r="H2799" i="16"/>
  <c r="I2799" i="16"/>
  <c r="J2799" i="16"/>
  <c r="C2800" i="16"/>
  <c r="D2800" i="16"/>
  <c r="E2800" i="16"/>
  <c r="F2800" i="16"/>
  <c r="G2800" i="16"/>
  <c r="H2800" i="16"/>
  <c r="I2800" i="16"/>
  <c r="J2800" i="16"/>
  <c r="C2801" i="16"/>
  <c r="D2801" i="16"/>
  <c r="E2801" i="16"/>
  <c r="F2801" i="16"/>
  <c r="G2801" i="16"/>
  <c r="H2801" i="16"/>
  <c r="I2801" i="16"/>
  <c r="J2801" i="16"/>
  <c r="C2802" i="16"/>
  <c r="D2802" i="16"/>
  <c r="E2802" i="16"/>
  <c r="F2802" i="16"/>
  <c r="G2802" i="16"/>
  <c r="H2802" i="16"/>
  <c r="I2802" i="16"/>
  <c r="J2802" i="16"/>
  <c r="C2803" i="16"/>
  <c r="D2803" i="16"/>
  <c r="E2803" i="16"/>
  <c r="F2803" i="16"/>
  <c r="G2803" i="16"/>
  <c r="H2803" i="16"/>
  <c r="I2803" i="16"/>
  <c r="J2803" i="16"/>
  <c r="C2804" i="16"/>
  <c r="D2804" i="16"/>
  <c r="E2804" i="16"/>
  <c r="F2804" i="16"/>
  <c r="G2804" i="16"/>
  <c r="H2804" i="16"/>
  <c r="I2804" i="16"/>
  <c r="J2804" i="16"/>
  <c r="C2805" i="16"/>
  <c r="D2805" i="16"/>
  <c r="E2805" i="16"/>
  <c r="F2805" i="16"/>
  <c r="G2805" i="16"/>
  <c r="H2805" i="16"/>
  <c r="I2805" i="16"/>
  <c r="J2805" i="16"/>
  <c r="C2806" i="16"/>
  <c r="D2806" i="16"/>
  <c r="E2806" i="16"/>
  <c r="F2806" i="16"/>
  <c r="G2806" i="16"/>
  <c r="H2806" i="16"/>
  <c r="I2806" i="16"/>
  <c r="J2806" i="16"/>
  <c r="C2807" i="16"/>
  <c r="D2807" i="16"/>
  <c r="E2807" i="16"/>
  <c r="F2807" i="16"/>
  <c r="G2807" i="16"/>
  <c r="H2807" i="16"/>
  <c r="I2807" i="16"/>
  <c r="J2807" i="16"/>
  <c r="C2808" i="16"/>
  <c r="D2808" i="16"/>
  <c r="E2808" i="16"/>
  <c r="F2808" i="16"/>
  <c r="G2808" i="16"/>
  <c r="H2808" i="16"/>
  <c r="I2808" i="16"/>
  <c r="J2808" i="16"/>
  <c r="C2809" i="16"/>
  <c r="D2809" i="16"/>
  <c r="E2809" i="16"/>
  <c r="F2809" i="16"/>
  <c r="G2809" i="16"/>
  <c r="H2809" i="16"/>
  <c r="I2809" i="16"/>
  <c r="J2809" i="16"/>
  <c r="C2810" i="16"/>
  <c r="D2810" i="16"/>
  <c r="E2810" i="16"/>
  <c r="F2810" i="16"/>
  <c r="G2810" i="16"/>
  <c r="H2810" i="16"/>
  <c r="I2810" i="16"/>
  <c r="J2810" i="16"/>
  <c r="C2811" i="16"/>
  <c r="D2811" i="16"/>
  <c r="E2811" i="16"/>
  <c r="F2811" i="16"/>
  <c r="G2811" i="16"/>
  <c r="H2811" i="16"/>
  <c r="I2811" i="16"/>
  <c r="J2811" i="16"/>
  <c r="C2812" i="16"/>
  <c r="D2812" i="16"/>
  <c r="E2812" i="16"/>
  <c r="F2812" i="16"/>
  <c r="G2812" i="16"/>
  <c r="H2812" i="16"/>
  <c r="I2812" i="16"/>
  <c r="J2812" i="16"/>
  <c r="C2813" i="16"/>
  <c r="D2813" i="16"/>
  <c r="E2813" i="16"/>
  <c r="F2813" i="16"/>
  <c r="G2813" i="16"/>
  <c r="H2813" i="16"/>
  <c r="I2813" i="16"/>
  <c r="J2813" i="16"/>
  <c r="C2814" i="16"/>
  <c r="D2814" i="16"/>
  <c r="E2814" i="16"/>
  <c r="F2814" i="16"/>
  <c r="G2814" i="16"/>
  <c r="H2814" i="16"/>
  <c r="I2814" i="16"/>
  <c r="J2814" i="16"/>
  <c r="C2815" i="16"/>
  <c r="D2815" i="16"/>
  <c r="E2815" i="16"/>
  <c r="F2815" i="16"/>
  <c r="G2815" i="16"/>
  <c r="H2815" i="16"/>
  <c r="I2815" i="16"/>
  <c r="J2815" i="16"/>
  <c r="C2816" i="16"/>
  <c r="D2816" i="16"/>
  <c r="E2816" i="16"/>
  <c r="F2816" i="16"/>
  <c r="G2816" i="16"/>
  <c r="H2816" i="16"/>
  <c r="I2816" i="16"/>
  <c r="J2816" i="16"/>
  <c r="C2817" i="16"/>
  <c r="D2817" i="16"/>
  <c r="E2817" i="16"/>
  <c r="F2817" i="16"/>
  <c r="G2817" i="16"/>
  <c r="H2817" i="16"/>
  <c r="I2817" i="16"/>
  <c r="J2817" i="16"/>
  <c r="C2818" i="16"/>
  <c r="D2818" i="16"/>
  <c r="E2818" i="16"/>
  <c r="F2818" i="16"/>
  <c r="G2818" i="16"/>
  <c r="H2818" i="16"/>
  <c r="I2818" i="16"/>
  <c r="J2818" i="16"/>
  <c r="C2819" i="16"/>
  <c r="D2819" i="16"/>
  <c r="E2819" i="16"/>
  <c r="F2819" i="16"/>
  <c r="G2819" i="16"/>
  <c r="H2819" i="16"/>
  <c r="I2819" i="16"/>
  <c r="J2819" i="16"/>
  <c r="C2820" i="16"/>
  <c r="D2820" i="16"/>
  <c r="E2820" i="16"/>
  <c r="F2820" i="16"/>
  <c r="G2820" i="16"/>
  <c r="H2820" i="16"/>
  <c r="I2820" i="16"/>
  <c r="J2820" i="16"/>
  <c r="C2821" i="16"/>
  <c r="D2821" i="16"/>
  <c r="E2821" i="16"/>
  <c r="F2821" i="16"/>
  <c r="G2821" i="16"/>
  <c r="H2821" i="16"/>
  <c r="I2821" i="16"/>
  <c r="J2821" i="16"/>
  <c r="C2822" i="16"/>
  <c r="D2822" i="16"/>
  <c r="E2822" i="16"/>
  <c r="F2822" i="16"/>
  <c r="G2822" i="16"/>
  <c r="H2822" i="16"/>
  <c r="I2822" i="16"/>
  <c r="J2822" i="16"/>
  <c r="C2823" i="16"/>
  <c r="D2823" i="16"/>
  <c r="E2823" i="16"/>
  <c r="F2823" i="16"/>
  <c r="G2823" i="16"/>
  <c r="H2823" i="16"/>
  <c r="I2823" i="16"/>
  <c r="J2823" i="16"/>
  <c r="C2824" i="16"/>
  <c r="D2824" i="16"/>
  <c r="E2824" i="16"/>
  <c r="F2824" i="16"/>
  <c r="G2824" i="16"/>
  <c r="H2824" i="16"/>
  <c r="I2824" i="16"/>
  <c r="J2824" i="16"/>
  <c r="C2825" i="16"/>
  <c r="D2825" i="16"/>
  <c r="E2825" i="16"/>
  <c r="F2825" i="16"/>
  <c r="G2825" i="16"/>
  <c r="H2825" i="16"/>
  <c r="I2825" i="16"/>
  <c r="J2825" i="16"/>
  <c r="C2826" i="16"/>
  <c r="D2826" i="16"/>
  <c r="E2826" i="16"/>
  <c r="F2826" i="16"/>
  <c r="G2826" i="16"/>
  <c r="H2826" i="16"/>
  <c r="I2826" i="16"/>
  <c r="J2826" i="16"/>
  <c r="C2827" i="16"/>
  <c r="D2827" i="16"/>
  <c r="E2827" i="16"/>
  <c r="F2827" i="16"/>
  <c r="G2827" i="16"/>
  <c r="H2827" i="16"/>
  <c r="I2827" i="16"/>
  <c r="J2827" i="16"/>
  <c r="C2828" i="16"/>
  <c r="D2828" i="16"/>
  <c r="E2828" i="16"/>
  <c r="F2828" i="16"/>
  <c r="G2828" i="16"/>
  <c r="H2828" i="16"/>
  <c r="I2828" i="16"/>
  <c r="J2828" i="16"/>
  <c r="C2829" i="16"/>
  <c r="D2829" i="16"/>
  <c r="E2829" i="16"/>
  <c r="F2829" i="16"/>
  <c r="G2829" i="16"/>
  <c r="H2829" i="16"/>
  <c r="I2829" i="16"/>
  <c r="J2829" i="16"/>
  <c r="C2830" i="16"/>
  <c r="D2830" i="16"/>
  <c r="E2830" i="16"/>
  <c r="F2830" i="16"/>
  <c r="G2830" i="16"/>
  <c r="H2830" i="16"/>
  <c r="I2830" i="16"/>
  <c r="J2830" i="16"/>
  <c r="C2831" i="16"/>
  <c r="D2831" i="16"/>
  <c r="E2831" i="16"/>
  <c r="F2831" i="16"/>
  <c r="G2831" i="16"/>
  <c r="H2831" i="16"/>
  <c r="I2831" i="16"/>
  <c r="J2831" i="16"/>
  <c r="C2832" i="16"/>
  <c r="D2832" i="16"/>
  <c r="E2832" i="16"/>
  <c r="F2832" i="16"/>
  <c r="G2832" i="16"/>
  <c r="H2832" i="16"/>
  <c r="I2832" i="16"/>
  <c r="J2832" i="16"/>
  <c r="C2833" i="16"/>
  <c r="D2833" i="16"/>
  <c r="E2833" i="16"/>
  <c r="F2833" i="16"/>
  <c r="G2833" i="16"/>
  <c r="H2833" i="16"/>
  <c r="I2833" i="16"/>
  <c r="J2833" i="16"/>
  <c r="C2834" i="16"/>
  <c r="D2834" i="16"/>
  <c r="E2834" i="16"/>
  <c r="F2834" i="16"/>
  <c r="G2834" i="16"/>
  <c r="H2834" i="16"/>
  <c r="I2834" i="16"/>
  <c r="J2834" i="16"/>
  <c r="C2835" i="16"/>
  <c r="D2835" i="16"/>
  <c r="E2835" i="16"/>
  <c r="F2835" i="16"/>
  <c r="G2835" i="16"/>
  <c r="H2835" i="16"/>
  <c r="I2835" i="16"/>
  <c r="J2835" i="16"/>
  <c r="C2836" i="16"/>
  <c r="D2836" i="16"/>
  <c r="E2836" i="16"/>
  <c r="F2836" i="16"/>
  <c r="G2836" i="16"/>
  <c r="H2836" i="16"/>
  <c r="I2836" i="16"/>
  <c r="J2836" i="16"/>
  <c r="C2837" i="16"/>
  <c r="D2837" i="16"/>
  <c r="E2837" i="16"/>
  <c r="F2837" i="16"/>
  <c r="G2837" i="16"/>
  <c r="H2837" i="16"/>
  <c r="I2837" i="16"/>
  <c r="J2837" i="16"/>
  <c r="C2838" i="16"/>
  <c r="D2838" i="16"/>
  <c r="E2838" i="16"/>
  <c r="F2838" i="16"/>
  <c r="G2838" i="16"/>
  <c r="H2838" i="16"/>
  <c r="I2838" i="16"/>
  <c r="J2838" i="16"/>
  <c r="C2839" i="16"/>
  <c r="D2839" i="16"/>
  <c r="E2839" i="16"/>
  <c r="F2839" i="16"/>
  <c r="G2839" i="16"/>
  <c r="H2839" i="16"/>
  <c r="I2839" i="16"/>
  <c r="J2839" i="16"/>
  <c r="C2840" i="16"/>
  <c r="D2840" i="16"/>
  <c r="E2840" i="16"/>
  <c r="F2840" i="16"/>
  <c r="G2840" i="16"/>
  <c r="H2840" i="16"/>
  <c r="I2840" i="16"/>
  <c r="J2840" i="16"/>
  <c r="C2841" i="16"/>
  <c r="D2841" i="16"/>
  <c r="E2841" i="16"/>
  <c r="F2841" i="16"/>
  <c r="G2841" i="16"/>
  <c r="H2841" i="16"/>
  <c r="I2841" i="16"/>
  <c r="J2841" i="16"/>
  <c r="C2842" i="16"/>
  <c r="D2842" i="16"/>
  <c r="E2842" i="16"/>
  <c r="F2842" i="16"/>
  <c r="G2842" i="16"/>
  <c r="H2842" i="16"/>
  <c r="I2842" i="16"/>
  <c r="J2842" i="16"/>
  <c r="C2843" i="16"/>
  <c r="D2843" i="16"/>
  <c r="E2843" i="16"/>
  <c r="F2843" i="16"/>
  <c r="G2843" i="16"/>
  <c r="H2843" i="16"/>
  <c r="I2843" i="16"/>
  <c r="J2843" i="16"/>
  <c r="C2844" i="16"/>
  <c r="D2844" i="16"/>
  <c r="E2844" i="16"/>
  <c r="F2844" i="16"/>
  <c r="G2844" i="16"/>
  <c r="H2844" i="16"/>
  <c r="I2844" i="16"/>
  <c r="J2844" i="16"/>
  <c r="C2845" i="16"/>
  <c r="D2845" i="16"/>
  <c r="E2845" i="16"/>
  <c r="F2845" i="16"/>
  <c r="G2845" i="16"/>
  <c r="H2845" i="16"/>
  <c r="I2845" i="16"/>
  <c r="J2845" i="16"/>
  <c r="C2846" i="16"/>
  <c r="D2846" i="16"/>
  <c r="E2846" i="16"/>
  <c r="F2846" i="16"/>
  <c r="G2846" i="16"/>
  <c r="H2846" i="16"/>
  <c r="I2846" i="16"/>
  <c r="J2846" i="16"/>
  <c r="C2847" i="16"/>
  <c r="D2847" i="16"/>
  <c r="E2847" i="16"/>
  <c r="F2847" i="16"/>
  <c r="G2847" i="16"/>
  <c r="H2847" i="16"/>
  <c r="I2847" i="16"/>
  <c r="J2847" i="16"/>
  <c r="C2848" i="16"/>
  <c r="D2848" i="16"/>
  <c r="E2848" i="16"/>
  <c r="F2848" i="16"/>
  <c r="G2848" i="16"/>
  <c r="H2848" i="16"/>
  <c r="I2848" i="16"/>
  <c r="J2848" i="16"/>
  <c r="C2849" i="16"/>
  <c r="D2849" i="16"/>
  <c r="E2849" i="16"/>
  <c r="F2849" i="16"/>
  <c r="G2849" i="16"/>
  <c r="H2849" i="16"/>
  <c r="I2849" i="16"/>
  <c r="J2849" i="16"/>
  <c r="C2850" i="16"/>
  <c r="D2850" i="16"/>
  <c r="E2850" i="16"/>
  <c r="F2850" i="16"/>
  <c r="G2850" i="16"/>
  <c r="H2850" i="16"/>
  <c r="I2850" i="16"/>
  <c r="J2850" i="16"/>
  <c r="C2851" i="16"/>
  <c r="D2851" i="16"/>
  <c r="E2851" i="16"/>
  <c r="F2851" i="16"/>
  <c r="G2851" i="16"/>
  <c r="H2851" i="16"/>
  <c r="I2851" i="16"/>
  <c r="J2851" i="16"/>
  <c r="C2852" i="16"/>
  <c r="D2852" i="16"/>
  <c r="E2852" i="16"/>
  <c r="F2852" i="16"/>
  <c r="G2852" i="16"/>
  <c r="H2852" i="16"/>
  <c r="I2852" i="16"/>
  <c r="J2852" i="16"/>
  <c r="C2853" i="16"/>
  <c r="D2853" i="16"/>
  <c r="E2853" i="16"/>
  <c r="F2853" i="16"/>
  <c r="G2853" i="16"/>
  <c r="H2853" i="16"/>
  <c r="I2853" i="16"/>
  <c r="J2853" i="16"/>
  <c r="C2854" i="16"/>
  <c r="D2854" i="16"/>
  <c r="E2854" i="16"/>
  <c r="F2854" i="16"/>
  <c r="G2854" i="16"/>
  <c r="H2854" i="16"/>
  <c r="I2854" i="16"/>
  <c r="J2854" i="16"/>
  <c r="C2855" i="16"/>
  <c r="D2855" i="16"/>
  <c r="E2855" i="16"/>
  <c r="F2855" i="16"/>
  <c r="G2855" i="16"/>
  <c r="H2855" i="16"/>
  <c r="I2855" i="16"/>
  <c r="J2855" i="16"/>
  <c r="C2856" i="16"/>
  <c r="D2856" i="16"/>
  <c r="E2856" i="16"/>
  <c r="F2856" i="16"/>
  <c r="G2856" i="16"/>
  <c r="H2856" i="16"/>
  <c r="I2856" i="16"/>
  <c r="J2856" i="16"/>
  <c r="C2857" i="16"/>
  <c r="D2857" i="16"/>
  <c r="E2857" i="16"/>
  <c r="F2857" i="16"/>
  <c r="G2857" i="16"/>
  <c r="H2857" i="16"/>
  <c r="I2857" i="16"/>
  <c r="J2857" i="16"/>
  <c r="C2858" i="16"/>
  <c r="D2858" i="16"/>
  <c r="E2858" i="16"/>
  <c r="F2858" i="16"/>
  <c r="G2858" i="16"/>
  <c r="H2858" i="16"/>
  <c r="I2858" i="16"/>
  <c r="J2858" i="16"/>
  <c r="C2859" i="16"/>
  <c r="D2859" i="16"/>
  <c r="E2859" i="16"/>
  <c r="F2859" i="16"/>
  <c r="G2859" i="16"/>
  <c r="H2859" i="16"/>
  <c r="I2859" i="16"/>
  <c r="J2859" i="16"/>
  <c r="C2860" i="16"/>
  <c r="D2860" i="16"/>
  <c r="E2860" i="16"/>
  <c r="F2860" i="16"/>
  <c r="G2860" i="16"/>
  <c r="H2860" i="16"/>
  <c r="I2860" i="16"/>
  <c r="J2860" i="16"/>
  <c r="C2861" i="16"/>
  <c r="D2861" i="16"/>
  <c r="E2861" i="16"/>
  <c r="F2861" i="16"/>
  <c r="G2861" i="16"/>
  <c r="H2861" i="16"/>
  <c r="I2861" i="16"/>
  <c r="J2861" i="16"/>
  <c r="C2862" i="16"/>
  <c r="D2862" i="16"/>
  <c r="E2862" i="16"/>
  <c r="F2862" i="16"/>
  <c r="G2862" i="16"/>
  <c r="H2862" i="16"/>
  <c r="I2862" i="16"/>
  <c r="J2862" i="16"/>
  <c r="C2863" i="16"/>
  <c r="D2863" i="16"/>
  <c r="E2863" i="16"/>
  <c r="F2863" i="16"/>
  <c r="G2863" i="16"/>
  <c r="H2863" i="16"/>
  <c r="I2863" i="16"/>
  <c r="J2863" i="16"/>
  <c r="C2864" i="16"/>
  <c r="D2864" i="16"/>
  <c r="E2864" i="16"/>
  <c r="F2864" i="16"/>
  <c r="G2864" i="16"/>
  <c r="H2864" i="16"/>
  <c r="I2864" i="16"/>
  <c r="J2864" i="16"/>
  <c r="C2865" i="16"/>
  <c r="D2865" i="16"/>
  <c r="E2865" i="16"/>
  <c r="F2865" i="16"/>
  <c r="G2865" i="16"/>
  <c r="H2865" i="16"/>
  <c r="I2865" i="16"/>
  <c r="J2865" i="16"/>
  <c r="C2866" i="16"/>
  <c r="D2866" i="16"/>
  <c r="E2866" i="16"/>
  <c r="F2866" i="16"/>
  <c r="G2866" i="16"/>
  <c r="H2866" i="16"/>
  <c r="I2866" i="16"/>
  <c r="J2866" i="16"/>
  <c r="C2867" i="16"/>
  <c r="D2867" i="16"/>
  <c r="E2867" i="16"/>
  <c r="F2867" i="16"/>
  <c r="G2867" i="16"/>
  <c r="H2867" i="16"/>
  <c r="I2867" i="16"/>
  <c r="J2867" i="16"/>
  <c r="C2868" i="16"/>
  <c r="D2868" i="16"/>
  <c r="E2868" i="16"/>
  <c r="F2868" i="16"/>
  <c r="G2868" i="16"/>
  <c r="H2868" i="16"/>
  <c r="I2868" i="16"/>
  <c r="J2868" i="16"/>
  <c r="C2869" i="16"/>
  <c r="D2869" i="16"/>
  <c r="E2869" i="16"/>
  <c r="F2869" i="16"/>
  <c r="G2869" i="16"/>
  <c r="H2869" i="16"/>
  <c r="I2869" i="16"/>
  <c r="J2869" i="16"/>
  <c r="C2870" i="16"/>
  <c r="D2870" i="16"/>
  <c r="E2870" i="16"/>
  <c r="F2870" i="16"/>
  <c r="G2870" i="16"/>
  <c r="H2870" i="16"/>
  <c r="I2870" i="16"/>
  <c r="J2870" i="16"/>
  <c r="C2871" i="16"/>
  <c r="D2871" i="16"/>
  <c r="E2871" i="16"/>
  <c r="F2871" i="16"/>
  <c r="G2871" i="16"/>
  <c r="H2871" i="16"/>
  <c r="I2871" i="16"/>
  <c r="J2871" i="16"/>
  <c r="C2872" i="16"/>
  <c r="D2872" i="16"/>
  <c r="E2872" i="16"/>
  <c r="F2872" i="16"/>
  <c r="G2872" i="16"/>
  <c r="H2872" i="16"/>
  <c r="I2872" i="16"/>
  <c r="J2872" i="16"/>
  <c r="C2873" i="16"/>
  <c r="D2873" i="16"/>
  <c r="E2873" i="16"/>
  <c r="F2873" i="16"/>
  <c r="G2873" i="16"/>
  <c r="H2873" i="16"/>
  <c r="I2873" i="16"/>
  <c r="J2873" i="16"/>
  <c r="C2874" i="16"/>
  <c r="D2874" i="16"/>
  <c r="E2874" i="16"/>
  <c r="F2874" i="16"/>
  <c r="G2874" i="16"/>
  <c r="H2874" i="16"/>
  <c r="I2874" i="16"/>
  <c r="J2874" i="16"/>
  <c r="C2875" i="16"/>
  <c r="D2875" i="16"/>
  <c r="E2875" i="16"/>
  <c r="F2875" i="16"/>
  <c r="G2875" i="16"/>
  <c r="H2875" i="16"/>
  <c r="I2875" i="16"/>
  <c r="J2875" i="16"/>
  <c r="C2876" i="16"/>
  <c r="D2876" i="16"/>
  <c r="E2876" i="16"/>
  <c r="F2876" i="16"/>
  <c r="G2876" i="16"/>
  <c r="H2876" i="16"/>
  <c r="I2876" i="16"/>
  <c r="J2876" i="16"/>
  <c r="C2877" i="16"/>
  <c r="D2877" i="16"/>
  <c r="E2877" i="16"/>
  <c r="F2877" i="16"/>
  <c r="G2877" i="16"/>
  <c r="H2877" i="16"/>
  <c r="I2877" i="16"/>
  <c r="J2877" i="16"/>
  <c r="C2878" i="16"/>
  <c r="D2878" i="16"/>
  <c r="E2878" i="16"/>
  <c r="F2878" i="16"/>
  <c r="G2878" i="16"/>
  <c r="H2878" i="16"/>
  <c r="I2878" i="16"/>
  <c r="J2878" i="16"/>
  <c r="C2879" i="16"/>
  <c r="D2879" i="16"/>
  <c r="E2879" i="16"/>
  <c r="F2879" i="16"/>
  <c r="G2879" i="16"/>
  <c r="H2879" i="16"/>
  <c r="I2879" i="16"/>
  <c r="J2879" i="16"/>
  <c r="C2880" i="16"/>
  <c r="D2880" i="16"/>
  <c r="E2880" i="16"/>
  <c r="F2880" i="16"/>
  <c r="G2880" i="16"/>
  <c r="H2880" i="16"/>
  <c r="I2880" i="16"/>
  <c r="J2880" i="16"/>
  <c r="C2881" i="16"/>
  <c r="D2881" i="16"/>
  <c r="E2881" i="16"/>
  <c r="F2881" i="16"/>
  <c r="G2881" i="16"/>
  <c r="H2881" i="16"/>
  <c r="I2881" i="16"/>
  <c r="J2881" i="16"/>
  <c r="C2882" i="16"/>
  <c r="D2882" i="16"/>
  <c r="E2882" i="16"/>
  <c r="F2882" i="16"/>
  <c r="G2882" i="16"/>
  <c r="H2882" i="16"/>
  <c r="I2882" i="16"/>
  <c r="J2882" i="16"/>
  <c r="C2883" i="16"/>
  <c r="D2883" i="16"/>
  <c r="E2883" i="16"/>
  <c r="F2883" i="16"/>
  <c r="G2883" i="16"/>
  <c r="H2883" i="16"/>
  <c r="I2883" i="16"/>
  <c r="J2883" i="16"/>
  <c r="C2884" i="16"/>
  <c r="D2884" i="16"/>
  <c r="E2884" i="16"/>
  <c r="F2884" i="16"/>
  <c r="G2884" i="16"/>
  <c r="H2884" i="16"/>
  <c r="I2884" i="16"/>
  <c r="J2884" i="16"/>
  <c r="C2885" i="16"/>
  <c r="D2885" i="16"/>
  <c r="E2885" i="16"/>
  <c r="F2885" i="16"/>
  <c r="G2885" i="16"/>
  <c r="H2885" i="16"/>
  <c r="I2885" i="16"/>
  <c r="J2885" i="16"/>
  <c r="C2886" i="16"/>
  <c r="D2886" i="16"/>
  <c r="E2886" i="16"/>
  <c r="F2886" i="16"/>
  <c r="G2886" i="16"/>
  <c r="H2886" i="16"/>
  <c r="I2886" i="16"/>
  <c r="J2886" i="16"/>
  <c r="C2887" i="16"/>
  <c r="D2887" i="16"/>
  <c r="E2887" i="16"/>
  <c r="F2887" i="16"/>
  <c r="G2887" i="16"/>
  <c r="H2887" i="16"/>
  <c r="I2887" i="16"/>
  <c r="J2887" i="16"/>
  <c r="C2888" i="16"/>
  <c r="D2888" i="16"/>
  <c r="E2888" i="16"/>
  <c r="F2888" i="16"/>
  <c r="G2888" i="16"/>
  <c r="H2888" i="16"/>
  <c r="I2888" i="16"/>
  <c r="J2888" i="16"/>
  <c r="C2889" i="16"/>
  <c r="D2889" i="16"/>
  <c r="E2889" i="16"/>
  <c r="F2889" i="16"/>
  <c r="G2889" i="16"/>
  <c r="H2889" i="16"/>
  <c r="I2889" i="16"/>
  <c r="J2889" i="16"/>
  <c r="C2890" i="16"/>
  <c r="D2890" i="16"/>
  <c r="E2890" i="16"/>
  <c r="F2890" i="16"/>
  <c r="G2890" i="16"/>
  <c r="H2890" i="16"/>
  <c r="I2890" i="16"/>
  <c r="J2890" i="16"/>
  <c r="C2891" i="16"/>
  <c r="D2891" i="16"/>
  <c r="E2891" i="16"/>
  <c r="F2891" i="16"/>
  <c r="G2891" i="16"/>
  <c r="H2891" i="16"/>
  <c r="I2891" i="16"/>
  <c r="J2891" i="16"/>
  <c r="C2892" i="16"/>
  <c r="D2892" i="16"/>
  <c r="E2892" i="16"/>
  <c r="F2892" i="16"/>
  <c r="G2892" i="16"/>
  <c r="H2892" i="16"/>
  <c r="I2892" i="16"/>
  <c r="J2892" i="16"/>
  <c r="C2893" i="16"/>
  <c r="D2893" i="16"/>
  <c r="E2893" i="16"/>
  <c r="F2893" i="16"/>
  <c r="G2893" i="16"/>
  <c r="H2893" i="16"/>
  <c r="I2893" i="16"/>
  <c r="J2893" i="16"/>
  <c r="C2894" i="16"/>
  <c r="D2894" i="16"/>
  <c r="E2894" i="16"/>
  <c r="F2894" i="16"/>
  <c r="G2894" i="16"/>
  <c r="H2894" i="16"/>
  <c r="I2894" i="16"/>
  <c r="J2894" i="16"/>
  <c r="C2895" i="16"/>
  <c r="D2895" i="16"/>
  <c r="E2895" i="16"/>
  <c r="F2895" i="16"/>
  <c r="G2895" i="16"/>
  <c r="H2895" i="16"/>
  <c r="I2895" i="16"/>
  <c r="J2895" i="16"/>
  <c r="C2896" i="16"/>
  <c r="D2896" i="16"/>
  <c r="E2896" i="16"/>
  <c r="F2896" i="16"/>
  <c r="G2896" i="16"/>
  <c r="H2896" i="16"/>
  <c r="I2896" i="16"/>
  <c r="J2896" i="16"/>
  <c r="C2897" i="16"/>
  <c r="D2897" i="16"/>
  <c r="E2897" i="16"/>
  <c r="F2897" i="16"/>
  <c r="G2897" i="16"/>
  <c r="H2897" i="16"/>
  <c r="I2897" i="16"/>
  <c r="J2897" i="16"/>
  <c r="C2898" i="16"/>
  <c r="D2898" i="16"/>
  <c r="E2898" i="16"/>
  <c r="F2898" i="16"/>
  <c r="G2898" i="16"/>
  <c r="H2898" i="16"/>
  <c r="I2898" i="16"/>
  <c r="J2898" i="16"/>
  <c r="C2899" i="16"/>
  <c r="D2899" i="16"/>
  <c r="E2899" i="16"/>
  <c r="F2899" i="16"/>
  <c r="G2899" i="16"/>
  <c r="H2899" i="16"/>
  <c r="I2899" i="16"/>
  <c r="J2899" i="16"/>
  <c r="C2900" i="16"/>
  <c r="D2900" i="16"/>
  <c r="E2900" i="16"/>
  <c r="F2900" i="16"/>
  <c r="G2900" i="16"/>
  <c r="H2900" i="16"/>
  <c r="I2900" i="16"/>
  <c r="J2900" i="16"/>
  <c r="C2901" i="16"/>
  <c r="D2901" i="16"/>
  <c r="E2901" i="16"/>
  <c r="F2901" i="16"/>
  <c r="G2901" i="16"/>
  <c r="H2901" i="16"/>
  <c r="I2901" i="16"/>
  <c r="J2901" i="16"/>
  <c r="C2902" i="16"/>
  <c r="D2902" i="16"/>
  <c r="E2902" i="16"/>
  <c r="F2902" i="16"/>
  <c r="G2902" i="16"/>
  <c r="H2902" i="16"/>
  <c r="I2902" i="16"/>
  <c r="J2902" i="16"/>
  <c r="C2903" i="16"/>
  <c r="D2903" i="16"/>
  <c r="E2903" i="16"/>
  <c r="F2903" i="16"/>
  <c r="G2903" i="16"/>
  <c r="H2903" i="16"/>
  <c r="I2903" i="16"/>
  <c r="J2903" i="16"/>
  <c r="C2904" i="16"/>
  <c r="D2904" i="16"/>
  <c r="E2904" i="16"/>
  <c r="F2904" i="16"/>
  <c r="G2904" i="16"/>
  <c r="H2904" i="16"/>
  <c r="I2904" i="16"/>
  <c r="J2904" i="16"/>
  <c r="C2905" i="16"/>
  <c r="D2905" i="16"/>
  <c r="E2905" i="16"/>
  <c r="F2905" i="16"/>
  <c r="G2905" i="16"/>
  <c r="H2905" i="16"/>
  <c r="I2905" i="16"/>
  <c r="J2905" i="16"/>
  <c r="C2906" i="16"/>
  <c r="D2906" i="16"/>
  <c r="E2906" i="16"/>
  <c r="F2906" i="16"/>
  <c r="G2906" i="16"/>
  <c r="H2906" i="16"/>
  <c r="I2906" i="16"/>
  <c r="J2906" i="16"/>
  <c r="C2907" i="16"/>
  <c r="D2907" i="16"/>
  <c r="E2907" i="16"/>
  <c r="F2907" i="16"/>
  <c r="G2907" i="16"/>
  <c r="H2907" i="16"/>
  <c r="I2907" i="16"/>
  <c r="J2907" i="16"/>
  <c r="C2908" i="16"/>
  <c r="D2908" i="16"/>
  <c r="E2908" i="16"/>
  <c r="F2908" i="16"/>
  <c r="G2908" i="16"/>
  <c r="H2908" i="16"/>
  <c r="I2908" i="16"/>
  <c r="J2908" i="16"/>
  <c r="C2909" i="16"/>
  <c r="D2909" i="16"/>
  <c r="E2909" i="16"/>
  <c r="F2909" i="16"/>
  <c r="G2909" i="16"/>
  <c r="H2909" i="16"/>
  <c r="I2909" i="16"/>
  <c r="J2909" i="16"/>
  <c r="C2910" i="16"/>
  <c r="D2910" i="16"/>
  <c r="E2910" i="16"/>
  <c r="F2910" i="16"/>
  <c r="G2910" i="16"/>
  <c r="H2910" i="16"/>
  <c r="I2910" i="16"/>
  <c r="J2910" i="16"/>
  <c r="C2911" i="16"/>
  <c r="D2911" i="16"/>
  <c r="E2911" i="16"/>
  <c r="F2911" i="16"/>
  <c r="G2911" i="16"/>
  <c r="H2911" i="16"/>
  <c r="I2911" i="16"/>
  <c r="J2911" i="16"/>
  <c r="C2912" i="16"/>
  <c r="D2912" i="16"/>
  <c r="E2912" i="16"/>
  <c r="F2912" i="16"/>
  <c r="G2912" i="16"/>
  <c r="H2912" i="16"/>
  <c r="I2912" i="16"/>
  <c r="J2912" i="16"/>
  <c r="C2913" i="16"/>
  <c r="D2913" i="16"/>
  <c r="E2913" i="16"/>
  <c r="F2913" i="16"/>
  <c r="G2913" i="16"/>
  <c r="H2913" i="16"/>
  <c r="I2913" i="16"/>
  <c r="J2913" i="16"/>
  <c r="C2914" i="16"/>
  <c r="D2914" i="16"/>
  <c r="E2914" i="16"/>
  <c r="F2914" i="16"/>
  <c r="G2914" i="16"/>
  <c r="H2914" i="16"/>
  <c r="I2914" i="16"/>
  <c r="J2914" i="16"/>
  <c r="C2915" i="16"/>
  <c r="D2915" i="16"/>
  <c r="E2915" i="16"/>
  <c r="F2915" i="16"/>
  <c r="G2915" i="16"/>
  <c r="H2915" i="16"/>
  <c r="I2915" i="16"/>
  <c r="J2915" i="16"/>
  <c r="C2916" i="16"/>
  <c r="D2916" i="16"/>
  <c r="E2916" i="16"/>
  <c r="F2916" i="16"/>
  <c r="G2916" i="16"/>
  <c r="H2916" i="16"/>
  <c r="I2916" i="16"/>
  <c r="J2916" i="16"/>
  <c r="C2917" i="16"/>
  <c r="D2917" i="16"/>
  <c r="E2917" i="16"/>
  <c r="F2917" i="16"/>
  <c r="G2917" i="16"/>
  <c r="H2917" i="16"/>
  <c r="I2917" i="16"/>
  <c r="J2917" i="16"/>
  <c r="C2918" i="16"/>
  <c r="D2918" i="16"/>
  <c r="E2918" i="16"/>
  <c r="F2918" i="16"/>
  <c r="G2918" i="16"/>
  <c r="H2918" i="16"/>
  <c r="I2918" i="16"/>
  <c r="J2918" i="16"/>
  <c r="C2919" i="16"/>
  <c r="D2919" i="16"/>
  <c r="E2919" i="16"/>
  <c r="F2919" i="16"/>
  <c r="G2919" i="16"/>
  <c r="H2919" i="16"/>
  <c r="I2919" i="16"/>
  <c r="J2919" i="16"/>
  <c r="C2920" i="16"/>
  <c r="D2920" i="16"/>
  <c r="E2920" i="16"/>
  <c r="F2920" i="16"/>
  <c r="G2920" i="16"/>
  <c r="H2920" i="16"/>
  <c r="I2920" i="16"/>
  <c r="J2920" i="16"/>
  <c r="C2921" i="16"/>
  <c r="D2921" i="16"/>
  <c r="E2921" i="16"/>
  <c r="F2921" i="16"/>
  <c r="G2921" i="16"/>
  <c r="H2921" i="16"/>
  <c r="I2921" i="16"/>
  <c r="J2921" i="16"/>
  <c r="C2922" i="16"/>
  <c r="D2922" i="16"/>
  <c r="E2922" i="16"/>
  <c r="F2922" i="16"/>
  <c r="G2922" i="16"/>
  <c r="H2922" i="16"/>
  <c r="I2922" i="16"/>
  <c r="J2922" i="16"/>
  <c r="C2923" i="16"/>
  <c r="D2923" i="16"/>
  <c r="E2923" i="16"/>
  <c r="F2923" i="16"/>
  <c r="G2923" i="16"/>
  <c r="H2923" i="16"/>
  <c r="I2923" i="16"/>
  <c r="J2923" i="16"/>
  <c r="C2924" i="16"/>
  <c r="D2924" i="16"/>
  <c r="E2924" i="16"/>
  <c r="F2924" i="16"/>
  <c r="G2924" i="16"/>
  <c r="H2924" i="16"/>
  <c r="I2924" i="16"/>
  <c r="J2924" i="16"/>
  <c r="C2925" i="16"/>
  <c r="D2925" i="16"/>
  <c r="E2925" i="16"/>
  <c r="F2925" i="16"/>
  <c r="G2925" i="16"/>
  <c r="H2925" i="16"/>
  <c r="I2925" i="16"/>
  <c r="J2925" i="16"/>
  <c r="C2926" i="16"/>
  <c r="D2926" i="16"/>
  <c r="E2926" i="16"/>
  <c r="F2926" i="16"/>
  <c r="G2926" i="16"/>
  <c r="H2926" i="16"/>
  <c r="I2926" i="16"/>
  <c r="J2926" i="16"/>
  <c r="C2927" i="16"/>
  <c r="D2927" i="16"/>
  <c r="E2927" i="16"/>
  <c r="F2927" i="16"/>
  <c r="G2927" i="16"/>
  <c r="H2927" i="16"/>
  <c r="I2927" i="16"/>
  <c r="J2927" i="16"/>
  <c r="C2928" i="16"/>
  <c r="D2928" i="16"/>
  <c r="E2928" i="16"/>
  <c r="F2928" i="16"/>
  <c r="G2928" i="16"/>
  <c r="H2928" i="16"/>
  <c r="I2928" i="16"/>
  <c r="J2928" i="16"/>
  <c r="C2929" i="16"/>
  <c r="D2929" i="16"/>
  <c r="E2929" i="16"/>
  <c r="F2929" i="16"/>
  <c r="G2929" i="16"/>
  <c r="H2929" i="16"/>
  <c r="I2929" i="16"/>
  <c r="J2929" i="16"/>
  <c r="C2930" i="16"/>
  <c r="D2930" i="16"/>
  <c r="E2930" i="16"/>
  <c r="F2930" i="16"/>
  <c r="G2930" i="16"/>
  <c r="H2930" i="16"/>
  <c r="I2930" i="16"/>
  <c r="J2930" i="16"/>
  <c r="C2931" i="16"/>
  <c r="D2931" i="16"/>
  <c r="E2931" i="16"/>
  <c r="F2931" i="16"/>
  <c r="G2931" i="16"/>
  <c r="H2931" i="16"/>
  <c r="I2931" i="16"/>
  <c r="J2931" i="16"/>
  <c r="C2932" i="16"/>
  <c r="D2932" i="16"/>
  <c r="E2932" i="16"/>
  <c r="F2932" i="16"/>
  <c r="G2932" i="16"/>
  <c r="H2932" i="16"/>
  <c r="I2932" i="16"/>
  <c r="J2932" i="16"/>
  <c r="C2933" i="16"/>
  <c r="D2933" i="16"/>
  <c r="E2933" i="16"/>
  <c r="F2933" i="16"/>
  <c r="G2933" i="16"/>
  <c r="H2933" i="16"/>
  <c r="I2933" i="16"/>
  <c r="J2933" i="16"/>
  <c r="C2934" i="16"/>
  <c r="D2934" i="16"/>
  <c r="E2934" i="16"/>
  <c r="F2934" i="16"/>
  <c r="G2934" i="16"/>
  <c r="H2934" i="16"/>
  <c r="I2934" i="16"/>
  <c r="J2934" i="16"/>
  <c r="C2935" i="16"/>
  <c r="D2935" i="16"/>
  <c r="E2935" i="16"/>
  <c r="F2935" i="16"/>
  <c r="G2935" i="16"/>
  <c r="H2935" i="16"/>
  <c r="I2935" i="16"/>
  <c r="J2935" i="16"/>
  <c r="C2936" i="16"/>
  <c r="D2936" i="16"/>
  <c r="E2936" i="16"/>
  <c r="F2936" i="16"/>
  <c r="G2936" i="16"/>
  <c r="H2936" i="16"/>
  <c r="I2936" i="16"/>
  <c r="J2936" i="16"/>
  <c r="C2937" i="16"/>
  <c r="D2937" i="16"/>
  <c r="E2937" i="16"/>
  <c r="F2937" i="16"/>
  <c r="G2937" i="16"/>
  <c r="H2937" i="16"/>
  <c r="I2937" i="16"/>
  <c r="J2937" i="16"/>
  <c r="C2938" i="16"/>
  <c r="D2938" i="16"/>
  <c r="E2938" i="16"/>
  <c r="F2938" i="16"/>
  <c r="G2938" i="16"/>
  <c r="H2938" i="16"/>
  <c r="I2938" i="16"/>
  <c r="J2938" i="16"/>
  <c r="C2939" i="16"/>
  <c r="D2939" i="16"/>
  <c r="E2939" i="16"/>
  <c r="F2939" i="16"/>
  <c r="G2939" i="16"/>
  <c r="H2939" i="16"/>
  <c r="I2939" i="16"/>
  <c r="J2939" i="16"/>
  <c r="C2940" i="16"/>
  <c r="D2940" i="16"/>
  <c r="E2940" i="16"/>
  <c r="F2940" i="16"/>
  <c r="G2940" i="16"/>
  <c r="H2940" i="16"/>
  <c r="I2940" i="16"/>
  <c r="J2940" i="16"/>
  <c r="C2941" i="16"/>
  <c r="D2941" i="16"/>
  <c r="E2941" i="16"/>
  <c r="F2941" i="16"/>
  <c r="G2941" i="16"/>
  <c r="H2941" i="16"/>
  <c r="I2941" i="16"/>
  <c r="J2941" i="16"/>
  <c r="C2942" i="16"/>
  <c r="D2942" i="16"/>
  <c r="E2942" i="16"/>
  <c r="F2942" i="16"/>
  <c r="G2942" i="16"/>
  <c r="H2942" i="16"/>
  <c r="I2942" i="16"/>
  <c r="J2942" i="16"/>
  <c r="C2943" i="16"/>
  <c r="D2943" i="16"/>
  <c r="E2943" i="16"/>
  <c r="F2943" i="16"/>
  <c r="G2943" i="16"/>
  <c r="H2943" i="16"/>
  <c r="I2943" i="16"/>
  <c r="J2943" i="16"/>
  <c r="C2944" i="16"/>
  <c r="D2944" i="16"/>
  <c r="E2944" i="16"/>
  <c r="F2944" i="16"/>
  <c r="G2944" i="16"/>
  <c r="H2944" i="16"/>
  <c r="I2944" i="16"/>
  <c r="J2944" i="16"/>
  <c r="C2945" i="16"/>
  <c r="D2945" i="16"/>
  <c r="E2945" i="16"/>
  <c r="F2945" i="16"/>
  <c r="G2945" i="16"/>
  <c r="H2945" i="16"/>
  <c r="I2945" i="16"/>
  <c r="J2945" i="16"/>
  <c r="C2946" i="16"/>
  <c r="D2946" i="16"/>
  <c r="E2946" i="16"/>
  <c r="F2946" i="16"/>
  <c r="G2946" i="16"/>
  <c r="H2946" i="16"/>
  <c r="I2946" i="16"/>
  <c r="J2946" i="16"/>
  <c r="C2947" i="16"/>
  <c r="D2947" i="16"/>
  <c r="E2947" i="16"/>
  <c r="F2947" i="16"/>
  <c r="G2947" i="16"/>
  <c r="H2947" i="16"/>
  <c r="I2947" i="16"/>
  <c r="J2947" i="16"/>
  <c r="C2948" i="16"/>
  <c r="D2948" i="16"/>
  <c r="E2948" i="16"/>
  <c r="F2948" i="16"/>
  <c r="G2948" i="16"/>
  <c r="H2948" i="16"/>
  <c r="I2948" i="16"/>
  <c r="J2948" i="16"/>
  <c r="C2949" i="16"/>
  <c r="D2949" i="16"/>
  <c r="E2949" i="16"/>
  <c r="F2949" i="16"/>
  <c r="G2949" i="16"/>
  <c r="H2949" i="16"/>
  <c r="I2949" i="16"/>
  <c r="J2949" i="16"/>
  <c r="C2950" i="16"/>
  <c r="D2950" i="16"/>
  <c r="E2950" i="16"/>
  <c r="F2950" i="16"/>
  <c r="G2950" i="16"/>
  <c r="H2950" i="16"/>
  <c r="I2950" i="16"/>
  <c r="J2950" i="16"/>
  <c r="C2951" i="16"/>
  <c r="D2951" i="16"/>
  <c r="E2951" i="16"/>
  <c r="F2951" i="16"/>
  <c r="G2951" i="16"/>
  <c r="H2951" i="16"/>
  <c r="I2951" i="16"/>
  <c r="J2951" i="16"/>
  <c r="C2952" i="16"/>
  <c r="D2952" i="16"/>
  <c r="E2952" i="16"/>
  <c r="F2952" i="16"/>
  <c r="G2952" i="16"/>
  <c r="H2952" i="16"/>
  <c r="I2952" i="16"/>
  <c r="J2952" i="16"/>
  <c r="C2953" i="16"/>
  <c r="D2953" i="16"/>
  <c r="E2953" i="16"/>
  <c r="F2953" i="16"/>
  <c r="G2953" i="16"/>
  <c r="H2953" i="16"/>
  <c r="I2953" i="16"/>
  <c r="J2953" i="16"/>
  <c r="C2954" i="16"/>
  <c r="D2954" i="16"/>
  <c r="E2954" i="16"/>
  <c r="F2954" i="16"/>
  <c r="G2954" i="16"/>
  <c r="H2954" i="16"/>
  <c r="I2954" i="16"/>
  <c r="J2954" i="16"/>
  <c r="C2955" i="16"/>
  <c r="D2955" i="16"/>
  <c r="E2955" i="16"/>
  <c r="F2955" i="16"/>
  <c r="G2955" i="16"/>
  <c r="H2955" i="16"/>
  <c r="I2955" i="16"/>
  <c r="J2955" i="16"/>
  <c r="C2956" i="16"/>
  <c r="D2956" i="16"/>
  <c r="E2956" i="16"/>
  <c r="F2956" i="16"/>
  <c r="G2956" i="16"/>
  <c r="H2956" i="16"/>
  <c r="I2956" i="16"/>
  <c r="J2956" i="16"/>
  <c r="C2957" i="16"/>
  <c r="D2957" i="16"/>
  <c r="E2957" i="16"/>
  <c r="F2957" i="16"/>
  <c r="G2957" i="16"/>
  <c r="H2957" i="16"/>
  <c r="I2957" i="16"/>
  <c r="J2957" i="16"/>
  <c r="C2958" i="16"/>
  <c r="D2958" i="16"/>
  <c r="E2958" i="16"/>
  <c r="F2958" i="16"/>
  <c r="G2958" i="16"/>
  <c r="H2958" i="16"/>
  <c r="I2958" i="16"/>
  <c r="J2958" i="16"/>
  <c r="C2959" i="16"/>
  <c r="D2959" i="16"/>
  <c r="E2959" i="16"/>
  <c r="F2959" i="16"/>
  <c r="G2959" i="16"/>
  <c r="H2959" i="16"/>
  <c r="I2959" i="16"/>
  <c r="J2959" i="16"/>
  <c r="C2960" i="16"/>
  <c r="D2960" i="16"/>
  <c r="E2960" i="16"/>
  <c r="F2960" i="16"/>
  <c r="G2960" i="16"/>
  <c r="H2960" i="16"/>
  <c r="I2960" i="16"/>
  <c r="J2960" i="16"/>
  <c r="C2961" i="16"/>
  <c r="D2961" i="16"/>
  <c r="E2961" i="16"/>
  <c r="F2961" i="16"/>
  <c r="G2961" i="16"/>
  <c r="H2961" i="16"/>
  <c r="I2961" i="16"/>
  <c r="J2961" i="16"/>
  <c r="C2962" i="16"/>
  <c r="D2962" i="16"/>
  <c r="E2962" i="16"/>
  <c r="F2962" i="16"/>
  <c r="G2962" i="16"/>
  <c r="H2962" i="16"/>
  <c r="I2962" i="16"/>
  <c r="J2962" i="16"/>
  <c r="C2963" i="16"/>
  <c r="D2963" i="16"/>
  <c r="E2963" i="16"/>
  <c r="F2963" i="16"/>
  <c r="G2963" i="16"/>
  <c r="H2963" i="16"/>
  <c r="I2963" i="16"/>
  <c r="J2963" i="16"/>
  <c r="C2964" i="16"/>
  <c r="D2964" i="16"/>
  <c r="E2964" i="16"/>
  <c r="F2964" i="16"/>
  <c r="G2964" i="16"/>
  <c r="H2964" i="16"/>
  <c r="I2964" i="16"/>
  <c r="J2964" i="16"/>
  <c r="C2965" i="16"/>
  <c r="D2965" i="16"/>
  <c r="E2965" i="16"/>
  <c r="F2965" i="16"/>
  <c r="G2965" i="16"/>
  <c r="H2965" i="16"/>
  <c r="I2965" i="16"/>
  <c r="J2965" i="16"/>
  <c r="C2966" i="16"/>
  <c r="D2966" i="16"/>
  <c r="E2966" i="16"/>
  <c r="F2966" i="16"/>
  <c r="G2966" i="16"/>
  <c r="H2966" i="16"/>
  <c r="I2966" i="16"/>
  <c r="J2966" i="16"/>
  <c r="C2967" i="16"/>
  <c r="D2967" i="16"/>
  <c r="E2967" i="16"/>
  <c r="F2967" i="16"/>
  <c r="G2967" i="16"/>
  <c r="H2967" i="16"/>
  <c r="I2967" i="16"/>
  <c r="J2967" i="16"/>
  <c r="C2968" i="16"/>
  <c r="D2968" i="16"/>
  <c r="E2968" i="16"/>
  <c r="F2968" i="16"/>
  <c r="G2968" i="16"/>
  <c r="H2968" i="16"/>
  <c r="I2968" i="16"/>
  <c r="J2968" i="16"/>
  <c r="C2969" i="16"/>
  <c r="D2969" i="16"/>
  <c r="E2969" i="16"/>
  <c r="F2969" i="16"/>
  <c r="G2969" i="16"/>
  <c r="H2969" i="16"/>
  <c r="I2969" i="16"/>
  <c r="J2969" i="16"/>
  <c r="C2970" i="16"/>
  <c r="D2970" i="16"/>
  <c r="E2970" i="16"/>
  <c r="F2970" i="16"/>
  <c r="G2970" i="16"/>
  <c r="H2970" i="16"/>
  <c r="I2970" i="16"/>
  <c r="J2970" i="16"/>
  <c r="C2971" i="16"/>
  <c r="D2971" i="16"/>
  <c r="E2971" i="16"/>
  <c r="F2971" i="16"/>
  <c r="G2971" i="16"/>
  <c r="H2971" i="16"/>
  <c r="I2971" i="16"/>
  <c r="J2971" i="16"/>
  <c r="C2972" i="16"/>
  <c r="D2972" i="16"/>
  <c r="E2972" i="16"/>
  <c r="F2972" i="16"/>
  <c r="G2972" i="16"/>
  <c r="H2972" i="16"/>
  <c r="I2972" i="16"/>
  <c r="J2972" i="16"/>
  <c r="C2973" i="16"/>
  <c r="D2973" i="16"/>
  <c r="E2973" i="16"/>
  <c r="F2973" i="16"/>
  <c r="G2973" i="16"/>
  <c r="H2973" i="16"/>
  <c r="I2973" i="16"/>
  <c r="J2973" i="16"/>
  <c r="C2974" i="16"/>
  <c r="D2974" i="16"/>
  <c r="E2974" i="16"/>
  <c r="F2974" i="16"/>
  <c r="G2974" i="16"/>
  <c r="H2974" i="16"/>
  <c r="I2974" i="16"/>
  <c r="J2974" i="16"/>
  <c r="C2975" i="16"/>
  <c r="D2975" i="16"/>
  <c r="E2975" i="16"/>
  <c r="F2975" i="16"/>
  <c r="G2975" i="16"/>
  <c r="H2975" i="16"/>
  <c r="I2975" i="16"/>
  <c r="J2975" i="16"/>
  <c r="C2976" i="16"/>
  <c r="D2976" i="16"/>
  <c r="E2976" i="16"/>
  <c r="F2976" i="16"/>
  <c r="G2976" i="16"/>
  <c r="H2976" i="16"/>
  <c r="I2976" i="16"/>
  <c r="J2976" i="16"/>
  <c r="C2977" i="16"/>
  <c r="D2977" i="16"/>
  <c r="E2977" i="16"/>
  <c r="F2977" i="16"/>
  <c r="G2977" i="16"/>
  <c r="H2977" i="16"/>
  <c r="I2977" i="16"/>
  <c r="J2977" i="16"/>
  <c r="C2978" i="16"/>
  <c r="D2978" i="16"/>
  <c r="E2978" i="16"/>
  <c r="F2978" i="16"/>
  <c r="G2978" i="16"/>
  <c r="H2978" i="16"/>
  <c r="I2978" i="16"/>
  <c r="J2978" i="16"/>
  <c r="C2979" i="16"/>
  <c r="D2979" i="16"/>
  <c r="E2979" i="16"/>
  <c r="F2979" i="16"/>
  <c r="G2979" i="16"/>
  <c r="H2979" i="16"/>
  <c r="I2979" i="16"/>
  <c r="J2979" i="16"/>
  <c r="C2980" i="16"/>
  <c r="D2980" i="16"/>
  <c r="E2980" i="16"/>
  <c r="F2980" i="16"/>
  <c r="G2980" i="16"/>
  <c r="H2980" i="16"/>
  <c r="I2980" i="16"/>
  <c r="J2980" i="16"/>
  <c r="C2981" i="16"/>
  <c r="D2981" i="16"/>
  <c r="E2981" i="16"/>
  <c r="F2981" i="16"/>
  <c r="G2981" i="16"/>
  <c r="H2981" i="16"/>
  <c r="I2981" i="16"/>
  <c r="J2981" i="16"/>
  <c r="C2982" i="16"/>
  <c r="D2982" i="16"/>
  <c r="E2982" i="16"/>
  <c r="F2982" i="16"/>
  <c r="G2982" i="16"/>
  <c r="H2982" i="16"/>
  <c r="I2982" i="16"/>
  <c r="J2982" i="16"/>
  <c r="C2983" i="16"/>
  <c r="D2983" i="16"/>
  <c r="E2983" i="16"/>
  <c r="F2983" i="16"/>
  <c r="G2983" i="16"/>
  <c r="H2983" i="16"/>
  <c r="I2983" i="16"/>
  <c r="J2983" i="16"/>
  <c r="C2984" i="16"/>
  <c r="D2984" i="16"/>
  <c r="E2984" i="16"/>
  <c r="F2984" i="16"/>
  <c r="G2984" i="16"/>
  <c r="H2984" i="16"/>
  <c r="I2984" i="16"/>
  <c r="J2984" i="16"/>
  <c r="C2985" i="16"/>
  <c r="D2985" i="16"/>
  <c r="E2985" i="16"/>
  <c r="F2985" i="16"/>
  <c r="G2985" i="16"/>
  <c r="H2985" i="16"/>
  <c r="I2985" i="16"/>
  <c r="J2985" i="16"/>
  <c r="C2986" i="16"/>
  <c r="D2986" i="16"/>
  <c r="E2986" i="16"/>
  <c r="F2986" i="16"/>
  <c r="G2986" i="16"/>
  <c r="H2986" i="16"/>
  <c r="I2986" i="16"/>
  <c r="J2986" i="16"/>
  <c r="C2987" i="16"/>
  <c r="D2987" i="16"/>
  <c r="E2987" i="16"/>
  <c r="F2987" i="16"/>
  <c r="G2987" i="16"/>
  <c r="H2987" i="16"/>
  <c r="I2987" i="16"/>
  <c r="J2987" i="16"/>
  <c r="C2988" i="16"/>
  <c r="D2988" i="16"/>
  <c r="E2988" i="16"/>
  <c r="F2988" i="16"/>
  <c r="G2988" i="16"/>
  <c r="H2988" i="16"/>
  <c r="I2988" i="16"/>
  <c r="J2988" i="16"/>
  <c r="C2989" i="16"/>
  <c r="D2989" i="16"/>
  <c r="E2989" i="16"/>
  <c r="F2989" i="16"/>
  <c r="G2989" i="16"/>
  <c r="H2989" i="16"/>
  <c r="I2989" i="16"/>
  <c r="J2989" i="16"/>
  <c r="C2990" i="16"/>
  <c r="D2990" i="16"/>
  <c r="E2990" i="16"/>
  <c r="F2990" i="16"/>
  <c r="G2990" i="16"/>
  <c r="H2990" i="16"/>
  <c r="I2990" i="16"/>
  <c r="J2990" i="16"/>
  <c r="C2991" i="16"/>
  <c r="D2991" i="16"/>
  <c r="E2991" i="16"/>
  <c r="F2991" i="16"/>
  <c r="G2991" i="16"/>
  <c r="H2991" i="16"/>
  <c r="I2991" i="16"/>
  <c r="J2991" i="16"/>
  <c r="C2992" i="16"/>
  <c r="D2992" i="16"/>
  <c r="E2992" i="16"/>
  <c r="F2992" i="16"/>
  <c r="G2992" i="16"/>
  <c r="H2992" i="16"/>
  <c r="I2992" i="16"/>
  <c r="J2992" i="16"/>
  <c r="C2993" i="16"/>
  <c r="D2993" i="16"/>
  <c r="E2993" i="16"/>
  <c r="F2993" i="16"/>
  <c r="G2993" i="16"/>
  <c r="H2993" i="16"/>
  <c r="I2993" i="16"/>
  <c r="J2993" i="16"/>
  <c r="C2994" i="16"/>
  <c r="D2994" i="16"/>
  <c r="E2994" i="16"/>
  <c r="F2994" i="16"/>
  <c r="G2994" i="16"/>
  <c r="H2994" i="16"/>
  <c r="I2994" i="16"/>
  <c r="J2994" i="16"/>
  <c r="C2995" i="16"/>
  <c r="D2995" i="16"/>
  <c r="E2995" i="16"/>
  <c r="F2995" i="16"/>
  <c r="G2995" i="16"/>
  <c r="H2995" i="16"/>
  <c r="I2995" i="16"/>
  <c r="J2995" i="16"/>
  <c r="C2996" i="16"/>
  <c r="D2996" i="16"/>
  <c r="E2996" i="16"/>
  <c r="F2996" i="16"/>
  <c r="G2996" i="16"/>
  <c r="H2996" i="16"/>
  <c r="I2996" i="16"/>
  <c r="J2996" i="16"/>
  <c r="C2997" i="16"/>
  <c r="D2997" i="16"/>
  <c r="E2997" i="16"/>
  <c r="F2997" i="16"/>
  <c r="G2997" i="16"/>
  <c r="H2997" i="16"/>
  <c r="I2997" i="16"/>
  <c r="J2997" i="16"/>
  <c r="C2998" i="16"/>
  <c r="D2998" i="16"/>
  <c r="E2998" i="16"/>
  <c r="F2998" i="16"/>
  <c r="G2998" i="16"/>
  <c r="H2998" i="16"/>
  <c r="I2998" i="16"/>
  <c r="J2998" i="16"/>
  <c r="C2999" i="16"/>
  <c r="D2999" i="16"/>
  <c r="E2999" i="16"/>
  <c r="F2999" i="16"/>
  <c r="G2999" i="16"/>
  <c r="H2999" i="16"/>
  <c r="I2999" i="16"/>
  <c r="J2999" i="16"/>
  <c r="C3000" i="16"/>
  <c r="D3000" i="16"/>
  <c r="E3000" i="16"/>
  <c r="F3000" i="16"/>
  <c r="G3000" i="16"/>
  <c r="H3000" i="16"/>
  <c r="I3000" i="16"/>
  <c r="J3000" i="16"/>
  <c r="C3001" i="16"/>
  <c r="D3001" i="16"/>
  <c r="E3001" i="16"/>
  <c r="F3001" i="16"/>
  <c r="G3001" i="16"/>
  <c r="H3001" i="16"/>
  <c r="I3001" i="16"/>
  <c r="J3001" i="16"/>
  <c r="C3002" i="16"/>
  <c r="D3002" i="16"/>
  <c r="E3002" i="16"/>
  <c r="F3002" i="16"/>
  <c r="G3002" i="16"/>
  <c r="H3002" i="16"/>
  <c r="I3002" i="16"/>
  <c r="J3002" i="16"/>
  <c r="C3003" i="16"/>
  <c r="D3003" i="16"/>
  <c r="E3003" i="16"/>
  <c r="F3003" i="16"/>
  <c r="G3003" i="16"/>
  <c r="H3003" i="16"/>
  <c r="I3003" i="16"/>
  <c r="J3003" i="16"/>
  <c r="C3004" i="16"/>
  <c r="D3004" i="16"/>
  <c r="E3004" i="16"/>
  <c r="F3004" i="16"/>
  <c r="G3004" i="16"/>
  <c r="H3004" i="16"/>
  <c r="I3004" i="16"/>
  <c r="J3004" i="16"/>
  <c r="C3005" i="16"/>
  <c r="D3005" i="16"/>
  <c r="E3005" i="16"/>
  <c r="F3005" i="16"/>
  <c r="G3005" i="16"/>
  <c r="H3005" i="16"/>
  <c r="I3005" i="16"/>
  <c r="J3005" i="16"/>
  <c r="C3006" i="16"/>
  <c r="D3006" i="16"/>
  <c r="E3006" i="16"/>
  <c r="F3006" i="16"/>
  <c r="G3006" i="16"/>
  <c r="H3006" i="16"/>
  <c r="I3006" i="16"/>
  <c r="J3006" i="16"/>
  <c r="C3007" i="16"/>
  <c r="D3007" i="16"/>
  <c r="E3007" i="16"/>
  <c r="F3007" i="16"/>
  <c r="G3007" i="16"/>
  <c r="H3007" i="16"/>
  <c r="I3007" i="16"/>
  <c r="J3007" i="16"/>
  <c r="C3008" i="16"/>
  <c r="D3008" i="16"/>
  <c r="E3008" i="16"/>
  <c r="F3008" i="16"/>
  <c r="G3008" i="16"/>
  <c r="H3008" i="16"/>
  <c r="I3008" i="16"/>
  <c r="J3008" i="16"/>
  <c r="C3009" i="16"/>
  <c r="D3009" i="16"/>
  <c r="E3009" i="16"/>
  <c r="F3009" i="16"/>
  <c r="G3009" i="16"/>
  <c r="H3009" i="16"/>
  <c r="I3009" i="16"/>
  <c r="J3009" i="16"/>
  <c r="C3010" i="16"/>
  <c r="D3010" i="16"/>
  <c r="E3010" i="16"/>
  <c r="F3010" i="16"/>
  <c r="G3010" i="16"/>
  <c r="H3010" i="16"/>
  <c r="I3010" i="16"/>
  <c r="J3010" i="16"/>
  <c r="C3011" i="16"/>
  <c r="D3011" i="16"/>
  <c r="E3011" i="16"/>
  <c r="F3011" i="16"/>
  <c r="G3011" i="16"/>
  <c r="H3011" i="16"/>
  <c r="I3011" i="16"/>
  <c r="J3011" i="16"/>
  <c r="C3012" i="16"/>
  <c r="D3012" i="16"/>
  <c r="E3012" i="16"/>
  <c r="F3012" i="16"/>
  <c r="G3012" i="16"/>
  <c r="H3012" i="16"/>
  <c r="I3012" i="16"/>
  <c r="J3012" i="16"/>
  <c r="C3013" i="16"/>
  <c r="D3013" i="16"/>
  <c r="E3013" i="16"/>
  <c r="F3013" i="16"/>
  <c r="G3013" i="16"/>
  <c r="H3013" i="16"/>
  <c r="I3013" i="16"/>
  <c r="J3013" i="16"/>
  <c r="C3014" i="16"/>
  <c r="D3014" i="16"/>
  <c r="E3014" i="16"/>
  <c r="F3014" i="16"/>
  <c r="G3014" i="16"/>
  <c r="H3014" i="16"/>
  <c r="I3014" i="16"/>
  <c r="J3014" i="16"/>
  <c r="C3015" i="16"/>
  <c r="D3015" i="16"/>
  <c r="E3015" i="16"/>
  <c r="F3015" i="16"/>
  <c r="G3015" i="16"/>
  <c r="H3015" i="16"/>
  <c r="I3015" i="16"/>
  <c r="J3015" i="16"/>
  <c r="C3016" i="16"/>
  <c r="D3016" i="16"/>
  <c r="E3016" i="16"/>
  <c r="F3016" i="16"/>
  <c r="G3016" i="16"/>
  <c r="H3016" i="16"/>
  <c r="I3016" i="16"/>
  <c r="J3016" i="16"/>
  <c r="C3017" i="16"/>
  <c r="D3017" i="16"/>
  <c r="E3017" i="16"/>
  <c r="F3017" i="16"/>
  <c r="G3017" i="16"/>
  <c r="H3017" i="16"/>
  <c r="I3017" i="16"/>
  <c r="J3017" i="16"/>
  <c r="C3018" i="16"/>
  <c r="D3018" i="16"/>
  <c r="E3018" i="16"/>
  <c r="F3018" i="16"/>
  <c r="G3018" i="16"/>
  <c r="H3018" i="16"/>
  <c r="I3018" i="16"/>
  <c r="J3018" i="16"/>
  <c r="C3019" i="16"/>
  <c r="D3019" i="16"/>
  <c r="E3019" i="16"/>
  <c r="F3019" i="16"/>
  <c r="G3019" i="16"/>
  <c r="H3019" i="16"/>
  <c r="I3019" i="16"/>
  <c r="J3019" i="16"/>
  <c r="C3020" i="16"/>
  <c r="D3020" i="16"/>
  <c r="E3020" i="16"/>
  <c r="F3020" i="16"/>
  <c r="G3020" i="16"/>
  <c r="H3020" i="16"/>
  <c r="I3020" i="16"/>
  <c r="J3020" i="16"/>
  <c r="C3021" i="16"/>
  <c r="D3021" i="16"/>
  <c r="E3021" i="16"/>
  <c r="F3021" i="16"/>
  <c r="G3021" i="16"/>
  <c r="H3021" i="16"/>
  <c r="I3021" i="16"/>
  <c r="J3021" i="16"/>
  <c r="C3022" i="16"/>
  <c r="D3022" i="16"/>
  <c r="E3022" i="16"/>
  <c r="F3022" i="16"/>
  <c r="G3022" i="16"/>
  <c r="H3022" i="16"/>
  <c r="I3022" i="16"/>
  <c r="J3022" i="16"/>
  <c r="C3023" i="16"/>
  <c r="D3023" i="16"/>
  <c r="E3023" i="16"/>
  <c r="F3023" i="16"/>
  <c r="G3023" i="16"/>
  <c r="H3023" i="16"/>
  <c r="I3023" i="16"/>
  <c r="J3023" i="16"/>
  <c r="C3024" i="16"/>
  <c r="D3024" i="16"/>
  <c r="E3024" i="16"/>
  <c r="F3024" i="16"/>
  <c r="G3024" i="16"/>
  <c r="H3024" i="16"/>
  <c r="I3024" i="16"/>
  <c r="J3024" i="16"/>
  <c r="C3025" i="16"/>
  <c r="D3025" i="16"/>
  <c r="E3025" i="16"/>
  <c r="F3025" i="16"/>
  <c r="G3025" i="16"/>
  <c r="H3025" i="16"/>
  <c r="I3025" i="16"/>
  <c r="J3025" i="16"/>
  <c r="C3026" i="16"/>
  <c r="D3026" i="16"/>
  <c r="E3026" i="16"/>
  <c r="F3026" i="16"/>
  <c r="G3026" i="16"/>
  <c r="H3026" i="16"/>
  <c r="I3026" i="16"/>
  <c r="J3026" i="16"/>
  <c r="C3027" i="16"/>
  <c r="D3027" i="16"/>
  <c r="E3027" i="16"/>
  <c r="F3027" i="16"/>
  <c r="G3027" i="16"/>
  <c r="H3027" i="16"/>
  <c r="I3027" i="16"/>
  <c r="J3027" i="16"/>
  <c r="C3028" i="16"/>
  <c r="D3028" i="16"/>
  <c r="E3028" i="16"/>
  <c r="F3028" i="16"/>
  <c r="G3028" i="16"/>
  <c r="H3028" i="16"/>
  <c r="I3028" i="16"/>
  <c r="J3028" i="16"/>
  <c r="C3029" i="16"/>
  <c r="D3029" i="16"/>
  <c r="E3029" i="16"/>
  <c r="F3029" i="16"/>
  <c r="G3029" i="16"/>
  <c r="H3029" i="16"/>
  <c r="I3029" i="16"/>
  <c r="J3029" i="16"/>
  <c r="C3030" i="16"/>
  <c r="D3030" i="16"/>
  <c r="E3030" i="16"/>
  <c r="F3030" i="16"/>
  <c r="G3030" i="16"/>
  <c r="H3030" i="16"/>
  <c r="I3030" i="16"/>
  <c r="J3030" i="16"/>
  <c r="C3031" i="16"/>
  <c r="D3031" i="16"/>
  <c r="E3031" i="16"/>
  <c r="F3031" i="16"/>
  <c r="G3031" i="16"/>
  <c r="H3031" i="16"/>
  <c r="I3031" i="16"/>
  <c r="J3031" i="16"/>
  <c r="C3032" i="16"/>
  <c r="D3032" i="16"/>
  <c r="E3032" i="16"/>
  <c r="F3032" i="16"/>
  <c r="G3032" i="16"/>
  <c r="H3032" i="16"/>
  <c r="I3032" i="16"/>
  <c r="J3032" i="16"/>
  <c r="C3033" i="16"/>
  <c r="D3033" i="16"/>
  <c r="E3033" i="16"/>
  <c r="F3033" i="16"/>
  <c r="G3033" i="16"/>
  <c r="H3033" i="16"/>
  <c r="I3033" i="16"/>
  <c r="J3033" i="16"/>
  <c r="C3034" i="16"/>
  <c r="D3034" i="16"/>
  <c r="E3034" i="16"/>
  <c r="F3034" i="16"/>
  <c r="G3034" i="16"/>
  <c r="H3034" i="16"/>
  <c r="I3034" i="16"/>
  <c r="J3034" i="16"/>
  <c r="C3035" i="16"/>
  <c r="D3035" i="16"/>
  <c r="E3035" i="16"/>
  <c r="F3035" i="16"/>
  <c r="G3035" i="16"/>
  <c r="H3035" i="16"/>
  <c r="I3035" i="16"/>
  <c r="J3035" i="16"/>
  <c r="C3036" i="16"/>
  <c r="D3036" i="16"/>
  <c r="E3036" i="16"/>
  <c r="F3036" i="16"/>
  <c r="G3036" i="16"/>
  <c r="H3036" i="16"/>
  <c r="I3036" i="16"/>
  <c r="J3036" i="16"/>
  <c r="C3037" i="16"/>
  <c r="D3037" i="16"/>
  <c r="E3037" i="16"/>
  <c r="F3037" i="16"/>
  <c r="G3037" i="16"/>
  <c r="H3037" i="16"/>
  <c r="I3037" i="16"/>
  <c r="J3037" i="16"/>
  <c r="C3038" i="16"/>
  <c r="D3038" i="16"/>
  <c r="E3038" i="16"/>
  <c r="F3038" i="16"/>
  <c r="G3038" i="16"/>
  <c r="H3038" i="16"/>
  <c r="I3038" i="16"/>
  <c r="J3038" i="16"/>
  <c r="C3039" i="16"/>
  <c r="D3039" i="16"/>
  <c r="E3039" i="16"/>
  <c r="F3039" i="16"/>
  <c r="G3039" i="16"/>
  <c r="H3039" i="16"/>
  <c r="I3039" i="16"/>
  <c r="J3039" i="16"/>
  <c r="C3040" i="16"/>
  <c r="D3040" i="16"/>
  <c r="E3040" i="16"/>
  <c r="F3040" i="16"/>
  <c r="G3040" i="16"/>
  <c r="H3040" i="16"/>
  <c r="I3040" i="16"/>
  <c r="J3040" i="16"/>
  <c r="C3041" i="16"/>
  <c r="D3041" i="16"/>
  <c r="E3041" i="16"/>
  <c r="F3041" i="16"/>
  <c r="G3041" i="16"/>
  <c r="H3041" i="16"/>
  <c r="I3041" i="16"/>
  <c r="J3041" i="16"/>
  <c r="C3042" i="16"/>
  <c r="D3042" i="16"/>
  <c r="E3042" i="16"/>
  <c r="F3042" i="16"/>
  <c r="G3042" i="16"/>
  <c r="H3042" i="16"/>
  <c r="I3042" i="16"/>
  <c r="J3042" i="16"/>
  <c r="C3043" i="16"/>
  <c r="D3043" i="16"/>
  <c r="E3043" i="16"/>
  <c r="F3043" i="16"/>
  <c r="G3043" i="16"/>
  <c r="H3043" i="16"/>
  <c r="I3043" i="16"/>
  <c r="J3043" i="16"/>
  <c r="C3044" i="16"/>
  <c r="D3044" i="16"/>
  <c r="E3044" i="16"/>
  <c r="F3044" i="16"/>
  <c r="G3044" i="16"/>
  <c r="H3044" i="16"/>
  <c r="I3044" i="16"/>
  <c r="J3044" i="16"/>
  <c r="C3045" i="16"/>
  <c r="D3045" i="16"/>
  <c r="E3045" i="16"/>
  <c r="F3045" i="16"/>
  <c r="G3045" i="16"/>
  <c r="H3045" i="16"/>
  <c r="I3045" i="16"/>
  <c r="J3045" i="16"/>
  <c r="C3046" i="16"/>
  <c r="D3046" i="16"/>
  <c r="E3046" i="16"/>
  <c r="F3046" i="16"/>
  <c r="G3046" i="16"/>
  <c r="H3046" i="16"/>
  <c r="I3046" i="16"/>
  <c r="J3046" i="16"/>
  <c r="C3047" i="16"/>
  <c r="D3047" i="16"/>
  <c r="E3047" i="16"/>
  <c r="F3047" i="16"/>
  <c r="G3047" i="16"/>
  <c r="H3047" i="16"/>
  <c r="I3047" i="16"/>
  <c r="J3047" i="16"/>
  <c r="C3048" i="16"/>
  <c r="D3048" i="16"/>
  <c r="E3048" i="16"/>
  <c r="F3048" i="16"/>
  <c r="G3048" i="16"/>
  <c r="H3048" i="16"/>
  <c r="I3048" i="16"/>
  <c r="J3048" i="16"/>
  <c r="C3049" i="16"/>
  <c r="D3049" i="16"/>
  <c r="E3049" i="16"/>
  <c r="F3049" i="16"/>
  <c r="G3049" i="16"/>
  <c r="H3049" i="16"/>
  <c r="I3049" i="16"/>
  <c r="J3049" i="16"/>
  <c r="C3050" i="16"/>
  <c r="D3050" i="16"/>
  <c r="E3050" i="16"/>
  <c r="F3050" i="16"/>
  <c r="G3050" i="16"/>
  <c r="H3050" i="16"/>
  <c r="I3050" i="16"/>
  <c r="J3050" i="16"/>
  <c r="C3051" i="16"/>
  <c r="D3051" i="16"/>
  <c r="E3051" i="16"/>
  <c r="F3051" i="16"/>
  <c r="G3051" i="16"/>
  <c r="H3051" i="16"/>
  <c r="I3051" i="16"/>
  <c r="J3051" i="16"/>
  <c r="C3052" i="16"/>
  <c r="D3052" i="16"/>
  <c r="E3052" i="16"/>
  <c r="F3052" i="16"/>
  <c r="G3052" i="16"/>
  <c r="H3052" i="16"/>
  <c r="I3052" i="16"/>
  <c r="J3052" i="16"/>
  <c r="C3053" i="16"/>
  <c r="D3053" i="16"/>
  <c r="E3053" i="16"/>
  <c r="F3053" i="16"/>
  <c r="G3053" i="16"/>
  <c r="H3053" i="16"/>
  <c r="I3053" i="16"/>
  <c r="J3053" i="16"/>
  <c r="C3054" i="16"/>
  <c r="D3054" i="16"/>
  <c r="E3054" i="16"/>
  <c r="F3054" i="16"/>
  <c r="G3054" i="16"/>
  <c r="H3054" i="16"/>
  <c r="I3054" i="16"/>
  <c r="J3054" i="16"/>
  <c r="C3055" i="16"/>
  <c r="D3055" i="16"/>
  <c r="E3055" i="16"/>
  <c r="F3055" i="16"/>
  <c r="G3055" i="16"/>
  <c r="H3055" i="16"/>
  <c r="I3055" i="16"/>
  <c r="J3055" i="16"/>
  <c r="C3056" i="16"/>
  <c r="D3056" i="16"/>
  <c r="E3056" i="16"/>
  <c r="F3056" i="16"/>
  <c r="G3056" i="16"/>
  <c r="H3056" i="16"/>
  <c r="I3056" i="16"/>
  <c r="J3056" i="16"/>
  <c r="C3057" i="16"/>
  <c r="D3057" i="16"/>
  <c r="E3057" i="16"/>
  <c r="F3057" i="16"/>
  <c r="G3057" i="16"/>
  <c r="H3057" i="16"/>
  <c r="I3057" i="16"/>
  <c r="J3057" i="16"/>
  <c r="C3058" i="16"/>
  <c r="D3058" i="16"/>
  <c r="E3058" i="16"/>
  <c r="F3058" i="16"/>
  <c r="G3058" i="16"/>
  <c r="H3058" i="16"/>
  <c r="I3058" i="16"/>
  <c r="J3058" i="16"/>
  <c r="C3059" i="16"/>
  <c r="D3059" i="16"/>
  <c r="E3059" i="16"/>
  <c r="F3059" i="16"/>
  <c r="G3059" i="16"/>
  <c r="H3059" i="16"/>
  <c r="I3059" i="16"/>
  <c r="J3059" i="16"/>
  <c r="C3060" i="16"/>
  <c r="D3060" i="16"/>
  <c r="E3060" i="16"/>
  <c r="F3060" i="16"/>
  <c r="G3060" i="16"/>
  <c r="H3060" i="16"/>
  <c r="I3060" i="16"/>
  <c r="J3060" i="16"/>
  <c r="C3061" i="16"/>
  <c r="D3061" i="16"/>
  <c r="E3061" i="16"/>
  <c r="F3061" i="16"/>
  <c r="G3061" i="16"/>
  <c r="H3061" i="16"/>
  <c r="I3061" i="16"/>
  <c r="J3061" i="16"/>
  <c r="C3062" i="16"/>
  <c r="D3062" i="16"/>
  <c r="E3062" i="16"/>
  <c r="F3062" i="16"/>
  <c r="G3062" i="16"/>
  <c r="H3062" i="16"/>
  <c r="I3062" i="16"/>
  <c r="J3062" i="16"/>
  <c r="C3063" i="16"/>
  <c r="D3063" i="16"/>
  <c r="E3063" i="16"/>
  <c r="F3063" i="16"/>
  <c r="G3063" i="16"/>
  <c r="H3063" i="16"/>
  <c r="I3063" i="16"/>
  <c r="J3063" i="16"/>
  <c r="C3064" i="16"/>
  <c r="D3064" i="16"/>
  <c r="E3064" i="16"/>
  <c r="F3064" i="16"/>
  <c r="G3064" i="16"/>
  <c r="H3064" i="16"/>
  <c r="I3064" i="16"/>
  <c r="J3064" i="16"/>
  <c r="C3065" i="16"/>
  <c r="D3065" i="16"/>
  <c r="E3065" i="16"/>
  <c r="F3065" i="16"/>
  <c r="G3065" i="16"/>
  <c r="H3065" i="16"/>
  <c r="I3065" i="16"/>
  <c r="J3065" i="16"/>
  <c r="C3066" i="16"/>
  <c r="D3066" i="16"/>
  <c r="E3066" i="16"/>
  <c r="F3066" i="16"/>
  <c r="G3066" i="16"/>
  <c r="H3066" i="16"/>
  <c r="I3066" i="16"/>
  <c r="J3066" i="16"/>
  <c r="C3067" i="16"/>
  <c r="D3067" i="16"/>
  <c r="E3067" i="16"/>
  <c r="F3067" i="16"/>
  <c r="G3067" i="16"/>
  <c r="H3067" i="16"/>
  <c r="I3067" i="16"/>
  <c r="J3067" i="16"/>
  <c r="C3068" i="16"/>
  <c r="D3068" i="16"/>
  <c r="E3068" i="16"/>
  <c r="F3068" i="16"/>
  <c r="G3068" i="16"/>
  <c r="H3068" i="16"/>
  <c r="I3068" i="16"/>
  <c r="J3068" i="16"/>
  <c r="C3069" i="16"/>
  <c r="D3069" i="16"/>
  <c r="E3069" i="16"/>
  <c r="F3069" i="16"/>
  <c r="G3069" i="16"/>
  <c r="H3069" i="16"/>
  <c r="I3069" i="16"/>
  <c r="J3069" i="16"/>
  <c r="C3070" i="16"/>
  <c r="D3070" i="16"/>
  <c r="E3070" i="16"/>
  <c r="F3070" i="16"/>
  <c r="G3070" i="16"/>
  <c r="H3070" i="16"/>
  <c r="I3070" i="16"/>
  <c r="J3070" i="16"/>
  <c r="C3071" i="16"/>
  <c r="D3071" i="16"/>
  <c r="E3071" i="16"/>
  <c r="F3071" i="16"/>
  <c r="G3071" i="16"/>
  <c r="H3071" i="16"/>
  <c r="I3071" i="16"/>
  <c r="J3071" i="16"/>
  <c r="C3072" i="16"/>
  <c r="D3072" i="16"/>
  <c r="E3072" i="16"/>
  <c r="F3072" i="16"/>
  <c r="G3072" i="16"/>
  <c r="H3072" i="16"/>
  <c r="I3072" i="16"/>
  <c r="J3072" i="16"/>
  <c r="C3073" i="16"/>
  <c r="D3073" i="16"/>
  <c r="E3073" i="16"/>
  <c r="F3073" i="16"/>
  <c r="G3073" i="16"/>
  <c r="H3073" i="16"/>
  <c r="I3073" i="16"/>
  <c r="J3073" i="16"/>
  <c r="C3074" i="16"/>
  <c r="D3074" i="16"/>
  <c r="E3074" i="16"/>
  <c r="F3074" i="16"/>
  <c r="G3074" i="16"/>
  <c r="H3074" i="16"/>
  <c r="I3074" i="16"/>
  <c r="J3074" i="16"/>
  <c r="C3075" i="16"/>
  <c r="D3075" i="16"/>
  <c r="E3075" i="16"/>
  <c r="F3075" i="16"/>
  <c r="G3075" i="16"/>
  <c r="H3075" i="16"/>
  <c r="I3075" i="16"/>
  <c r="J3075" i="16"/>
  <c r="C3076" i="16"/>
  <c r="D3076" i="16"/>
  <c r="E3076" i="16"/>
  <c r="F3076" i="16"/>
  <c r="G3076" i="16"/>
  <c r="H3076" i="16"/>
  <c r="I3076" i="16"/>
  <c r="J3076" i="16"/>
  <c r="C3077" i="16"/>
  <c r="D3077" i="16"/>
  <c r="E3077" i="16"/>
  <c r="F3077" i="16"/>
  <c r="G3077" i="16"/>
  <c r="H3077" i="16"/>
  <c r="I3077" i="16"/>
  <c r="J3077" i="16"/>
  <c r="C3078" i="16"/>
  <c r="D3078" i="16"/>
  <c r="E3078" i="16"/>
  <c r="F3078" i="16"/>
  <c r="G3078" i="16"/>
  <c r="H3078" i="16"/>
  <c r="I3078" i="16"/>
  <c r="J3078" i="16"/>
  <c r="C3079" i="16"/>
  <c r="D3079" i="16"/>
  <c r="E3079" i="16"/>
  <c r="F3079" i="16"/>
  <c r="G3079" i="16"/>
  <c r="H3079" i="16"/>
  <c r="I3079" i="16"/>
  <c r="J3079" i="16"/>
  <c r="C3080" i="16"/>
  <c r="D3080" i="16"/>
  <c r="E3080" i="16"/>
  <c r="F3080" i="16"/>
  <c r="G3080" i="16"/>
  <c r="H3080" i="16"/>
  <c r="I3080" i="16"/>
  <c r="J3080" i="16"/>
  <c r="C3081" i="16"/>
  <c r="D3081" i="16"/>
  <c r="E3081" i="16"/>
  <c r="F3081" i="16"/>
  <c r="G3081" i="16"/>
  <c r="H3081" i="16"/>
  <c r="I3081" i="16"/>
  <c r="J3081" i="16"/>
  <c r="C3082" i="16"/>
  <c r="D3082" i="16"/>
  <c r="E3082" i="16"/>
  <c r="F3082" i="16"/>
  <c r="G3082" i="16"/>
  <c r="H3082" i="16"/>
  <c r="I3082" i="16"/>
  <c r="J3082" i="16"/>
  <c r="C3083" i="16"/>
  <c r="D3083" i="16"/>
  <c r="E3083" i="16"/>
  <c r="F3083" i="16"/>
  <c r="G3083" i="16"/>
  <c r="H3083" i="16"/>
  <c r="I3083" i="16"/>
  <c r="J3083" i="16"/>
  <c r="C3084" i="16"/>
  <c r="D3084" i="16"/>
  <c r="E3084" i="16"/>
  <c r="F3084" i="16"/>
  <c r="G3084" i="16"/>
  <c r="H3084" i="16"/>
  <c r="I3084" i="16"/>
  <c r="J3084" i="16"/>
  <c r="C3085" i="16"/>
  <c r="D3085" i="16"/>
  <c r="E3085" i="16"/>
  <c r="F3085" i="16"/>
  <c r="G3085" i="16"/>
  <c r="H3085" i="16"/>
  <c r="I3085" i="16"/>
  <c r="J3085" i="16"/>
  <c r="C3086" i="16"/>
  <c r="D3086" i="16"/>
  <c r="E3086" i="16"/>
  <c r="F3086" i="16"/>
  <c r="G3086" i="16"/>
  <c r="H3086" i="16"/>
  <c r="I3086" i="16"/>
  <c r="J3086" i="16"/>
  <c r="C3087" i="16"/>
  <c r="D3087" i="16"/>
  <c r="E3087" i="16"/>
  <c r="F3087" i="16"/>
  <c r="G3087" i="16"/>
  <c r="H3087" i="16"/>
  <c r="I3087" i="16"/>
  <c r="J3087" i="16"/>
  <c r="C3088" i="16"/>
  <c r="D3088" i="16"/>
  <c r="E3088" i="16"/>
  <c r="F3088" i="16"/>
  <c r="G3088" i="16"/>
  <c r="H3088" i="16"/>
  <c r="I3088" i="16"/>
  <c r="J3088" i="16"/>
  <c r="C3089" i="16"/>
  <c r="D3089" i="16"/>
  <c r="E3089" i="16"/>
  <c r="F3089" i="16"/>
  <c r="G3089" i="16"/>
  <c r="H3089" i="16"/>
  <c r="I3089" i="16"/>
  <c r="J3089" i="16"/>
  <c r="C3090" i="16"/>
  <c r="D3090" i="16"/>
  <c r="E3090" i="16"/>
  <c r="F3090" i="16"/>
  <c r="G3090" i="16"/>
  <c r="H3090" i="16"/>
  <c r="I3090" i="16"/>
  <c r="J3090" i="16"/>
  <c r="C3091" i="16"/>
  <c r="D3091" i="16"/>
  <c r="E3091" i="16"/>
  <c r="F3091" i="16"/>
  <c r="G3091" i="16"/>
  <c r="H3091" i="16"/>
  <c r="I3091" i="16"/>
  <c r="J3091" i="16"/>
  <c r="C3092" i="16"/>
  <c r="D3092" i="16"/>
  <c r="E3092" i="16"/>
  <c r="F3092" i="16"/>
  <c r="G3092" i="16"/>
  <c r="H3092" i="16"/>
  <c r="I3092" i="16"/>
  <c r="J3092" i="16"/>
  <c r="C3093" i="16"/>
  <c r="D3093" i="16"/>
  <c r="E3093" i="16"/>
  <c r="F3093" i="16"/>
  <c r="G3093" i="16"/>
  <c r="H3093" i="16"/>
  <c r="I3093" i="16"/>
  <c r="J3093" i="16"/>
  <c r="C3094" i="16"/>
  <c r="D3094" i="16"/>
  <c r="E3094" i="16"/>
  <c r="F3094" i="16"/>
  <c r="G3094" i="16"/>
  <c r="H3094" i="16"/>
  <c r="I3094" i="16"/>
  <c r="J3094" i="16"/>
  <c r="C3095" i="16"/>
  <c r="D3095" i="16"/>
  <c r="E3095" i="16"/>
  <c r="F3095" i="16"/>
  <c r="G3095" i="16"/>
  <c r="H3095" i="16"/>
  <c r="I3095" i="16"/>
  <c r="J3095" i="16"/>
  <c r="C3096" i="16"/>
  <c r="D3096" i="16"/>
  <c r="E3096" i="16"/>
  <c r="F3096" i="16"/>
  <c r="G3096" i="16"/>
  <c r="H3096" i="16"/>
  <c r="I3096" i="16"/>
  <c r="J3096" i="16"/>
  <c r="C3097" i="16"/>
  <c r="D3097" i="16"/>
  <c r="E3097" i="16"/>
  <c r="F3097" i="16"/>
  <c r="G3097" i="16"/>
  <c r="H3097" i="16"/>
  <c r="I3097" i="16"/>
  <c r="J3097" i="16"/>
  <c r="C3098" i="16"/>
  <c r="D3098" i="16"/>
  <c r="E3098" i="16"/>
  <c r="F3098" i="16"/>
  <c r="G3098" i="16"/>
  <c r="H3098" i="16"/>
  <c r="I3098" i="16"/>
  <c r="J3098" i="16"/>
  <c r="C3099" i="16"/>
  <c r="D3099" i="16"/>
  <c r="E3099" i="16"/>
  <c r="F3099" i="16"/>
  <c r="G3099" i="16"/>
  <c r="H3099" i="16"/>
  <c r="I3099" i="16"/>
  <c r="J3099" i="16"/>
  <c r="C3100" i="16"/>
  <c r="D3100" i="16"/>
  <c r="E3100" i="16"/>
  <c r="F3100" i="16"/>
  <c r="G3100" i="16"/>
  <c r="H3100" i="16"/>
  <c r="I3100" i="16"/>
  <c r="J3100" i="16"/>
  <c r="C3101" i="16"/>
  <c r="D3101" i="16"/>
  <c r="E3101" i="16"/>
  <c r="F3101" i="16"/>
  <c r="G3101" i="16"/>
  <c r="H3101" i="16"/>
  <c r="I3101" i="16"/>
  <c r="J3101" i="16"/>
  <c r="C3102" i="16"/>
  <c r="D3102" i="16"/>
  <c r="E3102" i="16"/>
  <c r="F3102" i="16"/>
  <c r="G3102" i="16"/>
  <c r="H3102" i="16"/>
  <c r="I3102" i="16"/>
  <c r="J3102" i="16"/>
  <c r="C3103" i="16"/>
  <c r="D3103" i="16"/>
  <c r="E3103" i="16"/>
  <c r="F3103" i="16"/>
  <c r="G3103" i="16"/>
  <c r="H3103" i="16"/>
  <c r="I3103" i="16"/>
  <c r="J3103" i="16"/>
  <c r="C3104" i="16"/>
  <c r="D3104" i="16"/>
  <c r="E3104" i="16"/>
  <c r="F3104" i="16"/>
  <c r="G3104" i="16"/>
  <c r="H3104" i="16"/>
  <c r="I3104" i="16"/>
  <c r="J3104" i="16"/>
  <c r="C3105" i="16"/>
  <c r="D3105" i="16"/>
  <c r="E3105" i="16"/>
  <c r="F3105" i="16"/>
  <c r="G3105" i="16"/>
  <c r="H3105" i="16"/>
  <c r="I3105" i="16"/>
  <c r="J3105" i="16"/>
  <c r="C3106" i="16"/>
  <c r="D3106" i="16"/>
  <c r="E3106" i="16"/>
  <c r="F3106" i="16"/>
  <c r="G3106" i="16"/>
  <c r="H3106" i="16"/>
  <c r="I3106" i="16"/>
  <c r="J3106" i="16"/>
  <c r="C3107" i="16"/>
  <c r="D3107" i="16"/>
  <c r="E3107" i="16"/>
  <c r="F3107" i="16"/>
  <c r="G3107" i="16"/>
  <c r="H3107" i="16"/>
  <c r="I3107" i="16"/>
  <c r="J3107" i="16"/>
  <c r="C3108" i="16"/>
  <c r="D3108" i="16"/>
  <c r="E3108" i="16"/>
  <c r="F3108" i="16"/>
  <c r="G3108" i="16"/>
  <c r="H3108" i="16"/>
  <c r="I3108" i="16"/>
  <c r="J3108" i="16"/>
  <c r="C3109" i="16"/>
  <c r="D3109" i="16"/>
  <c r="E3109" i="16"/>
  <c r="F3109" i="16"/>
  <c r="G3109" i="16"/>
  <c r="H3109" i="16"/>
  <c r="I3109" i="16"/>
  <c r="J3109" i="16"/>
  <c r="C3110" i="16"/>
  <c r="D3110" i="16"/>
  <c r="E3110" i="16"/>
  <c r="F3110" i="16"/>
  <c r="G3110" i="16"/>
  <c r="H3110" i="16"/>
  <c r="I3110" i="16"/>
  <c r="J3110" i="16"/>
  <c r="C3111" i="16"/>
  <c r="D3111" i="16"/>
  <c r="E3111" i="16"/>
  <c r="F3111" i="16"/>
  <c r="G3111" i="16"/>
  <c r="H3111" i="16"/>
  <c r="I3111" i="16"/>
  <c r="J3111" i="16"/>
  <c r="C3112" i="16"/>
  <c r="D3112" i="16"/>
  <c r="E3112" i="16"/>
  <c r="F3112" i="16"/>
  <c r="G3112" i="16"/>
  <c r="H3112" i="16"/>
  <c r="I3112" i="16"/>
  <c r="J3112" i="16"/>
  <c r="C3113" i="16"/>
  <c r="D3113" i="16"/>
  <c r="E3113" i="16"/>
  <c r="F3113" i="16"/>
  <c r="G3113" i="16"/>
  <c r="H3113" i="16"/>
  <c r="I3113" i="16"/>
  <c r="J3113" i="16"/>
  <c r="C3114" i="16"/>
  <c r="D3114" i="16"/>
  <c r="E3114" i="16"/>
  <c r="F3114" i="16"/>
  <c r="G3114" i="16"/>
  <c r="H3114" i="16"/>
  <c r="I3114" i="16"/>
  <c r="J3114" i="16"/>
  <c r="C3115" i="16"/>
  <c r="D3115" i="16"/>
  <c r="E3115" i="16"/>
  <c r="F3115" i="16"/>
  <c r="G3115" i="16"/>
  <c r="H3115" i="16"/>
  <c r="I3115" i="16"/>
  <c r="J3115" i="16"/>
  <c r="C3116" i="16"/>
  <c r="D3116" i="16"/>
  <c r="E3116" i="16"/>
  <c r="F3116" i="16"/>
  <c r="G3116" i="16"/>
  <c r="H3116" i="16"/>
  <c r="I3116" i="16"/>
  <c r="J3116" i="16"/>
  <c r="C3117" i="16"/>
  <c r="D3117" i="16"/>
  <c r="E3117" i="16"/>
  <c r="F3117" i="16"/>
  <c r="G3117" i="16"/>
  <c r="H3117" i="16"/>
  <c r="I3117" i="16"/>
  <c r="J3117" i="16"/>
  <c r="C3118" i="16"/>
  <c r="D3118" i="16"/>
  <c r="E3118" i="16"/>
  <c r="F3118" i="16"/>
  <c r="G3118" i="16"/>
  <c r="H3118" i="16"/>
  <c r="I3118" i="16"/>
  <c r="J3118" i="16"/>
  <c r="C3119" i="16"/>
  <c r="D3119" i="16"/>
  <c r="E3119" i="16"/>
  <c r="F3119" i="16"/>
  <c r="G3119" i="16"/>
  <c r="H3119" i="16"/>
  <c r="I3119" i="16"/>
  <c r="J3119" i="16"/>
  <c r="C3120" i="16"/>
  <c r="D3120" i="16"/>
  <c r="E3120" i="16"/>
  <c r="F3120" i="16"/>
  <c r="G3120" i="16"/>
  <c r="H3120" i="16"/>
  <c r="I3120" i="16"/>
  <c r="J3120" i="16"/>
  <c r="C3121" i="16"/>
  <c r="D3121" i="16"/>
  <c r="E3121" i="16"/>
  <c r="F3121" i="16"/>
  <c r="G3121" i="16"/>
  <c r="H3121" i="16"/>
  <c r="I3121" i="16"/>
  <c r="J3121" i="16"/>
  <c r="C3122" i="16"/>
  <c r="D3122" i="16"/>
  <c r="E3122" i="16"/>
  <c r="F3122" i="16"/>
  <c r="G3122" i="16"/>
  <c r="H3122" i="16"/>
  <c r="I3122" i="16"/>
  <c r="J3122" i="16"/>
  <c r="C3123" i="16"/>
  <c r="D3123" i="16"/>
  <c r="E3123" i="16"/>
  <c r="F3123" i="16"/>
  <c r="G3123" i="16"/>
  <c r="H3123" i="16"/>
  <c r="I3123" i="16"/>
  <c r="J3123" i="16"/>
  <c r="C3124" i="16"/>
  <c r="D3124" i="16"/>
  <c r="E3124" i="16"/>
  <c r="F3124" i="16"/>
  <c r="G3124" i="16"/>
  <c r="H3124" i="16"/>
  <c r="I3124" i="16"/>
  <c r="J3124" i="16"/>
  <c r="C3125" i="16"/>
  <c r="D3125" i="16"/>
  <c r="E3125" i="16"/>
  <c r="F3125" i="16"/>
  <c r="G3125" i="16"/>
  <c r="H3125" i="16"/>
  <c r="I3125" i="16"/>
  <c r="J3125" i="16"/>
  <c r="C3126" i="16"/>
  <c r="D3126" i="16"/>
  <c r="E3126" i="16"/>
  <c r="F3126" i="16"/>
  <c r="G3126" i="16"/>
  <c r="H3126" i="16"/>
  <c r="I3126" i="16"/>
  <c r="J3126" i="16"/>
  <c r="C3127" i="16"/>
  <c r="D3127" i="16"/>
  <c r="E3127" i="16"/>
  <c r="F3127" i="16"/>
  <c r="G3127" i="16"/>
  <c r="H3127" i="16"/>
  <c r="I3127" i="16"/>
  <c r="J3127" i="16"/>
  <c r="C3128" i="16"/>
  <c r="D3128" i="16"/>
  <c r="E3128" i="16"/>
  <c r="F3128" i="16"/>
  <c r="G3128" i="16"/>
  <c r="H3128" i="16"/>
  <c r="I3128" i="16"/>
  <c r="J3128" i="16"/>
  <c r="C3129" i="16"/>
  <c r="D3129" i="16"/>
  <c r="E3129" i="16"/>
  <c r="F3129" i="16"/>
  <c r="G3129" i="16"/>
  <c r="H3129" i="16"/>
  <c r="I3129" i="16"/>
  <c r="J3129" i="16"/>
  <c r="C3130" i="16"/>
  <c r="D3130" i="16"/>
  <c r="E3130" i="16"/>
  <c r="F3130" i="16"/>
  <c r="G3130" i="16"/>
  <c r="H3130" i="16"/>
  <c r="I3130" i="16"/>
  <c r="J3130" i="16"/>
  <c r="C3131" i="16"/>
  <c r="D3131" i="16"/>
  <c r="E3131" i="16"/>
  <c r="F3131" i="16"/>
  <c r="G3131" i="16"/>
  <c r="H3131" i="16"/>
  <c r="I3131" i="16"/>
  <c r="J3131" i="16"/>
  <c r="C3132" i="16"/>
  <c r="D3132" i="16"/>
  <c r="E3132" i="16"/>
  <c r="F3132" i="16"/>
  <c r="G3132" i="16"/>
  <c r="H3132" i="16"/>
  <c r="I3132" i="16"/>
  <c r="J3132" i="16"/>
  <c r="C3133" i="16"/>
  <c r="D3133" i="16"/>
  <c r="E3133" i="16"/>
  <c r="F3133" i="16"/>
  <c r="G3133" i="16"/>
  <c r="H3133" i="16"/>
  <c r="I3133" i="16"/>
  <c r="J3133" i="16"/>
  <c r="C3134" i="16"/>
  <c r="D3134" i="16"/>
  <c r="E3134" i="16"/>
  <c r="F3134" i="16"/>
  <c r="G3134" i="16"/>
  <c r="H3134" i="16"/>
  <c r="I3134" i="16"/>
  <c r="J3134" i="16"/>
  <c r="C3135" i="16"/>
  <c r="D3135" i="16"/>
  <c r="E3135" i="16"/>
  <c r="F3135" i="16"/>
  <c r="G3135" i="16"/>
  <c r="H3135" i="16"/>
  <c r="I3135" i="16"/>
  <c r="J3135" i="16"/>
  <c r="C3136" i="16"/>
  <c r="D3136" i="16"/>
  <c r="E3136" i="16"/>
  <c r="F3136" i="16"/>
  <c r="G3136" i="16"/>
  <c r="H3136" i="16"/>
  <c r="I3136" i="16"/>
  <c r="J3136" i="16"/>
  <c r="C3137" i="16"/>
  <c r="D3137" i="16"/>
  <c r="E3137" i="16"/>
  <c r="F3137" i="16"/>
  <c r="G3137" i="16"/>
  <c r="H3137" i="16"/>
  <c r="I3137" i="16"/>
  <c r="J3137" i="16"/>
  <c r="C3138" i="16"/>
  <c r="D3138" i="16"/>
  <c r="E3138" i="16"/>
  <c r="F3138" i="16"/>
  <c r="G3138" i="16"/>
  <c r="H3138" i="16"/>
  <c r="I3138" i="16"/>
  <c r="J3138" i="16"/>
  <c r="C3139" i="16"/>
  <c r="D3139" i="16"/>
  <c r="E3139" i="16"/>
  <c r="F3139" i="16"/>
  <c r="G3139" i="16"/>
  <c r="H3139" i="16"/>
  <c r="I3139" i="16"/>
  <c r="J3139" i="16"/>
  <c r="C3140" i="16"/>
  <c r="D3140" i="16"/>
  <c r="E3140" i="16"/>
  <c r="F3140" i="16"/>
  <c r="G3140" i="16"/>
  <c r="H3140" i="16"/>
  <c r="I3140" i="16"/>
  <c r="J3140" i="16"/>
  <c r="C3141" i="16"/>
  <c r="D3141" i="16"/>
  <c r="E3141" i="16"/>
  <c r="F3141" i="16"/>
  <c r="G3141" i="16"/>
  <c r="H3141" i="16"/>
  <c r="I3141" i="16"/>
  <c r="J3141" i="16"/>
  <c r="C3142" i="16"/>
  <c r="D3142" i="16"/>
  <c r="E3142" i="16"/>
  <c r="F3142" i="16"/>
  <c r="G3142" i="16"/>
  <c r="H3142" i="16"/>
  <c r="I3142" i="16"/>
  <c r="J3142" i="16"/>
  <c r="C3143" i="16"/>
  <c r="D3143" i="16"/>
  <c r="E3143" i="16"/>
  <c r="F3143" i="16"/>
  <c r="G3143" i="16"/>
  <c r="H3143" i="16"/>
  <c r="I3143" i="16"/>
  <c r="J3143" i="16"/>
  <c r="C3144" i="16"/>
  <c r="D3144" i="16"/>
  <c r="E3144" i="16"/>
  <c r="F3144" i="16"/>
  <c r="G3144" i="16"/>
  <c r="H3144" i="16"/>
  <c r="I3144" i="16"/>
  <c r="J3144" i="16"/>
  <c r="C3145" i="16"/>
  <c r="D3145" i="16"/>
  <c r="E3145" i="16"/>
  <c r="F3145" i="16"/>
  <c r="G3145" i="16"/>
  <c r="H3145" i="16"/>
  <c r="I3145" i="16"/>
  <c r="J3145" i="16"/>
  <c r="C3146" i="16"/>
  <c r="D3146" i="16"/>
  <c r="E3146" i="16"/>
  <c r="F3146" i="16"/>
  <c r="G3146" i="16"/>
  <c r="H3146" i="16"/>
  <c r="I3146" i="16"/>
  <c r="J3146" i="16"/>
  <c r="C3147" i="16"/>
  <c r="D3147" i="16"/>
  <c r="E3147" i="16"/>
  <c r="F3147" i="16"/>
  <c r="G3147" i="16"/>
  <c r="H3147" i="16"/>
  <c r="I3147" i="16"/>
  <c r="J3147" i="16"/>
  <c r="C3148" i="16"/>
  <c r="D3148" i="16"/>
  <c r="E3148" i="16"/>
  <c r="F3148" i="16"/>
  <c r="G3148" i="16"/>
  <c r="H3148" i="16"/>
  <c r="I3148" i="16"/>
  <c r="J3148" i="16"/>
  <c r="C3149" i="16"/>
  <c r="D3149" i="16"/>
  <c r="E3149" i="16"/>
  <c r="F3149" i="16"/>
  <c r="G3149" i="16"/>
  <c r="H3149" i="16"/>
  <c r="I3149" i="16"/>
  <c r="J3149" i="16"/>
  <c r="C3150" i="16"/>
  <c r="D3150" i="16"/>
  <c r="E3150" i="16"/>
  <c r="F3150" i="16"/>
  <c r="G3150" i="16"/>
  <c r="H3150" i="16"/>
  <c r="I3150" i="16"/>
  <c r="J3150" i="16"/>
  <c r="C3151" i="16"/>
  <c r="D3151" i="16"/>
  <c r="E3151" i="16"/>
  <c r="F3151" i="16"/>
  <c r="G3151" i="16"/>
  <c r="H3151" i="16"/>
  <c r="I3151" i="16"/>
  <c r="J3151" i="16"/>
  <c r="C3152" i="16"/>
  <c r="D3152" i="16"/>
  <c r="E3152" i="16"/>
  <c r="F3152" i="16"/>
  <c r="G3152" i="16"/>
  <c r="H3152" i="16"/>
  <c r="I3152" i="16"/>
  <c r="J3152" i="16"/>
  <c r="C3153" i="16"/>
  <c r="D3153" i="16"/>
  <c r="E3153" i="16"/>
  <c r="F3153" i="16"/>
  <c r="G3153" i="16"/>
  <c r="H3153" i="16"/>
  <c r="I3153" i="16"/>
  <c r="J3153" i="16"/>
  <c r="C3154" i="16"/>
  <c r="D3154" i="16"/>
  <c r="E3154" i="16"/>
  <c r="F3154" i="16"/>
  <c r="G3154" i="16"/>
  <c r="H3154" i="16"/>
  <c r="I3154" i="16"/>
  <c r="J3154" i="16"/>
  <c r="C3155" i="16"/>
  <c r="D3155" i="16"/>
  <c r="E3155" i="16"/>
  <c r="F3155" i="16"/>
  <c r="G3155" i="16"/>
  <c r="H3155" i="16"/>
  <c r="I3155" i="16"/>
  <c r="J3155" i="16"/>
  <c r="C3156" i="16"/>
  <c r="D3156" i="16"/>
  <c r="E3156" i="16"/>
  <c r="F3156" i="16"/>
  <c r="G3156" i="16"/>
  <c r="H3156" i="16"/>
  <c r="I3156" i="16"/>
  <c r="J3156" i="16"/>
  <c r="C3157" i="16"/>
  <c r="D3157" i="16"/>
  <c r="E3157" i="16"/>
  <c r="F3157" i="16"/>
  <c r="G3157" i="16"/>
  <c r="H3157" i="16"/>
  <c r="I3157" i="16"/>
  <c r="J3157" i="16"/>
  <c r="C3158" i="16"/>
  <c r="D3158" i="16"/>
  <c r="E3158" i="16"/>
  <c r="F3158" i="16"/>
  <c r="G3158" i="16"/>
  <c r="H3158" i="16"/>
  <c r="I3158" i="16"/>
  <c r="J3158" i="16"/>
  <c r="C3159" i="16"/>
  <c r="D3159" i="16"/>
  <c r="E3159" i="16"/>
  <c r="F3159" i="16"/>
  <c r="G3159" i="16"/>
  <c r="H3159" i="16"/>
  <c r="I3159" i="16"/>
  <c r="J3159" i="16"/>
  <c r="C3160" i="16"/>
  <c r="D3160" i="16"/>
  <c r="E3160" i="16"/>
  <c r="F3160" i="16"/>
  <c r="G3160" i="16"/>
  <c r="H3160" i="16"/>
  <c r="I3160" i="16"/>
  <c r="J3160" i="16"/>
  <c r="C3161" i="16"/>
  <c r="D3161" i="16"/>
  <c r="E3161" i="16"/>
  <c r="F3161" i="16"/>
  <c r="G3161" i="16"/>
  <c r="H3161" i="16"/>
  <c r="I3161" i="16"/>
  <c r="J3161" i="16"/>
  <c r="C3162" i="16"/>
  <c r="D3162" i="16"/>
  <c r="E3162" i="16"/>
  <c r="F3162" i="16"/>
  <c r="G3162" i="16"/>
  <c r="H3162" i="16"/>
  <c r="I3162" i="16"/>
  <c r="J3162" i="16"/>
  <c r="C3163" i="16"/>
  <c r="D3163" i="16"/>
  <c r="E3163" i="16"/>
  <c r="F3163" i="16"/>
  <c r="G3163" i="16"/>
  <c r="H3163" i="16"/>
  <c r="I3163" i="16"/>
  <c r="J3163" i="16"/>
  <c r="C3164" i="16"/>
  <c r="D3164" i="16"/>
  <c r="E3164" i="16"/>
  <c r="F3164" i="16"/>
  <c r="G3164" i="16"/>
  <c r="H3164" i="16"/>
  <c r="I3164" i="16"/>
  <c r="J3164" i="16"/>
  <c r="C3165" i="16"/>
  <c r="D3165" i="16"/>
  <c r="E3165" i="16"/>
  <c r="F3165" i="16"/>
  <c r="G3165" i="16"/>
  <c r="H3165" i="16"/>
  <c r="I3165" i="16"/>
  <c r="J3165" i="16"/>
  <c r="C3166" i="16"/>
  <c r="D3166" i="16"/>
  <c r="E3166" i="16"/>
  <c r="F3166" i="16"/>
  <c r="G3166" i="16"/>
  <c r="H3166" i="16"/>
  <c r="I3166" i="16"/>
  <c r="J3166" i="16"/>
  <c r="C3167" i="16"/>
  <c r="D3167" i="16"/>
  <c r="E3167" i="16"/>
  <c r="F3167" i="16"/>
  <c r="G3167" i="16"/>
  <c r="H3167" i="16"/>
  <c r="I3167" i="16"/>
  <c r="J3167" i="16"/>
  <c r="C3168" i="16"/>
  <c r="D3168" i="16"/>
  <c r="E3168" i="16"/>
  <c r="F3168" i="16"/>
  <c r="G3168" i="16"/>
  <c r="H3168" i="16"/>
  <c r="I3168" i="16"/>
  <c r="J3168" i="16"/>
  <c r="C3169" i="16"/>
  <c r="D3169" i="16"/>
  <c r="E3169" i="16"/>
  <c r="F3169" i="16"/>
  <c r="G3169" i="16"/>
  <c r="H3169" i="16"/>
  <c r="I3169" i="16"/>
  <c r="J3169" i="16"/>
  <c r="C3170" i="16"/>
  <c r="D3170" i="16"/>
  <c r="E3170" i="16"/>
  <c r="F3170" i="16"/>
  <c r="G3170" i="16"/>
  <c r="H3170" i="16"/>
  <c r="I3170" i="16"/>
  <c r="J3170" i="16"/>
  <c r="C3171" i="16"/>
  <c r="D3171" i="16"/>
  <c r="E3171" i="16"/>
  <c r="F3171" i="16"/>
  <c r="G3171" i="16"/>
  <c r="H3171" i="16"/>
  <c r="I3171" i="16"/>
  <c r="J3171" i="16"/>
  <c r="C3172" i="16"/>
  <c r="D3172" i="16"/>
  <c r="E3172" i="16"/>
  <c r="F3172" i="16"/>
  <c r="G3172" i="16"/>
  <c r="H3172" i="16"/>
  <c r="I3172" i="16"/>
  <c r="J3172" i="16"/>
  <c r="C3173" i="16"/>
  <c r="D3173" i="16"/>
  <c r="E3173" i="16"/>
  <c r="F3173" i="16"/>
  <c r="G3173" i="16"/>
  <c r="H3173" i="16"/>
  <c r="I3173" i="16"/>
  <c r="J3173" i="16"/>
  <c r="C3174" i="16"/>
  <c r="D3174" i="16"/>
  <c r="E3174" i="16"/>
  <c r="F3174" i="16"/>
  <c r="G3174" i="16"/>
  <c r="H3174" i="16"/>
  <c r="I3174" i="16"/>
  <c r="J3174" i="16"/>
  <c r="C3175" i="16"/>
  <c r="D3175" i="16"/>
  <c r="E3175" i="16"/>
  <c r="F3175" i="16"/>
  <c r="G3175" i="16"/>
  <c r="H3175" i="16"/>
  <c r="I3175" i="16"/>
  <c r="J3175" i="16"/>
  <c r="C3176" i="16"/>
  <c r="D3176" i="16"/>
  <c r="E3176" i="16"/>
  <c r="F3176" i="16"/>
  <c r="G3176" i="16"/>
  <c r="H3176" i="16"/>
  <c r="I3176" i="16"/>
  <c r="J3176" i="16"/>
  <c r="C3177" i="16"/>
  <c r="D3177" i="16"/>
  <c r="E3177" i="16"/>
  <c r="F3177" i="16"/>
  <c r="G3177" i="16"/>
  <c r="H3177" i="16"/>
  <c r="I3177" i="16"/>
  <c r="J3177" i="16"/>
  <c r="C3178" i="16"/>
  <c r="D3178" i="16"/>
  <c r="E3178" i="16"/>
  <c r="F3178" i="16"/>
  <c r="G3178" i="16"/>
  <c r="H3178" i="16"/>
  <c r="I3178" i="16"/>
  <c r="J3178" i="16"/>
  <c r="C3179" i="16"/>
  <c r="D3179" i="16"/>
  <c r="E3179" i="16"/>
  <c r="F3179" i="16"/>
  <c r="G3179" i="16"/>
  <c r="H3179" i="16"/>
  <c r="I3179" i="16"/>
  <c r="J3179" i="16"/>
  <c r="C3180" i="16"/>
  <c r="D3180" i="16"/>
  <c r="E3180" i="16"/>
  <c r="F3180" i="16"/>
  <c r="G3180" i="16"/>
  <c r="H3180" i="16"/>
  <c r="I3180" i="16"/>
  <c r="J3180" i="16"/>
  <c r="C3181" i="16"/>
  <c r="D3181" i="16"/>
  <c r="E3181" i="16"/>
  <c r="F3181" i="16"/>
  <c r="G3181" i="16"/>
  <c r="H3181" i="16"/>
  <c r="I3181" i="16"/>
  <c r="J3181" i="16"/>
  <c r="C3182" i="16"/>
  <c r="D3182" i="16"/>
  <c r="E3182" i="16"/>
  <c r="F3182" i="16"/>
  <c r="G3182" i="16"/>
  <c r="H3182" i="16"/>
  <c r="I3182" i="16"/>
  <c r="J3182" i="16"/>
  <c r="C3183" i="16"/>
  <c r="D3183" i="16"/>
  <c r="E3183" i="16"/>
  <c r="F3183" i="16"/>
  <c r="G3183" i="16"/>
  <c r="H3183" i="16"/>
  <c r="I3183" i="16"/>
  <c r="J3183" i="16"/>
  <c r="C3184" i="16"/>
  <c r="D3184" i="16"/>
  <c r="E3184" i="16"/>
  <c r="F3184" i="16"/>
  <c r="G3184" i="16"/>
  <c r="H3184" i="16"/>
  <c r="I3184" i="16"/>
  <c r="J3184" i="16"/>
  <c r="C3185" i="16"/>
  <c r="D3185" i="16"/>
  <c r="E3185" i="16"/>
  <c r="F3185" i="16"/>
  <c r="G3185" i="16"/>
  <c r="H3185" i="16"/>
  <c r="I3185" i="16"/>
  <c r="J3185" i="16"/>
  <c r="C3186" i="16"/>
  <c r="D3186" i="16"/>
  <c r="E3186" i="16"/>
  <c r="F3186" i="16"/>
  <c r="G3186" i="16"/>
  <c r="H3186" i="16"/>
  <c r="I3186" i="16"/>
  <c r="J3186" i="16"/>
  <c r="C3187" i="16"/>
  <c r="D3187" i="16"/>
  <c r="E3187" i="16"/>
  <c r="F3187" i="16"/>
  <c r="G3187" i="16"/>
  <c r="H3187" i="16"/>
  <c r="I3187" i="16"/>
  <c r="J3187" i="16"/>
  <c r="C3188" i="16"/>
  <c r="D3188" i="16"/>
  <c r="E3188" i="16"/>
  <c r="F3188" i="16"/>
  <c r="G3188" i="16"/>
  <c r="H3188" i="16"/>
  <c r="I3188" i="16"/>
  <c r="J3188" i="16"/>
  <c r="C3189" i="16"/>
  <c r="D3189" i="16"/>
  <c r="E3189" i="16"/>
  <c r="F3189" i="16"/>
  <c r="G3189" i="16"/>
  <c r="H3189" i="16"/>
  <c r="I3189" i="16"/>
  <c r="J3189" i="16"/>
  <c r="C3190" i="16"/>
  <c r="D3190" i="16"/>
  <c r="E3190" i="16"/>
  <c r="F3190" i="16"/>
  <c r="G3190" i="16"/>
  <c r="H3190" i="16"/>
  <c r="I3190" i="16"/>
  <c r="J3190" i="16"/>
  <c r="C3191" i="16"/>
  <c r="D3191" i="16"/>
  <c r="E3191" i="16"/>
  <c r="F3191" i="16"/>
  <c r="G3191" i="16"/>
  <c r="H3191" i="16"/>
  <c r="I3191" i="16"/>
  <c r="J3191" i="16"/>
  <c r="C3192" i="16"/>
  <c r="D3192" i="16"/>
  <c r="E3192" i="16"/>
  <c r="F3192" i="16"/>
  <c r="G3192" i="16"/>
  <c r="H3192" i="16"/>
  <c r="I3192" i="16"/>
  <c r="J3192" i="16"/>
  <c r="C3193" i="16"/>
  <c r="D3193" i="16"/>
  <c r="E3193" i="16"/>
  <c r="F3193" i="16"/>
  <c r="G3193" i="16"/>
  <c r="H3193" i="16"/>
  <c r="I3193" i="16"/>
  <c r="J3193" i="16"/>
  <c r="C3194" i="16"/>
  <c r="D3194" i="16"/>
  <c r="E3194" i="16"/>
  <c r="F3194" i="16"/>
  <c r="G3194" i="16"/>
  <c r="H3194" i="16"/>
  <c r="I3194" i="16"/>
  <c r="J3194" i="16"/>
  <c r="C3195" i="16"/>
  <c r="D3195" i="16"/>
  <c r="E3195" i="16"/>
  <c r="F3195" i="16"/>
  <c r="G3195" i="16"/>
  <c r="H3195" i="16"/>
  <c r="I3195" i="16"/>
  <c r="J3195" i="16"/>
  <c r="C3196" i="16"/>
  <c r="D3196" i="16"/>
  <c r="E3196" i="16"/>
  <c r="F3196" i="16"/>
  <c r="G3196" i="16"/>
  <c r="H3196" i="16"/>
  <c r="I3196" i="16"/>
  <c r="J3196" i="16"/>
  <c r="C3197" i="16"/>
  <c r="D3197" i="16"/>
  <c r="E3197" i="16"/>
  <c r="F3197" i="16"/>
  <c r="G3197" i="16"/>
  <c r="H3197" i="16"/>
  <c r="I3197" i="16"/>
  <c r="J3197" i="16"/>
  <c r="C3198" i="16"/>
  <c r="D3198" i="16"/>
  <c r="E3198" i="16"/>
  <c r="F3198" i="16"/>
  <c r="G3198" i="16"/>
  <c r="H3198" i="16"/>
  <c r="I3198" i="16"/>
  <c r="J3198" i="16"/>
  <c r="C3199" i="16"/>
  <c r="D3199" i="16"/>
  <c r="E3199" i="16"/>
  <c r="F3199" i="16"/>
  <c r="G3199" i="16"/>
  <c r="H3199" i="16"/>
  <c r="I3199" i="16"/>
  <c r="J3199" i="16"/>
  <c r="C3200" i="16"/>
  <c r="D3200" i="16"/>
  <c r="E3200" i="16"/>
  <c r="F3200" i="16"/>
  <c r="G3200" i="16"/>
  <c r="H3200" i="16"/>
  <c r="I3200" i="16"/>
  <c r="J3200" i="16"/>
  <c r="C3201" i="16"/>
  <c r="D3201" i="16"/>
  <c r="E3201" i="16"/>
  <c r="F3201" i="16"/>
  <c r="G3201" i="16"/>
  <c r="H3201" i="16"/>
  <c r="I3201" i="16"/>
  <c r="J3201" i="16"/>
  <c r="C3202" i="16"/>
  <c r="D3202" i="16"/>
  <c r="E3202" i="16"/>
  <c r="F3202" i="16"/>
  <c r="G3202" i="16"/>
  <c r="H3202" i="16"/>
  <c r="I3202" i="16"/>
  <c r="J3202" i="16"/>
  <c r="C3203" i="16"/>
  <c r="D3203" i="16"/>
  <c r="E3203" i="16"/>
  <c r="F3203" i="16"/>
  <c r="G3203" i="16"/>
  <c r="H3203" i="16"/>
  <c r="I3203" i="16"/>
  <c r="J3203" i="16"/>
  <c r="C3204" i="16"/>
  <c r="D3204" i="16"/>
  <c r="E3204" i="16"/>
  <c r="F3204" i="16"/>
  <c r="G3204" i="16"/>
  <c r="H3204" i="16"/>
  <c r="I3204" i="16"/>
  <c r="J3204" i="16"/>
  <c r="C3205" i="16"/>
  <c r="D3205" i="16"/>
  <c r="E3205" i="16"/>
  <c r="F3205" i="16"/>
  <c r="G3205" i="16"/>
  <c r="H3205" i="16"/>
  <c r="I3205" i="16"/>
  <c r="J3205" i="16"/>
  <c r="C3206" i="16"/>
  <c r="D3206" i="16"/>
  <c r="E3206" i="16"/>
  <c r="F3206" i="16"/>
  <c r="G3206" i="16"/>
  <c r="H3206" i="16"/>
  <c r="I3206" i="16"/>
  <c r="J3206" i="16"/>
  <c r="C3207" i="16"/>
  <c r="D3207" i="16"/>
  <c r="E3207" i="16"/>
  <c r="F3207" i="16"/>
  <c r="G3207" i="16"/>
  <c r="H3207" i="16"/>
  <c r="I3207" i="16"/>
  <c r="J3207" i="16"/>
  <c r="C3208" i="16"/>
  <c r="D3208" i="16"/>
  <c r="E3208" i="16"/>
  <c r="F3208" i="16"/>
  <c r="G3208" i="16"/>
  <c r="H3208" i="16"/>
  <c r="I3208" i="16"/>
  <c r="J3208" i="16"/>
  <c r="C3209" i="16"/>
  <c r="D3209" i="16"/>
  <c r="E3209" i="16"/>
  <c r="F3209" i="16"/>
  <c r="G3209" i="16"/>
  <c r="H3209" i="16"/>
  <c r="I3209" i="16"/>
  <c r="J3209" i="16"/>
  <c r="C3210" i="16"/>
  <c r="D3210" i="16"/>
  <c r="E3210" i="16"/>
  <c r="F3210" i="16"/>
  <c r="G3210" i="16"/>
  <c r="H3210" i="16"/>
  <c r="I3210" i="16"/>
  <c r="J3210" i="16"/>
  <c r="C3211" i="16"/>
  <c r="D3211" i="16"/>
  <c r="E3211" i="16"/>
  <c r="F3211" i="16"/>
  <c r="G3211" i="16"/>
  <c r="H3211" i="16"/>
  <c r="I3211" i="16"/>
  <c r="J3211" i="16"/>
  <c r="C3212" i="16"/>
  <c r="D3212" i="16"/>
  <c r="E3212" i="16"/>
  <c r="F3212" i="16"/>
  <c r="G3212" i="16"/>
  <c r="H3212" i="16"/>
  <c r="I3212" i="16"/>
  <c r="J3212" i="16"/>
  <c r="C3213" i="16"/>
  <c r="D3213" i="16"/>
  <c r="E3213" i="16"/>
  <c r="F3213" i="16"/>
  <c r="G3213" i="16"/>
  <c r="H3213" i="16"/>
  <c r="I3213" i="16"/>
  <c r="J3213" i="16"/>
  <c r="C3214" i="16"/>
  <c r="D3214" i="16"/>
  <c r="E3214" i="16"/>
  <c r="F3214" i="16"/>
  <c r="G3214" i="16"/>
  <c r="H3214" i="16"/>
  <c r="I3214" i="16"/>
  <c r="J3214" i="16"/>
  <c r="C3215" i="16"/>
  <c r="D3215" i="16"/>
  <c r="E3215" i="16"/>
  <c r="F3215" i="16"/>
  <c r="G3215" i="16"/>
  <c r="H3215" i="16"/>
  <c r="I3215" i="16"/>
  <c r="J3215" i="16"/>
  <c r="C3216" i="16"/>
  <c r="D3216" i="16"/>
  <c r="E3216" i="16"/>
  <c r="F3216" i="16"/>
  <c r="G3216" i="16"/>
  <c r="H3216" i="16"/>
  <c r="I3216" i="16"/>
  <c r="J3216" i="16"/>
  <c r="C3217" i="16"/>
  <c r="D3217" i="16"/>
  <c r="E3217" i="16"/>
  <c r="F3217" i="16"/>
  <c r="G3217" i="16"/>
  <c r="H3217" i="16"/>
  <c r="I3217" i="16"/>
  <c r="J3217" i="16"/>
  <c r="C3218" i="16"/>
  <c r="D3218" i="16"/>
  <c r="E3218" i="16"/>
  <c r="F3218" i="16"/>
  <c r="G3218" i="16"/>
  <c r="H3218" i="16"/>
  <c r="I3218" i="16"/>
  <c r="J3218" i="16"/>
  <c r="C3219" i="16"/>
  <c r="D3219" i="16"/>
  <c r="E3219" i="16"/>
  <c r="F3219" i="16"/>
  <c r="G3219" i="16"/>
  <c r="H3219" i="16"/>
  <c r="I3219" i="16"/>
  <c r="J3219" i="16"/>
  <c r="C3220" i="16"/>
  <c r="D3220" i="16"/>
  <c r="E3220" i="16"/>
  <c r="F3220" i="16"/>
  <c r="G3220" i="16"/>
  <c r="H3220" i="16"/>
  <c r="I3220" i="16"/>
  <c r="J3220" i="16"/>
  <c r="C3221" i="16"/>
  <c r="D3221" i="16"/>
  <c r="E3221" i="16"/>
  <c r="F3221" i="16"/>
  <c r="G3221" i="16"/>
  <c r="H3221" i="16"/>
  <c r="I3221" i="16"/>
  <c r="J3221" i="16"/>
  <c r="C3222" i="16"/>
  <c r="D3222" i="16"/>
  <c r="E3222" i="16"/>
  <c r="F3222" i="16"/>
  <c r="G3222" i="16"/>
  <c r="H3222" i="16"/>
  <c r="I3222" i="16"/>
  <c r="J3222" i="16"/>
  <c r="C3223" i="16"/>
  <c r="D3223" i="16"/>
  <c r="E3223" i="16"/>
  <c r="F3223" i="16"/>
  <c r="G3223" i="16"/>
  <c r="H3223" i="16"/>
  <c r="I3223" i="16"/>
  <c r="J3223" i="16"/>
  <c r="C3224" i="16"/>
  <c r="D3224" i="16"/>
  <c r="E3224" i="16"/>
  <c r="F3224" i="16"/>
  <c r="G3224" i="16"/>
  <c r="H3224" i="16"/>
  <c r="I3224" i="16"/>
  <c r="J3224" i="16"/>
  <c r="C3225" i="16"/>
  <c r="D3225" i="16"/>
  <c r="E3225" i="16"/>
  <c r="F3225" i="16"/>
  <c r="G3225" i="16"/>
  <c r="H3225" i="16"/>
  <c r="I3225" i="16"/>
  <c r="J3225" i="16"/>
  <c r="C3226" i="16"/>
  <c r="D3226" i="16"/>
  <c r="E3226" i="16"/>
  <c r="F3226" i="16"/>
  <c r="G3226" i="16"/>
  <c r="H3226" i="16"/>
  <c r="I3226" i="16"/>
  <c r="J3226" i="16"/>
  <c r="C3227" i="16"/>
  <c r="D3227" i="16"/>
  <c r="E3227" i="16"/>
  <c r="F3227" i="16"/>
  <c r="G3227" i="16"/>
  <c r="H3227" i="16"/>
  <c r="I3227" i="16"/>
  <c r="J3227" i="16"/>
  <c r="C3228" i="16"/>
  <c r="D3228" i="16"/>
  <c r="E3228" i="16"/>
  <c r="F3228" i="16"/>
  <c r="G3228" i="16"/>
  <c r="H3228" i="16"/>
  <c r="I3228" i="16"/>
  <c r="J3228" i="16"/>
  <c r="C3229" i="16"/>
  <c r="D3229" i="16"/>
  <c r="E3229" i="16"/>
  <c r="F3229" i="16"/>
  <c r="G3229" i="16"/>
  <c r="H3229" i="16"/>
  <c r="I3229" i="16"/>
  <c r="J3229" i="16"/>
  <c r="C3230" i="16"/>
  <c r="D3230" i="16"/>
  <c r="E3230" i="16"/>
  <c r="F3230" i="16"/>
  <c r="G3230" i="16"/>
  <c r="H3230" i="16"/>
  <c r="I3230" i="16"/>
  <c r="J3230" i="16"/>
  <c r="C3231" i="16"/>
  <c r="D3231" i="16"/>
  <c r="E3231" i="16"/>
  <c r="F3231" i="16"/>
  <c r="G3231" i="16"/>
  <c r="H3231" i="16"/>
  <c r="I3231" i="16"/>
  <c r="J3231" i="16"/>
  <c r="C3232" i="16"/>
  <c r="D3232" i="16"/>
  <c r="E3232" i="16"/>
  <c r="F3232" i="16"/>
  <c r="G3232" i="16"/>
  <c r="H3232" i="16"/>
  <c r="I3232" i="16"/>
  <c r="J3232" i="16"/>
  <c r="C3233" i="16"/>
  <c r="D3233" i="16"/>
  <c r="E3233" i="16"/>
  <c r="F3233" i="16"/>
  <c r="G3233" i="16"/>
  <c r="H3233" i="16"/>
  <c r="I3233" i="16"/>
  <c r="J3233" i="16"/>
  <c r="C3234" i="16"/>
  <c r="D3234" i="16"/>
  <c r="E3234" i="16"/>
  <c r="F3234" i="16"/>
  <c r="G3234" i="16"/>
  <c r="H3234" i="16"/>
  <c r="I3234" i="16"/>
  <c r="J3234" i="16"/>
  <c r="C3235" i="16"/>
  <c r="D3235" i="16"/>
  <c r="E3235" i="16"/>
  <c r="F3235" i="16"/>
  <c r="G3235" i="16"/>
  <c r="H3235" i="16"/>
  <c r="I3235" i="16"/>
  <c r="J3235" i="16"/>
  <c r="C3236" i="16"/>
  <c r="D3236" i="16"/>
  <c r="E3236" i="16"/>
  <c r="F3236" i="16"/>
  <c r="G3236" i="16"/>
  <c r="H3236" i="16"/>
  <c r="I3236" i="16"/>
  <c r="J3236" i="16"/>
  <c r="C3237" i="16"/>
  <c r="D3237" i="16"/>
  <c r="E3237" i="16"/>
  <c r="F3237" i="16"/>
  <c r="G3237" i="16"/>
  <c r="H3237" i="16"/>
  <c r="I3237" i="16"/>
  <c r="J3237" i="16"/>
  <c r="C3238" i="16"/>
  <c r="D3238" i="16"/>
  <c r="E3238" i="16"/>
  <c r="F3238" i="16"/>
  <c r="G3238" i="16"/>
  <c r="H3238" i="16"/>
  <c r="I3238" i="16"/>
  <c r="J3238" i="16"/>
  <c r="C3239" i="16"/>
  <c r="D3239" i="16"/>
  <c r="E3239" i="16"/>
  <c r="F3239" i="16"/>
  <c r="G3239" i="16"/>
  <c r="H3239" i="16"/>
  <c r="I3239" i="16"/>
  <c r="J3239" i="16"/>
  <c r="C3240" i="16"/>
  <c r="D3240" i="16"/>
  <c r="E3240" i="16"/>
  <c r="F3240" i="16"/>
  <c r="G3240" i="16"/>
  <c r="H3240" i="16"/>
  <c r="I3240" i="16"/>
  <c r="J3240" i="16"/>
  <c r="C3241" i="16"/>
  <c r="D3241" i="16"/>
  <c r="E3241" i="16"/>
  <c r="F3241" i="16"/>
  <c r="G3241" i="16"/>
  <c r="H3241" i="16"/>
  <c r="I3241" i="16"/>
  <c r="J3241" i="16"/>
  <c r="C3242" i="16"/>
  <c r="D3242" i="16"/>
  <c r="E3242" i="16"/>
  <c r="F3242" i="16"/>
  <c r="G3242" i="16"/>
  <c r="H3242" i="16"/>
  <c r="I3242" i="16"/>
  <c r="J3242" i="16"/>
  <c r="C3243" i="16"/>
  <c r="D3243" i="16"/>
  <c r="E3243" i="16"/>
  <c r="F3243" i="16"/>
  <c r="G3243" i="16"/>
  <c r="H3243" i="16"/>
  <c r="I3243" i="16"/>
  <c r="J3243" i="16"/>
  <c r="C3244" i="16"/>
  <c r="D3244" i="16"/>
  <c r="E3244" i="16"/>
  <c r="F3244" i="16"/>
  <c r="G3244" i="16"/>
  <c r="H3244" i="16"/>
  <c r="I3244" i="16"/>
  <c r="J3244" i="16"/>
  <c r="C3245" i="16"/>
  <c r="D3245" i="16"/>
  <c r="E3245" i="16"/>
  <c r="F3245" i="16"/>
  <c r="G3245" i="16"/>
  <c r="H3245" i="16"/>
  <c r="I3245" i="16"/>
  <c r="J3245" i="16"/>
  <c r="C3246" i="16"/>
  <c r="D3246" i="16"/>
  <c r="E3246" i="16"/>
  <c r="F3246" i="16"/>
  <c r="G3246" i="16"/>
  <c r="H3246" i="16"/>
  <c r="I3246" i="16"/>
  <c r="J3246" i="16"/>
  <c r="C3247" i="16"/>
  <c r="D3247" i="16"/>
  <c r="E3247" i="16"/>
  <c r="F3247" i="16"/>
  <c r="G3247" i="16"/>
  <c r="H3247" i="16"/>
  <c r="I3247" i="16"/>
  <c r="J3247" i="16"/>
  <c r="C3248" i="16"/>
  <c r="D3248" i="16"/>
  <c r="E3248" i="16"/>
  <c r="F3248" i="16"/>
  <c r="G3248" i="16"/>
  <c r="H3248" i="16"/>
  <c r="I3248" i="16"/>
  <c r="J3248" i="16"/>
  <c r="C3249" i="16"/>
  <c r="D3249" i="16"/>
  <c r="E3249" i="16"/>
  <c r="F3249" i="16"/>
  <c r="G3249" i="16"/>
  <c r="H3249" i="16"/>
  <c r="I3249" i="16"/>
  <c r="J3249" i="16"/>
  <c r="C3250" i="16"/>
  <c r="D3250" i="16"/>
  <c r="E3250" i="16"/>
  <c r="F3250" i="16"/>
  <c r="G3250" i="16"/>
  <c r="H3250" i="16"/>
  <c r="I3250" i="16"/>
  <c r="J3250" i="16"/>
  <c r="C3251" i="16"/>
  <c r="D3251" i="16"/>
  <c r="E3251" i="16"/>
  <c r="F3251" i="16"/>
  <c r="G3251" i="16"/>
  <c r="H3251" i="16"/>
  <c r="I3251" i="16"/>
  <c r="J3251" i="16"/>
  <c r="C3252" i="16"/>
  <c r="D3252" i="16"/>
  <c r="E3252" i="16"/>
  <c r="F3252" i="16"/>
  <c r="G3252" i="16"/>
  <c r="H3252" i="16"/>
  <c r="I3252" i="16"/>
  <c r="J3252" i="16"/>
  <c r="C3253" i="16"/>
  <c r="D3253" i="16"/>
  <c r="E3253" i="16"/>
  <c r="F3253" i="16"/>
  <c r="G3253" i="16"/>
  <c r="H3253" i="16"/>
  <c r="I3253" i="16"/>
  <c r="J3253" i="16"/>
  <c r="C3254" i="16"/>
  <c r="D3254" i="16"/>
  <c r="E3254" i="16"/>
  <c r="F3254" i="16"/>
  <c r="G3254" i="16"/>
  <c r="H3254" i="16"/>
  <c r="I3254" i="16"/>
  <c r="J3254" i="16"/>
  <c r="C3255" i="16"/>
  <c r="D3255" i="16"/>
  <c r="E3255" i="16"/>
  <c r="F3255" i="16"/>
  <c r="G3255" i="16"/>
  <c r="H3255" i="16"/>
  <c r="I3255" i="16"/>
  <c r="J3255" i="16"/>
  <c r="F39" i="16" l="1"/>
  <c r="G37" i="16"/>
  <c r="C37" i="16"/>
  <c r="J33" i="16"/>
  <c r="F33" i="16"/>
  <c r="G31" i="16"/>
  <c r="H29" i="16"/>
  <c r="D29" i="16"/>
  <c r="I27" i="16"/>
  <c r="G25" i="16"/>
  <c r="C25" i="16"/>
  <c r="G21" i="16"/>
  <c r="C21" i="16"/>
  <c r="J19" i="16"/>
  <c r="I17" i="16"/>
  <c r="E17" i="16"/>
  <c r="I13" i="16"/>
  <c r="E13" i="16"/>
  <c r="E11" i="16"/>
  <c r="G9" i="16"/>
  <c r="C9" i="16"/>
  <c r="I5" i="16"/>
  <c r="E5" i="16"/>
  <c r="J67" i="16"/>
  <c r="J47" i="16"/>
  <c r="H41" i="16"/>
  <c r="J39" i="16"/>
  <c r="I37" i="16"/>
  <c r="H33" i="16"/>
  <c r="J29" i="16"/>
  <c r="I25" i="16"/>
  <c r="I21" i="16"/>
  <c r="G17" i="16"/>
  <c r="G13" i="16"/>
  <c r="I9" i="16"/>
  <c r="G5" i="16"/>
  <c r="D172" i="16"/>
  <c r="H172" i="16"/>
  <c r="C169" i="16"/>
  <c r="G169" i="16"/>
  <c r="D168" i="16"/>
  <c r="H168" i="16"/>
  <c r="C165" i="16"/>
  <c r="G165" i="16"/>
  <c r="D164" i="16"/>
  <c r="H164" i="16"/>
  <c r="C161" i="16"/>
  <c r="G161" i="16"/>
  <c r="D160" i="16"/>
  <c r="H160" i="16"/>
  <c r="C157" i="16"/>
  <c r="G157" i="16"/>
  <c r="D156" i="16"/>
  <c r="H156" i="16"/>
  <c r="C153" i="16"/>
  <c r="G153" i="16"/>
  <c r="D152" i="16"/>
  <c r="H152" i="16"/>
  <c r="C149" i="16"/>
  <c r="G149" i="16"/>
  <c r="D148" i="16"/>
  <c r="H148" i="16"/>
  <c r="C145" i="16"/>
  <c r="G145" i="16"/>
  <c r="D144" i="16"/>
  <c r="H144" i="16"/>
  <c r="C140" i="16"/>
  <c r="G140" i="16"/>
  <c r="D140" i="16"/>
  <c r="H140" i="16"/>
  <c r="C136" i="16"/>
  <c r="G136" i="16"/>
  <c r="D136" i="16"/>
  <c r="H136" i="16"/>
  <c r="C132" i="16"/>
  <c r="G132" i="16"/>
  <c r="D132" i="16"/>
  <c r="H132" i="16"/>
  <c r="C128" i="16"/>
  <c r="G128" i="16"/>
  <c r="D128" i="16"/>
  <c r="H128" i="16"/>
  <c r="C124" i="16"/>
  <c r="G124" i="16"/>
  <c r="D124" i="16"/>
  <c r="H124" i="16"/>
  <c r="G141" i="16"/>
  <c r="G137" i="16"/>
  <c r="G133" i="16"/>
  <c r="G129" i="16"/>
  <c r="G125" i="16"/>
  <c r="G121" i="16"/>
  <c r="H120" i="16"/>
  <c r="D120" i="16"/>
  <c r="G117" i="16"/>
  <c r="H116" i="16"/>
  <c r="D116" i="16"/>
  <c r="G113" i="16"/>
  <c r="H112" i="16"/>
  <c r="D112" i="16"/>
  <c r="G109" i="16"/>
  <c r="H108" i="16"/>
  <c r="D108" i="16"/>
  <c r="G105" i="16"/>
  <c r="H104" i="16"/>
  <c r="D104" i="16"/>
  <c r="G101" i="16"/>
  <c r="H100" i="16"/>
  <c r="D100" i="16"/>
  <c r="G97" i="16"/>
  <c r="H96" i="16"/>
  <c r="D96" i="16"/>
  <c r="H92" i="16"/>
  <c r="D92" i="16"/>
  <c r="J90" i="16"/>
  <c r="D90" i="16"/>
  <c r="J88" i="16"/>
  <c r="E88" i="16"/>
  <c r="G120" i="16"/>
  <c r="G116" i="16"/>
  <c r="G112" i="16"/>
  <c r="G108" i="16"/>
  <c r="G104" i="16"/>
  <c r="G100" i="16"/>
  <c r="G96" i="16"/>
  <c r="G92" i="16"/>
  <c r="H90" i="16"/>
  <c r="I88" i="16"/>
  <c r="E90" i="16"/>
  <c r="I90" i="16"/>
  <c r="C88" i="16"/>
  <c r="G88" i="16"/>
  <c r="D87" i="16"/>
  <c r="H87" i="16"/>
  <c r="E86" i="16"/>
  <c r="I86" i="16"/>
  <c r="C84" i="16"/>
  <c r="G84" i="16"/>
  <c r="D83" i="16"/>
  <c r="H83" i="16"/>
  <c r="E82" i="16"/>
  <c r="I82" i="16"/>
  <c r="C80" i="16"/>
  <c r="G80" i="16"/>
  <c r="D79" i="16"/>
  <c r="H79" i="16"/>
  <c r="E78" i="16"/>
  <c r="I78" i="16"/>
  <c r="C76" i="16"/>
  <c r="G76" i="16"/>
  <c r="D75" i="16"/>
  <c r="H75" i="16"/>
  <c r="E74" i="16"/>
  <c r="I74" i="16"/>
  <c r="C72" i="16"/>
  <c r="G72" i="16"/>
  <c r="D71" i="16"/>
  <c r="H71" i="16"/>
  <c r="E70" i="16"/>
  <c r="I70" i="16"/>
  <c r="C68" i="16"/>
  <c r="G68" i="16"/>
  <c r="D67" i="16"/>
  <c r="H67" i="16"/>
  <c r="E66" i="16"/>
  <c r="I66" i="16"/>
  <c r="C64" i="16"/>
  <c r="G64" i="16"/>
  <c r="D63" i="16"/>
  <c r="H63" i="16"/>
  <c r="E62" i="16"/>
  <c r="I62" i="16"/>
  <c r="D59" i="16"/>
  <c r="H59" i="16"/>
  <c r="F59" i="16"/>
  <c r="E58" i="16"/>
  <c r="I58" i="16"/>
  <c r="D58" i="16"/>
  <c r="J58" i="16"/>
  <c r="C56" i="16"/>
  <c r="G56" i="16"/>
  <c r="E56" i="16"/>
  <c r="J56" i="16"/>
  <c r="D55" i="16"/>
  <c r="H55" i="16"/>
  <c r="C55" i="16"/>
  <c r="I55" i="16"/>
  <c r="D51" i="16"/>
  <c r="H51" i="16"/>
  <c r="F51" i="16"/>
  <c r="E50" i="16"/>
  <c r="I50" i="16"/>
  <c r="D50" i="16"/>
  <c r="J50" i="16"/>
  <c r="C48" i="16"/>
  <c r="G48" i="16"/>
  <c r="E48" i="16"/>
  <c r="J48" i="16"/>
  <c r="D43" i="16"/>
  <c r="H43" i="16"/>
  <c r="E43" i="16"/>
  <c r="J43" i="16"/>
  <c r="F43" i="16"/>
  <c r="E42" i="16"/>
  <c r="I42" i="16"/>
  <c r="C42" i="16"/>
  <c r="H42" i="16"/>
  <c r="D42" i="16"/>
  <c r="J42" i="16"/>
  <c r="C40" i="16"/>
  <c r="G40" i="16"/>
  <c r="D40" i="16"/>
  <c r="I40" i="16"/>
  <c r="E40" i="16"/>
  <c r="J40" i="16"/>
  <c r="D35" i="16"/>
  <c r="H35" i="16"/>
  <c r="E35" i="16"/>
  <c r="J35" i="16"/>
  <c r="F35" i="16"/>
  <c r="E34" i="16"/>
  <c r="I34" i="16"/>
  <c r="C34" i="16"/>
  <c r="H34" i="16"/>
  <c r="D34" i="16"/>
  <c r="J34" i="16"/>
  <c r="D27" i="16"/>
  <c r="H27" i="16"/>
  <c r="F26" i="16"/>
  <c r="C23" i="16"/>
  <c r="G23" i="16"/>
  <c r="D23" i="16"/>
  <c r="H23" i="16"/>
  <c r="C15" i="16"/>
  <c r="G15" i="16"/>
  <c r="D15" i="16"/>
  <c r="H15" i="16"/>
  <c r="E54" i="16"/>
  <c r="I54" i="16"/>
  <c r="C52" i="16"/>
  <c r="G52" i="16"/>
  <c r="I47" i="16"/>
  <c r="E46" i="16"/>
  <c r="I46" i="16"/>
  <c r="C44" i="16"/>
  <c r="G44" i="16"/>
  <c r="I39" i="16"/>
  <c r="E38" i="16"/>
  <c r="I38" i="16"/>
  <c r="C36" i="16"/>
  <c r="G36" i="16"/>
  <c r="J32" i="16"/>
  <c r="E32" i="16"/>
  <c r="I31" i="16"/>
  <c r="E30" i="16"/>
  <c r="I30" i="16"/>
  <c r="C28" i="16"/>
  <c r="G28" i="16"/>
  <c r="F27" i="16"/>
  <c r="J26" i="16"/>
  <c r="D26" i="16"/>
  <c r="I23" i="16"/>
  <c r="D22" i="16"/>
  <c r="H22" i="16"/>
  <c r="E22" i="16"/>
  <c r="I22" i="16"/>
  <c r="I15" i="16"/>
  <c r="D14" i="16"/>
  <c r="H14" i="16"/>
  <c r="E14" i="16"/>
  <c r="I14" i="16"/>
  <c r="D47" i="16"/>
  <c r="H47" i="16"/>
  <c r="D39" i="16"/>
  <c r="H39" i="16"/>
  <c r="I32" i="16"/>
  <c r="D31" i="16"/>
  <c r="H31" i="16"/>
  <c r="J27" i="16"/>
  <c r="E27" i="16"/>
  <c r="H26" i="16"/>
  <c r="F23" i="16"/>
  <c r="C19" i="16"/>
  <c r="G19" i="16"/>
  <c r="D19" i="16"/>
  <c r="H19" i="16"/>
  <c r="F15" i="16"/>
  <c r="C11" i="16"/>
  <c r="G11" i="16"/>
  <c r="D11" i="16"/>
  <c r="H11" i="16"/>
  <c r="C7" i="16"/>
  <c r="G7" i="16"/>
  <c r="D7" i="16"/>
  <c r="H7" i="16"/>
  <c r="E7" i="16"/>
  <c r="I7" i="16"/>
  <c r="C32" i="16"/>
  <c r="G32" i="16"/>
  <c r="E26" i="16"/>
  <c r="I26" i="16"/>
  <c r="E23" i="16"/>
  <c r="I19" i="16"/>
  <c r="D18" i="16"/>
  <c r="H18" i="16"/>
  <c r="E18" i="16"/>
  <c r="I18" i="16"/>
  <c r="E15" i="16"/>
  <c r="I11" i="16"/>
  <c r="D10" i="16"/>
  <c r="H10" i="16"/>
  <c r="E10" i="16"/>
  <c r="I10" i="16"/>
  <c r="G24" i="16"/>
  <c r="G20" i="16"/>
  <c r="G16" i="16"/>
  <c r="G12" i="16"/>
  <c r="G8" i="16"/>
  <c r="I6" i="16"/>
  <c r="E6" i="16"/>
  <c r="G4" i="16"/>
  <c r="H6" i="16"/>
  <c r="S2185" i="11"/>
  <c r="S1970" i="11"/>
  <c r="Q1970" i="11"/>
  <c r="S670" i="11"/>
  <c r="S1971" i="11"/>
  <c r="U687" i="11"/>
  <c r="M273" i="11"/>
  <c r="M1519" i="11"/>
  <c r="M302" i="11"/>
  <c r="L302" i="11"/>
  <c r="M1592" i="11"/>
  <c r="M1450" i="11"/>
  <c r="L1450" i="11"/>
  <c r="L1275" i="11"/>
  <c r="M310" i="11"/>
  <c r="L310" i="11"/>
  <c r="M309" i="11"/>
  <c r="L309" i="11"/>
  <c r="M1275" i="11"/>
  <c r="L273" i="11"/>
  <c r="M1451" i="11"/>
  <c r="L1451" i="11"/>
  <c r="M314" i="11"/>
  <c r="M313" i="11"/>
  <c r="M253" i="11"/>
  <c r="L253" i="11"/>
  <c r="M1909" i="11"/>
  <c r="M1921" i="11"/>
  <c r="L1921" i="11"/>
  <c r="M1701" i="11"/>
  <c r="L1701" i="11"/>
  <c r="M2242" i="11"/>
  <c r="L2242" i="11"/>
  <c r="M1299" i="11"/>
  <c r="L1299" i="11"/>
  <c r="M2187" i="11"/>
  <c r="L2187" i="11"/>
  <c r="M415" i="11"/>
  <c r="L415" i="11"/>
  <c r="M185" i="11"/>
  <c r="L185" i="11"/>
  <c r="Q563" i="11"/>
  <c r="M563" i="11"/>
  <c r="M1745" i="11"/>
  <c r="M1487" i="11"/>
  <c r="L1487" i="11"/>
  <c r="M414" i="11"/>
  <c r="L414" i="11"/>
  <c r="M1687" i="11"/>
  <c r="L1687" i="11"/>
  <c r="M1848" i="11"/>
  <c r="L1848" i="11"/>
  <c r="M916" i="11"/>
  <c r="L916" i="11"/>
  <c r="M1563" i="11"/>
  <c r="M266" i="11"/>
  <c r="S695" i="11" l="1"/>
  <c r="Q708" i="11"/>
  <c r="M859" i="11"/>
  <c r="S694" i="11"/>
  <c r="Q2242" i="11"/>
  <c r="P2242" i="11"/>
  <c r="Q1848" i="11"/>
  <c r="P1848" i="11"/>
  <c r="M756" i="11"/>
  <c r="Q756" i="11"/>
  <c r="Q1921" i="11"/>
  <c r="Q302" i="11"/>
  <c r="P302" i="11"/>
  <c r="Q266" i="11"/>
  <c r="P1687" i="11"/>
  <c r="Q1687" i="11"/>
  <c r="Q2235" i="11"/>
  <c r="Q914" i="11"/>
  <c r="Q916" i="11"/>
  <c r="P916" i="11"/>
  <c r="S1922" i="11"/>
  <c r="S860" i="11"/>
  <c r="F36" i="5" l="1"/>
  <c r="S419" i="11"/>
  <c r="W1224" i="11" l="1"/>
  <c r="V1224" i="11"/>
  <c r="AI107" i="11"/>
  <c r="AH107" i="11"/>
  <c r="X107" i="11"/>
  <c r="U107" i="11"/>
  <c r="T107" i="11"/>
  <c r="N107" i="11"/>
  <c r="AG107" i="11" s="1"/>
  <c r="AI157" i="11"/>
  <c r="AH157" i="11"/>
  <c r="X157" i="11"/>
  <c r="U157" i="11"/>
  <c r="T157" i="11"/>
  <c r="N157" i="11"/>
  <c r="AG157" i="11" s="1"/>
  <c r="F226" i="11"/>
  <c r="AI226" i="11" s="1"/>
  <c r="F221" i="11"/>
  <c r="F222" i="11"/>
  <c r="AI227" i="11"/>
  <c r="AH227" i="11"/>
  <c r="X227" i="11"/>
  <c r="U227" i="11"/>
  <c r="T227" i="11"/>
  <c r="N227" i="11"/>
  <c r="AG227" i="11" s="1"/>
  <c r="X226" i="11"/>
  <c r="U226" i="11"/>
  <c r="T226" i="11"/>
  <c r="AI225" i="11"/>
  <c r="AH225" i="11"/>
  <c r="X225" i="11"/>
  <c r="U225" i="11"/>
  <c r="T225" i="11"/>
  <c r="N225" i="11"/>
  <c r="AG225" i="11" s="1"/>
  <c r="AI224" i="11"/>
  <c r="AH224" i="11"/>
  <c r="X224" i="11"/>
  <c r="U224" i="11"/>
  <c r="T224" i="11"/>
  <c r="N224" i="11"/>
  <c r="AG224" i="11" s="1"/>
  <c r="AI223" i="11"/>
  <c r="AH223" i="11"/>
  <c r="X223" i="11"/>
  <c r="U223" i="11"/>
  <c r="T223" i="11"/>
  <c r="N223" i="11"/>
  <c r="AG223" i="11" s="1"/>
  <c r="AI222" i="11"/>
  <c r="AH222" i="11"/>
  <c r="X222" i="11"/>
  <c r="U222" i="11"/>
  <c r="T222" i="11"/>
  <c r="N222" i="11"/>
  <c r="AG222" i="11" s="1"/>
  <c r="AI230" i="11"/>
  <c r="AH230" i="11"/>
  <c r="X230" i="11"/>
  <c r="U230" i="11"/>
  <c r="T230" i="11"/>
  <c r="N230" i="11"/>
  <c r="AG230" i="11" s="1"/>
  <c r="AI229" i="11"/>
  <c r="AH229" i="11"/>
  <c r="X229" i="11"/>
  <c r="U229" i="11"/>
  <c r="T229" i="11"/>
  <c r="N229" i="11"/>
  <c r="AG229" i="11" s="1"/>
  <c r="AI228" i="11"/>
  <c r="AH228" i="11"/>
  <c r="X228" i="11"/>
  <c r="U228" i="11"/>
  <c r="T228" i="11"/>
  <c r="N228" i="11"/>
  <c r="AG228" i="11" s="1"/>
  <c r="AI147" i="11"/>
  <c r="AH147" i="11"/>
  <c r="X147" i="11"/>
  <c r="U147" i="11"/>
  <c r="T147" i="11"/>
  <c r="N147" i="11"/>
  <c r="AG147" i="11" s="1"/>
  <c r="V149" i="11"/>
  <c r="S149" i="11"/>
  <c r="R149" i="11"/>
  <c r="Q149" i="11"/>
  <c r="P149" i="11"/>
  <c r="L149" i="11"/>
  <c r="F149" i="11"/>
  <c r="AI148" i="11"/>
  <c r="AH148" i="11"/>
  <c r="U148" i="11"/>
  <c r="T148" i="11"/>
  <c r="N148" i="11"/>
  <c r="AG148" i="11" s="1"/>
  <c r="X148" i="11"/>
  <c r="AH146" i="11"/>
  <c r="W149" i="11"/>
  <c r="U146" i="11"/>
  <c r="T146" i="11"/>
  <c r="M149" i="11"/>
  <c r="AI139" i="11"/>
  <c r="AH139" i="11"/>
  <c r="X139" i="11"/>
  <c r="U139" i="11"/>
  <c r="T139" i="11"/>
  <c r="N139" i="11"/>
  <c r="AG139" i="11" s="1"/>
  <c r="AI141" i="11"/>
  <c r="AH141" i="11"/>
  <c r="X141" i="11"/>
  <c r="U141" i="11"/>
  <c r="T141" i="11"/>
  <c r="N141" i="11"/>
  <c r="AG141" i="11" s="1"/>
  <c r="AI140" i="11"/>
  <c r="AH140" i="11"/>
  <c r="X140" i="11"/>
  <c r="U140" i="11"/>
  <c r="T140" i="11"/>
  <c r="N140" i="11"/>
  <c r="AG140" i="11" s="1"/>
  <c r="AI138" i="11"/>
  <c r="AH138" i="11"/>
  <c r="X138" i="11"/>
  <c r="U138" i="11"/>
  <c r="T138" i="11"/>
  <c r="N138" i="11"/>
  <c r="AG138" i="11" s="1"/>
  <c r="AI137" i="11"/>
  <c r="AH137" i="11"/>
  <c r="X137" i="11"/>
  <c r="U137" i="11"/>
  <c r="T137" i="11"/>
  <c r="N137" i="11"/>
  <c r="AG137" i="11" s="1"/>
  <c r="AI143" i="11"/>
  <c r="AH143" i="11"/>
  <c r="X143" i="11"/>
  <c r="U143" i="11"/>
  <c r="T143" i="11"/>
  <c r="N143" i="11"/>
  <c r="AG143" i="11" s="1"/>
  <c r="AI142" i="11"/>
  <c r="AH142" i="11"/>
  <c r="X142" i="11"/>
  <c r="U142" i="11"/>
  <c r="T142" i="11"/>
  <c r="N142" i="11"/>
  <c r="AG142" i="11" s="1"/>
  <c r="W1362" i="11"/>
  <c r="V1362" i="11"/>
  <c r="S1362" i="11"/>
  <c r="R1362" i="11"/>
  <c r="Q1362" i="11"/>
  <c r="P1362" i="11"/>
  <c r="M1362" i="11"/>
  <c r="L1362" i="11"/>
  <c r="F1362" i="11"/>
  <c r="AI1362" i="11" s="1"/>
  <c r="AI1361" i="11"/>
  <c r="AH1361" i="11"/>
  <c r="X1361" i="11"/>
  <c r="U1361" i="11"/>
  <c r="T1361" i="11"/>
  <c r="N1361" i="11"/>
  <c r="AG1361" i="11" s="1"/>
  <c r="AI1360" i="11"/>
  <c r="AH1360" i="11"/>
  <c r="X1360" i="11"/>
  <c r="U1360" i="11"/>
  <c r="T1360" i="11"/>
  <c r="N1360" i="11"/>
  <c r="AG1360" i="11" s="1"/>
  <c r="AI1359" i="11"/>
  <c r="AH1359" i="11"/>
  <c r="X1359" i="11"/>
  <c r="U1359" i="11"/>
  <c r="T1359" i="11"/>
  <c r="N1359" i="11"/>
  <c r="W1366" i="11"/>
  <c r="V1366" i="11"/>
  <c r="S1366" i="11"/>
  <c r="R1366" i="11"/>
  <c r="Q1366" i="11"/>
  <c r="P1366" i="11"/>
  <c r="M1366" i="11"/>
  <c r="L1366" i="11"/>
  <c r="F1366" i="11"/>
  <c r="AI1365" i="11"/>
  <c r="AH1365" i="11"/>
  <c r="X1365" i="11"/>
  <c r="U1365" i="11"/>
  <c r="T1365" i="11"/>
  <c r="N1365" i="11"/>
  <c r="AE1365" i="11" s="1"/>
  <c r="AI1364" i="11"/>
  <c r="AH1364" i="11"/>
  <c r="X1364" i="11"/>
  <c r="U1364" i="11"/>
  <c r="T1364" i="11"/>
  <c r="N1364" i="11"/>
  <c r="AE1364" i="11" s="1"/>
  <c r="AI1363" i="11"/>
  <c r="AH1363" i="11"/>
  <c r="X1363" i="11"/>
  <c r="U1363" i="11"/>
  <c r="T1363" i="11"/>
  <c r="N1363" i="11"/>
  <c r="AE1363" i="11" s="1"/>
  <c r="X1362" i="11" l="1"/>
  <c r="U149" i="11"/>
  <c r="U1366" i="11"/>
  <c r="T1362" i="11"/>
  <c r="T1366" i="11"/>
  <c r="U1362" i="11"/>
  <c r="AE107" i="11"/>
  <c r="AE157" i="11"/>
  <c r="N226" i="11"/>
  <c r="AG226" i="11" s="1"/>
  <c r="AH226" i="11"/>
  <c r="AE222" i="11"/>
  <c r="AE223" i="11"/>
  <c r="AE224" i="11"/>
  <c r="AE225" i="11"/>
  <c r="AE227" i="11"/>
  <c r="AE228" i="11"/>
  <c r="AE229" i="11"/>
  <c r="AE230" i="11"/>
  <c r="T149" i="11"/>
  <c r="AI149" i="11"/>
  <c r="AE147" i="11"/>
  <c r="AH149" i="11"/>
  <c r="AE148" i="11"/>
  <c r="N146" i="11"/>
  <c r="X146" i="11"/>
  <c r="X149" i="11" s="1"/>
  <c r="AI146" i="11"/>
  <c r="X1366" i="11"/>
  <c r="N1362" i="11"/>
  <c r="AG1362" i="11" s="1"/>
  <c r="AH1362" i="11"/>
  <c r="AE139" i="11"/>
  <c r="AE137" i="11"/>
  <c r="AE138" i="11"/>
  <c r="AE140" i="11"/>
  <c r="AE141" i="11"/>
  <c r="AE142" i="11"/>
  <c r="AE143" i="11"/>
  <c r="AE1359" i="11"/>
  <c r="AE1360" i="11"/>
  <c r="AE1361" i="11"/>
  <c r="AG1359" i="11"/>
  <c r="AG1364" i="11"/>
  <c r="AH1366" i="11"/>
  <c r="AG1363" i="11"/>
  <c r="N1366" i="11"/>
  <c r="AG1365" i="11"/>
  <c r="AI1366" i="11"/>
  <c r="M401" i="11"/>
  <c r="S401" i="11"/>
  <c r="W1669" i="11"/>
  <c r="W519" i="11"/>
  <c r="W824" i="11"/>
  <c r="S1669" i="11"/>
  <c r="Q1672" i="11"/>
  <c r="Q1669" i="11"/>
  <c r="S1668" i="11"/>
  <c r="Q1668" i="11"/>
  <c r="M1668" i="11"/>
  <c r="V1938" i="11"/>
  <c r="W134" i="11"/>
  <c r="W133" i="11"/>
  <c r="AE226" i="11" l="1"/>
  <c r="N149" i="11"/>
  <c r="AE146" i="11"/>
  <c r="AG146" i="11"/>
  <c r="AE1362" i="11"/>
  <c r="AG1366" i="11"/>
  <c r="AE1366" i="11"/>
  <c r="AG149" i="11" l="1"/>
  <c r="AE149" i="11"/>
  <c r="M1222" i="11" l="1"/>
  <c r="M312" i="11"/>
  <c r="M311" i="11"/>
  <c r="L312" i="11"/>
  <c r="L311" i="11"/>
  <c r="M1224" i="11"/>
  <c r="M1344" i="11"/>
  <c r="M1346" i="11"/>
  <c r="M133" i="11"/>
  <c r="L133" i="11"/>
  <c r="M2081" i="11"/>
  <c r="M708" i="11"/>
  <c r="M520" i="11"/>
  <c r="L520" i="11"/>
  <c r="M519" i="11"/>
  <c r="M2091" i="11"/>
  <c r="M2235" i="11"/>
  <c r="M360" i="11"/>
  <c r="M183" i="11"/>
  <c r="M684" i="11"/>
  <c r="M860" i="11"/>
  <c r="F1358" i="11"/>
  <c r="W1358" i="11"/>
  <c r="V1358" i="11"/>
  <c r="S1358" i="11"/>
  <c r="R1358" i="11"/>
  <c r="Q1358" i="11"/>
  <c r="P1358" i="11"/>
  <c r="M1358" i="11"/>
  <c r="L1358" i="11"/>
  <c r="AI1357" i="11"/>
  <c r="AH1357" i="11"/>
  <c r="X1357" i="11"/>
  <c r="U1357" i="11"/>
  <c r="T1357" i="11"/>
  <c r="N1357" i="11"/>
  <c r="AE1357" i="11" s="1"/>
  <c r="AI1356" i="11"/>
  <c r="AH1356" i="11"/>
  <c r="X1356" i="11"/>
  <c r="U1356" i="11"/>
  <c r="T1356" i="11"/>
  <c r="N1356" i="11"/>
  <c r="AE1356" i="11" s="1"/>
  <c r="S2087" i="11"/>
  <c r="S1145" i="11"/>
  <c r="S2109" i="11"/>
  <c r="R2109" i="11"/>
  <c r="Q360" i="11"/>
  <c r="Q915" i="11"/>
  <c r="M2185" i="11"/>
  <c r="Q2185" i="11"/>
  <c r="X1358" i="11" l="1"/>
  <c r="U1358" i="11"/>
  <c r="T1358" i="11"/>
  <c r="AI1358" i="11"/>
  <c r="AH1358" i="11"/>
  <c r="AG1356" i="11"/>
  <c r="N1358" i="11"/>
  <c r="AG1357" i="11"/>
  <c r="Q745" i="11"/>
  <c r="AG1358" i="11" l="1"/>
  <c r="AE1358" i="11"/>
  <c r="Q1682" i="11" l="1"/>
  <c r="M1682" i="11"/>
  <c r="M347" i="11"/>
  <c r="M348" i="11"/>
  <c r="S2159" i="11"/>
  <c r="S1413" i="11"/>
  <c r="S1412" i="11"/>
  <c r="S1411" i="11"/>
  <c r="S422" i="11"/>
  <c r="S418" i="11"/>
  <c r="Q860" i="11"/>
  <c r="S1519" i="11"/>
  <c r="S900" i="11"/>
  <c r="Q900" i="11"/>
  <c r="M900" i="11"/>
  <c r="S907" i="11"/>
  <c r="Q436" i="11"/>
  <c r="M364" i="11"/>
  <c r="Q364" i="11"/>
  <c r="Q1145" i="11"/>
  <c r="Q2081" i="11"/>
  <c r="Q754" i="11"/>
  <c r="M925" i="11"/>
  <c r="Q925" i="11"/>
  <c r="Q473" i="11"/>
  <c r="Q1559" i="11"/>
  <c r="S2248" i="11"/>
  <c r="M2248" i="11"/>
  <c r="Q2248" i="11"/>
  <c r="M902" i="11" l="1"/>
  <c r="W900" i="11"/>
  <c r="M1422" i="11"/>
  <c r="M1228" i="11"/>
  <c r="W888" i="11"/>
  <c r="M677" i="11"/>
  <c r="Q677" i="11"/>
  <c r="S677" i="11"/>
  <c r="W677" i="11"/>
  <c r="M2093" i="11"/>
  <c r="M2087" i="11"/>
  <c r="M1420" i="11"/>
  <c r="M1235" i="11"/>
  <c r="M907" i="11"/>
  <c r="M1345" i="11"/>
  <c r="M1231" i="11"/>
  <c r="M1343" i="11"/>
  <c r="M239" i="11"/>
  <c r="M1449" i="11"/>
  <c r="M1221" i="11"/>
  <c r="M1922" i="11"/>
  <c r="M915" i="11"/>
  <c r="M1223" i="11"/>
  <c r="M1227" i="11"/>
  <c r="M2199" i="11"/>
  <c r="M1295" i="11"/>
  <c r="M1296" i="11"/>
  <c r="M436" i="11"/>
  <c r="M184" i="11"/>
  <c r="M706" i="11"/>
  <c r="M473" i="11"/>
  <c r="M1145" i="11"/>
  <c r="M1734" i="11"/>
  <c r="M1326" i="11"/>
  <c r="T1970" i="11" l="1"/>
  <c r="M349" i="11"/>
  <c r="W1222" i="11"/>
  <c r="W1225" i="11"/>
  <c r="W1668" i="11" l="1"/>
  <c r="W1035" i="11"/>
  <c r="W1034" i="11"/>
  <c r="W418" i="11"/>
  <c r="W521" i="11"/>
  <c r="W564" i="11"/>
  <c r="W563" i="11"/>
  <c r="W898" i="11"/>
  <c r="W897" i="11"/>
  <c r="W636" i="11"/>
  <c r="W2091" i="11"/>
  <c r="W1937" i="11"/>
  <c r="W132" i="11"/>
  <c r="W1300" i="11"/>
  <c r="W2165" i="11"/>
  <c r="W2185" i="11"/>
  <c r="M1956" i="11"/>
  <c r="M419" i="11"/>
  <c r="M754" i="11"/>
  <c r="M1284" i="11"/>
  <c r="M898" i="11"/>
  <c r="M1748" i="11"/>
  <c r="M885" i="11"/>
  <c r="M1226" i="11"/>
  <c r="M1225" i="11"/>
  <c r="M1448" i="11"/>
  <c r="M254" i="11"/>
  <c r="M2161" i="11"/>
  <c r="M1559" i="11"/>
  <c r="Q419" i="11"/>
  <c r="Q1956" i="11"/>
  <c r="Q1281" i="11"/>
  <c r="Q661" i="11"/>
  <c r="Q898" i="11"/>
  <c r="S939" i="11"/>
  <c r="V1116" i="11" l="1"/>
  <c r="Q1828" i="11" l="1"/>
  <c r="Q1835" i="11"/>
  <c r="M1834" i="11"/>
  <c r="S1277" i="11"/>
  <c r="S636" i="11"/>
  <c r="S1937" i="11"/>
  <c r="Q780" i="11"/>
  <c r="Q2082" i="11"/>
  <c r="Q567" i="11"/>
  <c r="Q403" i="11"/>
  <c r="Q472" i="11"/>
  <c r="Q1966" i="11"/>
  <c r="Q1955" i="11"/>
  <c r="Q2093" i="11"/>
  <c r="Q2095" i="11"/>
  <c r="W1236" i="11"/>
  <c r="W1235" i="11"/>
  <c r="W1451" i="11"/>
  <c r="W1420" i="11"/>
  <c r="W1422" i="11"/>
  <c r="W1423" i="11"/>
  <c r="W1413" i="11"/>
  <c r="W1411" i="11"/>
  <c r="W1115" i="11"/>
  <c r="W348" i="11"/>
  <c r="W352" i="11"/>
  <c r="W1234" i="11"/>
  <c r="M2083" i="11"/>
  <c r="M1281" i="11"/>
  <c r="M356" i="11" l="1"/>
  <c r="M567" i="11"/>
  <c r="M661" i="11"/>
  <c r="M780" i="11"/>
  <c r="M1672" i="11"/>
  <c r="M884" i="11"/>
  <c r="M1037" i="11"/>
  <c r="M1955" i="11"/>
  <c r="M1236" i="11"/>
  <c r="M1966" i="11" l="1"/>
  <c r="M2095" i="11"/>
  <c r="M351" i="11"/>
  <c r="M352" i="11"/>
  <c r="M2082" i="11"/>
  <c r="Q2165" i="11" l="1"/>
  <c r="Q418" i="11"/>
  <c r="Q902" i="11"/>
  <c r="Q401" i="11"/>
  <c r="Q659" i="11"/>
  <c r="W1041" i="11"/>
  <c r="W422" i="11"/>
  <c r="W427" i="11"/>
  <c r="W851" i="11"/>
  <c r="W850" i="11"/>
  <c r="W783" i="11"/>
  <c r="W1652" i="11"/>
  <c r="W1846" i="11"/>
  <c r="W1720" i="11"/>
  <c r="W2159" i="11"/>
  <c r="W2120" i="11"/>
  <c r="W1861" i="11"/>
  <c r="W1862" i="11"/>
  <c r="W1412" i="11"/>
  <c r="M1234" i="11"/>
  <c r="M472" i="11"/>
  <c r="M168" i="11"/>
  <c r="M2171" i="11"/>
  <c r="M1300" i="11"/>
  <c r="M403" i="11"/>
  <c r="M1725" i="11"/>
  <c r="M1729" i="11"/>
  <c r="M1727" i="11"/>
  <c r="M1564" i="11"/>
  <c r="M249" i="11"/>
  <c r="M274" i="11"/>
  <c r="M1423" i="11" l="1"/>
  <c r="M1260" i="11"/>
  <c r="M1775" i="11"/>
  <c r="M1774" i="11"/>
  <c r="M2165" i="11"/>
  <c r="S1041" i="11" l="1"/>
  <c r="M1229" i="11"/>
  <c r="M659" i="11"/>
  <c r="M1733" i="11"/>
  <c r="M2195" i="11"/>
  <c r="M255" i="11"/>
  <c r="M1413" i="11"/>
  <c r="M1214" i="11"/>
  <c r="M418" i="11"/>
  <c r="M1269" i="11"/>
  <c r="S2120" i="11"/>
  <c r="Q1651" i="11"/>
  <c r="Q660" i="11"/>
  <c r="M858" i="11"/>
  <c r="Q858" i="11"/>
  <c r="Q861" i="11" s="1"/>
  <c r="Q1413" i="11"/>
  <c r="M1412" i="11"/>
  <c r="Q1412" i="11"/>
  <c r="Q907" i="11"/>
  <c r="Q1115" i="11"/>
  <c r="Q300" i="11"/>
  <c r="M1411" i="11"/>
  <c r="Q1411" i="11"/>
  <c r="M350" i="11" l="1"/>
  <c r="M2072" i="11" l="1"/>
  <c r="M620" i="11"/>
  <c r="W620" i="11"/>
  <c r="W622" i="11"/>
  <c r="W1127" i="11"/>
  <c r="W1005" i="11"/>
  <c r="W1006" i="11"/>
  <c r="W1544" i="11" l="1"/>
  <c r="W1694" i="11"/>
  <c r="M970" i="11" l="1"/>
  <c r="M969" i="11"/>
  <c r="M636" i="11"/>
  <c r="M521" i="11"/>
  <c r="M1560" i="11"/>
  <c r="M305" i="11"/>
  <c r="M304" i="11"/>
  <c r="M1230" i="11"/>
  <c r="M250" i="11"/>
  <c r="M1399" i="11"/>
  <c r="M300" i="11"/>
  <c r="M325" i="11"/>
  <c r="M2159" i="11"/>
  <c r="M75" i="11"/>
  <c r="S417" i="11"/>
  <c r="Q1560" i="11"/>
  <c r="W8" i="11" l="1"/>
  <c r="V8" i="11"/>
  <c r="S8" i="11"/>
  <c r="R8" i="11"/>
  <c r="Q8" i="11"/>
  <c r="P8" i="11"/>
  <c r="M8" i="11"/>
  <c r="L8" i="11"/>
  <c r="F8" i="11"/>
  <c r="AI7" i="11"/>
  <c r="AH7" i="11"/>
  <c r="X7" i="11"/>
  <c r="U7" i="11"/>
  <c r="T7" i="11"/>
  <c r="N7" i="11"/>
  <c r="AG7" i="11" s="1"/>
  <c r="AI6" i="11"/>
  <c r="AH6" i="11"/>
  <c r="X6" i="11"/>
  <c r="U6" i="11"/>
  <c r="T6" i="11"/>
  <c r="N6" i="11"/>
  <c r="AG6" i="11" s="1"/>
  <c r="M752" i="11"/>
  <c r="M1410" i="11"/>
  <c r="P1410" i="11"/>
  <c r="Q1410" i="11"/>
  <c r="R1410" i="11"/>
  <c r="S1410" i="11"/>
  <c r="V1410" i="11"/>
  <c r="W1410" i="11"/>
  <c r="L1410" i="11"/>
  <c r="F1410" i="11"/>
  <c r="AI1408" i="11"/>
  <c r="AH1408" i="11"/>
  <c r="X1408" i="11"/>
  <c r="U1408" i="11"/>
  <c r="T1408" i="11"/>
  <c r="N1408" i="11"/>
  <c r="AG1408" i="11" s="1"/>
  <c r="W1264" i="11"/>
  <c r="V1264" i="11"/>
  <c r="S1264" i="11"/>
  <c r="R1264" i="11"/>
  <c r="Q1264" i="11"/>
  <c r="P1264" i="11"/>
  <c r="M1264" i="11"/>
  <c r="L1264" i="11"/>
  <c r="F1264" i="11"/>
  <c r="AI1263" i="11"/>
  <c r="AH1263" i="11"/>
  <c r="X1263" i="11"/>
  <c r="U1263" i="11"/>
  <c r="T1263" i="11"/>
  <c r="N1263" i="11"/>
  <c r="AG1263" i="11" s="1"/>
  <c r="AI1262" i="11"/>
  <c r="AH1262" i="11"/>
  <c r="X1262" i="11"/>
  <c r="U1262" i="11"/>
  <c r="T1262" i="11"/>
  <c r="N1262" i="11"/>
  <c r="AG1262" i="11" s="1"/>
  <c r="AI1218" i="11"/>
  <c r="AH1218" i="11"/>
  <c r="X1218" i="11"/>
  <c r="U1218" i="11"/>
  <c r="T1218" i="11"/>
  <c r="N1218" i="11"/>
  <c r="AG1218" i="11" s="1"/>
  <c r="P1220" i="11"/>
  <c r="Q1220" i="11"/>
  <c r="R1220" i="11"/>
  <c r="S1220" i="11"/>
  <c r="V1220" i="11"/>
  <c r="W1220" i="11"/>
  <c r="M1220" i="11"/>
  <c r="L1220" i="11"/>
  <c r="F1220" i="11"/>
  <c r="AI1217" i="11"/>
  <c r="X1217" i="11"/>
  <c r="AH1217" i="11"/>
  <c r="N1217" i="11"/>
  <c r="AG1217" i="11" s="1"/>
  <c r="W1182" i="11"/>
  <c r="V1182" i="11"/>
  <c r="S1182" i="11"/>
  <c r="R1182" i="11"/>
  <c r="Q1182" i="11"/>
  <c r="P1182" i="11"/>
  <c r="M1182" i="11"/>
  <c r="L1182" i="11"/>
  <c r="F1182" i="11"/>
  <c r="AI1181" i="11"/>
  <c r="AH1181" i="11"/>
  <c r="X1181" i="11"/>
  <c r="X1182" i="11" s="1"/>
  <c r="U1181" i="11"/>
  <c r="T1181" i="11"/>
  <c r="T1182" i="11" s="1"/>
  <c r="N1181" i="11"/>
  <c r="AG1181" i="11" s="1"/>
  <c r="AI1178" i="11"/>
  <c r="AH1178" i="11"/>
  <c r="X1178" i="11"/>
  <c r="U1178" i="11"/>
  <c r="T1178" i="11"/>
  <c r="N1178" i="11"/>
  <c r="AG1178" i="11" s="1"/>
  <c r="AI1176" i="11"/>
  <c r="AH1176" i="11"/>
  <c r="X1176" i="11"/>
  <c r="U1176" i="11"/>
  <c r="T1176" i="11"/>
  <c r="N1176" i="11"/>
  <c r="AG1176" i="11" s="1"/>
  <c r="AI1175" i="11"/>
  <c r="AH1175" i="11"/>
  <c r="X1175" i="11"/>
  <c r="U1175" i="11"/>
  <c r="T1175" i="11"/>
  <c r="N1175" i="11"/>
  <c r="AG1175" i="11" s="1"/>
  <c r="AI1177" i="11"/>
  <c r="AH1177" i="11"/>
  <c r="X1177" i="11"/>
  <c r="U1177" i="11"/>
  <c r="T1177" i="11"/>
  <c r="N1177" i="11"/>
  <c r="AG1177" i="11" s="1"/>
  <c r="S2091" i="11"/>
  <c r="Q1280" i="11"/>
  <c r="Q636" i="11"/>
  <c r="M1101" i="11"/>
  <c r="T8" i="11" l="1"/>
  <c r="X1264" i="11"/>
  <c r="T1264" i="11"/>
  <c r="U8" i="11"/>
  <c r="AH1264" i="11"/>
  <c r="N1264" i="11"/>
  <c r="AG1264" i="11" s="1"/>
  <c r="U1182" i="11"/>
  <c r="U1264" i="11"/>
  <c r="AI1264" i="11"/>
  <c r="X8" i="11"/>
  <c r="N8" i="11"/>
  <c r="AG8" i="11" s="1"/>
  <c r="AH8" i="11"/>
  <c r="AI8" i="11"/>
  <c r="AE6" i="11"/>
  <c r="AE7" i="11"/>
  <c r="AE1408" i="11"/>
  <c r="AE1262" i="11"/>
  <c r="AE1263" i="11"/>
  <c r="AE1218" i="11"/>
  <c r="AE1217" i="11"/>
  <c r="T1217" i="11"/>
  <c r="U1217" i="11"/>
  <c r="AI1182" i="11"/>
  <c r="AH1182" i="11"/>
  <c r="N1182" i="11"/>
  <c r="AG1182" i="11" s="1"/>
  <c r="AE1181" i="11"/>
  <c r="AE1178" i="11"/>
  <c r="AE1175" i="11"/>
  <c r="AE1176" i="11"/>
  <c r="AE1177" i="11"/>
  <c r="R1058" i="11"/>
  <c r="AE1264" i="11" l="1"/>
  <c r="AE8" i="11"/>
  <c r="AE1182" i="11"/>
  <c r="N1672" i="11" l="1"/>
  <c r="S554" i="11" l="1"/>
  <c r="S1005" i="11"/>
  <c r="Q2159" i="11"/>
  <c r="M281" i="11"/>
  <c r="M280" i="11"/>
  <c r="M1561" i="11"/>
  <c r="M1783" i="11"/>
  <c r="M323" i="11"/>
  <c r="M322" i="11"/>
  <c r="M670" i="11"/>
  <c r="M671" i="11"/>
  <c r="M1728" i="11"/>
  <c r="M533" i="11"/>
  <c r="M1720" i="11"/>
  <c r="M1398" i="11"/>
  <c r="M1233" i="11"/>
  <c r="M1282" i="11"/>
  <c r="M1588" i="11"/>
  <c r="M417" i="11"/>
  <c r="M74" i="11"/>
  <c r="M132" i="11"/>
  <c r="M667" i="11"/>
  <c r="M1318" i="11"/>
  <c r="M1232" i="11"/>
  <c r="M1325" i="11"/>
  <c r="M1584" i="11"/>
  <c r="Q2009" i="11" l="1"/>
  <c r="S2009" i="11"/>
  <c r="S384" i="11"/>
  <c r="S806" i="11"/>
  <c r="Q671" i="11"/>
  <c r="Q1561" i="11"/>
  <c r="M2120" i="11"/>
  <c r="Q2120" i="11"/>
  <c r="Q1041" i="11"/>
  <c r="Q781" i="11"/>
  <c r="Q670" i="11"/>
  <c r="W1686" i="11" l="1"/>
  <c r="M837" i="11"/>
  <c r="W526" i="11"/>
  <c r="W1063" i="11"/>
  <c r="M1152" i="11"/>
  <c r="W1152" i="11"/>
  <c r="W2071" i="11"/>
  <c r="W554" i="11"/>
  <c r="W2087" i="11"/>
  <c r="S2072" i="11" l="1"/>
  <c r="W381" i="11"/>
  <c r="V381" i="11"/>
  <c r="S381" i="11"/>
  <c r="R381" i="11"/>
  <c r="Q381" i="11"/>
  <c r="P381" i="11"/>
  <c r="M381" i="11"/>
  <c r="L381" i="11"/>
  <c r="F381" i="11"/>
  <c r="AI380" i="11"/>
  <c r="AH380" i="11"/>
  <c r="X380" i="11"/>
  <c r="X381" i="11" s="1"/>
  <c r="U380" i="11"/>
  <c r="T380" i="11"/>
  <c r="T381" i="11" s="1"/>
  <c r="N380" i="11"/>
  <c r="AG380" i="11" s="1"/>
  <c r="W383" i="11"/>
  <c r="V383" i="11"/>
  <c r="R383" i="11"/>
  <c r="Q383" i="11"/>
  <c r="P383" i="11"/>
  <c r="L383" i="11"/>
  <c r="F383" i="11"/>
  <c r="AI382" i="11"/>
  <c r="AH382" i="11"/>
  <c r="U382" i="11"/>
  <c r="T382" i="11"/>
  <c r="T383" i="11" s="1"/>
  <c r="S383" i="11"/>
  <c r="AH383" i="11" s="1"/>
  <c r="N382" i="11"/>
  <c r="W2245" i="11"/>
  <c r="V2245" i="11"/>
  <c r="S2245" i="11"/>
  <c r="R2245" i="11"/>
  <c r="Q2245" i="11"/>
  <c r="P2245" i="11"/>
  <c r="L2245" i="11"/>
  <c r="F2245" i="11"/>
  <c r="AI2244" i="11"/>
  <c r="AH2244" i="11"/>
  <c r="T2244" i="11"/>
  <c r="T2245" i="11" s="1"/>
  <c r="M2244" i="11"/>
  <c r="M2245" i="11" s="1"/>
  <c r="F2211" i="11"/>
  <c r="M532" i="11"/>
  <c r="Q532" i="11"/>
  <c r="Q384" i="11"/>
  <c r="AH381" i="11" l="1"/>
  <c r="U2245" i="11"/>
  <c r="AI2245" i="11"/>
  <c r="U381" i="11"/>
  <c r="AH2245" i="11"/>
  <c r="AI383" i="11"/>
  <c r="AI381" i="11"/>
  <c r="N381" i="11"/>
  <c r="AG381" i="11" s="1"/>
  <c r="AE380" i="11"/>
  <c r="AE382" i="11"/>
  <c r="AG382" i="11"/>
  <c r="N383" i="11"/>
  <c r="M383" i="11"/>
  <c r="U383" i="11" s="1"/>
  <c r="X382" i="11"/>
  <c r="X383" i="11" s="1"/>
  <c r="X2244" i="11"/>
  <c r="X2245" i="11" s="1"/>
  <c r="N2244" i="11"/>
  <c r="U2244" i="11"/>
  <c r="V2035" i="11"/>
  <c r="AE381" i="11" l="1"/>
  <c r="AE383" i="11"/>
  <c r="AG383" i="11"/>
  <c r="AG2244" i="11"/>
  <c r="AE2244" i="11"/>
  <c r="N2245" i="11"/>
  <c r="AG2245" i="11" l="1"/>
  <c r="AE2245" i="11"/>
  <c r="S1137" i="11" l="1"/>
  <c r="S1017" i="11"/>
  <c r="S1015" i="11"/>
  <c r="S1516" i="11"/>
  <c r="S526" i="11"/>
  <c r="Q328" i="11"/>
  <c r="Q1278" i="11"/>
  <c r="M1648" i="11"/>
  <c r="M1278" i="11"/>
  <c r="M1396" i="11"/>
  <c r="M384" i="11"/>
  <c r="M1327" i="11"/>
  <c r="M1730" i="11"/>
  <c r="M1488" i="11"/>
  <c r="M1041" i="11"/>
  <c r="M399" i="11"/>
  <c r="M781" i="11"/>
  <c r="M1945" i="11"/>
  <c r="M1035" i="11"/>
  <c r="M30" i="11"/>
  <c r="Q33" i="11"/>
  <c r="M33" i="11"/>
  <c r="S1063" i="11" l="1"/>
  <c r="S33" i="11"/>
  <c r="S30" i="11"/>
  <c r="S1544" i="11"/>
  <c r="Q1945" i="11"/>
  <c r="Q762" i="11"/>
  <c r="Q399" i="11"/>
  <c r="M1063" i="11"/>
  <c r="Q1063" i="11"/>
  <c r="Q2072" i="11"/>
  <c r="W1327" i="11"/>
  <c r="W815" i="11" l="1"/>
  <c r="W814" i="11"/>
  <c r="S745" i="11"/>
  <c r="W1151" i="11"/>
  <c r="W820" i="11"/>
  <c r="W1017" i="11"/>
  <c r="W1015" i="11"/>
  <c r="M134" i="11"/>
  <c r="M815" i="11"/>
  <c r="M814" i="11"/>
  <c r="M526" i="11"/>
  <c r="M762" i="11"/>
  <c r="M905" i="11"/>
  <c r="M1133" i="11"/>
  <c r="M1151" i="11"/>
  <c r="M1589" i="11"/>
  <c r="M2009" i="11"/>
  <c r="M1397" i="11"/>
  <c r="M1718" i="11"/>
  <c r="M1268" i="11"/>
  <c r="Q556" i="11"/>
  <c r="Q526" i="11"/>
  <c r="S563" i="11"/>
  <c r="S2110" i="11"/>
  <c r="F2044" i="11"/>
  <c r="F2043" i="11"/>
  <c r="W2033" i="11"/>
  <c r="W2028" i="11"/>
  <c r="S1101" i="11"/>
  <c r="W65" i="11"/>
  <c r="Q736" i="11" l="1"/>
  <c r="S276" i="11"/>
  <c r="S1147" i="11"/>
  <c r="S1651" i="11"/>
  <c r="S820" i="11"/>
  <c r="Q30" i="11"/>
  <c r="Q1133" i="11"/>
  <c r="AI1435" i="11"/>
  <c r="AH1435" i="11"/>
  <c r="X1435" i="11"/>
  <c r="U1435" i="11"/>
  <c r="T1435" i="11"/>
  <c r="N1435" i="11"/>
  <c r="AE1435" i="11" s="1"/>
  <c r="AI1434" i="11"/>
  <c r="AH1434" i="11"/>
  <c r="X1434" i="11"/>
  <c r="U1434" i="11"/>
  <c r="T1434" i="11"/>
  <c r="N1434" i="11"/>
  <c r="AE1434" i="11" s="1"/>
  <c r="W1432" i="11"/>
  <c r="V1432" i="11"/>
  <c r="S1432" i="11"/>
  <c r="R1432" i="11"/>
  <c r="Q1432" i="11"/>
  <c r="P1432" i="11"/>
  <c r="M1432" i="11"/>
  <c r="L1432" i="11"/>
  <c r="F1432" i="11"/>
  <c r="AI1431" i="11"/>
  <c r="AH1431" i="11"/>
  <c r="X1431" i="11"/>
  <c r="U1431" i="11"/>
  <c r="T1431" i="11"/>
  <c r="N1431" i="11"/>
  <c r="AG1431" i="11" s="1"/>
  <c r="AI1430" i="11"/>
  <c r="AH1430" i="11"/>
  <c r="X1430" i="11"/>
  <c r="U1430" i="11"/>
  <c r="T1430" i="11"/>
  <c r="N1430" i="11"/>
  <c r="AG1430" i="11" s="1"/>
  <c r="AI1429" i="11"/>
  <c r="AH1429" i="11"/>
  <c r="X1429" i="11"/>
  <c r="U1429" i="11"/>
  <c r="T1429" i="11"/>
  <c r="N1429" i="11"/>
  <c r="AG1429" i="11" s="1"/>
  <c r="AI1450" i="11"/>
  <c r="AH1450" i="11"/>
  <c r="X1450" i="11"/>
  <c r="U1450" i="11"/>
  <c r="T1450" i="11"/>
  <c r="N1450" i="11"/>
  <c r="AE1450" i="11" s="1"/>
  <c r="W1621" i="11"/>
  <c r="V1621" i="11"/>
  <c r="S1621" i="11"/>
  <c r="R1621" i="11"/>
  <c r="Q1621" i="11"/>
  <c r="P1621" i="11"/>
  <c r="M1621" i="11"/>
  <c r="L1621" i="11"/>
  <c r="F1621" i="11"/>
  <c r="AI1620" i="11"/>
  <c r="AH1620" i="11"/>
  <c r="X1620" i="11"/>
  <c r="U1620" i="11"/>
  <c r="T1620" i="11"/>
  <c r="N1620" i="11"/>
  <c r="AE1620" i="11" s="1"/>
  <c r="AI1619" i="11"/>
  <c r="AH1619" i="11"/>
  <c r="X1619" i="11"/>
  <c r="U1619" i="11"/>
  <c r="T1619" i="11"/>
  <c r="N1619" i="11"/>
  <c r="AE1619" i="11" s="1"/>
  <c r="W1618" i="11"/>
  <c r="V1618" i="11"/>
  <c r="S1618" i="11"/>
  <c r="R1618" i="11"/>
  <c r="Q1618" i="11"/>
  <c r="P1618" i="11"/>
  <c r="M1618" i="11"/>
  <c r="L1618" i="11"/>
  <c r="F1618" i="11"/>
  <c r="AI1617" i="11"/>
  <c r="AH1617" i="11"/>
  <c r="X1617" i="11"/>
  <c r="U1617" i="11"/>
  <c r="T1617" i="11"/>
  <c r="N1617" i="11"/>
  <c r="AG1617" i="11" s="1"/>
  <c r="AI1616" i="11"/>
  <c r="AH1616" i="11"/>
  <c r="X1616" i="11"/>
  <c r="U1616" i="11"/>
  <c r="T1616" i="11"/>
  <c r="N1616" i="11"/>
  <c r="AG1616" i="11" s="1"/>
  <c r="AI1615" i="11"/>
  <c r="AH1615" i="11"/>
  <c r="X1615" i="11"/>
  <c r="U1615" i="11"/>
  <c r="T1615" i="11"/>
  <c r="N1615" i="11"/>
  <c r="AG1615" i="11" s="1"/>
  <c r="AI1614" i="11"/>
  <c r="AH1614" i="11"/>
  <c r="X1614" i="11"/>
  <c r="U1614" i="11"/>
  <c r="T1614" i="11"/>
  <c r="N1614" i="11"/>
  <c r="AG1614" i="11" s="1"/>
  <c r="W1613" i="11"/>
  <c r="V1613" i="11"/>
  <c r="S1613" i="11"/>
  <c r="R1613" i="11"/>
  <c r="Q1613" i="11"/>
  <c r="P1613" i="11"/>
  <c r="M1613" i="11"/>
  <c r="L1613" i="11"/>
  <c r="F1613" i="11"/>
  <c r="AI1612" i="11"/>
  <c r="AH1612" i="11"/>
  <c r="X1612" i="11"/>
  <c r="U1612" i="11"/>
  <c r="T1612" i="11"/>
  <c r="N1612" i="11"/>
  <c r="AE1612" i="11" s="1"/>
  <c r="AI1611" i="11"/>
  <c r="AH1611" i="11"/>
  <c r="X1611" i="11"/>
  <c r="U1611" i="11"/>
  <c r="T1611" i="11"/>
  <c r="N1611" i="11"/>
  <c r="AE1611" i="11" s="1"/>
  <c r="AI1610" i="11"/>
  <c r="AH1610" i="11"/>
  <c r="X1610" i="11"/>
  <c r="U1610" i="11"/>
  <c r="T1610" i="11"/>
  <c r="N1610" i="11"/>
  <c r="AG1610" i="11" s="1"/>
  <c r="AI1609" i="11"/>
  <c r="AH1609" i="11"/>
  <c r="X1609" i="11"/>
  <c r="U1609" i="11"/>
  <c r="T1609" i="11"/>
  <c r="N1609" i="11"/>
  <c r="AG1609" i="11" s="1"/>
  <c r="AI1608" i="11"/>
  <c r="AH1608" i="11"/>
  <c r="X1608" i="11"/>
  <c r="U1608" i="11"/>
  <c r="T1608" i="11"/>
  <c r="N1608" i="11"/>
  <c r="AG1608" i="11" s="1"/>
  <c r="AI1607" i="11"/>
  <c r="AH1607" i="11"/>
  <c r="X1607" i="11"/>
  <c r="U1607" i="11"/>
  <c r="T1607" i="11"/>
  <c r="N1607" i="11"/>
  <c r="AG1607" i="11" s="1"/>
  <c r="AI1606" i="11"/>
  <c r="AH1606" i="11"/>
  <c r="X1606" i="11"/>
  <c r="U1606" i="11"/>
  <c r="T1606" i="11"/>
  <c r="N1606" i="11"/>
  <c r="AG1606" i="11" s="1"/>
  <c r="AI1605" i="11"/>
  <c r="AH1605" i="11"/>
  <c r="X1605" i="11"/>
  <c r="U1605" i="11"/>
  <c r="T1605" i="11"/>
  <c r="N1605" i="11"/>
  <c r="AG1605" i="11" s="1"/>
  <c r="AI1604" i="11"/>
  <c r="AH1604" i="11"/>
  <c r="X1604" i="11"/>
  <c r="U1604" i="11"/>
  <c r="T1604" i="11"/>
  <c r="N1604" i="11"/>
  <c r="AG1604" i="11" s="1"/>
  <c r="AI1603" i="11"/>
  <c r="AH1603" i="11"/>
  <c r="X1603" i="11"/>
  <c r="U1603" i="11"/>
  <c r="T1603" i="11"/>
  <c r="N1603" i="11"/>
  <c r="AG1603" i="11" s="1"/>
  <c r="AI1602" i="11"/>
  <c r="AH1602" i="11"/>
  <c r="X1602" i="11"/>
  <c r="U1602" i="11"/>
  <c r="T1602" i="11"/>
  <c r="N1602" i="11"/>
  <c r="AG1602" i="11" s="1"/>
  <c r="AI1601" i="11"/>
  <c r="AH1601" i="11"/>
  <c r="X1601" i="11"/>
  <c r="U1601" i="11"/>
  <c r="T1601" i="11"/>
  <c r="N1601" i="11"/>
  <c r="AG1601" i="11" s="1"/>
  <c r="W1600" i="11"/>
  <c r="V1600" i="11"/>
  <c r="S1600" i="11"/>
  <c r="R1600" i="11"/>
  <c r="Q1600" i="11"/>
  <c r="P1600" i="11"/>
  <c r="M1600" i="11"/>
  <c r="L1600" i="11"/>
  <c r="F1600" i="11"/>
  <c r="AI1599" i="11"/>
  <c r="AH1599" i="11"/>
  <c r="X1599" i="11"/>
  <c r="U1599" i="11"/>
  <c r="T1599" i="11"/>
  <c r="N1599" i="11"/>
  <c r="AE1599" i="11" s="1"/>
  <c r="AI1598" i="11"/>
  <c r="AH1598" i="11"/>
  <c r="X1598" i="11"/>
  <c r="U1598" i="11"/>
  <c r="T1598" i="11"/>
  <c r="N1598" i="11"/>
  <c r="AE1598" i="11" s="1"/>
  <c r="AI1597" i="11"/>
  <c r="AH1597" i="11"/>
  <c r="X1597" i="11"/>
  <c r="U1597" i="11"/>
  <c r="T1597" i="11"/>
  <c r="N1597" i="11"/>
  <c r="AE1597" i="11" s="1"/>
  <c r="W1596" i="11"/>
  <c r="V1596" i="11"/>
  <c r="S1596" i="11"/>
  <c r="R1596" i="11"/>
  <c r="Q1596" i="11"/>
  <c r="P1596" i="11"/>
  <c r="M1596" i="11"/>
  <c r="L1596" i="11"/>
  <c r="F1596" i="11"/>
  <c r="AI1595" i="11"/>
  <c r="AH1595" i="11"/>
  <c r="X1595" i="11"/>
  <c r="U1595" i="11"/>
  <c r="T1595" i="11"/>
  <c r="N1595" i="11"/>
  <c r="AE1595" i="11" s="1"/>
  <c r="AI1594" i="11"/>
  <c r="AH1594" i="11"/>
  <c r="X1594" i="11"/>
  <c r="U1594" i="11"/>
  <c r="T1594" i="11"/>
  <c r="N1594" i="11"/>
  <c r="AE1594" i="11" s="1"/>
  <c r="AI1593" i="11"/>
  <c r="AH1593" i="11"/>
  <c r="X1593" i="11"/>
  <c r="U1593" i="11"/>
  <c r="T1593" i="11"/>
  <c r="N1593" i="11"/>
  <c r="AE1593" i="11" s="1"/>
  <c r="AI1592" i="11"/>
  <c r="AH1592" i="11"/>
  <c r="X1592" i="11"/>
  <c r="U1592" i="11"/>
  <c r="T1592" i="11"/>
  <c r="N1592" i="11"/>
  <c r="AE1592" i="11" s="1"/>
  <c r="AI1591" i="11"/>
  <c r="AH1591" i="11"/>
  <c r="X1591" i="11"/>
  <c r="U1591" i="11"/>
  <c r="T1591" i="11"/>
  <c r="N1591" i="11"/>
  <c r="AE1591" i="11" s="1"/>
  <c r="W1623" i="11"/>
  <c r="V1623" i="11"/>
  <c r="S1623" i="11"/>
  <c r="R1623" i="11"/>
  <c r="Q1623" i="11"/>
  <c r="P1623" i="11"/>
  <c r="L1623" i="11"/>
  <c r="F1623" i="11"/>
  <c r="AI1622" i="11"/>
  <c r="AH1622" i="11"/>
  <c r="U1622" i="11"/>
  <c r="T1622" i="11"/>
  <c r="N1622" i="11"/>
  <c r="W1904" i="11"/>
  <c r="V1904" i="11"/>
  <c r="S1904" i="11"/>
  <c r="R1904" i="11"/>
  <c r="Q1904" i="11"/>
  <c r="P1904" i="11"/>
  <c r="M1904" i="11"/>
  <c r="L1904" i="11"/>
  <c r="F1904" i="11"/>
  <c r="AI1903" i="11"/>
  <c r="AH1903" i="11"/>
  <c r="X1903" i="11"/>
  <c r="U1903" i="11"/>
  <c r="T1903" i="11"/>
  <c r="N1903" i="11"/>
  <c r="AG1903" i="11" s="1"/>
  <c r="AI1902" i="11"/>
  <c r="AH1902" i="11"/>
  <c r="X1902" i="11"/>
  <c r="U1902" i="11"/>
  <c r="T1902" i="11"/>
  <c r="N1902" i="11"/>
  <c r="AG1902" i="11" s="1"/>
  <c r="AI1901" i="11"/>
  <c r="AH1901" i="11"/>
  <c r="X1901" i="11"/>
  <c r="U1901" i="11"/>
  <c r="T1901" i="11"/>
  <c r="N1901" i="11"/>
  <c r="AG1901" i="11" s="1"/>
  <c r="AI1900" i="11"/>
  <c r="AH1900" i="11"/>
  <c r="X1900" i="11"/>
  <c r="U1900" i="11"/>
  <c r="T1900" i="11"/>
  <c r="N1900" i="11"/>
  <c r="AG1900" i="11" s="1"/>
  <c r="AI1906" i="11"/>
  <c r="AH1906" i="11"/>
  <c r="X1906" i="11"/>
  <c r="U1906" i="11"/>
  <c r="T1906" i="11"/>
  <c r="N1906" i="11"/>
  <c r="AE1906" i="11" s="1"/>
  <c r="T1621" i="11" l="1"/>
  <c r="AH1613" i="11"/>
  <c r="T1432" i="11"/>
  <c r="U1432" i="11"/>
  <c r="X1432" i="11"/>
  <c r="AI1432" i="11"/>
  <c r="AH1432" i="11"/>
  <c r="AG1435" i="11"/>
  <c r="AG1434" i="11"/>
  <c r="N1432" i="11"/>
  <c r="AE1429" i="11"/>
  <c r="AE1430" i="11"/>
  <c r="AE1431" i="11"/>
  <c r="AG1450" i="11"/>
  <c r="AI1621" i="11"/>
  <c r="T1904" i="11"/>
  <c r="AH1600" i="11"/>
  <c r="U1618" i="11"/>
  <c r="AI1618" i="11"/>
  <c r="X1621" i="11"/>
  <c r="N1621" i="11"/>
  <c r="AH1621" i="11"/>
  <c r="U1621" i="11"/>
  <c r="X1613" i="11"/>
  <c r="AG1619" i="11"/>
  <c r="AG1620" i="11"/>
  <c r="T1618" i="11"/>
  <c r="U1613" i="11"/>
  <c r="AI1613" i="11"/>
  <c r="X1618" i="11"/>
  <c r="N1618" i="11"/>
  <c r="AH1618" i="11"/>
  <c r="T1613" i="11"/>
  <c r="AE1614" i="11"/>
  <c r="AE1615" i="11"/>
  <c r="AE1616" i="11"/>
  <c r="AE1617" i="11"/>
  <c r="AE1608" i="11"/>
  <c r="AE1605" i="11"/>
  <c r="U1600" i="11"/>
  <c r="AI1600" i="11"/>
  <c r="N1613" i="11"/>
  <c r="U1904" i="11"/>
  <c r="U1596" i="11"/>
  <c r="AE1601" i="11"/>
  <c r="AE1602" i="11"/>
  <c r="AE1603" i="11"/>
  <c r="AE1604" i="11"/>
  <c r="AE1606" i="11"/>
  <c r="AE1607" i="11"/>
  <c r="AE1609" i="11"/>
  <c r="AE1610" i="11"/>
  <c r="AG1611" i="11"/>
  <c r="AG1612" i="11"/>
  <c r="AG1599" i="11"/>
  <c r="X1600" i="11"/>
  <c r="AG1598" i="11"/>
  <c r="AG1597" i="11"/>
  <c r="N1600" i="11"/>
  <c r="T1600" i="11"/>
  <c r="X1596" i="11"/>
  <c r="AI1596" i="11"/>
  <c r="T1623" i="11"/>
  <c r="T1596" i="11"/>
  <c r="N1596" i="11"/>
  <c r="AH1596" i="11"/>
  <c r="AI1904" i="11"/>
  <c r="AG1591" i="11"/>
  <c r="AG1592" i="11"/>
  <c r="AG1593" i="11"/>
  <c r="AG1594" i="11"/>
  <c r="AG1595" i="11"/>
  <c r="AI1623" i="11"/>
  <c r="AH1623" i="11"/>
  <c r="AG1622" i="11"/>
  <c r="N1623" i="11"/>
  <c r="AE1622" i="11"/>
  <c r="X1622" i="11"/>
  <c r="M1623" i="11"/>
  <c r="U1623" i="11" s="1"/>
  <c r="X1904" i="11"/>
  <c r="N1904" i="11"/>
  <c r="AH1904" i="11"/>
  <c r="AE1900" i="11"/>
  <c r="AE1901" i="11"/>
  <c r="AE1902" i="11"/>
  <c r="AE1903" i="11"/>
  <c r="AG1906" i="11"/>
  <c r="W1931" i="11"/>
  <c r="V1931" i="11"/>
  <c r="S1931" i="11"/>
  <c r="R1931" i="11"/>
  <c r="Q1931" i="11"/>
  <c r="P1931" i="11"/>
  <c r="M1931" i="11"/>
  <c r="L1931" i="11"/>
  <c r="F1931" i="11"/>
  <c r="AI1931" i="11" s="1"/>
  <c r="AI1930" i="11"/>
  <c r="AH1930" i="11"/>
  <c r="X1930" i="11"/>
  <c r="U1930" i="11"/>
  <c r="T1930" i="11"/>
  <c r="N1930" i="11"/>
  <c r="AG1930" i="11" s="1"/>
  <c r="AI1929" i="11"/>
  <c r="AH1929" i="11"/>
  <c r="X1929" i="11"/>
  <c r="U1929" i="11"/>
  <c r="T1929" i="11"/>
  <c r="N1929" i="11"/>
  <c r="AG1929" i="11" s="1"/>
  <c r="AI1928" i="11"/>
  <c r="AH1928" i="11"/>
  <c r="X1928" i="11"/>
  <c r="U1928" i="11"/>
  <c r="T1928" i="11"/>
  <c r="N1928" i="11"/>
  <c r="AG1928" i="11" s="1"/>
  <c r="AI1927" i="11"/>
  <c r="AH1927" i="11"/>
  <c r="X1927" i="11"/>
  <c r="U1927" i="11"/>
  <c r="T1927" i="11"/>
  <c r="N1927" i="11"/>
  <c r="AG1927" i="11" s="1"/>
  <c r="AI1926" i="11"/>
  <c r="AH1926" i="11"/>
  <c r="X1926" i="11"/>
  <c r="U1926" i="11"/>
  <c r="T1926" i="11"/>
  <c r="N1926" i="11"/>
  <c r="AG1926" i="11" s="1"/>
  <c r="AI1925" i="11"/>
  <c r="AH1925" i="11"/>
  <c r="X1925" i="11"/>
  <c r="U1925" i="11"/>
  <c r="T1925" i="11"/>
  <c r="N1925" i="11"/>
  <c r="AG1925" i="11" s="1"/>
  <c r="AI1924" i="11"/>
  <c r="AH1924" i="11"/>
  <c r="X1924" i="11"/>
  <c r="U1924" i="11"/>
  <c r="T1924" i="11"/>
  <c r="N1924" i="11"/>
  <c r="AI1935" i="11"/>
  <c r="AH1935" i="11"/>
  <c r="X1935" i="11"/>
  <c r="U1935" i="11"/>
  <c r="T1935" i="11"/>
  <c r="N1935" i="11"/>
  <c r="AG1935" i="11" s="1"/>
  <c r="AI1934" i="11"/>
  <c r="AH1934" i="11"/>
  <c r="X1934" i="11"/>
  <c r="U1934" i="11"/>
  <c r="T1934" i="11"/>
  <c r="N1934" i="11"/>
  <c r="AG1934" i="11" s="1"/>
  <c r="AI1933" i="11"/>
  <c r="AH1933" i="11"/>
  <c r="X1933" i="11"/>
  <c r="U1933" i="11"/>
  <c r="T1933" i="11"/>
  <c r="N1933" i="11"/>
  <c r="AG1933" i="11" s="1"/>
  <c r="AI1790" i="11"/>
  <c r="AH1790" i="11"/>
  <c r="X1790" i="11"/>
  <c r="U1790" i="11"/>
  <c r="T1790" i="11"/>
  <c r="N1790" i="11"/>
  <c r="AE1790" i="11" s="1"/>
  <c r="AI1789" i="11"/>
  <c r="AH1789" i="11"/>
  <c r="X1789" i="11"/>
  <c r="U1789" i="11"/>
  <c r="T1789" i="11"/>
  <c r="N1789" i="11"/>
  <c r="AE1789" i="11" s="1"/>
  <c r="AI1788" i="11"/>
  <c r="AH1788" i="11"/>
  <c r="X1788" i="11"/>
  <c r="U1788" i="11"/>
  <c r="T1788" i="11"/>
  <c r="N1788" i="11"/>
  <c r="AG1788" i="11" s="1"/>
  <c r="W1806" i="11"/>
  <c r="V1806" i="11"/>
  <c r="S1806" i="11"/>
  <c r="R1806" i="11"/>
  <c r="Q1806" i="11"/>
  <c r="P1806" i="11"/>
  <c r="M1806" i="11"/>
  <c r="L1806" i="11"/>
  <c r="F1806" i="11"/>
  <c r="AI1805" i="11"/>
  <c r="AH1805" i="11"/>
  <c r="X1805" i="11"/>
  <c r="U1805" i="11"/>
  <c r="T1805" i="11"/>
  <c r="N1805" i="11"/>
  <c r="AG1805" i="11" s="1"/>
  <c r="AI1804" i="11"/>
  <c r="AH1804" i="11"/>
  <c r="X1804" i="11"/>
  <c r="U1804" i="11"/>
  <c r="T1804" i="11"/>
  <c r="N1804" i="11"/>
  <c r="AG1804" i="11" s="1"/>
  <c r="AI1803" i="11"/>
  <c r="AH1803" i="11"/>
  <c r="X1803" i="11"/>
  <c r="U1803" i="11"/>
  <c r="T1803" i="11"/>
  <c r="N1803" i="11"/>
  <c r="AG1803" i="11" s="1"/>
  <c r="AI1802" i="11"/>
  <c r="AH1802" i="11"/>
  <c r="X1802" i="11"/>
  <c r="U1802" i="11"/>
  <c r="T1802" i="11"/>
  <c r="N1802" i="11"/>
  <c r="AG1802" i="11" s="1"/>
  <c r="AI1801" i="11"/>
  <c r="AH1801" i="11"/>
  <c r="X1801" i="11"/>
  <c r="U1801" i="11"/>
  <c r="T1801" i="11"/>
  <c r="N1801" i="11"/>
  <c r="AG1801" i="11" s="1"/>
  <c r="AI1800" i="11"/>
  <c r="AH1800" i="11"/>
  <c r="X1800" i="11"/>
  <c r="U1800" i="11"/>
  <c r="T1800" i="11"/>
  <c r="N1800" i="11"/>
  <c r="AG1800" i="11" s="1"/>
  <c r="AI1799" i="11"/>
  <c r="AH1799" i="11"/>
  <c r="X1799" i="11"/>
  <c r="U1799" i="11"/>
  <c r="T1799" i="11"/>
  <c r="N1799" i="11"/>
  <c r="AG1799" i="11" s="1"/>
  <c r="AI1798" i="11"/>
  <c r="AH1798" i="11"/>
  <c r="X1798" i="11"/>
  <c r="U1798" i="11"/>
  <c r="T1798" i="11"/>
  <c r="N1798" i="11"/>
  <c r="AG1798" i="11" s="1"/>
  <c r="AI1797" i="11"/>
  <c r="AH1797" i="11"/>
  <c r="X1797" i="11"/>
  <c r="U1797" i="11"/>
  <c r="T1797" i="11"/>
  <c r="N1797" i="11"/>
  <c r="AG1797" i="11" s="1"/>
  <c r="AI1796" i="11"/>
  <c r="AH1796" i="11"/>
  <c r="X1796" i="11"/>
  <c r="U1796" i="11"/>
  <c r="T1796" i="11"/>
  <c r="N1796" i="11"/>
  <c r="AG1796" i="11" s="1"/>
  <c r="AI1795" i="11"/>
  <c r="AH1795" i="11"/>
  <c r="X1795" i="11"/>
  <c r="U1795" i="11"/>
  <c r="T1795" i="11"/>
  <c r="N1795" i="11"/>
  <c r="AG1795" i="11" s="1"/>
  <c r="AI1794" i="11"/>
  <c r="AH1794" i="11"/>
  <c r="X1794" i="11"/>
  <c r="U1794" i="11"/>
  <c r="T1794" i="11"/>
  <c r="N1794" i="11"/>
  <c r="AG1794" i="11" s="1"/>
  <c r="AI1810" i="11"/>
  <c r="AH1810" i="11"/>
  <c r="X1810" i="11"/>
  <c r="U1810" i="11"/>
  <c r="T1810" i="11"/>
  <c r="N1810" i="11"/>
  <c r="AG1810" i="11" s="1"/>
  <c r="AI1809" i="11"/>
  <c r="AH1809" i="11"/>
  <c r="X1809" i="11"/>
  <c r="U1809" i="11"/>
  <c r="T1809" i="11"/>
  <c r="N1809" i="11"/>
  <c r="AG1809" i="11" s="1"/>
  <c r="AI1808" i="11"/>
  <c r="AH1808" i="11"/>
  <c r="X1808" i="11"/>
  <c r="U1808" i="11"/>
  <c r="T1808" i="11"/>
  <c r="N1808" i="11"/>
  <c r="AE1808" i="11" s="1"/>
  <c r="AE1432" i="11" l="1"/>
  <c r="AG1432" i="11"/>
  <c r="AE1621" i="11"/>
  <c r="AG1621" i="11"/>
  <c r="AE1618" i="11"/>
  <c r="AG1618" i="11"/>
  <c r="AE1613" i="11"/>
  <c r="AG1613" i="11"/>
  <c r="AG1600" i="11"/>
  <c r="AE1600" i="11"/>
  <c r="AE1596" i="11"/>
  <c r="AG1596" i="11"/>
  <c r="U1806" i="11"/>
  <c r="X1931" i="11"/>
  <c r="X1623" i="11"/>
  <c r="AE1623" i="11"/>
  <c r="AG1623" i="11"/>
  <c r="T1931" i="11"/>
  <c r="AE1904" i="11"/>
  <c r="AG1904" i="11"/>
  <c r="U1931" i="11"/>
  <c r="AI1806" i="11"/>
  <c r="N1931" i="11"/>
  <c r="AG1931" i="11" s="1"/>
  <c r="AH1806" i="11"/>
  <c r="AH1931" i="11"/>
  <c r="AE1924" i="11"/>
  <c r="AE1925" i="11"/>
  <c r="AE1926" i="11"/>
  <c r="AE1927" i="11"/>
  <c r="AE1928" i="11"/>
  <c r="AE1929" i="11"/>
  <c r="AE1930" i="11"/>
  <c r="AG1924" i="11"/>
  <c r="T1806" i="11"/>
  <c r="AE1935" i="11"/>
  <c r="AE1933" i="11"/>
  <c r="AE1934" i="11"/>
  <c r="N1806" i="11"/>
  <c r="AE1806" i="11" s="1"/>
  <c r="AE1795" i="11"/>
  <c r="AG1790" i="11"/>
  <c r="X1806" i="11"/>
  <c r="AE1803" i="11"/>
  <c r="AE1788" i="11"/>
  <c r="AG1789" i="11"/>
  <c r="AE1794" i="11"/>
  <c r="AE1796" i="11"/>
  <c r="AE1797" i="11"/>
  <c r="AE1798" i="11"/>
  <c r="AE1799" i="11"/>
  <c r="AE1800" i="11"/>
  <c r="AE1801" i="11"/>
  <c r="AE1802" i="11"/>
  <c r="AE1804" i="11"/>
  <c r="AE1805" i="11"/>
  <c r="AG1808" i="11"/>
  <c r="AE1809" i="11"/>
  <c r="AE1810" i="11"/>
  <c r="AE1931" i="11" l="1"/>
  <c r="AG1806" i="11"/>
  <c r="Q26" i="11" l="1"/>
  <c r="Q1035" i="11"/>
  <c r="P534" i="11"/>
  <c r="Q695" i="11"/>
  <c r="M637" i="11"/>
  <c r="Q637" i="11"/>
  <c r="Q638" i="11" s="1"/>
  <c r="M1330" i="11"/>
  <c r="M1516" i="11"/>
  <c r="M904" i="11"/>
  <c r="M566" i="11"/>
  <c r="M695" i="11"/>
  <c r="M806" i="11"/>
  <c r="M622" i="11"/>
  <c r="M820" i="11"/>
  <c r="M326" i="11"/>
  <c r="S605" i="11" l="1"/>
  <c r="T276" i="11"/>
  <c r="S32" i="11"/>
  <c r="AH32" i="11" s="1"/>
  <c r="S2033" i="11"/>
  <c r="S2028" i="11"/>
  <c r="S28" i="11"/>
  <c r="S1131" i="11"/>
  <c r="Q1516" i="11"/>
  <c r="Q1544" i="11"/>
  <c r="Q820" i="11"/>
  <c r="AI32" i="11"/>
  <c r="X32" i="11"/>
  <c r="Q32" i="11"/>
  <c r="Q34" i="11" s="1"/>
  <c r="N32" i="11"/>
  <c r="AG32" i="11" s="1"/>
  <c r="U32" i="11" l="1"/>
  <c r="AE32" i="11"/>
  <c r="T32" i="11"/>
  <c r="W30" i="11"/>
  <c r="S26" i="11"/>
  <c r="S463" i="11" l="1"/>
  <c r="S923" i="11"/>
  <c r="W922" i="11"/>
  <c r="W925" i="11"/>
  <c r="W846" i="11"/>
  <c r="M730" i="11"/>
  <c r="Q730" i="11"/>
  <c r="S730" i="11"/>
  <c r="W730" i="11"/>
  <c r="Q605" i="11" l="1"/>
  <c r="Q2033" i="11"/>
  <c r="Q2028" i="11"/>
  <c r="M1131" i="11"/>
  <c r="M1034" i="11"/>
  <c r="M1580" i="11"/>
  <c r="M1974" i="11"/>
  <c r="Q1519" i="11"/>
  <c r="M2033" i="11"/>
  <c r="M1861" i="11"/>
  <c r="M2028" i="11"/>
  <c r="M1544" i="11"/>
  <c r="M605" i="11"/>
  <c r="S1113" i="11"/>
  <c r="S2086" i="11"/>
  <c r="Q1131" i="11"/>
  <c r="Q28" i="11"/>
  <c r="Q752" i="11"/>
  <c r="W373" i="11"/>
  <c r="V373" i="11"/>
  <c r="S373" i="11"/>
  <c r="R373" i="11"/>
  <c r="Q373" i="11"/>
  <c r="P373" i="11"/>
  <c r="M373" i="11"/>
  <c r="L373" i="11"/>
  <c r="F373" i="11"/>
  <c r="AI372" i="11"/>
  <c r="AH372" i="11"/>
  <c r="X372" i="11"/>
  <c r="X373" i="11" s="1"/>
  <c r="U372" i="11"/>
  <c r="T372" i="11"/>
  <c r="T373" i="11" s="1"/>
  <c r="N372" i="11"/>
  <c r="AG372" i="11" s="1"/>
  <c r="AH373" i="11" l="1"/>
  <c r="U373" i="11"/>
  <c r="AI373" i="11"/>
  <c r="N373" i="11"/>
  <c r="AG373" i="11" s="1"/>
  <c r="AE372" i="11"/>
  <c r="AE373" i="11" l="1"/>
  <c r="V690" i="11" l="1"/>
  <c r="R760" i="11"/>
  <c r="M1113" i="11"/>
  <c r="S298" i="11" l="1"/>
  <c r="Q298" i="11"/>
  <c r="Q972" i="11"/>
  <c r="M1272" i="11"/>
  <c r="M1965" i="11"/>
  <c r="M1582" i="11"/>
  <c r="M1273" i="11"/>
  <c r="M1844" i="11"/>
  <c r="M328" i="11"/>
  <c r="M1719" i="11"/>
  <c r="M1674" i="11"/>
  <c r="N310" i="11"/>
  <c r="AG310" i="11" s="1"/>
  <c r="AI313" i="11"/>
  <c r="AH313" i="11"/>
  <c r="X313" i="11"/>
  <c r="U313" i="11"/>
  <c r="T313" i="11"/>
  <c r="N313" i="11"/>
  <c r="AE313" i="11" s="1"/>
  <c r="AI310" i="11"/>
  <c r="AH310" i="11"/>
  <c r="X310" i="11"/>
  <c r="T310" i="11"/>
  <c r="AI311" i="11"/>
  <c r="AH311" i="11"/>
  <c r="X311" i="11"/>
  <c r="U311" i="11"/>
  <c r="T311" i="11"/>
  <c r="N311" i="11"/>
  <c r="AG311" i="11" s="1"/>
  <c r="M1270" i="11"/>
  <c r="M2010" i="11"/>
  <c r="M736" i="11"/>
  <c r="M802" i="11"/>
  <c r="M753" i="11"/>
  <c r="M972" i="11"/>
  <c r="M973" i="11"/>
  <c r="M1155" i="11"/>
  <c r="M1045" i="11"/>
  <c r="S1694" i="11"/>
  <c r="Q922" i="11"/>
  <c r="S2251" i="11"/>
  <c r="Q757" i="11"/>
  <c r="S757" i="11"/>
  <c r="S1972" i="11"/>
  <c r="M1099" i="11"/>
  <c r="Q1099" i="11"/>
  <c r="Q1556" i="11"/>
  <c r="S1155" i="11"/>
  <c r="S756" i="11"/>
  <c r="S846" i="11"/>
  <c r="S1686" i="11"/>
  <c r="Q1154" i="11"/>
  <c r="Q1844" i="11"/>
  <c r="Q1965" i="11"/>
  <c r="Q1270" i="11"/>
  <c r="Q802" i="11"/>
  <c r="Q2010" i="11"/>
  <c r="Q1273" i="11"/>
  <c r="AI31" i="11"/>
  <c r="AH31" i="11"/>
  <c r="X31" i="11"/>
  <c r="U31" i="11"/>
  <c r="T31" i="11"/>
  <c r="N31" i="11"/>
  <c r="AG31" i="11" s="1"/>
  <c r="Q1557" i="11"/>
  <c r="AG313" i="11" l="1"/>
  <c r="U310" i="11"/>
  <c r="AE310" i="11"/>
  <c r="AE311" i="11"/>
  <c r="AE31" i="11"/>
  <c r="Q1155" i="11"/>
  <c r="Q753" i="11"/>
  <c r="Q1113" i="11"/>
  <c r="Q1871" i="11" l="1"/>
  <c r="S1006" i="11"/>
  <c r="S746" i="11"/>
  <c r="Q1862" i="11"/>
  <c r="Q1898" i="11"/>
  <c r="AI1393" i="11" l="1"/>
  <c r="AH1393" i="11"/>
  <c r="X1393" i="11"/>
  <c r="U1393" i="11"/>
  <c r="T1393" i="11"/>
  <c r="N1393" i="11"/>
  <c r="AG1393" i="11" s="1"/>
  <c r="AI1392" i="11"/>
  <c r="AH1392" i="11"/>
  <c r="X1392" i="11"/>
  <c r="U1392" i="11"/>
  <c r="T1392" i="11"/>
  <c r="N1392" i="11"/>
  <c r="AE1392" i="11" s="1"/>
  <c r="AG1392" i="11" l="1"/>
  <c r="AE1393" i="11"/>
  <c r="M257" i="11"/>
  <c r="M1310" i="11"/>
  <c r="S539" i="11"/>
  <c r="W462" i="11"/>
  <c r="W1107" i="11"/>
  <c r="W1209" i="11"/>
  <c r="W1204" i="11"/>
  <c r="W1200" i="11"/>
  <c r="W1201" i="11"/>
  <c r="W1196" i="11"/>
  <c r="Q554" i="11"/>
  <c r="M1915" i="11" l="1"/>
  <c r="M801" i="11"/>
  <c r="M751" i="11"/>
  <c r="M463" i="11"/>
  <c r="M779" i="11"/>
  <c r="M822" i="11"/>
  <c r="M783" i="11"/>
  <c r="M554" i="11"/>
  <c r="M923" i="11"/>
  <c r="M539" i="11"/>
  <c r="AI27" i="11"/>
  <c r="AH27" i="11"/>
  <c r="Q27" i="11"/>
  <c r="U27" i="11" s="1"/>
  <c r="M27" i="11"/>
  <c r="X27" i="11" s="1"/>
  <c r="M66" i="11"/>
  <c r="M1421" i="11"/>
  <c r="M1999" i="11"/>
  <c r="M1212" i="11"/>
  <c r="M821" i="11"/>
  <c r="M1557" i="11"/>
  <c r="S423" i="11"/>
  <c r="Q801" i="11"/>
  <c r="Q923" i="11"/>
  <c r="Q783" i="11"/>
  <c r="Q751" i="11"/>
  <c r="Q463" i="11"/>
  <c r="T27" i="11" l="1"/>
  <c r="N27" i="11"/>
  <c r="AG27" i="11" s="1"/>
  <c r="AE27" i="11" l="1"/>
  <c r="S538" i="11"/>
  <c r="S542" i="11"/>
  <c r="S925" i="11"/>
  <c r="S1065" i="11"/>
  <c r="S1966" i="11"/>
  <c r="Q1922" i="11"/>
  <c r="Q779" i="11"/>
  <c r="M1215" i="11"/>
  <c r="M1190" i="11"/>
  <c r="M1585" i="11"/>
  <c r="M1209" i="11"/>
  <c r="Q1006" i="11"/>
  <c r="M1006" i="11"/>
  <c r="M1201" i="11"/>
  <c r="M759" i="11"/>
  <c r="M2251" i="11"/>
  <c r="M1375" i="11"/>
  <c r="M1556" i="11"/>
  <c r="Q2251" i="11" l="1"/>
  <c r="Q2252" i="11" s="1"/>
  <c r="Q1920" i="11"/>
  <c r="Q29" i="11"/>
  <c r="Q1190" i="11"/>
  <c r="Q759" i="11"/>
  <c r="Q539" i="11"/>
  <c r="Q891" i="11"/>
  <c r="P29" i="11"/>
  <c r="R29" i="11"/>
  <c r="S29" i="11"/>
  <c r="V29" i="11"/>
  <c r="W29" i="11"/>
  <c r="L29" i="11"/>
  <c r="U26" i="11"/>
  <c r="M26" i="11"/>
  <c r="M29" i="11" s="1"/>
  <c r="F26" i="11"/>
  <c r="AH26" i="11" s="1"/>
  <c r="X26" i="11" l="1"/>
  <c r="AI26" i="11"/>
  <c r="N26" i="11"/>
  <c r="AG26" i="11" s="1"/>
  <c r="F29" i="11"/>
  <c r="T26" i="11"/>
  <c r="AE26" i="11" l="1"/>
  <c r="W538" i="11"/>
  <c r="W1085" i="11"/>
  <c r="M318" i="11"/>
  <c r="Q538" i="11"/>
  <c r="M538" i="11"/>
  <c r="M163" i="11"/>
  <c r="M761" i="11"/>
  <c r="M791" i="11"/>
  <c r="M1204" i="11"/>
  <c r="M2231" i="11"/>
  <c r="M376" i="11"/>
  <c r="M1675" i="11"/>
  <c r="M320" i="11"/>
  <c r="M319" i="11"/>
  <c r="M34" i="11"/>
  <c r="P34" i="11"/>
  <c r="R34" i="11"/>
  <c r="S34" i="11"/>
  <c r="V34" i="11"/>
  <c r="W34" i="11"/>
  <c r="L34" i="11"/>
  <c r="F34" i="11"/>
  <c r="AI30" i="11"/>
  <c r="AH30" i="11"/>
  <c r="X30" i="11"/>
  <c r="U30" i="11"/>
  <c r="T30" i="11"/>
  <c r="N30" i="11"/>
  <c r="AE30" i="11" s="1"/>
  <c r="W1305" i="11"/>
  <c r="V1305" i="11"/>
  <c r="S1305" i="11"/>
  <c r="R1305" i="11"/>
  <c r="Q1305" i="11"/>
  <c r="P1305" i="11"/>
  <c r="M1305" i="11"/>
  <c r="L1305" i="11"/>
  <c r="F1305" i="11"/>
  <c r="AI1304" i="11"/>
  <c r="AH1304" i="11"/>
  <c r="X1304" i="11"/>
  <c r="U1304" i="11"/>
  <c r="T1304" i="11"/>
  <c r="N1304" i="11"/>
  <c r="AE1304" i="11" s="1"/>
  <c r="AI1303" i="11"/>
  <c r="AH1303" i="11"/>
  <c r="X1303" i="11"/>
  <c r="U1303" i="11"/>
  <c r="T1303" i="11"/>
  <c r="N1303" i="11"/>
  <c r="AE1303" i="11" s="1"/>
  <c r="AI1302" i="11"/>
  <c r="AH1302" i="11"/>
  <c r="X1302" i="11"/>
  <c r="U1302" i="11"/>
  <c r="T1302" i="11"/>
  <c r="N1302" i="11"/>
  <c r="AE1302" i="11" s="1"/>
  <c r="W1301" i="11"/>
  <c r="V1301" i="11"/>
  <c r="S1301" i="11"/>
  <c r="R1301" i="11"/>
  <c r="Q1301" i="11"/>
  <c r="P1301" i="11"/>
  <c r="M1301" i="11"/>
  <c r="L1301" i="11"/>
  <c r="F1301" i="11"/>
  <c r="AI1300" i="11"/>
  <c r="AH1300" i="11"/>
  <c r="X1300" i="11"/>
  <c r="U1300" i="11"/>
  <c r="T1300" i="11"/>
  <c r="N1300" i="11"/>
  <c r="AG1300" i="11" s="1"/>
  <c r="AI1299" i="11"/>
  <c r="AH1299" i="11"/>
  <c r="X1299" i="11"/>
  <c r="U1299" i="11"/>
  <c r="T1299" i="11"/>
  <c r="N1299" i="11"/>
  <c r="AG1299" i="11" s="1"/>
  <c r="AI1298" i="11"/>
  <c r="AH1298" i="11"/>
  <c r="X1298" i="11"/>
  <c r="U1298" i="11"/>
  <c r="T1298" i="11"/>
  <c r="N1298" i="11"/>
  <c r="AG1298" i="11" s="1"/>
  <c r="W1534" i="11"/>
  <c r="V1534" i="11"/>
  <c r="S1534" i="11"/>
  <c r="R1534" i="11"/>
  <c r="Q1534" i="11"/>
  <c r="P1534" i="11"/>
  <c r="M1534" i="11"/>
  <c r="L1534" i="11"/>
  <c r="F1534" i="11"/>
  <c r="AI1533" i="11"/>
  <c r="AH1533" i="11"/>
  <c r="X1533" i="11"/>
  <c r="X1534" i="11" s="1"/>
  <c r="U1533" i="11"/>
  <c r="T1533" i="11"/>
  <c r="T1534" i="11" s="1"/>
  <c r="N1533" i="11"/>
  <c r="AE1533" i="11" s="1"/>
  <c r="W1537" i="11"/>
  <c r="V1537" i="11"/>
  <c r="S1537" i="11"/>
  <c r="R1537" i="11"/>
  <c r="Q1537" i="11"/>
  <c r="P1537" i="11"/>
  <c r="M1537" i="11"/>
  <c r="L1537" i="11"/>
  <c r="F1537" i="11"/>
  <c r="AI1536" i="11"/>
  <c r="AH1536" i="11"/>
  <c r="X1536" i="11"/>
  <c r="U1536" i="11"/>
  <c r="T1536" i="11"/>
  <c r="N1536" i="11"/>
  <c r="AG1536" i="11" s="1"/>
  <c r="AI1535" i="11"/>
  <c r="AH1535" i="11"/>
  <c r="X1535" i="11"/>
  <c r="U1535" i="11"/>
  <c r="T1535" i="11"/>
  <c r="N1535" i="11"/>
  <c r="AG1535" i="11" s="1"/>
  <c r="W1540" i="11"/>
  <c r="V1540" i="11"/>
  <c r="S1540" i="11"/>
  <c r="R1540" i="11"/>
  <c r="Q1540" i="11"/>
  <c r="P1540" i="11"/>
  <c r="L1540" i="11"/>
  <c r="F1540" i="11"/>
  <c r="AI1539" i="11"/>
  <c r="AH1539" i="11"/>
  <c r="U1539" i="11"/>
  <c r="T1539" i="11"/>
  <c r="N1539" i="11"/>
  <c r="AI1538" i="11"/>
  <c r="AH1538" i="11"/>
  <c r="T1538" i="11"/>
  <c r="U1538" i="11"/>
  <c r="W1297" i="11"/>
  <c r="V1297" i="11"/>
  <c r="S1297" i="11"/>
  <c r="R1297" i="11"/>
  <c r="Q1297" i="11"/>
  <c r="P1297" i="11"/>
  <c r="M1297" i="11"/>
  <c r="L1297" i="11"/>
  <c r="F1297" i="11"/>
  <c r="AI1296" i="11"/>
  <c r="AH1296" i="11"/>
  <c r="X1296" i="11"/>
  <c r="U1296" i="11"/>
  <c r="T1296" i="11"/>
  <c r="N1296" i="11"/>
  <c r="AE1296" i="11" s="1"/>
  <c r="AI1295" i="11"/>
  <c r="AH1295" i="11"/>
  <c r="X1295" i="11"/>
  <c r="U1295" i="11"/>
  <c r="T1295" i="11"/>
  <c r="N1295" i="11"/>
  <c r="AE1295" i="11" s="1"/>
  <c r="AI1294" i="11"/>
  <c r="AH1294" i="11"/>
  <c r="X1294" i="11"/>
  <c r="U1294" i="11"/>
  <c r="T1294" i="11"/>
  <c r="N1294" i="11"/>
  <c r="AE1294" i="11" s="1"/>
  <c r="W371" i="11"/>
  <c r="V371" i="11"/>
  <c r="S371" i="11"/>
  <c r="R371" i="11"/>
  <c r="Q371" i="11"/>
  <c r="P371" i="11"/>
  <c r="M371" i="11"/>
  <c r="L371" i="11"/>
  <c r="F371" i="11"/>
  <c r="AI370" i="11"/>
  <c r="AH370" i="11"/>
  <c r="X370" i="11"/>
  <c r="X371" i="11" s="1"/>
  <c r="U370" i="11"/>
  <c r="T370" i="11"/>
  <c r="T371" i="11" s="1"/>
  <c r="N370" i="11"/>
  <c r="AE370" i="11" s="1"/>
  <c r="W359" i="11"/>
  <c r="V359" i="11"/>
  <c r="S359" i="11"/>
  <c r="R359" i="11"/>
  <c r="Q359" i="11"/>
  <c r="P359" i="11"/>
  <c r="M359" i="11"/>
  <c r="L359" i="11"/>
  <c r="F359" i="11"/>
  <c r="AI358" i="11"/>
  <c r="AH358" i="11"/>
  <c r="X358" i="11"/>
  <c r="X359" i="11" s="1"/>
  <c r="U358" i="11"/>
  <c r="T358" i="11"/>
  <c r="T359" i="11" s="1"/>
  <c r="N358" i="11"/>
  <c r="AG358" i="11" s="1"/>
  <c r="W361" i="11"/>
  <c r="V361" i="11"/>
  <c r="S361" i="11"/>
  <c r="R361" i="11"/>
  <c r="Q361" i="11"/>
  <c r="P361" i="11"/>
  <c r="M361" i="11"/>
  <c r="L361" i="11"/>
  <c r="F361" i="11"/>
  <c r="AI360" i="11"/>
  <c r="AH360" i="11"/>
  <c r="X360" i="11"/>
  <c r="X361" i="11" s="1"/>
  <c r="U360" i="11"/>
  <c r="T360" i="11"/>
  <c r="T361" i="11" s="1"/>
  <c r="N360" i="11"/>
  <c r="N361" i="11" s="1"/>
  <c r="W357" i="11"/>
  <c r="V357" i="11"/>
  <c r="S357" i="11"/>
  <c r="R357" i="11"/>
  <c r="Q357" i="11"/>
  <c r="P357" i="11"/>
  <c r="M357" i="11"/>
  <c r="L357" i="11"/>
  <c r="F357" i="11"/>
  <c r="AI356" i="11"/>
  <c r="AH356" i="11"/>
  <c r="X356" i="11"/>
  <c r="X357" i="11" s="1"/>
  <c r="U356" i="11"/>
  <c r="T356" i="11"/>
  <c r="T357" i="11" s="1"/>
  <c r="N356" i="11"/>
  <c r="AG356" i="11" s="1"/>
  <c r="W365" i="11"/>
  <c r="V365" i="11"/>
  <c r="S365" i="11"/>
  <c r="R365" i="11"/>
  <c r="Q365" i="11"/>
  <c r="P365" i="11"/>
  <c r="M365" i="11"/>
  <c r="L365" i="11"/>
  <c r="F365" i="11"/>
  <c r="AI364" i="11"/>
  <c r="AH364" i="11"/>
  <c r="X364" i="11"/>
  <c r="X365" i="11" s="1"/>
  <c r="U364" i="11"/>
  <c r="T364" i="11"/>
  <c r="T365" i="11" s="1"/>
  <c r="N364" i="11"/>
  <c r="AE364" i="11" s="1"/>
  <c r="W367" i="11"/>
  <c r="V367" i="11"/>
  <c r="S367" i="11"/>
  <c r="R367" i="11"/>
  <c r="Q367" i="11"/>
  <c r="P367" i="11"/>
  <c r="M367" i="11"/>
  <c r="L367" i="11"/>
  <c r="F367" i="11"/>
  <c r="AI366" i="11"/>
  <c r="AH366" i="11"/>
  <c r="X366" i="11"/>
  <c r="X367" i="11" s="1"/>
  <c r="U366" i="11"/>
  <c r="T366" i="11"/>
  <c r="T367" i="11" s="1"/>
  <c r="N366" i="11"/>
  <c r="AG366" i="11" s="1"/>
  <c r="W369" i="11"/>
  <c r="V369" i="11"/>
  <c r="S369" i="11"/>
  <c r="R369" i="11"/>
  <c r="Q369" i="11"/>
  <c r="P369" i="11"/>
  <c r="M369" i="11"/>
  <c r="L369" i="11"/>
  <c r="F369" i="11"/>
  <c r="AI368" i="11"/>
  <c r="AH368" i="11"/>
  <c r="X368" i="11"/>
  <c r="X369" i="11" s="1"/>
  <c r="U368" i="11"/>
  <c r="T368" i="11"/>
  <c r="T369" i="11" s="1"/>
  <c r="N368" i="11"/>
  <c r="AG368" i="11" s="1"/>
  <c r="W363" i="11"/>
  <c r="V363" i="11"/>
  <c r="S363" i="11"/>
  <c r="R363" i="11"/>
  <c r="Q363" i="11"/>
  <c r="P363" i="11"/>
  <c r="M363" i="11"/>
  <c r="L363" i="11"/>
  <c r="F363" i="11"/>
  <c r="AI362" i="11"/>
  <c r="AH362" i="11"/>
  <c r="X362" i="11"/>
  <c r="X363" i="11" s="1"/>
  <c r="U362" i="11"/>
  <c r="T362" i="11"/>
  <c r="T363" i="11" s="1"/>
  <c r="N362" i="11"/>
  <c r="AG362" i="11" s="1"/>
  <c r="AI344" i="11"/>
  <c r="AH344" i="11"/>
  <c r="X344" i="11"/>
  <c r="U344" i="11"/>
  <c r="T344" i="11"/>
  <c r="N344" i="11"/>
  <c r="AG344" i="11" s="1"/>
  <c r="W342" i="11"/>
  <c r="V342" i="11"/>
  <c r="S342" i="11"/>
  <c r="R342" i="11"/>
  <c r="Q342" i="11"/>
  <c r="P342" i="11"/>
  <c r="M342" i="11"/>
  <c r="L342" i="11"/>
  <c r="F342" i="11"/>
  <c r="AI342" i="11" s="1"/>
  <c r="AI341" i="11"/>
  <c r="AH341" i="11"/>
  <c r="X341" i="11"/>
  <c r="U341" i="11"/>
  <c r="T341" i="11"/>
  <c r="N341" i="11"/>
  <c r="AG341" i="11" s="1"/>
  <c r="AI340" i="11"/>
  <c r="AH340" i="11"/>
  <c r="X340" i="11"/>
  <c r="U340" i="11"/>
  <c r="T340" i="11"/>
  <c r="N340" i="11"/>
  <c r="F1851" i="11"/>
  <c r="AI1853" i="11"/>
  <c r="AH1853" i="11"/>
  <c r="X1853" i="11"/>
  <c r="U1853" i="11"/>
  <c r="T1853" i="11"/>
  <c r="N1853" i="11"/>
  <c r="AE1853" i="11" s="1"/>
  <c r="Q761" i="11"/>
  <c r="F762" i="11"/>
  <c r="F761" i="11"/>
  <c r="AI361" i="11" l="1"/>
  <c r="T1540" i="11"/>
  <c r="U369" i="11"/>
  <c r="U361" i="11"/>
  <c r="T1537" i="11"/>
  <c r="AH365" i="11"/>
  <c r="U342" i="11"/>
  <c r="U363" i="11"/>
  <c r="U359" i="11"/>
  <c r="T1301" i="11"/>
  <c r="N369" i="11"/>
  <c r="AG369" i="11" s="1"/>
  <c r="U1305" i="11"/>
  <c r="AH357" i="11"/>
  <c r="AH1297" i="11"/>
  <c r="U1537" i="11"/>
  <c r="AH1301" i="11"/>
  <c r="T1305" i="11"/>
  <c r="N1305" i="11"/>
  <c r="AE1305" i="11" s="1"/>
  <c r="AH1305" i="11"/>
  <c r="AG30" i="11"/>
  <c r="AH367" i="11"/>
  <c r="AI357" i="11"/>
  <c r="U1301" i="11"/>
  <c r="AI1301" i="11"/>
  <c r="X1305" i="11"/>
  <c r="AI1305" i="11"/>
  <c r="AE369" i="11"/>
  <c r="AH369" i="11"/>
  <c r="U371" i="11"/>
  <c r="U1534" i="11"/>
  <c r="N1301" i="11"/>
  <c r="X1301" i="11"/>
  <c r="AG1302" i="11"/>
  <c r="AG1303" i="11"/>
  <c r="AG1304" i="11"/>
  <c r="AE1298" i="11"/>
  <c r="AE1299" i="11"/>
  <c r="AE1300" i="11"/>
  <c r="N357" i="11"/>
  <c r="AI1534" i="11"/>
  <c r="AH342" i="11"/>
  <c r="AH361" i="11"/>
  <c r="AI359" i="11"/>
  <c r="U1297" i="11"/>
  <c r="U367" i="11"/>
  <c r="U365" i="11"/>
  <c r="AI365" i="11"/>
  <c r="U357" i="11"/>
  <c r="AH359" i="11"/>
  <c r="X1537" i="11"/>
  <c r="N1534" i="11"/>
  <c r="AH1534" i="11"/>
  <c r="N367" i="11"/>
  <c r="AE367" i="11" s="1"/>
  <c r="AI1297" i="11"/>
  <c r="AG1533" i="11"/>
  <c r="AI1537" i="11"/>
  <c r="N1537" i="11"/>
  <c r="AH1537" i="11"/>
  <c r="AE1535" i="11"/>
  <c r="AE1536" i="11"/>
  <c r="AH1540" i="11"/>
  <c r="AI1540" i="11"/>
  <c r="AG1539" i="11"/>
  <c r="AE1539" i="11"/>
  <c r="X1538" i="11"/>
  <c r="M1540" i="11"/>
  <c r="U1540" i="11" s="1"/>
  <c r="X1297" i="11"/>
  <c r="AG1295" i="11"/>
  <c r="N1538" i="11"/>
  <c r="X1539" i="11"/>
  <c r="AG1294" i="11"/>
  <c r="T1297" i="11"/>
  <c r="AG1296" i="11"/>
  <c r="N1297" i="11"/>
  <c r="AG370" i="11"/>
  <c r="AH371" i="11"/>
  <c r="AI371" i="11"/>
  <c r="N371" i="11"/>
  <c r="N359" i="11"/>
  <c r="AE358" i="11"/>
  <c r="AG361" i="11"/>
  <c r="AE361" i="11"/>
  <c r="AE360" i="11"/>
  <c r="AG360" i="11"/>
  <c r="AH363" i="11"/>
  <c r="AE356" i="11"/>
  <c r="AG364" i="11"/>
  <c r="N365" i="11"/>
  <c r="AI367" i="11"/>
  <c r="AE366" i="11"/>
  <c r="AI369" i="11"/>
  <c r="AE368" i="11"/>
  <c r="N363" i="11"/>
  <c r="AI363" i="11"/>
  <c r="X342" i="11"/>
  <c r="T342" i="11"/>
  <c r="AE362" i="11"/>
  <c r="N342" i="11"/>
  <c r="AG342" i="11" s="1"/>
  <c r="AE344" i="11"/>
  <c r="AE340" i="11"/>
  <c r="AE341" i="11"/>
  <c r="AG340" i="11"/>
  <c r="AG1853" i="11"/>
  <c r="AG1305" i="11" l="1"/>
  <c r="AE1301" i="11"/>
  <c r="AG1301" i="11"/>
  <c r="AG367" i="11"/>
  <c r="AE1534" i="11"/>
  <c r="AG1534" i="11"/>
  <c r="AE357" i="11"/>
  <c r="AG357" i="11"/>
  <c r="AE1537" i="11"/>
  <c r="AG1537" i="11"/>
  <c r="X1540" i="11"/>
  <c r="AG1538" i="11"/>
  <c r="N1540" i="11"/>
  <c r="AE1538" i="11"/>
  <c r="AE1297" i="11"/>
  <c r="AG1297" i="11"/>
  <c r="AG371" i="11"/>
  <c r="AE371" i="11"/>
  <c r="AE359" i="11"/>
  <c r="AG359" i="11"/>
  <c r="AG365" i="11"/>
  <c r="AE365" i="11"/>
  <c r="AE363" i="11"/>
  <c r="AG363" i="11"/>
  <c r="AE342" i="11"/>
  <c r="AG1540" i="11" l="1"/>
  <c r="AE1540" i="11"/>
  <c r="Q1065" i="11" l="1"/>
  <c r="Q791" i="11"/>
  <c r="Q592" i="11"/>
  <c r="Q433" i="11"/>
  <c r="W355" i="11"/>
  <c r="V355" i="11"/>
  <c r="S355" i="11"/>
  <c r="R355" i="11"/>
  <c r="Q355" i="11"/>
  <c r="P355" i="11"/>
  <c r="M355" i="11"/>
  <c r="L355" i="11"/>
  <c r="F355" i="11"/>
  <c r="AI354" i="11"/>
  <c r="AH354" i="11"/>
  <c r="X354" i="11"/>
  <c r="X355" i="11" s="1"/>
  <c r="U354" i="11"/>
  <c r="T354" i="11"/>
  <c r="T355" i="11" s="1"/>
  <c r="N354" i="11"/>
  <c r="AE354" i="11" s="1"/>
  <c r="W339" i="11"/>
  <c r="V339" i="11"/>
  <c r="S339" i="11"/>
  <c r="R339" i="11"/>
  <c r="Q339" i="11"/>
  <c r="P339" i="11"/>
  <c r="M339" i="11"/>
  <c r="L339" i="11"/>
  <c r="F339" i="11"/>
  <c r="AI338" i="11"/>
  <c r="AH338" i="11"/>
  <c r="X338" i="11"/>
  <c r="U338" i="11"/>
  <c r="T338" i="11"/>
  <c r="N338" i="11"/>
  <c r="AG338" i="11" s="1"/>
  <c r="AI337" i="11"/>
  <c r="AH337" i="11"/>
  <c r="X337" i="11"/>
  <c r="U337" i="11"/>
  <c r="T337" i="11"/>
  <c r="N337" i="11"/>
  <c r="AG337" i="11" s="1"/>
  <c r="AI336" i="11"/>
  <c r="AH336" i="11"/>
  <c r="X336" i="11"/>
  <c r="U336" i="11"/>
  <c r="T336" i="11"/>
  <c r="N336" i="11"/>
  <c r="AG336" i="11" s="1"/>
  <c r="W335" i="11"/>
  <c r="V335" i="11"/>
  <c r="S335" i="11"/>
  <c r="R335" i="11"/>
  <c r="Q335" i="11"/>
  <c r="P335" i="11"/>
  <c r="M335" i="11"/>
  <c r="L335" i="11"/>
  <c r="F335" i="11"/>
  <c r="AI334" i="11"/>
  <c r="AH334" i="11"/>
  <c r="X334" i="11"/>
  <c r="U334" i="11"/>
  <c r="T334" i="11"/>
  <c r="N334" i="11"/>
  <c r="AG334" i="11" s="1"/>
  <c r="AI333" i="11"/>
  <c r="AH333" i="11"/>
  <c r="X333" i="11"/>
  <c r="U333" i="11"/>
  <c r="T333" i="11"/>
  <c r="N333" i="11"/>
  <c r="AG333" i="11" s="1"/>
  <c r="AI332" i="11"/>
  <c r="AH332" i="11"/>
  <c r="X332" i="11"/>
  <c r="U332" i="11"/>
  <c r="T332" i="11"/>
  <c r="N332" i="11"/>
  <c r="AG332" i="11" s="1"/>
  <c r="W346" i="11"/>
  <c r="V346" i="11"/>
  <c r="S346" i="11"/>
  <c r="R346" i="11"/>
  <c r="Q346" i="11"/>
  <c r="P346" i="11"/>
  <c r="L346" i="11"/>
  <c r="F346" i="11"/>
  <c r="AI345" i="11"/>
  <c r="AH345" i="11"/>
  <c r="X345" i="11"/>
  <c r="U345" i="11"/>
  <c r="T345" i="11"/>
  <c r="N345" i="11"/>
  <c r="AG345" i="11" s="1"/>
  <c r="AI343" i="11"/>
  <c r="AH343" i="11"/>
  <c r="X343" i="11"/>
  <c r="U343" i="11"/>
  <c r="T343" i="11"/>
  <c r="N343" i="11"/>
  <c r="AG343" i="11" s="1"/>
  <c r="AI1857" i="11"/>
  <c r="AH1857" i="11"/>
  <c r="X1857" i="11"/>
  <c r="U1857" i="11"/>
  <c r="T1857" i="11"/>
  <c r="N1857" i="11"/>
  <c r="AG1857" i="11" s="1"/>
  <c r="AI1856" i="11"/>
  <c r="AH1856" i="11"/>
  <c r="X1856" i="11"/>
  <c r="U1856" i="11"/>
  <c r="T1856" i="11"/>
  <c r="N1856" i="11"/>
  <c r="AG1856" i="11" s="1"/>
  <c r="AI1858" i="11"/>
  <c r="AH1858" i="11"/>
  <c r="X1858" i="11"/>
  <c r="U1858" i="11"/>
  <c r="T1858" i="11"/>
  <c r="N1858" i="11"/>
  <c r="AE1858" i="11" s="1"/>
  <c r="U355" i="11" l="1"/>
  <c r="AI346" i="11"/>
  <c r="AH339" i="11"/>
  <c r="T339" i="11"/>
  <c r="U339" i="11"/>
  <c r="AI339" i="11"/>
  <c r="U335" i="11"/>
  <c r="X335" i="11"/>
  <c r="AG354" i="11"/>
  <c r="AH355" i="11"/>
  <c r="AI355" i="11"/>
  <c r="N355" i="11"/>
  <c r="X339" i="11"/>
  <c r="N339" i="11"/>
  <c r="T335" i="11"/>
  <c r="AE336" i="11"/>
  <c r="AE337" i="11"/>
  <c r="AE338" i="11"/>
  <c r="AI335" i="11"/>
  <c r="AH335" i="11"/>
  <c r="N335" i="11"/>
  <c r="AE332" i="11"/>
  <c r="AE333" i="11"/>
  <c r="AE334" i="11"/>
  <c r="T346" i="11"/>
  <c r="AH346" i="11"/>
  <c r="M346" i="11"/>
  <c r="U346" i="11" s="1"/>
  <c r="AE343" i="11"/>
  <c r="AE345" i="11"/>
  <c r="AG1858" i="11"/>
  <c r="AE1856" i="11"/>
  <c r="AE1857" i="11"/>
  <c r="AE355" i="11" l="1"/>
  <c r="AG355" i="11"/>
  <c r="AE339" i="11"/>
  <c r="AG339" i="11"/>
  <c r="AE335" i="11"/>
  <c r="AG335" i="11"/>
  <c r="X346" i="11"/>
  <c r="N346" i="11"/>
  <c r="AE346" i="11" l="1"/>
  <c r="AG346" i="11"/>
  <c r="L1968" i="11" l="1"/>
  <c r="M1200" i="11" l="1"/>
  <c r="S2023" i="11"/>
  <c r="S739" i="11"/>
  <c r="M433" i="11"/>
  <c r="M317" i="11"/>
  <c r="M316" i="11"/>
  <c r="M1323" i="11"/>
  <c r="M1967" i="11"/>
  <c r="M1456" i="11"/>
  <c r="Q778" i="11" l="1"/>
  <c r="Q1967" i="11"/>
  <c r="Q576" i="11"/>
  <c r="M1329" i="11" l="1"/>
  <c r="AI1866" i="11" l="1"/>
  <c r="AH1866" i="11"/>
  <c r="X1866" i="11"/>
  <c r="U1866" i="11"/>
  <c r="T1866" i="11"/>
  <c r="N1866" i="11"/>
  <c r="AG1866" i="11" s="1"/>
  <c r="AI1865" i="11"/>
  <c r="AH1865" i="11"/>
  <c r="X1865" i="11"/>
  <c r="U1865" i="11"/>
  <c r="T1865" i="11"/>
  <c r="N1865" i="11"/>
  <c r="AG1865" i="11" s="1"/>
  <c r="AI1867" i="11"/>
  <c r="AH1867" i="11"/>
  <c r="X1867" i="11"/>
  <c r="U1867" i="11"/>
  <c r="T1867" i="11"/>
  <c r="N1867" i="11"/>
  <c r="AG1867" i="11" s="1"/>
  <c r="AI1909" i="11"/>
  <c r="AH1909" i="11"/>
  <c r="X1909" i="11"/>
  <c r="U1909" i="11"/>
  <c r="T1909" i="11"/>
  <c r="N1909" i="11"/>
  <c r="AG1909" i="11" s="1"/>
  <c r="S2071" i="11"/>
  <c r="S2181" i="11"/>
  <c r="S485" i="11"/>
  <c r="Q1015" i="11"/>
  <c r="M276" i="11"/>
  <c r="M1938" i="11"/>
  <c r="M1324" i="11"/>
  <c r="M1468" i="11"/>
  <c r="M1383" i="11"/>
  <c r="M887" i="11"/>
  <c r="M576" i="11"/>
  <c r="M1196" i="11"/>
  <c r="M1161" i="11"/>
  <c r="M1053" i="11"/>
  <c r="M1015" i="11"/>
  <c r="M1553" i="11"/>
  <c r="W485" i="11"/>
  <c r="W787" i="11"/>
  <c r="S674" i="11"/>
  <c r="S2147" i="11"/>
  <c r="W2147" i="11"/>
  <c r="M2089" i="11"/>
  <c r="Q2089" i="11"/>
  <c r="S2089" i="11"/>
  <c r="W1386" i="11"/>
  <c r="W1383" i="11"/>
  <c r="AE1865" i="11" l="1"/>
  <c r="AE1866" i="11"/>
  <c r="AE1867" i="11"/>
  <c r="AE1909" i="11"/>
  <c r="AI1992" i="11" l="1"/>
  <c r="AH1992" i="11"/>
  <c r="X1992" i="11"/>
  <c r="U1992" i="11"/>
  <c r="T1992" i="11"/>
  <c r="N1992" i="11"/>
  <c r="AG1992" i="11" s="1"/>
  <c r="AI1991" i="11"/>
  <c r="AH1991" i="11"/>
  <c r="X1991" i="11"/>
  <c r="U1991" i="11"/>
  <c r="T1991" i="11"/>
  <c r="N1991" i="11"/>
  <c r="AG1991" i="11" s="1"/>
  <c r="AI1990" i="11"/>
  <c r="AH1990" i="11"/>
  <c r="X1990" i="11"/>
  <c r="U1990" i="11"/>
  <c r="T1990" i="11"/>
  <c r="N1990" i="11"/>
  <c r="AG1990" i="11" s="1"/>
  <c r="AI1989" i="11"/>
  <c r="AH1989" i="11"/>
  <c r="X1989" i="11"/>
  <c r="U1989" i="11"/>
  <c r="T1989" i="11"/>
  <c r="N1989" i="11"/>
  <c r="AG1989" i="11" s="1"/>
  <c r="AI1994" i="11"/>
  <c r="AH1994" i="11"/>
  <c r="X1994" i="11"/>
  <c r="U1994" i="11"/>
  <c r="T1994" i="11"/>
  <c r="N1994" i="11"/>
  <c r="AG1994" i="11" s="1"/>
  <c r="AI1993" i="11"/>
  <c r="AH1993" i="11"/>
  <c r="X1993" i="11"/>
  <c r="U1993" i="11"/>
  <c r="T1993" i="11"/>
  <c r="N1993" i="11"/>
  <c r="AG1993" i="11" s="1"/>
  <c r="AI1995" i="11"/>
  <c r="AH1995" i="11"/>
  <c r="X1995" i="11"/>
  <c r="U1995" i="11"/>
  <c r="T1995" i="11"/>
  <c r="N1995" i="11"/>
  <c r="AG1995" i="11" s="1"/>
  <c r="Q1553" i="11"/>
  <c r="Q1938" i="11"/>
  <c r="AI1981" i="11"/>
  <c r="AH1981" i="11"/>
  <c r="X1981" i="11"/>
  <c r="U1981" i="11"/>
  <c r="T1981" i="11"/>
  <c r="N1981" i="11"/>
  <c r="AE1981" i="11" s="1"/>
  <c r="AI1980" i="11"/>
  <c r="AH1980" i="11"/>
  <c r="X1980" i="11"/>
  <c r="U1980" i="11"/>
  <c r="T1980" i="11"/>
  <c r="N1980" i="11"/>
  <c r="AE1980" i="11" s="1"/>
  <c r="AI1982" i="11"/>
  <c r="AH1982" i="11"/>
  <c r="X1982" i="11"/>
  <c r="U1982" i="11"/>
  <c r="T1982" i="11"/>
  <c r="N1982" i="11"/>
  <c r="AG1982" i="11" s="1"/>
  <c r="AI2082" i="11"/>
  <c r="AH2082" i="11"/>
  <c r="X2082" i="11"/>
  <c r="U2082" i="11"/>
  <c r="T2082" i="11"/>
  <c r="N2082" i="11"/>
  <c r="AG2082" i="11" s="1"/>
  <c r="S825" i="11"/>
  <c r="S1515" i="11"/>
  <c r="AE1989" i="11" l="1"/>
  <c r="AE1990" i="11"/>
  <c r="AE1991" i="11"/>
  <c r="AE1992" i="11"/>
  <c r="AE1993" i="11"/>
  <c r="AE1994" i="11"/>
  <c r="AE1995" i="11"/>
  <c r="AG1981" i="11"/>
  <c r="AG1980" i="11"/>
  <c r="AE1982" i="11"/>
  <c r="AE2082" i="11"/>
  <c r="R835" i="11" l="1"/>
  <c r="S2022" i="11" l="1"/>
  <c r="S787" i="11"/>
  <c r="S847" i="11"/>
  <c r="Q1694" i="11"/>
  <c r="M1328" i="11"/>
  <c r="M1694" i="11"/>
  <c r="Q2071" i="11"/>
  <c r="M2071" i="11"/>
  <c r="M763" i="11"/>
  <c r="M1163" i="11"/>
  <c r="M1017" i="11"/>
  <c r="Q1017" i="11"/>
  <c r="M242" i="11"/>
  <c r="S711" i="11" l="1"/>
  <c r="S1530" i="11"/>
  <c r="Q763" i="11"/>
  <c r="M1951" i="11"/>
  <c r="Q1951" i="11"/>
  <c r="Q1163" i="11"/>
  <c r="Q1053" i="11"/>
  <c r="Q462" i="11"/>
  <c r="S462" i="11"/>
  <c r="M1459" i="11" l="1"/>
  <c r="W1548" i="11"/>
  <c r="M545" i="11"/>
  <c r="W198" i="11"/>
  <c r="S1531" i="11" l="1"/>
  <c r="M542" i="11"/>
  <c r="M499" i="11"/>
  <c r="M198" i="11"/>
  <c r="M1127" i="11"/>
  <c r="M881" i="11"/>
  <c r="M1458" i="11" l="1"/>
  <c r="M1279" i="11"/>
  <c r="M1258" i="11"/>
  <c r="AI1779" i="11"/>
  <c r="AH1779" i="11"/>
  <c r="X1779" i="11"/>
  <c r="U1779" i="11"/>
  <c r="T1779" i="11"/>
  <c r="N1779" i="11"/>
  <c r="AG1779" i="11" s="1"/>
  <c r="AI1778" i="11"/>
  <c r="AH1778" i="11"/>
  <c r="X1778" i="11"/>
  <c r="U1778" i="11"/>
  <c r="T1778" i="11"/>
  <c r="N1778" i="11"/>
  <c r="AG1778" i="11" s="1"/>
  <c r="AI1712" i="11"/>
  <c r="AH1712" i="11"/>
  <c r="X1712" i="11"/>
  <c r="U1712" i="11"/>
  <c r="T1712" i="11"/>
  <c r="N1712" i="11"/>
  <c r="AG1712" i="11" s="1"/>
  <c r="V1670" i="11"/>
  <c r="R1670" i="11"/>
  <c r="P1670" i="11"/>
  <c r="L1670" i="11"/>
  <c r="F1670" i="11"/>
  <c r="X1669" i="11"/>
  <c r="T1669" i="11"/>
  <c r="N1669" i="11"/>
  <c r="T1668" i="11"/>
  <c r="Q1670" i="11"/>
  <c r="N1668" i="11"/>
  <c r="AI1765" i="11"/>
  <c r="AH1765" i="11"/>
  <c r="X1765" i="11"/>
  <c r="U1765" i="11"/>
  <c r="T1765" i="11"/>
  <c r="N1765" i="11"/>
  <c r="AG1765" i="11" s="1"/>
  <c r="AI1764" i="11"/>
  <c r="AH1764" i="11"/>
  <c r="X1764" i="11"/>
  <c r="U1764" i="11"/>
  <c r="T1764" i="11"/>
  <c r="N1764" i="11"/>
  <c r="AE1764" i="11" s="1"/>
  <c r="AI1763" i="11"/>
  <c r="AH1763" i="11"/>
  <c r="X1763" i="11"/>
  <c r="U1763" i="11"/>
  <c r="T1763" i="11"/>
  <c r="N1763" i="11"/>
  <c r="AE1763" i="11" s="1"/>
  <c r="AI1762" i="11"/>
  <c r="AH1762" i="11"/>
  <c r="X1762" i="11"/>
  <c r="U1762" i="11"/>
  <c r="T1762" i="11"/>
  <c r="N1762" i="11"/>
  <c r="AE1762" i="11" s="1"/>
  <c r="AI1766" i="11"/>
  <c r="AH1766" i="11"/>
  <c r="X1766" i="11"/>
  <c r="U1766" i="11"/>
  <c r="T1766" i="11"/>
  <c r="N1766" i="11"/>
  <c r="AE1766" i="11" s="1"/>
  <c r="AI1756" i="11"/>
  <c r="AH1756" i="11"/>
  <c r="X1756" i="11"/>
  <c r="U1756" i="11"/>
  <c r="T1756" i="11"/>
  <c r="N1756" i="11"/>
  <c r="AE1756" i="11" s="1"/>
  <c r="AI1755" i="11"/>
  <c r="AH1755" i="11"/>
  <c r="X1755" i="11"/>
  <c r="U1755" i="11"/>
  <c r="T1755" i="11"/>
  <c r="N1755" i="11"/>
  <c r="AE1755" i="11" s="1"/>
  <c r="AI1754" i="11"/>
  <c r="AH1754" i="11"/>
  <c r="X1754" i="11"/>
  <c r="U1754" i="11"/>
  <c r="T1754" i="11"/>
  <c r="N1754" i="11"/>
  <c r="AE1754" i="11" s="1"/>
  <c r="AI1757" i="11"/>
  <c r="AH1757" i="11"/>
  <c r="X1757" i="11"/>
  <c r="U1757" i="11"/>
  <c r="T1757" i="11"/>
  <c r="N1757" i="11"/>
  <c r="AE1757" i="11" s="1"/>
  <c r="AI1753" i="11"/>
  <c r="AH1753" i="11"/>
  <c r="X1753" i="11"/>
  <c r="U1753" i="11"/>
  <c r="T1753" i="11"/>
  <c r="N1753" i="11"/>
  <c r="AE1753" i="11" s="1"/>
  <c r="AI1758" i="11"/>
  <c r="AH1758" i="11"/>
  <c r="X1758" i="11"/>
  <c r="U1758" i="11"/>
  <c r="T1758" i="11"/>
  <c r="N1758" i="11"/>
  <c r="AE1758" i="11" s="1"/>
  <c r="AI1746" i="11"/>
  <c r="AH1746" i="11"/>
  <c r="X1746" i="11"/>
  <c r="U1746" i="11"/>
  <c r="T1746" i="11"/>
  <c r="N1746" i="11"/>
  <c r="AG1746" i="11" s="1"/>
  <c r="AI1745" i="11"/>
  <c r="AH1745" i="11"/>
  <c r="X1745" i="11"/>
  <c r="U1745" i="11"/>
  <c r="T1745" i="11"/>
  <c r="N1745" i="11"/>
  <c r="AG1745" i="11" s="1"/>
  <c r="AI1748" i="11"/>
  <c r="AH1748" i="11"/>
  <c r="X1748" i="11"/>
  <c r="U1748" i="11"/>
  <c r="T1748" i="11"/>
  <c r="N1748" i="11"/>
  <c r="AE1748" i="11" s="1"/>
  <c r="AI1747" i="11"/>
  <c r="AH1747" i="11"/>
  <c r="X1747" i="11"/>
  <c r="U1747" i="11"/>
  <c r="T1747" i="11"/>
  <c r="N1747" i="11"/>
  <c r="AE1747" i="11" s="1"/>
  <c r="AI1749" i="11"/>
  <c r="AH1749" i="11"/>
  <c r="X1749" i="11"/>
  <c r="U1749" i="11"/>
  <c r="T1749" i="11"/>
  <c r="N1749" i="11"/>
  <c r="AG1749" i="11" s="1"/>
  <c r="AI1740" i="11"/>
  <c r="AH1740" i="11"/>
  <c r="X1740" i="11"/>
  <c r="U1740" i="11"/>
  <c r="T1740" i="11"/>
  <c r="N1740" i="11"/>
  <c r="AE1740" i="11" s="1"/>
  <c r="AI1739" i="11"/>
  <c r="AH1739" i="11"/>
  <c r="X1739" i="11"/>
  <c r="U1739" i="11"/>
  <c r="T1739" i="11"/>
  <c r="N1739" i="11"/>
  <c r="AE1739" i="11" s="1"/>
  <c r="AI1741" i="11"/>
  <c r="AH1741" i="11"/>
  <c r="X1741" i="11"/>
  <c r="U1741" i="11"/>
  <c r="T1741" i="11"/>
  <c r="N1741" i="11"/>
  <c r="AE1741" i="11" s="1"/>
  <c r="AI1734" i="11"/>
  <c r="AH1734" i="11"/>
  <c r="X1734" i="11"/>
  <c r="U1734" i="11"/>
  <c r="T1734" i="11"/>
  <c r="N1734" i="11"/>
  <c r="AE1734" i="11" s="1"/>
  <c r="AI1733" i="11"/>
  <c r="AH1733" i="11"/>
  <c r="X1733" i="11"/>
  <c r="U1733" i="11"/>
  <c r="T1733" i="11"/>
  <c r="N1733" i="11"/>
  <c r="AE1733" i="11" s="1"/>
  <c r="AI1728" i="11"/>
  <c r="AH1728" i="11"/>
  <c r="X1728" i="11"/>
  <c r="U1728" i="11"/>
  <c r="T1728" i="11"/>
  <c r="N1728" i="11"/>
  <c r="AG1728" i="11" s="1"/>
  <c r="AI1729" i="11"/>
  <c r="AH1729" i="11"/>
  <c r="X1729" i="11"/>
  <c r="U1729" i="11"/>
  <c r="T1729" i="11"/>
  <c r="N1729" i="11"/>
  <c r="AE1729" i="11" s="1"/>
  <c r="AI1485" i="11"/>
  <c r="AH1485" i="11"/>
  <c r="X1485" i="11"/>
  <c r="U1485" i="11"/>
  <c r="T1485" i="11"/>
  <c r="N1485" i="11"/>
  <c r="AE1485" i="11" s="1"/>
  <c r="AI1484" i="11"/>
  <c r="AH1484" i="11"/>
  <c r="X1484" i="11"/>
  <c r="U1484" i="11"/>
  <c r="T1484" i="11"/>
  <c r="N1484" i="11"/>
  <c r="AE1484" i="11" s="1"/>
  <c r="AI1483" i="11"/>
  <c r="AH1483" i="11"/>
  <c r="X1483" i="11"/>
  <c r="U1483" i="11"/>
  <c r="T1483" i="11"/>
  <c r="N1483" i="11"/>
  <c r="AE1483" i="11" s="1"/>
  <c r="AI1487" i="11"/>
  <c r="AH1487" i="11"/>
  <c r="X1487" i="11"/>
  <c r="U1487" i="11"/>
  <c r="T1487" i="11"/>
  <c r="N1487" i="11"/>
  <c r="AE1487" i="11" s="1"/>
  <c r="AI1486" i="11"/>
  <c r="AH1486" i="11"/>
  <c r="X1486" i="11"/>
  <c r="U1486" i="11"/>
  <c r="T1486" i="11"/>
  <c r="N1486" i="11"/>
  <c r="AE1486" i="11" s="1"/>
  <c r="AI1488" i="11"/>
  <c r="AH1488" i="11"/>
  <c r="X1488" i="11"/>
  <c r="U1488" i="11"/>
  <c r="T1488" i="11"/>
  <c r="N1488" i="11"/>
  <c r="AE1488" i="11" s="1"/>
  <c r="M1490" i="11"/>
  <c r="P1490" i="11"/>
  <c r="Q1490" i="11"/>
  <c r="R1490" i="11"/>
  <c r="S1490" i="11"/>
  <c r="V1490" i="11"/>
  <c r="W1490" i="11"/>
  <c r="L1490" i="11"/>
  <c r="F1490" i="11"/>
  <c r="AI1482" i="11"/>
  <c r="AH1482" i="11"/>
  <c r="X1482" i="11"/>
  <c r="U1482" i="11"/>
  <c r="T1482" i="11"/>
  <c r="N1482" i="11"/>
  <c r="AE1482" i="11" s="1"/>
  <c r="AI1479" i="11"/>
  <c r="AH1479" i="11"/>
  <c r="X1479" i="11"/>
  <c r="U1479" i="11"/>
  <c r="T1479" i="11"/>
  <c r="N1479" i="11"/>
  <c r="AE1479" i="11" s="1"/>
  <c r="AI1475" i="11"/>
  <c r="AH1475" i="11"/>
  <c r="X1475" i="11"/>
  <c r="U1475" i="11"/>
  <c r="T1475" i="11"/>
  <c r="N1475" i="11"/>
  <c r="AE1475" i="11" s="1"/>
  <c r="AI1474" i="11"/>
  <c r="AH1474" i="11"/>
  <c r="X1474" i="11"/>
  <c r="U1474" i="11"/>
  <c r="T1474" i="11"/>
  <c r="N1474" i="11"/>
  <c r="AE1474" i="11" s="1"/>
  <c r="AI1473" i="11"/>
  <c r="AH1473" i="11"/>
  <c r="X1473" i="11"/>
  <c r="U1473" i="11"/>
  <c r="T1473" i="11"/>
  <c r="N1473" i="11"/>
  <c r="AE1473" i="11" s="1"/>
  <c r="AI1472" i="11"/>
  <c r="AH1472" i="11"/>
  <c r="X1472" i="11"/>
  <c r="U1472" i="11"/>
  <c r="T1472" i="11"/>
  <c r="N1472" i="11"/>
  <c r="AE1472" i="11" s="1"/>
  <c r="AI1477" i="11"/>
  <c r="AH1477" i="11"/>
  <c r="X1477" i="11"/>
  <c r="U1477" i="11"/>
  <c r="T1477" i="11"/>
  <c r="N1477" i="11"/>
  <c r="AE1477" i="11" s="1"/>
  <c r="AI1476" i="11"/>
  <c r="AH1476" i="11"/>
  <c r="X1476" i="11"/>
  <c r="U1476" i="11"/>
  <c r="T1476" i="11"/>
  <c r="N1476" i="11"/>
  <c r="AE1476" i="11" s="1"/>
  <c r="AI1478" i="11"/>
  <c r="AH1478" i="11"/>
  <c r="X1478" i="11"/>
  <c r="U1478" i="11"/>
  <c r="T1478" i="11"/>
  <c r="N1478" i="11"/>
  <c r="AE1478" i="11" s="1"/>
  <c r="S1016" i="11"/>
  <c r="Q542" i="11"/>
  <c r="Q1077" i="11"/>
  <c r="Q1416" i="11"/>
  <c r="W1670" i="11" l="1"/>
  <c r="AI1670" i="11" s="1"/>
  <c r="AH1668" i="11"/>
  <c r="U1669" i="11"/>
  <c r="M1670" i="11"/>
  <c r="AH1669" i="11"/>
  <c r="AE1778" i="11"/>
  <c r="AE1779" i="11"/>
  <c r="AE1712" i="11"/>
  <c r="AE1668" i="11"/>
  <c r="N1670" i="11"/>
  <c r="AG1668" i="11"/>
  <c r="AE1669" i="11"/>
  <c r="AG1669" i="11"/>
  <c r="T1670" i="11"/>
  <c r="AI1669" i="11"/>
  <c r="U1668" i="11"/>
  <c r="X1668" i="11"/>
  <c r="X1670" i="11" s="1"/>
  <c r="AI1668" i="11"/>
  <c r="S1670" i="11"/>
  <c r="AH1670" i="11" s="1"/>
  <c r="AG1766" i="11"/>
  <c r="AE1765" i="11"/>
  <c r="AG1764" i="11"/>
  <c r="AG1763" i="11"/>
  <c r="AG1762" i="11"/>
  <c r="AG1758" i="11"/>
  <c r="AG1757" i="11"/>
  <c r="AG1756" i="11"/>
  <c r="AG1755" i="11"/>
  <c r="AG1754" i="11"/>
  <c r="AG1753" i="11"/>
  <c r="AE1749" i="11"/>
  <c r="AG1748" i="11"/>
  <c r="AE1745" i="11"/>
  <c r="AE1746" i="11"/>
  <c r="AG1747" i="11"/>
  <c r="AG1741" i="11"/>
  <c r="AG1740" i="11"/>
  <c r="AG1739" i="11"/>
  <c r="AG1734" i="11"/>
  <c r="AG1733" i="11"/>
  <c r="AE1728" i="11"/>
  <c r="AG1729" i="11"/>
  <c r="AG1488" i="11"/>
  <c r="AG1487" i="11"/>
  <c r="AG1486" i="11"/>
  <c r="AG1485" i="11"/>
  <c r="AG1484" i="11"/>
  <c r="AG1483" i="11"/>
  <c r="AG1482" i="11"/>
  <c r="AG1479" i="11"/>
  <c r="AG1478" i="11"/>
  <c r="AG1477" i="11"/>
  <c r="AG1476" i="11"/>
  <c r="AG1475" i="11"/>
  <c r="AG1474" i="11"/>
  <c r="AG1473" i="11"/>
  <c r="AG1472" i="11"/>
  <c r="AG1670" i="11" l="1"/>
  <c r="AE1670" i="11"/>
  <c r="U1670" i="11"/>
  <c r="V994" i="11"/>
  <c r="Q1057" i="11" l="1"/>
  <c r="S2073" i="11"/>
  <c r="Q2073" i="11"/>
  <c r="M2073" i="11"/>
  <c r="M298" i="11"/>
  <c r="M2017" i="11"/>
  <c r="M2016" i="11"/>
  <c r="M2177" i="11"/>
  <c r="M1649" i="11"/>
  <c r="M1057" i="11"/>
  <c r="M1071" i="11"/>
  <c r="X351" i="11"/>
  <c r="AI348" i="11"/>
  <c r="AH348" i="11"/>
  <c r="X348" i="11"/>
  <c r="U348" i="11"/>
  <c r="T348" i="11"/>
  <c r="N348" i="11"/>
  <c r="AE348" i="11" s="1"/>
  <c r="AI349" i="11"/>
  <c r="AH349" i="11"/>
  <c r="X349" i="11"/>
  <c r="U349" i="11"/>
  <c r="T349" i="11"/>
  <c r="N349" i="11"/>
  <c r="AE349" i="11" s="1"/>
  <c r="AI351" i="11"/>
  <c r="AH351" i="11"/>
  <c r="T351" i="11"/>
  <c r="N351" i="11"/>
  <c r="AG351" i="11" s="1"/>
  <c r="M1387" i="11"/>
  <c r="M1871" i="11"/>
  <c r="M1530" i="11"/>
  <c r="M1077" i="11"/>
  <c r="Q685" i="11"/>
  <c r="S378" i="11"/>
  <c r="Q1143" i="11"/>
  <c r="Q1530" i="11"/>
  <c r="Q1769" i="11"/>
  <c r="Q498" i="11"/>
  <c r="Q1870" i="11"/>
  <c r="AG349" i="11" l="1"/>
  <c r="U351" i="11"/>
  <c r="AG348" i="11"/>
  <c r="AE351" i="11"/>
  <c r="W1203" i="11" l="1"/>
  <c r="W1199" i="11"/>
  <c r="W2068" i="11"/>
  <c r="W1149" i="11"/>
  <c r="W1385" i="11"/>
  <c r="W2102" i="11"/>
  <c r="W194" i="11"/>
  <c r="M1769" i="11" l="1"/>
  <c r="M498" i="11"/>
  <c r="M462" i="11"/>
  <c r="M1203" i="11"/>
  <c r="M908" i="11"/>
  <c r="M1143" i="11"/>
  <c r="M740" i="11"/>
  <c r="M665" i="11"/>
  <c r="M1199" i="11"/>
  <c r="M400" i="11"/>
  <c r="M1087" i="11"/>
  <c r="M1322" i="11"/>
  <c r="M1454" i="11"/>
  <c r="M1416" i="11"/>
  <c r="S283" i="11"/>
  <c r="S2068" i="11"/>
  <c r="Q740" i="11"/>
  <c r="Q1087" i="11"/>
  <c r="Q665" i="11"/>
  <c r="Q400" i="11"/>
  <c r="W1501" i="11" l="1"/>
  <c r="V1501" i="11"/>
  <c r="S1501" i="11"/>
  <c r="R1501" i="11"/>
  <c r="Q1501" i="11"/>
  <c r="P1501" i="11"/>
  <c r="M1501" i="11"/>
  <c r="L1501" i="11"/>
  <c r="F1501" i="11"/>
  <c r="AI1500" i="11"/>
  <c r="AH1500" i="11"/>
  <c r="X1500" i="11"/>
  <c r="U1500" i="11"/>
  <c r="T1500" i="11"/>
  <c r="N1500" i="11"/>
  <c r="AG1500" i="11" s="1"/>
  <c r="AI1499" i="11"/>
  <c r="AH1499" i="11"/>
  <c r="X1499" i="11"/>
  <c r="U1499" i="11"/>
  <c r="T1499" i="11"/>
  <c r="N1499" i="11"/>
  <c r="AG1499" i="11" s="1"/>
  <c r="AI2099" i="11"/>
  <c r="AH2099" i="11"/>
  <c r="X2099" i="11"/>
  <c r="U2099" i="11"/>
  <c r="T2099" i="11"/>
  <c r="N2099" i="11"/>
  <c r="AG2099" i="11" s="1"/>
  <c r="X1501" i="11" l="1"/>
  <c r="T1501" i="11"/>
  <c r="U1501" i="11"/>
  <c r="AI1501" i="11"/>
  <c r="AH1501" i="11"/>
  <c r="N1501" i="11"/>
  <c r="AG1501" i="11" s="1"/>
  <c r="AE1499" i="11"/>
  <c r="AE1500" i="11"/>
  <c r="AE2099" i="11"/>
  <c r="AE1501" i="11" l="1"/>
  <c r="Q2004" i="11" l="1"/>
  <c r="Q1693" i="11"/>
  <c r="M589" i="11"/>
  <c r="M544" i="11"/>
  <c r="M485" i="11"/>
  <c r="M1028" i="11"/>
  <c r="M668" i="11"/>
  <c r="M1937" i="11"/>
  <c r="M2102" i="11"/>
  <c r="M307" i="11"/>
  <c r="M1870" i="11"/>
  <c r="M1515" i="11"/>
  <c r="M1319" i="11"/>
  <c r="S1663" i="11" l="1"/>
  <c r="Q589" i="11"/>
  <c r="Q1515" i="11"/>
  <c r="Q901" i="11"/>
  <c r="Q1937" i="11"/>
  <c r="Q1028" i="11"/>
  <c r="Q485" i="11"/>
  <c r="Q805" i="11"/>
  <c r="Q2068" i="11"/>
  <c r="M729" i="11"/>
  <c r="W1208" i="11" l="1"/>
  <c r="W431" i="11"/>
  <c r="W124" i="11"/>
  <c r="W1823" i="11" l="1"/>
  <c r="M1320" i="11" l="1"/>
  <c r="Q674" i="11"/>
  <c r="M674" i="11"/>
  <c r="M1581" i="11"/>
  <c r="M2068" i="11"/>
  <c r="M1946" i="11"/>
  <c r="M901" i="11"/>
  <c r="M805" i="11"/>
  <c r="M161" i="11"/>
  <c r="Q1101" i="11"/>
  <c r="Q1069" i="11"/>
  <c r="M2147" i="11"/>
  <c r="Q2147" i="11"/>
  <c r="R2074" i="11" l="1"/>
  <c r="Q1531" i="11" l="1"/>
  <c r="M1531" i="11"/>
  <c r="M621" i="11"/>
  <c r="M1321" i="11"/>
  <c r="M1457" i="11"/>
  <c r="M1693" i="11"/>
  <c r="M1386" i="11"/>
  <c r="M2114" i="11"/>
  <c r="M1069" i="11"/>
  <c r="Q2087" i="11" l="1"/>
  <c r="Q2115" i="11"/>
  <c r="Q2114" i="11"/>
  <c r="Q1147" i="11"/>
  <c r="M1770" i="11"/>
  <c r="S2125" i="11"/>
  <c r="S2123" i="11"/>
  <c r="Q2123" i="11"/>
  <c r="M1291" i="11"/>
  <c r="S1416" i="11"/>
  <c r="M172" i="11"/>
  <c r="M171" i="11"/>
  <c r="W1207" i="11" l="1"/>
  <c r="M1205" i="11"/>
  <c r="W866" i="11"/>
  <c r="W510" i="11"/>
  <c r="M1117" i="11"/>
  <c r="W1117" i="11"/>
  <c r="M150" i="11"/>
  <c r="W150" i="11"/>
  <c r="W2209" i="11"/>
  <c r="Q1662" i="11" l="1"/>
  <c r="M1147" i="11"/>
  <c r="M246" i="11"/>
  <c r="M834" i="11"/>
  <c r="M1107" i="11"/>
  <c r="M676" i="11"/>
  <c r="M1662" i="11"/>
  <c r="M2173" i="11"/>
  <c r="M1972" i="11"/>
  <c r="M1292" i="11"/>
  <c r="M1385" i="11"/>
  <c r="M124" i="11"/>
  <c r="F1955" i="11"/>
  <c r="F1956" i="11"/>
  <c r="AH1956" i="11" s="1"/>
  <c r="F1957" i="11"/>
  <c r="X1956" i="11"/>
  <c r="U1956" i="11"/>
  <c r="T1956" i="11"/>
  <c r="AI2077" i="11"/>
  <c r="AH2077" i="11"/>
  <c r="X2077" i="11"/>
  <c r="U2077" i="11"/>
  <c r="T2077" i="11"/>
  <c r="N2077" i="11"/>
  <c r="AE2077" i="11" s="1"/>
  <c r="AI2076" i="11"/>
  <c r="AH2076" i="11"/>
  <c r="X2076" i="11"/>
  <c r="U2076" i="11"/>
  <c r="T2076" i="11"/>
  <c r="N2076" i="11"/>
  <c r="AE2076" i="11" s="1"/>
  <c r="AI2078" i="11"/>
  <c r="AH2078" i="11"/>
  <c r="X2078" i="11"/>
  <c r="U2078" i="11"/>
  <c r="T2078" i="11"/>
  <c r="N2078" i="11"/>
  <c r="AE2078" i="11" s="1"/>
  <c r="Q1972" i="11"/>
  <c r="Q711" i="11"/>
  <c r="Q834" i="11"/>
  <c r="Q378" i="11"/>
  <c r="Q2173" i="11"/>
  <c r="Q733" i="11"/>
  <c r="M694" i="11"/>
  <c r="L696" i="11"/>
  <c r="N1956" i="11" l="1"/>
  <c r="AE1956" i="11" s="1"/>
  <c r="AI1956" i="11"/>
  <c r="AG2078" i="11"/>
  <c r="AG2077" i="11"/>
  <c r="AG2076" i="11"/>
  <c r="AG1956" i="11" l="1"/>
  <c r="S510" i="11"/>
  <c r="Q553" i="11"/>
  <c r="M1316" i="11"/>
  <c r="M1586" i="11" l="1"/>
  <c r="M1970" i="11"/>
  <c r="M1311" i="11"/>
  <c r="M1308" i="11"/>
  <c r="L2172" i="11"/>
  <c r="L2162" i="11"/>
  <c r="M590" i="11"/>
  <c r="M2110" i="11" l="1"/>
  <c r="Q2110" i="11"/>
  <c r="Q694" i="11"/>
  <c r="Q2109" i="11"/>
  <c r="M247" i="11" l="1"/>
  <c r="M241" i="11"/>
  <c r="M2123" i="11"/>
  <c r="M2125" i="11"/>
  <c r="M1624" i="11"/>
  <c r="M160" i="11"/>
  <c r="M833" i="11"/>
  <c r="M422" i="11"/>
  <c r="M1065" i="11"/>
  <c r="W869" i="11"/>
  <c r="W691" i="11"/>
  <c r="T2117" i="11" l="1"/>
  <c r="Q2125" i="11"/>
  <c r="M2090" i="11"/>
  <c r="S691" i="11"/>
  <c r="S1512" i="11"/>
  <c r="S869" i="11"/>
  <c r="Q926" i="11"/>
  <c r="W617" i="11" l="1"/>
  <c r="S1009" i="11" l="1"/>
  <c r="Q774" i="11"/>
  <c r="Q743" i="11"/>
  <c r="M774" i="11"/>
  <c r="M743" i="11"/>
  <c r="M785" i="11"/>
  <c r="M1389" i="11"/>
  <c r="M1625" i="11"/>
  <c r="M1663" i="11"/>
  <c r="M1969" i="11"/>
  <c r="Q1969" i="11"/>
  <c r="M378" i="11"/>
  <c r="M1309" i="11"/>
  <c r="M1312" i="11"/>
  <c r="M1512" i="11"/>
  <c r="M1513" i="11"/>
  <c r="M22" i="11"/>
  <c r="S2209" i="11" l="1"/>
  <c r="S1008" i="11"/>
  <c r="Q1512" i="11"/>
  <c r="Q1663" i="11"/>
  <c r="Q680" i="11"/>
  <c r="Q785" i="11"/>
  <c r="Q776" i="11"/>
  <c r="S1513" i="11"/>
  <c r="AI312" i="11" l="1"/>
  <c r="AH312" i="11"/>
  <c r="X312" i="11"/>
  <c r="U312" i="11"/>
  <c r="T312" i="11"/>
  <c r="N312" i="11"/>
  <c r="AG312" i="11" s="1"/>
  <c r="M1446" i="11"/>
  <c r="M234" i="11"/>
  <c r="W22" i="11"/>
  <c r="W623" i="11"/>
  <c r="W1009" i="11"/>
  <c r="AE312" i="11" l="1"/>
  <c r="Q691" i="11"/>
  <c r="M2053" i="11"/>
  <c r="Q2053" i="11"/>
  <c r="S2053" i="11"/>
  <c r="W2103" i="11"/>
  <c r="M776" i="11" l="1"/>
  <c r="M1971" i="11"/>
  <c r="M1651" i="11"/>
  <c r="M2111" i="11"/>
  <c r="M875" i="11"/>
  <c r="M926" i="11"/>
  <c r="Q1971" i="11"/>
  <c r="AI1368" i="11"/>
  <c r="AH1368" i="11"/>
  <c r="X1368" i="11"/>
  <c r="U1368" i="11"/>
  <c r="T1368" i="11"/>
  <c r="N1368" i="11"/>
  <c r="AG1368" i="11" s="1"/>
  <c r="AI1281" i="11"/>
  <c r="AH1281" i="11"/>
  <c r="X1281" i="11"/>
  <c r="U1281" i="11"/>
  <c r="T1281" i="11"/>
  <c r="N1281" i="11"/>
  <c r="AG1281" i="11" s="1"/>
  <c r="AI1279" i="11"/>
  <c r="AH1279" i="11"/>
  <c r="X1279" i="11"/>
  <c r="U1279" i="11"/>
  <c r="T1279" i="11"/>
  <c r="N1279" i="11"/>
  <c r="AG1279" i="11" s="1"/>
  <c r="AI1278" i="11"/>
  <c r="AH1278" i="11"/>
  <c r="X1278" i="11"/>
  <c r="U1278" i="11"/>
  <c r="T1278" i="11"/>
  <c r="N1278" i="11"/>
  <c r="AG1278" i="11" s="1"/>
  <c r="W1164" i="11"/>
  <c r="V1164" i="11"/>
  <c r="S1164" i="11"/>
  <c r="R1164" i="11"/>
  <c r="Q1164" i="11"/>
  <c r="P1164" i="11"/>
  <c r="M1164" i="11"/>
  <c r="L1164" i="11"/>
  <c r="F1164" i="11"/>
  <c r="AI1163" i="11"/>
  <c r="AH1163" i="11"/>
  <c r="X1163" i="11"/>
  <c r="X1164" i="11" s="1"/>
  <c r="U1163" i="11"/>
  <c r="T1163" i="11"/>
  <c r="T1164" i="11" s="1"/>
  <c r="N1163" i="11"/>
  <c r="AE1163" i="11" s="1"/>
  <c r="AH1164" i="11" l="1"/>
  <c r="U1164" i="11"/>
  <c r="AI1164" i="11"/>
  <c r="AE1368" i="11"/>
  <c r="AE1281" i="11"/>
  <c r="AE1278" i="11"/>
  <c r="AE1279" i="11"/>
  <c r="AG1163" i="11"/>
  <c r="N1164" i="11"/>
  <c r="AG1164" i="11" s="1"/>
  <c r="AE1164" i="11" l="1"/>
  <c r="S552" i="11" l="1"/>
  <c r="M510" i="11"/>
  <c r="Q510" i="11"/>
  <c r="M1314" i="11"/>
  <c r="M235" i="11"/>
  <c r="M151" i="11"/>
  <c r="Q2209" i="11" l="1"/>
  <c r="M1666" i="11"/>
  <c r="Q1666" i="11"/>
  <c r="Q784" i="11"/>
  <c r="Q2131" i="11"/>
  <c r="Q432" i="11"/>
  <c r="Q2088" i="11"/>
  <c r="W560" i="11" l="1"/>
  <c r="V560" i="11"/>
  <c r="S560" i="11"/>
  <c r="R560" i="11"/>
  <c r="Q560" i="11"/>
  <c r="P560" i="11"/>
  <c r="M560" i="11"/>
  <c r="L560" i="11"/>
  <c r="F560" i="11"/>
  <c r="AI559" i="11"/>
  <c r="AH559" i="11"/>
  <c r="X559" i="11"/>
  <c r="U559" i="11"/>
  <c r="T559" i="11"/>
  <c r="N559" i="11"/>
  <c r="AG559" i="11" s="1"/>
  <c r="AI558" i="11"/>
  <c r="AH558" i="11"/>
  <c r="X558" i="11"/>
  <c r="U558" i="11"/>
  <c r="T558" i="11"/>
  <c r="N558" i="11"/>
  <c r="AG558" i="11" s="1"/>
  <c r="W562" i="11"/>
  <c r="V562" i="11"/>
  <c r="S562" i="11"/>
  <c r="R562" i="11"/>
  <c r="P562" i="11"/>
  <c r="L562" i="11"/>
  <c r="F562" i="11"/>
  <c r="AI561" i="11"/>
  <c r="AH561" i="11"/>
  <c r="U561" i="11"/>
  <c r="T561" i="11"/>
  <c r="M562" i="11"/>
  <c r="W557" i="11"/>
  <c r="V557" i="11"/>
  <c r="S557" i="11"/>
  <c r="R557" i="11"/>
  <c r="P557" i="11"/>
  <c r="L557" i="11"/>
  <c r="F557" i="11"/>
  <c r="AI556" i="11"/>
  <c r="AH556" i="11"/>
  <c r="U556" i="11"/>
  <c r="T556" i="11"/>
  <c r="M557" i="11"/>
  <c r="W1012" i="11"/>
  <c r="W1197" i="11"/>
  <c r="S502" i="11"/>
  <c r="W1198" i="11"/>
  <c r="W62" i="11"/>
  <c r="W999" i="11"/>
  <c r="W542" i="11"/>
  <c r="T560" i="11" l="1"/>
  <c r="AH560" i="11"/>
  <c r="U560" i="11"/>
  <c r="AI560" i="11"/>
  <c r="AI557" i="11"/>
  <c r="X560" i="11"/>
  <c r="N560" i="11"/>
  <c r="AE560" i="11" s="1"/>
  <c r="AE558" i="11"/>
  <c r="AE559" i="11"/>
  <c r="AH562" i="11"/>
  <c r="AI562" i="11"/>
  <c r="N561" i="11"/>
  <c r="X561" i="11"/>
  <c r="X562" i="11" s="1"/>
  <c r="T562" i="11"/>
  <c r="Q562" i="11"/>
  <c r="U562" i="11" s="1"/>
  <c r="AH557" i="11"/>
  <c r="N556" i="11"/>
  <c r="X556" i="11"/>
  <c r="X557" i="11" s="1"/>
  <c r="T557" i="11"/>
  <c r="Q557" i="11"/>
  <c r="U557" i="11" s="1"/>
  <c r="M2004" i="11"/>
  <c r="M236" i="11"/>
  <c r="M187" i="11"/>
  <c r="M2131" i="11"/>
  <c r="M1197" i="11"/>
  <c r="M123" i="11"/>
  <c r="M784" i="11"/>
  <c r="M432" i="11"/>
  <c r="M742" i="11"/>
  <c r="M1315" i="11"/>
  <c r="M1313" i="11"/>
  <c r="M2085" i="11"/>
  <c r="M2088" i="11"/>
  <c r="M2031" i="11"/>
  <c r="W552" i="11"/>
  <c r="AG560" i="11" l="1"/>
  <c r="AE561" i="11"/>
  <c r="N562" i="11"/>
  <c r="AG561" i="11"/>
  <c r="AE556" i="11"/>
  <c r="N557" i="11"/>
  <c r="AG556" i="11"/>
  <c r="AG562" i="11" l="1"/>
  <c r="AE562" i="11"/>
  <c r="AG557" i="11"/>
  <c r="AE557" i="11"/>
  <c r="AI350" i="11" l="1"/>
  <c r="AH350" i="11"/>
  <c r="X350" i="11"/>
  <c r="U350" i="11"/>
  <c r="T350" i="11"/>
  <c r="N350" i="11"/>
  <c r="AG350" i="11" s="1"/>
  <c r="W1162" i="11"/>
  <c r="V1162" i="11"/>
  <c r="S1162" i="11"/>
  <c r="R1162" i="11"/>
  <c r="Q1162" i="11"/>
  <c r="P1162" i="11"/>
  <c r="M1162" i="11"/>
  <c r="L1162" i="11"/>
  <c r="F1162" i="11"/>
  <c r="AI1161" i="11"/>
  <c r="AH1161" i="11"/>
  <c r="X1161" i="11"/>
  <c r="X1162" i="11" s="1"/>
  <c r="U1161" i="11"/>
  <c r="T1161" i="11"/>
  <c r="T1162" i="11" s="1"/>
  <c r="N1161" i="11"/>
  <c r="AG1161" i="11" s="1"/>
  <c r="S1548" i="11"/>
  <c r="S2034" i="11"/>
  <c r="Q2034" i="11"/>
  <c r="Q742" i="11"/>
  <c r="Q787" i="11"/>
  <c r="Q2086" i="11"/>
  <c r="W1158" i="11"/>
  <c r="V1158" i="11"/>
  <c r="S1158" i="11"/>
  <c r="R1158" i="11"/>
  <c r="Q1158" i="11"/>
  <c r="P1158" i="11"/>
  <c r="M1158" i="11"/>
  <c r="L1158" i="11"/>
  <c r="F1158" i="11"/>
  <c r="AI1158" i="11" s="1"/>
  <c r="AI1157" i="11"/>
  <c r="AH1157" i="11"/>
  <c r="X1157" i="11"/>
  <c r="X1158" i="11" s="1"/>
  <c r="U1157" i="11"/>
  <c r="T1157" i="11"/>
  <c r="T1158" i="11" s="1"/>
  <c r="N1157" i="11"/>
  <c r="N1158" i="11" s="1"/>
  <c r="W1160" i="11"/>
  <c r="V1160" i="11"/>
  <c r="S1160" i="11"/>
  <c r="R1160" i="11"/>
  <c r="Q1160" i="11"/>
  <c r="P1160" i="11"/>
  <c r="M1160" i="11"/>
  <c r="L1160" i="11"/>
  <c r="F1160" i="11"/>
  <c r="AI1159" i="11"/>
  <c r="AH1159" i="11"/>
  <c r="X1159" i="11"/>
  <c r="X1160" i="11" s="1"/>
  <c r="U1159" i="11"/>
  <c r="T1159" i="11"/>
  <c r="T1160" i="11" s="1"/>
  <c r="N1159" i="11"/>
  <c r="AG1159" i="11" s="1"/>
  <c r="U1162" i="11" l="1"/>
  <c r="AH1162" i="11"/>
  <c r="AI1162" i="11"/>
  <c r="U1160" i="11"/>
  <c r="AE350" i="11"/>
  <c r="N1162" i="11"/>
  <c r="AG1162" i="11" s="1"/>
  <c r="AE1161" i="11"/>
  <c r="U1158" i="11"/>
  <c r="AH1160" i="11"/>
  <c r="AH1158" i="11"/>
  <c r="AG1158" i="11"/>
  <c r="AE1158" i="11"/>
  <c r="AE1157" i="11"/>
  <c r="AG1157" i="11"/>
  <c r="N1160" i="11"/>
  <c r="AG1160" i="11" s="1"/>
  <c r="AI1160" i="11"/>
  <c r="AE1159" i="11"/>
  <c r="M1467" i="11"/>
  <c r="AE1162" i="11" l="1"/>
  <c r="AE1160" i="11"/>
  <c r="M283" i="11" l="1"/>
  <c r="M1257" i="11"/>
  <c r="M2209" i="11"/>
  <c r="M188" i="11"/>
  <c r="M2121" i="11"/>
  <c r="M1207" i="11"/>
  <c r="M787" i="11"/>
  <c r="M431" i="11"/>
  <c r="X431" i="11" s="1"/>
  <c r="M623" i="11"/>
  <c r="M711" i="11"/>
  <c r="M757" i="11" l="1"/>
  <c r="S1545" i="11"/>
  <c r="Q1545" i="11"/>
  <c r="S2025" i="11"/>
  <c r="Q2025" i="11"/>
  <c r="M2025" i="11"/>
  <c r="Q283" i="11"/>
  <c r="Q2121" i="11"/>
  <c r="Q431" i="11"/>
  <c r="Q1547" i="11"/>
  <c r="M999" i="11"/>
  <c r="Q999" i="11"/>
  <c r="M2026" i="11" l="1"/>
  <c r="S731" i="11" l="1"/>
  <c r="Q1664" i="11"/>
  <c r="U28" i="11"/>
  <c r="U29" i="11" s="1"/>
  <c r="Q2029" i="11"/>
  <c r="M1684" i="11"/>
  <c r="M1685" i="11"/>
  <c r="M1683" i="11"/>
  <c r="AI28" i="11"/>
  <c r="AH28" i="11"/>
  <c r="T28" i="11"/>
  <c r="T29" i="11" s="1"/>
  <c r="W25" i="11"/>
  <c r="V25" i="11"/>
  <c r="S25" i="11"/>
  <c r="R25" i="11"/>
  <c r="Q25" i="11"/>
  <c r="P25" i="11"/>
  <c r="L25" i="11"/>
  <c r="F25" i="11"/>
  <c r="AI24" i="11"/>
  <c r="AH24" i="11"/>
  <c r="T24" i="11"/>
  <c r="T25" i="11" s="1"/>
  <c r="M24" i="11"/>
  <c r="M25" i="11" s="1"/>
  <c r="Q1009" i="11"/>
  <c r="M1009" i="11"/>
  <c r="M1664" i="11"/>
  <c r="M62" i="11"/>
  <c r="M1208" i="11"/>
  <c r="M2086" i="11"/>
  <c r="M1547" i="11"/>
  <c r="M2069" i="11"/>
  <c r="M988" i="11"/>
  <c r="Q988" i="11"/>
  <c r="AH29" i="11" l="1"/>
  <c r="AI29" i="11"/>
  <c r="X28" i="11"/>
  <c r="X29" i="11" s="1"/>
  <c r="AI25" i="11"/>
  <c r="AH25" i="11"/>
  <c r="U25" i="11"/>
  <c r="N28" i="11"/>
  <c r="X24" i="11"/>
  <c r="X25" i="11" s="1"/>
  <c r="N24" i="11"/>
  <c r="U24" i="11"/>
  <c r="AE28" i="11" l="1"/>
  <c r="N29" i="11"/>
  <c r="AG28" i="11"/>
  <c r="AG24" i="11"/>
  <c r="AE24" i="11"/>
  <c r="N25" i="11"/>
  <c r="AG29" i="11" l="1"/>
  <c r="AE29" i="11"/>
  <c r="AG25" i="11"/>
  <c r="AE25" i="11"/>
  <c r="Q1008" i="11" l="1"/>
  <c r="Q2046" i="11" l="1"/>
  <c r="S1019" i="11"/>
  <c r="S1011" i="11"/>
  <c r="S1002" i="11"/>
  <c r="S856" i="11"/>
  <c r="Q615" i="11"/>
  <c r="S599" i="11"/>
  <c r="S541" i="11"/>
  <c r="M608" i="11"/>
  <c r="M828" i="11"/>
  <c r="M1830" i="11"/>
  <c r="Q746" i="11"/>
  <c r="Q1548" i="11"/>
  <c r="Q2143" i="11"/>
  <c r="Q710" i="11"/>
  <c r="Q2023" i="11"/>
  <c r="Q1665" i="11"/>
  <c r="Q831" i="11"/>
  <c r="M1658" i="11"/>
  <c r="M1657" i="11"/>
  <c r="W2157" i="11"/>
  <c r="S2157" i="11"/>
  <c r="S1658" i="11"/>
  <c r="S1657" i="11"/>
  <c r="M1317" i="11"/>
  <c r="M2029" i="11"/>
  <c r="M2023" i="11"/>
  <c r="M2143" i="11"/>
  <c r="M1198" i="11"/>
  <c r="M746" i="11"/>
  <c r="M733" i="11"/>
  <c r="M722" i="11"/>
  <c r="W1658" i="11" l="1"/>
  <c r="W1657" i="11"/>
  <c r="W599" i="11"/>
  <c r="W527" i="11"/>
  <c r="W524" i="11"/>
  <c r="W523" i="11"/>
  <c r="W990" i="11"/>
  <c r="W879" i="11"/>
  <c r="W998" i="11"/>
  <c r="W1002" i="11"/>
  <c r="W872" i="11"/>
  <c r="W856" i="11"/>
  <c r="W840" i="11"/>
  <c r="M21" i="11"/>
  <c r="S989" i="11"/>
  <c r="M1665" i="11"/>
  <c r="M524" i="11"/>
  <c r="M1141" i="11"/>
  <c r="M710" i="11"/>
  <c r="M1005" i="11"/>
  <c r="M824" i="11"/>
  <c r="M745" i="11"/>
  <c r="M939" i="11"/>
  <c r="S2046" i="11"/>
  <c r="S1418" i="11"/>
  <c r="Q1005" i="11"/>
  <c r="Q1137" i="11"/>
  <c r="Q1141" i="11"/>
  <c r="Q1513" i="11"/>
  <c r="Q824" i="11"/>
  <c r="W2163" i="11"/>
  <c r="W2155" i="11"/>
  <c r="W2213" i="11"/>
  <c r="W2054" i="11"/>
  <c r="W1838" i="11"/>
  <c r="V200" i="11" l="1"/>
  <c r="P712" i="11"/>
  <c r="L531" i="11"/>
  <c r="M243" i="11" l="1"/>
  <c r="Q2030" i="11" l="1"/>
  <c r="Q939" i="11"/>
  <c r="Q848" i="11"/>
  <c r="S616" i="11"/>
  <c r="M65" i="11"/>
  <c r="M1137" i="11"/>
  <c r="M2163" i="11"/>
  <c r="M1545" i="11"/>
  <c r="M529" i="11"/>
  <c r="M847" i="11"/>
  <c r="M2030" i="11"/>
  <c r="M2103" i="11" l="1"/>
  <c r="W841" i="11"/>
  <c r="W839" i="11"/>
  <c r="W1019" i="11"/>
  <c r="W726" i="11"/>
  <c r="W727" i="11"/>
  <c r="W725" i="11"/>
  <c r="W1003" i="11"/>
  <c r="W878" i="11"/>
  <c r="W481" i="11"/>
  <c r="W873" i="11"/>
  <c r="W855" i="11"/>
  <c r="W862" i="11"/>
  <c r="W2049" i="11"/>
  <c r="W2050" i="11"/>
  <c r="W244" i="11" l="1"/>
  <c r="W615" i="11"/>
  <c r="M775" i="11" l="1"/>
  <c r="M1008" i="11"/>
  <c r="M848" i="11"/>
  <c r="S726" i="11"/>
  <c r="Q1415" i="11"/>
  <c r="Q775" i="11"/>
  <c r="M1633" i="11" l="1"/>
  <c r="M61" i="11"/>
  <c r="Q731" i="11" l="1"/>
  <c r="Q1657" i="11"/>
  <c r="Q1658" i="11"/>
  <c r="Q2091" i="11"/>
  <c r="Q1836" i="11"/>
  <c r="W1575" i="11"/>
  <c r="W828" i="11" l="1"/>
  <c r="W482" i="11"/>
  <c r="W1022" i="11"/>
  <c r="W492" i="11"/>
  <c r="W607" i="11"/>
  <c r="W609" i="11"/>
  <c r="W195" i="11"/>
  <c r="W2249" i="11"/>
  <c r="W1573" i="11"/>
  <c r="W1572" i="11"/>
  <c r="M1839" i="11"/>
  <c r="M2149" i="11"/>
  <c r="M64" i="11"/>
  <c r="M2213" i="11"/>
  <c r="M2034" i="11"/>
  <c r="M1836" i="11"/>
  <c r="M1496" i="11"/>
  <c r="M731" i="11"/>
  <c r="W52" i="11"/>
  <c r="W2124" i="11"/>
  <c r="W2011" i="11" l="1"/>
  <c r="V2011" i="11"/>
  <c r="S2011" i="11"/>
  <c r="R2011" i="11"/>
  <c r="P2011" i="11"/>
  <c r="L2011" i="11"/>
  <c r="F2011" i="11"/>
  <c r="AI2010" i="11"/>
  <c r="X2010" i="11"/>
  <c r="AH2010" i="11"/>
  <c r="U2010" i="11"/>
  <c r="M2011" i="11"/>
  <c r="AI2009" i="11"/>
  <c r="AH2009" i="11"/>
  <c r="X2009" i="11"/>
  <c r="U2009" i="11"/>
  <c r="T2009" i="11"/>
  <c r="N2009" i="11"/>
  <c r="AG2009" i="11" s="1"/>
  <c r="Q1838" i="11"/>
  <c r="M1206" i="11"/>
  <c r="M609" i="11"/>
  <c r="M941" i="11"/>
  <c r="M663" i="11"/>
  <c r="M2046" i="11"/>
  <c r="M2153" i="11"/>
  <c r="M1415" i="11"/>
  <c r="AH2011" i="11" l="1"/>
  <c r="X2011" i="11"/>
  <c r="AI2011" i="11"/>
  <c r="AE2009" i="11"/>
  <c r="T2010" i="11"/>
  <c r="T2011" i="11" s="1"/>
  <c r="Q2011" i="11"/>
  <c r="U2011" i="11" s="1"/>
  <c r="N2010" i="11"/>
  <c r="M1575" i="11"/>
  <c r="L23" i="11"/>
  <c r="P23" i="11"/>
  <c r="Q23" i="11"/>
  <c r="R23" i="11"/>
  <c r="S23" i="11"/>
  <c r="V23" i="11"/>
  <c r="F23" i="11"/>
  <c r="AH21" i="11"/>
  <c r="AI21" i="11"/>
  <c r="T21" i="11"/>
  <c r="U21" i="11" l="1"/>
  <c r="N21" i="11"/>
  <c r="AG21" i="11" s="1"/>
  <c r="X21" i="11"/>
  <c r="W23" i="11"/>
  <c r="M23" i="11"/>
  <c r="AG2010" i="11"/>
  <c r="AE2010" i="11"/>
  <c r="N2011" i="11"/>
  <c r="S1022" i="11"/>
  <c r="Q941" i="11"/>
  <c r="AE21" i="11" l="1"/>
  <c r="AG2011" i="11"/>
  <c r="AE2011" i="11"/>
  <c r="L486" i="11" l="1"/>
  <c r="S2191" i="11" l="1"/>
  <c r="M1832" i="11"/>
  <c r="M194" i="11"/>
  <c r="M199" i="11"/>
  <c r="M1573" i="11"/>
  <c r="M846" i="11"/>
  <c r="M484" i="11"/>
  <c r="Q1832" i="11" l="1"/>
  <c r="Q484" i="11"/>
  <c r="M992" i="11"/>
  <c r="Q992" i="11"/>
  <c r="Q616" i="11"/>
  <c r="W827" i="11" l="1"/>
  <c r="W1631" i="11"/>
  <c r="W1635" i="11"/>
  <c r="M1023" i="11"/>
  <c r="Q1023" i="11"/>
  <c r="S1023" i="11"/>
  <c r="Q618" i="11" l="1"/>
  <c r="M618" i="11"/>
  <c r="W2191" i="11"/>
  <c r="M616" i="11" l="1"/>
  <c r="AI1916" i="11"/>
  <c r="AH1916" i="11"/>
  <c r="X1916" i="11"/>
  <c r="U1916" i="11"/>
  <c r="T1916" i="11"/>
  <c r="N1916" i="11"/>
  <c r="AG1916" i="11" s="1"/>
  <c r="AI1920" i="11"/>
  <c r="AH1920" i="11"/>
  <c r="X1920" i="11"/>
  <c r="U1920" i="11"/>
  <c r="T1920" i="11"/>
  <c r="N1920" i="11"/>
  <c r="AG1920" i="11" s="1"/>
  <c r="AI1921" i="11"/>
  <c r="AH1921" i="11"/>
  <c r="X1921" i="11"/>
  <c r="U1921" i="11"/>
  <c r="T1921" i="11"/>
  <c r="N1921" i="11"/>
  <c r="AG1921" i="11" s="1"/>
  <c r="S600" i="11"/>
  <c r="F434" i="11"/>
  <c r="W497" i="11"/>
  <c r="V497" i="11"/>
  <c r="S497" i="11"/>
  <c r="R497" i="11"/>
  <c r="Q497" i="11"/>
  <c r="P497" i="11"/>
  <c r="M497" i="11"/>
  <c r="L497" i="11"/>
  <c r="F497" i="11"/>
  <c r="AI497" i="11" s="1"/>
  <c r="AI496" i="11"/>
  <c r="AH496" i="11"/>
  <c r="X496" i="11"/>
  <c r="U496" i="11"/>
  <c r="T496" i="11"/>
  <c r="N496" i="11"/>
  <c r="AG496" i="11" s="1"/>
  <c r="AI495" i="11"/>
  <c r="AH495" i="11"/>
  <c r="X495" i="11"/>
  <c r="U495" i="11"/>
  <c r="T495" i="11"/>
  <c r="N495" i="11"/>
  <c r="M465" i="11"/>
  <c r="P465" i="11"/>
  <c r="Q465" i="11"/>
  <c r="R465" i="11"/>
  <c r="S465" i="11"/>
  <c r="V465" i="11"/>
  <c r="W465" i="11"/>
  <c r="L465" i="11"/>
  <c r="F465" i="11"/>
  <c r="AI463" i="11"/>
  <c r="AH463" i="11"/>
  <c r="X463" i="11"/>
  <c r="U463" i="11"/>
  <c r="T463" i="11"/>
  <c r="N463" i="11"/>
  <c r="AG463" i="11" s="1"/>
  <c r="AI462" i="11"/>
  <c r="AH462" i="11"/>
  <c r="X462" i="11"/>
  <c r="U462" i="11"/>
  <c r="T462" i="11"/>
  <c r="N462" i="11"/>
  <c r="AG462" i="11" s="1"/>
  <c r="W404" i="11"/>
  <c r="V404" i="11"/>
  <c r="S404" i="11"/>
  <c r="R404" i="11"/>
  <c r="Q404" i="11"/>
  <c r="P404" i="11"/>
  <c r="M404" i="11"/>
  <c r="L404" i="11"/>
  <c r="F404" i="11"/>
  <c r="AI403" i="11"/>
  <c r="AH403" i="11"/>
  <c r="X403" i="11"/>
  <c r="X404" i="11" s="1"/>
  <c r="U403" i="11"/>
  <c r="T403" i="11"/>
  <c r="T404" i="11" s="1"/>
  <c r="N403" i="11"/>
  <c r="N404" i="11" s="1"/>
  <c r="W402" i="11"/>
  <c r="V402" i="11"/>
  <c r="S402" i="11"/>
  <c r="R402" i="11"/>
  <c r="Q402" i="11"/>
  <c r="P402" i="11"/>
  <c r="M402" i="11"/>
  <c r="L402" i="11"/>
  <c r="F402" i="11"/>
  <c r="AI402" i="11" s="1"/>
  <c r="AI401" i="11"/>
  <c r="AH401" i="11"/>
  <c r="X401" i="11"/>
  <c r="U401" i="11"/>
  <c r="T401" i="11"/>
  <c r="N401" i="11"/>
  <c r="AG401" i="11" s="1"/>
  <c r="AI400" i="11"/>
  <c r="AH400" i="11"/>
  <c r="X400" i="11"/>
  <c r="U400" i="11"/>
  <c r="T400" i="11"/>
  <c r="N400" i="11"/>
  <c r="AG400" i="11" s="1"/>
  <c r="AI399" i="11"/>
  <c r="AH399" i="11"/>
  <c r="X399" i="11"/>
  <c r="U399" i="11"/>
  <c r="T399" i="11"/>
  <c r="N399" i="11"/>
  <c r="AI404" i="11" l="1"/>
  <c r="AE1916" i="11"/>
  <c r="AE1920" i="11"/>
  <c r="AE1921" i="11"/>
  <c r="U402" i="11"/>
  <c r="X497" i="11"/>
  <c r="T497" i="11"/>
  <c r="AH404" i="11"/>
  <c r="U465" i="11"/>
  <c r="AH497" i="11"/>
  <c r="AH402" i="11"/>
  <c r="U497" i="11"/>
  <c r="U404" i="11"/>
  <c r="N497" i="11"/>
  <c r="AG497" i="11" s="1"/>
  <c r="AE495" i="11"/>
  <c r="AE496" i="11"/>
  <c r="AG495" i="11"/>
  <c r="X402" i="11"/>
  <c r="AE463" i="11"/>
  <c r="AE462" i="11"/>
  <c r="T402" i="11"/>
  <c r="AG404" i="11"/>
  <c r="AE404" i="11"/>
  <c r="AE403" i="11"/>
  <c r="AG403" i="11"/>
  <c r="N402" i="11"/>
  <c r="AE402" i="11" s="1"/>
  <c r="AE399" i="11"/>
  <c r="AE400" i="11"/>
  <c r="AE401" i="11"/>
  <c r="AG399" i="11"/>
  <c r="AE497" i="11" l="1"/>
  <c r="AG402" i="11"/>
  <c r="S1660" i="11" l="1"/>
  <c r="M1388" i="11"/>
  <c r="M523" i="11"/>
  <c r="M1631" i="11"/>
  <c r="M1635" i="11"/>
  <c r="M530" i="11"/>
  <c r="M1103" i="11"/>
  <c r="M427" i="11"/>
  <c r="M1577" i="11"/>
  <c r="M1578" i="11"/>
  <c r="M1659" i="11"/>
  <c r="S2052" i="11" l="1"/>
  <c r="M2022" i="11"/>
  <c r="Q2022" i="11"/>
  <c r="Q1659" i="11"/>
  <c r="M594" i="11"/>
  <c r="Q594" i="11"/>
  <c r="M993" i="11" l="1"/>
  <c r="M51" i="11"/>
  <c r="M599" i="11"/>
  <c r="M2179" i="11" l="1"/>
  <c r="Q2179" i="11"/>
  <c r="S2179" i="11"/>
  <c r="Q599" i="11" l="1"/>
  <c r="S1012" i="11"/>
  <c r="S553" i="11"/>
  <c r="M1576" i="11" l="1"/>
  <c r="M1020" i="11"/>
  <c r="M2052" i="11"/>
  <c r="M1013" i="11"/>
  <c r="M1016" i="11"/>
  <c r="Q2052" i="11" l="1"/>
  <c r="Q688" i="11"/>
  <c r="Q1020" i="11"/>
  <c r="Q1016" i="11"/>
  <c r="S2124" i="11" l="1"/>
  <c r="AI1970" i="11"/>
  <c r="AH1970" i="11"/>
  <c r="X1970" i="11"/>
  <c r="U1970" i="11"/>
  <c r="N1970" i="11"/>
  <c r="AG1970" i="11" s="1"/>
  <c r="AI1971" i="11"/>
  <c r="AH1971" i="11"/>
  <c r="X1971" i="11"/>
  <c r="U1971" i="11"/>
  <c r="T1971" i="11"/>
  <c r="N1971" i="11"/>
  <c r="AG1971" i="11" s="1"/>
  <c r="AI1952" i="11"/>
  <c r="AH1952" i="11"/>
  <c r="X1952" i="11"/>
  <c r="U1952" i="11"/>
  <c r="T1952" i="11"/>
  <c r="N1952" i="11"/>
  <c r="AG1952" i="11" s="1"/>
  <c r="M1572" i="11"/>
  <c r="M454" i="11"/>
  <c r="M2191" i="11"/>
  <c r="M244" i="11"/>
  <c r="M1150" i="11"/>
  <c r="M59" i="11"/>
  <c r="M725" i="11"/>
  <c r="M451" i="11"/>
  <c r="W928" i="11"/>
  <c r="W929" i="11"/>
  <c r="AE1970" i="11" l="1"/>
  <c r="AE1971" i="11"/>
  <c r="AE1952" i="11"/>
  <c r="S617" i="11"/>
  <c r="S827" i="11"/>
  <c r="Q2191" i="11"/>
  <c r="Q725" i="11"/>
  <c r="AI1254" i="11"/>
  <c r="AH1254" i="11"/>
  <c r="X1254" i="11"/>
  <c r="U1254" i="11"/>
  <c r="T1254" i="11"/>
  <c r="N1254" i="11"/>
  <c r="AG1254" i="11" s="1"/>
  <c r="F1250" i="11"/>
  <c r="AI1250" i="11" s="1"/>
  <c r="F1249" i="11"/>
  <c r="AI1249" i="11" s="1"/>
  <c r="F1242" i="11"/>
  <c r="N1242" i="11" s="1"/>
  <c r="AE1242" i="11" s="1"/>
  <c r="F1241" i="11"/>
  <c r="AH1241" i="11" s="1"/>
  <c r="F1248" i="11"/>
  <c r="AI1248" i="11" s="1"/>
  <c r="F1247" i="11"/>
  <c r="AH1247" i="11" s="1"/>
  <c r="F1246" i="11"/>
  <c r="AI1246" i="11" s="1"/>
  <c r="F1245" i="11"/>
  <c r="AI1245" i="11" s="1"/>
  <c r="F1244" i="11"/>
  <c r="AI1244" i="11" s="1"/>
  <c r="F1243" i="11"/>
  <c r="AH1243" i="11" s="1"/>
  <c r="F1239" i="11"/>
  <c r="N1239" i="11" s="1"/>
  <c r="X1248" i="11"/>
  <c r="U1248" i="11"/>
  <c r="T1248" i="11"/>
  <c r="X1247" i="11"/>
  <c r="U1247" i="11"/>
  <c r="T1247" i="11"/>
  <c r="X1246" i="11"/>
  <c r="U1246" i="11"/>
  <c r="T1246" i="11"/>
  <c r="X1245" i="11"/>
  <c r="U1245" i="11"/>
  <c r="T1245" i="11"/>
  <c r="X1250" i="11"/>
  <c r="U1250" i="11"/>
  <c r="T1250" i="11"/>
  <c r="X1249" i="11"/>
  <c r="U1249" i="11"/>
  <c r="T1249" i="11"/>
  <c r="F1240" i="11"/>
  <c r="AI1240" i="11" s="1"/>
  <c r="F1238" i="11"/>
  <c r="AH1238" i="11" s="1"/>
  <c r="X1242" i="11"/>
  <c r="U1242" i="11"/>
  <c r="T1242" i="11"/>
  <c r="X1241" i="11"/>
  <c r="U1241" i="11"/>
  <c r="T1241" i="11"/>
  <c r="X1240" i="11"/>
  <c r="U1240" i="11"/>
  <c r="T1240" i="11"/>
  <c r="X1239" i="11"/>
  <c r="U1239" i="11"/>
  <c r="T1239" i="11"/>
  <c r="X1244" i="11"/>
  <c r="U1244" i="11"/>
  <c r="T1244" i="11"/>
  <c r="X1243" i="11"/>
  <c r="U1243" i="11"/>
  <c r="T1243" i="11"/>
  <c r="AI1251" i="11"/>
  <c r="AH1251" i="11"/>
  <c r="X1251" i="11"/>
  <c r="U1251" i="11"/>
  <c r="T1251" i="11"/>
  <c r="N1251" i="11"/>
  <c r="AG1251" i="11" s="1"/>
  <c r="M1252" i="11"/>
  <c r="O1252" i="11"/>
  <c r="P1252" i="11"/>
  <c r="Q1252" i="11"/>
  <c r="R1252" i="11"/>
  <c r="S1252" i="11"/>
  <c r="V1252" i="11"/>
  <c r="W1252" i="11"/>
  <c r="L1252" i="11"/>
  <c r="X1238" i="11"/>
  <c r="U1238" i="11"/>
  <c r="T1238" i="11"/>
  <c r="F1223" i="11"/>
  <c r="AH1223" i="11" s="1"/>
  <c r="F1222" i="11"/>
  <c r="AI1222" i="11" s="1"/>
  <c r="F1221" i="11"/>
  <c r="F1225" i="11"/>
  <c r="AI1225" i="11" s="1"/>
  <c r="F1224" i="11"/>
  <c r="F1228" i="11"/>
  <c r="AI1228" i="11" s="1"/>
  <c r="F1231" i="11"/>
  <c r="AI1231" i="11" s="1"/>
  <c r="F1234" i="11"/>
  <c r="AH1234" i="11" s="1"/>
  <c r="F1236" i="11"/>
  <c r="F1235" i="11"/>
  <c r="AI1235" i="11" s="1"/>
  <c r="X1235" i="11"/>
  <c r="U1235" i="11"/>
  <c r="T1235" i="11"/>
  <c r="F1233" i="11"/>
  <c r="AH1233" i="11" s="1"/>
  <c r="F1232" i="11"/>
  <c r="AI1232" i="11" s="1"/>
  <c r="X1233" i="11"/>
  <c r="U1233" i="11"/>
  <c r="T1233" i="11"/>
  <c r="X1232" i="11"/>
  <c r="U1232" i="11"/>
  <c r="T1232" i="11"/>
  <c r="X1234" i="11"/>
  <c r="U1234" i="11"/>
  <c r="T1234" i="11"/>
  <c r="F1230" i="11"/>
  <c r="AI1230" i="11" s="1"/>
  <c r="F1229" i="11"/>
  <c r="AH1229" i="11" s="1"/>
  <c r="X1230" i="11"/>
  <c r="U1230" i="11"/>
  <c r="T1230" i="11"/>
  <c r="X1229" i="11"/>
  <c r="U1229" i="11"/>
  <c r="T1229" i="11"/>
  <c r="X1231" i="11"/>
  <c r="U1231" i="11"/>
  <c r="T1231" i="11"/>
  <c r="F1227" i="11"/>
  <c r="AH1227" i="11" s="1"/>
  <c r="F1226" i="11"/>
  <c r="AI1226" i="11" s="1"/>
  <c r="X1227" i="11"/>
  <c r="U1227" i="11"/>
  <c r="T1227" i="11"/>
  <c r="X1226" i="11"/>
  <c r="U1226" i="11"/>
  <c r="T1226" i="11"/>
  <c r="X1228" i="11"/>
  <c r="U1228" i="11"/>
  <c r="T1228" i="11"/>
  <c r="X1225" i="11"/>
  <c r="U1225" i="11"/>
  <c r="T1225" i="11"/>
  <c r="X1223" i="11"/>
  <c r="U1223" i="11"/>
  <c r="T1223" i="11"/>
  <c r="X1222" i="11"/>
  <c r="U1222" i="11"/>
  <c r="T1222" i="11"/>
  <c r="AI1234" i="11" l="1"/>
  <c r="N1226" i="11"/>
  <c r="AE1226" i="11" s="1"/>
  <c r="AH1226" i="11"/>
  <c r="AI1242" i="11"/>
  <c r="AI1229" i="11"/>
  <c r="N1232" i="11"/>
  <c r="AE1232" i="11" s="1"/>
  <c r="AH1232" i="11"/>
  <c r="AI1233" i="11"/>
  <c r="N1238" i="11"/>
  <c r="AG1238" i="11" s="1"/>
  <c r="N1241" i="11"/>
  <c r="AG1241" i="11" s="1"/>
  <c r="N1243" i="11"/>
  <c r="AG1243" i="11" s="1"/>
  <c r="AI1243" i="11"/>
  <c r="N1249" i="11"/>
  <c r="AG1249" i="11" s="1"/>
  <c r="AH1249" i="11"/>
  <c r="AI1223" i="11"/>
  <c r="AI1247" i="11"/>
  <c r="N1230" i="11"/>
  <c r="AG1230" i="11" s="1"/>
  <c r="N1223" i="11"/>
  <c r="AG1223" i="11" s="1"/>
  <c r="AI1227" i="11"/>
  <c r="N1234" i="11"/>
  <c r="AG1234" i="11" s="1"/>
  <c r="N1244" i="11"/>
  <c r="AG1244" i="11" s="1"/>
  <c r="AH1244" i="11"/>
  <c r="N1240" i="11"/>
  <c r="AE1240" i="11" s="1"/>
  <c r="AI1241" i="11"/>
  <c r="AH1230" i="11"/>
  <c r="N1248" i="11"/>
  <c r="AG1248" i="11" s="1"/>
  <c r="AH1248" i="11"/>
  <c r="N1227" i="11"/>
  <c r="AE1227" i="11" s="1"/>
  <c r="AE1254" i="11"/>
  <c r="N1250" i="11"/>
  <c r="AG1250" i="11" s="1"/>
  <c r="AH1250" i="11"/>
  <c r="N1247" i="11"/>
  <c r="AG1247" i="11" s="1"/>
  <c r="N1246" i="11"/>
  <c r="AG1246" i="11" s="1"/>
  <c r="AH1246" i="11"/>
  <c r="N1245" i="11"/>
  <c r="AG1245" i="11" s="1"/>
  <c r="AH1245" i="11"/>
  <c r="AG1242" i="11"/>
  <c r="AH1242" i="11"/>
  <c r="AH1239" i="11"/>
  <c r="AH1240" i="11"/>
  <c r="AE1239" i="11"/>
  <c r="AG1239" i="11"/>
  <c r="AI1239" i="11"/>
  <c r="F1252" i="11"/>
  <c r="AI1238" i="11"/>
  <c r="X1252" i="11"/>
  <c r="U1252" i="11"/>
  <c r="T1252" i="11"/>
  <c r="AE1251" i="11"/>
  <c r="N1235" i="11"/>
  <c r="AH1235" i="11"/>
  <c r="N1233" i="11"/>
  <c r="AE1233" i="11" s="1"/>
  <c r="N1231" i="11"/>
  <c r="AG1231" i="11" s="1"/>
  <c r="AH1231" i="11"/>
  <c r="N1229" i="11"/>
  <c r="AG1229" i="11" s="1"/>
  <c r="N1228" i="11"/>
  <c r="AE1228" i="11" s="1"/>
  <c r="AH1228" i="11"/>
  <c r="N1225" i="11"/>
  <c r="AG1225" i="11" s="1"/>
  <c r="AH1225" i="11"/>
  <c r="AH1222" i="11"/>
  <c r="N1222" i="11"/>
  <c r="AG1222" i="11" s="1"/>
  <c r="X2255" i="11"/>
  <c r="AG1232" i="11" l="1"/>
  <c r="AE1249" i="11"/>
  <c r="AG1226" i="11"/>
  <c r="AE1238" i="11"/>
  <c r="AG1227" i="11"/>
  <c r="AE1234" i="11"/>
  <c r="AE1243" i="11"/>
  <c r="AE1241" i="11"/>
  <c r="AE1223" i="11"/>
  <c r="AE1244" i="11"/>
  <c r="AE1230" i="11"/>
  <c r="AG1240" i="11"/>
  <c r="AE1248" i="11"/>
  <c r="AE1250" i="11"/>
  <c r="AE1245" i="11"/>
  <c r="AE1247" i="11"/>
  <c r="AE1246" i="11"/>
  <c r="AE1231" i="11"/>
  <c r="AG1233" i="11"/>
  <c r="AE1235" i="11"/>
  <c r="AG1235" i="11"/>
  <c r="AG1228" i="11"/>
  <c r="AE1229" i="11"/>
  <c r="AE1225" i="11"/>
  <c r="AE1222" i="11"/>
  <c r="M726" i="11" l="1"/>
  <c r="M1011" i="11"/>
  <c r="M727" i="11"/>
  <c r="M197" i="11"/>
  <c r="M453" i="11"/>
  <c r="M218" i="11"/>
  <c r="M2249" i="11"/>
  <c r="M1022" i="11"/>
  <c r="Q1011" i="11" l="1"/>
  <c r="Q1660" i="11"/>
  <c r="S990" i="11"/>
  <c r="M52" i="11" l="1"/>
  <c r="M1089" i="11"/>
  <c r="M928" i="11"/>
  <c r="M511" i="11"/>
  <c r="M40" i="11"/>
  <c r="M196" i="11"/>
  <c r="M195" i="11"/>
  <c r="S928" i="11"/>
  <c r="S40" i="11"/>
  <c r="W40" i="11"/>
  <c r="S2145" i="11"/>
  <c r="T184" i="11" l="1"/>
  <c r="AI184" i="11"/>
  <c r="AH184" i="11"/>
  <c r="X184" i="11"/>
  <c r="U184" i="11"/>
  <c r="N184" i="11"/>
  <c r="AG184" i="11" s="1"/>
  <c r="AI161" i="11"/>
  <c r="AH161" i="11"/>
  <c r="X161" i="11"/>
  <c r="U161" i="11"/>
  <c r="T161" i="11"/>
  <c r="N161" i="11"/>
  <c r="AG161" i="11" s="1"/>
  <c r="AI162" i="11"/>
  <c r="AH162" i="11"/>
  <c r="X162" i="11"/>
  <c r="U162" i="11"/>
  <c r="T162" i="11"/>
  <c r="N162" i="11"/>
  <c r="AG162" i="11" s="1"/>
  <c r="W164" i="11"/>
  <c r="V164" i="11"/>
  <c r="S164" i="11"/>
  <c r="R164" i="11"/>
  <c r="Q164" i="11"/>
  <c r="P164" i="11"/>
  <c r="M164" i="11"/>
  <c r="L164" i="11"/>
  <c r="F164" i="11"/>
  <c r="AI163" i="11"/>
  <c r="AH163" i="11"/>
  <c r="X163" i="11"/>
  <c r="U163" i="11"/>
  <c r="T163" i="11"/>
  <c r="N163" i="11"/>
  <c r="AG163" i="11" s="1"/>
  <c r="AI160" i="11"/>
  <c r="AH160" i="11"/>
  <c r="X160" i="11"/>
  <c r="U160" i="11"/>
  <c r="T160" i="11"/>
  <c r="N160" i="11"/>
  <c r="AG160" i="11" s="1"/>
  <c r="W167" i="11"/>
  <c r="V167" i="11"/>
  <c r="S167" i="11"/>
  <c r="R167" i="11"/>
  <c r="Q167" i="11"/>
  <c r="P167" i="11"/>
  <c r="M167" i="11"/>
  <c r="L167" i="11"/>
  <c r="F167" i="11"/>
  <c r="AI166" i="11"/>
  <c r="AH166" i="11"/>
  <c r="X166" i="11"/>
  <c r="U166" i="11"/>
  <c r="T166" i="11"/>
  <c r="N166" i="11"/>
  <c r="AE166" i="11" s="1"/>
  <c r="AI165" i="11"/>
  <c r="AH165" i="11"/>
  <c r="X165" i="11"/>
  <c r="U165" i="11"/>
  <c r="T165" i="11"/>
  <c r="N165" i="11"/>
  <c r="AE165" i="11" s="1"/>
  <c r="W170" i="11"/>
  <c r="V170" i="11"/>
  <c r="S170" i="11"/>
  <c r="R170" i="11"/>
  <c r="Q170" i="11"/>
  <c r="P170" i="11"/>
  <c r="M170" i="11"/>
  <c r="L170" i="11"/>
  <c r="F170" i="11"/>
  <c r="AI169" i="11"/>
  <c r="AH169" i="11"/>
  <c r="X169" i="11"/>
  <c r="U169" i="11"/>
  <c r="T169" i="11"/>
  <c r="N169" i="11"/>
  <c r="AE169" i="11" s="1"/>
  <c r="AI168" i="11"/>
  <c r="AH168" i="11"/>
  <c r="X168" i="11"/>
  <c r="U168" i="11"/>
  <c r="T168" i="11"/>
  <c r="N168" i="11"/>
  <c r="AE168" i="11" s="1"/>
  <c r="Q511" i="11"/>
  <c r="Q928" i="11"/>
  <c r="Q40" i="11"/>
  <c r="F40" i="11"/>
  <c r="Q1418" i="11"/>
  <c r="Q1686" i="11"/>
  <c r="S2049" i="11"/>
  <c r="S852" i="11"/>
  <c r="AI646" i="11"/>
  <c r="AH646" i="11"/>
  <c r="X646" i="11"/>
  <c r="U646" i="11"/>
  <c r="T646" i="11"/>
  <c r="N646" i="11"/>
  <c r="AG646" i="11" s="1"/>
  <c r="U164" i="11" l="1"/>
  <c r="T167" i="11"/>
  <c r="X170" i="11"/>
  <c r="AE184" i="11"/>
  <c r="T164" i="11"/>
  <c r="X167" i="11"/>
  <c r="T170" i="11"/>
  <c r="U170" i="11"/>
  <c r="U167" i="11"/>
  <c r="AE161" i="11"/>
  <c r="AH164" i="11"/>
  <c r="AE162" i="11"/>
  <c r="X164" i="11"/>
  <c r="AI164" i="11"/>
  <c r="N164" i="11"/>
  <c r="AG164" i="11" s="1"/>
  <c r="AE160" i="11"/>
  <c r="AE163" i="11"/>
  <c r="AG166" i="11"/>
  <c r="N167" i="11"/>
  <c r="AG167" i="11" s="1"/>
  <c r="AH167" i="11"/>
  <c r="AG165" i="11"/>
  <c r="AI167" i="11"/>
  <c r="N170" i="11"/>
  <c r="AG170" i="11" s="1"/>
  <c r="AG168" i="11"/>
  <c r="AG169" i="11"/>
  <c r="AI170" i="11"/>
  <c r="AH170" i="11"/>
  <c r="AE646" i="11"/>
  <c r="AE164" i="11" l="1"/>
  <c r="AE167" i="11"/>
  <c r="AE170" i="11"/>
  <c r="S692" i="11" l="1"/>
  <c r="M1686" i="11"/>
  <c r="M816" i="11"/>
  <c r="M541" i="11"/>
  <c r="M869" i="11"/>
  <c r="M1019" i="11"/>
  <c r="M2049" i="11"/>
  <c r="M2133" i="11"/>
  <c r="M1380" i="11"/>
  <c r="M118" i="11"/>
  <c r="M1678" i="11"/>
  <c r="M1453" i="11"/>
  <c r="M1660" i="11"/>
  <c r="Q1002" i="11"/>
  <c r="Q869" i="11"/>
  <c r="Q2049" i="11"/>
  <c r="Q1012" i="11"/>
  <c r="Q617" i="11"/>
  <c r="M617" i="11" l="1"/>
  <c r="M713" i="11"/>
  <c r="M1012" i="11"/>
  <c r="M1105" i="11"/>
  <c r="M57" i="11"/>
  <c r="M1002" i="11"/>
  <c r="W2217" i="11"/>
  <c r="AI1213" i="11" l="1"/>
  <c r="AH1213" i="11"/>
  <c r="X1213" i="11"/>
  <c r="U1213" i="11"/>
  <c r="T1213" i="11"/>
  <c r="N1213" i="11"/>
  <c r="AG1213" i="11" s="1"/>
  <c r="AI1212" i="11"/>
  <c r="AH1212" i="11"/>
  <c r="X1212" i="11"/>
  <c r="U1212" i="11"/>
  <c r="T1212" i="11"/>
  <c r="N1212" i="11"/>
  <c r="AG1212" i="11" s="1"/>
  <c r="AI1214" i="11"/>
  <c r="AH1214" i="11"/>
  <c r="X1214" i="11"/>
  <c r="U1214" i="11"/>
  <c r="T1214" i="11"/>
  <c r="N1214" i="11"/>
  <c r="AG1214" i="11" s="1"/>
  <c r="S1003" i="11"/>
  <c r="AE1212" i="11" l="1"/>
  <c r="AE1213" i="11"/>
  <c r="AE1214" i="11"/>
  <c r="M181" i="11" l="1"/>
  <c r="M1463" i="11"/>
  <c r="M1418" i="11"/>
  <c r="M68" i="11"/>
  <c r="M1290" i="11"/>
  <c r="M70" i="11"/>
  <c r="M192" i="11"/>
  <c r="M207" i="11"/>
  <c r="M1697" i="11"/>
  <c r="M117" i="11"/>
  <c r="M1379" i="11"/>
  <c r="M990" i="11"/>
  <c r="M748" i="11"/>
  <c r="M56" i="11"/>
  <c r="M55" i="11"/>
  <c r="M827" i="11"/>
  <c r="S866" i="11" l="1"/>
  <c r="Q828" i="11"/>
  <c r="W1049" i="11" l="1"/>
  <c r="W749" i="11"/>
  <c r="Q827" i="11" l="1"/>
  <c r="Q990" i="11"/>
  <c r="W181" i="11"/>
  <c r="F1351" i="11" l="1"/>
  <c r="AH1351" i="11" s="1"/>
  <c r="F1346" i="11"/>
  <c r="AI1346" i="11" s="1"/>
  <c r="F1353" i="11"/>
  <c r="AI1353" i="11" s="1"/>
  <c r="F1352" i="11"/>
  <c r="N1352" i="11" s="1"/>
  <c r="AG1352" i="11" s="1"/>
  <c r="F1348" i="11"/>
  <c r="AH1348" i="11" s="1"/>
  <c r="F1349" i="11"/>
  <c r="AH1349" i="11" s="1"/>
  <c r="F1350" i="11"/>
  <c r="AI1350" i="11" s="1"/>
  <c r="F1347" i="11"/>
  <c r="AH1347" i="11" s="1"/>
  <c r="F1343" i="11"/>
  <c r="AI1343" i="11" s="1"/>
  <c r="F1344" i="11"/>
  <c r="AH1344" i="11" s="1"/>
  <c r="F1345" i="11"/>
  <c r="AI1345" i="11" s="1"/>
  <c r="F1342" i="11"/>
  <c r="AH1342" i="11" s="1"/>
  <c r="F1337" i="11"/>
  <c r="AH1337" i="11" s="1"/>
  <c r="F1338" i="11"/>
  <c r="AH1338" i="11" s="1"/>
  <c r="F1339" i="11"/>
  <c r="AI1339" i="11" s="1"/>
  <c r="F1340" i="11"/>
  <c r="AI1340" i="11" s="1"/>
  <c r="F1341" i="11"/>
  <c r="AI1341" i="11" s="1"/>
  <c r="F1333" i="11"/>
  <c r="N1333" i="11" s="1"/>
  <c r="AG1333" i="11" s="1"/>
  <c r="F1334" i="11"/>
  <c r="AH1334" i="11" s="1"/>
  <c r="F1335" i="11"/>
  <c r="AH1335" i="11" s="1"/>
  <c r="F1336" i="11"/>
  <c r="AI1336" i="11" s="1"/>
  <c r="F1332" i="11"/>
  <c r="X1348" i="11"/>
  <c r="U1348" i="11"/>
  <c r="T1348" i="11"/>
  <c r="X1347" i="11"/>
  <c r="U1347" i="11"/>
  <c r="T1347" i="11"/>
  <c r="X1346" i="11"/>
  <c r="U1346" i="11"/>
  <c r="T1346" i="11"/>
  <c r="X1345" i="11"/>
  <c r="U1345" i="11"/>
  <c r="T1345" i="11"/>
  <c r="X1344" i="11"/>
  <c r="U1344" i="11"/>
  <c r="T1344" i="11"/>
  <c r="X1343" i="11"/>
  <c r="U1343" i="11"/>
  <c r="T1343" i="11"/>
  <c r="X1340" i="11"/>
  <c r="U1340" i="11"/>
  <c r="T1340" i="11"/>
  <c r="X1339" i="11"/>
  <c r="U1339" i="11"/>
  <c r="T1339" i="11"/>
  <c r="X1338" i="11"/>
  <c r="U1338" i="11"/>
  <c r="T1338" i="11"/>
  <c r="X1337" i="11"/>
  <c r="U1337" i="11"/>
  <c r="T1337" i="11"/>
  <c r="X1336" i="11"/>
  <c r="U1336" i="11"/>
  <c r="T1336" i="11"/>
  <c r="X1335" i="11"/>
  <c r="U1335" i="11"/>
  <c r="T1335" i="11"/>
  <c r="X1334" i="11"/>
  <c r="U1334" i="11"/>
  <c r="T1334" i="11"/>
  <c r="X1333" i="11"/>
  <c r="U1333" i="11"/>
  <c r="T1333" i="11"/>
  <c r="X1350" i="11"/>
  <c r="U1350" i="11"/>
  <c r="T1350" i="11"/>
  <c r="X1349" i="11"/>
  <c r="U1349" i="11"/>
  <c r="T1349" i="11"/>
  <c r="X1342" i="11"/>
  <c r="U1342" i="11"/>
  <c r="T1342" i="11"/>
  <c r="X1341" i="11"/>
  <c r="U1341" i="11"/>
  <c r="T1341" i="11"/>
  <c r="X1352" i="11"/>
  <c r="U1352" i="11"/>
  <c r="T1352" i="11"/>
  <c r="X1351" i="11"/>
  <c r="U1351" i="11"/>
  <c r="T1351" i="11"/>
  <c r="X1353" i="11"/>
  <c r="U1353" i="11"/>
  <c r="T1353" i="11"/>
  <c r="F1330" i="11"/>
  <c r="F1322" i="11"/>
  <c r="AI1322" i="11" s="1"/>
  <c r="F1327" i="11"/>
  <c r="AI1327" i="11" s="1"/>
  <c r="F1329" i="11"/>
  <c r="AI1329" i="11" s="1"/>
  <c r="F1328" i="11"/>
  <c r="AI1328" i="11" s="1"/>
  <c r="F1324" i="11"/>
  <c r="AI1324" i="11" s="1"/>
  <c r="F1325" i="11"/>
  <c r="AI1325" i="11" s="1"/>
  <c r="F1326" i="11"/>
  <c r="AI1326" i="11" s="1"/>
  <c r="F1323" i="11"/>
  <c r="AI1323" i="11" s="1"/>
  <c r="X1326" i="11"/>
  <c r="U1326" i="11"/>
  <c r="T1326" i="11"/>
  <c r="X1325" i="11"/>
  <c r="U1325" i="11"/>
  <c r="T1325" i="11"/>
  <c r="X1324" i="11"/>
  <c r="U1324" i="11"/>
  <c r="T1324" i="11"/>
  <c r="X1323" i="11"/>
  <c r="U1323" i="11"/>
  <c r="T1323" i="11"/>
  <c r="X1328" i="11"/>
  <c r="U1328" i="11"/>
  <c r="T1328" i="11"/>
  <c r="X1327" i="11"/>
  <c r="U1327" i="11"/>
  <c r="T1327" i="11"/>
  <c r="X1329" i="11"/>
  <c r="U1329" i="11"/>
  <c r="T1329" i="11"/>
  <c r="F1319" i="11"/>
  <c r="AI1319" i="11" s="1"/>
  <c r="F1320" i="11"/>
  <c r="AI1320" i="11" s="1"/>
  <c r="F1321" i="11"/>
  <c r="AH1321" i="11" s="1"/>
  <c r="F1318" i="11"/>
  <c r="AH1318" i="11" s="1"/>
  <c r="X1320" i="11"/>
  <c r="U1320" i="11"/>
  <c r="T1320" i="11"/>
  <c r="X1319" i="11"/>
  <c r="U1319" i="11"/>
  <c r="T1319" i="11"/>
  <c r="X1318" i="11"/>
  <c r="U1318" i="11"/>
  <c r="T1318" i="11"/>
  <c r="F1315" i="11"/>
  <c r="AI1315" i="11" s="1"/>
  <c r="F1316" i="11"/>
  <c r="AH1316" i="11" s="1"/>
  <c r="F1317" i="11"/>
  <c r="AI1317" i="11" s="1"/>
  <c r="F1314" i="11"/>
  <c r="AI1314" i="11" s="1"/>
  <c r="F1313" i="11"/>
  <c r="AI1313" i="11" s="1"/>
  <c r="X1316" i="11"/>
  <c r="U1316" i="11"/>
  <c r="T1316" i="11"/>
  <c r="X1315" i="11"/>
  <c r="U1315" i="11"/>
  <c r="T1315" i="11"/>
  <c r="X1314" i="11"/>
  <c r="U1314" i="11"/>
  <c r="T1314" i="11"/>
  <c r="X1313" i="11"/>
  <c r="U1313" i="11"/>
  <c r="T1313" i="11"/>
  <c r="F1312" i="11"/>
  <c r="AI1312" i="11" s="1"/>
  <c r="F1311" i="11"/>
  <c r="AI1311" i="11" s="1"/>
  <c r="F1310" i="11"/>
  <c r="AI1310" i="11" s="1"/>
  <c r="F1309" i="11"/>
  <c r="AI1309" i="11" s="1"/>
  <c r="F1308" i="11"/>
  <c r="X1312" i="11"/>
  <c r="U1312" i="11"/>
  <c r="T1312" i="11"/>
  <c r="X1311" i="11"/>
  <c r="U1311" i="11"/>
  <c r="T1311" i="11"/>
  <c r="X1310" i="11"/>
  <c r="U1310" i="11"/>
  <c r="T1310" i="11"/>
  <c r="N1310" i="11"/>
  <c r="AG1310" i="11" s="1"/>
  <c r="X1309" i="11"/>
  <c r="U1309" i="11"/>
  <c r="T1309" i="11"/>
  <c r="X1321" i="11"/>
  <c r="U1321" i="11"/>
  <c r="T1321" i="11"/>
  <c r="X1317" i="11"/>
  <c r="U1317" i="11"/>
  <c r="T1317" i="11"/>
  <c r="X1322" i="11"/>
  <c r="U1322" i="11"/>
  <c r="T1322" i="11"/>
  <c r="AI908" i="11"/>
  <c r="AH908" i="11"/>
  <c r="X908" i="11"/>
  <c r="U908" i="11"/>
  <c r="T908" i="11"/>
  <c r="N908" i="11"/>
  <c r="AG908" i="11" s="1"/>
  <c r="AI1342" i="11" l="1"/>
  <c r="AI1351" i="11"/>
  <c r="AI1347" i="11"/>
  <c r="AI1348" i="11"/>
  <c r="AI1316" i="11"/>
  <c r="N1350" i="11"/>
  <c r="AG1350" i="11" s="1"/>
  <c r="AH1350" i="11"/>
  <c r="N1317" i="11"/>
  <c r="AG1317" i="11" s="1"/>
  <c r="AH1317" i="11"/>
  <c r="AI1349" i="11"/>
  <c r="AI1335" i="11"/>
  <c r="N1324" i="11"/>
  <c r="AG1324" i="11" s="1"/>
  <c r="AH1324" i="11"/>
  <c r="N1343" i="11"/>
  <c r="AG1343" i="11" s="1"/>
  <c r="AH1343" i="11"/>
  <c r="N1319" i="11"/>
  <c r="AG1319" i="11" s="1"/>
  <c r="N1353" i="11"/>
  <c r="AE1353" i="11" s="1"/>
  <c r="AH1353" i="11"/>
  <c r="AH1319" i="11"/>
  <c r="N1328" i="11"/>
  <c r="AG1328" i="11" s="1"/>
  <c r="AH1328" i="11"/>
  <c r="AI1334" i="11"/>
  <c r="N1345" i="11"/>
  <c r="AG1345" i="11" s="1"/>
  <c r="AH1345" i="11"/>
  <c r="N1325" i="11"/>
  <c r="AG1325" i="11" s="1"/>
  <c r="AH1325" i="11"/>
  <c r="N1316" i="11"/>
  <c r="AG1316" i="11" s="1"/>
  <c r="N1349" i="11"/>
  <c r="AG1349" i="11" s="1"/>
  <c r="N1311" i="11"/>
  <c r="AG1311" i="11" s="1"/>
  <c r="AH1311" i="11"/>
  <c r="AI1318" i="11"/>
  <c r="N1342" i="11"/>
  <c r="AG1342" i="11" s="1"/>
  <c r="N1340" i="11"/>
  <c r="AG1340" i="11" s="1"/>
  <c r="AH1340" i="11"/>
  <c r="AH1346" i="11"/>
  <c r="N1313" i="11"/>
  <c r="AG1313" i="11" s="1"/>
  <c r="N1315" i="11"/>
  <c r="AG1315" i="11" s="1"/>
  <c r="AH1315" i="11"/>
  <c r="AH1352" i="11"/>
  <c r="AH1333" i="11"/>
  <c r="AI1321" i="11"/>
  <c r="N1320" i="11"/>
  <c r="AG1320" i="11" s="1"/>
  <c r="AH1320" i="11"/>
  <c r="N1323" i="11"/>
  <c r="AG1323" i="11" s="1"/>
  <c r="AH1323" i="11"/>
  <c r="N1326" i="11"/>
  <c r="AG1326" i="11" s="1"/>
  <c r="AH1326" i="11"/>
  <c r="AI1352" i="11"/>
  <c r="AI1333" i="11"/>
  <c r="AI1338" i="11"/>
  <c r="N1321" i="11"/>
  <c r="AG1321" i="11" s="1"/>
  <c r="AH1313" i="11"/>
  <c r="N1338" i="11"/>
  <c r="AG1338" i="11" s="1"/>
  <c r="N1309" i="11"/>
  <c r="AG1309" i="11" s="1"/>
  <c r="AH1309" i="11"/>
  <c r="N1341" i="11"/>
  <c r="AG1341" i="11" s="1"/>
  <c r="AH1341" i="11"/>
  <c r="AI1344" i="11"/>
  <c r="N1347" i="11"/>
  <c r="AG1347" i="11" s="1"/>
  <c r="N1334" i="11"/>
  <c r="AG1334" i="11" s="1"/>
  <c r="AI1337" i="11"/>
  <c r="N1344" i="11"/>
  <c r="AG1344" i="11" s="1"/>
  <c r="N1348" i="11"/>
  <c r="AG1348" i="11" s="1"/>
  <c r="N1351" i="11"/>
  <c r="AG1351" i="11" s="1"/>
  <c r="N1346" i="11"/>
  <c r="AG1346" i="11" s="1"/>
  <c r="N1337" i="11"/>
  <c r="AG1337" i="11" s="1"/>
  <c r="N1339" i="11"/>
  <c r="AG1339" i="11" s="1"/>
  <c r="AH1339" i="11"/>
  <c r="N1336" i="11"/>
  <c r="AG1336" i="11" s="1"/>
  <c r="AH1336" i="11"/>
  <c r="N1335" i="11"/>
  <c r="AG1335" i="11" s="1"/>
  <c r="AE1333" i="11"/>
  <c r="AE1352" i="11"/>
  <c r="N1322" i="11"/>
  <c r="AG1322" i="11" s="1"/>
  <c r="AH1322" i="11"/>
  <c r="N1329" i="11"/>
  <c r="AG1329" i="11" s="1"/>
  <c r="AH1329" i="11"/>
  <c r="N1327" i="11"/>
  <c r="AG1327" i="11" s="1"/>
  <c r="AH1327" i="11"/>
  <c r="N1318" i="11"/>
  <c r="AG1318" i="11" s="1"/>
  <c r="N1314" i="11"/>
  <c r="AG1314" i="11" s="1"/>
  <c r="AH1314" i="11"/>
  <c r="N1312" i="11"/>
  <c r="AG1312" i="11" s="1"/>
  <c r="AH1312" i="11"/>
  <c r="AH1310" i="11"/>
  <c r="AE1310" i="11"/>
  <c r="AE908" i="11"/>
  <c r="AE1317" i="11" l="1"/>
  <c r="AE1350" i="11"/>
  <c r="AE1324" i="11"/>
  <c r="AE1319" i="11"/>
  <c r="AE1328" i="11"/>
  <c r="AE1325" i="11"/>
  <c r="AG1353" i="11"/>
  <c r="AE1343" i="11"/>
  <c r="AE1345" i="11"/>
  <c r="AE1311" i="11"/>
  <c r="AE1342" i="11"/>
  <c r="AE1340" i="11"/>
  <c r="AE1316" i="11"/>
  <c r="AE1349" i="11"/>
  <c r="AE1326" i="11"/>
  <c r="AE1320" i="11"/>
  <c r="AE1321" i="11"/>
  <c r="AE1309" i="11"/>
  <c r="AE1334" i="11"/>
  <c r="AE1313" i="11"/>
  <c r="AE1336" i="11"/>
  <c r="AE1323" i="11"/>
  <c r="AE1341" i="11"/>
  <c r="AE1315" i="11"/>
  <c r="AE1348" i="11"/>
  <c r="AE1347" i="11"/>
  <c r="AE1335" i="11"/>
  <c r="AE1339" i="11"/>
  <c r="AE1338" i="11"/>
  <c r="AE1337" i="11"/>
  <c r="AE1344" i="11"/>
  <c r="AE1351" i="11"/>
  <c r="AE1346" i="11"/>
  <c r="AE1322" i="11"/>
  <c r="AE1329" i="11"/>
  <c r="AE1327" i="11"/>
  <c r="AE1318" i="11"/>
  <c r="AE1314" i="11"/>
  <c r="AE1312" i="11"/>
  <c r="S578" i="11" l="1"/>
  <c r="M58" i="11"/>
  <c r="M1003" i="11"/>
  <c r="M516" i="11"/>
  <c r="M2217" i="11"/>
  <c r="M130" i="11"/>
  <c r="M1646" i="11"/>
  <c r="Q1003" i="11" l="1"/>
  <c r="M989" i="11" l="1"/>
  <c r="M615" i="11"/>
  <c r="M69" i="11"/>
  <c r="M1469" i="11"/>
  <c r="M53" i="11"/>
  <c r="Q989" i="11"/>
  <c r="M854" i="11"/>
  <c r="Q854" i="11"/>
  <c r="S1049" i="11"/>
  <c r="Q864" i="11"/>
  <c r="M492" i="11" l="1"/>
  <c r="M2105" i="11" l="1"/>
  <c r="M1568" i="11"/>
  <c r="M986" i="11"/>
  <c r="M996" i="11"/>
  <c r="M1049" i="11"/>
  <c r="M856" i="11"/>
  <c r="M174" i="11"/>
  <c r="Q986" i="11" l="1"/>
  <c r="Q856" i="11"/>
  <c r="M855" i="11"/>
  <c r="Q1049" i="11"/>
  <c r="S632" i="11" l="1"/>
  <c r="W72" i="11"/>
  <c r="M1455" i="11"/>
  <c r="M607" i="11"/>
  <c r="M995" i="11"/>
  <c r="M632" i="11"/>
  <c r="M191" i="11"/>
  <c r="M552" i="11"/>
  <c r="S585" i="11" l="1"/>
  <c r="S2013" i="11" l="1"/>
  <c r="S867" i="11"/>
  <c r="Q552" i="11"/>
  <c r="Q632" i="11"/>
  <c r="AI1717" i="11"/>
  <c r="AH1717" i="11"/>
  <c r="X1717" i="11"/>
  <c r="U1717" i="11"/>
  <c r="T1717" i="11"/>
  <c r="N1717" i="11"/>
  <c r="AG1717" i="11" s="1"/>
  <c r="AI1718" i="11"/>
  <c r="AH1718" i="11"/>
  <c r="X1718" i="11"/>
  <c r="U1718" i="11"/>
  <c r="T1718" i="11"/>
  <c r="N1718" i="11"/>
  <c r="AG1718" i="11" s="1"/>
  <c r="AI1716" i="11"/>
  <c r="AH1716" i="11"/>
  <c r="X1716" i="11"/>
  <c r="U1716" i="11"/>
  <c r="T1716" i="11"/>
  <c r="N1716" i="11"/>
  <c r="AG1716" i="11" s="1"/>
  <c r="W1532" i="11"/>
  <c r="V1532" i="11"/>
  <c r="S1532" i="11"/>
  <c r="R1532" i="11"/>
  <c r="Q1532" i="11"/>
  <c r="P1532" i="11"/>
  <c r="M1532" i="11"/>
  <c r="L1532" i="11"/>
  <c r="F1532" i="11"/>
  <c r="AI1531" i="11"/>
  <c r="AH1531" i="11"/>
  <c r="X1531" i="11"/>
  <c r="U1531" i="11"/>
  <c r="T1531" i="11"/>
  <c r="N1531" i="11"/>
  <c r="AG1531" i="11" s="1"/>
  <c r="AI1530" i="11"/>
  <c r="AH1530" i="11"/>
  <c r="X1530" i="11"/>
  <c r="U1530" i="11"/>
  <c r="T1530" i="11"/>
  <c r="N1530" i="11"/>
  <c r="AG1530" i="11" s="1"/>
  <c r="AI293" i="11"/>
  <c r="AH293" i="11"/>
  <c r="X293" i="11"/>
  <c r="U293" i="11"/>
  <c r="T293" i="11"/>
  <c r="N293" i="11"/>
  <c r="AG293" i="11" s="1"/>
  <c r="AI260" i="11"/>
  <c r="AH260" i="11"/>
  <c r="X260" i="11"/>
  <c r="U260" i="11"/>
  <c r="T260" i="11"/>
  <c r="N260" i="11"/>
  <c r="AG260" i="11" s="1"/>
  <c r="T925" i="11"/>
  <c r="T926" i="11"/>
  <c r="AI1397" i="11"/>
  <c r="AH1397" i="11"/>
  <c r="X1397" i="11"/>
  <c r="U1397" i="11"/>
  <c r="T1397" i="11"/>
  <c r="N1397" i="11"/>
  <c r="AG1397" i="11" s="1"/>
  <c r="AI1398" i="11"/>
  <c r="AH1398" i="11"/>
  <c r="X1398" i="11"/>
  <c r="U1398" i="11"/>
  <c r="T1398" i="11"/>
  <c r="N1398" i="11"/>
  <c r="AG1398" i="11" s="1"/>
  <c r="M1400" i="11"/>
  <c r="O1400" i="11"/>
  <c r="P1400" i="11"/>
  <c r="Q1400" i="11"/>
  <c r="R1400" i="11"/>
  <c r="S1400" i="11"/>
  <c r="V1400" i="11"/>
  <c r="W1400" i="11"/>
  <c r="L1400" i="11"/>
  <c r="F1400" i="11"/>
  <c r="AI1396" i="11"/>
  <c r="AH1396" i="11"/>
  <c r="U1396" i="11"/>
  <c r="T1396" i="11"/>
  <c r="N1396" i="11"/>
  <c r="W1704" i="11"/>
  <c r="V1704" i="11"/>
  <c r="S1704" i="11"/>
  <c r="R1704" i="11"/>
  <c r="Q1704" i="11"/>
  <c r="P1704" i="11"/>
  <c r="M1704" i="11"/>
  <c r="L1704" i="11"/>
  <c r="F1704" i="11"/>
  <c r="AI1703" i="11"/>
  <c r="AH1703" i="11"/>
  <c r="X1703" i="11"/>
  <c r="X1704" i="11" s="1"/>
  <c r="U1703" i="11"/>
  <c r="T1703" i="11"/>
  <c r="T1704" i="11" s="1"/>
  <c r="N1703" i="11"/>
  <c r="AG1703" i="11" s="1"/>
  <c r="AI1679" i="11"/>
  <c r="AH1679" i="11"/>
  <c r="X1679" i="11"/>
  <c r="U1679" i="11"/>
  <c r="T1679" i="11"/>
  <c r="N1679" i="11"/>
  <c r="AG1679" i="11" s="1"/>
  <c r="AI1532" i="11" l="1"/>
  <c r="T1532" i="11"/>
  <c r="N1704" i="11"/>
  <c r="AG1704" i="11" s="1"/>
  <c r="AH1704" i="11"/>
  <c r="U1704" i="11"/>
  <c r="AE1717" i="11"/>
  <c r="AE1716" i="11"/>
  <c r="AE1718" i="11"/>
  <c r="U1532" i="11"/>
  <c r="N1532" i="11"/>
  <c r="AG1532" i="11" s="1"/>
  <c r="AE1531" i="11"/>
  <c r="AH1532" i="11"/>
  <c r="X1532" i="11"/>
  <c r="AE1530" i="11"/>
  <c r="AE293" i="11"/>
  <c r="AE260" i="11"/>
  <c r="AI1704" i="11"/>
  <c r="AE1397" i="11"/>
  <c r="U1400" i="11"/>
  <c r="AE1398" i="11"/>
  <c r="AG1396" i="11"/>
  <c r="AE1396" i="11"/>
  <c r="X1396" i="11"/>
  <c r="AE1703" i="11"/>
  <c r="AE1679" i="11"/>
  <c r="AE1704" i="11" l="1"/>
  <c r="AE1532" i="11"/>
  <c r="Q855" i="11" l="1"/>
  <c r="M1440" i="11"/>
  <c r="M862" i="11"/>
  <c r="M1001" i="11"/>
  <c r="M72" i="11"/>
  <c r="M1382" i="11"/>
  <c r="M1465" i="11"/>
  <c r="M91" i="11"/>
  <c r="Q862" i="11" l="1"/>
  <c r="Q1001" i="11"/>
  <c r="M2141" i="11" l="1"/>
  <c r="Q2141" i="11"/>
  <c r="S2141" i="11"/>
  <c r="S1406" i="11"/>
  <c r="M2124" i="11"/>
  <c r="M1645" i="11"/>
  <c r="M610" i="11"/>
  <c r="M863" i="11"/>
  <c r="M841" i="11"/>
  <c r="M840" i="11"/>
  <c r="M878" i="11"/>
  <c r="Q840" i="11" l="1"/>
  <c r="Q2124" i="11"/>
  <c r="Q841" i="11"/>
  <c r="AI784" i="11"/>
  <c r="AH784" i="11"/>
  <c r="X784" i="11"/>
  <c r="U784" i="11"/>
  <c r="T784" i="11"/>
  <c r="N784" i="11"/>
  <c r="AG784" i="11" s="1"/>
  <c r="AI1686" i="11"/>
  <c r="AH1686" i="11"/>
  <c r="X1686" i="11"/>
  <c r="U1686" i="11"/>
  <c r="T1686" i="11"/>
  <c r="N1686" i="11"/>
  <c r="AG1686" i="11" s="1"/>
  <c r="AI1683" i="11"/>
  <c r="AH1683" i="11"/>
  <c r="X1683" i="11"/>
  <c r="U1683" i="11"/>
  <c r="T1683" i="11"/>
  <c r="N1683" i="11"/>
  <c r="AG1683" i="11" s="1"/>
  <c r="AI1684" i="11"/>
  <c r="AH1684" i="11"/>
  <c r="X1684" i="11"/>
  <c r="U1684" i="11"/>
  <c r="T1684" i="11"/>
  <c r="N1684" i="11"/>
  <c r="AG1684" i="11" s="1"/>
  <c r="AI1664" i="11"/>
  <c r="AH1664" i="11"/>
  <c r="X1664" i="11"/>
  <c r="U1664" i="11"/>
  <c r="T1664" i="11"/>
  <c r="N1664" i="11"/>
  <c r="AG1664" i="11" s="1"/>
  <c r="AI1663" i="11"/>
  <c r="AH1663" i="11"/>
  <c r="X1663" i="11"/>
  <c r="U1663" i="11"/>
  <c r="T1663" i="11"/>
  <c r="N1663" i="11"/>
  <c r="AG1663" i="11" s="1"/>
  <c r="AI1665" i="11"/>
  <c r="AH1665" i="11"/>
  <c r="X1665" i="11"/>
  <c r="U1665" i="11"/>
  <c r="T1665" i="11"/>
  <c r="N1665" i="11"/>
  <c r="AG1665" i="11" s="1"/>
  <c r="AI242" i="11"/>
  <c r="AH242" i="11"/>
  <c r="X242" i="11"/>
  <c r="U242" i="11"/>
  <c r="T242" i="11"/>
  <c r="N242" i="11"/>
  <c r="AE242" i="11" s="1"/>
  <c r="AI243" i="11"/>
  <c r="AH243" i="11"/>
  <c r="X243" i="11"/>
  <c r="U243" i="11"/>
  <c r="T243" i="11"/>
  <c r="N243" i="11"/>
  <c r="AG243" i="11" s="1"/>
  <c r="AI1150" i="11"/>
  <c r="AH1150" i="11"/>
  <c r="X1150" i="11"/>
  <c r="U1150" i="11"/>
  <c r="T1150" i="11"/>
  <c r="N1150" i="11"/>
  <c r="AG1150" i="11" s="1"/>
  <c r="AI1151" i="11"/>
  <c r="AH1151" i="11"/>
  <c r="X1151" i="11"/>
  <c r="U1151" i="11"/>
  <c r="T1151" i="11"/>
  <c r="N1151" i="11"/>
  <c r="AG1151" i="11" s="1"/>
  <c r="AI1658" i="11"/>
  <c r="AH1658" i="11"/>
  <c r="X1658" i="11"/>
  <c r="U1658" i="11"/>
  <c r="T1658" i="11"/>
  <c r="N1658" i="11"/>
  <c r="AG1658" i="11" s="1"/>
  <c r="AI1657" i="11"/>
  <c r="AH1657" i="11"/>
  <c r="X1657" i="11"/>
  <c r="U1657" i="11"/>
  <c r="T1657" i="11"/>
  <c r="N1657" i="11"/>
  <c r="AG1657" i="11" s="1"/>
  <c r="AI1659" i="11"/>
  <c r="AH1659" i="11"/>
  <c r="X1659" i="11"/>
  <c r="U1659" i="11"/>
  <c r="T1659" i="11"/>
  <c r="N1659" i="11"/>
  <c r="AG1659" i="11" s="1"/>
  <c r="W1587" i="11"/>
  <c r="V1587" i="11"/>
  <c r="S1587" i="11"/>
  <c r="R1587" i="11"/>
  <c r="Q1587" i="11"/>
  <c r="P1587" i="11"/>
  <c r="M1587" i="11"/>
  <c r="L1587" i="11"/>
  <c r="F1587" i="11"/>
  <c r="AI1586" i="11"/>
  <c r="AH1586" i="11"/>
  <c r="X1586" i="11"/>
  <c r="U1586" i="11"/>
  <c r="T1586" i="11"/>
  <c r="N1586" i="11"/>
  <c r="AE1586" i="11" s="1"/>
  <c r="AI1585" i="11"/>
  <c r="AH1585" i="11"/>
  <c r="X1585" i="11"/>
  <c r="U1585" i="11"/>
  <c r="T1585" i="11"/>
  <c r="N1585" i="11"/>
  <c r="AE1585" i="11" s="1"/>
  <c r="AI1584" i="11"/>
  <c r="AH1584" i="11"/>
  <c r="X1584" i="11"/>
  <c r="U1584" i="11"/>
  <c r="T1584" i="11"/>
  <c r="N1584" i="11"/>
  <c r="AE1584" i="11" s="1"/>
  <c r="W1583" i="11"/>
  <c r="V1583" i="11"/>
  <c r="S1583" i="11"/>
  <c r="R1583" i="11"/>
  <c r="Q1583" i="11"/>
  <c r="P1583" i="11"/>
  <c r="M1583" i="11"/>
  <c r="L1583" i="11"/>
  <c r="F1583" i="11"/>
  <c r="AI1582" i="11"/>
  <c r="AH1582" i="11"/>
  <c r="X1582" i="11"/>
  <c r="U1582" i="11"/>
  <c r="T1582" i="11"/>
  <c r="N1582" i="11"/>
  <c r="AE1582" i="11" s="1"/>
  <c r="AI1581" i="11"/>
  <c r="AH1581" i="11"/>
  <c r="X1581" i="11"/>
  <c r="U1581" i="11"/>
  <c r="T1581" i="11"/>
  <c r="N1581" i="11"/>
  <c r="AE1581" i="11" s="1"/>
  <c r="AI1580" i="11"/>
  <c r="AH1580" i="11"/>
  <c r="X1580" i="11"/>
  <c r="U1580" i="11"/>
  <c r="T1580" i="11"/>
  <c r="N1580" i="11"/>
  <c r="AE1580" i="11" s="1"/>
  <c r="W1579" i="11"/>
  <c r="V1579" i="11"/>
  <c r="S1579" i="11"/>
  <c r="R1579" i="11"/>
  <c r="Q1579" i="11"/>
  <c r="P1579" i="11"/>
  <c r="M1579" i="11"/>
  <c r="L1579" i="11"/>
  <c r="F1579" i="11"/>
  <c r="AI1578" i="11"/>
  <c r="AH1578" i="11"/>
  <c r="X1578" i="11"/>
  <c r="U1578" i="11"/>
  <c r="T1578" i="11"/>
  <c r="N1578" i="11"/>
  <c r="AG1578" i="11" s="1"/>
  <c r="AI1577" i="11"/>
  <c r="AH1577" i="11"/>
  <c r="X1577" i="11"/>
  <c r="U1577" i="11"/>
  <c r="T1577" i="11"/>
  <c r="N1577" i="11"/>
  <c r="AG1577" i="11" s="1"/>
  <c r="AI1576" i="11"/>
  <c r="AH1576" i="11"/>
  <c r="X1576" i="11"/>
  <c r="U1576" i="11"/>
  <c r="T1576" i="11"/>
  <c r="N1576" i="11"/>
  <c r="AG1576" i="11" s="1"/>
  <c r="AI1575" i="11"/>
  <c r="AH1575" i="11"/>
  <c r="X1575" i="11"/>
  <c r="U1575" i="11"/>
  <c r="T1575" i="11"/>
  <c r="N1575" i="11"/>
  <c r="W1590" i="11"/>
  <c r="V1590" i="11"/>
  <c r="S1590" i="11"/>
  <c r="R1590" i="11"/>
  <c r="Q1590" i="11"/>
  <c r="P1590" i="11"/>
  <c r="M1590" i="11"/>
  <c r="L1590" i="11"/>
  <c r="F1590" i="11"/>
  <c r="AI1589" i="11"/>
  <c r="AH1589" i="11"/>
  <c r="X1589" i="11"/>
  <c r="U1589" i="11"/>
  <c r="T1589" i="11"/>
  <c r="N1589" i="11"/>
  <c r="AE1589" i="11" s="1"/>
  <c r="AI1588" i="11"/>
  <c r="AH1588" i="11"/>
  <c r="X1588" i="11"/>
  <c r="U1588" i="11"/>
  <c r="T1588" i="11"/>
  <c r="N1588" i="11"/>
  <c r="AE1588" i="11" s="1"/>
  <c r="AI1625" i="11"/>
  <c r="AH1625" i="11"/>
  <c r="X1625" i="11"/>
  <c r="U1625" i="11"/>
  <c r="T1625" i="11"/>
  <c r="N1625" i="11"/>
  <c r="AG1625" i="11" s="1"/>
  <c r="F1548" i="11"/>
  <c r="F1545" i="11"/>
  <c r="W1520" i="11"/>
  <c r="V1520" i="11"/>
  <c r="S1520" i="11"/>
  <c r="R1520" i="11"/>
  <c r="Q1520" i="11"/>
  <c r="P1520" i="11"/>
  <c r="M1520" i="11"/>
  <c r="L1520" i="11"/>
  <c r="F1520" i="11"/>
  <c r="AI1519" i="11"/>
  <c r="AH1519" i="11"/>
  <c r="X1519" i="11"/>
  <c r="U1519" i="11"/>
  <c r="T1519" i="11"/>
  <c r="N1519" i="11"/>
  <c r="AE1519" i="11" s="1"/>
  <c r="AI1518" i="11"/>
  <c r="AH1518" i="11"/>
  <c r="X1518" i="11"/>
  <c r="U1518" i="11"/>
  <c r="T1518" i="11"/>
  <c r="N1518" i="11"/>
  <c r="AE1518" i="11" s="1"/>
  <c r="W1517" i="11"/>
  <c r="V1517" i="11"/>
  <c r="S1517" i="11"/>
  <c r="R1517" i="11"/>
  <c r="Q1517" i="11"/>
  <c r="P1517" i="11"/>
  <c r="M1517" i="11"/>
  <c r="L1517" i="11"/>
  <c r="F1517" i="11"/>
  <c r="AI1516" i="11"/>
  <c r="AH1516" i="11"/>
  <c r="X1516" i="11"/>
  <c r="U1516" i="11"/>
  <c r="T1516" i="11"/>
  <c r="N1516" i="11"/>
  <c r="AG1516" i="11" s="1"/>
  <c r="AI1515" i="11"/>
  <c r="AH1515" i="11"/>
  <c r="X1515" i="11"/>
  <c r="U1515" i="11"/>
  <c r="T1515" i="11"/>
  <c r="N1515" i="11"/>
  <c r="AG1515" i="11" s="1"/>
  <c r="AI1514" i="11"/>
  <c r="AH1514" i="11"/>
  <c r="X1514" i="11"/>
  <c r="U1514" i="11"/>
  <c r="T1514" i="11"/>
  <c r="N1514" i="11"/>
  <c r="AG1514" i="11" s="1"/>
  <c r="AI1513" i="11"/>
  <c r="AH1513" i="11"/>
  <c r="X1513" i="11"/>
  <c r="U1513" i="11"/>
  <c r="T1513" i="11"/>
  <c r="N1513" i="11"/>
  <c r="AG1513" i="11" s="1"/>
  <c r="AI1512" i="11"/>
  <c r="AH1512" i="11"/>
  <c r="X1512" i="11"/>
  <c r="U1512" i="11"/>
  <c r="T1512" i="11"/>
  <c r="N1512" i="11"/>
  <c r="AI1522" i="11"/>
  <c r="AH1522" i="11"/>
  <c r="X1522" i="11"/>
  <c r="U1522" i="11"/>
  <c r="T1522" i="11"/>
  <c r="N1522" i="11"/>
  <c r="AG1522" i="11" s="1"/>
  <c r="AI1590" i="11" l="1"/>
  <c r="AI1587" i="11"/>
  <c r="AI1517" i="11"/>
  <c r="AI1579" i="11"/>
  <c r="U1583" i="11"/>
  <c r="AE784" i="11"/>
  <c r="AE1686" i="11"/>
  <c r="AE1683" i="11"/>
  <c r="AE1684" i="11"/>
  <c r="AH1583" i="11"/>
  <c r="AH1587" i="11"/>
  <c r="AH1579" i="11"/>
  <c r="AE1663" i="11"/>
  <c r="AE1664" i="11"/>
  <c r="AE1665" i="11"/>
  <c r="AG242" i="11"/>
  <c r="AE243" i="11"/>
  <c r="AE1150" i="11"/>
  <c r="AE1151" i="11"/>
  <c r="AE1657" i="11"/>
  <c r="AE1658" i="11"/>
  <c r="AE1659" i="11"/>
  <c r="T1587" i="11"/>
  <c r="X1587" i="11"/>
  <c r="X1579" i="11"/>
  <c r="T1579" i="11"/>
  <c r="U1587" i="11"/>
  <c r="AI1583" i="11"/>
  <c r="X1583" i="11"/>
  <c r="AG1581" i="11"/>
  <c r="AG1584" i="11"/>
  <c r="AG1585" i="11"/>
  <c r="AG1586" i="11"/>
  <c r="AG1580" i="11"/>
  <c r="N1583" i="11"/>
  <c r="T1583" i="11"/>
  <c r="N1587" i="11"/>
  <c r="AG1582" i="11"/>
  <c r="N1579" i="11"/>
  <c r="AG1579" i="11" s="1"/>
  <c r="U1579" i="11"/>
  <c r="AH1520" i="11"/>
  <c r="X1590" i="11"/>
  <c r="AE1578" i="11"/>
  <c r="AE1575" i="11"/>
  <c r="AE1576" i="11"/>
  <c r="AE1577" i="11"/>
  <c r="AG1575" i="11"/>
  <c r="AH1590" i="11"/>
  <c r="AG1589" i="11"/>
  <c r="AG1588" i="11"/>
  <c r="T1590" i="11"/>
  <c r="U1590" i="11"/>
  <c r="N1590" i="11"/>
  <c r="AE1625" i="11"/>
  <c r="X1517" i="11"/>
  <c r="AG1518" i="11"/>
  <c r="T1520" i="11"/>
  <c r="N1520" i="11"/>
  <c r="AG1520" i="11" s="1"/>
  <c r="T1517" i="11"/>
  <c r="U1517" i="11"/>
  <c r="X1520" i="11"/>
  <c r="AG1519" i="11"/>
  <c r="U1520" i="11"/>
  <c r="AI1520" i="11"/>
  <c r="N1517" i="11"/>
  <c r="AG1517" i="11" s="1"/>
  <c r="AH1517" i="11"/>
  <c r="AE1512" i="11"/>
  <c r="AE1513" i="11"/>
  <c r="AE1514" i="11"/>
  <c r="AE1515" i="11"/>
  <c r="AE1516" i="11"/>
  <c r="AG1512" i="11"/>
  <c r="AE1522" i="11"/>
  <c r="AG1583" i="11" l="1"/>
  <c r="AE1583" i="11"/>
  <c r="AG1587" i="11"/>
  <c r="AE1587" i="11"/>
  <c r="AE1579" i="11"/>
  <c r="AG1590" i="11"/>
  <c r="AE1590" i="11"/>
  <c r="AE1520" i="11"/>
  <c r="AE1517" i="11"/>
  <c r="Q2013" i="11" l="1"/>
  <c r="S1405" i="11"/>
  <c r="S1061" i="11" l="1"/>
  <c r="W514" i="11"/>
  <c r="M818" i="11" l="1"/>
  <c r="M879" i="11"/>
  <c r="M482" i="11"/>
  <c r="M1202" i="11"/>
  <c r="M514" i="11"/>
  <c r="M1061" i="11"/>
  <c r="M2013" i="11"/>
  <c r="Q839" i="11" l="1"/>
  <c r="U519" i="11" l="1"/>
  <c r="M518" i="11"/>
  <c r="P518" i="11"/>
  <c r="Q518" i="11"/>
  <c r="R518" i="11"/>
  <c r="S518" i="11"/>
  <c r="V518" i="11"/>
  <c r="W518" i="11"/>
  <c r="L518" i="11"/>
  <c r="F518" i="11"/>
  <c r="AI516" i="11"/>
  <c r="AH516" i="11"/>
  <c r="X516" i="11"/>
  <c r="U516" i="11"/>
  <c r="T516" i="11"/>
  <c r="N516" i="11"/>
  <c r="AG516" i="11" s="1"/>
  <c r="AI520" i="11"/>
  <c r="AH520" i="11"/>
  <c r="X520" i="11"/>
  <c r="U520" i="11"/>
  <c r="T520" i="11"/>
  <c r="N520" i="11"/>
  <c r="AG520" i="11" s="1"/>
  <c r="W455" i="11"/>
  <c r="V455" i="11"/>
  <c r="S455" i="11"/>
  <c r="R455" i="11"/>
  <c r="Q455" i="11"/>
  <c r="P455" i="11"/>
  <c r="M455" i="11"/>
  <c r="L455" i="11"/>
  <c r="F455" i="11"/>
  <c r="AI454" i="11"/>
  <c r="AH454" i="11"/>
  <c r="X454" i="11"/>
  <c r="U454" i="11"/>
  <c r="T454" i="11"/>
  <c r="N454" i="11"/>
  <c r="AE454" i="11" s="1"/>
  <c r="AI453" i="11"/>
  <c r="AH453" i="11"/>
  <c r="X453" i="11"/>
  <c r="U453" i="11"/>
  <c r="T453" i="11"/>
  <c r="N453" i="11"/>
  <c r="AE453" i="11" s="1"/>
  <c r="AI452" i="11"/>
  <c r="AH452" i="11"/>
  <c r="X452" i="11"/>
  <c r="U452" i="11"/>
  <c r="T452" i="11"/>
  <c r="N452" i="11"/>
  <c r="AE452" i="11" s="1"/>
  <c r="AI451" i="11"/>
  <c r="AH451" i="11"/>
  <c r="X451" i="11"/>
  <c r="U451" i="11"/>
  <c r="T451" i="11"/>
  <c r="N451" i="11"/>
  <c r="AE451" i="11" s="1"/>
  <c r="AI457" i="11"/>
  <c r="AH457" i="11"/>
  <c r="X457" i="11"/>
  <c r="U457" i="11"/>
  <c r="T457" i="11"/>
  <c r="N457" i="11"/>
  <c r="AG457" i="11" s="1"/>
  <c r="AI458" i="11"/>
  <c r="AH458" i="11"/>
  <c r="X458" i="11"/>
  <c r="U458" i="11"/>
  <c r="T458" i="11"/>
  <c r="N458" i="11"/>
  <c r="AG458" i="11" s="1"/>
  <c r="U422" i="11"/>
  <c r="M423" i="11"/>
  <c r="P423" i="11"/>
  <c r="Q423" i="11"/>
  <c r="R423" i="11"/>
  <c r="V423" i="11"/>
  <c r="W423" i="11"/>
  <c r="L423" i="11"/>
  <c r="F423" i="11"/>
  <c r="AI421" i="11"/>
  <c r="AH421" i="11"/>
  <c r="X421" i="11"/>
  <c r="U421" i="11"/>
  <c r="T421" i="11"/>
  <c r="N421" i="11"/>
  <c r="AG421" i="11" s="1"/>
  <c r="U455" i="11" l="1"/>
  <c r="U518" i="11"/>
  <c r="AE516" i="11"/>
  <c r="AE520" i="11"/>
  <c r="AG453" i="11"/>
  <c r="X455" i="11"/>
  <c r="AG452" i="11"/>
  <c r="N455" i="11"/>
  <c r="AG455" i="11" s="1"/>
  <c r="AH455" i="11"/>
  <c r="AG451" i="11"/>
  <c r="T455" i="11"/>
  <c r="AG454" i="11"/>
  <c r="AI455" i="11"/>
  <c r="AE457" i="11"/>
  <c r="AE458" i="11"/>
  <c r="U423" i="11"/>
  <c r="AE421" i="11"/>
  <c r="AI418" i="11"/>
  <c r="AH418" i="11"/>
  <c r="X418" i="11"/>
  <c r="U418" i="11"/>
  <c r="T418" i="11"/>
  <c r="N418" i="11"/>
  <c r="AG418" i="11" s="1"/>
  <c r="AI2124" i="11"/>
  <c r="AH2124" i="11"/>
  <c r="X2124" i="11"/>
  <c r="U2124" i="11"/>
  <c r="T2124" i="11"/>
  <c r="N2124" i="11"/>
  <c r="AG2124" i="11" s="1"/>
  <c r="AI1185" i="11"/>
  <c r="AH1185" i="11"/>
  <c r="X1185" i="11"/>
  <c r="U1185" i="11"/>
  <c r="T1185" i="11"/>
  <c r="N1185" i="11"/>
  <c r="AG1185" i="11" s="1"/>
  <c r="AI1184" i="11"/>
  <c r="AH1184" i="11"/>
  <c r="X1184" i="11"/>
  <c r="U1184" i="11"/>
  <c r="T1184" i="11"/>
  <c r="N1184" i="11"/>
  <c r="AG1184" i="11" s="1"/>
  <c r="AI1507" i="11"/>
  <c r="AH1507" i="11"/>
  <c r="X1507" i="11"/>
  <c r="U1507" i="11"/>
  <c r="T1507" i="11"/>
  <c r="N1507" i="11"/>
  <c r="AG1507" i="11" s="1"/>
  <c r="U1502" i="11"/>
  <c r="L1498" i="11"/>
  <c r="M1498" i="11"/>
  <c r="O1498" i="11"/>
  <c r="P1498" i="11"/>
  <c r="Q1498" i="11"/>
  <c r="R1498" i="11"/>
  <c r="S1498" i="11"/>
  <c r="V1498" i="11"/>
  <c r="W1498" i="11"/>
  <c r="F1498" i="11"/>
  <c r="AI1496" i="11"/>
  <c r="AH1496" i="11"/>
  <c r="X1496" i="11"/>
  <c r="U1496" i="11"/>
  <c r="T1496" i="11"/>
  <c r="N1496" i="11"/>
  <c r="AG1496" i="11" s="1"/>
  <c r="AI1495" i="11"/>
  <c r="AH1495" i="11"/>
  <c r="X1495" i="11"/>
  <c r="U1495" i="11"/>
  <c r="T1495" i="11"/>
  <c r="N1495" i="11"/>
  <c r="AG1495" i="11" s="1"/>
  <c r="AE455" i="11" l="1"/>
  <c r="AE418" i="11"/>
  <c r="U1498" i="11"/>
  <c r="AE2124" i="11"/>
  <c r="AE1185" i="11"/>
  <c r="AE1184" i="11"/>
  <c r="AE1507" i="11"/>
  <c r="AE1496" i="11"/>
  <c r="AE1495" i="11"/>
  <c r="Q1403" i="11" l="1"/>
  <c r="S1403" i="11"/>
  <c r="M839" i="11"/>
  <c r="M631" i="11"/>
  <c r="M593" i="11"/>
  <c r="M850" i="11"/>
  <c r="M212" i="11"/>
  <c r="Q631" i="11" l="1"/>
  <c r="Q593" i="11"/>
  <c r="Q634" i="11"/>
  <c r="Q830" i="11"/>
  <c r="Q850" i="11"/>
  <c r="Q564" i="11"/>
  <c r="W409" i="11" l="1"/>
  <c r="Q852" i="11" l="1"/>
  <c r="Q633" i="11"/>
  <c r="M564" i="11"/>
  <c r="M633" i="11"/>
  <c r="M852" i="11"/>
  <c r="M1381" i="11"/>
  <c r="M553" i="11"/>
  <c r="M440" i="11"/>
  <c r="Q867" i="11"/>
  <c r="Q1406" i="11"/>
  <c r="W1007" i="11"/>
  <c r="V1007" i="11"/>
  <c r="S1007" i="11"/>
  <c r="R1007" i="11"/>
  <c r="Q1007" i="11"/>
  <c r="P1007" i="11"/>
  <c r="M1007" i="11"/>
  <c r="L1007" i="11"/>
  <c r="F1007" i="11"/>
  <c r="AI1006" i="11"/>
  <c r="AH1006" i="11"/>
  <c r="X1006" i="11"/>
  <c r="U1006" i="11"/>
  <c r="T1006" i="11"/>
  <c r="N1006" i="11"/>
  <c r="AG1006" i="11" s="1"/>
  <c r="AI1005" i="11"/>
  <c r="AH1005" i="11"/>
  <c r="X1005" i="11"/>
  <c r="U1005" i="11"/>
  <c r="T1005" i="11"/>
  <c r="N1005" i="11"/>
  <c r="AG1005" i="11" s="1"/>
  <c r="W1014" i="11"/>
  <c r="V1014" i="11"/>
  <c r="S1014" i="11"/>
  <c r="R1014" i="11"/>
  <c r="Q1014" i="11"/>
  <c r="P1014" i="11"/>
  <c r="M1014" i="11"/>
  <c r="L1014" i="11"/>
  <c r="F1014" i="11"/>
  <c r="AI1013" i="11"/>
  <c r="AH1013" i="11"/>
  <c r="X1013" i="11"/>
  <c r="U1013" i="11"/>
  <c r="T1013" i="11"/>
  <c r="N1013" i="11"/>
  <c r="AG1013" i="11" s="1"/>
  <c r="AI1012" i="11"/>
  <c r="AH1012" i="11"/>
  <c r="X1012" i="11"/>
  <c r="U1012" i="11"/>
  <c r="T1012" i="11"/>
  <c r="N1012" i="11"/>
  <c r="AG1012" i="11" s="1"/>
  <c r="AI1011" i="11"/>
  <c r="AH1011" i="11"/>
  <c r="X1011" i="11"/>
  <c r="U1011" i="11"/>
  <c r="T1011" i="11"/>
  <c r="N1011" i="11"/>
  <c r="W1010" i="11"/>
  <c r="V1010" i="11"/>
  <c r="S1010" i="11"/>
  <c r="R1010" i="11"/>
  <c r="Q1010" i="11"/>
  <c r="P1010" i="11"/>
  <c r="M1010" i="11"/>
  <c r="L1010" i="11"/>
  <c r="F1010" i="11"/>
  <c r="AI1010" i="11" s="1"/>
  <c r="AI1009" i="11"/>
  <c r="AH1009" i="11"/>
  <c r="X1009" i="11"/>
  <c r="U1009" i="11"/>
  <c r="T1009" i="11"/>
  <c r="N1009" i="11"/>
  <c r="AG1009" i="11" s="1"/>
  <c r="AI1008" i="11"/>
  <c r="AH1008" i="11"/>
  <c r="X1008" i="11"/>
  <c r="U1008" i="11"/>
  <c r="T1008" i="11"/>
  <c r="N1008" i="11"/>
  <c r="AI1016" i="11"/>
  <c r="AH1016" i="11"/>
  <c r="X1016" i="11"/>
  <c r="U1016" i="11"/>
  <c r="T1016" i="11"/>
  <c r="N1016" i="11"/>
  <c r="AG1016" i="11" s="1"/>
  <c r="W1018" i="11"/>
  <c r="V1018" i="11"/>
  <c r="S1018" i="11"/>
  <c r="R1018" i="11"/>
  <c r="Q1018" i="11"/>
  <c r="P1018" i="11"/>
  <c r="M1018" i="11"/>
  <c r="L1018" i="11"/>
  <c r="F1018" i="11"/>
  <c r="AI1017" i="11"/>
  <c r="AH1017" i="11"/>
  <c r="X1017" i="11"/>
  <c r="U1017" i="11"/>
  <c r="T1017" i="11"/>
  <c r="N1017" i="11"/>
  <c r="AG1017" i="11" s="1"/>
  <c r="AI1015" i="11"/>
  <c r="AH1015" i="11"/>
  <c r="X1015" i="11"/>
  <c r="U1015" i="11"/>
  <c r="T1015" i="11"/>
  <c r="N1015" i="11"/>
  <c r="W1021" i="11"/>
  <c r="V1021" i="11"/>
  <c r="S1021" i="11"/>
  <c r="R1021" i="11"/>
  <c r="Q1021" i="11"/>
  <c r="P1021" i="11"/>
  <c r="M1021" i="11"/>
  <c r="L1021" i="11"/>
  <c r="F1021" i="11"/>
  <c r="AI1020" i="11"/>
  <c r="AH1020" i="11"/>
  <c r="X1020" i="11"/>
  <c r="U1020" i="11"/>
  <c r="T1020" i="11"/>
  <c r="N1020" i="11"/>
  <c r="AE1020" i="11" s="1"/>
  <c r="AI1019" i="11"/>
  <c r="AH1019" i="11"/>
  <c r="X1019" i="11"/>
  <c r="U1019" i="11"/>
  <c r="T1019" i="11"/>
  <c r="N1019" i="11"/>
  <c r="AE1019" i="11" s="1"/>
  <c r="W1004" i="11"/>
  <c r="V1004" i="11"/>
  <c r="S1004" i="11"/>
  <c r="R1004" i="11"/>
  <c r="Q1004" i="11"/>
  <c r="P1004" i="11"/>
  <c r="M1004" i="11"/>
  <c r="L1004" i="11"/>
  <c r="F1004" i="11"/>
  <c r="AI1003" i="11"/>
  <c r="AH1003" i="11"/>
  <c r="X1003" i="11"/>
  <c r="U1003" i="11"/>
  <c r="T1003" i="11"/>
  <c r="N1003" i="11"/>
  <c r="AG1003" i="11" s="1"/>
  <c r="AI1002" i="11"/>
  <c r="AH1002" i="11"/>
  <c r="X1002" i="11"/>
  <c r="U1002" i="11"/>
  <c r="T1002" i="11"/>
  <c r="N1002" i="11"/>
  <c r="AG1002" i="11" s="1"/>
  <c r="AI1001" i="11"/>
  <c r="AH1001" i="11"/>
  <c r="X1001" i="11"/>
  <c r="U1001" i="11"/>
  <c r="T1001" i="11"/>
  <c r="N1001" i="11"/>
  <c r="AI1023" i="11"/>
  <c r="AH1023" i="11"/>
  <c r="X1023" i="11"/>
  <c r="U1023" i="11"/>
  <c r="T1023" i="11"/>
  <c r="N1023" i="11"/>
  <c r="AG1023" i="11" s="1"/>
  <c r="W1000" i="11"/>
  <c r="V1000" i="11"/>
  <c r="S1000" i="11"/>
  <c r="R1000" i="11"/>
  <c r="Q1000" i="11"/>
  <c r="P1000" i="11"/>
  <c r="M1000" i="11"/>
  <c r="L1000" i="11"/>
  <c r="F1000" i="11"/>
  <c r="AI999" i="11"/>
  <c r="AH999" i="11"/>
  <c r="X999" i="11"/>
  <c r="U999" i="11"/>
  <c r="T999" i="11"/>
  <c r="N999" i="11"/>
  <c r="AG999" i="11" s="1"/>
  <c r="AI998" i="11"/>
  <c r="AH998" i="11"/>
  <c r="X998" i="11"/>
  <c r="U998" i="11"/>
  <c r="T998" i="11"/>
  <c r="N998" i="11"/>
  <c r="W987" i="11"/>
  <c r="V987" i="11"/>
  <c r="S987" i="11"/>
  <c r="R987" i="11"/>
  <c r="Q987" i="11"/>
  <c r="P987" i="11"/>
  <c r="M987" i="11"/>
  <c r="L987" i="11"/>
  <c r="F987" i="11"/>
  <c r="AI986" i="11"/>
  <c r="AH986" i="11"/>
  <c r="X986" i="11"/>
  <c r="U986" i="11"/>
  <c r="T986" i="11"/>
  <c r="N986" i="11"/>
  <c r="AG986" i="11" s="1"/>
  <c r="AI985" i="11"/>
  <c r="AH985" i="11"/>
  <c r="X985" i="11"/>
  <c r="U985" i="11"/>
  <c r="T985" i="11"/>
  <c r="N985" i="11"/>
  <c r="AI989" i="11"/>
  <c r="AH989" i="11"/>
  <c r="X989" i="11"/>
  <c r="U989" i="11"/>
  <c r="T989" i="11"/>
  <c r="N989" i="11"/>
  <c r="AG989" i="11" s="1"/>
  <c r="W991" i="11"/>
  <c r="V991" i="11"/>
  <c r="S991" i="11"/>
  <c r="R991" i="11"/>
  <c r="Q991" i="11"/>
  <c r="P991" i="11"/>
  <c r="M991" i="11"/>
  <c r="L991" i="11"/>
  <c r="F991" i="11"/>
  <c r="AI990" i="11"/>
  <c r="AH990" i="11"/>
  <c r="X990" i="11"/>
  <c r="U990" i="11"/>
  <c r="T990" i="11"/>
  <c r="N990" i="11"/>
  <c r="AE990" i="11" s="1"/>
  <c r="AI988" i="11"/>
  <c r="AH988" i="11"/>
  <c r="X988" i="11"/>
  <c r="U988" i="11"/>
  <c r="T988" i="11"/>
  <c r="N988" i="11"/>
  <c r="AE988" i="11" s="1"/>
  <c r="W997" i="11"/>
  <c r="V997" i="11"/>
  <c r="S997" i="11"/>
  <c r="R997" i="11"/>
  <c r="Q997" i="11"/>
  <c r="P997" i="11"/>
  <c r="M997" i="11"/>
  <c r="L997" i="11"/>
  <c r="F997" i="11"/>
  <c r="AI996" i="11"/>
  <c r="AH996" i="11"/>
  <c r="X996" i="11"/>
  <c r="U996" i="11"/>
  <c r="T996" i="11"/>
  <c r="N996" i="11"/>
  <c r="AE996" i="11" s="1"/>
  <c r="AI995" i="11"/>
  <c r="AH995" i="11"/>
  <c r="X995" i="11"/>
  <c r="U995" i="11"/>
  <c r="T995" i="11"/>
  <c r="N995" i="11"/>
  <c r="AE995" i="11" s="1"/>
  <c r="W994" i="11"/>
  <c r="S994" i="11"/>
  <c r="R994" i="11"/>
  <c r="Q994" i="11"/>
  <c r="P994" i="11"/>
  <c r="M994" i="11"/>
  <c r="L994" i="11"/>
  <c r="F994" i="11"/>
  <c r="AI993" i="11"/>
  <c r="AH993" i="11"/>
  <c r="X993" i="11"/>
  <c r="U993" i="11"/>
  <c r="T993" i="11"/>
  <c r="N993" i="11"/>
  <c r="AE993" i="11" s="1"/>
  <c r="AI992" i="11"/>
  <c r="AH992" i="11"/>
  <c r="X992" i="11"/>
  <c r="U992" i="11"/>
  <c r="T992" i="11"/>
  <c r="N992" i="11"/>
  <c r="AE992" i="11" s="1"/>
  <c r="W984" i="11"/>
  <c r="V984" i="11"/>
  <c r="S984" i="11"/>
  <c r="R984" i="11"/>
  <c r="Q984" i="11"/>
  <c r="P984" i="11"/>
  <c r="M984" i="11"/>
  <c r="L984" i="11"/>
  <c r="F984" i="11"/>
  <c r="AI983" i="11"/>
  <c r="AH983" i="11"/>
  <c r="X983" i="11"/>
  <c r="U983" i="11"/>
  <c r="T983" i="11"/>
  <c r="N983" i="11"/>
  <c r="AG983" i="11" s="1"/>
  <c r="AI982" i="11"/>
  <c r="AH982" i="11"/>
  <c r="X982" i="11"/>
  <c r="U982" i="11"/>
  <c r="T982" i="11"/>
  <c r="N982" i="11"/>
  <c r="AI1004" i="11" l="1"/>
  <c r="AI1018" i="11"/>
  <c r="N1014" i="11"/>
  <c r="AG1014" i="11" s="1"/>
  <c r="AH1021" i="11"/>
  <c r="T1014" i="11"/>
  <c r="T1000" i="11"/>
  <c r="X1000" i="11"/>
  <c r="X1021" i="11"/>
  <c r="X1010" i="11"/>
  <c r="T1010" i="11"/>
  <c r="N984" i="11"/>
  <c r="AE984" i="11" s="1"/>
  <c r="T984" i="11"/>
  <c r="X987" i="11"/>
  <c r="AH1000" i="11"/>
  <c r="X1004" i="11"/>
  <c r="N1004" i="11"/>
  <c r="AE1004" i="11" s="1"/>
  <c r="AH1004" i="11"/>
  <c r="U1021" i="11"/>
  <c r="AI1021" i="11"/>
  <c r="X1018" i="11"/>
  <c r="T1018" i="11"/>
  <c r="X1007" i="11"/>
  <c r="T1007" i="11"/>
  <c r="T1004" i="11"/>
  <c r="U1018" i="11"/>
  <c r="X1014" i="11"/>
  <c r="AG1019" i="11"/>
  <c r="N987" i="11"/>
  <c r="AE987" i="11" s="1"/>
  <c r="U1004" i="11"/>
  <c r="T1021" i="11"/>
  <c r="N1021" i="11"/>
  <c r="AG1021" i="11" s="1"/>
  <c r="U1010" i="11"/>
  <c r="U1007" i="11"/>
  <c r="AG1020" i="11"/>
  <c r="X984" i="11"/>
  <c r="T987" i="11"/>
  <c r="N1000" i="11"/>
  <c r="AG1000" i="11" s="1"/>
  <c r="AI1000" i="11"/>
  <c r="U1000" i="11"/>
  <c r="AI1014" i="11"/>
  <c r="U1014" i="11"/>
  <c r="AH1007" i="11"/>
  <c r="AI1007" i="11"/>
  <c r="N1007" i="11"/>
  <c r="AG1007" i="11" s="1"/>
  <c r="AE1005" i="11"/>
  <c r="AE1006" i="11"/>
  <c r="AH1014" i="11"/>
  <c r="AE1011" i="11"/>
  <c r="AE1012" i="11"/>
  <c r="AE1013" i="11"/>
  <c r="AG1011" i="11"/>
  <c r="N1010" i="11"/>
  <c r="AG1010" i="11" s="1"/>
  <c r="AH1010" i="11"/>
  <c r="AE1008" i="11"/>
  <c r="AE1009" i="11"/>
  <c r="AG1008" i="11"/>
  <c r="AE1016" i="11"/>
  <c r="AH1018" i="11"/>
  <c r="N1018" i="11"/>
  <c r="AG1018" i="11" s="1"/>
  <c r="AE1015" i="11"/>
  <c r="AE1017" i="11"/>
  <c r="AG1015" i="11"/>
  <c r="AE1001" i="11"/>
  <c r="AE1002" i="11"/>
  <c r="AE1003" i="11"/>
  <c r="AG1001" i="11"/>
  <c r="AE1023" i="11"/>
  <c r="AE998" i="11"/>
  <c r="AE999" i="11"/>
  <c r="AG998" i="11"/>
  <c r="AG995" i="11"/>
  <c r="AH984" i="11"/>
  <c r="X994" i="11"/>
  <c r="AG993" i="11"/>
  <c r="U994" i="11"/>
  <c r="AI994" i="11"/>
  <c r="T997" i="11"/>
  <c r="N997" i="11"/>
  <c r="AH997" i="11"/>
  <c r="AI987" i="11"/>
  <c r="U987" i="11"/>
  <c r="AG992" i="11"/>
  <c r="U991" i="11"/>
  <c r="AI984" i="11"/>
  <c r="U984" i="11"/>
  <c r="T994" i="11"/>
  <c r="N994" i="11"/>
  <c r="AH994" i="11"/>
  <c r="X997" i="11"/>
  <c r="AG996" i="11"/>
  <c r="U997" i="11"/>
  <c r="AI997" i="11"/>
  <c r="T991" i="11"/>
  <c r="AH987" i="11"/>
  <c r="AE985" i="11"/>
  <c r="AE986" i="11"/>
  <c r="AG985" i="11"/>
  <c r="AH991" i="11"/>
  <c r="AE989" i="11"/>
  <c r="X991" i="11"/>
  <c r="N991" i="11"/>
  <c r="AG991" i="11" s="1"/>
  <c r="AG990" i="11"/>
  <c r="AI991" i="11"/>
  <c r="AG988" i="11"/>
  <c r="AE982" i="11"/>
  <c r="AE983" i="11"/>
  <c r="AG982" i="11"/>
  <c r="AE1014" i="11" l="1"/>
  <c r="AG1004" i="11"/>
  <c r="AG984" i="11"/>
  <c r="AG987" i="11"/>
  <c r="AE1000" i="11"/>
  <c r="AE1021" i="11"/>
  <c r="AE991" i="11"/>
  <c r="AE1007" i="11"/>
  <c r="AE1010" i="11"/>
  <c r="AE1018" i="11"/>
  <c r="AG994" i="11"/>
  <c r="AE994" i="11"/>
  <c r="AG997" i="11"/>
  <c r="AE997" i="11"/>
  <c r="S579" i="11" l="1"/>
  <c r="S409" i="11"/>
  <c r="S580" i="11"/>
  <c r="M851" i="11"/>
  <c r="M870" i="11"/>
  <c r="M873" i="11"/>
  <c r="M689" i="11"/>
  <c r="M2106" i="11"/>
  <c r="M211" i="11"/>
  <c r="U322" i="11" l="1"/>
  <c r="Q929" i="11"/>
  <c r="Q409" i="11"/>
  <c r="Q851" i="11"/>
  <c r="Q424" i="11" l="1"/>
  <c r="M424" i="11"/>
  <c r="M919" i="11"/>
  <c r="M1634" i="11" l="1"/>
  <c r="M867" i="11"/>
  <c r="M929" i="11"/>
  <c r="M866" i="11"/>
  <c r="M409" i="11"/>
  <c r="M602" i="11"/>
  <c r="M1405" i="11"/>
  <c r="M110" i="11"/>
  <c r="M580" i="11"/>
  <c r="S788" i="11" l="1"/>
  <c r="Q602" i="11"/>
  <c r="Q1405" i="11"/>
  <c r="Q580" i="11"/>
  <c r="AI269" i="11"/>
  <c r="AH269" i="11"/>
  <c r="X269" i="11"/>
  <c r="U269" i="11"/>
  <c r="T269" i="11"/>
  <c r="N269" i="11"/>
  <c r="AG269" i="11" s="1"/>
  <c r="AE269" i="11" l="1"/>
  <c r="S2139" i="11" l="1"/>
  <c r="M2139" i="11"/>
  <c r="M1439" i="11"/>
  <c r="Q493" i="11" l="1"/>
  <c r="M493" i="11"/>
  <c r="M210" i="11"/>
  <c r="F377" i="11" l="1"/>
  <c r="F291" i="11"/>
  <c r="AI979" i="11"/>
  <c r="AH979" i="11"/>
  <c r="X979" i="11"/>
  <c r="U979" i="11"/>
  <c r="T979" i="11"/>
  <c r="N979" i="11"/>
  <c r="AG979" i="11" s="1"/>
  <c r="W977" i="11"/>
  <c r="V977" i="11"/>
  <c r="S977" i="11"/>
  <c r="R977" i="11"/>
  <c r="Q977" i="11"/>
  <c r="P977" i="11"/>
  <c r="M977" i="11"/>
  <c r="L977" i="11"/>
  <c r="F977" i="11"/>
  <c r="AI976" i="11"/>
  <c r="AH976" i="11"/>
  <c r="X976" i="11"/>
  <c r="U976" i="11"/>
  <c r="T976" i="11"/>
  <c r="N976" i="11"/>
  <c r="AG976" i="11" s="1"/>
  <c r="AI975" i="11"/>
  <c r="AH975" i="11"/>
  <c r="X975" i="11"/>
  <c r="U975" i="11"/>
  <c r="T975" i="11"/>
  <c r="N975" i="11"/>
  <c r="AG975" i="11" s="1"/>
  <c r="W981" i="11"/>
  <c r="V981" i="11"/>
  <c r="S981" i="11"/>
  <c r="R981" i="11"/>
  <c r="Q981" i="11"/>
  <c r="P981" i="11"/>
  <c r="M981" i="11"/>
  <c r="L981" i="11"/>
  <c r="F981" i="11"/>
  <c r="AI980" i="11"/>
  <c r="AH980" i="11"/>
  <c r="X980" i="11"/>
  <c r="U980" i="11"/>
  <c r="T980" i="11"/>
  <c r="N980" i="11"/>
  <c r="AE980" i="11" s="1"/>
  <c r="AI978" i="11"/>
  <c r="AH978" i="11"/>
  <c r="X978" i="11"/>
  <c r="U978" i="11"/>
  <c r="T978" i="11"/>
  <c r="N978" i="11"/>
  <c r="AE978" i="11" s="1"/>
  <c r="W971" i="11"/>
  <c r="V971" i="11"/>
  <c r="S971" i="11"/>
  <c r="R971" i="11"/>
  <c r="Q971" i="11"/>
  <c r="P971" i="11"/>
  <c r="M971" i="11"/>
  <c r="L971" i="11"/>
  <c r="F971" i="11"/>
  <c r="AI970" i="11"/>
  <c r="AH970" i="11"/>
  <c r="X970" i="11"/>
  <c r="U970" i="11"/>
  <c r="T970" i="11"/>
  <c r="N970" i="11"/>
  <c r="AE970" i="11" s="1"/>
  <c r="AI969" i="11"/>
  <c r="AH969" i="11"/>
  <c r="X969" i="11"/>
  <c r="U969" i="11"/>
  <c r="T969" i="11"/>
  <c r="N969" i="11"/>
  <c r="AE969" i="11" s="1"/>
  <c r="W974" i="11"/>
  <c r="V974" i="11"/>
  <c r="S974" i="11"/>
  <c r="R974" i="11"/>
  <c r="Q974" i="11"/>
  <c r="P974" i="11"/>
  <c r="M974" i="11"/>
  <c r="L974" i="11"/>
  <c r="F974" i="11"/>
  <c r="AI973" i="11"/>
  <c r="AH973" i="11"/>
  <c r="X973" i="11"/>
  <c r="U973" i="11"/>
  <c r="T973" i="11"/>
  <c r="N973" i="11"/>
  <c r="AG973" i="11" s="1"/>
  <c r="AI972" i="11"/>
  <c r="AH972" i="11"/>
  <c r="X972" i="11"/>
  <c r="U972" i="11"/>
  <c r="T972" i="11"/>
  <c r="N972" i="11"/>
  <c r="AG972" i="11" s="1"/>
  <c r="W963" i="11"/>
  <c r="V963" i="11"/>
  <c r="S963" i="11"/>
  <c r="R963" i="11"/>
  <c r="Q963" i="11"/>
  <c r="P963" i="11"/>
  <c r="M963" i="11"/>
  <c r="L963" i="11"/>
  <c r="F963" i="11"/>
  <c r="AI962" i="11"/>
  <c r="AH962" i="11"/>
  <c r="X962" i="11"/>
  <c r="U962" i="11"/>
  <c r="T962" i="11"/>
  <c r="N962" i="11"/>
  <c r="AE962" i="11" s="1"/>
  <c r="AI961" i="11"/>
  <c r="AH961" i="11"/>
  <c r="X961" i="11"/>
  <c r="U961" i="11"/>
  <c r="T961" i="11"/>
  <c r="N961" i="11"/>
  <c r="AE961" i="11" s="1"/>
  <c r="AI960" i="11"/>
  <c r="AH960" i="11"/>
  <c r="X960" i="11"/>
  <c r="U960" i="11"/>
  <c r="T960" i="11"/>
  <c r="N960" i="11"/>
  <c r="AE960" i="11" s="1"/>
  <c r="AI959" i="11"/>
  <c r="AH959" i="11"/>
  <c r="X959" i="11"/>
  <c r="U959" i="11"/>
  <c r="T959" i="11"/>
  <c r="N959" i="11"/>
  <c r="AE959" i="11" s="1"/>
  <c r="AI966" i="11"/>
  <c r="AH966" i="11"/>
  <c r="X966" i="11"/>
  <c r="U966" i="11"/>
  <c r="T966" i="11"/>
  <c r="N966" i="11"/>
  <c r="AG966" i="11" s="1"/>
  <c r="W958" i="11"/>
  <c r="V958" i="11"/>
  <c r="S958" i="11"/>
  <c r="R958" i="11"/>
  <c r="Q958" i="11"/>
  <c r="P958" i="11"/>
  <c r="M958" i="11"/>
  <c r="L958" i="11"/>
  <c r="F958" i="11"/>
  <c r="AI957" i="11"/>
  <c r="AH957" i="11"/>
  <c r="X957" i="11"/>
  <c r="U957" i="11"/>
  <c r="T957" i="11"/>
  <c r="N957" i="11"/>
  <c r="AG957" i="11" s="1"/>
  <c r="AI956" i="11"/>
  <c r="AH956" i="11"/>
  <c r="X956" i="11"/>
  <c r="U956" i="11"/>
  <c r="T956" i="11"/>
  <c r="N956" i="11"/>
  <c r="AG956" i="11" s="1"/>
  <c r="AI955" i="11"/>
  <c r="AH955" i="11"/>
  <c r="X955" i="11"/>
  <c r="U955" i="11"/>
  <c r="T955" i="11"/>
  <c r="N955" i="11"/>
  <c r="AG955" i="11" s="1"/>
  <c r="W934" i="11"/>
  <c r="V934" i="11"/>
  <c r="S934" i="11"/>
  <c r="R934" i="11"/>
  <c r="Q934" i="11"/>
  <c r="P934" i="11"/>
  <c r="M934" i="11"/>
  <c r="L934" i="11"/>
  <c r="F934" i="11"/>
  <c r="AI933" i="11"/>
  <c r="AH933" i="11"/>
  <c r="X933" i="11"/>
  <c r="U933" i="11"/>
  <c r="T933" i="11"/>
  <c r="N933" i="11"/>
  <c r="AG933" i="11" s="1"/>
  <c r="AI932" i="11"/>
  <c r="AH932" i="11"/>
  <c r="X932" i="11"/>
  <c r="U932" i="11"/>
  <c r="T932" i="11"/>
  <c r="N932" i="11"/>
  <c r="AG932" i="11" s="1"/>
  <c r="AI931" i="11"/>
  <c r="AH931" i="11"/>
  <c r="X931" i="11"/>
  <c r="U931" i="11"/>
  <c r="T931" i="11"/>
  <c r="N931" i="11"/>
  <c r="AG931" i="11" s="1"/>
  <c r="W954" i="11"/>
  <c r="V954" i="11"/>
  <c r="S954" i="11"/>
  <c r="R954" i="11"/>
  <c r="Q954" i="11"/>
  <c r="P954" i="11"/>
  <c r="M954" i="11"/>
  <c r="L954" i="11"/>
  <c r="F954" i="11"/>
  <c r="AI953" i="11"/>
  <c r="AH953" i="11"/>
  <c r="X953" i="11"/>
  <c r="U953" i="11"/>
  <c r="T953" i="11"/>
  <c r="N953" i="11"/>
  <c r="AG953" i="11" s="1"/>
  <c r="AI952" i="11"/>
  <c r="AH952" i="11"/>
  <c r="X952" i="11"/>
  <c r="U952" i="11"/>
  <c r="T952" i="11"/>
  <c r="N952" i="11"/>
  <c r="AG952" i="11" s="1"/>
  <c r="AI951" i="11"/>
  <c r="AH951" i="11"/>
  <c r="X951" i="11"/>
  <c r="U951" i="11"/>
  <c r="T951" i="11"/>
  <c r="N951" i="11"/>
  <c r="AG951" i="11" s="1"/>
  <c r="W950" i="11"/>
  <c r="V950" i="11"/>
  <c r="S950" i="11"/>
  <c r="R950" i="11"/>
  <c r="Q950" i="11"/>
  <c r="P950" i="11"/>
  <c r="M950" i="11"/>
  <c r="L950" i="11"/>
  <c r="F950" i="11"/>
  <c r="AI949" i="11"/>
  <c r="AH949" i="11"/>
  <c r="X949" i="11"/>
  <c r="U949" i="11"/>
  <c r="T949" i="11"/>
  <c r="N949" i="11"/>
  <c r="AG949" i="11" s="1"/>
  <c r="AI948" i="11"/>
  <c r="AH948" i="11"/>
  <c r="X948" i="11"/>
  <c r="U948" i="11"/>
  <c r="T948" i="11"/>
  <c r="N948" i="11"/>
  <c r="AG948" i="11" s="1"/>
  <c r="AI947" i="11"/>
  <c r="AH947" i="11"/>
  <c r="X947" i="11"/>
  <c r="U947" i="11"/>
  <c r="T947" i="11"/>
  <c r="N947" i="11"/>
  <c r="AG947" i="11" s="1"/>
  <c r="W946" i="11"/>
  <c r="V946" i="11"/>
  <c r="S946" i="11"/>
  <c r="R946" i="11"/>
  <c r="Q946" i="11"/>
  <c r="P946" i="11"/>
  <c r="M946" i="11"/>
  <c r="L946" i="11"/>
  <c r="F946" i="11"/>
  <c r="AI945" i="11"/>
  <c r="AH945" i="11"/>
  <c r="X945" i="11"/>
  <c r="U945" i="11"/>
  <c r="T945" i="11"/>
  <c r="N945" i="11"/>
  <c r="AG945" i="11" s="1"/>
  <c r="AI944" i="11"/>
  <c r="AH944" i="11"/>
  <c r="X944" i="11"/>
  <c r="U944" i="11"/>
  <c r="T944" i="11"/>
  <c r="N944" i="11"/>
  <c r="AG944" i="11" s="1"/>
  <c r="AI943" i="11"/>
  <c r="AH943" i="11"/>
  <c r="X943" i="11"/>
  <c r="U943" i="11"/>
  <c r="T943" i="11"/>
  <c r="N943" i="11"/>
  <c r="AG943" i="11" s="1"/>
  <c r="T950" i="11" l="1"/>
  <c r="X934" i="11"/>
  <c r="T971" i="11"/>
  <c r="X977" i="11"/>
  <c r="AH946" i="11"/>
  <c r="AH958" i="11"/>
  <c r="T946" i="11"/>
  <c r="AH934" i="11"/>
  <c r="T958" i="11"/>
  <c r="U963" i="11"/>
  <c r="X974" i="11"/>
  <c r="T974" i="11"/>
  <c r="AH971" i="11"/>
  <c r="N946" i="11"/>
  <c r="AG946" i="11" s="1"/>
  <c r="X954" i="11"/>
  <c r="U946" i="11"/>
  <c r="U971" i="11"/>
  <c r="AH977" i="11"/>
  <c r="AI950" i="11"/>
  <c r="T934" i="11"/>
  <c r="U958" i="11"/>
  <c r="AI958" i="11"/>
  <c r="T963" i="11"/>
  <c r="U974" i="11"/>
  <c r="N971" i="11"/>
  <c r="AG971" i="11" s="1"/>
  <c r="T981" i="11"/>
  <c r="AH950" i="11"/>
  <c r="T954" i="11"/>
  <c r="X958" i="11"/>
  <c r="T977" i="11"/>
  <c r="U977" i="11"/>
  <c r="N977" i="11"/>
  <c r="AG977" i="11" s="1"/>
  <c r="N950" i="11"/>
  <c r="AG950" i="11" s="1"/>
  <c r="X946" i="11"/>
  <c r="N958" i="11"/>
  <c r="AG958" i="11" s="1"/>
  <c r="X971" i="11"/>
  <c r="AG970" i="11"/>
  <c r="AI971" i="11"/>
  <c r="X981" i="11"/>
  <c r="AI946" i="11"/>
  <c r="X950" i="11"/>
  <c r="U950" i="11"/>
  <c r="U954" i="11"/>
  <c r="U934" i="11"/>
  <c r="X963" i="11"/>
  <c r="AG969" i="11"/>
  <c r="U981" i="11"/>
  <c r="AI977" i="11"/>
  <c r="AI981" i="11"/>
  <c r="AE979" i="11"/>
  <c r="AH981" i="11"/>
  <c r="AE975" i="11"/>
  <c r="AE976" i="11"/>
  <c r="N981" i="11"/>
  <c r="AG981" i="11" s="1"/>
  <c r="AG978" i="11"/>
  <c r="AG980" i="11"/>
  <c r="AI974" i="11"/>
  <c r="AH974" i="11"/>
  <c r="N974" i="11"/>
  <c r="AG974" i="11" s="1"/>
  <c r="AE972" i="11"/>
  <c r="AE973" i="11"/>
  <c r="N963" i="11"/>
  <c r="AG963" i="11" s="1"/>
  <c r="AH963" i="11"/>
  <c r="AI963" i="11"/>
  <c r="AG959" i="11"/>
  <c r="AG960" i="11"/>
  <c r="AG961" i="11"/>
  <c r="AG962" i="11"/>
  <c r="AE966" i="11"/>
  <c r="AE955" i="11"/>
  <c r="AE956" i="11"/>
  <c r="AE957" i="11"/>
  <c r="N934" i="11"/>
  <c r="AG934" i="11" s="1"/>
  <c r="AI934" i="11"/>
  <c r="AE931" i="11"/>
  <c r="AE932" i="11"/>
  <c r="AE933" i="11"/>
  <c r="AH954" i="11"/>
  <c r="AI954" i="11"/>
  <c r="N954" i="11"/>
  <c r="AG954" i="11" s="1"/>
  <c r="AE951" i="11"/>
  <c r="AE952" i="11"/>
  <c r="AE953" i="11"/>
  <c r="AE947" i="11"/>
  <c r="AE948" i="11"/>
  <c r="AE949" i="11"/>
  <c r="AE943" i="11"/>
  <c r="AE944" i="11"/>
  <c r="AE945" i="11"/>
  <c r="AE954" i="11" l="1"/>
  <c r="AE934" i="11"/>
  <c r="AE946" i="11"/>
  <c r="AE958" i="11"/>
  <c r="AE971" i="11"/>
  <c r="AE977" i="11"/>
  <c r="AE950" i="11"/>
  <c r="AE981" i="11"/>
  <c r="AE974" i="11"/>
  <c r="AE963" i="11"/>
  <c r="M1566" i="11" l="1"/>
  <c r="M1404" i="11"/>
  <c r="M1403" i="11"/>
  <c r="M88" i="11"/>
  <c r="Q1837" i="11" l="1"/>
  <c r="Q601" i="11"/>
  <c r="W1566" i="11"/>
  <c r="M1570" i="11" l="1"/>
  <c r="W942" i="11"/>
  <c r="V942" i="11"/>
  <c r="S942" i="11"/>
  <c r="R942" i="11"/>
  <c r="Q942" i="11"/>
  <c r="P942" i="11"/>
  <c r="M942" i="11"/>
  <c r="L942" i="11"/>
  <c r="F942" i="11"/>
  <c r="AI941" i="11"/>
  <c r="AH941" i="11"/>
  <c r="X941" i="11"/>
  <c r="U941" i="11"/>
  <c r="T941" i="11"/>
  <c r="N941" i="11"/>
  <c r="AG941" i="11" s="1"/>
  <c r="AI940" i="11"/>
  <c r="AH940" i="11"/>
  <c r="X940" i="11"/>
  <c r="U940" i="11"/>
  <c r="T940" i="11"/>
  <c r="N940" i="11"/>
  <c r="AG940" i="11" s="1"/>
  <c r="AI939" i="11"/>
  <c r="AH939" i="11"/>
  <c r="X939" i="11"/>
  <c r="U939" i="11"/>
  <c r="T939" i="11"/>
  <c r="N939" i="11"/>
  <c r="W968" i="11"/>
  <c r="V968" i="11"/>
  <c r="S968" i="11"/>
  <c r="R968" i="11"/>
  <c r="Q968" i="11"/>
  <c r="P968" i="11"/>
  <c r="M968" i="11"/>
  <c r="L968" i="11"/>
  <c r="F968" i="11"/>
  <c r="AI967" i="11"/>
  <c r="AH967" i="11"/>
  <c r="X967" i="11"/>
  <c r="U967" i="11"/>
  <c r="T967" i="11"/>
  <c r="N967" i="11"/>
  <c r="AG967" i="11" s="1"/>
  <c r="AI965" i="11"/>
  <c r="AH965" i="11"/>
  <c r="X965" i="11"/>
  <c r="U965" i="11"/>
  <c r="T965" i="11"/>
  <c r="N965" i="11"/>
  <c r="AG965" i="11" s="1"/>
  <c r="AI964" i="11"/>
  <c r="AH964" i="11"/>
  <c r="X964" i="11"/>
  <c r="U964" i="11"/>
  <c r="T964" i="11"/>
  <c r="N964" i="11"/>
  <c r="AG964" i="11" s="1"/>
  <c r="W938" i="11"/>
  <c r="V938" i="11"/>
  <c r="S938" i="11"/>
  <c r="R938" i="11"/>
  <c r="Q938" i="11"/>
  <c r="P938" i="11"/>
  <c r="M938" i="11"/>
  <c r="L938" i="11"/>
  <c r="F938" i="11"/>
  <c r="AI937" i="11"/>
  <c r="AH937" i="11"/>
  <c r="X937" i="11"/>
  <c r="U937" i="11"/>
  <c r="T937" i="11"/>
  <c r="N937" i="11"/>
  <c r="AG937" i="11" s="1"/>
  <c r="AI936" i="11"/>
  <c r="AH936" i="11"/>
  <c r="X936" i="11"/>
  <c r="U936" i="11"/>
  <c r="T936" i="11"/>
  <c r="N936" i="11"/>
  <c r="AG936" i="11" s="1"/>
  <c r="AI935" i="11"/>
  <c r="AH935" i="11"/>
  <c r="X935" i="11"/>
  <c r="U935" i="11"/>
  <c r="T935" i="11"/>
  <c r="N935" i="11"/>
  <c r="AG935" i="11" s="1"/>
  <c r="V1024" i="11"/>
  <c r="S1024" i="11"/>
  <c r="R1024" i="11"/>
  <c r="Q1024" i="11"/>
  <c r="P1024" i="11"/>
  <c r="L1024" i="11"/>
  <c r="F1024" i="11"/>
  <c r="W1024" i="11"/>
  <c r="AH1022" i="11"/>
  <c r="AI1022" i="11"/>
  <c r="U1022" i="11"/>
  <c r="T1022" i="11"/>
  <c r="N1022" i="11"/>
  <c r="AI771" i="11"/>
  <c r="AH771" i="11"/>
  <c r="X771" i="11"/>
  <c r="U771" i="11"/>
  <c r="T771" i="11"/>
  <c r="N771" i="11"/>
  <c r="AE771" i="11" s="1"/>
  <c r="W1026" i="11"/>
  <c r="AI942" i="11" l="1"/>
  <c r="AH938" i="11"/>
  <c r="X942" i="11"/>
  <c r="U938" i="11"/>
  <c r="X968" i="11"/>
  <c r="N942" i="11"/>
  <c r="AG942" i="11" s="1"/>
  <c r="AH942" i="11"/>
  <c r="T942" i="11"/>
  <c r="T1024" i="11"/>
  <c r="U968" i="11"/>
  <c r="T938" i="11"/>
  <c r="N938" i="11"/>
  <c r="AE938" i="11" s="1"/>
  <c r="T968" i="11"/>
  <c r="U942" i="11"/>
  <c r="AI968" i="11"/>
  <c r="AH968" i="11"/>
  <c r="AE939" i="11"/>
  <c r="AE940" i="11"/>
  <c r="AE941" i="11"/>
  <c r="AG939" i="11"/>
  <c r="X938" i="11"/>
  <c r="N968" i="11"/>
  <c r="AI938" i="11"/>
  <c r="AE964" i="11"/>
  <c r="AE965" i="11"/>
  <c r="AE967" i="11"/>
  <c r="AE935" i="11"/>
  <c r="AE936" i="11"/>
  <c r="AE937" i="11"/>
  <c r="AH1024" i="11"/>
  <c r="AI1024" i="11"/>
  <c r="AG1022" i="11"/>
  <c r="AE1022" i="11"/>
  <c r="M1024" i="11"/>
  <c r="U1024" i="11" s="1"/>
  <c r="X1022" i="11"/>
  <c r="AG771" i="11"/>
  <c r="AE942" i="11" l="1"/>
  <c r="AG938" i="11"/>
  <c r="AE968" i="11"/>
  <c r="AG968" i="11"/>
  <c r="X1024" i="11"/>
  <c r="N1024" i="11"/>
  <c r="AE1024" i="11" l="1"/>
  <c r="AG1024" i="11"/>
  <c r="M491" i="11" l="1"/>
  <c r="M2135" i="11"/>
  <c r="M1441" i="11"/>
  <c r="M601" i="11"/>
  <c r="S275" i="11" l="1"/>
  <c r="L1188" i="11" l="1"/>
  <c r="Q597" i="11" l="1"/>
  <c r="M1636" i="11"/>
  <c r="M1187" i="11"/>
  <c r="M547" i="11"/>
  <c r="Q2007" i="11" l="1"/>
  <c r="W41" i="11"/>
  <c r="V41" i="11"/>
  <c r="S41" i="11"/>
  <c r="R41" i="11"/>
  <c r="Q41" i="11"/>
  <c r="P41" i="11"/>
  <c r="M41" i="11"/>
  <c r="L41" i="11"/>
  <c r="F41" i="11"/>
  <c r="AI40" i="11"/>
  <c r="AH40" i="11"/>
  <c r="X40" i="11"/>
  <c r="X41" i="11" s="1"/>
  <c r="U40" i="11"/>
  <c r="T40" i="11"/>
  <c r="T41" i="11" s="1"/>
  <c r="N40" i="11"/>
  <c r="AG40" i="11" s="1"/>
  <c r="AI41" i="11" l="1"/>
  <c r="AH41" i="11"/>
  <c r="U41" i="11"/>
  <c r="N41" i="11"/>
  <c r="AG41" i="11" s="1"/>
  <c r="AE40" i="11"/>
  <c r="AE41" i="11" l="1"/>
  <c r="W613" i="11"/>
  <c r="M38" i="11"/>
  <c r="S1814" i="11" l="1"/>
  <c r="Q600" i="11"/>
  <c r="L1782" i="11" l="1"/>
  <c r="S1527" i="11" l="1"/>
  <c r="S442" i="11"/>
  <c r="M749" i="11"/>
  <c r="M37" i="11"/>
  <c r="M1026" i="11"/>
  <c r="M536" i="11"/>
  <c r="W1025" i="11" l="1"/>
  <c r="M2007" i="11" l="1"/>
  <c r="M177" i="11"/>
  <c r="M600" i="11"/>
  <c r="M390" i="11"/>
  <c r="M612" i="11"/>
  <c r="Q612" i="11"/>
  <c r="Q579" i="11"/>
  <c r="W930" i="11" l="1"/>
  <c r="V930" i="11"/>
  <c r="S930" i="11"/>
  <c r="R930" i="11"/>
  <c r="Q930" i="11"/>
  <c r="P930" i="11"/>
  <c r="L930" i="11"/>
  <c r="F930" i="11"/>
  <c r="AI929" i="11"/>
  <c r="AH929" i="11"/>
  <c r="U929" i="11"/>
  <c r="T929" i="11"/>
  <c r="N929" i="11"/>
  <c r="AI928" i="11"/>
  <c r="AH928" i="11"/>
  <c r="U928" i="11"/>
  <c r="T928" i="11"/>
  <c r="N928" i="11"/>
  <c r="Q2247" i="11"/>
  <c r="T930" i="11" l="1"/>
  <c r="AH930" i="11"/>
  <c r="AI930" i="11"/>
  <c r="AE929" i="11"/>
  <c r="AG929" i="11"/>
  <c r="AG928" i="11"/>
  <c r="N930" i="11"/>
  <c r="AE928" i="11"/>
  <c r="X928" i="11"/>
  <c r="M930" i="11"/>
  <c r="U930" i="11" s="1"/>
  <c r="X929" i="11"/>
  <c r="AG930" i="11" l="1"/>
  <c r="AE930" i="11"/>
  <c r="X930" i="11"/>
  <c r="S410" i="11" l="1"/>
  <c r="Q397" i="11"/>
  <c r="M84" i="11"/>
  <c r="M397" i="11"/>
  <c r="M86" i="11"/>
  <c r="M391" i="11"/>
  <c r="M579" i="11"/>
  <c r="M1569" i="11"/>
  <c r="S1825" i="11" l="1"/>
  <c r="Q1525" i="11"/>
  <c r="S475" i="11" l="1"/>
  <c r="W410" i="11"/>
  <c r="S1815" i="11"/>
  <c r="M2006" i="11" l="1"/>
  <c r="M489" i="11"/>
  <c r="W2112" i="11"/>
  <c r="V2112" i="11"/>
  <c r="S2112" i="11"/>
  <c r="R2112" i="11"/>
  <c r="Q2112" i="11"/>
  <c r="P2112" i="11"/>
  <c r="M2112" i="11"/>
  <c r="L2112" i="11"/>
  <c r="F2112" i="11"/>
  <c r="AI2111" i="11"/>
  <c r="AH2111" i="11"/>
  <c r="X2111" i="11"/>
  <c r="U2111" i="11"/>
  <c r="T2111" i="11"/>
  <c r="N2111" i="11"/>
  <c r="AE2111" i="11" s="1"/>
  <c r="AI2110" i="11"/>
  <c r="AH2110" i="11"/>
  <c r="X2110" i="11"/>
  <c r="U2110" i="11"/>
  <c r="T2110" i="11"/>
  <c r="N2110" i="11"/>
  <c r="AE2110" i="11" s="1"/>
  <c r="AI2109" i="11"/>
  <c r="AH2109" i="11"/>
  <c r="X2109" i="11"/>
  <c r="U2109" i="11"/>
  <c r="T2109" i="11"/>
  <c r="N2109" i="11"/>
  <c r="AE2109" i="11" s="1"/>
  <c r="Q2006" i="11"/>
  <c r="X2112" i="11" l="1"/>
  <c r="T2112" i="11"/>
  <c r="U2112" i="11"/>
  <c r="AI2112" i="11"/>
  <c r="N2112" i="11"/>
  <c r="AH2112" i="11"/>
  <c r="AG2109" i="11"/>
  <c r="AG2110" i="11"/>
  <c r="AG2111" i="11"/>
  <c r="S1824" i="11"/>
  <c r="S1812" i="11"/>
  <c r="Q489" i="11"/>
  <c r="W1462" i="11"/>
  <c r="V1462" i="11"/>
  <c r="S1462" i="11"/>
  <c r="R1462" i="11"/>
  <c r="Q1462" i="11"/>
  <c r="P1462" i="11"/>
  <c r="M1462" i="11"/>
  <c r="L1462" i="11"/>
  <c r="F1462" i="11"/>
  <c r="AI1461" i="11"/>
  <c r="AH1461" i="11"/>
  <c r="X1461" i="11"/>
  <c r="X1462" i="11" s="1"/>
  <c r="U1461" i="11"/>
  <c r="T1461" i="11"/>
  <c r="T1462" i="11" s="1"/>
  <c r="N1461" i="11"/>
  <c r="AE1461" i="11" s="1"/>
  <c r="W861" i="11"/>
  <c r="V861" i="11"/>
  <c r="S861" i="11"/>
  <c r="R861" i="11"/>
  <c r="P861" i="11"/>
  <c r="M861" i="11"/>
  <c r="L861" i="11"/>
  <c r="F861" i="11"/>
  <c r="AI860" i="11"/>
  <c r="AH860" i="11"/>
  <c r="X860" i="11"/>
  <c r="U860" i="11"/>
  <c r="T860" i="11"/>
  <c r="N860" i="11"/>
  <c r="AG860" i="11" s="1"/>
  <c r="AI859" i="11"/>
  <c r="AH859" i="11"/>
  <c r="X859" i="11"/>
  <c r="U859" i="11"/>
  <c r="T859" i="11"/>
  <c r="N859" i="11"/>
  <c r="AG859" i="11" s="1"/>
  <c r="AI858" i="11"/>
  <c r="AH858" i="11"/>
  <c r="X858" i="11"/>
  <c r="U858" i="11"/>
  <c r="T858" i="11"/>
  <c r="N858" i="11"/>
  <c r="AG858" i="11" s="1"/>
  <c r="W842" i="11"/>
  <c r="V842" i="11"/>
  <c r="S842" i="11"/>
  <c r="R842" i="11"/>
  <c r="Q842" i="11"/>
  <c r="P842" i="11"/>
  <c r="M842" i="11"/>
  <c r="L842" i="11"/>
  <c r="F842" i="11"/>
  <c r="AI841" i="11"/>
  <c r="AH841" i="11"/>
  <c r="X841" i="11"/>
  <c r="U841" i="11"/>
  <c r="T841" i="11"/>
  <c r="N841" i="11"/>
  <c r="AE841" i="11" s="1"/>
  <c r="AI840" i="11"/>
  <c r="AH840" i="11"/>
  <c r="X840" i="11"/>
  <c r="U840" i="11"/>
  <c r="T840" i="11"/>
  <c r="N840" i="11"/>
  <c r="AE840" i="11" s="1"/>
  <c r="AI839" i="11"/>
  <c r="AH839" i="11"/>
  <c r="X839" i="11"/>
  <c r="U839" i="11"/>
  <c r="T839" i="11"/>
  <c r="N839" i="11"/>
  <c r="AE839" i="11" s="1"/>
  <c r="W845" i="11"/>
  <c r="V845" i="11"/>
  <c r="S845" i="11"/>
  <c r="R845" i="11"/>
  <c r="Q845" i="11"/>
  <c r="P845" i="11"/>
  <c r="M845" i="11"/>
  <c r="L845" i="11"/>
  <c r="F845" i="11"/>
  <c r="AI844" i="11"/>
  <c r="AH844" i="11"/>
  <c r="X844" i="11"/>
  <c r="U844" i="11"/>
  <c r="T844" i="11"/>
  <c r="N844" i="11"/>
  <c r="AG844" i="11" s="1"/>
  <c r="AI843" i="11"/>
  <c r="AH843" i="11"/>
  <c r="X843" i="11"/>
  <c r="U843" i="11"/>
  <c r="T843" i="11"/>
  <c r="N843" i="11"/>
  <c r="AG843" i="11" s="1"/>
  <c r="W849" i="11"/>
  <c r="V849" i="11"/>
  <c r="S849" i="11"/>
  <c r="R849" i="11"/>
  <c r="Q849" i="11"/>
  <c r="P849" i="11"/>
  <c r="M849" i="11"/>
  <c r="L849" i="11"/>
  <c r="F849" i="11"/>
  <c r="AI848" i="11"/>
  <c r="AH848" i="11"/>
  <c r="X848" i="11"/>
  <c r="U848" i="11"/>
  <c r="T848" i="11"/>
  <c r="N848" i="11"/>
  <c r="AE848" i="11" s="1"/>
  <c r="AI847" i="11"/>
  <c r="AH847" i="11"/>
  <c r="X847" i="11"/>
  <c r="U847" i="11"/>
  <c r="T847" i="11"/>
  <c r="N847" i="11"/>
  <c r="AE847" i="11" s="1"/>
  <c r="AI846" i="11"/>
  <c r="AH846" i="11"/>
  <c r="X846" i="11"/>
  <c r="U846" i="11"/>
  <c r="T846" i="11"/>
  <c r="N846" i="11"/>
  <c r="AE846" i="11" s="1"/>
  <c r="W853" i="11"/>
  <c r="V853" i="11"/>
  <c r="S853" i="11"/>
  <c r="R853" i="11"/>
  <c r="Q853" i="11"/>
  <c r="P853" i="11"/>
  <c r="M853" i="11"/>
  <c r="L853" i="11"/>
  <c r="F853" i="11"/>
  <c r="AI852" i="11"/>
  <c r="AH852" i="11"/>
  <c r="X852" i="11"/>
  <c r="U852" i="11"/>
  <c r="T852" i="11"/>
  <c r="N852" i="11"/>
  <c r="AG852" i="11" s="1"/>
  <c r="AI851" i="11"/>
  <c r="AH851" i="11"/>
  <c r="X851" i="11"/>
  <c r="U851" i="11"/>
  <c r="T851" i="11"/>
  <c r="N851" i="11"/>
  <c r="AG851" i="11" s="1"/>
  <c r="AI850" i="11"/>
  <c r="AH850" i="11"/>
  <c r="X850" i="11"/>
  <c r="U850" i="11"/>
  <c r="T850" i="11"/>
  <c r="N850" i="11"/>
  <c r="AG850" i="11" s="1"/>
  <c r="W857" i="11"/>
  <c r="V857" i="11"/>
  <c r="S857" i="11"/>
  <c r="R857" i="11"/>
  <c r="Q857" i="11"/>
  <c r="P857" i="11"/>
  <c r="M857" i="11"/>
  <c r="L857" i="11"/>
  <c r="F857" i="11"/>
  <c r="AI857" i="11" s="1"/>
  <c r="AI856" i="11"/>
  <c r="AH856" i="11"/>
  <c r="X856" i="11"/>
  <c r="U856" i="11"/>
  <c r="T856" i="11"/>
  <c r="N856" i="11"/>
  <c r="AG856" i="11" s="1"/>
  <c r="AI855" i="11"/>
  <c r="AH855" i="11"/>
  <c r="X855" i="11"/>
  <c r="U855" i="11"/>
  <c r="T855" i="11"/>
  <c r="N855" i="11"/>
  <c r="AG855" i="11" s="1"/>
  <c r="AI854" i="11"/>
  <c r="AH854" i="11"/>
  <c r="X854" i="11"/>
  <c r="U854" i="11"/>
  <c r="T854" i="11"/>
  <c r="N854" i="11"/>
  <c r="AG854" i="11" s="1"/>
  <c r="W868" i="11"/>
  <c r="V868" i="11"/>
  <c r="S868" i="11"/>
  <c r="R868" i="11"/>
  <c r="Q868" i="11"/>
  <c r="P868" i="11"/>
  <c r="M868" i="11"/>
  <c r="L868" i="11"/>
  <c r="F868" i="11"/>
  <c r="AI867" i="11"/>
  <c r="AH867" i="11"/>
  <c r="X867" i="11"/>
  <c r="U867" i="11"/>
  <c r="T867" i="11"/>
  <c r="N867" i="11"/>
  <c r="AE867" i="11" s="1"/>
  <c r="AI866" i="11"/>
  <c r="AH866" i="11"/>
  <c r="X866" i="11"/>
  <c r="U866" i="11"/>
  <c r="T866" i="11"/>
  <c r="N866" i="11"/>
  <c r="AE866" i="11" s="1"/>
  <c r="AI863" i="11"/>
  <c r="AH863" i="11"/>
  <c r="X863" i="11"/>
  <c r="U863" i="11"/>
  <c r="T863" i="11"/>
  <c r="N863" i="11"/>
  <c r="AE863" i="11" s="1"/>
  <c r="W865" i="11"/>
  <c r="V865" i="11"/>
  <c r="S865" i="11"/>
  <c r="R865" i="11"/>
  <c r="Q865" i="11"/>
  <c r="P865" i="11"/>
  <c r="M865" i="11"/>
  <c r="L865" i="11"/>
  <c r="F865" i="11"/>
  <c r="AI864" i="11"/>
  <c r="AH864" i="11"/>
  <c r="X864" i="11"/>
  <c r="U864" i="11"/>
  <c r="T864" i="11"/>
  <c r="N864" i="11"/>
  <c r="AE864" i="11" s="1"/>
  <c r="AI862" i="11"/>
  <c r="AH862" i="11"/>
  <c r="X862" i="11"/>
  <c r="U862" i="11"/>
  <c r="T862" i="11"/>
  <c r="N862" i="11"/>
  <c r="AE862" i="11" s="1"/>
  <c r="W871" i="11"/>
  <c r="V871" i="11"/>
  <c r="S871" i="11"/>
  <c r="R871" i="11"/>
  <c r="Q871" i="11"/>
  <c r="P871" i="11"/>
  <c r="M871" i="11"/>
  <c r="L871" i="11"/>
  <c r="F871" i="11"/>
  <c r="AI870" i="11"/>
  <c r="AH870" i="11"/>
  <c r="X870" i="11"/>
  <c r="U870" i="11"/>
  <c r="T870" i="11"/>
  <c r="N870" i="11"/>
  <c r="AG870" i="11" s="1"/>
  <c r="AI869" i="11"/>
  <c r="AH869" i="11"/>
  <c r="X869" i="11"/>
  <c r="U869" i="11"/>
  <c r="T869" i="11"/>
  <c r="N869" i="11"/>
  <c r="W874" i="11"/>
  <c r="V874" i="11"/>
  <c r="S874" i="11"/>
  <c r="R874" i="11"/>
  <c r="Q874" i="11"/>
  <c r="P874" i="11"/>
  <c r="M874" i="11"/>
  <c r="L874" i="11"/>
  <c r="F874" i="11"/>
  <c r="AI873" i="11"/>
  <c r="AH873" i="11"/>
  <c r="X873" i="11"/>
  <c r="U873" i="11"/>
  <c r="T873" i="11"/>
  <c r="N873" i="11"/>
  <c r="AG873" i="11" s="1"/>
  <c r="AI872" i="11"/>
  <c r="AH872" i="11"/>
  <c r="X872" i="11"/>
  <c r="U872" i="11"/>
  <c r="T872" i="11"/>
  <c r="N872" i="11"/>
  <c r="AG872" i="11" s="1"/>
  <c r="W877" i="11"/>
  <c r="V877" i="11"/>
  <c r="S877" i="11"/>
  <c r="R877" i="11"/>
  <c r="Q877" i="11"/>
  <c r="P877" i="11"/>
  <c r="M877" i="11"/>
  <c r="L877" i="11"/>
  <c r="F877" i="11"/>
  <c r="AI876" i="11"/>
  <c r="AH876" i="11"/>
  <c r="X876" i="11"/>
  <c r="U876" i="11"/>
  <c r="T876" i="11"/>
  <c r="N876" i="11"/>
  <c r="AG876" i="11" s="1"/>
  <c r="AI875" i="11"/>
  <c r="AH875" i="11"/>
  <c r="X875" i="11"/>
  <c r="U875" i="11"/>
  <c r="T875" i="11"/>
  <c r="N875" i="11"/>
  <c r="AG875" i="11" s="1"/>
  <c r="X874" i="11" l="1"/>
  <c r="T874" i="11"/>
  <c r="T857" i="11"/>
  <c r="X842" i="11"/>
  <c r="T861" i="11"/>
  <c r="U845" i="11"/>
  <c r="U842" i="11"/>
  <c r="X861" i="11"/>
  <c r="T871" i="11"/>
  <c r="T853" i="11"/>
  <c r="AI1462" i="11"/>
  <c r="X871" i="11"/>
  <c r="AH1462" i="11"/>
  <c r="N1462" i="11"/>
  <c r="T877" i="11"/>
  <c r="X865" i="11"/>
  <c r="U868" i="11"/>
  <c r="X857" i="11"/>
  <c r="T849" i="11"/>
  <c r="U861" i="11"/>
  <c r="U1462" i="11"/>
  <c r="U874" i="11"/>
  <c r="X868" i="11"/>
  <c r="U857" i="11"/>
  <c r="U849" i="11"/>
  <c r="T845" i="11"/>
  <c r="AE2112" i="11"/>
  <c r="AG2112" i="11"/>
  <c r="AG1461" i="11"/>
  <c r="N861" i="11"/>
  <c r="AE861" i="11" s="1"/>
  <c r="AH861" i="11"/>
  <c r="AI861" i="11"/>
  <c r="AE858" i="11"/>
  <c r="AE859" i="11"/>
  <c r="AE860" i="11"/>
  <c r="AI842" i="11"/>
  <c r="X877" i="11"/>
  <c r="U853" i="11"/>
  <c r="U877" i="11"/>
  <c r="AH874" i="11"/>
  <c r="AI871" i="11"/>
  <c r="U871" i="11"/>
  <c r="AH868" i="11"/>
  <c r="X853" i="11"/>
  <c r="X849" i="11"/>
  <c r="X845" i="11"/>
  <c r="T842" i="11"/>
  <c r="N842" i="11"/>
  <c r="AH842" i="11"/>
  <c r="T868" i="11"/>
  <c r="AG839" i="11"/>
  <c r="AG840" i="11"/>
  <c r="AG841" i="11"/>
  <c r="AH845" i="11"/>
  <c r="AI845" i="11"/>
  <c r="N845" i="11"/>
  <c r="AE843" i="11"/>
  <c r="AE844" i="11"/>
  <c r="AG846" i="11"/>
  <c r="AG848" i="11"/>
  <c r="AG847" i="11"/>
  <c r="AH849" i="11"/>
  <c r="AI849" i="11"/>
  <c r="N849" i="11"/>
  <c r="AH853" i="11"/>
  <c r="AI853" i="11"/>
  <c r="N853" i="11"/>
  <c r="AE850" i="11"/>
  <c r="AE851" i="11"/>
  <c r="AE852" i="11"/>
  <c r="AH857" i="11"/>
  <c r="N857" i="11"/>
  <c r="AE854" i="11"/>
  <c r="AE855" i="11"/>
  <c r="AE856" i="11"/>
  <c r="N868" i="11"/>
  <c r="AE868" i="11" s="1"/>
  <c r="AI868" i="11"/>
  <c r="AG866" i="11"/>
  <c r="AG867" i="11"/>
  <c r="AG863" i="11"/>
  <c r="T865" i="11"/>
  <c r="U865" i="11"/>
  <c r="AI865" i="11"/>
  <c r="N865" i="11"/>
  <c r="AH865" i="11"/>
  <c r="AG862" i="11"/>
  <c r="AG864" i="11"/>
  <c r="N871" i="11"/>
  <c r="AG871" i="11" s="1"/>
  <c r="AH871" i="11"/>
  <c r="AE869" i="11"/>
  <c r="AE870" i="11"/>
  <c r="AG869" i="11"/>
  <c r="AI874" i="11"/>
  <c r="N874" i="11"/>
  <c r="AE872" i="11"/>
  <c r="AE873" i="11"/>
  <c r="N877" i="11"/>
  <c r="AE877" i="11" s="1"/>
  <c r="AH877" i="11"/>
  <c r="AI877" i="11"/>
  <c r="AE875" i="11"/>
  <c r="AE876" i="11"/>
  <c r="AG861" i="11" l="1"/>
  <c r="AE1462" i="11"/>
  <c r="AG1462" i="11"/>
  <c r="AE842" i="11"/>
  <c r="AG842" i="11"/>
  <c r="AE845" i="11"/>
  <c r="AG845" i="11"/>
  <c r="AG849" i="11"/>
  <c r="AE849" i="11"/>
  <c r="AE853" i="11"/>
  <c r="AG853" i="11"/>
  <c r="AE857" i="11"/>
  <c r="AG857" i="11"/>
  <c r="AG868" i="11"/>
  <c r="AE865" i="11"/>
  <c r="AG865" i="11"/>
  <c r="AE871" i="11"/>
  <c r="AE874" i="11"/>
  <c r="AG874" i="11"/>
  <c r="AG877" i="11"/>
  <c r="M502" i="11" l="1"/>
  <c r="M412" i="11"/>
  <c r="M527" i="11" l="1"/>
  <c r="M1527" i="11" l="1"/>
  <c r="M1567" i="11"/>
  <c r="Q1527" i="11" l="1"/>
  <c r="Q412" i="11"/>
  <c r="W565" i="11" l="1"/>
  <c r="S1526" i="11"/>
  <c r="M1401" i="11" l="1"/>
  <c r="M488" i="11"/>
  <c r="M439" i="11"/>
  <c r="M111" i="11"/>
  <c r="W39" i="11"/>
  <c r="V39" i="11"/>
  <c r="R39" i="11"/>
  <c r="P39" i="11"/>
  <c r="L39" i="11"/>
  <c r="F39" i="11"/>
  <c r="AI38" i="11"/>
  <c r="X38" i="11"/>
  <c r="U38" i="11"/>
  <c r="N38" i="11"/>
  <c r="AE38" i="11" s="1"/>
  <c r="AI37" i="11"/>
  <c r="AH37" i="11"/>
  <c r="U37" i="11"/>
  <c r="T37" i="11"/>
  <c r="N37" i="11"/>
  <c r="AI36" i="11"/>
  <c r="AH36" i="11"/>
  <c r="N36" i="11"/>
  <c r="AH38" i="11" l="1"/>
  <c r="T38" i="11"/>
  <c r="U36" i="11"/>
  <c r="X36" i="11"/>
  <c r="AG38" i="11"/>
  <c r="AI39" i="11"/>
  <c r="AG37" i="11"/>
  <c r="AE37" i="11"/>
  <c r="N39" i="11"/>
  <c r="AG36" i="11"/>
  <c r="AE36" i="11"/>
  <c r="Q39" i="11"/>
  <c r="X37" i="11"/>
  <c r="M39" i="11"/>
  <c r="T36" i="11"/>
  <c r="S39" i="11"/>
  <c r="AH39" i="11" s="1"/>
  <c r="W2119" i="11"/>
  <c r="V2119" i="11"/>
  <c r="S2119" i="11"/>
  <c r="R2119" i="11"/>
  <c r="Q2119" i="11"/>
  <c r="P2119" i="11"/>
  <c r="M2119" i="11"/>
  <c r="L2119" i="11"/>
  <c r="F2119" i="11"/>
  <c r="AI2118" i="11"/>
  <c r="AH2118" i="11"/>
  <c r="X2118" i="11"/>
  <c r="U2118" i="11"/>
  <c r="T2118" i="11"/>
  <c r="N2118" i="11"/>
  <c r="AG2118" i="11" s="1"/>
  <c r="AI2117" i="11"/>
  <c r="AH2117" i="11"/>
  <c r="X2117" i="11"/>
  <c r="U2117" i="11"/>
  <c r="N2117" i="11"/>
  <c r="AG2117" i="11" s="1"/>
  <c r="AI593" i="11"/>
  <c r="AH593" i="11"/>
  <c r="X593" i="11"/>
  <c r="U593" i="11"/>
  <c r="T593" i="11"/>
  <c r="N593" i="11"/>
  <c r="AE593" i="11" s="1"/>
  <c r="S388" i="11"/>
  <c r="Q488" i="11"/>
  <c r="W2108" i="11"/>
  <c r="V2108" i="11"/>
  <c r="S2108" i="11"/>
  <c r="R2108" i="11"/>
  <c r="Q2108" i="11"/>
  <c r="P2108" i="11"/>
  <c r="M2108" i="11"/>
  <c r="L2108" i="11"/>
  <c r="F2108" i="11"/>
  <c r="AI2107" i="11"/>
  <c r="AH2107" i="11"/>
  <c r="X2107" i="11"/>
  <c r="U2107" i="11"/>
  <c r="T2107" i="11"/>
  <c r="N2107" i="11"/>
  <c r="AG2107" i="11" s="1"/>
  <c r="AI2106" i="11"/>
  <c r="AH2106" i="11"/>
  <c r="X2106" i="11"/>
  <c r="U2106" i="11"/>
  <c r="T2106" i="11"/>
  <c r="N2106" i="11"/>
  <c r="AG2106" i="11" s="1"/>
  <c r="AI2105" i="11"/>
  <c r="AH2105" i="11"/>
  <c r="X2105" i="11"/>
  <c r="U2105" i="11"/>
  <c r="T2105" i="11"/>
  <c r="N2105" i="11"/>
  <c r="AG2105" i="11" s="1"/>
  <c r="T39" i="11" l="1"/>
  <c r="AH2119" i="11"/>
  <c r="X2119" i="11"/>
  <c r="T2119" i="11"/>
  <c r="AH2108" i="11"/>
  <c r="AI2119" i="11"/>
  <c r="X39" i="11"/>
  <c r="N2119" i="11"/>
  <c r="U2108" i="11"/>
  <c r="AI2108" i="11"/>
  <c r="U39" i="11"/>
  <c r="X2108" i="11"/>
  <c r="T2108" i="11"/>
  <c r="U2119" i="11"/>
  <c r="AG39" i="11"/>
  <c r="AE39" i="11"/>
  <c r="N2108" i="11"/>
  <c r="AE2117" i="11"/>
  <c r="AE2118" i="11"/>
  <c r="AG593" i="11"/>
  <c r="AE2105" i="11"/>
  <c r="AE2106" i="11"/>
  <c r="AE2107" i="11"/>
  <c r="AI255" i="11"/>
  <c r="AH255" i="11"/>
  <c r="X255" i="11"/>
  <c r="U255" i="11"/>
  <c r="T255" i="11"/>
  <c r="N255" i="11"/>
  <c r="AE255" i="11" s="1"/>
  <c r="AE2119" i="11" l="1"/>
  <c r="AG2119" i="11"/>
  <c r="AE2108" i="11"/>
  <c r="AG2108" i="11"/>
  <c r="AG255" i="11"/>
  <c r="M1889" i="11" l="1"/>
  <c r="M180" i="11"/>
  <c r="M1894" i="11"/>
  <c r="M1892" i="11"/>
  <c r="M586" i="11" l="1"/>
  <c r="W1707" i="11" l="1"/>
  <c r="AI622" i="11" l="1"/>
  <c r="AH622" i="11"/>
  <c r="X622" i="11"/>
  <c r="U622" i="11"/>
  <c r="T622" i="11"/>
  <c r="N622" i="11"/>
  <c r="AE622" i="11" s="1"/>
  <c r="AI633" i="11"/>
  <c r="AH633" i="11"/>
  <c r="X633" i="11"/>
  <c r="U633" i="11"/>
  <c r="T633" i="11"/>
  <c r="N633" i="11"/>
  <c r="AG633" i="11" s="1"/>
  <c r="W215" i="11"/>
  <c r="V215" i="11"/>
  <c r="S215" i="11"/>
  <c r="R215" i="11"/>
  <c r="Q215" i="11"/>
  <c r="P215" i="11"/>
  <c r="M215" i="11"/>
  <c r="L215" i="11"/>
  <c r="F215" i="11"/>
  <c r="AI214" i="11"/>
  <c r="AH214" i="11"/>
  <c r="X214" i="11"/>
  <c r="X215" i="11" s="1"/>
  <c r="U214" i="11"/>
  <c r="T214" i="11"/>
  <c r="T215" i="11" s="1"/>
  <c r="N214" i="11"/>
  <c r="AG214" i="11" s="1"/>
  <c r="W217" i="11"/>
  <c r="V217" i="11"/>
  <c r="S217" i="11"/>
  <c r="R217" i="11"/>
  <c r="Q217" i="11"/>
  <c r="P217" i="11"/>
  <c r="M217" i="11"/>
  <c r="L217" i="11"/>
  <c r="F217" i="11"/>
  <c r="AI216" i="11"/>
  <c r="AH216" i="11"/>
  <c r="X216" i="11"/>
  <c r="X217" i="11" s="1"/>
  <c r="U216" i="11"/>
  <c r="T216" i="11"/>
  <c r="T217" i="11" s="1"/>
  <c r="N216" i="11"/>
  <c r="AE216" i="11" s="1"/>
  <c r="M613" i="11"/>
  <c r="U217" i="11" l="1"/>
  <c r="U215" i="11"/>
  <c r="AI215" i="11"/>
  <c r="N217" i="11"/>
  <c r="AG217" i="11" s="1"/>
  <c r="AH217" i="11"/>
  <c r="N215" i="11"/>
  <c r="AH215" i="11"/>
  <c r="AG622" i="11"/>
  <c r="AE633" i="11"/>
  <c r="AE214" i="11"/>
  <c r="AI217" i="11"/>
  <c r="AG216" i="11"/>
  <c r="AE217" i="11" l="1"/>
  <c r="AE215" i="11"/>
  <c r="AG215" i="11"/>
  <c r="Q448" i="11"/>
  <c r="Q613" i="11"/>
  <c r="AI659" i="11"/>
  <c r="AH659" i="11"/>
  <c r="X659" i="11"/>
  <c r="U659" i="11"/>
  <c r="T659" i="11"/>
  <c r="N659" i="11"/>
  <c r="AE659" i="11" s="1"/>
  <c r="AI660" i="11"/>
  <c r="AH660" i="11"/>
  <c r="X660" i="11"/>
  <c r="U660" i="11"/>
  <c r="T660" i="11"/>
  <c r="N660" i="11"/>
  <c r="AE660" i="11" s="1"/>
  <c r="AI1405" i="11"/>
  <c r="AH1405" i="11"/>
  <c r="X1405" i="11"/>
  <c r="U1405" i="11"/>
  <c r="T1405" i="11"/>
  <c r="N1405" i="11"/>
  <c r="AE1405" i="11" s="1"/>
  <c r="AG660" i="11" l="1"/>
  <c r="AG659" i="11"/>
  <c r="AG1405" i="11"/>
  <c r="Q469" i="11" l="1"/>
  <c r="S469" i="11"/>
  <c r="M448" i="11"/>
  <c r="Q449" i="11"/>
  <c r="M1890" i="11"/>
  <c r="M475" i="11"/>
  <c r="Q467" i="11" l="1"/>
  <c r="Q394" i="11"/>
  <c r="Q476" i="11"/>
  <c r="M476" i="11"/>
  <c r="S1707" i="11"/>
  <c r="W2139" i="11"/>
  <c r="M513" i="11" l="1"/>
  <c r="Q570" i="11"/>
  <c r="M570" i="11"/>
  <c r="M585" i="11" l="1"/>
  <c r="AI664" i="11" l="1"/>
  <c r="AH664" i="11"/>
  <c r="X664" i="11"/>
  <c r="U664" i="11"/>
  <c r="T664" i="11"/>
  <c r="N664" i="11"/>
  <c r="AG664" i="11" s="1"/>
  <c r="AI707" i="11"/>
  <c r="AH707" i="11"/>
  <c r="X707" i="11"/>
  <c r="U707" i="11"/>
  <c r="T707" i="11"/>
  <c r="N707" i="11"/>
  <c r="AG707" i="11" s="1"/>
  <c r="AI288" i="11"/>
  <c r="AH288" i="11"/>
  <c r="X288" i="11"/>
  <c r="U288" i="11"/>
  <c r="T288" i="11"/>
  <c r="N288" i="11"/>
  <c r="AG288" i="11" s="1"/>
  <c r="AI1277" i="11"/>
  <c r="AI1282" i="11"/>
  <c r="AH1282" i="11"/>
  <c r="X1282" i="11"/>
  <c r="U1282" i="11"/>
  <c r="T1282" i="11"/>
  <c r="N1282" i="11"/>
  <c r="AE1282" i="11" s="1"/>
  <c r="AH1277" i="11"/>
  <c r="X1277" i="11"/>
  <c r="U1277" i="11"/>
  <c r="T1277" i="11"/>
  <c r="N1277" i="11"/>
  <c r="AG1277" i="11" s="1"/>
  <c r="AI1276" i="11"/>
  <c r="AH1276" i="11"/>
  <c r="X1276" i="11"/>
  <c r="U1276" i="11"/>
  <c r="T1276" i="11"/>
  <c r="N1276" i="11"/>
  <c r="AG1276" i="11" s="1"/>
  <c r="AI1273" i="11"/>
  <c r="AH1273" i="11"/>
  <c r="X1273" i="11"/>
  <c r="U1273" i="11"/>
  <c r="T1273" i="11"/>
  <c r="N1273" i="11"/>
  <c r="AG1273" i="11" s="1"/>
  <c r="W1195" i="11"/>
  <c r="V1195" i="11"/>
  <c r="S1195" i="11"/>
  <c r="R1195" i="11"/>
  <c r="Q1195" i="11"/>
  <c r="P1195" i="11"/>
  <c r="M1195" i="11"/>
  <c r="L1195" i="11"/>
  <c r="F1195" i="11"/>
  <c r="AI1194" i="11"/>
  <c r="AH1194" i="11"/>
  <c r="X1194" i="11"/>
  <c r="U1194" i="11"/>
  <c r="T1194" i="11"/>
  <c r="N1194" i="11"/>
  <c r="AE1194" i="11" s="1"/>
  <c r="AI1193" i="11"/>
  <c r="AH1193" i="11"/>
  <c r="X1193" i="11"/>
  <c r="U1193" i="11"/>
  <c r="T1193" i="11"/>
  <c r="N1193" i="11"/>
  <c r="AE1193" i="11" s="1"/>
  <c r="AI1204" i="11"/>
  <c r="AH1204" i="11"/>
  <c r="X1204" i="11"/>
  <c r="U1204" i="11"/>
  <c r="T1204" i="11"/>
  <c r="N1204" i="11"/>
  <c r="AG1204" i="11" s="1"/>
  <c r="AI1203" i="11"/>
  <c r="AH1203" i="11"/>
  <c r="X1203" i="11"/>
  <c r="U1203" i="11"/>
  <c r="T1203" i="11"/>
  <c r="N1203" i="11"/>
  <c r="AE1203" i="11" s="1"/>
  <c r="AI1202" i="11"/>
  <c r="AH1202" i="11"/>
  <c r="X1202" i="11"/>
  <c r="U1202" i="11"/>
  <c r="T1202" i="11"/>
  <c r="N1202" i="11"/>
  <c r="AE1202" i="11" s="1"/>
  <c r="AI1201" i="11"/>
  <c r="AH1201" i="11"/>
  <c r="X1201" i="11"/>
  <c r="U1201" i="11"/>
  <c r="T1201" i="11"/>
  <c r="N1201" i="11"/>
  <c r="AG1201" i="11" s="1"/>
  <c r="AI1200" i="11"/>
  <c r="AH1200" i="11"/>
  <c r="X1200" i="11"/>
  <c r="U1200" i="11"/>
  <c r="T1200" i="11"/>
  <c r="N1200" i="11"/>
  <c r="AG1200" i="11" s="1"/>
  <c r="AI1205" i="11"/>
  <c r="AH1205" i="11"/>
  <c r="X1205" i="11"/>
  <c r="U1205" i="11"/>
  <c r="T1205" i="11"/>
  <c r="N1205" i="11"/>
  <c r="AG1205" i="11" s="1"/>
  <c r="AI1199" i="11"/>
  <c r="AH1199" i="11"/>
  <c r="X1199" i="11"/>
  <c r="U1199" i="11"/>
  <c r="T1199" i="11"/>
  <c r="N1199" i="11"/>
  <c r="AG1199" i="11" s="1"/>
  <c r="AI1198" i="11"/>
  <c r="AH1198" i="11"/>
  <c r="X1198" i="11"/>
  <c r="U1198" i="11"/>
  <c r="T1198" i="11"/>
  <c r="N1198" i="11"/>
  <c r="AG1198" i="11" s="1"/>
  <c r="AI1197" i="11"/>
  <c r="AH1197" i="11"/>
  <c r="X1197" i="11"/>
  <c r="U1197" i="11"/>
  <c r="T1197" i="11"/>
  <c r="N1197" i="11"/>
  <c r="AG1197" i="11" s="1"/>
  <c r="AI1207" i="11"/>
  <c r="AH1207" i="11"/>
  <c r="X1207" i="11"/>
  <c r="U1207" i="11"/>
  <c r="T1207" i="11"/>
  <c r="N1207" i="11"/>
  <c r="AE1207" i="11" s="1"/>
  <c r="AI1206" i="11"/>
  <c r="AH1206" i="11"/>
  <c r="X1206" i="11"/>
  <c r="U1206" i="11"/>
  <c r="T1206" i="11"/>
  <c r="N1206" i="11"/>
  <c r="AE1206" i="11" s="1"/>
  <c r="AI1208" i="11"/>
  <c r="AH1208" i="11"/>
  <c r="X1208" i="11"/>
  <c r="U1208" i="11"/>
  <c r="T1208" i="11"/>
  <c r="N1208" i="11"/>
  <c r="AG1208" i="11" s="1"/>
  <c r="W1210" i="11"/>
  <c r="V1210" i="11"/>
  <c r="S1210" i="11"/>
  <c r="R1210" i="11"/>
  <c r="Q1210" i="11"/>
  <c r="P1210" i="11"/>
  <c r="L1210" i="11"/>
  <c r="F1210" i="11"/>
  <c r="AI1209" i="11"/>
  <c r="AH1209" i="11"/>
  <c r="U1209" i="11"/>
  <c r="T1209" i="11"/>
  <c r="N1209" i="11"/>
  <c r="AG1209" i="11" s="1"/>
  <c r="X1209" i="11"/>
  <c r="AI1196" i="11"/>
  <c r="AH1196" i="11"/>
  <c r="U1196" i="11"/>
  <c r="T1196" i="11"/>
  <c r="N1196" i="11"/>
  <c r="W1293" i="11"/>
  <c r="V1293" i="11"/>
  <c r="S1293" i="11"/>
  <c r="R1293" i="11"/>
  <c r="Q1293" i="11"/>
  <c r="P1293" i="11"/>
  <c r="M1293" i="11"/>
  <c r="L1293" i="11"/>
  <c r="F1293" i="11"/>
  <c r="AI1292" i="11"/>
  <c r="AH1292" i="11"/>
  <c r="X1292" i="11"/>
  <c r="U1292" i="11"/>
  <c r="T1292" i="11"/>
  <c r="N1292" i="11"/>
  <c r="AG1292" i="11" s="1"/>
  <c r="AI1291" i="11"/>
  <c r="AH1291" i="11"/>
  <c r="X1291" i="11"/>
  <c r="U1291" i="11"/>
  <c r="T1291" i="11"/>
  <c r="N1291" i="11"/>
  <c r="AG1291" i="11" s="1"/>
  <c r="AI1290" i="11"/>
  <c r="AH1290" i="11"/>
  <c r="X1290" i="11"/>
  <c r="U1290" i="11"/>
  <c r="T1290" i="11"/>
  <c r="N1290" i="11"/>
  <c r="V1331" i="11"/>
  <c r="S1331" i="11"/>
  <c r="R1331" i="11"/>
  <c r="Q1331" i="11"/>
  <c r="P1331" i="11"/>
  <c r="L1331" i="11"/>
  <c r="F1331" i="11"/>
  <c r="AH1330" i="11"/>
  <c r="AI1330" i="11"/>
  <c r="T1330" i="11"/>
  <c r="N1330" i="11"/>
  <c r="AH1308" i="11"/>
  <c r="T1308" i="11"/>
  <c r="AI2114" i="11"/>
  <c r="AH2114" i="11"/>
  <c r="X2114" i="11"/>
  <c r="U2114" i="11"/>
  <c r="T2114" i="11"/>
  <c r="N2114" i="11"/>
  <c r="AG2114" i="11" s="1"/>
  <c r="W2116" i="11"/>
  <c r="V2116" i="11"/>
  <c r="S2116" i="11"/>
  <c r="R2116" i="11"/>
  <c r="Q2116" i="11"/>
  <c r="P2116" i="11"/>
  <c r="M2116" i="11"/>
  <c r="L2116" i="11"/>
  <c r="F2116" i="11"/>
  <c r="AI2116" i="11" s="1"/>
  <c r="AI2115" i="11"/>
  <c r="AH2115" i="11"/>
  <c r="X2115" i="11"/>
  <c r="U2115" i="11"/>
  <c r="T2115" i="11"/>
  <c r="N2115" i="11"/>
  <c r="AG2115" i="11" s="1"/>
  <c r="AI2113" i="11"/>
  <c r="AH2113" i="11"/>
  <c r="X2113" i="11"/>
  <c r="U2113" i="11"/>
  <c r="T2113" i="11"/>
  <c r="N2113" i="11"/>
  <c r="W2104" i="11"/>
  <c r="V2104" i="11"/>
  <c r="S2104" i="11"/>
  <c r="R2104" i="11"/>
  <c r="Q2104" i="11"/>
  <c r="P2104" i="11"/>
  <c r="M2104" i="11"/>
  <c r="L2104" i="11"/>
  <c r="F2104" i="11"/>
  <c r="AI2103" i="11"/>
  <c r="AH2103" i="11"/>
  <c r="X2103" i="11"/>
  <c r="U2103" i="11"/>
  <c r="T2103" i="11"/>
  <c r="N2103" i="11"/>
  <c r="AG2103" i="11" s="1"/>
  <c r="AI2102" i="11"/>
  <c r="AH2102" i="11"/>
  <c r="X2102" i="11"/>
  <c r="U2102" i="11"/>
  <c r="T2102" i="11"/>
  <c r="N2102" i="11"/>
  <c r="AI685" i="11"/>
  <c r="AH685" i="11"/>
  <c r="X685" i="11"/>
  <c r="U685" i="11"/>
  <c r="T685" i="11"/>
  <c r="N685" i="11"/>
  <c r="AG685" i="11" s="1"/>
  <c r="AI681" i="11"/>
  <c r="AH681" i="11"/>
  <c r="X681" i="11"/>
  <c r="U681" i="11"/>
  <c r="T681" i="11"/>
  <c r="N681" i="11"/>
  <c r="AE681" i="11" s="1"/>
  <c r="AI726" i="11"/>
  <c r="AH726" i="11"/>
  <c r="X726" i="11"/>
  <c r="U726" i="11"/>
  <c r="T726" i="11"/>
  <c r="N726" i="11"/>
  <c r="AG726" i="11" s="1"/>
  <c r="AI730" i="11"/>
  <c r="AH730" i="11"/>
  <c r="X730" i="11"/>
  <c r="U730" i="11"/>
  <c r="T730" i="11"/>
  <c r="N730" i="11"/>
  <c r="AG730" i="11" s="1"/>
  <c r="AI1293" i="11" l="1"/>
  <c r="AI2104" i="11"/>
  <c r="AI1195" i="11"/>
  <c r="X2104" i="11"/>
  <c r="AG1282" i="11"/>
  <c r="AE664" i="11"/>
  <c r="AE707" i="11"/>
  <c r="AE288" i="11"/>
  <c r="AE1276" i="11"/>
  <c r="AE1277" i="11"/>
  <c r="AE1273" i="11"/>
  <c r="X2116" i="11"/>
  <c r="T2116" i="11"/>
  <c r="X1293" i="11"/>
  <c r="T1195" i="11"/>
  <c r="AH1195" i="11"/>
  <c r="T2104" i="11"/>
  <c r="W1331" i="11"/>
  <c r="AI1331" i="11" s="1"/>
  <c r="U1330" i="11"/>
  <c r="AH1331" i="11"/>
  <c r="N1293" i="11"/>
  <c r="AG1293" i="11" s="1"/>
  <c r="AH1293" i="11"/>
  <c r="AG1203" i="11"/>
  <c r="X1195" i="11"/>
  <c r="AG1194" i="11"/>
  <c r="T1293" i="11"/>
  <c r="AG1202" i="11"/>
  <c r="AG1193" i="11"/>
  <c r="U1195" i="11"/>
  <c r="N1195" i="11"/>
  <c r="AE1204" i="11"/>
  <c r="AE1201" i="11"/>
  <c r="AE1200" i="11"/>
  <c r="AE1197" i="11"/>
  <c r="AE1198" i="11"/>
  <c r="AE1199" i="11"/>
  <c r="AE1205" i="11"/>
  <c r="AG1206" i="11"/>
  <c r="AG1207" i="11"/>
  <c r="AI1210" i="11"/>
  <c r="AE1208" i="11"/>
  <c r="T1210" i="11"/>
  <c r="AH1210" i="11"/>
  <c r="N1210" i="11"/>
  <c r="AE1196" i="11"/>
  <c r="AG1196" i="11"/>
  <c r="AE1209" i="11"/>
  <c r="X1196" i="11"/>
  <c r="X1210" i="11" s="1"/>
  <c r="M1210" i="11"/>
  <c r="U1210" i="11" s="1"/>
  <c r="U2104" i="11"/>
  <c r="U1308" i="11"/>
  <c r="U1293" i="11"/>
  <c r="T1331" i="11"/>
  <c r="AE1290" i="11"/>
  <c r="AE1291" i="11"/>
  <c r="AE1292" i="11"/>
  <c r="AG1290" i="11"/>
  <c r="AG1330" i="11"/>
  <c r="AE1330" i="11"/>
  <c r="N1308" i="11"/>
  <c r="X1308" i="11"/>
  <c r="AI1308" i="11"/>
  <c r="M1331" i="11"/>
  <c r="X1330" i="11"/>
  <c r="AE2114" i="11"/>
  <c r="N2116" i="11"/>
  <c r="AG2116" i="11" s="1"/>
  <c r="U2116" i="11"/>
  <c r="AH2116" i="11"/>
  <c r="AE2113" i="11"/>
  <c r="AE2115" i="11"/>
  <c r="AG2113" i="11"/>
  <c r="AH2104" i="11"/>
  <c r="N2104" i="11"/>
  <c r="AG2104" i="11" s="1"/>
  <c r="AE2102" i="11"/>
  <c r="AE2103" i="11"/>
  <c r="AG2102" i="11"/>
  <c r="AE685" i="11"/>
  <c r="AG681" i="11"/>
  <c r="AE726" i="11"/>
  <c r="AE730" i="11"/>
  <c r="U1331" i="11" l="1"/>
  <c r="AE1293" i="11"/>
  <c r="AE1195" i="11"/>
  <c r="AG1195" i="11"/>
  <c r="AG1210" i="11"/>
  <c r="AE1210" i="11"/>
  <c r="N1331" i="11"/>
  <c r="AG1308" i="11"/>
  <c r="AE1308" i="11"/>
  <c r="X1331" i="11"/>
  <c r="AE2116" i="11"/>
  <c r="AE2104" i="11"/>
  <c r="AG1331" i="11" l="1"/>
  <c r="AE1331" i="11"/>
  <c r="M469" i="11" l="1"/>
  <c r="M1025" i="11"/>
  <c r="M410" i="11"/>
  <c r="M445" i="11"/>
  <c r="S504" i="11"/>
  <c r="S443" i="11"/>
  <c r="Q410" i="11"/>
  <c r="Q445" i="11"/>
  <c r="Q446" i="11"/>
  <c r="Q504" i="11"/>
  <c r="Q388" i="11"/>
  <c r="M478" i="11" l="1"/>
  <c r="M388" i="11" l="1"/>
  <c r="M504" i="11"/>
  <c r="M758" i="11"/>
  <c r="Q758" i="11" l="1"/>
  <c r="AI1632" i="11" l="1"/>
  <c r="AH1632" i="11"/>
  <c r="X1632" i="11"/>
  <c r="U1632" i="11"/>
  <c r="T1632" i="11"/>
  <c r="N1632" i="11"/>
  <c r="AG1632" i="11" s="1"/>
  <c r="AI1631" i="11"/>
  <c r="AH1631" i="11"/>
  <c r="X1631" i="11"/>
  <c r="U1631" i="11"/>
  <c r="T1631" i="11"/>
  <c r="N1631" i="11"/>
  <c r="AG1631" i="11" s="1"/>
  <c r="AI1630" i="11"/>
  <c r="AH1630" i="11"/>
  <c r="X1630" i="11"/>
  <c r="U1630" i="11"/>
  <c r="T1630" i="11"/>
  <c r="N1630" i="11"/>
  <c r="AG1630" i="11" s="1"/>
  <c r="AI1629" i="11"/>
  <c r="AH1629" i="11"/>
  <c r="X1629" i="11"/>
  <c r="U1629" i="11"/>
  <c r="T1629" i="11"/>
  <c r="N1629" i="11"/>
  <c r="AG1629" i="11" s="1"/>
  <c r="AI1634" i="11"/>
  <c r="AH1634" i="11"/>
  <c r="X1634" i="11"/>
  <c r="U1634" i="11"/>
  <c r="T1634" i="11"/>
  <c r="N1634" i="11"/>
  <c r="AG1634" i="11" s="1"/>
  <c r="AI1633" i="11"/>
  <c r="AH1633" i="11"/>
  <c r="X1633" i="11"/>
  <c r="U1633" i="11"/>
  <c r="T1633" i="11"/>
  <c r="N1633" i="11"/>
  <c r="AG1633" i="11" s="1"/>
  <c r="AI1635" i="11"/>
  <c r="AH1635" i="11"/>
  <c r="X1635" i="11"/>
  <c r="U1635" i="11"/>
  <c r="T1635" i="11"/>
  <c r="N1635" i="11"/>
  <c r="AG1635" i="11" s="1"/>
  <c r="W1627" i="11"/>
  <c r="V1627" i="11"/>
  <c r="S1627" i="11"/>
  <c r="R1627" i="11"/>
  <c r="Q1627" i="11"/>
  <c r="P1627" i="11"/>
  <c r="L1627" i="11"/>
  <c r="F1627" i="11"/>
  <c r="AI1626" i="11"/>
  <c r="AH1626" i="11"/>
  <c r="T1626" i="11"/>
  <c r="M1627" i="11"/>
  <c r="AI1624" i="11"/>
  <c r="AH1624" i="11"/>
  <c r="X1624" i="11"/>
  <c r="U1624" i="11"/>
  <c r="T1624" i="11"/>
  <c r="N1624" i="11"/>
  <c r="AG1624" i="11" s="1"/>
  <c r="W1827" i="11"/>
  <c r="V1827" i="11"/>
  <c r="S1827" i="11"/>
  <c r="R1827" i="11"/>
  <c r="P1827" i="11"/>
  <c r="L1827" i="11"/>
  <c r="F1827" i="11"/>
  <c r="AI1826" i="11"/>
  <c r="AH1826" i="11"/>
  <c r="U1826" i="11"/>
  <c r="T1826" i="11"/>
  <c r="M1826" i="11"/>
  <c r="N1826" i="11" s="1"/>
  <c r="AI1825" i="11"/>
  <c r="AH1825" i="11"/>
  <c r="X1825" i="11"/>
  <c r="U1825" i="11"/>
  <c r="T1825" i="11"/>
  <c r="N1825" i="11"/>
  <c r="AG1825" i="11" s="1"/>
  <c r="AI1824" i="11"/>
  <c r="AH1824" i="11"/>
  <c r="U1824" i="11"/>
  <c r="T1824" i="11"/>
  <c r="M1824" i="11"/>
  <c r="X1824" i="11" s="1"/>
  <c r="AI1823" i="11"/>
  <c r="AH1823" i="11"/>
  <c r="Q1823" i="11"/>
  <c r="U1823" i="11" s="1"/>
  <c r="M1823" i="11"/>
  <c r="X1823" i="11" s="1"/>
  <c r="AI1822" i="11"/>
  <c r="AH1822" i="11"/>
  <c r="X1822" i="11"/>
  <c r="U1822" i="11"/>
  <c r="N1822" i="11"/>
  <c r="AE1822" i="11" s="1"/>
  <c r="AI1821" i="11"/>
  <c r="AH1821" i="11"/>
  <c r="X1821" i="11"/>
  <c r="U1821" i="11"/>
  <c r="T1821" i="11"/>
  <c r="N1821" i="11"/>
  <c r="AG1821" i="11" s="1"/>
  <c r="AI1820" i="11"/>
  <c r="AH1820" i="11"/>
  <c r="X1820" i="11"/>
  <c r="U1820" i="11"/>
  <c r="T1820" i="11"/>
  <c r="N1820" i="11"/>
  <c r="AG1820" i="11" s="1"/>
  <c r="AI1819" i="11"/>
  <c r="AH1819" i="11"/>
  <c r="X1819" i="11"/>
  <c r="U1819" i="11"/>
  <c r="T1819" i="11"/>
  <c r="N1819" i="11"/>
  <c r="AG1819" i="11" s="1"/>
  <c r="AI1818" i="11"/>
  <c r="AH1818" i="11"/>
  <c r="X1818" i="11"/>
  <c r="U1818" i="11"/>
  <c r="T1818" i="11"/>
  <c r="N1818" i="11"/>
  <c r="AG1818" i="11" s="1"/>
  <c r="AI1817" i="11"/>
  <c r="AH1817" i="11"/>
  <c r="X1817" i="11"/>
  <c r="Q1817" i="11"/>
  <c r="T1817" i="11" s="1"/>
  <c r="N1817" i="11"/>
  <c r="AG1817" i="11" s="1"/>
  <c r="AI1816" i="11"/>
  <c r="AH1816" i="11"/>
  <c r="X1816" i="11"/>
  <c r="U1816" i="11"/>
  <c r="T1816" i="11"/>
  <c r="N1816" i="11"/>
  <c r="AE1816" i="11" s="1"/>
  <c r="AI1815" i="11"/>
  <c r="AH1815" i="11"/>
  <c r="X1815" i="11"/>
  <c r="U1815" i="11"/>
  <c r="T1815" i="11"/>
  <c r="N1815" i="11"/>
  <c r="AE1815" i="11" s="1"/>
  <c r="AI1814" i="11"/>
  <c r="AH1814" i="11"/>
  <c r="X1814" i="11"/>
  <c r="U1814" i="11"/>
  <c r="T1814" i="11"/>
  <c r="N1814" i="11"/>
  <c r="AE1814" i="11" s="1"/>
  <c r="AI1813" i="11"/>
  <c r="AH1813" i="11"/>
  <c r="X1813" i="11"/>
  <c r="U1813" i="11"/>
  <c r="T1813" i="11"/>
  <c r="N1813" i="11"/>
  <c r="AE1813" i="11" s="1"/>
  <c r="AI1812" i="11"/>
  <c r="AH1812" i="11"/>
  <c r="U1812" i="11"/>
  <c r="T1812" i="11"/>
  <c r="M1812" i="11"/>
  <c r="W2101" i="11"/>
  <c r="V2101" i="11"/>
  <c r="S2101" i="11"/>
  <c r="R2101" i="11"/>
  <c r="Q2101" i="11"/>
  <c r="P2101" i="11"/>
  <c r="M2101" i="11"/>
  <c r="L2101" i="11"/>
  <c r="F2101" i="11"/>
  <c r="AI2100" i="11"/>
  <c r="AH2100" i="11"/>
  <c r="X2100" i="11"/>
  <c r="U2100" i="11"/>
  <c r="T2100" i="11"/>
  <c r="N2100" i="11"/>
  <c r="AE2100" i="11" s="1"/>
  <c r="AI2098" i="11"/>
  <c r="AH2098" i="11"/>
  <c r="X2098" i="11"/>
  <c r="U2098" i="11"/>
  <c r="T2098" i="11"/>
  <c r="N2098" i="11"/>
  <c r="AE2098" i="11" s="1"/>
  <c r="W213" i="11"/>
  <c r="V213" i="11"/>
  <c r="S213" i="11"/>
  <c r="R213" i="11"/>
  <c r="Q213" i="11"/>
  <c r="P213" i="11"/>
  <c r="M213" i="11"/>
  <c r="L213" i="11"/>
  <c r="F213" i="11"/>
  <c r="AI212" i="11"/>
  <c r="AH212" i="11"/>
  <c r="X212" i="11"/>
  <c r="U212" i="11"/>
  <c r="T212" i="11"/>
  <c r="N212" i="11"/>
  <c r="AE212" i="11" s="1"/>
  <c r="AI211" i="11"/>
  <c r="AH211" i="11"/>
  <c r="X211" i="11"/>
  <c r="U211" i="11"/>
  <c r="T211" i="11"/>
  <c r="N211" i="11"/>
  <c r="AE211" i="11" s="1"/>
  <c r="AI210" i="11"/>
  <c r="AH210" i="11"/>
  <c r="X210" i="11"/>
  <c r="U210" i="11"/>
  <c r="T210" i="11"/>
  <c r="N210" i="11"/>
  <c r="AE210" i="11" s="1"/>
  <c r="W220" i="11"/>
  <c r="V220" i="11"/>
  <c r="S220" i="11"/>
  <c r="R220" i="11"/>
  <c r="Q220" i="11"/>
  <c r="P220" i="11"/>
  <c r="M220" i="11"/>
  <c r="L220" i="11"/>
  <c r="F220" i="11"/>
  <c r="AI219" i="11"/>
  <c r="AH219" i="11"/>
  <c r="X219" i="11"/>
  <c r="U219" i="11"/>
  <c r="T219" i="11"/>
  <c r="N219" i="11"/>
  <c r="AG219" i="11" s="1"/>
  <c r="AI218" i="11"/>
  <c r="AH218" i="11"/>
  <c r="X218" i="11"/>
  <c r="U218" i="11"/>
  <c r="T218" i="11"/>
  <c r="N218" i="11"/>
  <c r="AG218" i="11" s="1"/>
  <c r="N1823" i="11" l="1"/>
  <c r="AG1823" i="11" s="1"/>
  <c r="M1827" i="11"/>
  <c r="U1817" i="11"/>
  <c r="U213" i="11"/>
  <c r="N213" i="11"/>
  <c r="AG213" i="11" s="1"/>
  <c r="AH213" i="11"/>
  <c r="T2101" i="11"/>
  <c r="U2101" i="11"/>
  <c r="AI1827" i="11"/>
  <c r="AH1627" i="11"/>
  <c r="X220" i="11"/>
  <c r="T220" i="11"/>
  <c r="T1627" i="11"/>
  <c r="U1627" i="11"/>
  <c r="AI1627" i="11"/>
  <c r="AE1629" i="11"/>
  <c r="AE1630" i="11"/>
  <c r="AE1631" i="11"/>
  <c r="AE1632" i="11"/>
  <c r="AE1633" i="11"/>
  <c r="AE1634" i="11"/>
  <c r="AE1635" i="11"/>
  <c r="AE1624" i="11"/>
  <c r="X1626" i="11"/>
  <c r="X1627" i="11" s="1"/>
  <c r="N1626" i="11"/>
  <c r="U1626" i="11"/>
  <c r="T213" i="11"/>
  <c r="AG1814" i="11"/>
  <c r="U220" i="11"/>
  <c r="AG212" i="11"/>
  <c r="AI213" i="11"/>
  <c r="AH2101" i="11"/>
  <c r="AG1813" i="11"/>
  <c r="AE1817" i="11"/>
  <c r="T1823" i="11"/>
  <c r="X213" i="11"/>
  <c r="AG211" i="11"/>
  <c r="X2101" i="11"/>
  <c r="AG1816" i="11"/>
  <c r="T1822" i="11"/>
  <c r="N1824" i="11"/>
  <c r="AG1824" i="11" s="1"/>
  <c r="AH1827" i="11"/>
  <c r="AG210" i="11"/>
  <c r="AG1815" i="11"/>
  <c r="AE1826" i="11"/>
  <c r="AG1826" i="11"/>
  <c r="X1812" i="11"/>
  <c r="AG1822" i="11"/>
  <c r="Q1827" i="11"/>
  <c r="U1827" i="11" s="1"/>
  <c r="N1812" i="11"/>
  <c r="AE1818" i="11"/>
  <c r="AE1819" i="11"/>
  <c r="AE1820" i="11"/>
  <c r="AE1821" i="11"/>
  <c r="AE1825" i="11"/>
  <c r="X1826" i="11"/>
  <c r="N2101" i="11"/>
  <c r="AG2101" i="11" s="1"/>
  <c r="AG2100" i="11"/>
  <c r="AI2101" i="11"/>
  <c r="AG2098" i="11"/>
  <c r="AI220" i="11"/>
  <c r="AH220" i="11"/>
  <c r="N220" i="11"/>
  <c r="AG220" i="11" s="1"/>
  <c r="AE218" i="11"/>
  <c r="AE219" i="11"/>
  <c r="AI617" i="11"/>
  <c r="AH617" i="11"/>
  <c r="X617" i="11"/>
  <c r="U617" i="11"/>
  <c r="T617" i="11"/>
  <c r="N617" i="11"/>
  <c r="AG617" i="11" s="1"/>
  <c r="W619" i="11"/>
  <c r="AI609" i="11"/>
  <c r="AH609" i="11"/>
  <c r="X609" i="11"/>
  <c r="U609" i="11"/>
  <c r="T609" i="11"/>
  <c r="N609" i="11"/>
  <c r="AG609" i="11" s="1"/>
  <c r="AI601" i="11"/>
  <c r="AH601" i="11"/>
  <c r="X601" i="11"/>
  <c r="U601" i="11"/>
  <c r="T601" i="11"/>
  <c r="N601" i="11"/>
  <c r="AG601" i="11" s="1"/>
  <c r="AI2088" i="11"/>
  <c r="AH2088" i="11"/>
  <c r="X2088" i="11"/>
  <c r="U2088" i="11"/>
  <c r="T2088" i="11"/>
  <c r="N2088" i="11"/>
  <c r="AG2088" i="11" s="1"/>
  <c r="AI2087" i="11"/>
  <c r="AH2087" i="11"/>
  <c r="X2087" i="11"/>
  <c r="U2087" i="11"/>
  <c r="T2087" i="11"/>
  <c r="N2087" i="11"/>
  <c r="AG2087" i="11" s="1"/>
  <c r="AI2086" i="11"/>
  <c r="AH2086" i="11"/>
  <c r="X2086" i="11"/>
  <c r="U2086" i="11"/>
  <c r="T2086" i="11"/>
  <c r="N2086" i="11"/>
  <c r="AG2086" i="11" s="1"/>
  <c r="W2092" i="11"/>
  <c r="V2092" i="11"/>
  <c r="S2092" i="11"/>
  <c r="R2092" i="11"/>
  <c r="Q2092" i="11"/>
  <c r="P2092" i="11"/>
  <c r="M2092" i="11"/>
  <c r="L2092" i="11"/>
  <c r="F2092" i="11"/>
  <c r="AI2091" i="11"/>
  <c r="AH2091" i="11"/>
  <c r="X2091" i="11"/>
  <c r="U2091" i="11"/>
  <c r="T2091" i="11"/>
  <c r="N2091" i="11"/>
  <c r="AG2091" i="11" s="1"/>
  <c r="AI2090" i="11"/>
  <c r="AH2090" i="11"/>
  <c r="X2090" i="11"/>
  <c r="U2090" i="11"/>
  <c r="T2090" i="11"/>
  <c r="N2090" i="11"/>
  <c r="AG2090" i="11" s="1"/>
  <c r="AI2089" i="11"/>
  <c r="AH2089" i="11"/>
  <c r="X2089" i="11"/>
  <c r="U2089" i="11"/>
  <c r="T2089" i="11"/>
  <c r="N2089" i="11"/>
  <c r="AG2089" i="11" s="1"/>
  <c r="AI2085" i="11"/>
  <c r="AH2085" i="11"/>
  <c r="X2085" i="11"/>
  <c r="U2085" i="11"/>
  <c r="T2085" i="11"/>
  <c r="N2085" i="11"/>
  <c r="AI2094" i="11"/>
  <c r="AH2094" i="11"/>
  <c r="X2094" i="11"/>
  <c r="U2094" i="11"/>
  <c r="T2094" i="11"/>
  <c r="N2094" i="11"/>
  <c r="AG2094" i="11" s="1"/>
  <c r="AI2095" i="11"/>
  <c r="AH2095" i="11"/>
  <c r="X2095" i="11"/>
  <c r="U2095" i="11"/>
  <c r="T2095" i="11"/>
  <c r="N2095" i="11"/>
  <c r="AG2095" i="11" s="1"/>
  <c r="W2097" i="11"/>
  <c r="V2097" i="11"/>
  <c r="S2097" i="11"/>
  <c r="R2097" i="11"/>
  <c r="Q2097" i="11"/>
  <c r="P2097" i="11"/>
  <c r="M2097" i="11"/>
  <c r="L2097" i="11"/>
  <c r="F2097" i="11"/>
  <c r="AI2096" i="11"/>
  <c r="AH2096" i="11"/>
  <c r="X2096" i="11"/>
  <c r="U2096" i="11"/>
  <c r="T2096" i="11"/>
  <c r="N2096" i="11"/>
  <c r="AE2096" i="11" s="1"/>
  <c r="AI2093" i="11"/>
  <c r="AH2093" i="11"/>
  <c r="X2093" i="11"/>
  <c r="U2093" i="11"/>
  <c r="T2093" i="11"/>
  <c r="N2093" i="11"/>
  <c r="AE2093" i="11" s="1"/>
  <c r="AI2092" i="11" l="1"/>
  <c r="AE1823" i="11"/>
  <c r="AE213" i="11"/>
  <c r="AE2101" i="11"/>
  <c r="T1827" i="11"/>
  <c r="AE1824" i="11"/>
  <c r="AG1626" i="11"/>
  <c r="AE1626" i="11"/>
  <c r="N1627" i="11"/>
  <c r="U2092" i="11"/>
  <c r="X1827" i="11"/>
  <c r="N1827" i="11"/>
  <c r="AG1812" i="11"/>
  <c r="AE1812" i="11"/>
  <c r="X2092" i="11"/>
  <c r="T2092" i="11"/>
  <c r="AE220" i="11"/>
  <c r="AE617" i="11"/>
  <c r="AE609" i="11"/>
  <c r="AE601" i="11"/>
  <c r="AE2086" i="11"/>
  <c r="AE2087" i="11"/>
  <c r="AE2088" i="11"/>
  <c r="AH2092" i="11"/>
  <c r="N2092" i="11"/>
  <c r="AE2092" i="11" s="1"/>
  <c r="AE2085" i="11"/>
  <c r="AE2089" i="11"/>
  <c r="AE2090" i="11"/>
  <c r="AE2091" i="11"/>
  <c r="AG2085" i="11"/>
  <c r="X2097" i="11"/>
  <c r="AE2094" i="11"/>
  <c r="T2097" i="11"/>
  <c r="AE2095" i="11"/>
  <c r="U2097" i="11"/>
  <c r="AG2096" i="11"/>
  <c r="AI2097" i="11"/>
  <c r="AG2093" i="11"/>
  <c r="N2097" i="11"/>
  <c r="AG2097" i="11" s="1"/>
  <c r="AH2097" i="11"/>
  <c r="AG1627" i="11" l="1"/>
  <c r="AE1627" i="11"/>
  <c r="AG1827" i="11"/>
  <c r="AE1827" i="11"/>
  <c r="AG2092" i="11"/>
  <c r="AE2097" i="11"/>
  <c r="M582" i="11" l="1"/>
  <c r="Q470" i="11" l="1"/>
  <c r="Q1708" i="11"/>
  <c r="W2080" i="11" l="1"/>
  <c r="V2080" i="11"/>
  <c r="S2080" i="11"/>
  <c r="R2080" i="11"/>
  <c r="Q2080" i="11"/>
  <c r="P2080" i="11"/>
  <c r="M2080" i="11"/>
  <c r="L2080" i="11"/>
  <c r="F2080" i="11"/>
  <c r="AI2079" i="11"/>
  <c r="AH2079" i="11"/>
  <c r="X2079" i="11"/>
  <c r="U2079" i="11"/>
  <c r="T2079" i="11"/>
  <c r="N2079" i="11"/>
  <c r="AG2079" i="11" s="1"/>
  <c r="AI2075" i="11"/>
  <c r="AH2075" i="11"/>
  <c r="X2075" i="11"/>
  <c r="U2075" i="11"/>
  <c r="T2075" i="11"/>
  <c r="N2075" i="11"/>
  <c r="AG2075" i="11" s="1"/>
  <c r="W2084" i="11"/>
  <c r="V2084" i="11"/>
  <c r="S2084" i="11"/>
  <c r="R2084" i="11"/>
  <c r="Q2084" i="11"/>
  <c r="P2084" i="11"/>
  <c r="M2084" i="11"/>
  <c r="L2084" i="11"/>
  <c r="F2084" i="11"/>
  <c r="AI2083" i="11"/>
  <c r="AH2083" i="11"/>
  <c r="X2083" i="11"/>
  <c r="U2083" i="11"/>
  <c r="T2083" i="11"/>
  <c r="N2083" i="11"/>
  <c r="AG2083" i="11" s="1"/>
  <c r="AI2081" i="11"/>
  <c r="AH2081" i="11"/>
  <c r="X2081" i="11"/>
  <c r="U2081" i="11"/>
  <c r="T2081" i="11"/>
  <c r="N2081" i="11"/>
  <c r="AG2081" i="11" s="1"/>
  <c r="T2080" i="11" l="1"/>
  <c r="X2084" i="11"/>
  <c r="T2084" i="11"/>
  <c r="U2084" i="11"/>
  <c r="AI2080" i="11"/>
  <c r="AI2084" i="11"/>
  <c r="X2080" i="11"/>
  <c r="AH2084" i="11"/>
  <c r="U2080" i="11"/>
  <c r="AH2080" i="11"/>
  <c r="N2080" i="11"/>
  <c r="AE2075" i="11"/>
  <c r="AE2079" i="11"/>
  <c r="N2084" i="11"/>
  <c r="AE2081" i="11"/>
  <c r="AE2083" i="11"/>
  <c r="M597" i="11"/>
  <c r="Q574" i="11"/>
  <c r="N330" i="11"/>
  <c r="M470" i="11"/>
  <c r="M1708" i="11"/>
  <c r="M1526" i="11"/>
  <c r="M2005" i="11"/>
  <c r="M2151" i="11"/>
  <c r="Q577" i="11" l="1"/>
  <c r="AE2080" i="11"/>
  <c r="AG2080" i="11"/>
  <c r="AE2084" i="11"/>
  <c r="AG2084" i="11"/>
  <c r="Q1526" i="11" l="1"/>
  <c r="Q2139" i="11"/>
  <c r="W209" i="11"/>
  <c r="V209" i="11"/>
  <c r="S209" i="11"/>
  <c r="R209" i="11"/>
  <c r="Q209" i="11"/>
  <c r="P209" i="11"/>
  <c r="M209" i="11"/>
  <c r="L209" i="11"/>
  <c r="F209" i="11"/>
  <c r="AI208" i="11"/>
  <c r="AH208" i="11"/>
  <c r="X208" i="11"/>
  <c r="U208" i="11"/>
  <c r="T208" i="11"/>
  <c r="N208" i="11"/>
  <c r="AG208" i="11" s="1"/>
  <c r="AI207" i="11"/>
  <c r="AH207" i="11"/>
  <c r="X207" i="11"/>
  <c r="U207" i="11"/>
  <c r="T207" i="11"/>
  <c r="N207" i="11"/>
  <c r="AI209" i="11" l="1"/>
  <c r="X209" i="11"/>
  <c r="T209" i="11"/>
  <c r="AH209" i="11"/>
  <c r="N209" i="11"/>
  <c r="AG209" i="11" s="1"/>
  <c r="U209" i="11"/>
  <c r="AE207" i="11"/>
  <c r="AE208" i="11"/>
  <c r="AG207" i="11"/>
  <c r="L515" i="11"/>
  <c r="AE209" i="11" l="1"/>
  <c r="M443" i="11" l="1"/>
  <c r="M127" i="11"/>
  <c r="M1690" i="11"/>
  <c r="Q443" i="11" l="1"/>
  <c r="W653" i="11"/>
  <c r="S505" i="11" l="1"/>
  <c r="Q508" i="11" l="1"/>
  <c r="AI2072" i="11" l="1"/>
  <c r="AH2072" i="11"/>
  <c r="X2072" i="11"/>
  <c r="U2072" i="11"/>
  <c r="T2072" i="11"/>
  <c r="N2072" i="11"/>
  <c r="AG2072" i="11" s="1"/>
  <c r="W2067" i="11"/>
  <c r="V2067" i="11"/>
  <c r="S2067" i="11"/>
  <c r="R2067" i="11"/>
  <c r="Q2067" i="11"/>
  <c r="P2067" i="11"/>
  <c r="M2067" i="11"/>
  <c r="L2067" i="11"/>
  <c r="F2067" i="11"/>
  <c r="AI2066" i="11"/>
  <c r="AH2066" i="11"/>
  <c r="X2066" i="11"/>
  <c r="U2066" i="11"/>
  <c r="T2066" i="11"/>
  <c r="N2066" i="11"/>
  <c r="AG2066" i="11" s="1"/>
  <c r="AI2065" i="11"/>
  <c r="AH2065" i="11"/>
  <c r="X2065" i="11"/>
  <c r="U2065" i="11"/>
  <c r="T2065" i="11"/>
  <c r="N2065" i="11"/>
  <c r="AG2065" i="11" s="1"/>
  <c r="AI2064" i="11"/>
  <c r="AH2064" i="11"/>
  <c r="X2064" i="11"/>
  <c r="U2064" i="11"/>
  <c r="T2064" i="11"/>
  <c r="N2064" i="11"/>
  <c r="AG2064" i="11" s="1"/>
  <c r="AI2063" i="11"/>
  <c r="AH2063" i="11"/>
  <c r="X2063" i="11"/>
  <c r="U2063" i="11"/>
  <c r="T2063" i="11"/>
  <c r="N2063" i="11"/>
  <c r="AG2063" i="11" s="1"/>
  <c r="AI2062" i="11"/>
  <c r="AH2062" i="11"/>
  <c r="X2062" i="11"/>
  <c r="U2062" i="11"/>
  <c r="T2062" i="11"/>
  <c r="N2062" i="11"/>
  <c r="W2061" i="11"/>
  <c r="V2061" i="11"/>
  <c r="S2061" i="11"/>
  <c r="R2061" i="11"/>
  <c r="Q2061" i="11"/>
  <c r="P2061" i="11"/>
  <c r="M2061" i="11"/>
  <c r="L2061" i="11"/>
  <c r="F2061" i="11"/>
  <c r="AI2060" i="11"/>
  <c r="AH2060" i="11"/>
  <c r="X2060" i="11"/>
  <c r="U2060" i="11"/>
  <c r="T2060" i="11"/>
  <c r="N2060" i="11"/>
  <c r="AE2060" i="11" s="1"/>
  <c r="AI2059" i="11"/>
  <c r="AH2059" i="11"/>
  <c r="X2059" i="11"/>
  <c r="U2059" i="11"/>
  <c r="T2059" i="11"/>
  <c r="N2059" i="11"/>
  <c r="AE2059" i="11" s="1"/>
  <c r="AI2058" i="11"/>
  <c r="AH2058" i="11"/>
  <c r="X2058" i="11"/>
  <c r="U2058" i="11"/>
  <c r="T2058" i="11"/>
  <c r="N2058" i="11"/>
  <c r="AE2058" i="11" s="1"/>
  <c r="AI2057" i="11"/>
  <c r="AH2057" i="11"/>
  <c r="X2057" i="11"/>
  <c r="U2057" i="11"/>
  <c r="T2057" i="11"/>
  <c r="N2057" i="11"/>
  <c r="AE2057" i="11" s="1"/>
  <c r="AI2056" i="11"/>
  <c r="AH2056" i="11"/>
  <c r="X2056" i="11"/>
  <c r="U2056" i="11"/>
  <c r="T2056" i="11"/>
  <c r="N2056" i="11"/>
  <c r="AE2056" i="11" s="1"/>
  <c r="AI2055" i="11"/>
  <c r="AH2055" i="11"/>
  <c r="X2055" i="11"/>
  <c r="U2055" i="11"/>
  <c r="T2055" i="11"/>
  <c r="N2055" i="11"/>
  <c r="AE2055" i="11" s="1"/>
  <c r="X2067" i="11" l="1"/>
  <c r="AI2067" i="11"/>
  <c r="N2067" i="11"/>
  <c r="AG2067" i="11" s="1"/>
  <c r="AH2067" i="11"/>
  <c r="AH2061" i="11"/>
  <c r="T2067" i="11"/>
  <c r="U2067" i="11"/>
  <c r="AE2072" i="11"/>
  <c r="AE2062" i="11"/>
  <c r="AE2063" i="11"/>
  <c r="AE2064" i="11"/>
  <c r="AE2065" i="11"/>
  <c r="AE2066" i="11"/>
  <c r="AG2062" i="11"/>
  <c r="AG2055" i="11"/>
  <c r="AG2059" i="11"/>
  <c r="T2061" i="11"/>
  <c r="AG2058" i="11"/>
  <c r="N2061" i="11"/>
  <c r="AG2057" i="11"/>
  <c r="X2061" i="11"/>
  <c r="AG2056" i="11"/>
  <c r="AG2060" i="11"/>
  <c r="U2061" i="11"/>
  <c r="AI2061" i="11"/>
  <c r="M92" i="11"/>
  <c r="P92" i="11"/>
  <c r="Q92" i="11"/>
  <c r="R92" i="11"/>
  <c r="S92" i="11"/>
  <c r="V92" i="11"/>
  <c r="W92" i="11"/>
  <c r="L92" i="11"/>
  <c r="F92" i="11"/>
  <c r="AI90" i="11"/>
  <c r="AH90" i="11"/>
  <c r="X90" i="11"/>
  <c r="U90" i="11"/>
  <c r="T90" i="11"/>
  <c r="N90" i="11"/>
  <c r="AG90" i="11" s="1"/>
  <c r="W89" i="11"/>
  <c r="V89" i="11"/>
  <c r="S89" i="11"/>
  <c r="R89" i="11"/>
  <c r="Q89" i="11"/>
  <c r="P89" i="11"/>
  <c r="M89" i="11"/>
  <c r="L89" i="11"/>
  <c r="F89" i="11"/>
  <c r="AI88" i="11"/>
  <c r="AH88" i="11"/>
  <c r="X88" i="11"/>
  <c r="X89" i="11" s="1"/>
  <c r="U88" i="11"/>
  <c r="T88" i="11"/>
  <c r="T89" i="11" s="1"/>
  <c r="N88" i="11"/>
  <c r="AE88" i="11" s="1"/>
  <c r="AE2067" i="11" l="1"/>
  <c r="N89" i="11"/>
  <c r="AE89" i="11" s="1"/>
  <c r="U89" i="11"/>
  <c r="AI89" i="11"/>
  <c r="AH89" i="11"/>
  <c r="AG2061" i="11"/>
  <c r="AE2061" i="11"/>
  <c r="U92" i="11"/>
  <c r="AG88" i="11"/>
  <c r="AE90" i="11"/>
  <c r="AG89" i="11" l="1"/>
  <c r="M425" i="11"/>
  <c r="Q425" i="11"/>
  <c r="M596" i="11" l="1"/>
  <c r="M652" i="11"/>
  <c r="S1710" i="11"/>
  <c r="W652" i="11" l="1"/>
  <c r="Q1528" i="11" l="1"/>
  <c r="M653" i="11" l="1"/>
  <c r="M508" i="11"/>
  <c r="M395" i="11"/>
  <c r="M1528" i="11"/>
  <c r="AI391" i="11"/>
  <c r="AH391" i="11"/>
  <c r="X391" i="11"/>
  <c r="U391" i="11"/>
  <c r="T391" i="11"/>
  <c r="N391" i="11"/>
  <c r="AG391" i="11" s="1"/>
  <c r="W109" i="11"/>
  <c r="V109" i="11"/>
  <c r="S109" i="11"/>
  <c r="R109" i="11"/>
  <c r="Q109" i="11"/>
  <c r="P109" i="11"/>
  <c r="M109" i="11"/>
  <c r="L109" i="11"/>
  <c r="AI108" i="11"/>
  <c r="AH108" i="11"/>
  <c r="X108" i="11"/>
  <c r="U108" i="11"/>
  <c r="T108" i="11"/>
  <c r="N108" i="11"/>
  <c r="AG108" i="11" s="1"/>
  <c r="X106" i="11"/>
  <c r="U106" i="11"/>
  <c r="T106" i="11"/>
  <c r="AH106" i="11"/>
  <c r="F110" i="11"/>
  <c r="AH110" i="11" s="1"/>
  <c r="AI114" i="11"/>
  <c r="AH114" i="11"/>
  <c r="X114" i="11"/>
  <c r="U114" i="11"/>
  <c r="T114" i="11"/>
  <c r="N114" i="11"/>
  <c r="AG114" i="11" s="1"/>
  <c r="AI113" i="11"/>
  <c r="AH113" i="11"/>
  <c r="X113" i="11"/>
  <c r="U113" i="11"/>
  <c r="T113" i="11"/>
  <c r="N113" i="11"/>
  <c r="AG113" i="11" s="1"/>
  <c r="AI112" i="11"/>
  <c r="AH112" i="11"/>
  <c r="X112" i="11"/>
  <c r="U112" i="11"/>
  <c r="T112" i="11"/>
  <c r="N112" i="11"/>
  <c r="AG112" i="11" s="1"/>
  <c r="AI111" i="11"/>
  <c r="AH111" i="11"/>
  <c r="X111" i="11"/>
  <c r="U111" i="11"/>
  <c r="T111" i="11"/>
  <c r="N111" i="11"/>
  <c r="AG111" i="11" s="1"/>
  <c r="AI115" i="11"/>
  <c r="AH115" i="11"/>
  <c r="X115" i="11"/>
  <c r="U115" i="11"/>
  <c r="T115" i="11"/>
  <c r="N115" i="11"/>
  <c r="AG115" i="11" s="1"/>
  <c r="W116" i="11"/>
  <c r="V116" i="11"/>
  <c r="S116" i="11"/>
  <c r="R116" i="11"/>
  <c r="Q116" i="11"/>
  <c r="P116" i="11"/>
  <c r="M116" i="11"/>
  <c r="L116" i="11"/>
  <c r="X110" i="11"/>
  <c r="U110" i="11"/>
  <c r="T110" i="11"/>
  <c r="W105" i="11"/>
  <c r="V105" i="11"/>
  <c r="S105" i="11"/>
  <c r="R105" i="11"/>
  <c r="Q105" i="11"/>
  <c r="P105" i="11"/>
  <c r="L105" i="11"/>
  <c r="F105" i="11"/>
  <c r="AI104" i="11"/>
  <c r="AH104" i="11"/>
  <c r="T104" i="11"/>
  <c r="M105" i="11"/>
  <c r="AI204" i="11"/>
  <c r="AH204" i="11"/>
  <c r="X204" i="11"/>
  <c r="U204" i="11"/>
  <c r="T204" i="11"/>
  <c r="N204" i="11"/>
  <c r="AG204" i="11" s="1"/>
  <c r="W206" i="11"/>
  <c r="V206" i="11"/>
  <c r="S206" i="11"/>
  <c r="R206" i="11"/>
  <c r="Q206" i="11"/>
  <c r="P206" i="11"/>
  <c r="M206" i="11"/>
  <c r="L206" i="11"/>
  <c r="F206" i="11"/>
  <c r="AI205" i="11"/>
  <c r="AH205" i="11"/>
  <c r="X205" i="11"/>
  <c r="U205" i="11"/>
  <c r="T205" i="11"/>
  <c r="N205" i="11"/>
  <c r="AE205" i="11" s="1"/>
  <c r="AI203" i="11"/>
  <c r="AH203" i="11"/>
  <c r="X203" i="11"/>
  <c r="U203" i="11"/>
  <c r="T203" i="11"/>
  <c r="N203" i="11"/>
  <c r="AE203" i="11" s="1"/>
  <c r="AI202" i="11"/>
  <c r="AH202" i="11"/>
  <c r="X202" i="11"/>
  <c r="U202" i="11"/>
  <c r="T202" i="11"/>
  <c r="N202" i="11"/>
  <c r="AE202" i="11" s="1"/>
  <c r="AI201" i="11"/>
  <c r="AH201" i="11"/>
  <c r="X201" i="11"/>
  <c r="U201" i="11"/>
  <c r="T201" i="11"/>
  <c r="N201" i="11"/>
  <c r="AE201" i="11" s="1"/>
  <c r="V233" i="11"/>
  <c r="S233" i="11"/>
  <c r="R233" i="11"/>
  <c r="Q233" i="11"/>
  <c r="P233" i="11"/>
  <c r="L233" i="11"/>
  <c r="AI232" i="11"/>
  <c r="AH232" i="11"/>
  <c r="U232" i="11"/>
  <c r="T232" i="11"/>
  <c r="N232" i="11"/>
  <c r="AG232" i="11" s="1"/>
  <c r="X232" i="11"/>
  <c r="AI231" i="11"/>
  <c r="X231" i="11"/>
  <c r="U231" i="11"/>
  <c r="T231" i="11"/>
  <c r="N231" i="11"/>
  <c r="AG231" i="11" s="1"/>
  <c r="AH231" i="11"/>
  <c r="AH221" i="11"/>
  <c r="W233" i="11"/>
  <c r="T221" i="11"/>
  <c r="U221" i="11"/>
  <c r="F233" i="11"/>
  <c r="Q395" i="11"/>
  <c r="W2243" i="11"/>
  <c r="V2243" i="11"/>
  <c r="S2243" i="11"/>
  <c r="R2243" i="11"/>
  <c r="Q2243" i="11"/>
  <c r="P2243" i="11"/>
  <c r="L2243" i="11"/>
  <c r="F2243" i="11"/>
  <c r="AI2242" i="11"/>
  <c r="AH2242" i="11"/>
  <c r="T2242" i="11"/>
  <c r="T2243" i="11" s="1"/>
  <c r="X2242" i="11"/>
  <c r="X2243" i="11" s="1"/>
  <c r="T109" i="11" l="1"/>
  <c r="X109" i="11"/>
  <c r="AI105" i="11"/>
  <c r="U2242" i="11"/>
  <c r="U116" i="11"/>
  <c r="AE391" i="11"/>
  <c r="N2242" i="11"/>
  <c r="N2243" i="11" s="1"/>
  <c r="AE2243" i="11" s="1"/>
  <c r="U206" i="11"/>
  <c r="T116" i="11"/>
  <c r="AI2243" i="11"/>
  <c r="AI110" i="11"/>
  <c r="U104" i="11"/>
  <c r="AH105" i="11"/>
  <c r="U109" i="11"/>
  <c r="F116" i="11"/>
  <c r="AH116" i="11" s="1"/>
  <c r="T233" i="11"/>
  <c r="X206" i="11"/>
  <c r="AI106" i="11"/>
  <c r="N106" i="11"/>
  <c r="AE108" i="11"/>
  <c r="F109" i="11"/>
  <c r="AI109" i="11" s="1"/>
  <c r="T206" i="11"/>
  <c r="N104" i="11"/>
  <c r="AG104" i="11" s="1"/>
  <c r="M2243" i="11"/>
  <c r="U2243" i="11" s="1"/>
  <c r="AH2243" i="11"/>
  <c r="T105" i="11"/>
  <c r="N110" i="11"/>
  <c r="AG110" i="11" s="1"/>
  <c r="AE113" i="11"/>
  <c r="AE114" i="11"/>
  <c r="AE111" i="11"/>
  <c r="AE112" i="11"/>
  <c r="X116" i="11"/>
  <c r="AE115" i="11"/>
  <c r="U105" i="11"/>
  <c r="X104" i="11"/>
  <c r="AE204" i="11"/>
  <c r="AG203" i="11"/>
  <c r="AG202" i="11"/>
  <c r="N206" i="11"/>
  <c r="AG206" i="11" s="1"/>
  <c r="AH206" i="11"/>
  <c r="AG201" i="11"/>
  <c r="AG205" i="11"/>
  <c r="AI206" i="11"/>
  <c r="AH233" i="11"/>
  <c r="AI233" i="11"/>
  <c r="N221" i="11"/>
  <c r="X221" i="11"/>
  <c r="AI221" i="11"/>
  <c r="AE231" i="11"/>
  <c r="M233" i="11"/>
  <c r="U233" i="11" s="1"/>
  <c r="AE232" i="11"/>
  <c r="AG2242" i="11" l="1"/>
  <c r="AG2243" i="11"/>
  <c r="AE2242" i="11"/>
  <c r="AE110" i="11"/>
  <c r="AE104" i="11"/>
  <c r="AI116" i="11"/>
  <c r="N116" i="11"/>
  <c r="AG116" i="11" s="1"/>
  <c r="AH109" i="11"/>
  <c r="AG106" i="11"/>
  <c r="AE106" i="11"/>
  <c r="N109" i="11"/>
  <c r="X105" i="11"/>
  <c r="N105" i="11"/>
  <c r="AE206" i="11"/>
  <c r="AG221" i="11"/>
  <c r="N233" i="11"/>
  <c r="AE221" i="11"/>
  <c r="X233" i="11"/>
  <c r="AE116" i="11" l="1"/>
  <c r="AG109" i="11"/>
  <c r="AE109" i="11"/>
  <c r="AG105" i="11"/>
  <c r="AE105" i="11"/>
  <c r="AG233" i="11"/>
  <c r="AE233" i="11"/>
  <c r="M1709" i="11" l="1"/>
  <c r="V1847" i="11" l="1"/>
  <c r="S1847" i="11"/>
  <c r="R1847" i="11"/>
  <c r="Q1847" i="11"/>
  <c r="P1847" i="11"/>
  <c r="L1847" i="11"/>
  <c r="F1847" i="11"/>
  <c r="AI1846" i="11"/>
  <c r="AH1846" i="11"/>
  <c r="X1846" i="11"/>
  <c r="U1846" i="11"/>
  <c r="T1846" i="11"/>
  <c r="N1846" i="11"/>
  <c r="AE1846" i="11" s="1"/>
  <c r="AI1845" i="11"/>
  <c r="AH1845" i="11"/>
  <c r="U1845" i="11"/>
  <c r="T1845" i="11"/>
  <c r="N1845" i="11"/>
  <c r="AE1845" i="11" s="1"/>
  <c r="X1845" i="11"/>
  <c r="AH1844" i="11"/>
  <c r="W1847" i="11"/>
  <c r="U1844" i="11"/>
  <c r="T1844" i="11"/>
  <c r="M1847" i="11"/>
  <c r="Q1709" i="11"/>
  <c r="Q1707" i="11"/>
  <c r="T1847" i="11" l="1"/>
  <c r="AH1847" i="11"/>
  <c r="AI1847" i="11"/>
  <c r="U1847" i="11"/>
  <c r="AG1845" i="11"/>
  <c r="AG1846" i="11"/>
  <c r="N1844" i="11"/>
  <c r="X1844" i="11"/>
  <c r="X1847" i="11" s="1"/>
  <c r="AI1844" i="11"/>
  <c r="AG1844" i="11" l="1"/>
  <c r="N1847" i="11"/>
  <c r="AE1844" i="11"/>
  <c r="AG1847" i="11" l="1"/>
  <c r="AE1847" i="11"/>
  <c r="M1707" i="11" l="1"/>
  <c r="M507" i="11" l="1"/>
  <c r="AI2070" i="11" l="1"/>
  <c r="AH2070" i="11"/>
  <c r="X2070" i="11"/>
  <c r="U2070" i="11"/>
  <c r="T2070" i="11"/>
  <c r="N2070" i="11"/>
  <c r="AG2070" i="11" s="1"/>
  <c r="AI2071" i="11"/>
  <c r="AH2071" i="11"/>
  <c r="X2071" i="11"/>
  <c r="U2071" i="11"/>
  <c r="T2071" i="11"/>
  <c r="N2071" i="11"/>
  <c r="AG2071" i="11" s="1"/>
  <c r="AI2069" i="11"/>
  <c r="AH2069" i="11"/>
  <c r="X2069" i="11"/>
  <c r="U2069" i="11"/>
  <c r="T2069" i="11"/>
  <c r="N2069" i="11"/>
  <c r="AG2069" i="11" s="1"/>
  <c r="AI2073" i="11"/>
  <c r="AH2073" i="11"/>
  <c r="X2073" i="11"/>
  <c r="U2073" i="11"/>
  <c r="T2073" i="11"/>
  <c r="N2073" i="11"/>
  <c r="AE2073" i="11" s="1"/>
  <c r="W2074" i="11"/>
  <c r="V2074" i="11"/>
  <c r="S2074" i="11"/>
  <c r="Q2074" i="11"/>
  <c r="P2074" i="11"/>
  <c r="M2074" i="11"/>
  <c r="L2074" i="11"/>
  <c r="F2074" i="11"/>
  <c r="AI2068" i="11"/>
  <c r="AH2068" i="11"/>
  <c r="X2068" i="11"/>
  <c r="U2068" i="11"/>
  <c r="T2068" i="11"/>
  <c r="N2068" i="11"/>
  <c r="AE2068" i="11" s="1"/>
  <c r="AI264" i="11"/>
  <c r="AH264" i="11"/>
  <c r="X264" i="11"/>
  <c r="U264" i="11"/>
  <c r="T264" i="11"/>
  <c r="N264" i="11"/>
  <c r="AG264" i="11" s="1"/>
  <c r="W2048" i="11"/>
  <c r="V2048" i="11"/>
  <c r="S2048" i="11"/>
  <c r="R2048" i="11"/>
  <c r="Q2048" i="11"/>
  <c r="P2048" i="11"/>
  <c r="M2048" i="11"/>
  <c r="L2048" i="11"/>
  <c r="F2048" i="11"/>
  <c r="AI2047" i="11"/>
  <c r="AH2047" i="11"/>
  <c r="X2047" i="11"/>
  <c r="U2047" i="11"/>
  <c r="T2047" i="11"/>
  <c r="N2047" i="11"/>
  <c r="AE2047" i="11" s="1"/>
  <c r="AI2046" i="11"/>
  <c r="AH2046" i="11"/>
  <c r="X2046" i="11"/>
  <c r="U2046" i="11"/>
  <c r="T2046" i="11"/>
  <c r="N2046" i="11"/>
  <c r="AE2046" i="11" s="1"/>
  <c r="W2051" i="11"/>
  <c r="V2051" i="11"/>
  <c r="S2051" i="11"/>
  <c r="R2051" i="11"/>
  <c r="Q2051" i="11"/>
  <c r="P2051" i="11"/>
  <c r="M2051" i="11"/>
  <c r="L2051" i="11"/>
  <c r="F2051" i="11"/>
  <c r="AI2050" i="11"/>
  <c r="AH2050" i="11"/>
  <c r="X2050" i="11"/>
  <c r="U2050" i="11"/>
  <c r="T2050" i="11"/>
  <c r="N2050" i="11"/>
  <c r="AE2050" i="11" s="1"/>
  <c r="AI2049" i="11"/>
  <c r="AH2049" i="11"/>
  <c r="X2049" i="11"/>
  <c r="U2049" i="11"/>
  <c r="T2049" i="11"/>
  <c r="N2049" i="11"/>
  <c r="AE2049" i="11" s="1"/>
  <c r="V2054" i="11"/>
  <c r="S2054" i="11"/>
  <c r="R2054" i="11"/>
  <c r="Q2054" i="11"/>
  <c r="P2054" i="11"/>
  <c r="M2054" i="11"/>
  <c r="L2054" i="11"/>
  <c r="F2054" i="11"/>
  <c r="AI2054" i="11" s="1"/>
  <c r="AI2053" i="11"/>
  <c r="AH2053" i="11"/>
  <c r="X2053" i="11"/>
  <c r="U2053" i="11"/>
  <c r="T2053" i="11"/>
  <c r="N2053" i="11"/>
  <c r="AE2053" i="11" s="1"/>
  <c r="AI2052" i="11"/>
  <c r="AH2052" i="11"/>
  <c r="X2052" i="11"/>
  <c r="U2052" i="11"/>
  <c r="T2052" i="11"/>
  <c r="N2052" i="11"/>
  <c r="AE2052" i="11" s="1"/>
  <c r="W2045" i="11"/>
  <c r="V2045" i="11"/>
  <c r="S2045" i="11"/>
  <c r="R2045" i="11"/>
  <c r="Q2045" i="11"/>
  <c r="P2045" i="11"/>
  <c r="M2045" i="11"/>
  <c r="L2045" i="11"/>
  <c r="F2045" i="11"/>
  <c r="AI2044" i="11"/>
  <c r="AH2044" i="11"/>
  <c r="X2044" i="11"/>
  <c r="U2044" i="11"/>
  <c r="T2044" i="11"/>
  <c r="N2044" i="11"/>
  <c r="AE2044" i="11" s="1"/>
  <c r="AI2043" i="11"/>
  <c r="AH2043" i="11"/>
  <c r="X2043" i="11"/>
  <c r="U2043" i="11"/>
  <c r="T2043" i="11"/>
  <c r="N2043" i="11"/>
  <c r="AE2043" i="11" s="1"/>
  <c r="AI128" i="11"/>
  <c r="AH128" i="11"/>
  <c r="X128" i="11"/>
  <c r="U128" i="11"/>
  <c r="T128" i="11"/>
  <c r="N128" i="11"/>
  <c r="AG128" i="11" s="1"/>
  <c r="AI127" i="11"/>
  <c r="AH127" i="11"/>
  <c r="X127" i="11"/>
  <c r="U127" i="11"/>
  <c r="T127" i="11"/>
  <c r="N127" i="11"/>
  <c r="AG127" i="11" s="1"/>
  <c r="W1256" i="11"/>
  <c r="V1256" i="11"/>
  <c r="S1256" i="11"/>
  <c r="R1256" i="11"/>
  <c r="Q1256" i="11"/>
  <c r="P1256" i="11"/>
  <c r="M1256" i="11"/>
  <c r="L1256" i="11"/>
  <c r="F1256" i="11"/>
  <c r="AI1255" i="11"/>
  <c r="AH1255" i="11"/>
  <c r="X1255" i="11"/>
  <c r="U1255" i="11"/>
  <c r="T1255" i="11"/>
  <c r="N1255" i="11"/>
  <c r="AE1255" i="11" s="1"/>
  <c r="AI1253" i="11"/>
  <c r="AH1253" i="11"/>
  <c r="X1253" i="11"/>
  <c r="U1253" i="11"/>
  <c r="T1253" i="11"/>
  <c r="N1253" i="11"/>
  <c r="AE1253" i="11" s="1"/>
  <c r="M1259" i="11"/>
  <c r="P1259" i="11"/>
  <c r="Q1259" i="11"/>
  <c r="R1259" i="11"/>
  <c r="S1259" i="11"/>
  <c r="V1259" i="11"/>
  <c r="W1259" i="11"/>
  <c r="L1259" i="11"/>
  <c r="F1259" i="11"/>
  <c r="AI1257" i="11"/>
  <c r="AH1257" i="11"/>
  <c r="X1257" i="11"/>
  <c r="U1257" i="11"/>
  <c r="T1257" i="11"/>
  <c r="N1257" i="11"/>
  <c r="AG1257" i="11" s="1"/>
  <c r="W1384" i="11"/>
  <c r="V1384" i="11"/>
  <c r="S1384" i="11"/>
  <c r="R1384" i="11"/>
  <c r="Q1384" i="11"/>
  <c r="P1384" i="11"/>
  <c r="M1384" i="11"/>
  <c r="L1384" i="11"/>
  <c r="F1384" i="11"/>
  <c r="AI1383" i="11"/>
  <c r="AH1383" i="11"/>
  <c r="X1383" i="11"/>
  <c r="U1383" i="11"/>
  <c r="T1383" i="11"/>
  <c r="N1383" i="11"/>
  <c r="AE1383" i="11" s="1"/>
  <c r="AI1382" i="11"/>
  <c r="AH1382" i="11"/>
  <c r="X1382" i="11"/>
  <c r="U1382" i="11"/>
  <c r="T1382" i="11"/>
  <c r="N1382" i="11"/>
  <c r="AE1382" i="11" s="1"/>
  <c r="AI1381" i="11"/>
  <c r="AH1381" i="11"/>
  <c r="X1381" i="11"/>
  <c r="U1381" i="11"/>
  <c r="T1381" i="11"/>
  <c r="N1381" i="11"/>
  <c r="AE1381" i="11" s="1"/>
  <c r="AI1380" i="11"/>
  <c r="AH1380" i="11"/>
  <c r="X1380" i="11"/>
  <c r="U1380" i="11"/>
  <c r="T1380" i="11"/>
  <c r="N1380" i="11"/>
  <c r="AE1380" i="11" s="1"/>
  <c r="AI1379" i="11"/>
  <c r="AH1379" i="11"/>
  <c r="X1379" i="11"/>
  <c r="U1379" i="11"/>
  <c r="T1379" i="11"/>
  <c r="N1379" i="11"/>
  <c r="AE1379" i="11" s="1"/>
  <c r="AI1387" i="11"/>
  <c r="AH1387" i="11"/>
  <c r="X1387" i="11"/>
  <c r="U1387" i="11"/>
  <c r="T1387" i="11"/>
  <c r="N1387" i="11"/>
  <c r="AE1387" i="11" s="1"/>
  <c r="AI1386" i="11"/>
  <c r="AH1386" i="11"/>
  <c r="X1386" i="11"/>
  <c r="U1386" i="11"/>
  <c r="T1386" i="11"/>
  <c r="N1386" i="11"/>
  <c r="AG1386" i="11" s="1"/>
  <c r="AI1458" i="11"/>
  <c r="AH1458" i="11"/>
  <c r="X1458" i="11"/>
  <c r="U1458" i="11"/>
  <c r="T1458" i="11"/>
  <c r="N1458" i="11"/>
  <c r="AG1458" i="11" s="1"/>
  <c r="AI1455" i="11"/>
  <c r="AH1455" i="11"/>
  <c r="X1455" i="11"/>
  <c r="U1455" i="11"/>
  <c r="T1455" i="11"/>
  <c r="N1455" i="11"/>
  <c r="AG1455" i="11" s="1"/>
  <c r="AI1456" i="11"/>
  <c r="AH1456" i="11"/>
  <c r="X1456" i="11"/>
  <c r="U1456" i="11"/>
  <c r="T1456" i="11"/>
  <c r="N1456" i="11"/>
  <c r="AG1456" i="11" s="1"/>
  <c r="AI1454" i="11"/>
  <c r="AH1454" i="11"/>
  <c r="X1454" i="11"/>
  <c r="U1454" i="11"/>
  <c r="T1454" i="11"/>
  <c r="N1454" i="11"/>
  <c r="AG1454" i="11" s="1"/>
  <c r="W1452" i="11"/>
  <c r="V1452" i="11"/>
  <c r="S1452" i="11"/>
  <c r="R1452" i="11"/>
  <c r="Q1452" i="11"/>
  <c r="P1452" i="11"/>
  <c r="M1452" i="11"/>
  <c r="L1452" i="11"/>
  <c r="F1452" i="11"/>
  <c r="AI1451" i="11"/>
  <c r="AH1451" i="11"/>
  <c r="X1451" i="11"/>
  <c r="U1451" i="11"/>
  <c r="T1451" i="11"/>
  <c r="N1451" i="11"/>
  <c r="AG1451" i="11" s="1"/>
  <c r="AI1449" i="11"/>
  <c r="AH1449" i="11"/>
  <c r="X1449" i="11"/>
  <c r="U1449" i="11"/>
  <c r="T1449" i="11"/>
  <c r="N1449" i="11"/>
  <c r="AG1449" i="11" s="1"/>
  <c r="AI1448" i="11"/>
  <c r="AH1448" i="11"/>
  <c r="X1448" i="11"/>
  <c r="U1448" i="11"/>
  <c r="T1448" i="11"/>
  <c r="N1448" i="11"/>
  <c r="W1447" i="11"/>
  <c r="V1447" i="11"/>
  <c r="S1447" i="11"/>
  <c r="R1447" i="11"/>
  <c r="Q1447" i="11"/>
  <c r="P1447" i="11"/>
  <c r="M1447" i="11"/>
  <c r="L1447" i="11"/>
  <c r="F1447" i="11"/>
  <c r="AI1446" i="11"/>
  <c r="AH1446" i="11"/>
  <c r="X1446" i="11"/>
  <c r="X1447" i="11" s="1"/>
  <c r="U1446" i="11"/>
  <c r="T1446" i="11"/>
  <c r="T1447" i="11" s="1"/>
  <c r="N1446" i="11"/>
  <c r="N1447" i="11" s="1"/>
  <c r="W1445" i="11"/>
  <c r="V1445" i="11"/>
  <c r="S1445" i="11"/>
  <c r="R1445" i="11"/>
  <c r="Q1445" i="11"/>
  <c r="P1445" i="11"/>
  <c r="M1445" i="11"/>
  <c r="L1445" i="11"/>
  <c r="F1445" i="11"/>
  <c r="AI1444" i="11"/>
  <c r="AH1444" i="11"/>
  <c r="X1444" i="11"/>
  <c r="U1444" i="11"/>
  <c r="T1444" i="11"/>
  <c r="N1444" i="11"/>
  <c r="AG1444" i="11" s="1"/>
  <c r="AI1443" i="11"/>
  <c r="AH1443" i="11"/>
  <c r="X1443" i="11"/>
  <c r="U1443" i="11"/>
  <c r="T1443" i="11"/>
  <c r="N1443" i="11"/>
  <c r="AG1443" i="11" s="1"/>
  <c r="AI1442" i="11"/>
  <c r="AH1442" i="11"/>
  <c r="X1442" i="11"/>
  <c r="U1442" i="11"/>
  <c r="T1442" i="11"/>
  <c r="N1442" i="11"/>
  <c r="AG1442" i="11" s="1"/>
  <c r="AI1441" i="11"/>
  <c r="AH1441" i="11"/>
  <c r="X1441" i="11"/>
  <c r="U1441" i="11"/>
  <c r="T1441" i="11"/>
  <c r="N1441" i="11"/>
  <c r="AG1441" i="11" s="1"/>
  <c r="AI1440" i="11"/>
  <c r="AH1440" i="11"/>
  <c r="X1440" i="11"/>
  <c r="U1440" i="11"/>
  <c r="T1440" i="11"/>
  <c r="N1440" i="11"/>
  <c r="AG1440" i="11" s="1"/>
  <c r="AI1439" i="11"/>
  <c r="AH1439" i="11"/>
  <c r="X1439" i="11"/>
  <c r="U1439" i="11"/>
  <c r="T1439" i="11"/>
  <c r="N1439" i="11"/>
  <c r="AG1439" i="11" s="1"/>
  <c r="AI1459" i="11"/>
  <c r="AH1459" i="11"/>
  <c r="X1459" i="11"/>
  <c r="U1459" i="11"/>
  <c r="T1459" i="11"/>
  <c r="N1459" i="11"/>
  <c r="AG1459" i="11" s="1"/>
  <c r="W1438" i="11"/>
  <c r="V1438" i="11"/>
  <c r="S1438" i="11"/>
  <c r="R1438" i="11"/>
  <c r="Q1438" i="11"/>
  <c r="P1438" i="11"/>
  <c r="L1438" i="11"/>
  <c r="F1438" i="11"/>
  <c r="AI1437" i="11"/>
  <c r="AH1437" i="11"/>
  <c r="X1437" i="11"/>
  <c r="U1437" i="11"/>
  <c r="T1437" i="11"/>
  <c r="N1437" i="11"/>
  <c r="AG1437" i="11" s="1"/>
  <c r="AI1436" i="11"/>
  <c r="AH1436" i="11"/>
  <c r="T1436" i="11"/>
  <c r="X1436" i="11"/>
  <c r="AI1433" i="11"/>
  <c r="AH1433" i="11"/>
  <c r="X1433" i="11"/>
  <c r="U1433" i="11"/>
  <c r="T1433" i="11"/>
  <c r="N1433" i="11"/>
  <c r="AI442" i="11"/>
  <c r="AH442" i="11"/>
  <c r="X442" i="11"/>
  <c r="U442" i="11"/>
  <c r="T442" i="11"/>
  <c r="N442" i="11"/>
  <c r="AG442" i="11" s="1"/>
  <c r="W438" i="11"/>
  <c r="V438" i="11"/>
  <c r="S438" i="11"/>
  <c r="R438" i="11"/>
  <c r="Q438" i="11"/>
  <c r="P438" i="11"/>
  <c r="M438" i="11"/>
  <c r="L438" i="11"/>
  <c r="F438" i="11"/>
  <c r="AI437" i="11"/>
  <c r="AH437" i="11"/>
  <c r="X437" i="11"/>
  <c r="U437" i="11"/>
  <c r="T437" i="11"/>
  <c r="N437" i="11"/>
  <c r="AE437" i="11" s="1"/>
  <c r="AI436" i="11"/>
  <c r="AH436" i="11"/>
  <c r="X436" i="11"/>
  <c r="U436" i="11"/>
  <c r="T436" i="11"/>
  <c r="N436" i="11"/>
  <c r="AE436" i="11" s="1"/>
  <c r="AI435" i="11"/>
  <c r="AH435" i="11"/>
  <c r="X435" i="11"/>
  <c r="U435" i="11"/>
  <c r="T435" i="11"/>
  <c r="N435" i="11"/>
  <c r="AE435" i="11" s="1"/>
  <c r="AI2074" i="11" l="1"/>
  <c r="AI2048" i="11"/>
  <c r="U2054" i="11"/>
  <c r="U1256" i="11"/>
  <c r="AI1452" i="11"/>
  <c r="AI2045" i="11"/>
  <c r="X2054" i="11"/>
  <c r="U1384" i="11"/>
  <c r="T2045" i="11"/>
  <c r="X2045" i="11"/>
  <c r="U2045" i="11"/>
  <c r="X2074" i="11"/>
  <c r="AG2073" i="11"/>
  <c r="AE2071" i="11"/>
  <c r="AE2070" i="11"/>
  <c r="AH2074" i="11"/>
  <c r="AE2069" i="11"/>
  <c r="U2074" i="11"/>
  <c r="T2074" i="11"/>
  <c r="AG2068" i="11"/>
  <c r="N2074" i="11"/>
  <c r="AH2051" i="11"/>
  <c r="U2051" i="11"/>
  <c r="X2048" i="11"/>
  <c r="T2051" i="11"/>
  <c r="U2048" i="11"/>
  <c r="T2048" i="11"/>
  <c r="T2054" i="11"/>
  <c r="X2051" i="11"/>
  <c r="AE264" i="11"/>
  <c r="AH2048" i="11"/>
  <c r="AG2046" i="11"/>
  <c r="AG2047" i="11"/>
  <c r="N2048" i="11"/>
  <c r="N2051" i="11"/>
  <c r="AG2051" i="11" s="1"/>
  <c r="AI2051" i="11"/>
  <c r="AG2049" i="11"/>
  <c r="AG2050" i="11"/>
  <c r="AH2054" i="11"/>
  <c r="AG2052" i="11"/>
  <c r="AG2053" i="11"/>
  <c r="N2054" i="11"/>
  <c r="AH2045" i="11"/>
  <c r="AG2043" i="11"/>
  <c r="AG2044" i="11"/>
  <c r="N2045" i="11"/>
  <c r="AE127" i="11"/>
  <c r="AE128" i="11"/>
  <c r="AH1256" i="11"/>
  <c r="AH1452" i="11"/>
  <c r="X1256" i="11"/>
  <c r="AI1384" i="11"/>
  <c r="AI1256" i="11"/>
  <c r="AG1383" i="11"/>
  <c r="AG1253" i="11"/>
  <c r="U1259" i="11"/>
  <c r="U438" i="11"/>
  <c r="AH1447" i="11"/>
  <c r="AG1381" i="11"/>
  <c r="N1384" i="11"/>
  <c r="AH1384" i="11"/>
  <c r="AG1379" i="11"/>
  <c r="T1384" i="11"/>
  <c r="AG1382" i="11"/>
  <c r="T1256" i="11"/>
  <c r="U1452" i="11"/>
  <c r="X1384" i="11"/>
  <c r="AG1380" i="11"/>
  <c r="AG1255" i="11"/>
  <c r="N1256" i="11"/>
  <c r="AE1257" i="11"/>
  <c r="AG1387" i="11"/>
  <c r="AE1386" i="11"/>
  <c r="AE1458" i="11"/>
  <c r="X1452" i="11"/>
  <c r="AE1455" i="11"/>
  <c r="N1452" i="11"/>
  <c r="AE1452" i="11" s="1"/>
  <c r="T1452" i="11"/>
  <c r="AE1454" i="11"/>
  <c r="AE1456" i="11"/>
  <c r="AE1448" i="11"/>
  <c r="AE1449" i="11"/>
  <c r="AE1451" i="11"/>
  <c r="AG1448" i="11"/>
  <c r="AI1445" i="11"/>
  <c r="AH438" i="11"/>
  <c r="AI1438" i="11"/>
  <c r="AH1445" i="11"/>
  <c r="X438" i="11"/>
  <c r="U1436" i="11"/>
  <c r="AH1438" i="11"/>
  <c r="AI1447" i="11"/>
  <c r="U1447" i="11"/>
  <c r="AG1447" i="11"/>
  <c r="AE1447" i="11"/>
  <c r="AE1446" i="11"/>
  <c r="AG1446" i="11"/>
  <c r="X1445" i="11"/>
  <c r="T1445" i="11"/>
  <c r="AG436" i="11"/>
  <c r="AG435" i="11"/>
  <c r="M1438" i="11"/>
  <c r="U1438" i="11" s="1"/>
  <c r="N1445" i="11"/>
  <c r="AG1445" i="11" s="1"/>
  <c r="T438" i="11"/>
  <c r="AI438" i="11"/>
  <c r="N1436" i="11"/>
  <c r="AG1436" i="11" s="1"/>
  <c r="AG437" i="11"/>
  <c r="U1445" i="11"/>
  <c r="N438" i="11"/>
  <c r="AE1439" i="11"/>
  <c r="AE1440" i="11"/>
  <c r="AE1441" i="11"/>
  <c r="AE1442" i="11"/>
  <c r="AE1443" i="11"/>
  <c r="AE1444" i="11"/>
  <c r="AG1433" i="11"/>
  <c r="T1438" i="11"/>
  <c r="AE1459" i="11"/>
  <c r="X1438" i="11"/>
  <c r="AE1437" i="11"/>
  <c r="AE1433" i="11"/>
  <c r="AE442" i="11"/>
  <c r="AG1452" i="11" l="1"/>
  <c r="AE2074" i="11"/>
  <c r="AG2074" i="11"/>
  <c r="AG2048" i="11"/>
  <c r="AE2048" i="11"/>
  <c r="AE2051" i="11"/>
  <c r="AG2054" i="11"/>
  <c r="AE2054" i="11"/>
  <c r="AG2045" i="11"/>
  <c r="AE2045" i="11"/>
  <c r="AG1384" i="11"/>
  <c r="AE1384" i="11"/>
  <c r="AE1256" i="11"/>
  <c r="AG1256" i="11"/>
  <c r="AE1445" i="11"/>
  <c r="N1438" i="11"/>
  <c r="AG1438" i="11" s="1"/>
  <c r="AE438" i="11"/>
  <c r="AG438" i="11"/>
  <c r="AE1436" i="11"/>
  <c r="AE1438" i="11" l="1"/>
  <c r="R903" i="11" l="1"/>
  <c r="S903" i="11"/>
  <c r="Q903" i="11" l="1"/>
  <c r="Q460" i="11"/>
  <c r="Q505" i="11"/>
  <c r="M2215" i="11"/>
  <c r="M505" i="11"/>
  <c r="M1055" i="11"/>
  <c r="Q569" i="11" l="1"/>
  <c r="M479" i="11"/>
  <c r="M569" i="11"/>
  <c r="V1811" i="11" l="1"/>
  <c r="F2190" i="11" l="1"/>
  <c r="W1464" i="11"/>
  <c r="V1464" i="11"/>
  <c r="S1464" i="11"/>
  <c r="R1464" i="11"/>
  <c r="Q1464" i="11"/>
  <c r="P1464" i="11"/>
  <c r="M1464" i="11"/>
  <c r="L1464" i="11"/>
  <c r="F1464" i="11"/>
  <c r="AI1463" i="11"/>
  <c r="AH1463" i="11"/>
  <c r="X1463" i="11"/>
  <c r="X1464" i="11" s="1"/>
  <c r="U1463" i="11"/>
  <c r="T1463" i="11"/>
  <c r="T1464" i="11" s="1"/>
  <c r="N1463" i="11"/>
  <c r="AE1463" i="11" s="1"/>
  <c r="W1466" i="11"/>
  <c r="V1466" i="11"/>
  <c r="S1466" i="11"/>
  <c r="R1466" i="11"/>
  <c r="Q1466" i="11"/>
  <c r="P1466" i="11"/>
  <c r="M1466" i="11"/>
  <c r="L1466" i="11"/>
  <c r="F1466" i="11"/>
  <c r="AI1465" i="11"/>
  <c r="AH1465" i="11"/>
  <c r="X1465" i="11"/>
  <c r="X1466" i="11" s="1"/>
  <c r="U1465" i="11"/>
  <c r="T1465" i="11"/>
  <c r="T1466" i="11" s="1"/>
  <c r="N1465" i="11"/>
  <c r="AE1465" i="11" s="1"/>
  <c r="AI1527" i="11"/>
  <c r="AH1527" i="11"/>
  <c r="X1527" i="11"/>
  <c r="U1527" i="11"/>
  <c r="T1527" i="11"/>
  <c r="N1527" i="11"/>
  <c r="AG1527" i="11" s="1"/>
  <c r="S2175" i="11"/>
  <c r="F194" i="11"/>
  <c r="AH194" i="11" s="1"/>
  <c r="AI198" i="11"/>
  <c r="AH198" i="11"/>
  <c r="X198" i="11"/>
  <c r="U198" i="11"/>
  <c r="T198" i="11"/>
  <c r="N198" i="11"/>
  <c r="AG198" i="11" s="1"/>
  <c r="AI197" i="11"/>
  <c r="AH197" i="11"/>
  <c r="X197" i="11"/>
  <c r="U197" i="11"/>
  <c r="T197" i="11"/>
  <c r="N197" i="11"/>
  <c r="AG197" i="11" s="1"/>
  <c r="AI199" i="11"/>
  <c r="AH199" i="11"/>
  <c r="X199" i="11"/>
  <c r="U199" i="11"/>
  <c r="T199" i="11"/>
  <c r="N199" i="11"/>
  <c r="AG199" i="11" s="1"/>
  <c r="AI196" i="11"/>
  <c r="AH196" i="11"/>
  <c r="X196" i="11"/>
  <c r="U196" i="11"/>
  <c r="T196" i="11"/>
  <c r="N196" i="11"/>
  <c r="AG196" i="11" s="1"/>
  <c r="S200" i="11"/>
  <c r="R200" i="11"/>
  <c r="Q200" i="11"/>
  <c r="P200" i="11"/>
  <c r="L200" i="11"/>
  <c r="AI195" i="11"/>
  <c r="U195" i="11"/>
  <c r="T195" i="11"/>
  <c r="N195" i="11"/>
  <c r="W200" i="11"/>
  <c r="U194" i="11"/>
  <c r="T194" i="11"/>
  <c r="W193" i="11"/>
  <c r="V193" i="11"/>
  <c r="S193" i="11"/>
  <c r="R193" i="11"/>
  <c r="Q193" i="11"/>
  <c r="P193" i="11"/>
  <c r="M193" i="11"/>
  <c r="L193" i="11"/>
  <c r="F193" i="11"/>
  <c r="AI192" i="11"/>
  <c r="AH192" i="11"/>
  <c r="X192" i="11"/>
  <c r="U192" i="11"/>
  <c r="T192" i="11"/>
  <c r="N192" i="11"/>
  <c r="AG192" i="11" s="1"/>
  <c r="AI191" i="11"/>
  <c r="AH191" i="11"/>
  <c r="X191" i="11"/>
  <c r="U191" i="11"/>
  <c r="T191" i="11"/>
  <c r="N191" i="11"/>
  <c r="AG191" i="11" s="1"/>
  <c r="L237" i="11"/>
  <c r="AI1466" i="11" l="1"/>
  <c r="F200" i="11"/>
  <c r="AI200" i="11" s="1"/>
  <c r="U1464" i="11"/>
  <c r="AH1464" i="11"/>
  <c r="AI1464" i="11"/>
  <c r="AG1463" i="11"/>
  <c r="AH1466" i="11"/>
  <c r="N1464" i="11"/>
  <c r="U1466" i="11"/>
  <c r="AG1465" i="11"/>
  <c r="N1466" i="11"/>
  <c r="AE1527" i="11"/>
  <c r="U193" i="11"/>
  <c r="AE197" i="11"/>
  <c r="AE198" i="11"/>
  <c r="AE199" i="11"/>
  <c r="T200" i="11"/>
  <c r="AE196" i="11"/>
  <c r="X193" i="11"/>
  <c r="T193" i="11"/>
  <c r="N194" i="11"/>
  <c r="AE194" i="11" s="1"/>
  <c r="AG195" i="11"/>
  <c r="AE195" i="11"/>
  <c r="AH195" i="11"/>
  <c r="X195" i="11"/>
  <c r="M200" i="11"/>
  <c r="U200" i="11" s="1"/>
  <c r="X194" i="11"/>
  <c r="AI194" i="11"/>
  <c r="AH193" i="11"/>
  <c r="N193" i="11"/>
  <c r="AE193" i="11" s="1"/>
  <c r="AI193" i="11"/>
  <c r="AE191" i="11"/>
  <c r="AE192" i="11"/>
  <c r="AH200" i="11" l="1"/>
  <c r="AE1464" i="11"/>
  <c r="AG1464" i="11"/>
  <c r="AG1466" i="11"/>
  <c r="AE1466" i="11"/>
  <c r="N200" i="11"/>
  <c r="AG200" i="11" s="1"/>
  <c r="AG194" i="11"/>
  <c r="X200" i="11"/>
  <c r="AG193" i="11"/>
  <c r="AE200" i="11" l="1"/>
  <c r="M2219" i="11" l="1"/>
  <c r="AI752" i="11" l="1"/>
  <c r="AH752" i="11"/>
  <c r="X752" i="11"/>
  <c r="U752" i="11"/>
  <c r="T752" i="11"/>
  <c r="N752" i="11"/>
  <c r="AG752" i="11" s="1"/>
  <c r="AI753" i="11"/>
  <c r="AH753" i="11"/>
  <c r="X753" i="11"/>
  <c r="U753" i="11"/>
  <c r="T753" i="11"/>
  <c r="N753" i="11"/>
  <c r="AE753" i="11" s="1"/>
  <c r="AI758" i="11"/>
  <c r="AH758" i="11"/>
  <c r="X758" i="11"/>
  <c r="U758" i="11"/>
  <c r="T758" i="11"/>
  <c r="N758" i="11"/>
  <c r="AE758" i="11" s="1"/>
  <c r="AI757" i="11"/>
  <c r="AH757" i="11"/>
  <c r="X757" i="11"/>
  <c r="U757" i="11"/>
  <c r="T757" i="11"/>
  <c r="N757" i="11"/>
  <c r="AE757" i="11" s="1"/>
  <c r="AI762" i="11"/>
  <c r="AH762" i="11"/>
  <c r="X762" i="11"/>
  <c r="U762" i="11"/>
  <c r="T762" i="11"/>
  <c r="N762" i="11"/>
  <c r="AE762" i="11" s="1"/>
  <c r="AI780" i="11"/>
  <c r="AH780" i="11"/>
  <c r="X780" i="11"/>
  <c r="U780" i="11"/>
  <c r="T780" i="11"/>
  <c r="N780" i="11"/>
  <c r="AE780" i="11" s="1"/>
  <c r="AG753" i="11" l="1"/>
  <c r="AE752" i="11"/>
  <c r="AG758" i="11"/>
  <c r="AG757" i="11"/>
  <c r="AG762" i="11"/>
  <c r="AG780" i="11"/>
  <c r="M1491" i="11" l="1"/>
  <c r="L152" i="11"/>
  <c r="W18" i="11" l="1"/>
  <c r="W179" i="11" l="1"/>
  <c r="V179" i="11"/>
  <c r="S179" i="11"/>
  <c r="R179" i="11"/>
  <c r="Q179" i="11"/>
  <c r="P179" i="11"/>
  <c r="M179" i="11"/>
  <c r="L179" i="11"/>
  <c r="F179" i="11"/>
  <c r="AI178" i="11"/>
  <c r="AH178" i="11"/>
  <c r="X178" i="11"/>
  <c r="U178" i="11"/>
  <c r="T178" i="11"/>
  <c r="N178" i="11"/>
  <c r="AE178" i="11" s="1"/>
  <c r="AI177" i="11"/>
  <c r="AH177" i="11"/>
  <c r="X177" i="11"/>
  <c r="U177" i="11"/>
  <c r="T177" i="11"/>
  <c r="N177" i="11"/>
  <c r="AE177" i="11" s="1"/>
  <c r="W176" i="11"/>
  <c r="V176" i="11"/>
  <c r="S176" i="11"/>
  <c r="R176" i="11"/>
  <c r="Q176" i="11"/>
  <c r="P176" i="11"/>
  <c r="M176" i="11"/>
  <c r="L176" i="11"/>
  <c r="F176" i="11"/>
  <c r="AI175" i="11"/>
  <c r="AH175" i="11"/>
  <c r="X175" i="11"/>
  <c r="U175" i="11"/>
  <c r="T175" i="11"/>
  <c r="N175" i="11"/>
  <c r="AG175" i="11" s="1"/>
  <c r="AI174" i="11"/>
  <c r="AH174" i="11"/>
  <c r="X174" i="11"/>
  <c r="U174" i="11"/>
  <c r="T174" i="11"/>
  <c r="N174" i="11"/>
  <c r="W173" i="11"/>
  <c r="V173" i="11"/>
  <c r="S173" i="11"/>
  <c r="R173" i="11"/>
  <c r="Q173" i="11"/>
  <c r="P173" i="11"/>
  <c r="L173" i="11"/>
  <c r="F173" i="11"/>
  <c r="AI172" i="11"/>
  <c r="AH172" i="11"/>
  <c r="T172" i="11"/>
  <c r="N172" i="11"/>
  <c r="AI171" i="11"/>
  <c r="AH171" i="11"/>
  <c r="T171" i="11"/>
  <c r="AI176" i="11" l="1"/>
  <c r="M173" i="11"/>
  <c r="T173" i="11"/>
  <c r="T179" i="11"/>
  <c r="AH173" i="11"/>
  <c r="AI173" i="11"/>
  <c r="U176" i="11"/>
  <c r="X179" i="11"/>
  <c r="N171" i="11"/>
  <c r="U171" i="11"/>
  <c r="T176" i="11"/>
  <c r="X176" i="11"/>
  <c r="U179" i="11"/>
  <c r="N179" i="11"/>
  <c r="AE179" i="11" s="1"/>
  <c r="AH179" i="11"/>
  <c r="AG178" i="11"/>
  <c r="AI179" i="11"/>
  <c r="AG177" i="11"/>
  <c r="N176" i="11"/>
  <c r="AG176" i="11" s="1"/>
  <c r="AH176" i="11"/>
  <c r="AE174" i="11"/>
  <c r="AE175" i="11"/>
  <c r="AG174" i="11"/>
  <c r="AE172" i="11"/>
  <c r="AG172" i="11"/>
  <c r="U173" i="11"/>
  <c r="X172" i="11"/>
  <c r="X171" i="11"/>
  <c r="U172" i="11"/>
  <c r="AG171" i="11" l="1"/>
  <c r="N173" i="11"/>
  <c r="AG173" i="11" s="1"/>
  <c r="AE171" i="11"/>
  <c r="AE176" i="11"/>
  <c r="AG179" i="11"/>
  <c r="X173" i="11"/>
  <c r="AE173" i="11" l="1"/>
  <c r="F750" i="11" l="1"/>
  <c r="Q1173" i="11"/>
  <c r="M911" i="11"/>
  <c r="M1493" i="11" l="1"/>
  <c r="W46" i="11" l="1"/>
  <c r="V46" i="11"/>
  <c r="S46" i="11"/>
  <c r="R46" i="11"/>
  <c r="Q46" i="11"/>
  <c r="P46" i="11"/>
  <c r="M46" i="11"/>
  <c r="L46" i="11"/>
  <c r="F46" i="11"/>
  <c r="AI45" i="11"/>
  <c r="AH45" i="11"/>
  <c r="X45" i="11"/>
  <c r="X46" i="11" s="1"/>
  <c r="U45" i="11"/>
  <c r="T45" i="11"/>
  <c r="T46" i="11" s="1"/>
  <c r="N45" i="11"/>
  <c r="N46" i="11" s="1"/>
  <c r="W1493" i="11"/>
  <c r="U46" i="11" l="1"/>
  <c r="AI46" i="11"/>
  <c r="AE45" i="11"/>
  <c r="AH46" i="11"/>
  <c r="AG45" i="11"/>
  <c r="AG46" i="11"/>
  <c r="AE46" i="11"/>
  <c r="AI60" i="11"/>
  <c r="AH60" i="11"/>
  <c r="X60" i="11"/>
  <c r="U60" i="11"/>
  <c r="T60" i="11"/>
  <c r="N60" i="11"/>
  <c r="AE60" i="11" s="1"/>
  <c r="AI57" i="11"/>
  <c r="AH57" i="11"/>
  <c r="X57" i="11"/>
  <c r="U57" i="11"/>
  <c r="T57" i="11"/>
  <c r="N57" i="11"/>
  <c r="AG57" i="11" s="1"/>
  <c r="AI56" i="11"/>
  <c r="AH56" i="11"/>
  <c r="X56" i="11"/>
  <c r="U56" i="11"/>
  <c r="T56" i="11"/>
  <c r="N56" i="11"/>
  <c r="AG56" i="11" s="1"/>
  <c r="AI59" i="11"/>
  <c r="AH59" i="11"/>
  <c r="X59" i="11"/>
  <c r="U59" i="11"/>
  <c r="T59" i="11"/>
  <c r="N59" i="11"/>
  <c r="AG59" i="11" s="1"/>
  <c r="AI58" i="11"/>
  <c r="AH58" i="11"/>
  <c r="X58" i="11"/>
  <c r="U58" i="11"/>
  <c r="T58" i="11"/>
  <c r="N58" i="11"/>
  <c r="AG58" i="11" s="1"/>
  <c r="AI61" i="11"/>
  <c r="AH61" i="11"/>
  <c r="X61" i="11"/>
  <c r="U61" i="11"/>
  <c r="T61" i="11"/>
  <c r="N61" i="11"/>
  <c r="AE61" i="11" s="1"/>
  <c r="W2035" i="11"/>
  <c r="S2035" i="11"/>
  <c r="R2035" i="11"/>
  <c r="Q2035" i="11"/>
  <c r="P2035" i="11"/>
  <c r="M2035" i="11"/>
  <c r="L2035" i="11"/>
  <c r="F2035" i="11"/>
  <c r="AI2034" i="11"/>
  <c r="AH2034" i="11"/>
  <c r="X2034" i="11"/>
  <c r="U2034" i="11"/>
  <c r="T2034" i="11"/>
  <c r="N2034" i="11"/>
  <c r="AG2034" i="11" s="1"/>
  <c r="AI2033" i="11"/>
  <c r="AH2033" i="11"/>
  <c r="X2033" i="11"/>
  <c r="U2033" i="11"/>
  <c r="T2033" i="11"/>
  <c r="N2033" i="11"/>
  <c r="AG2033" i="11" s="1"/>
  <c r="AI2032" i="11"/>
  <c r="AH2032" i="11"/>
  <c r="X2032" i="11"/>
  <c r="U2032" i="11"/>
  <c r="T2032" i="11"/>
  <c r="N2032" i="11"/>
  <c r="AG2032" i="11" s="1"/>
  <c r="AI2031" i="11"/>
  <c r="AH2031" i="11"/>
  <c r="X2031" i="11"/>
  <c r="U2031" i="11"/>
  <c r="T2031" i="11"/>
  <c r="N2031" i="11"/>
  <c r="AG2031" i="11" s="1"/>
  <c r="AI2030" i="11"/>
  <c r="AH2030" i="11"/>
  <c r="X2030" i="11"/>
  <c r="U2030" i="11"/>
  <c r="T2030" i="11"/>
  <c r="N2030" i="11"/>
  <c r="AG2030" i="11" s="1"/>
  <c r="AI2029" i="11"/>
  <c r="AH2029" i="11"/>
  <c r="X2029" i="11"/>
  <c r="U2029" i="11"/>
  <c r="T2029" i="11"/>
  <c r="N2029" i="11"/>
  <c r="AG2029" i="11" s="1"/>
  <c r="AI2028" i="11"/>
  <c r="AH2028" i="11"/>
  <c r="X2028" i="11"/>
  <c r="U2028" i="11"/>
  <c r="T2028" i="11"/>
  <c r="N2028" i="11"/>
  <c r="AI2038" i="11"/>
  <c r="AH2038" i="11"/>
  <c r="X2038" i="11"/>
  <c r="U2038" i="11"/>
  <c r="T2038" i="11"/>
  <c r="N2038" i="11"/>
  <c r="AG2038" i="11" s="1"/>
  <c r="AI2037" i="11"/>
  <c r="AH2037" i="11"/>
  <c r="X2037" i="11"/>
  <c r="U2037" i="11"/>
  <c r="T2037" i="11"/>
  <c r="N2037" i="11"/>
  <c r="AG2037" i="11" s="1"/>
  <c r="AI2040" i="11"/>
  <c r="AH2040" i="11"/>
  <c r="X2040" i="11"/>
  <c r="U2040" i="11"/>
  <c r="T2040" i="11"/>
  <c r="N2040" i="11"/>
  <c r="AG2040" i="11" s="1"/>
  <c r="AI2039" i="11"/>
  <c r="AH2039" i="11"/>
  <c r="X2039" i="11"/>
  <c r="U2039" i="11"/>
  <c r="T2039" i="11"/>
  <c r="N2039" i="11"/>
  <c r="AG2039" i="11" s="1"/>
  <c r="AI2041" i="11"/>
  <c r="AH2041" i="11"/>
  <c r="X2041" i="11"/>
  <c r="U2041" i="11"/>
  <c r="T2041" i="11"/>
  <c r="N2041" i="11"/>
  <c r="AE2041" i="11" s="1"/>
  <c r="W2042" i="11"/>
  <c r="V2042" i="11"/>
  <c r="S2042" i="11"/>
  <c r="R2042" i="11"/>
  <c r="Q2042" i="11"/>
  <c r="P2042" i="11"/>
  <c r="M2042" i="11"/>
  <c r="L2042" i="11"/>
  <c r="F2042" i="11"/>
  <c r="AI2036" i="11"/>
  <c r="AH2036" i="11"/>
  <c r="X2036" i="11"/>
  <c r="U2036" i="11"/>
  <c r="T2036" i="11"/>
  <c r="N2036" i="11"/>
  <c r="AE2036" i="11" s="1"/>
  <c r="AI1708" i="11"/>
  <c r="AH1708" i="11"/>
  <c r="X1708" i="11"/>
  <c r="U1708" i="11"/>
  <c r="T1708" i="11"/>
  <c r="N1708" i="11"/>
  <c r="AE1708" i="11" s="1"/>
  <c r="AI2035" i="11" l="1"/>
  <c r="U2035" i="11"/>
  <c r="X2035" i="11"/>
  <c r="T2035" i="11"/>
  <c r="AG61" i="11"/>
  <c r="AG60" i="11"/>
  <c r="AE58" i="11"/>
  <c r="AE56" i="11"/>
  <c r="AE57" i="11"/>
  <c r="AE59" i="11"/>
  <c r="N2035" i="11"/>
  <c r="AG2035" i="11" s="1"/>
  <c r="AH2035" i="11"/>
  <c r="AE2028" i="11"/>
  <c r="AE2029" i="11"/>
  <c r="AE2030" i="11"/>
  <c r="AE2031" i="11"/>
  <c r="AE2032" i="11"/>
  <c r="AE2033" i="11"/>
  <c r="AE2034" i="11"/>
  <c r="AG2028" i="11"/>
  <c r="AE2037" i="11"/>
  <c r="AE2038" i="11"/>
  <c r="X2042" i="11"/>
  <c r="AE2039" i="11"/>
  <c r="AE2040" i="11"/>
  <c r="T2042" i="11"/>
  <c r="AG2041" i="11"/>
  <c r="U2042" i="11"/>
  <c r="AI2042" i="11"/>
  <c r="N2042" i="11"/>
  <c r="AH2042" i="11"/>
  <c r="AG2036" i="11"/>
  <c r="AG1708" i="11"/>
  <c r="AE2035" i="11" l="1"/>
  <c r="AE2042" i="11"/>
  <c r="AG2042" i="11"/>
  <c r="AI805" i="11" l="1"/>
  <c r="AH805" i="11"/>
  <c r="X805" i="11"/>
  <c r="U805" i="11"/>
  <c r="T805" i="11"/>
  <c r="N805" i="11"/>
  <c r="AG805" i="11" s="1"/>
  <c r="AI901" i="11"/>
  <c r="AH901" i="11"/>
  <c r="X901" i="11"/>
  <c r="U901" i="11"/>
  <c r="T901" i="11"/>
  <c r="N901" i="11"/>
  <c r="AG901" i="11" s="1"/>
  <c r="S1036" i="11"/>
  <c r="Q1036" i="11"/>
  <c r="R1036" i="11"/>
  <c r="AI1190" i="11"/>
  <c r="AH1190" i="11"/>
  <c r="X1190" i="11"/>
  <c r="U1190" i="11"/>
  <c r="T1190" i="11"/>
  <c r="N1190" i="11"/>
  <c r="AG1190" i="11" s="1"/>
  <c r="AI1191" i="11"/>
  <c r="AH1191" i="11"/>
  <c r="X1191" i="11"/>
  <c r="U1191" i="11"/>
  <c r="T1191" i="11"/>
  <c r="N1191" i="11"/>
  <c r="AG1191" i="11" s="1"/>
  <c r="AI1775" i="11"/>
  <c r="AH1775" i="11"/>
  <c r="X1775" i="11"/>
  <c r="U1775" i="11"/>
  <c r="T1775" i="11"/>
  <c r="N1775" i="11"/>
  <c r="AG1775" i="11" s="1"/>
  <c r="AE805" i="11" l="1"/>
  <c r="AE901" i="11"/>
  <c r="AE1190" i="11"/>
  <c r="AE1191" i="11"/>
  <c r="AE1775" i="11"/>
  <c r="W434" i="11"/>
  <c r="V434" i="11"/>
  <c r="S434" i="11"/>
  <c r="R434" i="11"/>
  <c r="Q434" i="11"/>
  <c r="P434" i="11"/>
  <c r="M434" i="11"/>
  <c r="L434" i="11"/>
  <c r="AI433" i="11"/>
  <c r="AH433" i="11"/>
  <c r="X433" i="11"/>
  <c r="U433" i="11"/>
  <c r="T433" i="11"/>
  <c r="N433" i="11"/>
  <c r="AG433" i="11" s="1"/>
  <c r="AI432" i="11"/>
  <c r="AH432" i="11"/>
  <c r="X432" i="11"/>
  <c r="U432" i="11"/>
  <c r="T432" i="11"/>
  <c r="N432" i="11"/>
  <c r="AG432" i="11" s="1"/>
  <c r="AI431" i="11"/>
  <c r="AH431" i="11"/>
  <c r="U431" i="11"/>
  <c r="T431" i="11"/>
  <c r="N431" i="11"/>
  <c r="AG431" i="11" s="1"/>
  <c r="AI441" i="11"/>
  <c r="AH441" i="11"/>
  <c r="X441" i="11"/>
  <c r="U441" i="11"/>
  <c r="T441" i="11"/>
  <c r="N441" i="11"/>
  <c r="AG441" i="11" s="1"/>
  <c r="V534" i="11"/>
  <c r="L910" i="11"/>
  <c r="X434" i="11" l="1"/>
  <c r="T434" i="11"/>
  <c r="U434" i="11"/>
  <c r="AH434" i="11"/>
  <c r="N434" i="11"/>
  <c r="AG434" i="11" s="1"/>
  <c r="AI434" i="11"/>
  <c r="AE431" i="11"/>
  <c r="AE432" i="11"/>
  <c r="AE433" i="11"/>
  <c r="AE441" i="11"/>
  <c r="AE434" i="11" l="1"/>
  <c r="U419" i="11" l="1"/>
  <c r="W2216" i="11" l="1"/>
  <c r="V2216" i="11"/>
  <c r="S2216" i="11"/>
  <c r="R2216" i="11"/>
  <c r="Q2216" i="11"/>
  <c r="P2216" i="11"/>
  <c r="M2216" i="11"/>
  <c r="L2216" i="11"/>
  <c r="F2216" i="11"/>
  <c r="AI2215" i="11"/>
  <c r="AH2215" i="11"/>
  <c r="X2215" i="11"/>
  <c r="X2216" i="11" s="1"/>
  <c r="U2215" i="11"/>
  <c r="T2215" i="11"/>
  <c r="T2216" i="11" s="1"/>
  <c r="N2215" i="11"/>
  <c r="AG2215" i="11" s="1"/>
  <c r="W2214" i="11"/>
  <c r="V2214" i="11"/>
  <c r="S2214" i="11"/>
  <c r="R2214" i="11"/>
  <c r="Q2214" i="11"/>
  <c r="P2214" i="11"/>
  <c r="M2214" i="11"/>
  <c r="L2214" i="11"/>
  <c r="F2214" i="11"/>
  <c r="AI2213" i="11"/>
  <c r="AH2213" i="11"/>
  <c r="X2213" i="11"/>
  <c r="X2214" i="11" s="1"/>
  <c r="U2213" i="11"/>
  <c r="T2213" i="11"/>
  <c r="T2214" i="11" s="1"/>
  <c r="N2213" i="11"/>
  <c r="N2214" i="11" s="1"/>
  <c r="AI2214" i="11" l="1"/>
  <c r="U2214" i="11"/>
  <c r="U2216" i="11"/>
  <c r="N2216" i="11"/>
  <c r="AG2216" i="11" s="1"/>
  <c r="AH2216" i="11"/>
  <c r="AH2214" i="11"/>
  <c r="AI2216" i="11"/>
  <c r="AE2215" i="11"/>
  <c r="AG2214" i="11"/>
  <c r="AE2214" i="11"/>
  <c r="AE2213" i="11"/>
  <c r="AG2213" i="11"/>
  <c r="AE2216" i="11" l="1"/>
  <c r="R531" i="11"/>
  <c r="M2175" i="11" l="1"/>
  <c r="P1048" i="11" l="1"/>
  <c r="S18" i="11" l="1"/>
  <c r="W2027" i="11"/>
  <c r="V2027" i="11"/>
  <c r="S2027" i="11"/>
  <c r="R2027" i="11"/>
  <c r="Q2027" i="11"/>
  <c r="P2027" i="11"/>
  <c r="M2027" i="11"/>
  <c r="L2027" i="11"/>
  <c r="F2027" i="11"/>
  <c r="AI2026" i="11"/>
  <c r="AH2026" i="11"/>
  <c r="X2026" i="11"/>
  <c r="U2026" i="11"/>
  <c r="T2026" i="11"/>
  <c r="N2026" i="11"/>
  <c r="AG2026" i="11" s="1"/>
  <c r="AI2025" i="11"/>
  <c r="AH2025" i="11"/>
  <c r="X2025" i="11"/>
  <c r="U2025" i="11"/>
  <c r="T2025" i="11"/>
  <c r="N2025" i="11"/>
  <c r="AG2025" i="11" s="1"/>
  <c r="W2024" i="11"/>
  <c r="V2024" i="11"/>
  <c r="S2024" i="11"/>
  <c r="R2024" i="11"/>
  <c r="Q2024" i="11"/>
  <c r="P2024" i="11"/>
  <c r="M2024" i="11"/>
  <c r="L2024" i="11"/>
  <c r="F2024" i="11"/>
  <c r="AI2023" i="11"/>
  <c r="AH2023" i="11"/>
  <c r="X2023" i="11"/>
  <c r="U2023" i="11"/>
  <c r="T2023" i="11"/>
  <c r="N2023" i="11"/>
  <c r="AE2023" i="11" s="1"/>
  <c r="AI2022" i="11"/>
  <c r="AH2022" i="11"/>
  <c r="X2022" i="11"/>
  <c r="U2022" i="11"/>
  <c r="T2022" i="11"/>
  <c r="N2022" i="11"/>
  <c r="AE2022" i="11" s="1"/>
  <c r="X2024" i="11" l="1"/>
  <c r="T2027" i="11"/>
  <c r="AI2027" i="11"/>
  <c r="U2024" i="11"/>
  <c r="X2027" i="11"/>
  <c r="T2024" i="11"/>
  <c r="U2027" i="11"/>
  <c r="AH2027" i="11"/>
  <c r="N2027" i="11"/>
  <c r="AG2027" i="11" s="1"/>
  <c r="AE2025" i="11"/>
  <c r="AE2026" i="11"/>
  <c r="AI2024" i="11"/>
  <c r="AH2024" i="11"/>
  <c r="AG2023" i="11"/>
  <c r="AG2022" i="11"/>
  <c r="N2024" i="11"/>
  <c r="AE2027" i="11" l="1"/>
  <c r="AG2024" i="11"/>
  <c r="AE2024" i="11"/>
  <c r="Q18" i="11" l="1"/>
  <c r="W2008" i="11" l="1"/>
  <c r="V2008" i="11"/>
  <c r="S2008" i="11"/>
  <c r="R2008" i="11"/>
  <c r="Q2008" i="11"/>
  <c r="P2008" i="11"/>
  <c r="M2008" i="11"/>
  <c r="L2008" i="11"/>
  <c r="F2008" i="11"/>
  <c r="AI2007" i="11"/>
  <c r="AH2007" i="11"/>
  <c r="X2007" i="11"/>
  <c r="U2007" i="11"/>
  <c r="T2007" i="11"/>
  <c r="N2007" i="11"/>
  <c r="AG2007" i="11" s="1"/>
  <c r="AI2006" i="11"/>
  <c r="AH2006" i="11"/>
  <c r="X2006" i="11"/>
  <c r="U2006" i="11"/>
  <c r="T2006" i="11"/>
  <c r="N2006" i="11"/>
  <c r="AG2006" i="11" s="1"/>
  <c r="AI2005" i="11"/>
  <c r="AH2005" i="11"/>
  <c r="X2005" i="11"/>
  <c r="U2005" i="11"/>
  <c r="T2005" i="11"/>
  <c r="N2005" i="11"/>
  <c r="AG2005" i="11" s="1"/>
  <c r="AI2004" i="11"/>
  <c r="AH2004" i="11"/>
  <c r="X2004" i="11"/>
  <c r="U2004" i="11"/>
  <c r="T2004" i="11"/>
  <c r="N2004" i="11"/>
  <c r="AG2004" i="11" s="1"/>
  <c r="AI2003" i="11"/>
  <c r="AH2003" i="11"/>
  <c r="X2003" i="11"/>
  <c r="U2003" i="11"/>
  <c r="T2003" i="11"/>
  <c r="N2003" i="11"/>
  <c r="AG2003" i="11" s="1"/>
  <c r="W2021" i="11"/>
  <c r="V2021" i="11"/>
  <c r="S2021" i="11"/>
  <c r="R2021" i="11"/>
  <c r="Q2021" i="11"/>
  <c r="P2021" i="11"/>
  <c r="M2021" i="11"/>
  <c r="L2021" i="11"/>
  <c r="F2021" i="11"/>
  <c r="AI2020" i="11"/>
  <c r="AH2020" i="11"/>
  <c r="X2020" i="11"/>
  <c r="U2020" i="11"/>
  <c r="T2020" i="11"/>
  <c r="N2020" i="11"/>
  <c r="AG2020" i="11" s="1"/>
  <c r="AI2019" i="11"/>
  <c r="AH2019" i="11"/>
  <c r="X2019" i="11"/>
  <c r="U2019" i="11"/>
  <c r="T2019" i="11"/>
  <c r="N2019" i="11"/>
  <c r="AG2019" i="11" s="1"/>
  <c r="W2002" i="11"/>
  <c r="V2002" i="11"/>
  <c r="S2002" i="11"/>
  <c r="R2002" i="11"/>
  <c r="Q2002" i="11"/>
  <c r="P2002" i="11"/>
  <c r="M2002" i="11"/>
  <c r="L2002" i="11"/>
  <c r="F2002" i="11"/>
  <c r="AI2002" i="11" s="1"/>
  <c r="AI2001" i="11"/>
  <c r="AH2001" i="11"/>
  <c r="X2001" i="11"/>
  <c r="X2002" i="11" s="1"/>
  <c r="U2001" i="11"/>
  <c r="T2001" i="11"/>
  <c r="T2002" i="11" s="1"/>
  <c r="N2001" i="11"/>
  <c r="AE2001" i="11" s="1"/>
  <c r="AI2014" i="11"/>
  <c r="AH2014" i="11"/>
  <c r="X2014" i="11"/>
  <c r="U2014" i="11"/>
  <c r="T2014" i="11"/>
  <c r="N2014" i="11"/>
  <c r="AG2014" i="11" s="1"/>
  <c r="AI2013" i="11"/>
  <c r="AH2013" i="11"/>
  <c r="X2013" i="11"/>
  <c r="U2013" i="11"/>
  <c r="T2013" i="11"/>
  <c r="N2013" i="11"/>
  <c r="AG2013" i="11" s="1"/>
  <c r="W2000" i="11"/>
  <c r="V2000" i="11"/>
  <c r="S2000" i="11"/>
  <c r="R2000" i="11"/>
  <c r="Q2000" i="11"/>
  <c r="P2000" i="11"/>
  <c r="M2000" i="11"/>
  <c r="L2000" i="11"/>
  <c r="F2000" i="11"/>
  <c r="AI1999" i="11"/>
  <c r="AH1999" i="11"/>
  <c r="X1999" i="11"/>
  <c r="U1999" i="11"/>
  <c r="T1999" i="11"/>
  <c r="N1999" i="11"/>
  <c r="AG1999" i="11" s="1"/>
  <c r="AI1998" i="11"/>
  <c r="AH1998" i="11"/>
  <c r="X1998" i="11"/>
  <c r="U1998" i="11"/>
  <c r="T1998" i="11"/>
  <c r="N1998" i="11"/>
  <c r="AG1998" i="11" s="1"/>
  <c r="W2018" i="11"/>
  <c r="V2018" i="11"/>
  <c r="S2018" i="11"/>
  <c r="R2018" i="11"/>
  <c r="Q2018" i="11"/>
  <c r="P2018" i="11"/>
  <c r="M2018" i="11"/>
  <c r="L2018" i="11"/>
  <c r="F2018" i="11"/>
  <c r="AI2017" i="11"/>
  <c r="AH2017" i="11"/>
  <c r="X2017" i="11"/>
  <c r="U2017" i="11"/>
  <c r="T2017" i="11"/>
  <c r="N2017" i="11"/>
  <c r="AG2017" i="11" s="1"/>
  <c r="AI2016" i="11"/>
  <c r="AH2016" i="11"/>
  <c r="X2016" i="11"/>
  <c r="U2016" i="11"/>
  <c r="T2016" i="11"/>
  <c r="N2016" i="11"/>
  <c r="AG2016" i="11" s="1"/>
  <c r="W2015" i="11"/>
  <c r="V2015" i="11"/>
  <c r="S2015" i="11"/>
  <c r="R2015" i="11"/>
  <c r="Q2015" i="11"/>
  <c r="P2015" i="11"/>
  <c r="M2015" i="11"/>
  <c r="L2015" i="11"/>
  <c r="F2015" i="11"/>
  <c r="AI2012" i="11"/>
  <c r="AH2012" i="11"/>
  <c r="X2012" i="11"/>
  <c r="U2012" i="11"/>
  <c r="T2012" i="11"/>
  <c r="N2012" i="11"/>
  <c r="AG2012" i="11" s="1"/>
  <c r="U2018" i="11" l="1"/>
  <c r="T2008" i="11"/>
  <c r="AH2018" i="11"/>
  <c r="X2018" i="11"/>
  <c r="T2018" i="11"/>
  <c r="N2018" i="11"/>
  <c r="AE2018" i="11" s="1"/>
  <c r="X2021" i="11"/>
  <c r="T2021" i="11"/>
  <c r="X2015" i="11"/>
  <c r="X2008" i="11"/>
  <c r="AI2021" i="11"/>
  <c r="U2008" i="11"/>
  <c r="AI2008" i="11"/>
  <c r="AH2021" i="11"/>
  <c r="N2008" i="11"/>
  <c r="AH2008" i="11"/>
  <c r="U2015" i="11"/>
  <c r="N2021" i="11"/>
  <c r="AH2002" i="11"/>
  <c r="AE2003" i="11"/>
  <c r="AE2004" i="11"/>
  <c r="AE2005" i="11"/>
  <c r="AE2006" i="11"/>
  <c r="AE2007" i="11"/>
  <c r="AH2000" i="11"/>
  <c r="U2021" i="11"/>
  <c r="AE2019" i="11"/>
  <c r="AE2020" i="11"/>
  <c r="AG2001" i="11"/>
  <c r="T2000" i="11"/>
  <c r="AI2018" i="11"/>
  <c r="U2000" i="11"/>
  <c r="AI2000" i="11"/>
  <c r="U2002" i="11"/>
  <c r="X2000" i="11"/>
  <c r="N2002" i="11"/>
  <c r="AE2013" i="11"/>
  <c r="AE2014" i="11"/>
  <c r="T2015" i="11"/>
  <c r="N2000" i="11"/>
  <c r="AI2015" i="11"/>
  <c r="AH2015" i="11"/>
  <c r="AE1998" i="11"/>
  <c r="AE1999" i="11"/>
  <c r="N2015" i="11"/>
  <c r="AG2015" i="11" s="1"/>
  <c r="AE2016" i="11"/>
  <c r="AE2017" i="11"/>
  <c r="AE2012" i="11"/>
  <c r="AG2018" i="11" l="1"/>
  <c r="AE2008" i="11"/>
  <c r="AG2008" i="11"/>
  <c r="AE2021" i="11"/>
  <c r="AG2021" i="11"/>
  <c r="AE2002" i="11"/>
  <c r="AG2002" i="11"/>
  <c r="AE2000" i="11"/>
  <c r="AG2000" i="11"/>
  <c r="AE2015" i="11"/>
  <c r="W286" i="11" l="1"/>
  <c r="M629" i="11" l="1"/>
  <c r="Q629" i="11"/>
  <c r="W1987" i="11"/>
  <c r="V1987" i="11"/>
  <c r="S1987" i="11"/>
  <c r="R1987" i="11"/>
  <c r="Q1987" i="11"/>
  <c r="P1987" i="11"/>
  <c r="M1987" i="11"/>
  <c r="L1987" i="11"/>
  <c r="F1987" i="11"/>
  <c r="AI1986" i="11"/>
  <c r="AH1986" i="11"/>
  <c r="X1986" i="11"/>
  <c r="U1986" i="11"/>
  <c r="T1986" i="11"/>
  <c r="N1986" i="11"/>
  <c r="AE1986" i="11" s="1"/>
  <c r="AI1985" i="11"/>
  <c r="AH1985" i="11"/>
  <c r="X1985" i="11"/>
  <c r="U1985" i="11"/>
  <c r="T1985" i="11"/>
  <c r="N1985" i="11"/>
  <c r="AE1985" i="11" s="1"/>
  <c r="W2224" i="11"/>
  <c r="V2224" i="11"/>
  <c r="S2224" i="11"/>
  <c r="R2224" i="11"/>
  <c r="Q2224" i="11"/>
  <c r="P2224" i="11"/>
  <c r="M2224" i="11"/>
  <c r="L2224" i="11"/>
  <c r="F2224" i="11"/>
  <c r="AI2224" i="11" s="1"/>
  <c r="AI2223" i="11"/>
  <c r="AH2223" i="11"/>
  <c r="X2223" i="11"/>
  <c r="X2224" i="11" s="1"/>
  <c r="U2223" i="11"/>
  <c r="T2223" i="11"/>
  <c r="T2224" i="11" s="1"/>
  <c r="N2223" i="11"/>
  <c r="N2224" i="11" s="1"/>
  <c r="W1984" i="11"/>
  <c r="V1984" i="11"/>
  <c r="S1984" i="11"/>
  <c r="R1984" i="11"/>
  <c r="Q1984" i="11"/>
  <c r="P1984" i="11"/>
  <c r="M1984" i="11"/>
  <c r="L1984" i="11"/>
  <c r="F1984" i="11"/>
  <c r="AI1983" i="11"/>
  <c r="AH1983" i="11"/>
  <c r="X1983" i="11"/>
  <c r="U1983" i="11"/>
  <c r="T1983" i="11"/>
  <c r="N1983" i="11"/>
  <c r="AG1983" i="11" s="1"/>
  <c r="AI1979" i="11"/>
  <c r="AH1979" i="11"/>
  <c r="X1979" i="11"/>
  <c r="U1979" i="11"/>
  <c r="T1979" i="11"/>
  <c r="N1979" i="11"/>
  <c r="AG1979" i="11" s="1"/>
  <c r="W2198" i="11"/>
  <c r="V2198" i="11"/>
  <c r="R2198" i="11"/>
  <c r="Q2198" i="11"/>
  <c r="P2198" i="11"/>
  <c r="L2198" i="11"/>
  <c r="F2198" i="11"/>
  <c r="AI2197" i="11"/>
  <c r="S2198" i="11"/>
  <c r="X2197" i="11"/>
  <c r="X2198" i="11" s="1"/>
  <c r="W2142" i="11"/>
  <c r="V2142" i="11"/>
  <c r="R2142" i="11"/>
  <c r="Q2142" i="11"/>
  <c r="P2142" i="11"/>
  <c r="M2142" i="11"/>
  <c r="L2142" i="11"/>
  <c r="F2142" i="11"/>
  <c r="AI2141" i="11"/>
  <c r="X2141" i="11"/>
  <c r="X2142" i="11" s="1"/>
  <c r="T2141" i="11"/>
  <c r="T2142" i="11" s="1"/>
  <c r="S2142" i="11"/>
  <c r="N2141" i="11"/>
  <c r="N2142" i="11" s="1"/>
  <c r="AH1987" i="11" l="1"/>
  <c r="X1984" i="11"/>
  <c r="T1984" i="11"/>
  <c r="U2224" i="11"/>
  <c r="U1984" i="11"/>
  <c r="U1987" i="11"/>
  <c r="AI1987" i="11"/>
  <c r="AG1985" i="11"/>
  <c r="T1987" i="11"/>
  <c r="AH2224" i="11"/>
  <c r="X1987" i="11"/>
  <c r="AG1986" i="11"/>
  <c r="N1987" i="11"/>
  <c r="AG2224" i="11"/>
  <c r="AE2224" i="11"/>
  <c r="AE2223" i="11"/>
  <c r="AG2223" i="11"/>
  <c r="AH1984" i="11"/>
  <c r="N1984" i="11"/>
  <c r="AG1984" i="11" s="1"/>
  <c r="AI1984" i="11"/>
  <c r="AE1979" i="11"/>
  <c r="AE1983" i="11"/>
  <c r="AI2142" i="11"/>
  <c r="U2142" i="11"/>
  <c r="AI2198" i="11"/>
  <c r="AH2198" i="11"/>
  <c r="T2197" i="11"/>
  <c r="T2198" i="11" s="1"/>
  <c r="N2197" i="11"/>
  <c r="U2197" i="11"/>
  <c r="AH2197" i="11"/>
  <c r="M2198" i="11"/>
  <c r="U2198" i="11" s="1"/>
  <c r="AE2141" i="11"/>
  <c r="AH2142" i="11"/>
  <c r="AG2141" i="11"/>
  <c r="AG2142" i="11"/>
  <c r="AE2142" i="11"/>
  <c r="U2141" i="11"/>
  <c r="AH2141" i="11"/>
  <c r="AE1984" i="11" l="1"/>
  <c r="AG1987" i="11"/>
  <c r="AE1987" i="11"/>
  <c r="N2198" i="11"/>
  <c r="AG2197" i="11"/>
  <c r="AE2197" i="11"/>
  <c r="P1681" i="11"/>
  <c r="AG2198" i="11" l="1"/>
  <c r="AE2198" i="11"/>
  <c r="W1978" i="11" l="1"/>
  <c r="V1978" i="11"/>
  <c r="S1978" i="11"/>
  <c r="R1978" i="11"/>
  <c r="Q1978" i="11"/>
  <c r="P1978" i="11"/>
  <c r="M1978" i="11"/>
  <c r="L1978" i="11"/>
  <c r="F1978" i="11"/>
  <c r="AI1977" i="11"/>
  <c r="AH1977" i="11"/>
  <c r="X1977" i="11"/>
  <c r="U1977" i="11"/>
  <c r="T1977" i="11"/>
  <c r="N1977" i="11"/>
  <c r="AE1977" i="11" s="1"/>
  <c r="AI1976" i="11"/>
  <c r="AH1976" i="11"/>
  <c r="X1976" i="11"/>
  <c r="U1976" i="11"/>
  <c r="T1976" i="11"/>
  <c r="N1976" i="11"/>
  <c r="AE1976" i="11" s="1"/>
  <c r="W1973" i="11"/>
  <c r="V1973" i="11"/>
  <c r="S1973" i="11"/>
  <c r="R1973" i="11"/>
  <c r="Q1973" i="11"/>
  <c r="P1973" i="11"/>
  <c r="M1973" i="11"/>
  <c r="L1973" i="11"/>
  <c r="F1973" i="11"/>
  <c r="AI1973" i="11" s="1"/>
  <c r="AI1972" i="11"/>
  <c r="AH1972" i="11"/>
  <c r="X1972" i="11"/>
  <c r="U1972" i="11"/>
  <c r="T1972" i="11"/>
  <c r="N1972" i="11"/>
  <c r="AE1972" i="11" s="1"/>
  <c r="AI1969" i="11"/>
  <c r="AH1969" i="11"/>
  <c r="X1969" i="11"/>
  <c r="U1969" i="11"/>
  <c r="T1969" i="11"/>
  <c r="N1969" i="11"/>
  <c r="AE1969" i="11" s="1"/>
  <c r="W1975" i="11"/>
  <c r="V1975" i="11"/>
  <c r="S1975" i="11"/>
  <c r="R1975" i="11"/>
  <c r="Q1975" i="11"/>
  <c r="P1975" i="11"/>
  <c r="M1975" i="11"/>
  <c r="L1975" i="11"/>
  <c r="F1975" i="11"/>
  <c r="AI1974" i="11"/>
  <c r="AH1974" i="11"/>
  <c r="X1974" i="11"/>
  <c r="U1974" i="11"/>
  <c r="T1974" i="11"/>
  <c r="N1974" i="11"/>
  <c r="AE1974" i="11" s="1"/>
  <c r="W1571" i="11"/>
  <c r="V1571" i="11"/>
  <c r="S1571" i="11"/>
  <c r="R1571" i="11"/>
  <c r="Q1571" i="11"/>
  <c r="P1571" i="11"/>
  <c r="M1571" i="11"/>
  <c r="L1571" i="11"/>
  <c r="F1571" i="11"/>
  <c r="AI1570" i="11"/>
  <c r="AH1570" i="11"/>
  <c r="X1570" i="11"/>
  <c r="U1570" i="11"/>
  <c r="T1570" i="11"/>
  <c r="N1570" i="11"/>
  <c r="AE1570" i="11" s="1"/>
  <c r="AI1569" i="11"/>
  <c r="AH1569" i="11"/>
  <c r="X1569" i="11"/>
  <c r="U1569" i="11"/>
  <c r="T1569" i="11"/>
  <c r="N1569" i="11"/>
  <c r="AE1569" i="11" s="1"/>
  <c r="AI1568" i="11"/>
  <c r="AH1568" i="11"/>
  <c r="X1568" i="11"/>
  <c r="U1568" i="11"/>
  <c r="T1568" i="11"/>
  <c r="N1568" i="11"/>
  <c r="AE1568" i="11" s="1"/>
  <c r="AI1567" i="11"/>
  <c r="AH1567" i="11"/>
  <c r="X1567" i="11"/>
  <c r="U1567" i="11"/>
  <c r="T1567" i="11"/>
  <c r="N1567" i="11"/>
  <c r="AE1567" i="11" s="1"/>
  <c r="AI1566" i="11"/>
  <c r="AH1566" i="11"/>
  <c r="X1566" i="11"/>
  <c r="U1566" i="11"/>
  <c r="T1566" i="11"/>
  <c r="N1566" i="11"/>
  <c r="AE1566" i="11" s="1"/>
  <c r="AI1573" i="11"/>
  <c r="AH1573" i="11"/>
  <c r="X1573" i="11"/>
  <c r="U1573" i="11"/>
  <c r="T1573" i="11"/>
  <c r="N1573" i="11"/>
  <c r="AG1573" i="11" s="1"/>
  <c r="W1565" i="11"/>
  <c r="V1565" i="11"/>
  <c r="S1565" i="11"/>
  <c r="R1565" i="11"/>
  <c r="Q1565" i="11"/>
  <c r="P1565" i="11"/>
  <c r="M1565" i="11"/>
  <c r="L1565" i="11"/>
  <c r="F1565" i="11"/>
  <c r="AI1564" i="11"/>
  <c r="AH1564" i="11"/>
  <c r="X1564" i="11"/>
  <c r="U1564" i="11"/>
  <c r="T1564" i="11"/>
  <c r="N1564" i="11"/>
  <c r="AE1564" i="11" s="1"/>
  <c r="AI1563" i="11"/>
  <c r="AH1563" i="11"/>
  <c r="X1563" i="11"/>
  <c r="U1563" i="11"/>
  <c r="T1563" i="11"/>
  <c r="N1563" i="11"/>
  <c r="AE1563" i="11" s="1"/>
  <c r="W1562" i="11"/>
  <c r="V1562" i="11"/>
  <c r="S1562" i="11"/>
  <c r="R1562" i="11"/>
  <c r="Q1562" i="11"/>
  <c r="P1562" i="11"/>
  <c r="M1562" i="11"/>
  <c r="L1562" i="11"/>
  <c r="F1562" i="11"/>
  <c r="AI1561" i="11"/>
  <c r="AH1561" i="11"/>
  <c r="X1561" i="11"/>
  <c r="U1561" i="11"/>
  <c r="T1561" i="11"/>
  <c r="N1561" i="11"/>
  <c r="AE1561" i="11" s="1"/>
  <c r="AI1560" i="11"/>
  <c r="AH1560" i="11"/>
  <c r="X1560" i="11"/>
  <c r="U1560" i="11"/>
  <c r="T1560" i="11"/>
  <c r="N1560" i="11"/>
  <c r="AE1560" i="11" s="1"/>
  <c r="AI1559" i="11"/>
  <c r="AH1559" i="11"/>
  <c r="X1559" i="11"/>
  <c r="U1559" i="11"/>
  <c r="T1559" i="11"/>
  <c r="N1559" i="11"/>
  <c r="AE1559" i="11" s="1"/>
  <c r="W1558" i="11"/>
  <c r="V1558" i="11"/>
  <c r="S1558" i="11"/>
  <c r="R1558" i="11"/>
  <c r="Q1558" i="11"/>
  <c r="P1558" i="11"/>
  <c r="M1558" i="11"/>
  <c r="L1558" i="11"/>
  <c r="F1558" i="11"/>
  <c r="AI1557" i="11"/>
  <c r="AH1557" i="11"/>
  <c r="X1557" i="11"/>
  <c r="U1557" i="11"/>
  <c r="T1557" i="11"/>
  <c r="N1557" i="11"/>
  <c r="AE1557" i="11" s="1"/>
  <c r="AI1556" i="11"/>
  <c r="AH1556" i="11"/>
  <c r="X1556" i="11"/>
  <c r="U1556" i="11"/>
  <c r="T1556" i="11"/>
  <c r="N1556" i="11"/>
  <c r="AE1556" i="11" s="1"/>
  <c r="AI2121" i="11"/>
  <c r="AH2121" i="11"/>
  <c r="X2121" i="11"/>
  <c r="U2121" i="11"/>
  <c r="T2121" i="11"/>
  <c r="N2121" i="11"/>
  <c r="AE2121" i="11" s="1"/>
  <c r="W1997" i="11"/>
  <c r="V1997" i="11"/>
  <c r="S1997" i="11"/>
  <c r="R1997" i="11"/>
  <c r="Q1997" i="11"/>
  <c r="P1997" i="11"/>
  <c r="M1997" i="11"/>
  <c r="L1997" i="11"/>
  <c r="F1997" i="11"/>
  <c r="AI1996" i="11"/>
  <c r="AH1996" i="11"/>
  <c r="X1996" i="11"/>
  <c r="U1996" i="11"/>
  <c r="T1996" i="11"/>
  <c r="N1996" i="11"/>
  <c r="AE1996" i="11" s="1"/>
  <c r="AI1988" i="11"/>
  <c r="AH1988" i="11"/>
  <c r="X1988" i="11"/>
  <c r="U1988" i="11"/>
  <c r="T1988" i="11"/>
  <c r="N1988" i="11"/>
  <c r="AE1988" i="11" s="1"/>
  <c r="AI1399" i="11"/>
  <c r="AH1399" i="11"/>
  <c r="T1399" i="11"/>
  <c r="T1400" i="11" s="1"/>
  <c r="U51" i="11"/>
  <c r="U52" i="11"/>
  <c r="U53" i="11"/>
  <c r="U69" i="11"/>
  <c r="U75" i="11"/>
  <c r="U78" i="11"/>
  <c r="U80" i="11"/>
  <c r="U98" i="11"/>
  <c r="U99" i="11"/>
  <c r="U136" i="11"/>
  <c r="U144" i="11"/>
  <c r="U150" i="11"/>
  <c r="U151" i="11"/>
  <c r="U153" i="11"/>
  <c r="U154" i="11"/>
  <c r="U156" i="11"/>
  <c r="U158" i="11"/>
  <c r="U187" i="11"/>
  <c r="U188" i="11"/>
  <c r="U189" i="11"/>
  <c r="U236" i="11"/>
  <c r="U239" i="11"/>
  <c r="U241" i="11"/>
  <c r="U244" i="11"/>
  <c r="U257" i="11"/>
  <c r="U259" i="11"/>
  <c r="U261" i="11"/>
  <c r="U268" i="11"/>
  <c r="U273" i="11"/>
  <c r="U274" i="11"/>
  <c r="U276" i="11"/>
  <c r="U283" i="11"/>
  <c r="U296" i="11"/>
  <c r="U298" i="11"/>
  <c r="U300" i="11"/>
  <c r="U307" i="11"/>
  <c r="U328" i="11"/>
  <c r="U330" i="11"/>
  <c r="U378" i="11"/>
  <c r="U384" i="11"/>
  <c r="U387" i="11"/>
  <c r="U388" i="11"/>
  <c r="U394" i="11"/>
  <c r="U397" i="11"/>
  <c r="U417" i="11"/>
  <c r="U424" i="11"/>
  <c r="U425" i="11"/>
  <c r="U429" i="11"/>
  <c r="U439" i="11"/>
  <c r="U440" i="11"/>
  <c r="U443" i="11"/>
  <c r="U448" i="11"/>
  <c r="U449" i="11"/>
  <c r="U456" i="11"/>
  <c r="U469" i="11"/>
  <c r="U472" i="11"/>
  <c r="U478" i="11"/>
  <c r="U479" i="11"/>
  <c r="U487" i="11"/>
  <c r="U488" i="11"/>
  <c r="U489" i="11"/>
  <c r="U493" i="11"/>
  <c r="U498" i="11"/>
  <c r="U499" i="11"/>
  <c r="U501" i="11"/>
  <c r="U504" i="11"/>
  <c r="U505" i="11"/>
  <c r="U507" i="11"/>
  <c r="U508" i="11"/>
  <c r="U510" i="11"/>
  <c r="U511" i="11"/>
  <c r="U514" i="11"/>
  <c r="U517" i="11"/>
  <c r="U521" i="11"/>
  <c r="U524" i="11"/>
  <c r="U529" i="11"/>
  <c r="U530" i="11"/>
  <c r="U2251" i="11"/>
  <c r="M2250" i="11"/>
  <c r="P2250" i="11"/>
  <c r="Q2250" i="11"/>
  <c r="R2250" i="11"/>
  <c r="S2250" i="11"/>
  <c r="V2250" i="11"/>
  <c r="W2250" i="11"/>
  <c r="L2250" i="11"/>
  <c r="F2250" i="11"/>
  <c r="AI2248" i="11"/>
  <c r="AH2248" i="11"/>
  <c r="X2248" i="11"/>
  <c r="T2248" i="11"/>
  <c r="N2248" i="11"/>
  <c r="AG2248" i="11" s="1"/>
  <c r="U79" i="11"/>
  <c r="U473" i="11"/>
  <c r="M912" i="11"/>
  <c r="U180" i="11"/>
  <c r="U133" i="11"/>
  <c r="U326" i="11"/>
  <c r="U134" i="11"/>
  <c r="AI1558" i="11" l="1"/>
  <c r="U275" i="11"/>
  <c r="U262" i="11"/>
  <c r="U245" i="11"/>
  <c r="U331" i="11"/>
  <c r="U301" i="11"/>
  <c r="AI1571" i="11"/>
  <c r="AI1997" i="11"/>
  <c r="AI1975" i="11"/>
  <c r="U1565" i="11"/>
  <c r="AH1565" i="11"/>
  <c r="X1565" i="11"/>
  <c r="X1975" i="11"/>
  <c r="X1978" i="11"/>
  <c r="X1973" i="11"/>
  <c r="T1571" i="11"/>
  <c r="X1571" i="11"/>
  <c r="T1973" i="11"/>
  <c r="U1973" i="11"/>
  <c r="AI1978" i="11"/>
  <c r="U1978" i="11"/>
  <c r="U1562" i="11"/>
  <c r="T1565" i="11"/>
  <c r="U1975" i="11"/>
  <c r="AH1973" i="11"/>
  <c r="T1978" i="11"/>
  <c r="X1997" i="11"/>
  <c r="X1562" i="11"/>
  <c r="AH1571" i="11"/>
  <c r="T1975" i="11"/>
  <c r="AH1978" i="11"/>
  <c r="AG1976" i="11"/>
  <c r="AG1977" i="11"/>
  <c r="N1978" i="11"/>
  <c r="AG1972" i="11"/>
  <c r="AG1969" i="11"/>
  <c r="N1973" i="11"/>
  <c r="AG1974" i="11"/>
  <c r="AH1975" i="11"/>
  <c r="N1975" i="11"/>
  <c r="AG1569" i="11"/>
  <c r="AG1568" i="11"/>
  <c r="U1997" i="11"/>
  <c r="AI1562" i="11"/>
  <c r="AI1565" i="11"/>
  <c r="AG1567" i="11"/>
  <c r="U1571" i="11"/>
  <c r="AG1566" i="11"/>
  <c r="AG1570" i="11"/>
  <c r="N1571" i="11"/>
  <c r="AG1563" i="11"/>
  <c r="AE1573" i="11"/>
  <c r="AG1564" i="11"/>
  <c r="N1565" i="11"/>
  <c r="AG1559" i="11"/>
  <c r="AH1400" i="11"/>
  <c r="T1997" i="11"/>
  <c r="AH1558" i="11"/>
  <c r="T1562" i="11"/>
  <c r="AI1400" i="11"/>
  <c r="AG1560" i="11"/>
  <c r="AG1561" i="11"/>
  <c r="AH1562" i="11"/>
  <c r="N1562" i="11"/>
  <c r="N1399" i="11"/>
  <c r="U1399" i="11"/>
  <c r="T1558" i="11"/>
  <c r="X1558" i="11"/>
  <c r="AH1997" i="11"/>
  <c r="AG1557" i="11"/>
  <c r="U1558" i="11"/>
  <c r="AG1556" i="11"/>
  <c r="N1558" i="11"/>
  <c r="AG2121" i="11"/>
  <c r="AG1996" i="11"/>
  <c r="AG1988" i="11"/>
  <c r="U2250" i="11"/>
  <c r="N1997" i="11"/>
  <c r="X1399" i="11"/>
  <c r="X1400" i="11" s="1"/>
  <c r="AE2248" i="11"/>
  <c r="W1964" i="11"/>
  <c r="V1964" i="11"/>
  <c r="S1964" i="11"/>
  <c r="R1964" i="11"/>
  <c r="Q1964" i="11"/>
  <c r="P1964" i="11"/>
  <c r="M1964" i="11"/>
  <c r="L1964" i="11"/>
  <c r="F1964" i="11"/>
  <c r="AI1963" i="11"/>
  <c r="AH1963" i="11"/>
  <c r="X1963" i="11"/>
  <c r="U1963" i="11"/>
  <c r="T1963" i="11"/>
  <c r="N1963" i="11"/>
  <c r="AG1963" i="11" s="1"/>
  <c r="AI1962" i="11"/>
  <c r="AH1962" i="11"/>
  <c r="X1962" i="11"/>
  <c r="U1962" i="11"/>
  <c r="T1962" i="11"/>
  <c r="N1962" i="11"/>
  <c r="AG1962" i="11" s="1"/>
  <c r="AI1771" i="11"/>
  <c r="AH1771" i="11"/>
  <c r="X1771" i="11"/>
  <c r="U1771" i="11"/>
  <c r="T1771" i="11"/>
  <c r="N1771" i="11"/>
  <c r="AG1771" i="11" s="1"/>
  <c r="AI1770" i="11"/>
  <c r="AH1770" i="11"/>
  <c r="X1770" i="11"/>
  <c r="U1770" i="11"/>
  <c r="T1770" i="11"/>
  <c r="N1770" i="11"/>
  <c r="AG1770" i="11" s="1"/>
  <c r="AI1643" i="11"/>
  <c r="AH1643" i="11"/>
  <c r="X1643" i="11"/>
  <c r="U1643" i="11"/>
  <c r="T1643" i="11"/>
  <c r="N1643" i="11"/>
  <c r="AG1643" i="11" s="1"/>
  <c r="U42" i="11"/>
  <c r="Q912" i="11"/>
  <c r="AG1399" i="11" l="1"/>
  <c r="N1400" i="11"/>
  <c r="AG1400" i="11" s="1"/>
  <c r="AE1399" i="11"/>
  <c r="AE1978" i="11"/>
  <c r="AG1978" i="11"/>
  <c r="AG1973" i="11"/>
  <c r="AE1973" i="11"/>
  <c r="AG1975" i="11"/>
  <c r="AE1975" i="11"/>
  <c r="AE1571" i="11"/>
  <c r="AG1571" i="11"/>
  <c r="AG1565" i="11"/>
  <c r="AE1565" i="11"/>
  <c r="T1964" i="11"/>
  <c r="AG1562" i="11"/>
  <c r="AE1562" i="11"/>
  <c r="X1964" i="11"/>
  <c r="U1964" i="11"/>
  <c r="AE1558" i="11"/>
  <c r="AG1558" i="11"/>
  <c r="AG1997" i="11"/>
  <c r="AE1997" i="11"/>
  <c r="AI1964" i="11"/>
  <c r="N1964" i="11"/>
  <c r="AH1964" i="11"/>
  <c r="AE1962" i="11"/>
  <c r="AE1963" i="11"/>
  <c r="AE1771" i="11"/>
  <c r="AE1770" i="11"/>
  <c r="AE1643" i="11"/>
  <c r="AE1400" i="11" l="1"/>
  <c r="AE1964" i="11"/>
  <c r="AG1964" i="11"/>
  <c r="U414" i="11" l="1"/>
  <c r="U415" i="11"/>
  <c r="U405" i="11" l="1"/>
  <c r="U253" i="11" l="1"/>
  <c r="U376" i="11" l="1"/>
  <c r="U48" i="11"/>
  <c r="U47" i="11"/>
  <c r="U325" i="11"/>
  <c r="U377" i="11" l="1"/>
  <c r="U84" i="11"/>
  <c r="U185" i="11"/>
  <c r="U183" i="11"/>
  <c r="U132" i="11"/>
  <c r="U411" i="11" l="1"/>
  <c r="U235" i="11"/>
  <c r="U74" i="11"/>
  <c r="U395" i="11" l="1"/>
  <c r="X837" i="11" l="1"/>
  <c r="AI1966" i="11" l="1"/>
  <c r="AH1966" i="11"/>
  <c r="X1966" i="11"/>
  <c r="U1966" i="11"/>
  <c r="T1966" i="11"/>
  <c r="N1966" i="11"/>
  <c r="AG1966" i="11" s="1"/>
  <c r="W1968" i="11"/>
  <c r="V1968" i="11"/>
  <c r="S1968" i="11"/>
  <c r="R1968" i="11"/>
  <c r="Q1968" i="11"/>
  <c r="P1968" i="11"/>
  <c r="M1968" i="11"/>
  <c r="F1968" i="11"/>
  <c r="AI1967" i="11"/>
  <c r="AH1967" i="11"/>
  <c r="X1967" i="11"/>
  <c r="U1967" i="11"/>
  <c r="T1967" i="11"/>
  <c r="N1967" i="11"/>
  <c r="AE1967" i="11" s="1"/>
  <c r="AI1965" i="11"/>
  <c r="AH1965" i="11"/>
  <c r="X1965" i="11"/>
  <c r="U1965" i="11"/>
  <c r="T1965" i="11"/>
  <c r="N1965" i="11"/>
  <c r="AE1965" i="11" s="1"/>
  <c r="L186" i="11"/>
  <c r="U319" i="11"/>
  <c r="U181" i="11"/>
  <c r="X1968" i="11" l="1"/>
  <c r="T1968" i="11"/>
  <c r="AH1968" i="11"/>
  <c r="AE1966" i="11"/>
  <c r="U1968" i="11"/>
  <c r="AG1965" i="11"/>
  <c r="AG1967" i="11"/>
  <c r="AI1968" i="11"/>
  <c r="N1968" i="11"/>
  <c r="AG1968" i="11" l="1"/>
  <c r="AE1968" i="11"/>
  <c r="W1355" i="11" l="1"/>
  <c r="V1355" i="11"/>
  <c r="S1355" i="11"/>
  <c r="R1355" i="11"/>
  <c r="Q1355" i="11"/>
  <c r="P1355" i="11"/>
  <c r="M1355" i="11"/>
  <c r="L1355" i="11"/>
  <c r="F1355" i="11"/>
  <c r="AI1354" i="11"/>
  <c r="AH1354" i="11"/>
  <c r="X1354" i="11"/>
  <c r="U1354" i="11"/>
  <c r="T1354" i="11"/>
  <c r="N1354" i="11"/>
  <c r="AG1354" i="11" s="1"/>
  <c r="AI1332" i="11"/>
  <c r="AH1332" i="11"/>
  <c r="X1332" i="11"/>
  <c r="U1332" i="11"/>
  <c r="T1332" i="11"/>
  <c r="N1332" i="11"/>
  <c r="AG1332" i="11" s="1"/>
  <c r="V1370" i="11"/>
  <c r="S1370" i="11"/>
  <c r="R1370" i="11"/>
  <c r="Q1370" i="11"/>
  <c r="P1370" i="11"/>
  <c r="L1370" i="11"/>
  <c r="F1370" i="11"/>
  <c r="AH1369" i="11"/>
  <c r="W1370" i="11"/>
  <c r="U1369" i="11"/>
  <c r="T1369" i="11"/>
  <c r="N1369" i="11"/>
  <c r="AI1367" i="11"/>
  <c r="AH1367" i="11"/>
  <c r="T1367" i="11"/>
  <c r="U1367" i="11"/>
  <c r="T1370" i="11" l="1"/>
  <c r="T1355" i="11"/>
  <c r="U1355" i="11"/>
  <c r="AI1355" i="11"/>
  <c r="X1355" i="11"/>
  <c r="N1355" i="11"/>
  <c r="AG1355" i="11" s="1"/>
  <c r="AH1355" i="11"/>
  <c r="AE1332" i="11"/>
  <c r="AE1354" i="11"/>
  <c r="AH1370" i="11"/>
  <c r="AI1370" i="11"/>
  <c r="AE1369" i="11"/>
  <c r="AG1369" i="11"/>
  <c r="N1367" i="11"/>
  <c r="M1370" i="11"/>
  <c r="U1370" i="11" s="1"/>
  <c r="X1369" i="11"/>
  <c r="AI1369" i="11"/>
  <c r="X1367" i="11"/>
  <c r="AE1355" i="11" l="1"/>
  <c r="X1370" i="11"/>
  <c r="N1370" i="11"/>
  <c r="AG1367" i="11"/>
  <c r="AE1367" i="11"/>
  <c r="AG1370" i="11" l="1"/>
  <c r="AE1370" i="11"/>
  <c r="W1958" i="11" l="1"/>
  <c r="V1958" i="11"/>
  <c r="S1958" i="11"/>
  <c r="R1958" i="11"/>
  <c r="Q1958" i="11"/>
  <c r="P1958" i="11"/>
  <c r="M1958" i="11"/>
  <c r="L1958" i="11"/>
  <c r="F1958" i="11"/>
  <c r="AI1957" i="11"/>
  <c r="AH1957" i="11"/>
  <c r="X1957" i="11"/>
  <c r="U1957" i="11"/>
  <c r="T1957" i="11"/>
  <c r="N1957" i="11"/>
  <c r="AE1957" i="11" s="1"/>
  <c r="AI1955" i="11"/>
  <c r="AH1955" i="11"/>
  <c r="X1955" i="11"/>
  <c r="U1955" i="11"/>
  <c r="T1955" i="11"/>
  <c r="N1955" i="11"/>
  <c r="AE1955" i="11" s="1"/>
  <c r="W1961" i="11"/>
  <c r="V1961" i="11"/>
  <c r="S1961" i="11"/>
  <c r="R1961" i="11"/>
  <c r="Q1961" i="11"/>
  <c r="P1961" i="11"/>
  <c r="M1961" i="11"/>
  <c r="L1961" i="11"/>
  <c r="F1961" i="11"/>
  <c r="AI1960" i="11"/>
  <c r="AH1960" i="11"/>
  <c r="X1960" i="11"/>
  <c r="U1960" i="11"/>
  <c r="T1960" i="11"/>
  <c r="N1960" i="11"/>
  <c r="AE1960" i="11" s="1"/>
  <c r="AI1959" i="11"/>
  <c r="AH1959" i="11"/>
  <c r="X1959" i="11"/>
  <c r="U1959" i="11"/>
  <c r="T1959" i="11"/>
  <c r="N1959" i="11"/>
  <c r="AE1959" i="11" s="1"/>
  <c r="T1958" i="11" l="1"/>
  <c r="X1961" i="11"/>
  <c r="T1961" i="11"/>
  <c r="AH1958" i="11"/>
  <c r="U1961" i="11"/>
  <c r="X1958" i="11"/>
  <c r="U1958" i="11"/>
  <c r="AI1958" i="11"/>
  <c r="AG1955" i="11"/>
  <c r="AG1957" i="11"/>
  <c r="N1958" i="11"/>
  <c r="AH1961" i="11"/>
  <c r="AI1961" i="11"/>
  <c r="AG1959" i="11"/>
  <c r="AG1960" i="11"/>
  <c r="N1961" i="11"/>
  <c r="AG1958" i="11" l="1"/>
  <c r="AE1958" i="11"/>
  <c r="AG1961" i="11"/>
  <c r="AE1961" i="11"/>
  <c r="U410" i="11" l="1"/>
  <c r="U412" i="11" l="1"/>
  <c r="U234" i="11"/>
  <c r="U281" i="11"/>
  <c r="U409" i="11"/>
  <c r="U250" i="11" l="1"/>
  <c r="U309" i="11"/>
  <c r="U33" i="11" l="1"/>
  <c r="U34" i="11" s="1"/>
  <c r="W1950" i="11" l="1"/>
  <c r="V1950" i="11"/>
  <c r="S1950" i="11"/>
  <c r="R1950" i="11"/>
  <c r="Q1950" i="11"/>
  <c r="P1950" i="11"/>
  <c r="M1950" i="11"/>
  <c r="L1950" i="11"/>
  <c r="F1950" i="11"/>
  <c r="AI1949" i="11"/>
  <c r="AH1949" i="11"/>
  <c r="X1949" i="11"/>
  <c r="U1949" i="11"/>
  <c r="T1949" i="11"/>
  <c r="N1949" i="11"/>
  <c r="AE1949" i="11" s="1"/>
  <c r="AI1948" i="11"/>
  <c r="AH1948" i="11"/>
  <c r="X1948" i="11"/>
  <c r="U1948" i="11"/>
  <c r="T1948" i="11"/>
  <c r="N1948" i="11"/>
  <c r="AE1948" i="11" s="1"/>
  <c r="T1950" i="11" l="1"/>
  <c r="U1950" i="11"/>
  <c r="X1950" i="11"/>
  <c r="AI1950" i="11"/>
  <c r="N1950" i="11"/>
  <c r="AG1950" i="11" s="1"/>
  <c r="AH1950" i="11"/>
  <c r="AG1948" i="11"/>
  <c r="AG1949" i="11"/>
  <c r="U314" i="11"/>
  <c r="U315" i="11" s="1"/>
  <c r="U55" i="11"/>
  <c r="U117" i="11"/>
  <c r="AE1950" i="11" l="1"/>
  <c r="W1289" i="11"/>
  <c r="V1289" i="11"/>
  <c r="S1289" i="11"/>
  <c r="R1289" i="11"/>
  <c r="Q1289" i="11"/>
  <c r="P1289" i="11"/>
  <c r="M1289" i="11"/>
  <c r="L1289" i="11"/>
  <c r="F1289" i="11"/>
  <c r="AI1288" i="11"/>
  <c r="AH1288" i="11"/>
  <c r="X1288" i="11"/>
  <c r="U1288" i="11"/>
  <c r="T1288" i="11"/>
  <c r="N1288" i="11"/>
  <c r="AG1288" i="11" s="1"/>
  <c r="AI1287" i="11"/>
  <c r="AH1287" i="11"/>
  <c r="X1287" i="11"/>
  <c r="U1287" i="11"/>
  <c r="T1287" i="11"/>
  <c r="N1287" i="11"/>
  <c r="AG1287" i="11" s="1"/>
  <c r="AI1286" i="11"/>
  <c r="AH1286" i="11"/>
  <c r="X1286" i="11"/>
  <c r="U1286" i="11"/>
  <c r="T1286" i="11"/>
  <c r="N1286" i="11"/>
  <c r="AG1286" i="11" s="1"/>
  <c r="W1285" i="11"/>
  <c r="V1285" i="11"/>
  <c r="S1285" i="11"/>
  <c r="R1285" i="11"/>
  <c r="Q1285" i="11"/>
  <c r="P1285" i="11"/>
  <c r="M1285" i="11"/>
  <c r="L1285" i="11"/>
  <c r="F1285" i="11"/>
  <c r="AI1284" i="11"/>
  <c r="AH1284" i="11"/>
  <c r="X1284" i="11"/>
  <c r="X1285" i="11" s="1"/>
  <c r="U1284" i="11"/>
  <c r="T1284" i="11"/>
  <c r="T1285" i="11" s="1"/>
  <c r="N1284" i="11"/>
  <c r="AG1284" i="11" s="1"/>
  <c r="W1307" i="11"/>
  <c r="V1307" i="11"/>
  <c r="S1307" i="11"/>
  <c r="R1307" i="11"/>
  <c r="Q1307" i="11"/>
  <c r="P1307" i="11"/>
  <c r="L1307" i="11"/>
  <c r="F1307" i="11"/>
  <c r="AI1306" i="11"/>
  <c r="AH1306" i="11"/>
  <c r="U1306" i="11"/>
  <c r="T1306" i="11"/>
  <c r="M1307" i="11"/>
  <c r="W1428" i="11"/>
  <c r="V1428" i="11"/>
  <c r="S1428" i="11"/>
  <c r="R1428" i="11"/>
  <c r="Q1428" i="11"/>
  <c r="P1428" i="11"/>
  <c r="M1428" i="11"/>
  <c r="L1428" i="11"/>
  <c r="F1428" i="11"/>
  <c r="AI1427" i="11"/>
  <c r="AH1427" i="11"/>
  <c r="X1427" i="11"/>
  <c r="U1427" i="11"/>
  <c r="T1427" i="11"/>
  <c r="N1427" i="11"/>
  <c r="AG1427" i="11" s="1"/>
  <c r="W1426" i="11"/>
  <c r="V1426" i="11"/>
  <c r="S1426" i="11"/>
  <c r="R1426" i="11"/>
  <c r="Q1426" i="11"/>
  <c r="P1426" i="11"/>
  <c r="M1426" i="11"/>
  <c r="L1426" i="11"/>
  <c r="F1426" i="11"/>
  <c r="AI1425" i="11"/>
  <c r="AH1425" i="11"/>
  <c r="X1425" i="11"/>
  <c r="U1425" i="11"/>
  <c r="T1425" i="11"/>
  <c r="N1425" i="11"/>
  <c r="AE1425" i="11" s="1"/>
  <c r="V1390" i="11"/>
  <c r="S1390" i="11"/>
  <c r="R1390" i="11"/>
  <c r="Q1390" i="11"/>
  <c r="P1390" i="11"/>
  <c r="L1390" i="11"/>
  <c r="F1390" i="11"/>
  <c r="AI1389" i="11"/>
  <c r="AH1389" i="11"/>
  <c r="T1389" i="11"/>
  <c r="U1389" i="11"/>
  <c r="AH1388" i="11"/>
  <c r="AI1388" i="11"/>
  <c r="T1388" i="11"/>
  <c r="N1388" i="11"/>
  <c r="AI1385" i="11"/>
  <c r="AH1385" i="11"/>
  <c r="T1385" i="11"/>
  <c r="M1390" i="11"/>
  <c r="N1252" i="11"/>
  <c r="W1954" i="11"/>
  <c r="V1954" i="11"/>
  <c r="S1954" i="11"/>
  <c r="R1954" i="11"/>
  <c r="Q1954" i="11"/>
  <c r="P1954" i="11"/>
  <c r="M1954" i="11"/>
  <c r="L1954" i="11"/>
  <c r="F1954" i="11"/>
  <c r="AI1953" i="11"/>
  <c r="AH1953" i="11"/>
  <c r="X1953" i="11"/>
  <c r="U1953" i="11"/>
  <c r="T1953" i="11"/>
  <c r="N1953" i="11"/>
  <c r="AG1953" i="11" s="1"/>
  <c r="AI1951" i="11"/>
  <c r="AH1951" i="11"/>
  <c r="X1951" i="11"/>
  <c r="U1951" i="11"/>
  <c r="T1951" i="11"/>
  <c r="N1951" i="11"/>
  <c r="U1285" i="11" l="1"/>
  <c r="T1289" i="11"/>
  <c r="AH1289" i="11"/>
  <c r="AI1285" i="11"/>
  <c r="U1289" i="11"/>
  <c r="U1428" i="11"/>
  <c r="AH1285" i="11"/>
  <c r="X1289" i="11"/>
  <c r="N1289" i="11"/>
  <c r="AG1289" i="11" s="1"/>
  <c r="AI1289" i="11"/>
  <c r="AE1286" i="11"/>
  <c r="AE1287" i="11"/>
  <c r="AE1288" i="11"/>
  <c r="T1428" i="11"/>
  <c r="AI1307" i="11"/>
  <c r="N1285" i="11"/>
  <c r="AG1285" i="11" s="1"/>
  <c r="AH1954" i="11"/>
  <c r="U1426" i="11"/>
  <c r="T1307" i="11"/>
  <c r="AE1284" i="11"/>
  <c r="AH1307" i="11"/>
  <c r="U1307" i="11"/>
  <c r="X1428" i="11"/>
  <c r="X1306" i="11"/>
  <c r="X1307" i="11" s="1"/>
  <c r="N1306" i="11"/>
  <c r="AI1428" i="11"/>
  <c r="AH1428" i="11"/>
  <c r="AI1426" i="11"/>
  <c r="AH1426" i="11"/>
  <c r="N1428" i="11"/>
  <c r="T1954" i="11"/>
  <c r="X1954" i="11"/>
  <c r="X1426" i="11"/>
  <c r="N1426" i="11"/>
  <c r="AG1425" i="11"/>
  <c r="AE1427" i="11"/>
  <c r="T1426" i="11"/>
  <c r="W1390" i="11"/>
  <c r="AI1390" i="11" s="1"/>
  <c r="U1385" i="11"/>
  <c r="T1390" i="11"/>
  <c r="AI1954" i="11"/>
  <c r="U1954" i="11"/>
  <c r="U1388" i="11"/>
  <c r="AH1390" i="11"/>
  <c r="AG1388" i="11"/>
  <c r="AE1388" i="11"/>
  <c r="X1389" i="11"/>
  <c r="X1385" i="11"/>
  <c r="N1389" i="11"/>
  <c r="N1385" i="11"/>
  <c r="X1388" i="11"/>
  <c r="AH1252" i="11"/>
  <c r="AI1252" i="11"/>
  <c r="N1954" i="11"/>
  <c r="AE1954" i="11" s="1"/>
  <c r="AE1951" i="11"/>
  <c r="AE1953" i="11"/>
  <c r="AG1951" i="11"/>
  <c r="W10" i="11"/>
  <c r="W11" i="11" s="1"/>
  <c r="V10" i="11"/>
  <c r="V11" i="11" s="1"/>
  <c r="S10" i="11"/>
  <c r="S11" i="11" s="1"/>
  <c r="R10" i="11"/>
  <c r="R11" i="11" s="1"/>
  <c r="Q10" i="11"/>
  <c r="Q11" i="11" s="1"/>
  <c r="P10" i="11"/>
  <c r="P11" i="11" s="1"/>
  <c r="L10" i="11"/>
  <c r="L11" i="11" s="1"/>
  <c r="F10" i="11"/>
  <c r="F11" i="11" s="1"/>
  <c r="AI9" i="11"/>
  <c r="AH9" i="11"/>
  <c r="X9" i="11"/>
  <c r="U9" i="11"/>
  <c r="T9" i="11"/>
  <c r="N9" i="11"/>
  <c r="AG9" i="11" s="1"/>
  <c r="U10" i="11" l="1"/>
  <c r="U11" i="11" s="1"/>
  <c r="AG1428" i="11"/>
  <c r="AE1289" i="11"/>
  <c r="AE1285" i="11"/>
  <c r="AE1428" i="11"/>
  <c r="AE1306" i="11"/>
  <c r="N1307" i="11"/>
  <c r="AG1306" i="11"/>
  <c r="U1390" i="11"/>
  <c r="X1390" i="11"/>
  <c r="AG1426" i="11"/>
  <c r="AE1426" i="11"/>
  <c r="AG1389" i="11"/>
  <c r="AE1389" i="11"/>
  <c r="AG1385" i="11"/>
  <c r="AE1385" i="11"/>
  <c r="N1390" i="11"/>
  <c r="AG1252" i="11"/>
  <c r="AE1252" i="11"/>
  <c r="AG1954" i="11"/>
  <c r="AI10" i="11"/>
  <c r="T10" i="11"/>
  <c r="T11" i="11" s="1"/>
  <c r="M10" i="11"/>
  <c r="M11" i="11" s="1"/>
  <c r="AH10" i="11"/>
  <c r="AE9" i="11"/>
  <c r="X10" i="11"/>
  <c r="X11" i="11" s="1"/>
  <c r="N10" i="11"/>
  <c r="N11" i="11" s="1"/>
  <c r="AG1307" i="11" l="1"/>
  <c r="AE1307" i="11"/>
  <c r="AG1390" i="11"/>
  <c r="AE1390" i="11"/>
  <c r="AE10" i="11"/>
  <c r="AG10" i="11"/>
  <c r="R1140" i="11" l="1"/>
  <c r="U484" i="11" l="1"/>
  <c r="U323" i="11" l="1"/>
  <c r="U324" i="11" s="1"/>
  <c r="M1842" i="11" l="1"/>
  <c r="S1080" i="11" l="1"/>
  <c r="W1941" i="11"/>
  <c r="V1941" i="11"/>
  <c r="S1941" i="11"/>
  <c r="R1941" i="11"/>
  <c r="Q1941" i="11"/>
  <c r="P1941" i="11"/>
  <c r="M1941" i="11"/>
  <c r="L1941" i="11"/>
  <c r="F1941" i="11"/>
  <c r="AI1940" i="11"/>
  <c r="AH1940" i="11"/>
  <c r="X1940" i="11"/>
  <c r="U1940" i="11"/>
  <c r="T1940" i="11"/>
  <c r="N1940" i="11"/>
  <c r="AI1946" i="11"/>
  <c r="AH1946" i="11"/>
  <c r="X1946" i="11"/>
  <c r="U1946" i="11"/>
  <c r="T1946" i="11"/>
  <c r="N1946" i="11"/>
  <c r="AG1946" i="11" s="1"/>
  <c r="W1944" i="11"/>
  <c r="V1944" i="11"/>
  <c r="S1944" i="11"/>
  <c r="R1944" i="11"/>
  <c r="Q1944" i="11"/>
  <c r="P1944" i="11"/>
  <c r="M1944" i="11"/>
  <c r="L1944" i="11"/>
  <c r="F1944" i="11"/>
  <c r="AI1943" i="11"/>
  <c r="AH1943" i="11"/>
  <c r="X1943" i="11"/>
  <c r="U1943" i="11"/>
  <c r="T1943" i="11"/>
  <c r="N1943" i="11"/>
  <c r="AG1943" i="11" s="1"/>
  <c r="AI1942" i="11"/>
  <c r="AH1942" i="11"/>
  <c r="X1942" i="11"/>
  <c r="U1942" i="11"/>
  <c r="T1942" i="11"/>
  <c r="N1942" i="11"/>
  <c r="W1923" i="11"/>
  <c r="V1923" i="11"/>
  <c r="S1923" i="11"/>
  <c r="R1923" i="11"/>
  <c r="Q1923" i="11"/>
  <c r="P1923" i="11"/>
  <c r="M1923" i="11"/>
  <c r="L1923" i="11"/>
  <c r="F1923" i="11"/>
  <c r="AI1922" i="11"/>
  <c r="AH1922" i="11"/>
  <c r="X1922" i="11"/>
  <c r="U1922" i="11"/>
  <c r="T1922" i="11"/>
  <c r="N1922" i="11"/>
  <c r="AG1922" i="11" s="1"/>
  <c r="AI1919" i="11"/>
  <c r="AH1919" i="11"/>
  <c r="X1919" i="11"/>
  <c r="U1919" i="11"/>
  <c r="T1919" i="11"/>
  <c r="N1919" i="11"/>
  <c r="W1918" i="11"/>
  <c r="V1918" i="11"/>
  <c r="S1918" i="11"/>
  <c r="R1918" i="11"/>
  <c r="Q1918" i="11"/>
  <c r="P1918" i="11"/>
  <c r="M1918" i="11"/>
  <c r="L1918" i="11"/>
  <c r="F1918" i="11"/>
  <c r="AI1917" i="11"/>
  <c r="AH1917" i="11"/>
  <c r="X1917" i="11"/>
  <c r="U1917" i="11"/>
  <c r="T1917" i="11"/>
  <c r="N1917" i="11"/>
  <c r="AE1917" i="11" s="1"/>
  <c r="AI1915" i="11"/>
  <c r="AH1915" i="11"/>
  <c r="X1915" i="11"/>
  <c r="U1915" i="11"/>
  <c r="T1915" i="11"/>
  <c r="N1915" i="11"/>
  <c r="AE1915" i="11" s="1"/>
  <c r="W1947" i="11"/>
  <c r="V1947" i="11"/>
  <c r="S1947" i="11"/>
  <c r="R1947" i="11"/>
  <c r="Q1947" i="11"/>
  <c r="P1947" i="11"/>
  <c r="M1947" i="11"/>
  <c r="L1947" i="11"/>
  <c r="F1947" i="11"/>
  <c r="AI1945" i="11"/>
  <c r="AH1945" i="11"/>
  <c r="X1945" i="11"/>
  <c r="U1945" i="11"/>
  <c r="T1945" i="11"/>
  <c r="N1945" i="11"/>
  <c r="W1939" i="11"/>
  <c r="V1939" i="11"/>
  <c r="S1939" i="11"/>
  <c r="R1939" i="11"/>
  <c r="Q1939" i="11"/>
  <c r="P1939" i="11"/>
  <c r="M1939" i="11"/>
  <c r="L1939" i="11"/>
  <c r="F1939" i="11"/>
  <c r="AI1938" i="11"/>
  <c r="AH1938" i="11"/>
  <c r="X1938" i="11"/>
  <c r="U1938" i="11"/>
  <c r="T1938" i="11"/>
  <c r="N1938" i="11"/>
  <c r="AG1938" i="11" s="1"/>
  <c r="AI1937" i="11"/>
  <c r="AH1937" i="11"/>
  <c r="X1937" i="11"/>
  <c r="U1937" i="11"/>
  <c r="T1937" i="11"/>
  <c r="N1937" i="11"/>
  <c r="AI1923" i="11" l="1"/>
  <c r="AI1939" i="11"/>
  <c r="AI1941" i="11"/>
  <c r="AI1944" i="11"/>
  <c r="U1939" i="11"/>
  <c r="U1918" i="11"/>
  <c r="X1923" i="11"/>
  <c r="X1939" i="11"/>
  <c r="T1939" i="11"/>
  <c r="T1923" i="11"/>
  <c r="T1941" i="11"/>
  <c r="T1918" i="11"/>
  <c r="U1923" i="11"/>
  <c r="X1944" i="11"/>
  <c r="U1941" i="11"/>
  <c r="T1947" i="11"/>
  <c r="X1941" i="11"/>
  <c r="AH1918" i="11"/>
  <c r="U1944" i="11"/>
  <c r="N1941" i="11"/>
  <c r="AG1941" i="11" s="1"/>
  <c r="AH1941" i="11"/>
  <c r="AI1918" i="11"/>
  <c r="AH1939" i="11"/>
  <c r="X1918" i="11"/>
  <c r="AH1923" i="11"/>
  <c r="X1947" i="11"/>
  <c r="N1944" i="11"/>
  <c r="AG1944" i="11" s="1"/>
  <c r="AH1944" i="11"/>
  <c r="AE1940" i="11"/>
  <c r="AG1940" i="11"/>
  <c r="N1923" i="11"/>
  <c r="AG1923" i="11" s="1"/>
  <c r="T1944" i="11"/>
  <c r="AE1946" i="11"/>
  <c r="AI1947" i="11"/>
  <c r="AE1942" i="11"/>
  <c r="AE1943" i="11"/>
  <c r="AG1942" i="11"/>
  <c r="AG1917" i="11"/>
  <c r="AE1919" i="11"/>
  <c r="AE1922" i="11"/>
  <c r="AG1915" i="11"/>
  <c r="AG1919" i="11"/>
  <c r="N1918" i="11"/>
  <c r="AH1947" i="11"/>
  <c r="U1947" i="11"/>
  <c r="N1947" i="11"/>
  <c r="AG1947" i="11" s="1"/>
  <c r="AE1945" i="11"/>
  <c r="AG1945" i="11"/>
  <c r="N1939" i="11"/>
  <c r="AG1939" i="11" s="1"/>
  <c r="AE1937" i="11"/>
  <c r="AE1938" i="11"/>
  <c r="AG1937" i="11"/>
  <c r="AE1941" i="11" l="1"/>
  <c r="AE1944" i="11"/>
  <c r="AE1923" i="11"/>
  <c r="AE1918" i="11"/>
  <c r="AG1918" i="11"/>
  <c r="AE1947" i="11"/>
  <c r="AE1939" i="11"/>
  <c r="U320" i="11" l="1"/>
  <c r="Q797" i="11"/>
  <c r="U526" i="11"/>
  <c r="U62" i="11"/>
  <c r="V190" i="11" l="1"/>
  <c r="S190" i="11"/>
  <c r="R190" i="11"/>
  <c r="Q190" i="11"/>
  <c r="P190" i="11"/>
  <c r="L190" i="11"/>
  <c r="AI189" i="11"/>
  <c r="AH189" i="11"/>
  <c r="T189" i="11"/>
  <c r="N189" i="11"/>
  <c r="AH188" i="11"/>
  <c r="X188" i="11"/>
  <c r="T188" i="11"/>
  <c r="F190" i="11"/>
  <c r="AH187" i="11"/>
  <c r="AI187" i="11"/>
  <c r="T187" i="11"/>
  <c r="N187" i="11"/>
  <c r="U482" i="11"/>
  <c r="U481" i="11"/>
  <c r="W1492" i="11"/>
  <c r="V1492" i="11"/>
  <c r="S1492" i="11"/>
  <c r="R1492" i="11"/>
  <c r="Q1492" i="11"/>
  <c r="P1492" i="11"/>
  <c r="M1492" i="11"/>
  <c r="L1492" i="11"/>
  <c r="F1492" i="11"/>
  <c r="AI1491" i="11"/>
  <c r="AH1491" i="11"/>
  <c r="X1491" i="11"/>
  <c r="X1492" i="11" s="1"/>
  <c r="U1491" i="11"/>
  <c r="T1491" i="11"/>
  <c r="T1492" i="11" s="1"/>
  <c r="N1491" i="11"/>
  <c r="N1492" i="11" s="1"/>
  <c r="AI1489" i="11"/>
  <c r="AH1489" i="11"/>
  <c r="X1489" i="11"/>
  <c r="X1490" i="11" s="1"/>
  <c r="U1489" i="11"/>
  <c r="U1490" i="11" s="1"/>
  <c r="T1489" i="11"/>
  <c r="T1490" i="11" s="1"/>
  <c r="N1489" i="11"/>
  <c r="N1490" i="11" s="1"/>
  <c r="W917" i="11"/>
  <c r="V917" i="11"/>
  <c r="S917" i="11"/>
  <c r="R917" i="11"/>
  <c r="Q917" i="11"/>
  <c r="P917" i="11"/>
  <c r="M917" i="11"/>
  <c r="L917" i="11"/>
  <c r="F917" i="11"/>
  <c r="AI916" i="11"/>
  <c r="AH916" i="11"/>
  <c r="X916" i="11"/>
  <c r="U916" i="11"/>
  <c r="T916" i="11"/>
  <c r="N916" i="11"/>
  <c r="AE916" i="11" s="1"/>
  <c r="AI915" i="11"/>
  <c r="AH915" i="11"/>
  <c r="X915" i="11"/>
  <c r="U915" i="11"/>
  <c r="T915" i="11"/>
  <c r="N915" i="11"/>
  <c r="AE915" i="11" s="1"/>
  <c r="AI914" i="11"/>
  <c r="AH914" i="11"/>
  <c r="X914" i="11"/>
  <c r="U914" i="11"/>
  <c r="T914" i="11"/>
  <c r="N914" i="11"/>
  <c r="AE914" i="11" s="1"/>
  <c r="W913" i="11"/>
  <c r="V913" i="11"/>
  <c r="S913" i="11"/>
  <c r="R913" i="11"/>
  <c r="Q913" i="11"/>
  <c r="P913" i="11"/>
  <c r="M913" i="11"/>
  <c r="L913" i="11"/>
  <c r="F913" i="11"/>
  <c r="AI912" i="11"/>
  <c r="AH912" i="11"/>
  <c r="X912" i="11"/>
  <c r="U912" i="11"/>
  <c r="T912" i="11"/>
  <c r="N912" i="11"/>
  <c r="AG912" i="11" s="1"/>
  <c r="AI911" i="11"/>
  <c r="AH911" i="11"/>
  <c r="X911" i="11"/>
  <c r="U911" i="11"/>
  <c r="T911" i="11"/>
  <c r="N911" i="11"/>
  <c r="AG911" i="11" s="1"/>
  <c r="W921" i="11"/>
  <c r="V921" i="11"/>
  <c r="S921" i="11"/>
  <c r="R921" i="11"/>
  <c r="Q921" i="11"/>
  <c r="P921" i="11"/>
  <c r="M921" i="11"/>
  <c r="L921" i="11"/>
  <c r="F921" i="11"/>
  <c r="AI920" i="11"/>
  <c r="AH920" i="11"/>
  <c r="X920" i="11"/>
  <c r="U920" i="11"/>
  <c r="T920" i="11"/>
  <c r="N920" i="11"/>
  <c r="AG920" i="11" s="1"/>
  <c r="AI919" i="11"/>
  <c r="AH919" i="11"/>
  <c r="X919" i="11"/>
  <c r="U919" i="11"/>
  <c r="T919" i="11"/>
  <c r="N919" i="11"/>
  <c r="AG919" i="11" s="1"/>
  <c r="AI918" i="11"/>
  <c r="AH918" i="11"/>
  <c r="X918" i="11"/>
  <c r="U918" i="11"/>
  <c r="T918" i="11"/>
  <c r="N918" i="11"/>
  <c r="U921" i="11" l="1"/>
  <c r="U913" i="11"/>
  <c r="AI1490" i="11"/>
  <c r="AI921" i="11"/>
  <c r="T913" i="11"/>
  <c r="AH1490" i="11"/>
  <c r="AH1492" i="11"/>
  <c r="T921" i="11"/>
  <c r="T917" i="11"/>
  <c r="AI1492" i="11"/>
  <c r="U1492" i="11"/>
  <c r="T190" i="11"/>
  <c r="AH190" i="11"/>
  <c r="AE187" i="11"/>
  <c r="AG187" i="11"/>
  <c r="AE189" i="11"/>
  <c r="AG189" i="11"/>
  <c r="N188" i="11"/>
  <c r="AI188" i="11"/>
  <c r="M190" i="11"/>
  <c r="W190" i="11"/>
  <c r="AI190" i="11" s="1"/>
  <c r="X187" i="11"/>
  <c r="X189" i="11"/>
  <c r="AG1492" i="11"/>
  <c r="AE1492" i="11"/>
  <c r="AE1491" i="11"/>
  <c r="AG1491" i="11"/>
  <c r="AG1490" i="11"/>
  <c r="AE1490" i="11"/>
  <c r="AE1489" i="11"/>
  <c r="AG1489" i="11"/>
  <c r="U917" i="11"/>
  <c r="X921" i="11"/>
  <c r="X917" i="11"/>
  <c r="AI917" i="11"/>
  <c r="AG916" i="11"/>
  <c r="AG915" i="11"/>
  <c r="AH917" i="11"/>
  <c r="AG914" i="11"/>
  <c r="N917" i="11"/>
  <c r="AI913" i="11"/>
  <c r="AH913" i="11"/>
  <c r="N921" i="11"/>
  <c r="AE921" i="11" s="1"/>
  <c r="AH921" i="11"/>
  <c r="X913" i="11"/>
  <c r="N913" i="11"/>
  <c r="AG913" i="11" s="1"/>
  <c r="AE911" i="11"/>
  <c r="AE912" i="11"/>
  <c r="AE918" i="11"/>
  <c r="AE919" i="11"/>
  <c r="AE920" i="11"/>
  <c r="AG918" i="11"/>
  <c r="U190" i="11" l="1"/>
  <c r="AG188" i="11"/>
  <c r="AE188" i="11"/>
  <c r="X190" i="11"/>
  <c r="N190" i="11"/>
  <c r="AG921" i="11"/>
  <c r="AG917" i="11"/>
  <c r="AE917" i="11"/>
  <c r="AE913" i="11"/>
  <c r="AG190" i="11" l="1"/>
  <c r="AE190" i="11"/>
  <c r="U407" i="11" l="1"/>
  <c r="V1283" i="11"/>
  <c r="S1283" i="11"/>
  <c r="R1283" i="11"/>
  <c r="Q1283" i="11"/>
  <c r="P1283" i="11"/>
  <c r="L1283" i="11"/>
  <c r="F1283" i="11"/>
  <c r="W1283" i="11"/>
  <c r="T1280" i="11"/>
  <c r="N1280" i="11"/>
  <c r="T1275" i="11"/>
  <c r="U1275" i="11"/>
  <c r="AH1280" i="11"/>
  <c r="U1280" i="11" l="1"/>
  <c r="T1283" i="11"/>
  <c r="X1275" i="11"/>
  <c r="N1275" i="11"/>
  <c r="X1280" i="11"/>
  <c r="M1283" i="11"/>
  <c r="U1283" i="11" s="1"/>
  <c r="AI1280" i="11"/>
  <c r="N1283" i="11" l="1"/>
  <c r="X1283" i="11"/>
  <c r="AG1280" i="11"/>
  <c r="AE1280" i="11"/>
  <c r="U396" i="11" l="1"/>
  <c r="AI923" i="11" l="1"/>
  <c r="AH923" i="11"/>
  <c r="X923" i="11"/>
  <c r="U923" i="11"/>
  <c r="T923" i="11"/>
  <c r="N923" i="11"/>
  <c r="AG923" i="11" s="1"/>
  <c r="W924" i="11"/>
  <c r="V924" i="11"/>
  <c r="S924" i="11"/>
  <c r="R924" i="11"/>
  <c r="Q924" i="11"/>
  <c r="P924" i="11"/>
  <c r="M924" i="11"/>
  <c r="L924" i="11"/>
  <c r="F924" i="11"/>
  <c r="AI922" i="11"/>
  <c r="AH922" i="11"/>
  <c r="X922" i="11"/>
  <c r="U922" i="11"/>
  <c r="T922" i="11"/>
  <c r="N922" i="11"/>
  <c r="AG922" i="11" s="1"/>
  <c r="U924" i="11" l="1"/>
  <c r="T924" i="11"/>
  <c r="AI924" i="11"/>
  <c r="AH924" i="11"/>
  <c r="AE923" i="11"/>
  <c r="X924" i="11"/>
  <c r="N924" i="11"/>
  <c r="AG924" i="11" s="1"/>
  <c r="AE922" i="11"/>
  <c r="AE924" i="11" l="1"/>
  <c r="U263" i="11" l="1"/>
  <c r="U265" i="11" s="1"/>
  <c r="U523" i="11"/>
  <c r="U527" i="11"/>
  <c r="U302" i="11" l="1"/>
  <c r="M265" i="11" l="1"/>
  <c r="P265" i="11"/>
  <c r="Q265" i="11"/>
  <c r="R265" i="11"/>
  <c r="S265" i="11"/>
  <c r="V265" i="11"/>
  <c r="W265" i="11"/>
  <c r="L265" i="11"/>
  <c r="F265" i="11"/>
  <c r="AH263" i="11"/>
  <c r="AI263" i="11"/>
  <c r="T263" i="11"/>
  <c r="N263" i="11"/>
  <c r="U491" i="11" l="1"/>
  <c r="AE263" i="11"/>
  <c r="AG263" i="11"/>
  <c r="X263" i="11"/>
  <c r="U280" i="11" l="1"/>
  <c r="W1914" i="11"/>
  <c r="V1914" i="11"/>
  <c r="S1914" i="11"/>
  <c r="R1914" i="11"/>
  <c r="Q1914" i="11"/>
  <c r="P1914" i="11"/>
  <c r="M1914" i="11"/>
  <c r="L1914" i="11"/>
  <c r="F1914" i="11"/>
  <c r="AI1913" i="11"/>
  <c r="AH1913" i="11"/>
  <c r="X1913" i="11"/>
  <c r="U1913" i="11"/>
  <c r="T1913" i="11"/>
  <c r="N1913" i="11"/>
  <c r="AE1913" i="11" s="1"/>
  <c r="AI1912" i="11"/>
  <c r="AH1912" i="11"/>
  <c r="X1912" i="11"/>
  <c r="U1912" i="11"/>
  <c r="T1912" i="11"/>
  <c r="N1912" i="11"/>
  <c r="AE1912" i="11" s="1"/>
  <c r="W1936" i="11"/>
  <c r="V1936" i="11"/>
  <c r="S1936" i="11"/>
  <c r="R1936" i="11"/>
  <c r="Q1936" i="11"/>
  <c r="P1936" i="11"/>
  <c r="M1936" i="11"/>
  <c r="L1936" i="11"/>
  <c r="F1936" i="11"/>
  <c r="AI1932" i="11"/>
  <c r="AH1932" i="11"/>
  <c r="X1932" i="11"/>
  <c r="U1932" i="11"/>
  <c r="T1932" i="11"/>
  <c r="N1932" i="11"/>
  <c r="AG1932" i="11" s="1"/>
  <c r="W1188" i="11"/>
  <c r="V1188" i="11"/>
  <c r="S1188" i="11"/>
  <c r="R1188" i="11"/>
  <c r="Q1188" i="11"/>
  <c r="P1188" i="11"/>
  <c r="F1188" i="11"/>
  <c r="AI1187" i="11"/>
  <c r="AH1187" i="11"/>
  <c r="X1187" i="11"/>
  <c r="U1187" i="11"/>
  <c r="T1187" i="11"/>
  <c r="N1187" i="11"/>
  <c r="T1914" i="11" l="1"/>
  <c r="X1936" i="11"/>
  <c r="U1914" i="11"/>
  <c r="T1936" i="11"/>
  <c r="U1936" i="11"/>
  <c r="X1914" i="11"/>
  <c r="AG1913" i="11"/>
  <c r="AI1914" i="11"/>
  <c r="AG1912" i="11"/>
  <c r="N1914" i="11"/>
  <c r="AH1914" i="11"/>
  <c r="AI1936" i="11"/>
  <c r="N1936" i="11"/>
  <c r="AH1936" i="11"/>
  <c r="AE1932" i="11"/>
  <c r="T1188" i="11"/>
  <c r="AH1188" i="11"/>
  <c r="AI1188" i="11"/>
  <c r="N1188" i="11"/>
  <c r="M1188" i="11"/>
  <c r="U1188" i="11" s="1"/>
  <c r="AE1187" i="11"/>
  <c r="AG1187" i="11"/>
  <c r="AI550" i="11"/>
  <c r="AH550" i="11"/>
  <c r="X550" i="11"/>
  <c r="U550" i="11"/>
  <c r="T550" i="11"/>
  <c r="N550" i="11"/>
  <c r="AE550" i="11" s="1"/>
  <c r="AI511" i="11"/>
  <c r="AH511" i="11"/>
  <c r="X511" i="11"/>
  <c r="T511" i="11"/>
  <c r="N511" i="11"/>
  <c r="AE511" i="11" s="1"/>
  <c r="U316" i="11"/>
  <c r="AE1914" i="11" l="1"/>
  <c r="AG1914" i="11"/>
  <c r="AE1936" i="11"/>
  <c r="AG1936" i="11"/>
  <c r="X1188" i="11"/>
  <c r="AE1188" i="11"/>
  <c r="AG1188" i="11"/>
  <c r="AG550" i="11"/>
  <c r="AG511" i="11"/>
  <c r="U485" i="11" l="1"/>
  <c r="M2237" i="11"/>
  <c r="P2237" i="11"/>
  <c r="Q2237" i="11"/>
  <c r="R2237" i="11"/>
  <c r="S2237" i="11"/>
  <c r="V2237" i="11"/>
  <c r="W2237" i="11"/>
  <c r="L2237" i="11"/>
  <c r="F2237" i="11"/>
  <c r="AI2235" i="11"/>
  <c r="AH2235" i="11"/>
  <c r="U2235" i="11"/>
  <c r="T2235" i="11"/>
  <c r="N2235" i="11"/>
  <c r="AG2235" i="11" s="1"/>
  <c r="X2235" i="11"/>
  <c r="U124" i="11"/>
  <c r="U492" i="11"/>
  <c r="U2237" i="11" l="1"/>
  <c r="AE2235" i="11"/>
  <c r="Q1153" i="11" l="1"/>
  <c r="P1153" i="11"/>
  <c r="R1153" i="11"/>
  <c r="S1153" i="11"/>
  <c r="V1153" i="11"/>
  <c r="W1153" i="11"/>
  <c r="M1153" i="11"/>
  <c r="L1153" i="11"/>
  <c r="F1153" i="11"/>
  <c r="AI1149" i="11"/>
  <c r="AH1149" i="11"/>
  <c r="X1149" i="11"/>
  <c r="R803" i="11"/>
  <c r="U1153" i="11" l="1"/>
  <c r="T1149" i="11"/>
  <c r="U1149" i="11"/>
  <c r="N1149" i="11"/>
  <c r="AE1149" i="11" l="1"/>
  <c r="AG1149" i="11"/>
  <c r="U70" i="11" l="1"/>
  <c r="U2238" i="11" l="1"/>
  <c r="W186" i="11"/>
  <c r="V186" i="11"/>
  <c r="S186" i="11"/>
  <c r="R186" i="11"/>
  <c r="Q186" i="11"/>
  <c r="P186" i="11"/>
  <c r="M186" i="11"/>
  <c r="F186" i="11"/>
  <c r="AI185" i="11"/>
  <c r="AH185" i="11"/>
  <c r="X185" i="11"/>
  <c r="T185" i="11"/>
  <c r="N185" i="11"/>
  <c r="AE185" i="11" s="1"/>
  <c r="AI183" i="11"/>
  <c r="AH183" i="11"/>
  <c r="X183" i="11"/>
  <c r="T183" i="11"/>
  <c r="N183" i="11"/>
  <c r="AE183" i="11" s="1"/>
  <c r="W182" i="11"/>
  <c r="V182" i="11"/>
  <c r="S182" i="11"/>
  <c r="R182" i="11"/>
  <c r="Q182" i="11"/>
  <c r="P182" i="11"/>
  <c r="M182" i="11"/>
  <c r="L182" i="11"/>
  <c r="F182" i="11"/>
  <c r="AI181" i="11"/>
  <c r="AH181" i="11"/>
  <c r="X181" i="11"/>
  <c r="T181" i="11"/>
  <c r="N181" i="11"/>
  <c r="AE181" i="11" s="1"/>
  <c r="AI180" i="11"/>
  <c r="AH180" i="11"/>
  <c r="X180" i="11"/>
  <c r="T180" i="11"/>
  <c r="N180" i="11"/>
  <c r="AE180" i="11" s="1"/>
  <c r="W159" i="11"/>
  <c r="V159" i="11"/>
  <c r="S159" i="11"/>
  <c r="R159" i="11"/>
  <c r="Q159" i="11"/>
  <c r="P159" i="11"/>
  <c r="M159" i="11"/>
  <c r="L159" i="11"/>
  <c r="F159" i="11"/>
  <c r="AI158" i="11"/>
  <c r="AH158" i="11"/>
  <c r="X158" i="11"/>
  <c r="T158" i="11"/>
  <c r="N158" i="11"/>
  <c r="AE158" i="11" s="1"/>
  <c r="AI156" i="11"/>
  <c r="AH156" i="11"/>
  <c r="X156" i="11"/>
  <c r="T156" i="11"/>
  <c r="N156" i="11"/>
  <c r="AE156" i="11" s="1"/>
  <c r="W77" i="11"/>
  <c r="V77" i="11"/>
  <c r="S77" i="11"/>
  <c r="R77" i="11"/>
  <c r="Q77" i="11"/>
  <c r="P77" i="11"/>
  <c r="L77" i="11"/>
  <c r="F77" i="11"/>
  <c r="AI76" i="11"/>
  <c r="AH76" i="11"/>
  <c r="T76" i="11"/>
  <c r="AI75" i="11"/>
  <c r="AH75" i="11"/>
  <c r="X75" i="11"/>
  <c r="T75" i="11"/>
  <c r="N75" i="11"/>
  <c r="AE75" i="11" s="1"/>
  <c r="AI74" i="11"/>
  <c r="AH74" i="11"/>
  <c r="T74" i="11"/>
  <c r="N74" i="11"/>
  <c r="W152" i="11"/>
  <c r="V152" i="11"/>
  <c r="S152" i="11"/>
  <c r="R152" i="11"/>
  <c r="Q152" i="11"/>
  <c r="P152" i="11"/>
  <c r="M152" i="11"/>
  <c r="F152" i="11"/>
  <c r="AI151" i="11"/>
  <c r="AH151" i="11"/>
  <c r="X151" i="11"/>
  <c r="T151" i="11"/>
  <c r="N151" i="11"/>
  <c r="AE151" i="11" s="1"/>
  <c r="AI150" i="11"/>
  <c r="AH150" i="11"/>
  <c r="X150" i="11"/>
  <c r="T150" i="11"/>
  <c r="N150" i="11"/>
  <c r="AE150" i="11" s="1"/>
  <c r="W155" i="11"/>
  <c r="V155" i="11"/>
  <c r="S155" i="11"/>
  <c r="R155" i="11"/>
  <c r="Q155" i="11"/>
  <c r="P155" i="11"/>
  <c r="M155" i="11"/>
  <c r="L155" i="11"/>
  <c r="F155" i="11"/>
  <c r="AI154" i="11"/>
  <c r="AH154" i="11"/>
  <c r="X154" i="11"/>
  <c r="T154" i="11"/>
  <c r="N154" i="11"/>
  <c r="AE154" i="11" s="1"/>
  <c r="AI153" i="11"/>
  <c r="AH153" i="11"/>
  <c r="X153" i="11"/>
  <c r="T153" i="11"/>
  <c r="N153" i="11"/>
  <c r="AE153" i="11" s="1"/>
  <c r="V100" i="11"/>
  <c r="S100" i="11"/>
  <c r="R100" i="11"/>
  <c r="Q100" i="11"/>
  <c r="P100" i="11"/>
  <c r="L100" i="11"/>
  <c r="F100" i="11"/>
  <c r="AH99" i="11"/>
  <c r="AI99" i="11"/>
  <c r="T99" i="11"/>
  <c r="N99" i="11"/>
  <c r="AI98" i="11"/>
  <c r="AH98" i="11"/>
  <c r="X98" i="11"/>
  <c r="W100" i="11"/>
  <c r="T98" i="11"/>
  <c r="N98" i="11"/>
  <c r="AI134" i="11"/>
  <c r="AH134" i="11"/>
  <c r="X134" i="11"/>
  <c r="T134" i="11"/>
  <c r="N134" i="11"/>
  <c r="AG134" i="11" s="1"/>
  <c r="AI133" i="11"/>
  <c r="AH133" i="11"/>
  <c r="X133" i="11"/>
  <c r="T133" i="11"/>
  <c r="N133" i="11"/>
  <c r="AG133" i="11" s="1"/>
  <c r="W135" i="11"/>
  <c r="V135" i="11"/>
  <c r="S135" i="11"/>
  <c r="R135" i="11"/>
  <c r="Q135" i="11"/>
  <c r="P135" i="11"/>
  <c r="M135" i="11"/>
  <c r="L135" i="11"/>
  <c r="F135" i="11"/>
  <c r="AI132" i="11"/>
  <c r="AH132" i="11"/>
  <c r="X132" i="11"/>
  <c r="T132" i="11"/>
  <c r="N132" i="11"/>
  <c r="AE132" i="11" s="1"/>
  <c r="V145" i="11"/>
  <c r="S145" i="11"/>
  <c r="R145" i="11"/>
  <c r="Q145" i="11"/>
  <c r="P145" i="11"/>
  <c r="L145" i="11"/>
  <c r="AI144" i="11"/>
  <c r="T144" i="11"/>
  <c r="N144" i="11"/>
  <c r="AH144" i="11"/>
  <c r="AH136" i="11"/>
  <c r="W145" i="11"/>
  <c r="T136" i="11"/>
  <c r="N136" i="11"/>
  <c r="U159" i="11" l="1"/>
  <c r="U155" i="11"/>
  <c r="U135" i="11"/>
  <c r="U152" i="11"/>
  <c r="U182" i="11"/>
  <c r="X76" i="11"/>
  <c r="U76" i="11"/>
  <c r="U186" i="11"/>
  <c r="AI186" i="11"/>
  <c r="AI159" i="11"/>
  <c r="AH182" i="11"/>
  <c r="AH186" i="11"/>
  <c r="AI182" i="11"/>
  <c r="X186" i="11"/>
  <c r="AG183" i="11"/>
  <c r="N76" i="11"/>
  <c r="AE76" i="11" s="1"/>
  <c r="T186" i="11"/>
  <c r="X155" i="11"/>
  <c r="T159" i="11"/>
  <c r="X152" i="11"/>
  <c r="AH159" i="11"/>
  <c r="AG185" i="11"/>
  <c r="X159" i="11"/>
  <c r="N186" i="11"/>
  <c r="AG180" i="11"/>
  <c r="T182" i="11"/>
  <c r="N182" i="11"/>
  <c r="X182" i="11"/>
  <c r="AG181" i="11"/>
  <c r="AG158" i="11"/>
  <c r="AG156" i="11"/>
  <c r="T155" i="11"/>
  <c r="N159" i="11"/>
  <c r="T152" i="11"/>
  <c r="AI77" i="11"/>
  <c r="AH77" i="11"/>
  <c r="T77" i="11"/>
  <c r="AG75" i="11"/>
  <c r="AG74" i="11"/>
  <c r="AE74" i="11"/>
  <c r="X74" i="11"/>
  <c r="M77" i="11"/>
  <c r="U77" i="11" s="1"/>
  <c r="AH152" i="11"/>
  <c r="AG151" i="11"/>
  <c r="AI152" i="11"/>
  <c r="N152" i="11"/>
  <c r="AG150" i="11"/>
  <c r="N155" i="11"/>
  <c r="AG155" i="11" s="1"/>
  <c r="AH155" i="11"/>
  <c r="AG154" i="11"/>
  <c r="AI155" i="11"/>
  <c r="AG153" i="11"/>
  <c r="T100" i="11"/>
  <c r="X135" i="11"/>
  <c r="AH100" i="11"/>
  <c r="AI100" i="11"/>
  <c r="N100" i="11"/>
  <c r="AG100" i="11" s="1"/>
  <c r="AE99" i="11"/>
  <c r="AG99" i="11"/>
  <c r="AE98" i="11"/>
  <c r="M100" i="11"/>
  <c r="U100" i="11" s="1"/>
  <c r="AG98" i="11"/>
  <c r="X99" i="11"/>
  <c r="X100" i="11" s="1"/>
  <c r="AH135" i="11"/>
  <c r="AE134" i="11"/>
  <c r="AE133" i="11"/>
  <c r="T135" i="11"/>
  <c r="N135" i="11"/>
  <c r="AG135" i="11" s="1"/>
  <c r="AI135" i="11"/>
  <c r="AG132" i="11"/>
  <c r="T145" i="11"/>
  <c r="AG136" i="11"/>
  <c r="AE136" i="11"/>
  <c r="AE144" i="11"/>
  <c r="AG144" i="11"/>
  <c r="F145" i="11"/>
  <c r="AI145" i="11" s="1"/>
  <c r="N145" i="11"/>
  <c r="X144" i="11"/>
  <c r="M145" i="11"/>
  <c r="U145" i="11" s="1"/>
  <c r="X136" i="11"/>
  <c r="AI136" i="11"/>
  <c r="X77" i="11" l="1"/>
  <c r="N77" i="11"/>
  <c r="AE77" i="11" s="1"/>
  <c r="AG76" i="11"/>
  <c r="AG186" i="11"/>
  <c r="AE186" i="11"/>
  <c r="AE182" i="11"/>
  <c r="AG182" i="11"/>
  <c r="AE159" i="11"/>
  <c r="AG159" i="11"/>
  <c r="AG152" i="11"/>
  <c r="AE152" i="11"/>
  <c r="AE155" i="11"/>
  <c r="AE100" i="11"/>
  <c r="AE135" i="11"/>
  <c r="AH145" i="11"/>
  <c r="X145" i="11"/>
  <c r="AG145" i="11"/>
  <c r="AE145" i="11"/>
  <c r="AG77" i="11" l="1"/>
  <c r="M35" i="11" l="1"/>
  <c r="P35" i="11"/>
  <c r="Q35" i="11"/>
  <c r="R35" i="11"/>
  <c r="S35" i="11"/>
  <c r="V35" i="11"/>
  <c r="W35" i="11"/>
  <c r="L35" i="11"/>
  <c r="F35" i="11"/>
  <c r="AI33" i="11"/>
  <c r="T33" i="11"/>
  <c r="T34" i="11" s="1"/>
  <c r="AH33" i="11"/>
  <c r="N33" i="11"/>
  <c r="N34" i="11" s="1"/>
  <c r="U22" i="11" l="1"/>
  <c r="U23" i="11" s="1"/>
  <c r="T22" i="11"/>
  <c r="T23" i="11" s="1"/>
  <c r="AH22" i="11"/>
  <c r="AI23" i="11"/>
  <c r="AH23" i="11"/>
  <c r="AG33" i="11"/>
  <c r="AE33" i="11"/>
  <c r="X33" i="11"/>
  <c r="X34" i="11" s="1"/>
  <c r="N22" i="11"/>
  <c r="N23" i="11" s="1"/>
  <c r="X22" i="11"/>
  <c r="X23" i="11" s="1"/>
  <c r="AI22" i="11"/>
  <c r="U392" i="11"/>
  <c r="U68" i="11"/>
  <c r="U35" i="11" l="1"/>
  <c r="AG22" i="11"/>
  <c r="AE22" i="11"/>
  <c r="AG23" i="11" l="1"/>
  <c r="AE23" i="11"/>
  <c r="M1841" i="11" l="1"/>
  <c r="U123" i="11"/>
  <c r="U304" i="11" l="1"/>
  <c r="W1372" i="11"/>
  <c r="V1372" i="11"/>
  <c r="S1372" i="11"/>
  <c r="R1372" i="11"/>
  <c r="Q1372" i="11"/>
  <c r="P1372" i="11"/>
  <c r="M1372" i="11"/>
  <c r="L1372" i="11"/>
  <c r="F1372" i="11"/>
  <c r="AI1371" i="11"/>
  <c r="AH1371" i="11"/>
  <c r="X1371" i="11"/>
  <c r="U1371" i="11"/>
  <c r="T1371" i="11"/>
  <c r="N1371" i="11"/>
  <c r="AI1275" i="11"/>
  <c r="AH1275" i="11"/>
  <c r="U406" i="11"/>
  <c r="AI1372" i="11" l="1"/>
  <c r="AH1372" i="11"/>
  <c r="X1372" i="11"/>
  <c r="T1372" i="11"/>
  <c r="AI1283" i="11"/>
  <c r="N1372" i="11"/>
  <c r="AE1372" i="11" s="1"/>
  <c r="U1372" i="11"/>
  <c r="AH1283" i="11"/>
  <c r="AE1371" i="11"/>
  <c r="AG1371" i="11"/>
  <c r="AE1275" i="11"/>
  <c r="AG1275" i="11"/>
  <c r="AG1283" i="11" l="1"/>
  <c r="AG1372" i="11"/>
  <c r="AE1283" i="11" l="1"/>
  <c r="U82" i="11" l="1"/>
  <c r="U266" i="11"/>
  <c r="U254" i="11"/>
  <c r="V2136" i="11" l="1"/>
  <c r="U64" i="11"/>
  <c r="U347" i="11"/>
  <c r="AI573" i="11" l="1"/>
  <c r="AH573" i="11"/>
  <c r="X573" i="11"/>
  <c r="U573" i="11"/>
  <c r="T573" i="11"/>
  <c r="N573" i="11"/>
  <c r="AG573" i="11" s="1"/>
  <c r="AE573" i="11" l="1"/>
  <c r="U292" i="11" l="1"/>
  <c r="U95" i="11"/>
  <c r="U251" i="11" l="1"/>
  <c r="U285" i="11"/>
  <c r="U246" i="11"/>
  <c r="U390" i="11"/>
  <c r="U66" i="11" l="1"/>
  <c r="AI539" i="11" l="1"/>
  <c r="AH539" i="11"/>
  <c r="X539" i="11"/>
  <c r="U539" i="11"/>
  <c r="T539" i="11"/>
  <c r="N539" i="11"/>
  <c r="AE539" i="11" s="1"/>
  <c r="AI489" i="11"/>
  <c r="AH489" i="11"/>
  <c r="X489" i="11"/>
  <c r="T489" i="11"/>
  <c r="N489" i="11"/>
  <c r="AE489" i="11" s="1"/>
  <c r="U271" i="11"/>
  <c r="U305" i="11"/>
  <c r="AG539" i="11" l="1"/>
  <c r="AG489" i="11"/>
  <c r="U247" i="11" l="1"/>
  <c r="U118" i="11"/>
  <c r="U513" i="11"/>
  <c r="U317" i="11" l="1"/>
  <c r="U464" i="11" l="1"/>
  <c r="AI542" i="11"/>
  <c r="AH542" i="11"/>
  <c r="X542" i="11"/>
  <c r="U542" i="11"/>
  <c r="T542" i="11"/>
  <c r="N542" i="11"/>
  <c r="AG542" i="11" s="1"/>
  <c r="AE542" i="11" l="1"/>
  <c r="N316" i="11" l="1"/>
  <c r="U294" i="11"/>
  <c r="U295" i="11" s="1"/>
  <c r="U102" i="11"/>
  <c r="U101" i="11"/>
  <c r="F2134" i="11"/>
  <c r="W398" i="11" l="1"/>
  <c r="V398" i="11"/>
  <c r="S398" i="11"/>
  <c r="R398" i="11"/>
  <c r="Q398" i="11"/>
  <c r="P398" i="11"/>
  <c r="M398" i="11"/>
  <c r="L398" i="11"/>
  <c r="F398" i="11"/>
  <c r="AI397" i="11"/>
  <c r="AH397" i="11"/>
  <c r="X397" i="11"/>
  <c r="T397" i="11"/>
  <c r="N397" i="11"/>
  <c r="AE397" i="11" s="1"/>
  <c r="AI396" i="11"/>
  <c r="AH396" i="11"/>
  <c r="X396" i="11"/>
  <c r="T396" i="11"/>
  <c r="N396" i="11"/>
  <c r="AE396" i="11" s="1"/>
  <c r="AI395" i="11"/>
  <c r="AH395" i="11"/>
  <c r="X395" i="11"/>
  <c r="T395" i="11"/>
  <c r="N395" i="11"/>
  <c r="AE395" i="11" s="1"/>
  <c r="AI394" i="11"/>
  <c r="AH394" i="11"/>
  <c r="X394" i="11"/>
  <c r="T394" i="11"/>
  <c r="N394" i="11"/>
  <c r="AE394" i="11" s="1"/>
  <c r="U18" i="11"/>
  <c r="U398" i="11" l="1"/>
  <c r="T398" i="11"/>
  <c r="AI398" i="11"/>
  <c r="X398" i="11"/>
  <c r="N398" i="11"/>
  <c r="AH398" i="11"/>
  <c r="AG394" i="11"/>
  <c r="AG395" i="11"/>
  <c r="AG396" i="11"/>
  <c r="AG397" i="11"/>
  <c r="AE398" i="11" l="1"/>
  <c r="AG398" i="11"/>
  <c r="W537" i="11" l="1"/>
  <c r="U352" i="11" l="1"/>
  <c r="M18" i="11"/>
  <c r="N1154" i="11"/>
  <c r="AE1154" i="11" s="1"/>
  <c r="P1156" i="11"/>
  <c r="Q1156" i="11"/>
  <c r="R1156" i="11"/>
  <c r="S1156" i="11"/>
  <c r="V1156" i="11"/>
  <c r="W1156" i="11"/>
  <c r="L1156" i="11"/>
  <c r="F1156" i="11"/>
  <c r="AI1154" i="11"/>
  <c r="AH1154" i="11"/>
  <c r="T1154" i="11"/>
  <c r="U1154" i="11" l="1"/>
  <c r="X1154" i="11"/>
  <c r="M1156" i="11"/>
  <c r="U1156" i="11" s="1"/>
  <c r="AG1154" i="11"/>
  <c r="W1899" i="11" l="1"/>
  <c r="V1899" i="11"/>
  <c r="S1899" i="11"/>
  <c r="R1899" i="11"/>
  <c r="Q1899" i="11"/>
  <c r="P1899" i="11"/>
  <c r="M1899" i="11"/>
  <c r="L1899" i="11"/>
  <c r="F1899" i="11"/>
  <c r="AI1898" i="11"/>
  <c r="AH1898" i="11"/>
  <c r="X1898" i="11"/>
  <c r="U1898" i="11"/>
  <c r="T1898" i="11"/>
  <c r="N1898" i="11"/>
  <c r="AG1898" i="11" s="1"/>
  <c r="AI1897" i="11"/>
  <c r="AH1897" i="11"/>
  <c r="X1897" i="11"/>
  <c r="U1897" i="11"/>
  <c r="T1897" i="11"/>
  <c r="N1897" i="11"/>
  <c r="AG1897" i="11" s="1"/>
  <c r="W1907" i="11"/>
  <c r="V1907" i="11"/>
  <c r="S1907" i="11"/>
  <c r="R1907" i="11"/>
  <c r="Q1907" i="11"/>
  <c r="P1907" i="11"/>
  <c r="M1907" i="11"/>
  <c r="L1907" i="11"/>
  <c r="F1907" i="11"/>
  <c r="AI1905" i="11"/>
  <c r="AH1905" i="11"/>
  <c r="X1905" i="11"/>
  <c r="U1905" i="11"/>
  <c r="T1905" i="11"/>
  <c r="N1905" i="11"/>
  <c r="AE1905" i="11" s="1"/>
  <c r="W1911" i="11"/>
  <c r="V1911" i="11"/>
  <c r="S1911" i="11"/>
  <c r="R1911" i="11"/>
  <c r="Q1911" i="11"/>
  <c r="P1911" i="11"/>
  <c r="M1911" i="11"/>
  <c r="L1911" i="11"/>
  <c r="F1911" i="11"/>
  <c r="AI1910" i="11"/>
  <c r="AH1910" i="11"/>
  <c r="X1910" i="11"/>
  <c r="U1910" i="11"/>
  <c r="T1910" i="11"/>
  <c r="N1910" i="11"/>
  <c r="AG1910" i="11" s="1"/>
  <c r="AI1908" i="11"/>
  <c r="AH1908" i="11"/>
  <c r="X1908" i="11"/>
  <c r="U1908" i="11"/>
  <c r="T1908" i="11"/>
  <c r="N1908" i="11"/>
  <c r="AG1908" i="11" s="1"/>
  <c r="W2122" i="11"/>
  <c r="V2122" i="11"/>
  <c r="S2122" i="11"/>
  <c r="R2122" i="11"/>
  <c r="Q2122" i="11"/>
  <c r="P2122" i="11"/>
  <c r="M2122" i="11"/>
  <c r="L2122" i="11"/>
  <c r="F2122" i="11"/>
  <c r="AI2120" i="11"/>
  <c r="AH2120" i="11"/>
  <c r="X2120" i="11"/>
  <c r="U2120" i="11"/>
  <c r="T2120" i="11"/>
  <c r="N2120" i="11"/>
  <c r="AG2120" i="11" s="1"/>
  <c r="X1907" i="11" l="1"/>
  <c r="T1911" i="11"/>
  <c r="U1907" i="11"/>
  <c r="X1899" i="11"/>
  <c r="T1899" i="11"/>
  <c r="U2122" i="11"/>
  <c r="X2122" i="11"/>
  <c r="T2122" i="11"/>
  <c r="AH1911" i="11"/>
  <c r="X1911" i="11"/>
  <c r="T1907" i="11"/>
  <c r="U1899" i="11"/>
  <c r="AH2122" i="11"/>
  <c r="U1911" i="11"/>
  <c r="AI1899" i="11"/>
  <c r="AH1899" i="11"/>
  <c r="N1899" i="11"/>
  <c r="AE1897" i="11"/>
  <c r="AE1898" i="11"/>
  <c r="AH1907" i="11"/>
  <c r="N1907" i="11"/>
  <c r="AI1907" i="11"/>
  <c r="AG1905" i="11"/>
  <c r="AI1911" i="11"/>
  <c r="N1911" i="11"/>
  <c r="AE1908" i="11"/>
  <c r="AE1910" i="11"/>
  <c r="AI2122" i="11"/>
  <c r="N2122" i="11"/>
  <c r="AE2120" i="11"/>
  <c r="AE1899" i="11" l="1"/>
  <c r="AG1899" i="11"/>
  <c r="AE1907" i="11"/>
  <c r="AG1907" i="11"/>
  <c r="AE1911" i="11"/>
  <c r="AG1911" i="11"/>
  <c r="AE2122" i="11"/>
  <c r="AG2122" i="11"/>
  <c r="U130" i="11" l="1"/>
  <c r="U318" i="11" l="1"/>
  <c r="U321" i="11" s="1"/>
  <c r="U374" i="11" l="1"/>
  <c r="U65" i="11"/>
  <c r="U290" i="11" l="1"/>
  <c r="U291" i="11" s="1"/>
  <c r="AI1893" i="11"/>
  <c r="AH1893" i="11"/>
  <c r="X1893" i="11"/>
  <c r="U1893" i="11"/>
  <c r="T1893" i="11"/>
  <c r="N1893" i="11"/>
  <c r="AG1893" i="11" s="1"/>
  <c r="W1886" i="11"/>
  <c r="V1886" i="11"/>
  <c r="S1886" i="11"/>
  <c r="R1886" i="11"/>
  <c r="Q1886" i="11"/>
  <c r="P1886" i="11"/>
  <c r="M1886" i="11"/>
  <c r="L1886" i="11"/>
  <c r="F1886" i="11"/>
  <c r="AI1885" i="11"/>
  <c r="AH1885" i="11"/>
  <c r="X1885" i="11"/>
  <c r="U1885" i="11"/>
  <c r="T1885" i="11"/>
  <c r="N1885" i="11"/>
  <c r="AE1885" i="11" s="1"/>
  <c r="AI1884" i="11"/>
  <c r="AH1884" i="11"/>
  <c r="X1884" i="11"/>
  <c r="U1884" i="11"/>
  <c r="T1884" i="11"/>
  <c r="N1884" i="11"/>
  <c r="AE1884" i="11" s="1"/>
  <c r="AI1883" i="11"/>
  <c r="AH1883" i="11"/>
  <c r="X1883" i="11"/>
  <c r="U1883" i="11"/>
  <c r="T1883" i="11"/>
  <c r="N1883" i="11"/>
  <c r="AE1883" i="11" s="1"/>
  <c r="AI1882" i="11"/>
  <c r="AH1882" i="11"/>
  <c r="X1882" i="11"/>
  <c r="U1882" i="11"/>
  <c r="T1882" i="11"/>
  <c r="N1882" i="11"/>
  <c r="AE1882" i="11" s="1"/>
  <c r="AI1881" i="11"/>
  <c r="AH1881" i="11"/>
  <c r="X1881" i="11"/>
  <c r="U1881" i="11"/>
  <c r="T1881" i="11"/>
  <c r="N1881" i="11"/>
  <c r="AE1881" i="11" s="1"/>
  <c r="AI1892" i="11"/>
  <c r="AH1892" i="11"/>
  <c r="X1892" i="11"/>
  <c r="U1892" i="11"/>
  <c r="T1892" i="11"/>
  <c r="N1892" i="11"/>
  <c r="AG1892" i="11" s="1"/>
  <c r="AI1894" i="11"/>
  <c r="AH1894" i="11"/>
  <c r="X1894" i="11"/>
  <c r="U1894" i="11"/>
  <c r="T1894" i="11"/>
  <c r="N1894" i="11"/>
  <c r="AG1894" i="11" s="1"/>
  <c r="AI1891" i="11"/>
  <c r="AH1891" i="11"/>
  <c r="X1891" i="11"/>
  <c r="U1891" i="11"/>
  <c r="T1891" i="11"/>
  <c r="N1891" i="11"/>
  <c r="AG1891" i="11" s="1"/>
  <c r="AI1888" i="11"/>
  <c r="AH1888" i="11"/>
  <c r="X1888" i="11"/>
  <c r="U1888" i="11"/>
  <c r="T1888" i="11"/>
  <c r="N1888" i="11"/>
  <c r="AG1888" i="11" s="1"/>
  <c r="W1880" i="11"/>
  <c r="V1880" i="11"/>
  <c r="S1880" i="11"/>
  <c r="R1880" i="11"/>
  <c r="Q1880" i="11"/>
  <c r="P1880" i="11"/>
  <c r="M1880" i="11"/>
  <c r="L1880" i="11"/>
  <c r="F1880" i="11"/>
  <c r="AI1879" i="11"/>
  <c r="AH1879" i="11"/>
  <c r="X1879" i="11"/>
  <c r="U1879" i="11"/>
  <c r="T1879" i="11"/>
  <c r="N1879" i="11"/>
  <c r="AG1879" i="11" s="1"/>
  <c r="AI1878" i="11"/>
  <c r="AH1878" i="11"/>
  <c r="X1878" i="11"/>
  <c r="U1878" i="11"/>
  <c r="T1878" i="11"/>
  <c r="N1878" i="11"/>
  <c r="AG1878" i="11" s="1"/>
  <c r="AI1877" i="11"/>
  <c r="AH1877" i="11"/>
  <c r="X1877" i="11"/>
  <c r="U1877" i="11"/>
  <c r="T1877" i="11"/>
  <c r="N1877" i="11"/>
  <c r="W1876" i="11"/>
  <c r="V1876" i="11"/>
  <c r="S1876" i="11"/>
  <c r="R1876" i="11"/>
  <c r="Q1876" i="11"/>
  <c r="P1876" i="11"/>
  <c r="M1876" i="11"/>
  <c r="L1876" i="11"/>
  <c r="F1876" i="11"/>
  <c r="AI1875" i="11"/>
  <c r="AH1875" i="11"/>
  <c r="X1875" i="11"/>
  <c r="U1875" i="11"/>
  <c r="T1875" i="11"/>
  <c r="N1875" i="11"/>
  <c r="AG1875" i="11" s="1"/>
  <c r="AI1874" i="11"/>
  <c r="AH1874" i="11"/>
  <c r="X1874" i="11"/>
  <c r="U1874" i="11"/>
  <c r="T1874" i="11"/>
  <c r="N1874" i="11"/>
  <c r="AG1874" i="11" s="1"/>
  <c r="AI1873" i="11"/>
  <c r="AH1873" i="11"/>
  <c r="X1873" i="11"/>
  <c r="U1873" i="11"/>
  <c r="T1873" i="11"/>
  <c r="N1873" i="11"/>
  <c r="AG1873" i="11" s="1"/>
  <c r="AI1890" i="11"/>
  <c r="AH1890" i="11"/>
  <c r="X1890" i="11"/>
  <c r="U1890" i="11"/>
  <c r="T1890" i="11"/>
  <c r="N1890" i="11"/>
  <c r="AG1890" i="11" s="1"/>
  <c r="AI1895" i="11"/>
  <c r="AH1895" i="11"/>
  <c r="X1895" i="11"/>
  <c r="U1895" i="11"/>
  <c r="T1895" i="11"/>
  <c r="N1895" i="11"/>
  <c r="AG1895" i="11" s="1"/>
  <c r="AI1889" i="11"/>
  <c r="AH1889" i="11"/>
  <c r="X1889" i="11"/>
  <c r="U1889" i="11"/>
  <c r="T1889" i="11"/>
  <c r="N1889" i="11"/>
  <c r="AG1889" i="11" s="1"/>
  <c r="W1896" i="11"/>
  <c r="V1896" i="11"/>
  <c r="S1896" i="11"/>
  <c r="R1896" i="11"/>
  <c r="Q1896" i="11"/>
  <c r="P1896" i="11"/>
  <c r="M1896" i="11"/>
  <c r="L1896" i="11"/>
  <c r="F1896" i="11"/>
  <c r="AI1896" i="11" s="1"/>
  <c r="AI1887" i="11"/>
  <c r="AH1887" i="11"/>
  <c r="X1887" i="11"/>
  <c r="U1887" i="11"/>
  <c r="T1887" i="11"/>
  <c r="N1887" i="11"/>
  <c r="AE1887" i="11" s="1"/>
  <c r="W1869" i="11"/>
  <c r="V1869" i="11"/>
  <c r="S1869" i="11"/>
  <c r="R1869" i="11"/>
  <c r="Q1869" i="11"/>
  <c r="P1869" i="11"/>
  <c r="M1869" i="11"/>
  <c r="L1869" i="11"/>
  <c r="F1869" i="11"/>
  <c r="AI1868" i="11"/>
  <c r="AH1868" i="11"/>
  <c r="X1868" i="11"/>
  <c r="U1868" i="11"/>
  <c r="T1868" i="11"/>
  <c r="N1868" i="11"/>
  <c r="AG1868" i="11" s="1"/>
  <c r="AI1864" i="11"/>
  <c r="AH1864" i="11"/>
  <c r="X1864" i="11"/>
  <c r="U1864" i="11"/>
  <c r="T1864" i="11"/>
  <c r="N1864" i="11"/>
  <c r="AG1864" i="11" s="1"/>
  <c r="W1863" i="11"/>
  <c r="V1863" i="11"/>
  <c r="S1863" i="11"/>
  <c r="R1863" i="11"/>
  <c r="Q1863" i="11"/>
  <c r="P1863" i="11"/>
  <c r="M1863" i="11"/>
  <c r="L1863" i="11"/>
  <c r="F1863" i="11"/>
  <c r="AI1862" i="11"/>
  <c r="AH1862" i="11"/>
  <c r="X1862" i="11"/>
  <c r="U1862" i="11"/>
  <c r="T1862" i="11"/>
  <c r="N1862" i="11"/>
  <c r="AE1862" i="11" s="1"/>
  <c r="AI1861" i="11"/>
  <c r="AH1861" i="11"/>
  <c r="X1861" i="11"/>
  <c r="U1861" i="11"/>
  <c r="T1861" i="11"/>
  <c r="N1861" i="11"/>
  <c r="AE1861" i="11" s="1"/>
  <c r="W1860" i="11"/>
  <c r="V1860" i="11"/>
  <c r="S1860" i="11"/>
  <c r="R1860" i="11"/>
  <c r="Q1860" i="11"/>
  <c r="P1860" i="11"/>
  <c r="M1860" i="11"/>
  <c r="L1860" i="11"/>
  <c r="F1860" i="11"/>
  <c r="AI1859" i="11"/>
  <c r="AH1859" i="11"/>
  <c r="X1859" i="11"/>
  <c r="U1859" i="11"/>
  <c r="T1859" i="11"/>
  <c r="N1859" i="11"/>
  <c r="AG1859" i="11" s="1"/>
  <c r="AI1855" i="11"/>
  <c r="AH1855" i="11"/>
  <c r="X1855" i="11"/>
  <c r="U1855" i="11"/>
  <c r="T1855" i="11"/>
  <c r="N1855" i="11"/>
  <c r="AI1860" i="11" l="1"/>
  <c r="AI1880" i="11"/>
  <c r="AH1876" i="11"/>
  <c r="U1886" i="11"/>
  <c r="X1860" i="11"/>
  <c r="T1860" i="11"/>
  <c r="AH1880" i="11"/>
  <c r="AI1886" i="11"/>
  <c r="X1863" i="11"/>
  <c r="AI1876" i="11"/>
  <c r="AH1886" i="11"/>
  <c r="AH1860" i="11"/>
  <c r="U1863" i="11"/>
  <c r="X1869" i="11"/>
  <c r="T1869" i="11"/>
  <c r="U1880" i="11"/>
  <c r="AG1881" i="11"/>
  <c r="AG1883" i="11"/>
  <c r="AE1893" i="11"/>
  <c r="X1886" i="11"/>
  <c r="AG1882" i="11"/>
  <c r="AG1885" i="11"/>
  <c r="T1886" i="11"/>
  <c r="AG1884" i="11"/>
  <c r="N1886" i="11"/>
  <c r="X1880" i="11"/>
  <c r="AE1892" i="11"/>
  <c r="AE1894" i="11"/>
  <c r="AE1891" i="11"/>
  <c r="T1880" i="11"/>
  <c r="AE1888" i="11"/>
  <c r="T1876" i="11"/>
  <c r="N1880" i="11"/>
  <c r="AE1880" i="11" s="1"/>
  <c r="AE1877" i="11"/>
  <c r="AE1878" i="11"/>
  <c r="AE1879" i="11"/>
  <c r="AG1877" i="11"/>
  <c r="X1876" i="11"/>
  <c r="AE1875" i="11"/>
  <c r="N1876" i="11"/>
  <c r="AG1876" i="11" s="1"/>
  <c r="U1860" i="11"/>
  <c r="T1863" i="11"/>
  <c r="U1869" i="11"/>
  <c r="X1896" i="11"/>
  <c r="U1876" i="11"/>
  <c r="AE1873" i="11"/>
  <c r="AE1874" i="11"/>
  <c r="AH1896" i="11"/>
  <c r="AE1890" i="11"/>
  <c r="AE1889" i="11"/>
  <c r="AE1895" i="11"/>
  <c r="U1896" i="11"/>
  <c r="T1896" i="11"/>
  <c r="AG1887" i="11"/>
  <c r="N1860" i="11"/>
  <c r="AE1860" i="11" s="1"/>
  <c r="N1896" i="11"/>
  <c r="AI1869" i="11"/>
  <c r="AH1869" i="11"/>
  <c r="N1869" i="11"/>
  <c r="AG1869" i="11" s="1"/>
  <c r="AE1864" i="11"/>
  <c r="AE1868" i="11"/>
  <c r="AH1863" i="11"/>
  <c r="AG1861" i="11"/>
  <c r="N1863" i="11"/>
  <c r="AG1862" i="11"/>
  <c r="AI1863" i="11"/>
  <c r="AE1855" i="11"/>
  <c r="AE1859" i="11"/>
  <c r="AG1855" i="11"/>
  <c r="AG1860" i="11" l="1"/>
  <c r="AE1886" i="11"/>
  <c r="AG1886" i="11"/>
  <c r="AG1880" i="11"/>
  <c r="AE1876" i="11"/>
  <c r="AG1896" i="11"/>
  <c r="AE1896" i="11"/>
  <c r="AE1869" i="11"/>
  <c r="AG1863" i="11"/>
  <c r="AE1863" i="11"/>
  <c r="W910" i="11" l="1"/>
  <c r="V910" i="11"/>
  <c r="S910" i="11"/>
  <c r="R910" i="11"/>
  <c r="Q910" i="11"/>
  <c r="P910" i="11"/>
  <c r="M910" i="11"/>
  <c r="F910" i="11"/>
  <c r="AI909" i="11"/>
  <c r="AH909" i="11"/>
  <c r="X909" i="11"/>
  <c r="U909" i="11"/>
  <c r="T909" i="11"/>
  <c r="N909" i="11"/>
  <c r="AG909" i="11" s="1"/>
  <c r="AI907" i="11"/>
  <c r="AH907" i="11"/>
  <c r="X907" i="11"/>
  <c r="U907" i="11"/>
  <c r="T907" i="11"/>
  <c r="N907" i="11"/>
  <c r="AG907" i="11" s="1"/>
  <c r="X910" i="11" l="1"/>
  <c r="T910" i="11"/>
  <c r="U910" i="11"/>
  <c r="AI910" i="11"/>
  <c r="AH910" i="11"/>
  <c r="N910" i="11"/>
  <c r="AG910" i="11" s="1"/>
  <c r="AE907" i="11"/>
  <c r="AE909" i="11"/>
  <c r="AE910" i="11" l="1"/>
  <c r="M258" i="11" l="1"/>
  <c r="W2194" i="11" l="1"/>
  <c r="V2194" i="11"/>
  <c r="S2194" i="11"/>
  <c r="R2194" i="11"/>
  <c r="Q2194" i="11"/>
  <c r="P2194" i="11"/>
  <c r="M2194" i="11"/>
  <c r="L2194" i="11"/>
  <c r="F2194" i="11"/>
  <c r="AI2193" i="11"/>
  <c r="AH2193" i="11"/>
  <c r="X2193" i="11"/>
  <c r="X2194" i="11" s="1"/>
  <c r="U2193" i="11"/>
  <c r="T2193" i="11"/>
  <c r="T2194" i="11" s="1"/>
  <c r="N2193" i="11"/>
  <c r="AG2193" i="11" s="1"/>
  <c r="AI589" i="11"/>
  <c r="AH589" i="11"/>
  <c r="X589" i="11"/>
  <c r="U589" i="11"/>
  <c r="T589" i="11"/>
  <c r="N589" i="11"/>
  <c r="AG589" i="11" s="1"/>
  <c r="W1376" i="11"/>
  <c r="V1376" i="11"/>
  <c r="S1376" i="11"/>
  <c r="R1376" i="11"/>
  <c r="Q1376" i="11"/>
  <c r="P1376" i="11"/>
  <c r="M1376" i="11"/>
  <c r="L1376" i="11"/>
  <c r="F1376" i="11"/>
  <c r="AI1375" i="11"/>
  <c r="AH1375" i="11"/>
  <c r="X1375" i="11"/>
  <c r="X1376" i="11" s="1"/>
  <c r="U1375" i="11"/>
  <c r="T1375" i="11"/>
  <c r="T1376" i="11" s="1"/>
  <c r="N1375" i="11"/>
  <c r="AG1375" i="11" s="1"/>
  <c r="W1378" i="11"/>
  <c r="V1378" i="11"/>
  <c r="S1378" i="11"/>
  <c r="R1378" i="11"/>
  <c r="Q1378" i="11"/>
  <c r="P1378" i="11"/>
  <c r="L1378" i="11"/>
  <c r="F1378" i="11"/>
  <c r="AI1377" i="11"/>
  <c r="AH1377" i="11"/>
  <c r="T1377" i="11"/>
  <c r="U1377" i="11"/>
  <c r="W1424" i="11"/>
  <c r="V1424" i="11"/>
  <c r="S1424" i="11"/>
  <c r="R1424" i="11"/>
  <c r="Q1424" i="11"/>
  <c r="P1424" i="11"/>
  <c r="M1424" i="11"/>
  <c r="L1424" i="11"/>
  <c r="F1424" i="11"/>
  <c r="AI1423" i="11"/>
  <c r="AH1423" i="11"/>
  <c r="X1423" i="11"/>
  <c r="U1423" i="11"/>
  <c r="T1423" i="11"/>
  <c r="N1423" i="11"/>
  <c r="AE1423" i="11" s="1"/>
  <c r="AI1422" i="11"/>
  <c r="AH1422" i="11"/>
  <c r="X1422" i="11"/>
  <c r="U1422" i="11"/>
  <c r="T1422" i="11"/>
  <c r="N1422" i="11"/>
  <c r="AE1422" i="11" s="1"/>
  <c r="AI1421" i="11"/>
  <c r="AH1421" i="11"/>
  <c r="X1421" i="11"/>
  <c r="U1421" i="11"/>
  <c r="T1421" i="11"/>
  <c r="N1421" i="11"/>
  <c r="AE1421" i="11" s="1"/>
  <c r="AI1420" i="11"/>
  <c r="AH1420" i="11"/>
  <c r="X1420" i="11"/>
  <c r="U1420" i="11"/>
  <c r="T1420" i="11"/>
  <c r="N1420" i="11"/>
  <c r="AE1420" i="11" s="1"/>
  <c r="AI1457" i="11"/>
  <c r="AH1457" i="11"/>
  <c r="X1457" i="11"/>
  <c r="U1457" i="11"/>
  <c r="T1457" i="11"/>
  <c r="N1457" i="11"/>
  <c r="AG1457" i="11" s="1"/>
  <c r="W1419" i="11"/>
  <c r="V1419" i="11"/>
  <c r="S1419" i="11"/>
  <c r="R1419" i="11"/>
  <c r="Q1419" i="11"/>
  <c r="P1419" i="11"/>
  <c r="M1419" i="11"/>
  <c r="L1419" i="11"/>
  <c r="F1419" i="11"/>
  <c r="AI1418" i="11"/>
  <c r="AH1418" i="11"/>
  <c r="X1418" i="11"/>
  <c r="U1418" i="11"/>
  <c r="T1418" i="11"/>
  <c r="N1418" i="11"/>
  <c r="AG1418" i="11" s="1"/>
  <c r="U1424" i="11" l="1"/>
  <c r="U2194" i="11"/>
  <c r="AI2194" i="11"/>
  <c r="AH2194" i="11"/>
  <c r="N2194" i="11"/>
  <c r="AG2194" i="11" s="1"/>
  <c r="AE2193" i="11"/>
  <c r="U1376" i="11"/>
  <c r="AE589" i="11"/>
  <c r="AH1419" i="11"/>
  <c r="AH1376" i="11"/>
  <c r="AI1376" i="11"/>
  <c r="AG1420" i="11"/>
  <c r="AI1424" i="11"/>
  <c r="T1424" i="11"/>
  <c r="AG1423" i="11"/>
  <c r="X1419" i="11"/>
  <c r="AG1422" i="11"/>
  <c r="AH1424" i="11"/>
  <c r="T1378" i="11"/>
  <c r="N1376" i="11"/>
  <c r="AG1376" i="11" s="1"/>
  <c r="U1419" i="11"/>
  <c r="AI1419" i="11"/>
  <c r="X1424" i="11"/>
  <c r="AG1421" i="11"/>
  <c r="AE1375" i="11"/>
  <c r="AH1378" i="11"/>
  <c r="AI1378" i="11"/>
  <c r="X1377" i="11"/>
  <c r="N1377" i="11"/>
  <c r="M1378" i="11"/>
  <c r="U1378" i="11" s="1"/>
  <c r="N1424" i="11"/>
  <c r="T1419" i="11"/>
  <c r="AE1457" i="11"/>
  <c r="N1419" i="11"/>
  <c r="AG1419" i="11" s="1"/>
  <c r="AE1418" i="11"/>
  <c r="AE2194" i="11" l="1"/>
  <c r="AE1376" i="11"/>
  <c r="N1378" i="11"/>
  <c r="AG1377" i="11"/>
  <c r="AE1377" i="11"/>
  <c r="X1378" i="11"/>
  <c r="AG1424" i="11"/>
  <c r="AE1424" i="11"/>
  <c r="AE1419" i="11"/>
  <c r="AG1378" i="11" l="1"/>
  <c r="AE1378" i="11"/>
  <c r="U96" i="11" l="1"/>
  <c r="W2136" i="11" l="1"/>
  <c r="W2186" i="11" l="1"/>
  <c r="V2186" i="11"/>
  <c r="S2186" i="11"/>
  <c r="R2186" i="11"/>
  <c r="Q2186" i="11"/>
  <c r="P2186" i="11"/>
  <c r="M2186" i="11"/>
  <c r="L2186" i="11"/>
  <c r="F2186" i="11"/>
  <c r="AI2185" i="11"/>
  <c r="AH2185" i="11"/>
  <c r="U2185" i="11"/>
  <c r="T2185" i="11"/>
  <c r="T2186" i="11" s="1"/>
  <c r="N2185" i="11"/>
  <c r="AI1849" i="11"/>
  <c r="AH1849" i="11"/>
  <c r="X1849" i="11"/>
  <c r="U1849" i="11"/>
  <c r="T1849" i="11"/>
  <c r="N1849" i="11"/>
  <c r="AG1849" i="11" s="1"/>
  <c r="W1851" i="11"/>
  <c r="V1851" i="11"/>
  <c r="S1851" i="11"/>
  <c r="R1851" i="11"/>
  <c r="Q1851" i="11"/>
  <c r="P1851" i="11"/>
  <c r="M1851" i="11"/>
  <c r="L1851" i="11"/>
  <c r="AI1850" i="11"/>
  <c r="AH1850" i="11"/>
  <c r="X1850" i="11"/>
  <c r="U1850" i="11"/>
  <c r="T1850" i="11"/>
  <c r="N1850" i="11"/>
  <c r="AE1850" i="11" s="1"/>
  <c r="AI1848" i="11"/>
  <c r="AH1848" i="11"/>
  <c r="X1848" i="11"/>
  <c r="U1848" i="11"/>
  <c r="T1848" i="11"/>
  <c r="N1848" i="11"/>
  <c r="AE1848" i="11" s="1"/>
  <c r="W1854" i="11"/>
  <c r="V1854" i="11"/>
  <c r="S1854" i="11"/>
  <c r="R1854" i="11"/>
  <c r="Q1854" i="11"/>
  <c r="P1854" i="11"/>
  <c r="M1854" i="11"/>
  <c r="L1854" i="11"/>
  <c r="F1854" i="11"/>
  <c r="AI1852" i="11"/>
  <c r="AH1852" i="11"/>
  <c r="X1852" i="11"/>
  <c r="U1852" i="11"/>
  <c r="T1852" i="11"/>
  <c r="N1852" i="11"/>
  <c r="AG1852" i="11" s="1"/>
  <c r="X1854" i="11" l="1"/>
  <c r="T1854" i="11"/>
  <c r="U1851" i="11"/>
  <c r="U2186" i="11"/>
  <c r="AH1854" i="11"/>
  <c r="T1851" i="11"/>
  <c r="AI2186" i="11"/>
  <c r="AH2186" i="11"/>
  <c r="AE2185" i="11"/>
  <c r="AG2185" i="11"/>
  <c r="N2186" i="11"/>
  <c r="X2185" i="11"/>
  <c r="X2186" i="11" s="1"/>
  <c r="U1854" i="11"/>
  <c r="AI1854" i="11"/>
  <c r="X1851" i="11"/>
  <c r="AE1849" i="11"/>
  <c r="AH1851" i="11"/>
  <c r="AI1851" i="11"/>
  <c r="AG1850" i="11"/>
  <c r="AG1848" i="11"/>
  <c r="N1851" i="11"/>
  <c r="N1854" i="11"/>
  <c r="AE1852" i="11"/>
  <c r="AG2186" i="11" l="1"/>
  <c r="AE2186" i="11"/>
  <c r="AG1851" i="11"/>
  <c r="AE1851" i="11"/>
  <c r="AE1854" i="11"/>
  <c r="AG1854" i="11"/>
  <c r="U121" i="11" l="1"/>
  <c r="U460" i="11" l="1"/>
  <c r="U476" i="11"/>
  <c r="U249" i="11" l="1"/>
  <c r="AI579" i="11"/>
  <c r="AH579" i="11"/>
  <c r="X579" i="11"/>
  <c r="U579" i="11"/>
  <c r="T579" i="11"/>
  <c r="N579" i="11"/>
  <c r="AG579" i="11" s="1"/>
  <c r="AE579" i="11" l="1"/>
  <c r="U287" i="11" l="1"/>
  <c r="U91" i="11"/>
  <c r="U120" i="11"/>
  <c r="U470" i="11" l="1"/>
  <c r="AI1836" i="11" l="1"/>
  <c r="AH1836" i="11"/>
  <c r="X1836" i="11"/>
  <c r="U1836" i="11"/>
  <c r="T1836" i="11"/>
  <c r="N1836" i="11"/>
  <c r="AG1836" i="11" s="1"/>
  <c r="AI1835" i="11"/>
  <c r="AH1835" i="11"/>
  <c r="X1835" i="11"/>
  <c r="U1835" i="11"/>
  <c r="T1835" i="11"/>
  <c r="N1835" i="11"/>
  <c r="AG1835" i="11" s="1"/>
  <c r="AI1834" i="11"/>
  <c r="AH1834" i="11"/>
  <c r="X1834" i="11"/>
  <c r="U1834" i="11"/>
  <c r="T1834" i="11"/>
  <c r="N1834" i="11"/>
  <c r="AG1834" i="11" s="1"/>
  <c r="AI1833" i="11"/>
  <c r="AH1833" i="11"/>
  <c r="X1833" i="11"/>
  <c r="U1833" i="11"/>
  <c r="T1833" i="11"/>
  <c r="N1833" i="11"/>
  <c r="AG1833" i="11" s="1"/>
  <c r="AI1832" i="11"/>
  <c r="AH1832" i="11"/>
  <c r="X1832" i="11"/>
  <c r="U1832" i="11"/>
  <c r="T1832" i="11"/>
  <c r="N1832" i="11"/>
  <c r="AG1832" i="11" s="1"/>
  <c r="AI1831" i="11"/>
  <c r="AH1831" i="11"/>
  <c r="X1831" i="11"/>
  <c r="U1831" i="11"/>
  <c r="T1831" i="11"/>
  <c r="N1831" i="11"/>
  <c r="AG1831" i="11" s="1"/>
  <c r="AI1830" i="11"/>
  <c r="AH1830" i="11"/>
  <c r="X1830" i="11"/>
  <c r="U1830" i="11"/>
  <c r="T1830" i="11"/>
  <c r="N1830" i="11"/>
  <c r="AG1830" i="11" s="1"/>
  <c r="AI1829" i="11"/>
  <c r="AH1829" i="11"/>
  <c r="X1829" i="11"/>
  <c r="U1829" i="11"/>
  <c r="T1829" i="11"/>
  <c r="N1829" i="11"/>
  <c r="AG1829" i="11" s="1"/>
  <c r="AI1839" i="11"/>
  <c r="AH1839" i="11"/>
  <c r="X1839" i="11"/>
  <c r="U1839" i="11"/>
  <c r="T1839" i="11"/>
  <c r="N1839" i="11"/>
  <c r="AG1839" i="11" s="1"/>
  <c r="AI1838" i="11"/>
  <c r="AH1838" i="11"/>
  <c r="X1838" i="11"/>
  <c r="U1838" i="11"/>
  <c r="T1838" i="11"/>
  <c r="N1838" i="11"/>
  <c r="AG1838" i="11" s="1"/>
  <c r="AI1837" i="11"/>
  <c r="AH1837" i="11"/>
  <c r="X1837" i="11"/>
  <c r="U1837" i="11"/>
  <c r="T1837" i="11"/>
  <c r="N1837" i="11"/>
  <c r="AG1837" i="11" s="1"/>
  <c r="W1811" i="11"/>
  <c r="S1811" i="11"/>
  <c r="R1811" i="11"/>
  <c r="Q1811" i="11"/>
  <c r="P1811" i="11"/>
  <c r="M1811" i="11"/>
  <c r="L1811" i="11"/>
  <c r="F1811" i="11"/>
  <c r="AI1807" i="11"/>
  <c r="AH1807" i="11"/>
  <c r="X1807" i="11"/>
  <c r="U1807" i="11"/>
  <c r="T1807" i="11"/>
  <c r="N1807" i="11"/>
  <c r="AG1807" i="11" s="1"/>
  <c r="W1843" i="11"/>
  <c r="V1843" i="11"/>
  <c r="S1843" i="11"/>
  <c r="R1843" i="11"/>
  <c r="Q1843" i="11"/>
  <c r="P1843" i="11"/>
  <c r="M1843" i="11"/>
  <c r="L1843" i="11"/>
  <c r="F1843" i="11"/>
  <c r="AI1842" i="11"/>
  <c r="AH1842" i="11"/>
  <c r="X1842" i="11"/>
  <c r="U1842" i="11"/>
  <c r="T1842" i="11"/>
  <c r="N1842" i="11"/>
  <c r="AG1842" i="11" s="1"/>
  <c r="AI1841" i="11"/>
  <c r="AH1841" i="11"/>
  <c r="X1841" i="11"/>
  <c r="U1841" i="11"/>
  <c r="T1841" i="11"/>
  <c r="N1841" i="11"/>
  <c r="AG1841" i="11" s="1"/>
  <c r="W1872" i="11"/>
  <c r="V1872" i="11"/>
  <c r="S1872" i="11"/>
  <c r="R1872" i="11"/>
  <c r="Q1872" i="11"/>
  <c r="P1872" i="11"/>
  <c r="M1872" i="11"/>
  <c r="L1872" i="11"/>
  <c r="F1872" i="11"/>
  <c r="AI1871" i="11"/>
  <c r="AH1871" i="11"/>
  <c r="X1871" i="11"/>
  <c r="U1871" i="11"/>
  <c r="T1871" i="11"/>
  <c r="N1871" i="11"/>
  <c r="AG1871" i="11" s="1"/>
  <c r="AI1870" i="11"/>
  <c r="AH1870" i="11"/>
  <c r="X1870" i="11"/>
  <c r="U1870" i="11"/>
  <c r="T1870" i="11"/>
  <c r="N1870" i="11"/>
  <c r="AG1870" i="11" s="1"/>
  <c r="T1843" i="11" l="1"/>
  <c r="T1872" i="11"/>
  <c r="X1872" i="11"/>
  <c r="X1843" i="11"/>
  <c r="U1811" i="11"/>
  <c r="U1872" i="11"/>
  <c r="AH1811" i="11"/>
  <c r="U1843" i="11"/>
  <c r="AI1811" i="11"/>
  <c r="X1811" i="11"/>
  <c r="T1811" i="11"/>
  <c r="AE1829" i="11"/>
  <c r="AE1830" i="11"/>
  <c r="AE1831" i="11"/>
  <c r="AE1832" i="11"/>
  <c r="AE1833" i="11"/>
  <c r="AE1834" i="11"/>
  <c r="AE1835" i="11"/>
  <c r="AE1836" i="11"/>
  <c r="AE1837" i="11"/>
  <c r="AE1838" i="11"/>
  <c r="AE1839" i="11"/>
  <c r="N1811" i="11"/>
  <c r="AG1811" i="11" s="1"/>
  <c r="AE1807" i="11"/>
  <c r="AH1843" i="11"/>
  <c r="AI1843" i="11"/>
  <c r="N1843" i="11"/>
  <c r="AG1843" i="11" s="1"/>
  <c r="AE1841" i="11"/>
  <c r="AE1842" i="11"/>
  <c r="AI1872" i="11"/>
  <c r="AH1872" i="11"/>
  <c r="N1872" i="11"/>
  <c r="AG1872" i="11" s="1"/>
  <c r="AE1870" i="11"/>
  <c r="AE1871" i="11"/>
  <c r="AE1872" i="11" l="1"/>
  <c r="AE1843" i="11"/>
  <c r="AE1811" i="11"/>
  <c r="N307" i="11" l="1"/>
  <c r="L299" i="11" l="1"/>
  <c r="M1128" i="11" l="1"/>
  <c r="N95" i="11"/>
  <c r="W1555" i="11" l="1"/>
  <c r="V1555" i="11"/>
  <c r="S1555" i="11"/>
  <c r="R1555" i="11"/>
  <c r="Q1555" i="11"/>
  <c r="P1555" i="11"/>
  <c r="M1555" i="11"/>
  <c r="L1555" i="11"/>
  <c r="F1555" i="11"/>
  <c r="AI1554" i="11"/>
  <c r="AH1554" i="11"/>
  <c r="X1554" i="11"/>
  <c r="U1554" i="11"/>
  <c r="T1554" i="11"/>
  <c r="N1554" i="11"/>
  <c r="AE1554" i="11" s="1"/>
  <c r="AI1553" i="11"/>
  <c r="AH1553" i="11"/>
  <c r="X1553" i="11"/>
  <c r="U1553" i="11"/>
  <c r="T1553" i="11"/>
  <c r="N1553" i="11"/>
  <c r="AE1553" i="11" s="1"/>
  <c r="W1552" i="11"/>
  <c r="V1552" i="11"/>
  <c r="S1552" i="11"/>
  <c r="R1552" i="11"/>
  <c r="Q1552" i="11"/>
  <c r="P1552" i="11"/>
  <c r="M1552" i="11"/>
  <c r="L1552" i="11"/>
  <c r="F1552" i="11"/>
  <c r="AI1551" i="11"/>
  <c r="AH1551" i="11"/>
  <c r="X1551" i="11"/>
  <c r="U1551" i="11"/>
  <c r="T1551" i="11"/>
  <c r="N1551" i="11"/>
  <c r="AE1551" i="11" s="1"/>
  <c r="AI1550" i="11"/>
  <c r="AH1550" i="11"/>
  <c r="X1550" i="11"/>
  <c r="U1550" i="11"/>
  <c r="T1550" i="11"/>
  <c r="N1550" i="11"/>
  <c r="AE1550" i="11" s="1"/>
  <c r="W1180" i="11"/>
  <c r="V1180" i="11"/>
  <c r="S1180" i="11"/>
  <c r="R1180" i="11"/>
  <c r="Q1180" i="11"/>
  <c r="P1180" i="11"/>
  <c r="M1180" i="11"/>
  <c r="L1180" i="11"/>
  <c r="F1180" i="11"/>
  <c r="AI1179" i="11"/>
  <c r="AH1179" i="11"/>
  <c r="X1179" i="11"/>
  <c r="U1179" i="11"/>
  <c r="T1179" i="11"/>
  <c r="N1179" i="11"/>
  <c r="AG1179" i="11" s="1"/>
  <c r="AI1174" i="11"/>
  <c r="AH1174" i="11"/>
  <c r="X1174" i="11"/>
  <c r="U1174" i="11"/>
  <c r="T1174" i="11"/>
  <c r="N1174" i="11"/>
  <c r="AG1174" i="11" s="1"/>
  <c r="W1186" i="11"/>
  <c r="V1186" i="11"/>
  <c r="S1186" i="11"/>
  <c r="R1186" i="11"/>
  <c r="Q1186" i="11"/>
  <c r="P1186" i="11"/>
  <c r="M1186" i="11"/>
  <c r="L1186" i="11"/>
  <c r="F1186" i="11"/>
  <c r="AI1183" i="11"/>
  <c r="AH1183" i="11"/>
  <c r="X1183" i="11"/>
  <c r="U1183" i="11"/>
  <c r="T1183" i="11"/>
  <c r="N1183" i="11"/>
  <c r="AE1183" i="11" s="1"/>
  <c r="T1552" i="11" l="1"/>
  <c r="U1555" i="11"/>
  <c r="U1180" i="11"/>
  <c r="AH1552" i="11"/>
  <c r="T1555" i="11"/>
  <c r="AH1180" i="11"/>
  <c r="X1552" i="11"/>
  <c r="AH1555" i="11"/>
  <c r="AI1180" i="11"/>
  <c r="AI1555" i="11"/>
  <c r="U1552" i="11"/>
  <c r="AI1552" i="11"/>
  <c r="X1555" i="11"/>
  <c r="AG1553" i="11"/>
  <c r="N1555" i="11"/>
  <c r="X1180" i="11"/>
  <c r="T1180" i="11"/>
  <c r="AG1554" i="11"/>
  <c r="N1552" i="11"/>
  <c r="X1186" i="11"/>
  <c r="AG1550" i="11"/>
  <c r="AG1551" i="11"/>
  <c r="N1180" i="11"/>
  <c r="AE1174" i="11"/>
  <c r="AE1179" i="11"/>
  <c r="AH1186" i="11"/>
  <c r="T1186" i="11"/>
  <c r="U1186" i="11"/>
  <c r="AI1186" i="11"/>
  <c r="N1186" i="11"/>
  <c r="AG1183" i="11"/>
  <c r="AG1555" i="11" l="1"/>
  <c r="AE1555" i="11"/>
  <c r="AE1552" i="11"/>
  <c r="AG1552" i="11"/>
  <c r="AE1180" i="11"/>
  <c r="AG1180" i="11"/>
  <c r="AE1186" i="11"/>
  <c r="AG1186" i="11"/>
  <c r="U278" i="11" l="1"/>
  <c r="X881" i="11" l="1"/>
  <c r="U502" i="11" l="1"/>
  <c r="U129" i="11" l="1"/>
  <c r="U93" i="11"/>
  <c r="W892" i="11" l="1"/>
  <c r="V892" i="11"/>
  <c r="S892" i="11"/>
  <c r="R892" i="11"/>
  <c r="Q892" i="11"/>
  <c r="P892" i="11"/>
  <c r="M892" i="11"/>
  <c r="L892" i="11"/>
  <c r="F892" i="11"/>
  <c r="AI891" i="11"/>
  <c r="AH891" i="11"/>
  <c r="X891" i="11"/>
  <c r="U891" i="11"/>
  <c r="T891" i="11"/>
  <c r="N891" i="11"/>
  <c r="AG891" i="11" s="1"/>
  <c r="AI890" i="11"/>
  <c r="AH890" i="11"/>
  <c r="X890" i="11"/>
  <c r="U890" i="11"/>
  <c r="T890" i="11"/>
  <c r="N890" i="11"/>
  <c r="AG890" i="11" s="1"/>
  <c r="AI895" i="11"/>
  <c r="AH895" i="11"/>
  <c r="X895" i="11"/>
  <c r="U895" i="11"/>
  <c r="T895" i="11"/>
  <c r="N895" i="11"/>
  <c r="AG895" i="11" s="1"/>
  <c r="AI894" i="11"/>
  <c r="AH894" i="11"/>
  <c r="X894" i="11"/>
  <c r="U894" i="11"/>
  <c r="T894" i="11"/>
  <c r="N894" i="11"/>
  <c r="AG894" i="11" s="1"/>
  <c r="W896" i="11"/>
  <c r="V896" i="11"/>
  <c r="S896" i="11"/>
  <c r="R896" i="11"/>
  <c r="Q896" i="11"/>
  <c r="P896" i="11"/>
  <c r="M896" i="11"/>
  <c r="L896" i="11"/>
  <c r="F896" i="11"/>
  <c r="AI893" i="11"/>
  <c r="AH893" i="11"/>
  <c r="X893" i="11"/>
  <c r="U893" i="11"/>
  <c r="T893" i="11"/>
  <c r="N893" i="11"/>
  <c r="W903" i="11"/>
  <c r="V903" i="11"/>
  <c r="P903" i="11"/>
  <c r="M903" i="11"/>
  <c r="L903" i="11"/>
  <c r="F903" i="11"/>
  <c r="AI902" i="11"/>
  <c r="AH902" i="11"/>
  <c r="X902" i="11"/>
  <c r="U902" i="11"/>
  <c r="T902" i="11"/>
  <c r="N902" i="11"/>
  <c r="AE902" i="11" s="1"/>
  <c r="AI900" i="11"/>
  <c r="AH900" i="11"/>
  <c r="X900" i="11"/>
  <c r="U900" i="11"/>
  <c r="T900" i="11"/>
  <c r="N900" i="11"/>
  <c r="AE900" i="11" s="1"/>
  <c r="T903" i="11" l="1"/>
  <c r="AH892" i="11"/>
  <c r="U892" i="11"/>
  <c r="N892" i="11"/>
  <c r="AG892" i="11" s="1"/>
  <c r="T892" i="11"/>
  <c r="T896" i="11"/>
  <c r="X903" i="11"/>
  <c r="U903" i="11"/>
  <c r="X896" i="11"/>
  <c r="X892" i="11"/>
  <c r="AI892" i="11"/>
  <c r="AE890" i="11"/>
  <c r="AE891" i="11"/>
  <c r="AE894" i="11"/>
  <c r="AE895" i="11"/>
  <c r="AI896" i="11"/>
  <c r="U896" i="11"/>
  <c r="N896" i="11"/>
  <c r="AG896" i="11" s="1"/>
  <c r="AH896" i="11"/>
  <c r="AE893" i="11"/>
  <c r="AG893" i="11"/>
  <c r="AI903" i="11"/>
  <c r="AG902" i="11"/>
  <c r="AG900" i="11"/>
  <c r="AH903" i="11"/>
  <c r="N903" i="11"/>
  <c r="AE892" i="11" l="1"/>
  <c r="AE896" i="11"/>
  <c r="AG903" i="11"/>
  <c r="AE903" i="11"/>
  <c r="U72" i="11" l="1"/>
  <c r="U126" i="11" l="1"/>
  <c r="M1505" i="11" l="1"/>
  <c r="P1505" i="11"/>
  <c r="Q1505" i="11"/>
  <c r="R1505" i="11"/>
  <c r="S1505" i="11"/>
  <c r="V1505" i="11"/>
  <c r="W1505" i="11"/>
  <c r="L1505" i="11"/>
  <c r="F1505" i="11"/>
  <c r="AI1503" i="11"/>
  <c r="AH1503" i="11"/>
  <c r="X1503" i="11"/>
  <c r="U1503" i="11"/>
  <c r="T1503" i="11"/>
  <c r="N1503" i="11"/>
  <c r="AG1503" i="11" s="1"/>
  <c r="AI1502" i="11"/>
  <c r="AH1502" i="11"/>
  <c r="X1502" i="11"/>
  <c r="T1502" i="11"/>
  <c r="N1502" i="11"/>
  <c r="AG1502" i="11" s="1"/>
  <c r="U1505" i="11" l="1"/>
  <c r="AE1503" i="11"/>
  <c r="AE1502" i="11"/>
  <c r="U86" i="11" l="1"/>
  <c r="T1628" i="11" l="1"/>
  <c r="T1636" i="11"/>
  <c r="W1546" i="11"/>
  <c r="V1546" i="11"/>
  <c r="S1546" i="11"/>
  <c r="R1546" i="11"/>
  <c r="Q1546" i="11"/>
  <c r="P1546" i="11"/>
  <c r="L1546" i="11"/>
  <c r="F1546" i="11"/>
  <c r="AI1545" i="11"/>
  <c r="AH1545" i="11"/>
  <c r="U1545" i="11"/>
  <c r="T1545" i="11"/>
  <c r="N1545" i="11"/>
  <c r="AE1545" i="11" s="1"/>
  <c r="X1545" i="11"/>
  <c r="AI1544" i="11"/>
  <c r="AH1544" i="11"/>
  <c r="X1544" i="11"/>
  <c r="U1544" i="11"/>
  <c r="T1544" i="11"/>
  <c r="N1544" i="11"/>
  <c r="M1647" i="11"/>
  <c r="P1647" i="11"/>
  <c r="Q1647" i="11"/>
  <c r="R1647" i="11"/>
  <c r="S1647" i="11"/>
  <c r="V1647" i="11"/>
  <c r="W1647" i="11"/>
  <c r="L1647" i="11"/>
  <c r="F1647" i="11"/>
  <c r="AI1645" i="11"/>
  <c r="AH1645" i="11"/>
  <c r="X1645" i="11"/>
  <c r="U1645" i="11"/>
  <c r="T1645" i="11"/>
  <c r="N1645" i="11"/>
  <c r="AG1645" i="11" s="1"/>
  <c r="AI1640" i="11"/>
  <c r="AH1640" i="11"/>
  <c r="X1640" i="11"/>
  <c r="U1640" i="11"/>
  <c r="T1640" i="11"/>
  <c r="N1640" i="11"/>
  <c r="AG1640" i="11" s="1"/>
  <c r="AI1641" i="11"/>
  <c r="AH1641" i="11"/>
  <c r="X1641" i="11"/>
  <c r="U1641" i="11"/>
  <c r="T1641" i="11"/>
  <c r="N1641" i="11"/>
  <c r="AG1641" i="11" s="1"/>
  <c r="AI1639" i="11"/>
  <c r="AH1639" i="11"/>
  <c r="X1639" i="11"/>
  <c r="U1639" i="11"/>
  <c r="T1639" i="11"/>
  <c r="N1639" i="11"/>
  <c r="AG1639" i="11" s="1"/>
  <c r="AI1642" i="11"/>
  <c r="AH1642" i="11"/>
  <c r="X1642" i="11"/>
  <c r="U1642" i="11"/>
  <c r="T1642" i="11"/>
  <c r="N1642" i="11"/>
  <c r="AG1642" i="11" s="1"/>
  <c r="AI898" i="11"/>
  <c r="AH898" i="11"/>
  <c r="X898" i="11"/>
  <c r="U898" i="11"/>
  <c r="T898" i="11"/>
  <c r="N898" i="11"/>
  <c r="AG898" i="11" s="1"/>
  <c r="W899" i="11"/>
  <c r="V899" i="11"/>
  <c r="S899" i="11"/>
  <c r="R899" i="11"/>
  <c r="Q899" i="11"/>
  <c r="P899" i="11"/>
  <c r="M899" i="11"/>
  <c r="L899" i="11"/>
  <c r="F899" i="11"/>
  <c r="AI897" i="11"/>
  <c r="AH897" i="11"/>
  <c r="X897" i="11"/>
  <c r="U897" i="11"/>
  <c r="U899" i="11" s="1"/>
  <c r="T897" i="11"/>
  <c r="N897" i="11"/>
  <c r="AG897" i="11" s="1"/>
  <c r="AI1152" i="11"/>
  <c r="AH1152" i="11"/>
  <c r="X1152" i="11"/>
  <c r="X1153" i="11" s="1"/>
  <c r="U1152" i="11"/>
  <c r="T1152" i="11"/>
  <c r="T1153" i="11" s="1"/>
  <c r="N1152" i="11"/>
  <c r="N1153" i="11" s="1"/>
  <c r="W1148" i="11"/>
  <c r="V1148" i="11"/>
  <c r="S1148" i="11"/>
  <c r="R1148" i="11"/>
  <c r="Q1148" i="11"/>
  <c r="P1148" i="11"/>
  <c r="M1148" i="11"/>
  <c r="L1148" i="11"/>
  <c r="F1148" i="11"/>
  <c r="AI1147" i="11"/>
  <c r="AH1147" i="11"/>
  <c r="X1147" i="11"/>
  <c r="X1148" i="11" s="1"/>
  <c r="U1147" i="11"/>
  <c r="T1147" i="11"/>
  <c r="T1148" i="11" s="1"/>
  <c r="N1147" i="11"/>
  <c r="AG1147" i="11" s="1"/>
  <c r="AI1155" i="11"/>
  <c r="AH1155" i="11"/>
  <c r="X1155" i="11"/>
  <c r="X1156" i="11" s="1"/>
  <c r="U1155" i="11"/>
  <c r="T1155" i="11"/>
  <c r="T1156" i="11" s="1"/>
  <c r="N1155" i="11"/>
  <c r="AG1155" i="11" l="1"/>
  <c r="N1156" i="11"/>
  <c r="AG1156" i="11" s="1"/>
  <c r="AH1153" i="11"/>
  <c r="AH1148" i="11"/>
  <c r="AH1156" i="11"/>
  <c r="U1647" i="11"/>
  <c r="T899" i="11"/>
  <c r="AI1148" i="11"/>
  <c r="AG1545" i="11"/>
  <c r="N1148" i="11"/>
  <c r="AG1148" i="11" s="1"/>
  <c r="T1546" i="11"/>
  <c r="U1148" i="11"/>
  <c r="AI1153" i="11"/>
  <c r="AH1546" i="11"/>
  <c r="AI1546" i="11"/>
  <c r="AG1544" i="11"/>
  <c r="AE1544" i="11"/>
  <c r="M1546" i="11"/>
  <c r="U1546" i="11" s="1"/>
  <c r="X1546" i="11"/>
  <c r="AE1645" i="11"/>
  <c r="AE1640" i="11"/>
  <c r="AE1639" i="11"/>
  <c r="AE1641" i="11"/>
  <c r="AE1642" i="11"/>
  <c r="AI899" i="11"/>
  <c r="AH899" i="11"/>
  <c r="AE898" i="11"/>
  <c r="X899" i="11"/>
  <c r="N899" i="11"/>
  <c r="AG899" i="11" s="1"/>
  <c r="AE897" i="11"/>
  <c r="AI1156" i="11"/>
  <c r="AG1153" i="11"/>
  <c r="AE1153" i="11"/>
  <c r="AE1152" i="11"/>
  <c r="AG1152" i="11"/>
  <c r="AE1147" i="11"/>
  <c r="AE1155" i="11"/>
  <c r="W1146" i="11"/>
  <c r="V1146" i="11"/>
  <c r="S1146" i="11"/>
  <c r="R1146" i="11"/>
  <c r="Q1146" i="11"/>
  <c r="P1146" i="11"/>
  <c r="M1146" i="11"/>
  <c r="L1146" i="11"/>
  <c r="F1146" i="11"/>
  <c r="AI1145" i="11"/>
  <c r="AH1145" i="11"/>
  <c r="X1145" i="11"/>
  <c r="X1146" i="11" s="1"/>
  <c r="U1145" i="11"/>
  <c r="T1145" i="11"/>
  <c r="T1146" i="11" s="1"/>
  <c r="N1145" i="11"/>
  <c r="AG1145" i="11" s="1"/>
  <c r="AE1148" i="11" l="1"/>
  <c r="U1146" i="11"/>
  <c r="AI1146" i="11"/>
  <c r="AH1146" i="11"/>
  <c r="N1546" i="11"/>
  <c r="AE899" i="11"/>
  <c r="AE1156" i="11"/>
  <c r="N1146" i="11"/>
  <c r="AG1146" i="11" s="1"/>
  <c r="AE1145" i="11"/>
  <c r="AE1146" i="11" l="1"/>
  <c r="AG1546" i="11"/>
  <c r="AE1546" i="11"/>
  <c r="M377" i="11" l="1"/>
  <c r="P377" i="11"/>
  <c r="Q377" i="11"/>
  <c r="R377" i="11"/>
  <c r="S377" i="11"/>
  <c r="V377" i="11"/>
  <c r="W377" i="11"/>
  <c r="L377" i="11"/>
  <c r="AI376" i="11"/>
  <c r="AH376" i="11"/>
  <c r="X376" i="11"/>
  <c r="T376" i="11"/>
  <c r="N376" i="11"/>
  <c r="AG376" i="11" s="1"/>
  <c r="AE376" i="11" l="1"/>
  <c r="W906" i="11" l="1"/>
  <c r="V906" i="11"/>
  <c r="S906" i="11"/>
  <c r="R906" i="11"/>
  <c r="Q906" i="11"/>
  <c r="P906" i="11"/>
  <c r="M906" i="11"/>
  <c r="L906" i="11"/>
  <c r="F906" i="11"/>
  <c r="AI905" i="11"/>
  <c r="AH905" i="11"/>
  <c r="X905" i="11"/>
  <c r="U905" i="11"/>
  <c r="T905" i="11"/>
  <c r="N905" i="11"/>
  <c r="AE905" i="11" s="1"/>
  <c r="AI904" i="11"/>
  <c r="AH904" i="11"/>
  <c r="X904" i="11"/>
  <c r="U904" i="11"/>
  <c r="T904" i="11"/>
  <c r="N904" i="11"/>
  <c r="AE904" i="11" s="1"/>
  <c r="Q735" i="11"/>
  <c r="Q738" i="11" l="1"/>
  <c r="Q732" i="11"/>
  <c r="U906" i="11"/>
  <c r="X906" i="11"/>
  <c r="AG904" i="11"/>
  <c r="AG905" i="11"/>
  <c r="AI906" i="11"/>
  <c r="T906" i="11"/>
  <c r="N906" i="11"/>
  <c r="AH906" i="11"/>
  <c r="AG906" i="11" l="1"/>
  <c r="AE906" i="11"/>
  <c r="W1793" i="11"/>
  <c r="V1793" i="11"/>
  <c r="S1793" i="11"/>
  <c r="R1793" i="11"/>
  <c r="Q1793" i="11"/>
  <c r="P1793" i="11"/>
  <c r="M1793" i="11"/>
  <c r="L1793" i="11"/>
  <c r="F1793" i="11"/>
  <c r="AI1792" i="11"/>
  <c r="AH1792" i="11"/>
  <c r="X1792" i="11"/>
  <c r="U1792" i="11"/>
  <c r="T1792" i="11"/>
  <c r="N1792" i="11"/>
  <c r="AE1792" i="11" s="1"/>
  <c r="AI1791" i="11"/>
  <c r="AH1791" i="11"/>
  <c r="X1791" i="11"/>
  <c r="U1791" i="11"/>
  <c r="T1791" i="11"/>
  <c r="N1791" i="11"/>
  <c r="AE1791" i="11" s="1"/>
  <c r="AI1787" i="11"/>
  <c r="AH1787" i="11"/>
  <c r="X1787" i="11"/>
  <c r="U1787" i="11"/>
  <c r="T1787" i="11"/>
  <c r="N1787" i="11"/>
  <c r="AE1787" i="11" s="1"/>
  <c r="W1786" i="11"/>
  <c r="V1786" i="11"/>
  <c r="S1786" i="11"/>
  <c r="R1786" i="11"/>
  <c r="Q1786" i="11"/>
  <c r="P1786" i="11"/>
  <c r="M1786" i="11"/>
  <c r="L1786" i="11"/>
  <c r="F1786" i="11"/>
  <c r="AI1785" i="11"/>
  <c r="AH1785" i="11"/>
  <c r="X1785" i="11"/>
  <c r="U1785" i="11"/>
  <c r="T1785" i="11"/>
  <c r="N1785" i="11"/>
  <c r="AE1785" i="11" s="1"/>
  <c r="AI1784" i="11"/>
  <c r="AH1784" i="11"/>
  <c r="X1784" i="11"/>
  <c r="U1784" i="11"/>
  <c r="T1784" i="11"/>
  <c r="N1784" i="11"/>
  <c r="AE1784" i="11" s="1"/>
  <c r="AI1783" i="11"/>
  <c r="AH1783" i="11"/>
  <c r="X1783" i="11"/>
  <c r="U1783" i="11"/>
  <c r="T1783" i="11"/>
  <c r="N1783" i="11"/>
  <c r="AE1783" i="11" s="1"/>
  <c r="W1782" i="11"/>
  <c r="V1782" i="11"/>
  <c r="S1782" i="11"/>
  <c r="R1782" i="11"/>
  <c r="Q1782" i="11"/>
  <c r="P1782" i="11"/>
  <c r="M1782" i="11"/>
  <c r="F1782" i="11"/>
  <c r="AI1781" i="11"/>
  <c r="AH1781" i="11"/>
  <c r="X1781" i="11"/>
  <c r="U1781" i="11"/>
  <c r="T1781" i="11"/>
  <c r="N1781" i="11"/>
  <c r="AE1781" i="11" s="1"/>
  <c r="AI1780" i="11"/>
  <c r="AH1780" i="11"/>
  <c r="X1780" i="11"/>
  <c r="U1780" i="11"/>
  <c r="T1780" i="11"/>
  <c r="N1780" i="11"/>
  <c r="AE1780" i="11" s="1"/>
  <c r="AI1777" i="11"/>
  <c r="AH1777" i="11"/>
  <c r="X1777" i="11"/>
  <c r="U1777" i="11"/>
  <c r="T1777" i="11"/>
  <c r="N1777" i="11"/>
  <c r="AE1777" i="11" s="1"/>
  <c r="W886" i="11"/>
  <c r="V886" i="11"/>
  <c r="S886" i="11"/>
  <c r="R886" i="11"/>
  <c r="Q886" i="11"/>
  <c r="P886" i="11"/>
  <c r="M886" i="11"/>
  <c r="L886" i="11"/>
  <c r="F886" i="11"/>
  <c r="AI885" i="11"/>
  <c r="AH885" i="11"/>
  <c r="X885" i="11"/>
  <c r="U885" i="11"/>
  <c r="T885" i="11"/>
  <c r="N885" i="11"/>
  <c r="AE885" i="11" s="1"/>
  <c r="AI884" i="11"/>
  <c r="AH884" i="11"/>
  <c r="X884" i="11"/>
  <c r="U884" i="11"/>
  <c r="T884" i="11"/>
  <c r="N884" i="11"/>
  <c r="AE884" i="11" s="1"/>
  <c r="W889" i="11"/>
  <c r="V889" i="11"/>
  <c r="S889" i="11"/>
  <c r="R889" i="11"/>
  <c r="Q889" i="11"/>
  <c r="P889" i="11"/>
  <c r="M889" i="11"/>
  <c r="L889" i="11"/>
  <c r="F889" i="11"/>
  <c r="AI888" i="11"/>
  <c r="AH888" i="11"/>
  <c r="X888" i="11"/>
  <c r="U888" i="11"/>
  <c r="T888" i="11"/>
  <c r="N888" i="11"/>
  <c r="AE888" i="11" s="1"/>
  <c r="AI887" i="11"/>
  <c r="AH887" i="11"/>
  <c r="X887" i="11"/>
  <c r="U887" i="11"/>
  <c r="T887" i="11"/>
  <c r="N887" i="11"/>
  <c r="AE887" i="11" s="1"/>
  <c r="W883" i="11"/>
  <c r="V883" i="11"/>
  <c r="S883" i="11"/>
  <c r="R883" i="11"/>
  <c r="Q883" i="11"/>
  <c r="P883" i="11"/>
  <c r="M883" i="11"/>
  <c r="L883" i="11"/>
  <c r="F883" i="11"/>
  <c r="AI882" i="11"/>
  <c r="AH882" i="11"/>
  <c r="X882" i="11"/>
  <c r="U882" i="11"/>
  <c r="T882" i="11"/>
  <c r="N882" i="11"/>
  <c r="AE882" i="11" s="1"/>
  <c r="AI881" i="11"/>
  <c r="AH881" i="11"/>
  <c r="U881" i="11"/>
  <c r="T881" i="11"/>
  <c r="N881" i="11"/>
  <c r="AE881" i="11" s="1"/>
  <c r="W1144" i="11"/>
  <c r="V1144" i="11"/>
  <c r="S1144" i="11"/>
  <c r="R1144" i="11"/>
  <c r="Q1144" i="11"/>
  <c r="P1144" i="11"/>
  <c r="M1144" i="11"/>
  <c r="L1144" i="11"/>
  <c r="F1144" i="11"/>
  <c r="AI1143" i="11"/>
  <c r="AH1143" i="11"/>
  <c r="X1143" i="11"/>
  <c r="X1144" i="11" s="1"/>
  <c r="U1143" i="11"/>
  <c r="T1143" i="11"/>
  <c r="T1144" i="11" s="1"/>
  <c r="N1143" i="11"/>
  <c r="AE1143" i="11" s="1"/>
  <c r="AI1774" i="11"/>
  <c r="W1773" i="11"/>
  <c r="V1773" i="11"/>
  <c r="S1773" i="11"/>
  <c r="R1773" i="11"/>
  <c r="Q1773" i="11"/>
  <c r="P1773" i="11"/>
  <c r="M1773" i="11"/>
  <c r="L1773" i="11"/>
  <c r="F1773" i="11"/>
  <c r="AI1772" i="11"/>
  <c r="AH1772" i="11"/>
  <c r="X1772" i="11"/>
  <c r="U1772" i="11"/>
  <c r="T1772" i="11"/>
  <c r="N1772" i="11"/>
  <c r="AE1772" i="11" s="1"/>
  <c r="AI1769" i="11"/>
  <c r="AH1769" i="11"/>
  <c r="X1769" i="11"/>
  <c r="U1769" i="11"/>
  <c r="T1769" i="11"/>
  <c r="N1769" i="11"/>
  <c r="AE1769" i="11" s="1"/>
  <c r="W2152" i="11"/>
  <c r="W1768" i="11"/>
  <c r="V1768" i="11"/>
  <c r="S1768" i="11"/>
  <c r="R1768" i="11"/>
  <c r="Q1768" i="11"/>
  <c r="P1768" i="11"/>
  <c r="M1768" i="11"/>
  <c r="L1768" i="11"/>
  <c r="F1768" i="11"/>
  <c r="AI1767" i="11"/>
  <c r="AH1767" i="11"/>
  <c r="X1767" i="11"/>
  <c r="U1767" i="11"/>
  <c r="T1767" i="11"/>
  <c r="N1767" i="11"/>
  <c r="AE1767" i="11" s="1"/>
  <c r="AI1761" i="11"/>
  <c r="AH1761" i="11"/>
  <c r="X1761" i="11"/>
  <c r="U1761" i="11"/>
  <c r="T1761" i="11"/>
  <c r="N1761" i="11"/>
  <c r="AE1761" i="11" s="1"/>
  <c r="W1776" i="11"/>
  <c r="V1776" i="11"/>
  <c r="S1776" i="11"/>
  <c r="R1776" i="11"/>
  <c r="Q1776" i="11"/>
  <c r="P1776" i="11"/>
  <c r="M1776" i="11"/>
  <c r="L1776" i="11"/>
  <c r="X1774" i="11"/>
  <c r="U1774" i="11"/>
  <c r="T1774" i="11"/>
  <c r="W1040" i="11"/>
  <c r="V1040" i="11"/>
  <c r="S1040" i="11"/>
  <c r="R1040" i="11"/>
  <c r="Q1040" i="11"/>
  <c r="P1040" i="11"/>
  <c r="M1040" i="11"/>
  <c r="L1040" i="11"/>
  <c r="F1040" i="11"/>
  <c r="AI1039" i="11"/>
  <c r="AH1039" i="11"/>
  <c r="U1039" i="11"/>
  <c r="T1039" i="11"/>
  <c r="T1040" i="11" s="1"/>
  <c r="N1039" i="11"/>
  <c r="W838" i="11"/>
  <c r="V838" i="11"/>
  <c r="S838" i="11"/>
  <c r="R838" i="11"/>
  <c r="Q838" i="11"/>
  <c r="P838" i="11"/>
  <c r="M838" i="11"/>
  <c r="L838" i="11"/>
  <c r="F838" i="11"/>
  <c r="AI837" i="11"/>
  <c r="AH837" i="11"/>
  <c r="U837" i="11"/>
  <c r="T837" i="11"/>
  <c r="N837" i="11"/>
  <c r="AE837" i="11" s="1"/>
  <c r="AI836" i="11"/>
  <c r="AH836" i="11"/>
  <c r="X836" i="11"/>
  <c r="U836" i="11"/>
  <c r="T836" i="11"/>
  <c r="N836" i="11"/>
  <c r="AE836" i="11" s="1"/>
  <c r="W832" i="11"/>
  <c r="V832" i="11"/>
  <c r="S832" i="11"/>
  <c r="R832" i="11"/>
  <c r="Q832" i="11"/>
  <c r="P832" i="11"/>
  <c r="M832" i="11"/>
  <c r="L832" i="11"/>
  <c r="F832" i="11"/>
  <c r="AI831" i="11"/>
  <c r="AH831" i="11"/>
  <c r="X831" i="11"/>
  <c r="U831" i="11"/>
  <c r="T831" i="11"/>
  <c r="N831" i="11"/>
  <c r="AG831" i="11" s="1"/>
  <c r="AI830" i="11"/>
  <c r="AH830" i="11"/>
  <c r="X830" i="11"/>
  <c r="U830" i="11"/>
  <c r="T830" i="11"/>
  <c r="N830" i="11"/>
  <c r="AG830" i="11" s="1"/>
  <c r="W835" i="11"/>
  <c r="V835" i="11"/>
  <c r="S835" i="11"/>
  <c r="Q835" i="11"/>
  <c r="P835" i="11"/>
  <c r="M835" i="11"/>
  <c r="L835" i="11"/>
  <c r="F835" i="11"/>
  <c r="AI834" i="11"/>
  <c r="AH834" i="11"/>
  <c r="X834" i="11"/>
  <c r="U834" i="11"/>
  <c r="T834" i="11"/>
  <c r="N834" i="11"/>
  <c r="AE834" i="11" s="1"/>
  <c r="AI833" i="11"/>
  <c r="AH833" i="11"/>
  <c r="X833" i="11"/>
  <c r="U833" i="11"/>
  <c r="T833" i="11"/>
  <c r="N833" i="11"/>
  <c r="AE833" i="11" s="1"/>
  <c r="W880" i="11"/>
  <c r="V880" i="11"/>
  <c r="S880" i="11"/>
  <c r="R880" i="11"/>
  <c r="Q880" i="11"/>
  <c r="P880" i="11"/>
  <c r="M880" i="11"/>
  <c r="L880" i="11"/>
  <c r="F880" i="11"/>
  <c r="AI879" i="11"/>
  <c r="AH879" i="11"/>
  <c r="X879" i="11"/>
  <c r="U879" i="11"/>
  <c r="T879" i="11"/>
  <c r="N879" i="11"/>
  <c r="AG879" i="11" s="1"/>
  <c r="AI878" i="11"/>
  <c r="AH878" i="11"/>
  <c r="X878" i="11"/>
  <c r="U878" i="11"/>
  <c r="T878" i="11"/>
  <c r="N878" i="11"/>
  <c r="AG878" i="11" s="1"/>
  <c r="W1136" i="11"/>
  <c r="V1136" i="11"/>
  <c r="S1136" i="11"/>
  <c r="R1136" i="11"/>
  <c r="Q1136" i="11"/>
  <c r="P1136" i="11"/>
  <c r="M1136" i="11"/>
  <c r="L1136" i="11"/>
  <c r="F1136" i="11"/>
  <c r="AI1135" i="11"/>
  <c r="AH1135" i="11"/>
  <c r="X1135" i="11"/>
  <c r="X1136" i="11" s="1"/>
  <c r="U1135" i="11"/>
  <c r="T1135" i="11"/>
  <c r="T1136" i="11" s="1"/>
  <c r="N1135" i="11"/>
  <c r="AG1135" i="11" s="1"/>
  <c r="W1132" i="11"/>
  <c r="V1132" i="11"/>
  <c r="S1132" i="11"/>
  <c r="R1132" i="11"/>
  <c r="Q1132" i="11"/>
  <c r="P1132" i="11"/>
  <c r="M1132" i="11"/>
  <c r="L1132" i="11"/>
  <c r="F1132" i="11"/>
  <c r="AI1131" i="11"/>
  <c r="AH1131" i="11"/>
  <c r="X1131" i="11"/>
  <c r="X1132" i="11" s="1"/>
  <c r="U1131" i="11"/>
  <c r="T1131" i="11"/>
  <c r="T1132" i="11" s="1"/>
  <c r="N1131" i="11"/>
  <c r="AG1131" i="11" s="1"/>
  <c r="W1140" i="11"/>
  <c r="V1140" i="11"/>
  <c r="S1140" i="11"/>
  <c r="Q1140" i="11"/>
  <c r="P1140" i="11"/>
  <c r="M1140" i="11"/>
  <c r="L1140" i="11"/>
  <c r="F1140" i="11"/>
  <c r="AI1139" i="11"/>
  <c r="AH1139" i="11"/>
  <c r="X1139" i="11"/>
  <c r="X1140" i="11" s="1"/>
  <c r="U1139" i="11"/>
  <c r="T1139" i="11"/>
  <c r="T1140" i="11" s="1"/>
  <c r="N1139" i="11"/>
  <c r="AG1139" i="11" s="1"/>
  <c r="W1138" i="11"/>
  <c r="V1138" i="11"/>
  <c r="S1138" i="11"/>
  <c r="R1138" i="11"/>
  <c r="Q1138" i="11"/>
  <c r="P1138" i="11"/>
  <c r="M1138" i="11"/>
  <c r="L1138" i="11"/>
  <c r="F1138" i="11"/>
  <c r="AI1137" i="11"/>
  <c r="AH1137" i="11"/>
  <c r="X1137" i="11"/>
  <c r="X1138" i="11" s="1"/>
  <c r="U1137" i="11"/>
  <c r="T1137" i="11"/>
  <c r="T1138" i="11" s="1"/>
  <c r="N1137" i="11"/>
  <c r="AE1137" i="11" s="1"/>
  <c r="W1134" i="11"/>
  <c r="V1134" i="11"/>
  <c r="S1134" i="11"/>
  <c r="R1134" i="11"/>
  <c r="Q1134" i="11"/>
  <c r="P1134" i="11"/>
  <c r="M1134" i="11"/>
  <c r="L1134" i="11"/>
  <c r="F1134" i="11"/>
  <c r="AI1133" i="11"/>
  <c r="AH1133" i="11"/>
  <c r="X1133" i="11"/>
  <c r="X1134" i="11" s="1"/>
  <c r="U1133" i="11"/>
  <c r="T1133" i="11"/>
  <c r="T1134" i="11" s="1"/>
  <c r="N1133" i="11"/>
  <c r="AE1133" i="11" s="1"/>
  <c r="W1511" i="11"/>
  <c r="V1511" i="11"/>
  <c r="S1511" i="11"/>
  <c r="R1511" i="11"/>
  <c r="P1511" i="11"/>
  <c r="M1511" i="11"/>
  <c r="L1511" i="11"/>
  <c r="F1511" i="11"/>
  <c r="AI1510" i="11"/>
  <c r="AH1510" i="11"/>
  <c r="X1510" i="11"/>
  <c r="X1511" i="11" s="1"/>
  <c r="U1510" i="11"/>
  <c r="T1510" i="11"/>
  <c r="T1511" i="11" s="1"/>
  <c r="Q1511" i="11"/>
  <c r="N1510" i="11"/>
  <c r="AG1510" i="11" s="1"/>
  <c r="S2136" i="11"/>
  <c r="R2136" i="11"/>
  <c r="Q2136" i="11"/>
  <c r="P2136" i="11"/>
  <c r="M2136" i="11"/>
  <c r="L2136" i="11"/>
  <c r="F2136" i="11"/>
  <c r="AI2135" i="11"/>
  <c r="AH2135" i="11"/>
  <c r="X2135" i="11"/>
  <c r="X2136" i="11" s="1"/>
  <c r="U2135" i="11"/>
  <c r="T2135" i="11"/>
  <c r="T2136" i="11" s="1"/>
  <c r="N2135" i="11"/>
  <c r="AG2135" i="11" s="1"/>
  <c r="W2126" i="11"/>
  <c r="V2126" i="11"/>
  <c r="S2126" i="11"/>
  <c r="R2126" i="11"/>
  <c r="Q2126" i="11"/>
  <c r="P2126" i="11"/>
  <c r="M2126" i="11"/>
  <c r="L2126" i="11"/>
  <c r="F2126" i="11"/>
  <c r="AI2125" i="11"/>
  <c r="AH2125" i="11"/>
  <c r="X2125" i="11"/>
  <c r="U2125" i="11"/>
  <c r="T2125" i="11"/>
  <c r="N2125" i="11"/>
  <c r="AG2125" i="11" s="1"/>
  <c r="AI2123" i="11"/>
  <c r="AH2123" i="11"/>
  <c r="X2123" i="11"/>
  <c r="U2123" i="11"/>
  <c r="T2123" i="11"/>
  <c r="N2123" i="11"/>
  <c r="AG2123" i="11" s="1"/>
  <c r="W1840" i="11"/>
  <c r="V1840" i="11"/>
  <c r="S1840" i="11"/>
  <c r="R1840" i="11"/>
  <c r="Q1840" i="11"/>
  <c r="P1840" i="11"/>
  <c r="M1840" i="11"/>
  <c r="L1840" i="11"/>
  <c r="F1840" i="11"/>
  <c r="AI1828" i="11"/>
  <c r="AH1828" i="11"/>
  <c r="X1828" i="11"/>
  <c r="U1828" i="11"/>
  <c r="T1828" i="11"/>
  <c r="N1828" i="11"/>
  <c r="AG1828" i="11" s="1"/>
  <c r="AI1468" i="11"/>
  <c r="AH1468" i="11"/>
  <c r="X1468" i="11"/>
  <c r="U1468" i="11"/>
  <c r="T1468" i="11"/>
  <c r="N1468" i="11"/>
  <c r="AE1468" i="11" s="1"/>
  <c r="V1470" i="11"/>
  <c r="S1470" i="11"/>
  <c r="R1470" i="11"/>
  <c r="Q1470" i="11"/>
  <c r="P1470" i="11"/>
  <c r="L1470" i="11"/>
  <c r="F1470" i="11"/>
  <c r="AH1469" i="11"/>
  <c r="AI1469" i="11"/>
  <c r="U1469" i="11"/>
  <c r="T1469" i="11"/>
  <c r="N1469" i="11"/>
  <c r="AI1467" i="11"/>
  <c r="AH1467" i="11"/>
  <c r="X1467" i="11"/>
  <c r="W1470" i="11"/>
  <c r="T1467" i="11"/>
  <c r="N1467" i="11"/>
  <c r="AE1467" i="11" s="1"/>
  <c r="U1467" i="11"/>
  <c r="W1751" i="11"/>
  <c r="V1751" i="11"/>
  <c r="S1751" i="11"/>
  <c r="R1751" i="11"/>
  <c r="Q1751" i="11"/>
  <c r="P1751" i="11"/>
  <c r="M1751" i="11"/>
  <c r="L1751" i="11"/>
  <c r="F1751" i="11"/>
  <c r="AI1750" i="11"/>
  <c r="AH1750" i="11"/>
  <c r="X1750" i="11"/>
  <c r="U1750" i="11"/>
  <c r="T1750" i="11"/>
  <c r="N1750" i="11"/>
  <c r="AE1750" i="11" s="1"/>
  <c r="AI1744" i="11"/>
  <c r="AH1744" i="11"/>
  <c r="X1744" i="11"/>
  <c r="U1744" i="11"/>
  <c r="T1744" i="11"/>
  <c r="N1744" i="11"/>
  <c r="AE1744" i="11" s="1"/>
  <c r="W1760" i="11"/>
  <c r="V1760" i="11"/>
  <c r="S1760" i="11"/>
  <c r="R1760" i="11"/>
  <c r="Q1760" i="11"/>
  <c r="P1760" i="11"/>
  <c r="M1760" i="11"/>
  <c r="L1760" i="11"/>
  <c r="F1760" i="11"/>
  <c r="AI1759" i="11"/>
  <c r="AH1759" i="11"/>
  <c r="X1759" i="11"/>
  <c r="U1759" i="11"/>
  <c r="T1759" i="11"/>
  <c r="N1759" i="11"/>
  <c r="AG1759" i="11" s="1"/>
  <c r="AI1752" i="11"/>
  <c r="AH1752" i="11"/>
  <c r="X1752" i="11"/>
  <c r="U1752" i="11"/>
  <c r="T1752" i="11"/>
  <c r="N1752" i="11"/>
  <c r="AG1752" i="11" s="1"/>
  <c r="W131" i="11"/>
  <c r="V131" i="11"/>
  <c r="S131" i="11"/>
  <c r="R131" i="11"/>
  <c r="Q131" i="11"/>
  <c r="P131" i="11"/>
  <c r="M131" i="11"/>
  <c r="L131" i="11"/>
  <c r="AI130" i="11"/>
  <c r="AH130" i="11"/>
  <c r="X130" i="11"/>
  <c r="T130" i="11"/>
  <c r="N130" i="11"/>
  <c r="AG130" i="11" s="1"/>
  <c r="X129" i="11"/>
  <c r="T129" i="11"/>
  <c r="F131" i="11"/>
  <c r="AI126" i="11"/>
  <c r="AH126" i="11"/>
  <c r="X126" i="11"/>
  <c r="T126" i="11"/>
  <c r="N126" i="11"/>
  <c r="AG126" i="11" s="1"/>
  <c r="U838" i="11" l="1"/>
  <c r="U835" i="11"/>
  <c r="U131" i="11"/>
  <c r="N1774" i="11"/>
  <c r="AE1774" i="11" s="1"/>
  <c r="AH1774" i="11"/>
  <c r="F1776" i="11"/>
  <c r="AI1776" i="11" s="1"/>
  <c r="T1776" i="11"/>
  <c r="T1773" i="11"/>
  <c r="U883" i="11"/>
  <c r="X889" i="11"/>
  <c r="AH1786" i="11"/>
  <c r="X835" i="11"/>
  <c r="AH1773" i="11"/>
  <c r="U1140" i="11"/>
  <c r="T880" i="11"/>
  <c r="X1776" i="11"/>
  <c r="X2126" i="11"/>
  <c r="T889" i="11"/>
  <c r="U1786" i="11"/>
  <c r="X1793" i="11"/>
  <c r="AI1132" i="11"/>
  <c r="AI1138" i="11"/>
  <c r="AI1768" i="11"/>
  <c r="T1751" i="11"/>
  <c r="T2126" i="11"/>
  <c r="AH1132" i="11"/>
  <c r="X838" i="11"/>
  <c r="T838" i="11"/>
  <c r="T1768" i="11"/>
  <c r="T883" i="11"/>
  <c r="U889" i="11"/>
  <c r="U1782" i="11"/>
  <c r="X1760" i="11"/>
  <c r="X1840" i="11"/>
  <c r="AH2126" i="11"/>
  <c r="U1511" i="11"/>
  <c r="AH1138" i="11"/>
  <c r="N1140" i="11"/>
  <c r="AE1140" i="11" s="1"/>
  <c r="AH1140" i="11"/>
  <c r="AI1136" i="11"/>
  <c r="T832" i="11"/>
  <c r="AH838" i="11"/>
  <c r="U886" i="11"/>
  <c r="T1793" i="11"/>
  <c r="U1760" i="11"/>
  <c r="N2136" i="11"/>
  <c r="AE2136" i="11" s="1"/>
  <c r="AH1511" i="11"/>
  <c r="U1138" i="11"/>
  <c r="U1132" i="11"/>
  <c r="U1136" i="11"/>
  <c r="X832" i="11"/>
  <c r="AH1040" i="11"/>
  <c r="AH1768" i="11"/>
  <c r="X1773" i="11"/>
  <c r="AH883" i="11"/>
  <c r="X886" i="11"/>
  <c r="AG885" i="11"/>
  <c r="AI886" i="11"/>
  <c r="AI1782" i="11"/>
  <c r="X1786" i="11"/>
  <c r="T1786" i="11"/>
  <c r="T1760" i="11"/>
  <c r="U2126" i="11"/>
  <c r="U1134" i="11"/>
  <c r="X880" i="11"/>
  <c r="T835" i="11"/>
  <c r="U832" i="11"/>
  <c r="T1840" i="11"/>
  <c r="X1768" i="11"/>
  <c r="U1773" i="11"/>
  <c r="AI1773" i="11"/>
  <c r="U1144" i="11"/>
  <c r="X883" i="11"/>
  <c r="AG884" i="11"/>
  <c r="AH886" i="11"/>
  <c r="AH1782" i="11"/>
  <c r="AI2126" i="11"/>
  <c r="U2136" i="11"/>
  <c r="AI1511" i="11"/>
  <c r="AI1140" i="11"/>
  <c r="AH1136" i="11"/>
  <c r="U880" i="11"/>
  <c r="U1776" i="11"/>
  <c r="U1768" i="11"/>
  <c r="T886" i="11"/>
  <c r="U1793" i="11"/>
  <c r="AH1793" i="11"/>
  <c r="AI1793" i="11"/>
  <c r="N1793" i="11"/>
  <c r="T1782" i="11"/>
  <c r="AG1787" i="11"/>
  <c r="AG1791" i="11"/>
  <c r="AG1792" i="11"/>
  <c r="AI1786" i="11"/>
  <c r="N1786" i="11"/>
  <c r="AG1781" i="11"/>
  <c r="AG1777" i="11"/>
  <c r="AG1783" i="11"/>
  <c r="AG1784" i="11"/>
  <c r="AG1785" i="11"/>
  <c r="X1782" i="11"/>
  <c r="AG1780" i="11"/>
  <c r="N1768" i="11"/>
  <c r="AE1768" i="11" s="1"/>
  <c r="AG1772" i="11"/>
  <c r="AG1769" i="11"/>
  <c r="N1782" i="11"/>
  <c r="N1773" i="11"/>
  <c r="N886" i="11"/>
  <c r="AH889" i="11"/>
  <c r="AI889" i="11"/>
  <c r="N889" i="11"/>
  <c r="AG887" i="11"/>
  <c r="AG888" i="11"/>
  <c r="AI883" i="11"/>
  <c r="AG881" i="11"/>
  <c r="AG882" i="11"/>
  <c r="N883" i="11"/>
  <c r="AG1143" i="11"/>
  <c r="AI1144" i="11"/>
  <c r="N1144" i="11"/>
  <c r="AH1144" i="11"/>
  <c r="AG1761" i="11"/>
  <c r="AG1767" i="11"/>
  <c r="AH1840" i="11"/>
  <c r="AI1840" i="11"/>
  <c r="U1840" i="11"/>
  <c r="U1040" i="11"/>
  <c r="AI1040" i="11"/>
  <c r="AE1039" i="11"/>
  <c r="N1040" i="11"/>
  <c r="AG1039" i="11"/>
  <c r="X1039" i="11"/>
  <c r="X1040" i="11" s="1"/>
  <c r="AI838" i="11"/>
  <c r="N838" i="11"/>
  <c r="AG836" i="11"/>
  <c r="AG837" i="11"/>
  <c r="AH832" i="11"/>
  <c r="AI832" i="11"/>
  <c r="N832" i="11"/>
  <c r="AE830" i="11"/>
  <c r="AE831" i="11"/>
  <c r="AI835" i="11"/>
  <c r="N835" i="11"/>
  <c r="AH835" i="11"/>
  <c r="AG833" i="11"/>
  <c r="AG834" i="11"/>
  <c r="AH880" i="11"/>
  <c r="AI880" i="11"/>
  <c r="N880" i="11"/>
  <c r="AE878" i="11"/>
  <c r="AE879" i="11"/>
  <c r="N1136" i="11"/>
  <c r="AE1135" i="11"/>
  <c r="N1132" i="11"/>
  <c r="AE1131" i="11"/>
  <c r="AE1139" i="11"/>
  <c r="N1138" i="11"/>
  <c r="AG1137" i="11"/>
  <c r="AI1134" i="11"/>
  <c r="N1134" i="11"/>
  <c r="AH1134" i="11"/>
  <c r="AG1133" i="11"/>
  <c r="N1511" i="11"/>
  <c r="AE1510" i="11"/>
  <c r="AI2136" i="11"/>
  <c r="AH2136" i="11"/>
  <c r="N2126" i="11"/>
  <c r="AE2135" i="11"/>
  <c r="N1840" i="11"/>
  <c r="AE2123" i="11"/>
  <c r="AE2125" i="11"/>
  <c r="AE1828" i="11"/>
  <c r="X1751" i="11"/>
  <c r="AI1760" i="11"/>
  <c r="U1751" i="11"/>
  <c r="AG1468" i="11"/>
  <c r="T1470" i="11"/>
  <c r="AH1470" i="11"/>
  <c r="AI1470" i="11"/>
  <c r="AE1469" i="11"/>
  <c r="AG1469" i="11"/>
  <c r="M1470" i="11"/>
  <c r="AG1467" i="11"/>
  <c r="X1469" i="11"/>
  <c r="X1470" i="11" s="1"/>
  <c r="N1470" i="11"/>
  <c r="AI1751" i="11"/>
  <c r="AH1751" i="11"/>
  <c r="N1751" i="11"/>
  <c r="AG1744" i="11"/>
  <c r="AG1750" i="11"/>
  <c r="AE1759" i="11"/>
  <c r="N1760" i="11"/>
  <c r="AH1760" i="11"/>
  <c r="AE1752" i="11"/>
  <c r="X131" i="11"/>
  <c r="T131" i="11"/>
  <c r="AH129" i="11"/>
  <c r="AH131" i="11"/>
  <c r="AI131" i="11"/>
  <c r="AE126" i="11"/>
  <c r="AI129" i="11"/>
  <c r="N129" i="11"/>
  <c r="N131" i="11" s="1"/>
  <c r="AE130" i="11"/>
  <c r="L721" i="11"/>
  <c r="AH1776" i="11" l="1"/>
  <c r="U1470" i="11"/>
  <c r="AG1774" i="11"/>
  <c r="N1776" i="11"/>
  <c r="AG2136" i="11"/>
  <c r="AG1140" i="11"/>
  <c r="AE1793" i="11"/>
  <c r="AG1793" i="11"/>
  <c r="AG1768" i="11"/>
  <c r="AE1786" i="11"/>
  <c r="AG1786" i="11"/>
  <c r="AE1782" i="11"/>
  <c r="AG1782" i="11"/>
  <c r="AE1773" i="11"/>
  <c r="AG1773" i="11"/>
  <c r="AE886" i="11"/>
  <c r="AG886" i="11"/>
  <c r="AE889" i="11"/>
  <c r="AG889" i="11"/>
  <c r="AG883" i="11"/>
  <c r="AE883" i="11"/>
  <c r="AG1144" i="11"/>
  <c r="AE1144" i="11"/>
  <c r="AG1040" i="11"/>
  <c r="AE1040" i="11"/>
  <c r="AE838" i="11"/>
  <c r="AG838" i="11"/>
  <c r="AE832" i="11"/>
  <c r="AG832" i="11"/>
  <c r="AE835" i="11"/>
  <c r="AG835" i="11"/>
  <c r="AE880" i="11"/>
  <c r="AG880" i="11"/>
  <c r="AE1136" i="11"/>
  <c r="AG1136" i="11"/>
  <c r="AE1132" i="11"/>
  <c r="AG1132" i="11"/>
  <c r="AE1138" i="11"/>
  <c r="AG1138" i="11"/>
  <c r="AE1134" i="11"/>
  <c r="AG1134" i="11"/>
  <c r="AE1511" i="11"/>
  <c r="AG1511" i="11"/>
  <c r="AE2126" i="11"/>
  <c r="AG2126" i="11"/>
  <c r="AE1840" i="11"/>
  <c r="AG1840" i="11"/>
  <c r="AE1470" i="11"/>
  <c r="AG1470" i="11"/>
  <c r="AE1751" i="11"/>
  <c r="AG1751" i="11"/>
  <c r="AE1760" i="11"/>
  <c r="AG1760" i="11"/>
  <c r="AG129" i="11"/>
  <c r="AE129" i="11"/>
  <c r="AE131" i="11"/>
  <c r="AG131" i="11"/>
  <c r="AE1776" i="11" l="1"/>
  <c r="AG1776" i="11"/>
  <c r="P540" i="11"/>
  <c r="U475" i="11"/>
  <c r="W122" i="11" l="1"/>
  <c r="V122" i="11"/>
  <c r="S122" i="11"/>
  <c r="R122" i="11"/>
  <c r="Q122" i="11"/>
  <c r="P122" i="11"/>
  <c r="M122" i="11"/>
  <c r="L122" i="11"/>
  <c r="F122" i="11"/>
  <c r="AI121" i="11"/>
  <c r="AH121" i="11"/>
  <c r="X121" i="11"/>
  <c r="T121" i="11"/>
  <c r="N121" i="11"/>
  <c r="AG121" i="11" s="1"/>
  <c r="AI120" i="11"/>
  <c r="AH120" i="11"/>
  <c r="X120" i="11"/>
  <c r="T120" i="11"/>
  <c r="N120" i="11"/>
  <c r="AG120" i="11" s="1"/>
  <c r="W103" i="11"/>
  <c r="V103" i="11"/>
  <c r="S103" i="11"/>
  <c r="R103" i="11"/>
  <c r="Q103" i="11"/>
  <c r="P103" i="11"/>
  <c r="M103" i="11"/>
  <c r="L103" i="11"/>
  <c r="F103" i="11"/>
  <c r="AI102" i="11"/>
  <c r="AH102" i="11"/>
  <c r="X102" i="11"/>
  <c r="T102" i="11"/>
  <c r="N102" i="11"/>
  <c r="AG102" i="11" s="1"/>
  <c r="AI101" i="11"/>
  <c r="AH101" i="11"/>
  <c r="X101" i="11"/>
  <c r="T101" i="11"/>
  <c r="N101" i="11"/>
  <c r="AG101" i="11" s="1"/>
  <c r="W119" i="11"/>
  <c r="V119" i="11"/>
  <c r="S119" i="11"/>
  <c r="R119" i="11"/>
  <c r="Q119" i="11"/>
  <c r="P119" i="11"/>
  <c r="M119" i="11"/>
  <c r="L119" i="11"/>
  <c r="F119" i="11"/>
  <c r="AI118" i="11"/>
  <c r="AH118" i="11"/>
  <c r="X118" i="11"/>
  <c r="T118" i="11"/>
  <c r="N118" i="11"/>
  <c r="AG118" i="11" s="1"/>
  <c r="AI117" i="11"/>
  <c r="AH117" i="11"/>
  <c r="X117" i="11"/>
  <c r="T117" i="11"/>
  <c r="N117" i="11"/>
  <c r="AG117" i="11" s="1"/>
  <c r="U119" i="11" l="1"/>
  <c r="U103" i="11"/>
  <c r="U122" i="11"/>
  <c r="T119" i="11"/>
  <c r="X103" i="11"/>
  <c r="N103" i="11"/>
  <c r="AG103" i="11" s="1"/>
  <c r="AH103" i="11"/>
  <c r="T103" i="11"/>
  <c r="AI103" i="11"/>
  <c r="X122" i="11"/>
  <c r="T122" i="11"/>
  <c r="X119" i="11"/>
  <c r="AH122" i="11"/>
  <c r="AI122" i="11"/>
  <c r="N122" i="11"/>
  <c r="AG122" i="11" s="1"/>
  <c r="AE120" i="11"/>
  <c r="AE121" i="11"/>
  <c r="AI119" i="11"/>
  <c r="AH119" i="11"/>
  <c r="AE101" i="11"/>
  <c r="AE102" i="11"/>
  <c r="N119" i="11"/>
  <c r="AG119" i="11" s="1"/>
  <c r="AE117" i="11"/>
  <c r="AE118" i="11"/>
  <c r="AI96" i="11"/>
  <c r="AH96" i="11"/>
  <c r="X96" i="11"/>
  <c r="T96" i="11"/>
  <c r="N96" i="11"/>
  <c r="AG96" i="11" s="1"/>
  <c r="W97" i="11"/>
  <c r="V97" i="11"/>
  <c r="S97" i="11"/>
  <c r="R97" i="11"/>
  <c r="Q97" i="11"/>
  <c r="P97" i="11"/>
  <c r="M97" i="11"/>
  <c r="L97" i="11"/>
  <c r="AH95" i="11"/>
  <c r="X95" i="11"/>
  <c r="T95" i="11"/>
  <c r="F97" i="11"/>
  <c r="W125" i="11"/>
  <c r="V125" i="11"/>
  <c r="S125" i="11"/>
  <c r="R125" i="11"/>
  <c r="Q125" i="11"/>
  <c r="P125" i="11"/>
  <c r="M125" i="11"/>
  <c r="L125" i="11"/>
  <c r="F125" i="11"/>
  <c r="AH124" i="11"/>
  <c r="X124" i="11"/>
  <c r="T124" i="11"/>
  <c r="N124" i="11"/>
  <c r="AG124" i="11" s="1"/>
  <c r="AI124" i="11"/>
  <c r="AI123" i="11"/>
  <c r="AH123" i="11"/>
  <c r="X123" i="11"/>
  <c r="T123" i="11"/>
  <c r="N123" i="11"/>
  <c r="W54" i="11"/>
  <c r="V54" i="11"/>
  <c r="S54" i="11"/>
  <c r="R54" i="11"/>
  <c r="Q54" i="11"/>
  <c r="P54" i="11"/>
  <c r="M54" i="11"/>
  <c r="L54" i="11"/>
  <c r="F54" i="11"/>
  <c r="AI53" i="11"/>
  <c r="AH53" i="11"/>
  <c r="X53" i="11"/>
  <c r="T53" i="11"/>
  <c r="N53" i="11"/>
  <c r="AG53" i="11" s="1"/>
  <c r="AI52" i="11"/>
  <c r="AH52" i="11"/>
  <c r="X52" i="11"/>
  <c r="T52" i="11"/>
  <c r="N52" i="11"/>
  <c r="AG52" i="11" s="1"/>
  <c r="AI51" i="11"/>
  <c r="AH51" i="11"/>
  <c r="X51" i="11"/>
  <c r="T51" i="11"/>
  <c r="N51" i="11"/>
  <c r="U54" i="11" l="1"/>
  <c r="U97" i="11"/>
  <c r="U125" i="11"/>
  <c r="AI54" i="11"/>
  <c r="AI125" i="11"/>
  <c r="AE103" i="11"/>
  <c r="AH97" i="11"/>
  <c r="AE122" i="11"/>
  <c r="AE119" i="11"/>
  <c r="X125" i="11"/>
  <c r="T97" i="11"/>
  <c r="AE96" i="11"/>
  <c r="X97" i="11"/>
  <c r="AI97" i="11"/>
  <c r="AI95" i="11"/>
  <c r="N125" i="11"/>
  <c r="AE125" i="11" s="1"/>
  <c r="X54" i="11"/>
  <c r="T54" i="11"/>
  <c r="AH125" i="11"/>
  <c r="AH54" i="11"/>
  <c r="T125" i="11"/>
  <c r="AG123" i="11"/>
  <c r="AE124" i="11"/>
  <c r="N54" i="11"/>
  <c r="AG54" i="11" s="1"/>
  <c r="AE123" i="11"/>
  <c r="AE51" i="11"/>
  <c r="AE52" i="11"/>
  <c r="AE53" i="11"/>
  <c r="AG51" i="11"/>
  <c r="W85" i="11"/>
  <c r="V85" i="11"/>
  <c r="S85" i="11"/>
  <c r="R85" i="11"/>
  <c r="Q85" i="11"/>
  <c r="P85" i="11"/>
  <c r="M85" i="11"/>
  <c r="L85" i="11"/>
  <c r="F85" i="11"/>
  <c r="AI84" i="11"/>
  <c r="AH84" i="11"/>
  <c r="X84" i="11"/>
  <c r="X85" i="11" s="1"/>
  <c r="T84" i="11"/>
  <c r="T85" i="11" s="1"/>
  <c r="N84" i="11"/>
  <c r="AE84" i="11" s="1"/>
  <c r="M81" i="11"/>
  <c r="P81" i="11"/>
  <c r="Q81" i="11"/>
  <c r="R81" i="11"/>
  <c r="S81" i="11"/>
  <c r="V81" i="11"/>
  <c r="W81" i="11"/>
  <c r="L81" i="11"/>
  <c r="F81" i="11"/>
  <c r="AI79" i="11"/>
  <c r="AH79" i="11"/>
  <c r="X79" i="11"/>
  <c r="T79" i="11"/>
  <c r="N79" i="11"/>
  <c r="AG79" i="11" s="1"/>
  <c r="AI78" i="11"/>
  <c r="AH78" i="11"/>
  <c r="X78" i="11"/>
  <c r="T78" i="11"/>
  <c r="N78" i="11"/>
  <c r="AG78" i="11" s="1"/>
  <c r="W73" i="11"/>
  <c r="V73" i="11"/>
  <c r="S73" i="11"/>
  <c r="R73" i="11"/>
  <c r="Q73" i="11"/>
  <c r="P73" i="11"/>
  <c r="M73" i="11"/>
  <c r="L73" i="11"/>
  <c r="F73" i="11"/>
  <c r="AI72" i="11"/>
  <c r="AH72" i="11"/>
  <c r="X72" i="11"/>
  <c r="X73" i="11" s="1"/>
  <c r="T72" i="11"/>
  <c r="T73" i="11" s="1"/>
  <c r="N72" i="11"/>
  <c r="N73" i="11" s="1"/>
  <c r="U85" i="11" l="1"/>
  <c r="U81" i="11"/>
  <c r="U73" i="11"/>
  <c r="AI85" i="11"/>
  <c r="AI73" i="11"/>
  <c r="AG125" i="11"/>
  <c r="AG95" i="11"/>
  <c r="N97" i="11"/>
  <c r="AE95" i="11"/>
  <c r="AE54" i="11"/>
  <c r="AH85" i="11"/>
  <c r="AG84" i="11"/>
  <c r="N85" i="11"/>
  <c r="AH73" i="11"/>
  <c r="AE79" i="11"/>
  <c r="AE78" i="11"/>
  <c r="AG73" i="11"/>
  <c r="AE73" i="11"/>
  <c r="AE72" i="11"/>
  <c r="AG72" i="11"/>
  <c r="W461" i="11"/>
  <c r="V461" i="11"/>
  <c r="S461" i="11"/>
  <c r="R461" i="11"/>
  <c r="Q461" i="11"/>
  <c r="P461" i="11"/>
  <c r="M461" i="11"/>
  <c r="L461" i="11"/>
  <c r="F461" i="11"/>
  <c r="AI460" i="11"/>
  <c r="AH460" i="11"/>
  <c r="X460" i="11"/>
  <c r="X461" i="11" s="1"/>
  <c r="T460" i="11"/>
  <c r="T461" i="11" s="1"/>
  <c r="N460" i="11"/>
  <c r="N461" i="11" s="1"/>
  <c r="U461" i="11" l="1"/>
  <c r="AI461" i="11"/>
  <c r="AE97" i="11"/>
  <c r="AG97" i="11"/>
  <c r="AG85" i="11"/>
  <c r="AE85" i="11"/>
  <c r="AH461" i="11"/>
  <c r="AG461" i="11"/>
  <c r="AE461" i="11"/>
  <c r="AE460" i="11"/>
  <c r="AG460" i="11"/>
  <c r="AI91" i="11" l="1"/>
  <c r="AH91" i="11"/>
  <c r="X91" i="11"/>
  <c r="X92" i="11" s="1"/>
  <c r="T91" i="11"/>
  <c r="T92" i="11" s="1"/>
  <c r="N91" i="11"/>
  <c r="AE91" i="11" l="1"/>
  <c r="N92" i="11"/>
  <c r="AE92" i="11" s="1"/>
  <c r="AH92" i="11"/>
  <c r="AI92" i="11"/>
  <c r="AG91" i="11"/>
  <c r="AG92" i="11" l="1"/>
  <c r="W829" i="11" l="1"/>
  <c r="V829" i="11"/>
  <c r="S829" i="11"/>
  <c r="R829" i="11"/>
  <c r="Q829" i="11"/>
  <c r="P829" i="11"/>
  <c r="M829" i="11"/>
  <c r="L829" i="11"/>
  <c r="F829" i="11"/>
  <c r="AI828" i="11"/>
  <c r="AH828" i="11"/>
  <c r="X828" i="11"/>
  <c r="U828" i="11"/>
  <c r="T828" i="11"/>
  <c r="N828" i="11"/>
  <c r="AE828" i="11" s="1"/>
  <c r="AI827" i="11"/>
  <c r="AH827" i="11"/>
  <c r="X827" i="11"/>
  <c r="U827" i="11"/>
  <c r="T827" i="11"/>
  <c r="N827" i="11"/>
  <c r="AE827" i="11" s="1"/>
  <c r="U829" i="11" l="1"/>
  <c r="AI829" i="11"/>
  <c r="X829" i="11"/>
  <c r="T829" i="11"/>
  <c r="N829" i="11"/>
  <c r="AH829" i="11"/>
  <c r="AG827" i="11"/>
  <c r="AG828" i="11"/>
  <c r="AE829" i="11" l="1"/>
  <c r="AG829" i="11"/>
  <c r="AI319" i="11" l="1"/>
  <c r="AH319" i="11"/>
  <c r="X319" i="11"/>
  <c r="T319" i="11"/>
  <c r="N319" i="11"/>
  <c r="AI318" i="11"/>
  <c r="AH318" i="11"/>
  <c r="X318" i="11"/>
  <c r="T318" i="11"/>
  <c r="N318" i="11"/>
  <c r="W1142" i="11"/>
  <c r="V1142" i="11"/>
  <c r="S1142" i="11"/>
  <c r="R1142" i="11"/>
  <c r="Q1142" i="11"/>
  <c r="P1142" i="11"/>
  <c r="M1142" i="11"/>
  <c r="L1142" i="11"/>
  <c r="F1142" i="11"/>
  <c r="AI1141" i="11"/>
  <c r="AH1141" i="11"/>
  <c r="X1141" i="11"/>
  <c r="X1142" i="11" s="1"/>
  <c r="U1141" i="11"/>
  <c r="T1141" i="11"/>
  <c r="T1142" i="11" s="1"/>
  <c r="N1141" i="11"/>
  <c r="AG1141" i="11" s="1"/>
  <c r="W1743" i="11"/>
  <c r="V1743" i="11"/>
  <c r="S1743" i="11"/>
  <c r="R1743" i="11"/>
  <c r="Q1743" i="11"/>
  <c r="P1743" i="11"/>
  <c r="M1743" i="11"/>
  <c r="L1743" i="11"/>
  <c r="F1743" i="11"/>
  <c r="AI1742" i="11"/>
  <c r="AH1742" i="11"/>
  <c r="X1742" i="11"/>
  <c r="U1742" i="11"/>
  <c r="T1742" i="11"/>
  <c r="N1742" i="11"/>
  <c r="AG1742" i="11" s="1"/>
  <c r="AI1738" i="11"/>
  <c r="AH1738" i="11"/>
  <c r="X1738" i="11"/>
  <c r="U1738" i="11"/>
  <c r="T1738" i="11"/>
  <c r="N1738" i="11"/>
  <c r="AG1738" i="11" s="1"/>
  <c r="AI1727" i="11"/>
  <c r="AH1727" i="11"/>
  <c r="X1727" i="11"/>
  <c r="U1727" i="11"/>
  <c r="T1727" i="11"/>
  <c r="N1727" i="11"/>
  <c r="AG1727" i="11" s="1"/>
  <c r="W1724" i="11"/>
  <c r="V1724" i="11"/>
  <c r="S1724" i="11"/>
  <c r="R1724" i="11"/>
  <c r="Q1724" i="11"/>
  <c r="P1724" i="11"/>
  <c r="M1724" i="11"/>
  <c r="L1724" i="11"/>
  <c r="F1724" i="11"/>
  <c r="AI1723" i="11"/>
  <c r="AH1723" i="11"/>
  <c r="X1723" i="11"/>
  <c r="U1723" i="11"/>
  <c r="T1723" i="11"/>
  <c r="N1723" i="11"/>
  <c r="AG1723" i="11" s="1"/>
  <c r="AI1722" i="11"/>
  <c r="AH1722" i="11"/>
  <c r="X1722" i="11"/>
  <c r="U1722" i="11"/>
  <c r="T1722" i="11"/>
  <c r="N1722" i="11"/>
  <c r="AG1722" i="11" s="1"/>
  <c r="W1731" i="11"/>
  <c r="V1731" i="11"/>
  <c r="S1731" i="11"/>
  <c r="R1731" i="11"/>
  <c r="Q1731" i="11"/>
  <c r="P1731" i="11"/>
  <c r="M1731" i="11"/>
  <c r="L1731" i="11"/>
  <c r="F1731" i="11"/>
  <c r="AI1730" i="11"/>
  <c r="AH1730" i="11"/>
  <c r="X1730" i="11"/>
  <c r="U1730" i="11"/>
  <c r="T1730" i="11"/>
  <c r="N1730" i="11"/>
  <c r="AG1730" i="11" s="1"/>
  <c r="AI1726" i="11"/>
  <c r="AH1726" i="11"/>
  <c r="X1726" i="11"/>
  <c r="U1726" i="11"/>
  <c r="T1726" i="11"/>
  <c r="N1726" i="11"/>
  <c r="AG1726" i="11" s="1"/>
  <c r="AI1725" i="11"/>
  <c r="AH1725" i="11"/>
  <c r="X1725" i="11"/>
  <c r="U1725" i="11"/>
  <c r="T1725" i="11"/>
  <c r="N1725" i="11"/>
  <c r="AG1725" i="11" s="1"/>
  <c r="W1737" i="11"/>
  <c r="V1737" i="11"/>
  <c r="S1737" i="11"/>
  <c r="R1737" i="11"/>
  <c r="Q1737" i="11"/>
  <c r="P1737" i="11"/>
  <c r="M1737" i="11"/>
  <c r="L1737" i="11"/>
  <c r="F1737" i="11"/>
  <c r="AI1736" i="11"/>
  <c r="AH1736" i="11"/>
  <c r="X1736" i="11"/>
  <c r="U1736" i="11"/>
  <c r="T1736" i="11"/>
  <c r="N1736" i="11"/>
  <c r="AG1736" i="11" s="1"/>
  <c r="AI1735" i="11"/>
  <c r="AH1735" i="11"/>
  <c r="X1735" i="11"/>
  <c r="U1735" i="11"/>
  <c r="T1735" i="11"/>
  <c r="N1735" i="11"/>
  <c r="AG1735" i="11" s="1"/>
  <c r="AI1732" i="11"/>
  <c r="AH1732" i="11"/>
  <c r="X1732" i="11"/>
  <c r="U1732" i="11"/>
  <c r="T1732" i="11"/>
  <c r="N1732" i="11"/>
  <c r="AG1732" i="11" s="1"/>
  <c r="AG318" i="11" l="1"/>
  <c r="AG319" i="11"/>
  <c r="AH1142" i="11"/>
  <c r="U1724" i="11"/>
  <c r="T1743" i="11"/>
  <c r="AI1142" i="11"/>
  <c r="U1737" i="11"/>
  <c r="X1731" i="11"/>
  <c r="T1731" i="11"/>
  <c r="AH1724" i="11"/>
  <c r="X1743" i="11"/>
  <c r="U1142" i="11"/>
  <c r="AI1724" i="11"/>
  <c r="X1737" i="11"/>
  <c r="U1743" i="11"/>
  <c r="AE318" i="11"/>
  <c r="AE319" i="11"/>
  <c r="N1142" i="11"/>
  <c r="AG1142" i="11" s="1"/>
  <c r="AE1141" i="11"/>
  <c r="AI1743" i="11"/>
  <c r="AH1743" i="11"/>
  <c r="N1743" i="11"/>
  <c r="AG1743" i="11" s="1"/>
  <c r="AE1738" i="11"/>
  <c r="AE1742" i="11"/>
  <c r="T1737" i="11"/>
  <c r="X1724" i="11"/>
  <c r="T1724" i="11"/>
  <c r="AH1731" i="11"/>
  <c r="AI1731" i="11"/>
  <c r="N1724" i="11"/>
  <c r="AG1724" i="11" s="1"/>
  <c r="AE1727" i="11"/>
  <c r="U1731" i="11"/>
  <c r="N1731" i="11"/>
  <c r="AG1731" i="11" s="1"/>
  <c r="AE1722" i="11"/>
  <c r="AE1723" i="11"/>
  <c r="AI1737" i="11"/>
  <c r="AH1737" i="11"/>
  <c r="AE1725" i="11"/>
  <c r="AE1726" i="11"/>
  <c r="AE1730" i="11"/>
  <c r="N1737" i="11"/>
  <c r="AG1737" i="11" s="1"/>
  <c r="AE1732" i="11"/>
  <c r="AE1735" i="11"/>
  <c r="AE1736" i="11"/>
  <c r="AE1737" i="11" l="1"/>
  <c r="AE1142" i="11"/>
  <c r="AE1743" i="11"/>
  <c r="AE1724" i="11"/>
  <c r="AE1731" i="11"/>
  <c r="W1096" i="11" l="1"/>
  <c r="V1096" i="11"/>
  <c r="R1096" i="11"/>
  <c r="P1096" i="11"/>
  <c r="L1096" i="11"/>
  <c r="F1096" i="11"/>
  <c r="AI1095" i="11"/>
  <c r="S1096" i="11"/>
  <c r="Q1096" i="11"/>
  <c r="X1095" i="11"/>
  <c r="X1096" i="11" s="1"/>
  <c r="AH407" i="11"/>
  <c r="AI407" i="11"/>
  <c r="T407" i="11"/>
  <c r="V408" i="11"/>
  <c r="S408" i="11"/>
  <c r="R408" i="11"/>
  <c r="Q408" i="11"/>
  <c r="P408" i="11"/>
  <c r="L408" i="11"/>
  <c r="F408" i="11"/>
  <c r="AH406" i="11"/>
  <c r="AI406" i="11"/>
  <c r="T406" i="11"/>
  <c r="N406" i="11"/>
  <c r="AI405" i="11"/>
  <c r="AH405" i="11"/>
  <c r="X405" i="11"/>
  <c r="T405" i="11"/>
  <c r="W474" i="11"/>
  <c r="V474" i="11"/>
  <c r="S474" i="11"/>
  <c r="R474" i="11"/>
  <c r="Q474" i="11"/>
  <c r="P474" i="11"/>
  <c r="M474" i="11"/>
  <c r="L474" i="11"/>
  <c r="F474" i="11"/>
  <c r="AI473" i="11"/>
  <c r="AH473" i="11"/>
  <c r="X473" i="11"/>
  <c r="T473" i="11"/>
  <c r="N473" i="11"/>
  <c r="AG473" i="11" s="1"/>
  <c r="AI472" i="11"/>
  <c r="AH472" i="11"/>
  <c r="X472" i="11"/>
  <c r="T472" i="11"/>
  <c r="N472" i="11"/>
  <c r="AI422" i="11"/>
  <c r="AH422" i="11"/>
  <c r="X422" i="11"/>
  <c r="X423" i="11" s="1"/>
  <c r="T422" i="11"/>
  <c r="T423" i="11" s="1"/>
  <c r="N422" i="11"/>
  <c r="AG422" i="11" l="1"/>
  <c r="N423" i="11"/>
  <c r="AG423" i="11" s="1"/>
  <c r="U474" i="11"/>
  <c r="AH423" i="11"/>
  <c r="T474" i="11"/>
  <c r="X474" i="11"/>
  <c r="AH1096" i="11"/>
  <c r="AI1096" i="11"/>
  <c r="T1095" i="11"/>
  <c r="T1096" i="11" s="1"/>
  <c r="N1095" i="11"/>
  <c r="U1095" i="11"/>
  <c r="AH1095" i="11"/>
  <c r="M1096" i="11"/>
  <c r="U1096" i="11" s="1"/>
  <c r="M408" i="11"/>
  <c r="N407" i="11"/>
  <c r="X407" i="11"/>
  <c r="W408" i="11"/>
  <c r="AI408" i="11" s="1"/>
  <c r="N405" i="11"/>
  <c r="AG405" i="11" s="1"/>
  <c r="T408" i="11"/>
  <c r="AH408" i="11"/>
  <c r="AE406" i="11"/>
  <c r="AG406" i="11"/>
  <c r="X406" i="11"/>
  <c r="AI423" i="11"/>
  <c r="N474" i="11"/>
  <c r="AE474" i="11" s="1"/>
  <c r="AI474" i="11"/>
  <c r="AH474" i="11"/>
  <c r="AE472" i="11"/>
  <c r="AE473" i="11"/>
  <c r="AG472" i="11"/>
  <c r="AE422" i="11"/>
  <c r="AI440" i="11"/>
  <c r="AH440" i="11"/>
  <c r="X440" i="11"/>
  <c r="T440" i="11"/>
  <c r="N440" i="11"/>
  <c r="AG440" i="11" s="1"/>
  <c r="U408" i="11" l="1"/>
  <c r="X408" i="11"/>
  <c r="AG474" i="11"/>
  <c r="N1096" i="11"/>
  <c r="AG1095" i="11"/>
  <c r="AE1095" i="11"/>
  <c r="AG407" i="11"/>
  <c r="AE407" i="11"/>
  <c r="AE405" i="11"/>
  <c r="N408" i="11"/>
  <c r="AE408" i="11" s="1"/>
  <c r="AE423" i="11"/>
  <c r="AE440" i="11"/>
  <c r="AG1096" i="11" l="1"/>
  <c r="AE1096" i="11"/>
  <c r="AG408" i="11"/>
  <c r="W331" i="11" l="1"/>
  <c r="V331" i="11"/>
  <c r="S331" i="11"/>
  <c r="R331" i="11"/>
  <c r="Q331" i="11"/>
  <c r="P331" i="11"/>
  <c r="M331" i="11"/>
  <c r="L331" i="11"/>
  <c r="F331" i="11"/>
  <c r="AI330" i="11"/>
  <c r="AH330" i="11"/>
  <c r="X330" i="11"/>
  <c r="T330" i="11"/>
  <c r="AE330" i="11"/>
  <c r="AI250" i="11"/>
  <c r="AH250" i="11"/>
  <c r="X250" i="11"/>
  <c r="T250" i="11"/>
  <c r="N250" i="11"/>
  <c r="AG250" i="11" s="1"/>
  <c r="W816" i="11"/>
  <c r="V816" i="11"/>
  <c r="S816" i="11"/>
  <c r="R816" i="11"/>
  <c r="Q816" i="11"/>
  <c r="P816" i="11"/>
  <c r="L816" i="11"/>
  <c r="F816" i="11"/>
  <c r="AI815" i="11"/>
  <c r="AH815" i="11"/>
  <c r="X815" i="11"/>
  <c r="U815" i="11"/>
  <c r="T815" i="11"/>
  <c r="N815" i="11"/>
  <c r="AE815" i="11" s="1"/>
  <c r="AI814" i="11"/>
  <c r="AH814" i="11"/>
  <c r="X814" i="11"/>
  <c r="U814" i="11"/>
  <c r="T814" i="11"/>
  <c r="N814" i="11"/>
  <c r="W819" i="11"/>
  <c r="V819" i="11"/>
  <c r="S819" i="11"/>
  <c r="R819" i="11"/>
  <c r="Q819" i="11"/>
  <c r="P819" i="11"/>
  <c r="M819" i="11"/>
  <c r="L819" i="11"/>
  <c r="F819" i="11"/>
  <c r="AI818" i="11"/>
  <c r="AH818" i="11"/>
  <c r="X818" i="11"/>
  <c r="U818" i="11"/>
  <c r="T818" i="11"/>
  <c r="N818" i="11"/>
  <c r="AE818" i="11" s="1"/>
  <c r="AI817" i="11"/>
  <c r="AH817" i="11"/>
  <c r="X817" i="11"/>
  <c r="U817" i="11"/>
  <c r="T817" i="11"/>
  <c r="N817" i="11"/>
  <c r="AE817" i="11" s="1"/>
  <c r="W826" i="11"/>
  <c r="V826" i="11"/>
  <c r="S826" i="11"/>
  <c r="R826" i="11"/>
  <c r="Q826" i="11"/>
  <c r="P826" i="11"/>
  <c r="M826" i="11"/>
  <c r="L826" i="11"/>
  <c r="F826" i="11"/>
  <c r="AI825" i="11"/>
  <c r="AH825" i="11"/>
  <c r="X825" i="11"/>
  <c r="U825" i="11"/>
  <c r="T825" i="11"/>
  <c r="N825" i="11"/>
  <c r="AG825" i="11" s="1"/>
  <c r="AI824" i="11"/>
  <c r="AH824" i="11"/>
  <c r="X824" i="11"/>
  <c r="U824" i="11"/>
  <c r="T824" i="11"/>
  <c r="N824" i="11"/>
  <c r="W823" i="11"/>
  <c r="V823" i="11"/>
  <c r="S823" i="11"/>
  <c r="R823" i="11"/>
  <c r="Q823" i="11"/>
  <c r="P823" i="11"/>
  <c r="M823" i="11"/>
  <c r="L823" i="11"/>
  <c r="F823" i="11"/>
  <c r="AI822" i="11"/>
  <c r="AH822" i="11"/>
  <c r="X822" i="11"/>
  <c r="U822" i="11"/>
  <c r="T822" i="11"/>
  <c r="N822" i="11"/>
  <c r="AE822" i="11" s="1"/>
  <c r="AI821" i="11"/>
  <c r="AH821" i="11"/>
  <c r="X821" i="11"/>
  <c r="U821" i="11"/>
  <c r="T821" i="11"/>
  <c r="N821" i="11"/>
  <c r="AE821" i="11" s="1"/>
  <c r="AI820" i="11"/>
  <c r="AH820" i="11"/>
  <c r="X820" i="11"/>
  <c r="U820" i="11"/>
  <c r="T820" i="11"/>
  <c r="N820" i="11"/>
  <c r="W813" i="11"/>
  <c r="V813" i="11"/>
  <c r="S813" i="11"/>
  <c r="R813" i="11"/>
  <c r="Q813" i="11"/>
  <c r="P813" i="11"/>
  <c r="M813" i="11"/>
  <c r="L813" i="11"/>
  <c r="F813" i="11"/>
  <c r="AI812" i="11"/>
  <c r="AH812" i="11"/>
  <c r="X812" i="11"/>
  <c r="U812" i="11"/>
  <c r="T812" i="11"/>
  <c r="N812" i="11"/>
  <c r="AG812" i="11" s="1"/>
  <c r="AI811" i="11"/>
  <c r="AH811" i="11"/>
  <c r="X811" i="11"/>
  <c r="U811" i="11"/>
  <c r="T811" i="11"/>
  <c r="N811" i="11"/>
  <c r="AG811" i="11" s="1"/>
  <c r="AI926" i="11"/>
  <c r="AH926" i="11"/>
  <c r="X926" i="11"/>
  <c r="U926" i="11"/>
  <c r="N926" i="11"/>
  <c r="AG926" i="11" s="1"/>
  <c r="W810" i="11"/>
  <c r="V810" i="11"/>
  <c r="S810" i="11"/>
  <c r="R810" i="11"/>
  <c r="Q810" i="11"/>
  <c r="P810" i="11"/>
  <c r="M810" i="11"/>
  <c r="L810" i="11"/>
  <c r="F810" i="11"/>
  <c r="AI809" i="11"/>
  <c r="AH809" i="11"/>
  <c r="X809" i="11"/>
  <c r="U809" i="11"/>
  <c r="T809" i="11"/>
  <c r="N809" i="11"/>
  <c r="AG809" i="11" s="1"/>
  <c r="AI808" i="11"/>
  <c r="AH808" i="11"/>
  <c r="X808" i="11"/>
  <c r="U808" i="11"/>
  <c r="T808" i="11"/>
  <c r="N808" i="11"/>
  <c r="W807" i="11"/>
  <c r="V807" i="11"/>
  <c r="S807" i="11"/>
  <c r="R807" i="11"/>
  <c r="Q807" i="11"/>
  <c r="P807" i="11"/>
  <c r="M807" i="11"/>
  <c r="L807" i="11"/>
  <c r="F807" i="11"/>
  <c r="AI806" i="11"/>
  <c r="AH806" i="11"/>
  <c r="X806" i="11"/>
  <c r="U806" i="11"/>
  <c r="T806" i="11"/>
  <c r="N806" i="11"/>
  <c r="AG806" i="11" s="1"/>
  <c r="AI804" i="11"/>
  <c r="AH804" i="11"/>
  <c r="X804" i="11"/>
  <c r="U804" i="11"/>
  <c r="T804" i="11"/>
  <c r="N804" i="11"/>
  <c r="W803" i="11"/>
  <c r="V803" i="11"/>
  <c r="S803" i="11"/>
  <c r="Q803" i="11"/>
  <c r="P803" i="11"/>
  <c r="M803" i="11"/>
  <c r="L803" i="11"/>
  <c r="F803" i="11"/>
  <c r="AI802" i="11"/>
  <c r="AH802" i="11"/>
  <c r="X802" i="11"/>
  <c r="U802" i="11"/>
  <c r="T802" i="11"/>
  <c r="N802" i="11"/>
  <c r="AG802" i="11" s="1"/>
  <c r="AI801" i="11"/>
  <c r="AH801" i="11"/>
  <c r="X801" i="11"/>
  <c r="U801" i="11"/>
  <c r="T801" i="11"/>
  <c r="N801" i="11"/>
  <c r="W1130" i="11"/>
  <c r="V1130" i="11"/>
  <c r="S1130" i="11"/>
  <c r="R1130" i="11"/>
  <c r="Q1130" i="11"/>
  <c r="P1130" i="11"/>
  <c r="M1130" i="11"/>
  <c r="L1130" i="11"/>
  <c r="F1130" i="11"/>
  <c r="AI1129" i="11"/>
  <c r="AH1129" i="11"/>
  <c r="X1129" i="11"/>
  <c r="X1130" i="11" s="1"/>
  <c r="U1129" i="11"/>
  <c r="T1129" i="11"/>
  <c r="T1130" i="11" s="1"/>
  <c r="N1129" i="11"/>
  <c r="AE1129" i="11" s="1"/>
  <c r="AI819" i="11" l="1"/>
  <c r="X331" i="11"/>
  <c r="AI331" i="11"/>
  <c r="AI803" i="11"/>
  <c r="AI807" i="11"/>
  <c r="U1130" i="11"/>
  <c r="X803" i="11"/>
  <c r="U807" i="11"/>
  <c r="T823" i="11"/>
  <c r="T331" i="11"/>
  <c r="N810" i="11"/>
  <c r="AG810" i="11" s="1"/>
  <c r="T813" i="11"/>
  <c r="X816" i="11"/>
  <c r="X823" i="11"/>
  <c r="T826" i="11"/>
  <c r="T816" i="11"/>
  <c r="AH331" i="11"/>
  <c r="AG330" i="11"/>
  <c r="N331" i="11"/>
  <c r="AE250" i="11"/>
  <c r="T810" i="11"/>
  <c r="X810" i="11"/>
  <c r="X826" i="11"/>
  <c r="U803" i="11"/>
  <c r="X807" i="11"/>
  <c r="T807" i="11"/>
  <c r="X813" i="11"/>
  <c r="N823" i="11"/>
  <c r="AG823" i="11" s="1"/>
  <c r="AH823" i="11"/>
  <c r="T819" i="11"/>
  <c r="X819" i="11"/>
  <c r="AI816" i="11"/>
  <c r="U816" i="11"/>
  <c r="AH816" i="11"/>
  <c r="N816" i="11"/>
  <c r="AG816" i="11" s="1"/>
  <c r="AE814" i="11"/>
  <c r="AG814" i="11"/>
  <c r="AG815" i="11"/>
  <c r="AH819" i="11"/>
  <c r="AH810" i="11"/>
  <c r="N826" i="11"/>
  <c r="AE826" i="11" s="1"/>
  <c r="N1130" i="11"/>
  <c r="AG1130" i="11" s="1"/>
  <c r="T803" i="11"/>
  <c r="AH807" i="11"/>
  <c r="U813" i="11"/>
  <c r="AI823" i="11"/>
  <c r="U823" i="11"/>
  <c r="U819" i="11"/>
  <c r="AI810" i="11"/>
  <c r="U810" i="11"/>
  <c r="AI826" i="11"/>
  <c r="U826" i="11"/>
  <c r="AG818" i="11"/>
  <c r="AG817" i="11"/>
  <c r="N819" i="11"/>
  <c r="AH826" i="11"/>
  <c r="AE824" i="11"/>
  <c r="AE825" i="11"/>
  <c r="AG824" i="11"/>
  <c r="AE820" i="11"/>
  <c r="AG820" i="11"/>
  <c r="AG821" i="11"/>
  <c r="AG822" i="11"/>
  <c r="AH813" i="11"/>
  <c r="AI813" i="11"/>
  <c r="N813" i="11"/>
  <c r="AG813" i="11" s="1"/>
  <c r="AE811" i="11"/>
  <c r="AE812" i="11"/>
  <c r="AE926" i="11"/>
  <c r="AE808" i="11"/>
  <c r="AE809" i="11"/>
  <c r="AG808" i="11"/>
  <c r="N807" i="11"/>
  <c r="AE807" i="11" s="1"/>
  <c r="AE804" i="11"/>
  <c r="AE806" i="11"/>
  <c r="AG804" i="11"/>
  <c r="AH1130" i="11"/>
  <c r="N803" i="11"/>
  <c r="AG803" i="11" s="1"/>
  <c r="AH803" i="11"/>
  <c r="AE801" i="11"/>
  <c r="AE802" i="11"/>
  <c r="AG801" i="11"/>
  <c r="AG1129" i="11"/>
  <c r="AI1130" i="11"/>
  <c r="AG826" i="11" l="1"/>
  <c r="AE813" i="11"/>
  <c r="AE823" i="11"/>
  <c r="AE810" i="11"/>
  <c r="AE1130" i="11"/>
  <c r="AG807" i="11"/>
  <c r="AG331" i="11"/>
  <c r="AE331" i="11"/>
  <c r="AE816" i="11"/>
  <c r="AG819" i="11"/>
  <c r="AE819" i="11"/>
  <c r="AE803" i="11"/>
  <c r="W800" i="11" l="1"/>
  <c r="V800" i="11"/>
  <c r="S800" i="11"/>
  <c r="R800" i="11"/>
  <c r="Q800" i="11"/>
  <c r="P800" i="11"/>
  <c r="M800" i="11"/>
  <c r="L800" i="11"/>
  <c r="F800" i="11"/>
  <c r="AI799" i="11"/>
  <c r="AH799" i="11"/>
  <c r="X799" i="11"/>
  <c r="U799" i="11"/>
  <c r="T799" i="11"/>
  <c r="N799" i="11"/>
  <c r="AE799" i="11" s="1"/>
  <c r="AI798" i="11"/>
  <c r="AH798" i="11"/>
  <c r="X798" i="11"/>
  <c r="U798" i="11"/>
  <c r="T798" i="11"/>
  <c r="N798" i="11"/>
  <c r="AE798" i="11" s="1"/>
  <c r="W797" i="11"/>
  <c r="V797" i="11"/>
  <c r="S797" i="11"/>
  <c r="R797" i="11"/>
  <c r="P797" i="11"/>
  <c r="M797" i="11"/>
  <c r="L797" i="11"/>
  <c r="F797" i="11"/>
  <c r="AI796" i="11"/>
  <c r="AH796" i="11"/>
  <c r="X796" i="11"/>
  <c r="U796" i="11"/>
  <c r="T796" i="11"/>
  <c r="N796" i="11"/>
  <c r="AE796" i="11" s="1"/>
  <c r="AI795" i="11"/>
  <c r="AH795" i="11"/>
  <c r="X795" i="11"/>
  <c r="U795" i="11"/>
  <c r="T795" i="11"/>
  <c r="N795" i="11"/>
  <c r="AE795" i="11" s="1"/>
  <c r="AI794" i="11"/>
  <c r="AH794" i="11"/>
  <c r="X794" i="11"/>
  <c r="U794" i="11"/>
  <c r="T794" i="11"/>
  <c r="N794" i="11"/>
  <c r="AE794" i="11" s="1"/>
  <c r="AI793" i="11"/>
  <c r="AH793" i="11"/>
  <c r="X793" i="11"/>
  <c r="U793" i="11"/>
  <c r="T793" i="11"/>
  <c r="N793" i="11"/>
  <c r="AE793" i="11" s="1"/>
  <c r="W1126" i="11"/>
  <c r="V1126" i="11"/>
  <c r="S1126" i="11"/>
  <c r="R1126" i="11"/>
  <c r="Q1126" i="11"/>
  <c r="P1126" i="11"/>
  <c r="M1126" i="11"/>
  <c r="L1126" i="11"/>
  <c r="F1126" i="11"/>
  <c r="AI1125" i="11"/>
  <c r="AH1125" i="11"/>
  <c r="X1125" i="11"/>
  <c r="X1126" i="11" s="1"/>
  <c r="U1125" i="11"/>
  <c r="T1125" i="11"/>
  <c r="T1126" i="11" s="1"/>
  <c r="N1125" i="11"/>
  <c r="N1126" i="11" s="1"/>
  <c r="W1124" i="11"/>
  <c r="V1124" i="11"/>
  <c r="S1124" i="11"/>
  <c r="R1124" i="11"/>
  <c r="Q1124" i="11"/>
  <c r="P1124" i="11"/>
  <c r="M1124" i="11"/>
  <c r="L1124" i="11"/>
  <c r="F1124" i="11"/>
  <c r="AI1123" i="11"/>
  <c r="AH1123" i="11"/>
  <c r="X1123" i="11"/>
  <c r="X1124" i="11" s="1"/>
  <c r="U1123" i="11"/>
  <c r="T1123" i="11"/>
  <c r="T1124" i="11" s="1"/>
  <c r="N1123" i="11"/>
  <c r="N1124" i="11" s="1"/>
  <c r="AI791" i="11"/>
  <c r="AH791" i="11"/>
  <c r="X791" i="11"/>
  <c r="U791" i="11"/>
  <c r="T791" i="11"/>
  <c r="N791" i="11"/>
  <c r="AG791" i="11" s="1"/>
  <c r="W792" i="11"/>
  <c r="V792" i="11"/>
  <c r="S792" i="11"/>
  <c r="R792" i="11"/>
  <c r="Q792" i="11"/>
  <c r="P792" i="11"/>
  <c r="M792" i="11"/>
  <c r="L792" i="11"/>
  <c r="F792" i="11"/>
  <c r="AI790" i="11"/>
  <c r="AH790" i="11"/>
  <c r="X790" i="11"/>
  <c r="U790" i="11"/>
  <c r="T790" i="11"/>
  <c r="N790" i="11"/>
  <c r="W789" i="11"/>
  <c r="V789" i="11"/>
  <c r="S789" i="11"/>
  <c r="R789" i="11"/>
  <c r="Q789" i="11"/>
  <c r="P789" i="11"/>
  <c r="M789" i="11"/>
  <c r="L789" i="11"/>
  <c r="F789" i="11"/>
  <c r="AI788" i="11"/>
  <c r="AH788" i="11"/>
  <c r="X788" i="11"/>
  <c r="U788" i="11"/>
  <c r="T788" i="11"/>
  <c r="N788" i="11"/>
  <c r="AG788" i="11" s="1"/>
  <c r="AI787" i="11"/>
  <c r="AH787" i="11"/>
  <c r="X787" i="11"/>
  <c r="U787" i="11"/>
  <c r="T787" i="11"/>
  <c r="N787" i="11"/>
  <c r="AI1126" i="11" l="1"/>
  <c r="T797" i="11"/>
  <c r="T792" i="11"/>
  <c r="X792" i="11"/>
  <c r="AH1126" i="11"/>
  <c r="AH797" i="11"/>
  <c r="X789" i="11"/>
  <c r="T789" i="11"/>
  <c r="N789" i="11"/>
  <c r="AE789" i="11" s="1"/>
  <c r="AE1123" i="11"/>
  <c r="U1126" i="11"/>
  <c r="X797" i="11"/>
  <c r="AG794" i="11"/>
  <c r="AH789" i="11"/>
  <c r="AH1124" i="11"/>
  <c r="AG793" i="11"/>
  <c r="U797" i="11"/>
  <c r="AI797" i="11"/>
  <c r="X800" i="11"/>
  <c r="AG799" i="11"/>
  <c r="N800" i="11"/>
  <c r="AG800" i="11" s="1"/>
  <c r="AH800" i="11"/>
  <c r="AG796" i="11"/>
  <c r="AG798" i="11"/>
  <c r="AI789" i="11"/>
  <c r="U789" i="11"/>
  <c r="AI1124" i="11"/>
  <c r="U1124" i="11"/>
  <c r="AG795" i="11"/>
  <c r="T800" i="11"/>
  <c r="U800" i="11"/>
  <c r="AI800" i="11"/>
  <c r="N797" i="11"/>
  <c r="AG1126" i="11"/>
  <c r="AE1126" i="11"/>
  <c r="AE1125" i="11"/>
  <c r="AG1125" i="11"/>
  <c r="AG1124" i="11"/>
  <c r="AE1124" i="11"/>
  <c r="AG1123" i="11"/>
  <c r="AE791" i="11"/>
  <c r="AI792" i="11"/>
  <c r="U792" i="11"/>
  <c r="AH792" i="11"/>
  <c r="N792" i="11"/>
  <c r="AE790" i="11"/>
  <c r="AG790" i="11"/>
  <c r="AE787" i="11"/>
  <c r="AE788" i="11"/>
  <c r="AG787" i="11"/>
  <c r="AG792" i="11" l="1"/>
  <c r="AE800" i="11"/>
  <c r="AG789" i="11"/>
  <c r="AE797" i="11"/>
  <c r="AG797" i="11"/>
  <c r="AE792" i="11"/>
  <c r="W329" i="11" l="1"/>
  <c r="V329" i="11"/>
  <c r="S329" i="11"/>
  <c r="R329" i="11"/>
  <c r="Q329" i="11"/>
  <c r="P329" i="11"/>
  <c r="M329" i="11"/>
  <c r="L329" i="11"/>
  <c r="F329" i="11"/>
  <c r="AI328" i="11"/>
  <c r="AH328" i="11"/>
  <c r="X328" i="11"/>
  <c r="T328" i="11"/>
  <c r="N328" i="11"/>
  <c r="V353" i="11"/>
  <c r="S353" i="11"/>
  <c r="R353" i="11"/>
  <c r="Q353" i="11"/>
  <c r="P353" i="11"/>
  <c r="L353" i="11"/>
  <c r="F353" i="11"/>
  <c r="AH352" i="11"/>
  <c r="W353" i="11"/>
  <c r="T352" i="11"/>
  <c r="N352" i="11"/>
  <c r="AI347" i="11"/>
  <c r="AH347" i="11"/>
  <c r="T347" i="11"/>
  <c r="X347" i="11"/>
  <c r="U329" i="11" l="1"/>
  <c r="T353" i="11"/>
  <c r="T329" i="11"/>
  <c r="X329" i="11"/>
  <c r="AH329" i="11"/>
  <c r="AI329" i="11"/>
  <c r="N329" i="11"/>
  <c r="AE329" i="11" s="1"/>
  <c r="AE328" i="11"/>
  <c r="AG328" i="11"/>
  <c r="AI353" i="11"/>
  <c r="AH353" i="11"/>
  <c r="AG352" i="11"/>
  <c r="AE352" i="11"/>
  <c r="N347" i="11"/>
  <c r="X352" i="11"/>
  <c r="X353" i="11" s="1"/>
  <c r="AI352" i="11"/>
  <c r="M353" i="11"/>
  <c r="U353" i="11" s="1"/>
  <c r="AG329" i="11" l="1"/>
  <c r="N353" i="11"/>
  <c r="AG347" i="11"/>
  <c r="AE347" i="11"/>
  <c r="AG353" i="11" l="1"/>
  <c r="AE353" i="11"/>
  <c r="AI2236" i="11" l="1"/>
  <c r="AH2236" i="11"/>
  <c r="X2236" i="11"/>
  <c r="X2237" i="11" s="1"/>
  <c r="U2236" i="11"/>
  <c r="T2236" i="11"/>
  <c r="T2237" i="11" s="1"/>
  <c r="N2236" i="11"/>
  <c r="N2237" i="11" s="1"/>
  <c r="W2239" i="11"/>
  <c r="V2239" i="11"/>
  <c r="S2239" i="11"/>
  <c r="R2239" i="11"/>
  <c r="Q2239" i="11"/>
  <c r="P2239" i="11"/>
  <c r="M2239" i="11"/>
  <c r="L2239" i="11"/>
  <c r="F2239" i="11"/>
  <c r="AI2238" i="11"/>
  <c r="AH2238" i="11"/>
  <c r="X2238" i="11"/>
  <c r="X2239" i="11" s="1"/>
  <c r="T2238" i="11"/>
  <c r="T2239" i="11" s="1"/>
  <c r="N2238" i="11"/>
  <c r="AE2238" i="11" s="1"/>
  <c r="W2232" i="11"/>
  <c r="V2232" i="11"/>
  <c r="S2232" i="11"/>
  <c r="R2232" i="11"/>
  <c r="Q2232" i="11"/>
  <c r="P2232" i="11"/>
  <c r="M2232" i="11"/>
  <c r="L2232" i="11"/>
  <c r="F2232" i="11"/>
  <c r="AI2231" i="11"/>
  <c r="AH2231" i="11"/>
  <c r="X2231" i="11"/>
  <c r="X2232" i="11" s="1"/>
  <c r="U2231" i="11"/>
  <c r="T2231" i="11"/>
  <c r="T2232" i="11" s="1"/>
  <c r="N2231" i="11"/>
  <c r="N2232" i="11" s="1"/>
  <c r="W2228" i="11"/>
  <c r="V2228" i="11"/>
  <c r="S2228" i="11"/>
  <c r="R2228" i="11"/>
  <c r="Q2228" i="11"/>
  <c r="P2228" i="11"/>
  <c r="M2228" i="11"/>
  <c r="L2228" i="11"/>
  <c r="F2228" i="11"/>
  <c r="AI2227" i="11"/>
  <c r="AH2227" i="11"/>
  <c r="X2227" i="11"/>
  <c r="X2228" i="11" s="1"/>
  <c r="U2227" i="11"/>
  <c r="T2227" i="11"/>
  <c r="T2228" i="11" s="1"/>
  <c r="N2227" i="11"/>
  <c r="AE2227" i="11" s="1"/>
  <c r="W2230" i="11"/>
  <c r="V2230" i="11"/>
  <c r="S2230" i="11"/>
  <c r="R2230" i="11"/>
  <c r="Q2230" i="11"/>
  <c r="P2230" i="11"/>
  <c r="M2230" i="11"/>
  <c r="L2230" i="11"/>
  <c r="F2230" i="11"/>
  <c r="AI2229" i="11"/>
  <c r="AH2229" i="11"/>
  <c r="X2229" i="11"/>
  <c r="X2230" i="11" s="1"/>
  <c r="U2229" i="11"/>
  <c r="T2229" i="11"/>
  <c r="T2230" i="11" s="1"/>
  <c r="N2229" i="11"/>
  <c r="N2230" i="11" s="1"/>
  <c r="W2234" i="11"/>
  <c r="V2234" i="11"/>
  <c r="S2234" i="11"/>
  <c r="R2234" i="11"/>
  <c r="Q2234" i="11"/>
  <c r="P2234" i="11"/>
  <c r="M2234" i="11"/>
  <c r="L2234" i="11"/>
  <c r="F2234" i="11"/>
  <c r="AI2233" i="11"/>
  <c r="AH2233" i="11"/>
  <c r="X2233" i="11"/>
  <c r="X2234" i="11" s="1"/>
  <c r="U2233" i="11"/>
  <c r="T2233" i="11"/>
  <c r="T2234" i="11" s="1"/>
  <c r="N2233" i="11"/>
  <c r="N2234" i="11" s="1"/>
  <c r="W2226" i="11"/>
  <c r="V2226" i="11"/>
  <c r="S2226" i="11"/>
  <c r="R2226" i="11"/>
  <c r="Q2226" i="11"/>
  <c r="P2226" i="11"/>
  <c r="M2226" i="11"/>
  <c r="L2226" i="11"/>
  <c r="F2226" i="11"/>
  <c r="AI2225" i="11"/>
  <c r="AH2225" i="11"/>
  <c r="X2225" i="11"/>
  <c r="X2226" i="11" s="1"/>
  <c r="U2225" i="11"/>
  <c r="T2225" i="11"/>
  <c r="T2226" i="11" s="1"/>
  <c r="N2225" i="11"/>
  <c r="N2226" i="11" s="1"/>
  <c r="W1721" i="11"/>
  <c r="V1721" i="11"/>
  <c r="S1721" i="11"/>
  <c r="R1721" i="11"/>
  <c r="Q1721" i="11"/>
  <c r="P1721" i="11"/>
  <c r="M1721" i="11"/>
  <c r="L1721" i="11"/>
  <c r="F1721" i="11"/>
  <c r="AI1720" i="11"/>
  <c r="AH1720" i="11"/>
  <c r="X1720" i="11"/>
  <c r="U1720" i="11"/>
  <c r="T1720" i="11"/>
  <c r="N1720" i="11"/>
  <c r="AG1720" i="11" s="1"/>
  <c r="AI1719" i="11"/>
  <c r="AH1719" i="11"/>
  <c r="X1719" i="11"/>
  <c r="U1719" i="11"/>
  <c r="T1719" i="11"/>
  <c r="N1719" i="11"/>
  <c r="AG1719" i="11" s="1"/>
  <c r="AI1715" i="11"/>
  <c r="AH1715" i="11"/>
  <c r="X1715" i="11"/>
  <c r="U1715" i="11"/>
  <c r="T1715" i="11"/>
  <c r="N1715" i="11"/>
  <c r="AI2232" i="11" l="1"/>
  <c r="AI1721" i="11"/>
  <c r="AI2234" i="11"/>
  <c r="AI2239" i="11"/>
  <c r="U2234" i="11"/>
  <c r="AH2228" i="11"/>
  <c r="AI2237" i="11"/>
  <c r="U2239" i="11"/>
  <c r="U2232" i="11"/>
  <c r="AI2228" i="11"/>
  <c r="AH2234" i="11"/>
  <c r="AH2232" i="11"/>
  <c r="N2228" i="11"/>
  <c r="AH2230" i="11"/>
  <c r="AH2237" i="11"/>
  <c r="AG2237" i="11"/>
  <c r="AE2237" i="11"/>
  <c r="AE2236" i="11"/>
  <c r="AG2236" i="11"/>
  <c r="AH2239" i="11"/>
  <c r="AG2238" i="11"/>
  <c r="N2239" i="11"/>
  <c r="AI2226" i="11"/>
  <c r="U2226" i="11"/>
  <c r="U2228" i="11"/>
  <c r="AG2232" i="11"/>
  <c r="AE2232" i="11"/>
  <c r="AE2231" i="11"/>
  <c r="AG2231" i="11"/>
  <c r="AI2230" i="11"/>
  <c r="U2230" i="11"/>
  <c r="AG2227" i="11"/>
  <c r="AG2230" i="11"/>
  <c r="AE2230" i="11"/>
  <c r="AE2229" i="11"/>
  <c r="AG2229" i="11"/>
  <c r="AG2234" i="11"/>
  <c r="AE2234" i="11"/>
  <c r="AE2233" i="11"/>
  <c r="AG2233" i="11"/>
  <c r="AH2226" i="11"/>
  <c r="AG2226" i="11"/>
  <c r="AE2226" i="11"/>
  <c r="AE2225" i="11"/>
  <c r="AG2225" i="11"/>
  <c r="T1721" i="11"/>
  <c r="X1721" i="11"/>
  <c r="U1721" i="11"/>
  <c r="N1721" i="11"/>
  <c r="AE1721" i="11" s="1"/>
  <c r="AH1721" i="11"/>
  <c r="AE1715" i="11"/>
  <c r="AE1719" i="11"/>
  <c r="AE1720" i="11"/>
  <c r="AG1715" i="11"/>
  <c r="AE2228" i="11" l="1"/>
  <c r="AG2228" i="11"/>
  <c r="AE2239" i="11"/>
  <c r="AG2239" i="11"/>
  <c r="AG1721" i="11"/>
  <c r="AI305" i="11" l="1"/>
  <c r="AH305" i="11"/>
  <c r="X305" i="11"/>
  <c r="T305" i="11"/>
  <c r="N305" i="11"/>
  <c r="AG305" i="11" s="1"/>
  <c r="AE305" i="11" l="1"/>
  <c r="W1710" i="11" l="1"/>
  <c r="V1710" i="11"/>
  <c r="R1710" i="11"/>
  <c r="Q1710" i="11"/>
  <c r="P1710" i="11"/>
  <c r="M1710" i="11"/>
  <c r="L1710" i="11"/>
  <c r="F1710" i="11"/>
  <c r="AI1709" i="11"/>
  <c r="AH1709" i="11"/>
  <c r="X1709" i="11"/>
  <c r="U1709" i="11"/>
  <c r="T1709" i="11"/>
  <c r="N1709" i="11"/>
  <c r="AG1709" i="11" s="1"/>
  <c r="AI1707" i="11"/>
  <c r="AH1707" i="11"/>
  <c r="X1707" i="11"/>
  <c r="U1707" i="11"/>
  <c r="T1707" i="11"/>
  <c r="N1707" i="11"/>
  <c r="AG1707" i="11" s="1"/>
  <c r="W1706" i="11"/>
  <c r="V1706" i="11"/>
  <c r="S1706" i="11"/>
  <c r="R1706" i="11"/>
  <c r="Q1706" i="11"/>
  <c r="P1706" i="11"/>
  <c r="M1706" i="11"/>
  <c r="L1706" i="11"/>
  <c r="F1706" i="11"/>
  <c r="AI1705" i="11"/>
  <c r="AH1705" i="11"/>
  <c r="X1705" i="11"/>
  <c r="U1705" i="11"/>
  <c r="T1705" i="11"/>
  <c r="N1705" i="11"/>
  <c r="AG1705" i="11" s="1"/>
  <c r="U1706" i="11" l="1"/>
  <c r="U1710" i="11"/>
  <c r="AI1710" i="11"/>
  <c r="T1710" i="11"/>
  <c r="X1706" i="11"/>
  <c r="T1706" i="11"/>
  <c r="AH1710" i="11"/>
  <c r="AI1706" i="11"/>
  <c r="X1710" i="11"/>
  <c r="N1710" i="11"/>
  <c r="AG1710" i="11" s="1"/>
  <c r="AH1706" i="11"/>
  <c r="N1706" i="11"/>
  <c r="AG1706" i="11" s="1"/>
  <c r="AE1707" i="11"/>
  <c r="AE1709" i="11"/>
  <c r="AE1705" i="11"/>
  <c r="AE1710" i="11" l="1"/>
  <c r="AE1706" i="11"/>
  <c r="W2222" i="11" l="1"/>
  <c r="V2222" i="11"/>
  <c r="S2222" i="11"/>
  <c r="R2222" i="11"/>
  <c r="Q2222" i="11"/>
  <c r="P2222" i="11"/>
  <c r="M2222" i="11"/>
  <c r="L2222" i="11"/>
  <c r="F2222" i="11"/>
  <c r="AI2221" i="11"/>
  <c r="AH2221" i="11"/>
  <c r="X2221" i="11"/>
  <c r="X2222" i="11" s="1"/>
  <c r="U2221" i="11"/>
  <c r="T2221" i="11"/>
  <c r="T2222" i="11" s="1"/>
  <c r="N2221" i="11"/>
  <c r="AE2221" i="11" s="1"/>
  <c r="W1698" i="11"/>
  <c r="V1698" i="11"/>
  <c r="S1698" i="11"/>
  <c r="R1698" i="11"/>
  <c r="Q1698" i="11"/>
  <c r="P1698" i="11"/>
  <c r="M1698" i="11"/>
  <c r="L1698" i="11"/>
  <c r="F1698" i="11"/>
  <c r="AI1697" i="11"/>
  <c r="AH1697" i="11"/>
  <c r="X1697" i="11"/>
  <c r="U1697" i="11"/>
  <c r="T1697" i="11"/>
  <c r="N1697" i="11"/>
  <c r="AE1697" i="11" s="1"/>
  <c r="AI1696" i="11"/>
  <c r="AH1696" i="11"/>
  <c r="X1696" i="11"/>
  <c r="U1696" i="11"/>
  <c r="T1696" i="11"/>
  <c r="N1696" i="11"/>
  <c r="AE1696" i="11" s="1"/>
  <c r="AI1700" i="11"/>
  <c r="AH1700" i="11"/>
  <c r="X1700" i="11"/>
  <c r="U1700" i="11"/>
  <c r="T1700" i="11"/>
  <c r="N1700" i="11"/>
  <c r="AE1700" i="11" s="1"/>
  <c r="W1702" i="11"/>
  <c r="V1702" i="11"/>
  <c r="S1702" i="11"/>
  <c r="R1702" i="11"/>
  <c r="Q1702" i="11"/>
  <c r="P1702" i="11"/>
  <c r="M1702" i="11"/>
  <c r="L1702" i="11"/>
  <c r="F1702" i="11"/>
  <c r="AI1701" i="11"/>
  <c r="AH1701" i="11"/>
  <c r="X1701" i="11"/>
  <c r="U1701" i="11"/>
  <c r="T1701" i="11"/>
  <c r="N1701" i="11"/>
  <c r="AE1701" i="11" s="1"/>
  <c r="AI1699" i="11"/>
  <c r="AH1699" i="11"/>
  <c r="X1699" i="11"/>
  <c r="U1699" i="11"/>
  <c r="T1699" i="11"/>
  <c r="N1699" i="11"/>
  <c r="AE1699" i="11" s="1"/>
  <c r="AI2222" i="11" l="1"/>
  <c r="AI1698" i="11"/>
  <c r="AH1698" i="11"/>
  <c r="U2222" i="11"/>
  <c r="T1702" i="11"/>
  <c r="AG2221" i="11"/>
  <c r="AH2222" i="11"/>
  <c r="X1698" i="11"/>
  <c r="N2222" i="11"/>
  <c r="AG1697" i="11"/>
  <c r="AG1696" i="11"/>
  <c r="T1698" i="11"/>
  <c r="U1698" i="11"/>
  <c r="AH1702" i="11"/>
  <c r="N1698" i="11"/>
  <c r="AG1700" i="11"/>
  <c r="X1702" i="11"/>
  <c r="U1702" i="11"/>
  <c r="AG1699" i="11"/>
  <c r="N1702" i="11"/>
  <c r="AG1701" i="11"/>
  <c r="AI1702" i="11"/>
  <c r="AG2222" i="11" l="1"/>
  <c r="AE2222" i="11"/>
  <c r="AG1698" i="11"/>
  <c r="AE1698" i="11"/>
  <c r="AG1702" i="11"/>
  <c r="AE1702" i="11"/>
  <c r="P648" i="11" l="1"/>
  <c r="V2182" i="11" l="1"/>
  <c r="AI254" i="11" l="1"/>
  <c r="AH254" i="11"/>
  <c r="X254" i="11"/>
  <c r="T254" i="11"/>
  <c r="N254" i="11"/>
  <c r="AG254" i="11" s="1"/>
  <c r="S2252" i="11"/>
  <c r="AI482" i="11"/>
  <c r="AH482" i="11"/>
  <c r="X482" i="11"/>
  <c r="T482" i="11"/>
  <c r="N482" i="11"/>
  <c r="AG482" i="11" s="1"/>
  <c r="AI485" i="11"/>
  <c r="AH485" i="11"/>
  <c r="X485" i="11"/>
  <c r="T485" i="11"/>
  <c r="N485" i="11"/>
  <c r="AG485" i="11" s="1"/>
  <c r="AI476" i="11"/>
  <c r="AH476" i="11"/>
  <c r="X476" i="11"/>
  <c r="T476" i="11"/>
  <c r="N476" i="11"/>
  <c r="AG476" i="11" s="1"/>
  <c r="AE254" i="11" l="1"/>
  <c r="AE482" i="11"/>
  <c r="AE485" i="11"/>
  <c r="AE476" i="11"/>
  <c r="W1695" i="11" l="1"/>
  <c r="V1695" i="11"/>
  <c r="S1695" i="11"/>
  <c r="R1695" i="11"/>
  <c r="Q1695" i="11"/>
  <c r="P1695" i="11"/>
  <c r="M1695" i="11"/>
  <c r="L1695" i="11"/>
  <c r="F1695" i="11"/>
  <c r="AI1694" i="11"/>
  <c r="AH1694" i="11"/>
  <c r="X1694" i="11"/>
  <c r="U1694" i="11"/>
  <c r="T1694" i="11"/>
  <c r="N1694" i="11"/>
  <c r="AG1694" i="11" s="1"/>
  <c r="AI1693" i="11"/>
  <c r="AH1693" i="11"/>
  <c r="X1693" i="11"/>
  <c r="U1693" i="11"/>
  <c r="T1693" i="11"/>
  <c r="N1693" i="11"/>
  <c r="AG1693" i="11" s="1"/>
  <c r="T1695" i="11" l="1"/>
  <c r="X1695" i="11"/>
  <c r="U1695" i="11"/>
  <c r="AH1695" i="11"/>
  <c r="AI1695" i="11"/>
  <c r="N1695" i="11"/>
  <c r="AG1695" i="11" s="1"/>
  <c r="AE1693" i="11"/>
  <c r="AE1694" i="11"/>
  <c r="AE1695" i="11" l="1"/>
  <c r="W1417" i="11"/>
  <c r="V1417" i="11"/>
  <c r="S1417" i="11"/>
  <c r="R1417" i="11"/>
  <c r="Q1417" i="11"/>
  <c r="P1417" i="11"/>
  <c r="L1417" i="11"/>
  <c r="F1417" i="11"/>
  <c r="AI1416" i="11"/>
  <c r="AH1416" i="11"/>
  <c r="T1416" i="11"/>
  <c r="U1416" i="11"/>
  <c r="AI1415" i="11"/>
  <c r="AH1415" i="11"/>
  <c r="U1415" i="11"/>
  <c r="T1415" i="11"/>
  <c r="N1415" i="11"/>
  <c r="AG1415" i="11" s="1"/>
  <c r="M1417" i="11"/>
  <c r="L477" i="11"/>
  <c r="T1417" i="11" l="1"/>
  <c r="AH1417" i="11"/>
  <c r="AI1417" i="11"/>
  <c r="U1417" i="11"/>
  <c r="AE1415" i="11"/>
  <c r="X1416" i="11"/>
  <c r="N1416" i="11"/>
  <c r="N1417" i="11" s="1"/>
  <c r="X1415" i="11"/>
  <c r="AG1417" i="11" l="1"/>
  <c r="AE1417" i="11"/>
  <c r="X1417" i="11"/>
  <c r="AG1416" i="11"/>
  <c r="AE1416" i="11"/>
  <c r="U446" i="11" l="1"/>
  <c r="M1036" i="11" l="1"/>
  <c r="P1036" i="11"/>
  <c r="V1036" i="11"/>
  <c r="W1036" i="11"/>
  <c r="L1036" i="11"/>
  <c r="F1036" i="11"/>
  <c r="X1034" i="11"/>
  <c r="AI1034" i="11"/>
  <c r="AH1034" i="11"/>
  <c r="U1034" i="11"/>
  <c r="T1034" i="11"/>
  <c r="N1034" i="11"/>
  <c r="AE1034" i="11" s="1"/>
  <c r="AI1035" i="11"/>
  <c r="AH1035" i="11"/>
  <c r="X1035" i="11"/>
  <c r="U1035" i="11"/>
  <c r="T1035" i="11"/>
  <c r="N1035" i="11"/>
  <c r="AG1035" i="11" s="1"/>
  <c r="AH1036" i="11" l="1"/>
  <c r="T1036" i="11"/>
  <c r="U1036" i="11"/>
  <c r="X1036" i="11"/>
  <c r="N1036" i="11"/>
  <c r="AE1036" i="11" s="1"/>
  <c r="AG1034" i="11"/>
  <c r="AI1036" i="11"/>
  <c r="AE1035" i="11"/>
  <c r="AG1036" i="11" l="1"/>
  <c r="W782" i="11"/>
  <c r="V782" i="11"/>
  <c r="S782" i="11"/>
  <c r="R782" i="11"/>
  <c r="Q782" i="11"/>
  <c r="P782" i="11"/>
  <c r="M782" i="11"/>
  <c r="L782" i="11"/>
  <c r="F782" i="11"/>
  <c r="AI781" i="11"/>
  <c r="AH781" i="11"/>
  <c r="X781" i="11"/>
  <c r="U781" i="11"/>
  <c r="T781" i="11"/>
  <c r="N781" i="11"/>
  <c r="AE781" i="11" s="1"/>
  <c r="AI779" i="11"/>
  <c r="AH779" i="11"/>
  <c r="X779" i="11"/>
  <c r="U779" i="11"/>
  <c r="T779" i="11"/>
  <c r="N779" i="11"/>
  <c r="AE779" i="11" s="1"/>
  <c r="AI778" i="11"/>
  <c r="AH778" i="11"/>
  <c r="X778" i="11"/>
  <c r="U778" i="11"/>
  <c r="T778" i="11"/>
  <c r="N778" i="11"/>
  <c r="AE778" i="11" s="1"/>
  <c r="AI785" i="11"/>
  <c r="AH785" i="11"/>
  <c r="X785" i="11"/>
  <c r="U785" i="11"/>
  <c r="T785" i="11"/>
  <c r="N785" i="11"/>
  <c r="AG785" i="11" s="1"/>
  <c r="W786" i="11"/>
  <c r="V786" i="11"/>
  <c r="S786" i="11"/>
  <c r="R786" i="11"/>
  <c r="Q786" i="11"/>
  <c r="P786" i="11"/>
  <c r="M786" i="11"/>
  <c r="L786" i="11"/>
  <c r="F786" i="11"/>
  <c r="AI783" i="11"/>
  <c r="AH783" i="11"/>
  <c r="X783" i="11"/>
  <c r="U783" i="11"/>
  <c r="T783" i="11"/>
  <c r="N783" i="11"/>
  <c r="AG783" i="11" s="1"/>
  <c r="W777" i="11"/>
  <c r="V777" i="11"/>
  <c r="S777" i="11"/>
  <c r="R777" i="11"/>
  <c r="Q777" i="11"/>
  <c r="P777" i="11"/>
  <c r="M777" i="11"/>
  <c r="L777" i="11"/>
  <c r="F777" i="11"/>
  <c r="AI776" i="11"/>
  <c r="AH776" i="11"/>
  <c r="X776" i="11"/>
  <c r="U776" i="11"/>
  <c r="T776" i="11"/>
  <c r="N776" i="11"/>
  <c r="AG776" i="11" s="1"/>
  <c r="AI775" i="11"/>
  <c r="AH775" i="11"/>
  <c r="X775" i="11"/>
  <c r="U775" i="11"/>
  <c r="T775" i="11"/>
  <c r="N775" i="11"/>
  <c r="AG775" i="11" s="1"/>
  <c r="AI774" i="11"/>
  <c r="AH774" i="11"/>
  <c r="X774" i="11"/>
  <c r="U774" i="11"/>
  <c r="T774" i="11"/>
  <c r="N774" i="11"/>
  <c r="AG774" i="11" s="1"/>
  <c r="W1688" i="11"/>
  <c r="V1688" i="11"/>
  <c r="S1688" i="11"/>
  <c r="R1688" i="11"/>
  <c r="Q1688" i="11"/>
  <c r="P1688" i="11"/>
  <c r="M1688" i="11"/>
  <c r="L1688" i="11"/>
  <c r="F1688" i="11"/>
  <c r="AI1687" i="11"/>
  <c r="AH1687" i="11"/>
  <c r="X1687" i="11"/>
  <c r="U1687" i="11"/>
  <c r="T1687" i="11"/>
  <c r="N1687" i="11"/>
  <c r="AG1687" i="11" s="1"/>
  <c r="AI1685" i="11"/>
  <c r="AH1685" i="11"/>
  <c r="X1685" i="11"/>
  <c r="U1685" i="11"/>
  <c r="T1685" i="11"/>
  <c r="N1685" i="11"/>
  <c r="AG1685" i="11" s="1"/>
  <c r="AI1682" i="11"/>
  <c r="AH1682" i="11"/>
  <c r="X1682" i="11"/>
  <c r="U1682" i="11"/>
  <c r="T1682" i="11"/>
  <c r="N1682" i="11"/>
  <c r="AG1682" i="11" s="1"/>
  <c r="V503" i="11"/>
  <c r="R503" i="11"/>
  <c r="Q503" i="11"/>
  <c r="P503" i="11"/>
  <c r="L503" i="11"/>
  <c r="F503" i="11"/>
  <c r="AI502" i="11"/>
  <c r="AH502" i="11"/>
  <c r="X502" i="11"/>
  <c r="AI501" i="11"/>
  <c r="X501" i="11"/>
  <c r="W503" i="11"/>
  <c r="S503" i="11"/>
  <c r="M503" i="11"/>
  <c r="U503" i="11" l="1"/>
  <c r="U782" i="11"/>
  <c r="X782" i="11"/>
  <c r="X777" i="11"/>
  <c r="X1688" i="11"/>
  <c r="AH777" i="11"/>
  <c r="T786" i="11"/>
  <c r="AI782" i="11"/>
  <c r="T782" i="11"/>
  <c r="T777" i="11"/>
  <c r="AG781" i="11"/>
  <c r="AG778" i="11"/>
  <c r="T1688" i="11"/>
  <c r="U777" i="11"/>
  <c r="AI777" i="11"/>
  <c r="AG779" i="11"/>
  <c r="AH782" i="11"/>
  <c r="N782" i="11"/>
  <c r="AI786" i="11"/>
  <c r="AH786" i="11"/>
  <c r="AE785" i="11"/>
  <c r="X786" i="11"/>
  <c r="U786" i="11"/>
  <c r="N786" i="11"/>
  <c r="AE783" i="11"/>
  <c r="N777" i="11"/>
  <c r="U1688" i="11"/>
  <c r="AE774" i="11"/>
  <c r="AE775" i="11"/>
  <c r="AE776" i="11"/>
  <c r="AI1688" i="11"/>
  <c r="AH1688" i="11"/>
  <c r="N1688" i="11"/>
  <c r="AE1682" i="11"/>
  <c r="AE1685" i="11"/>
  <c r="AE1687" i="11"/>
  <c r="AH503" i="11"/>
  <c r="AI503" i="11"/>
  <c r="X503" i="11"/>
  <c r="T501" i="11"/>
  <c r="T502" i="11"/>
  <c r="N501" i="11"/>
  <c r="N502" i="11"/>
  <c r="AH501" i="11"/>
  <c r="AE782" i="11" l="1"/>
  <c r="AG782" i="11"/>
  <c r="AE786" i="11"/>
  <c r="AG786" i="11"/>
  <c r="AE777" i="11"/>
  <c r="AG777" i="11"/>
  <c r="AE1688" i="11"/>
  <c r="AG1688" i="11"/>
  <c r="N503" i="11"/>
  <c r="AG501" i="11"/>
  <c r="AE501" i="11"/>
  <c r="AG502" i="11"/>
  <c r="AE502" i="11"/>
  <c r="T503" i="11"/>
  <c r="AG503" i="11" l="1"/>
  <c r="AE503" i="11"/>
  <c r="M420" i="11" l="1"/>
  <c r="P420" i="11"/>
  <c r="Q420" i="11"/>
  <c r="R420" i="11"/>
  <c r="S420" i="11"/>
  <c r="V420" i="11"/>
  <c r="W420" i="11"/>
  <c r="L420" i="11"/>
  <c r="F420" i="11"/>
  <c r="AI417" i="11"/>
  <c r="X417" i="11"/>
  <c r="AH417" i="11"/>
  <c r="N417" i="11"/>
  <c r="AH419" i="11"/>
  <c r="T419" i="11"/>
  <c r="W773" i="11"/>
  <c r="V773" i="11"/>
  <c r="S773" i="11"/>
  <c r="R773" i="11"/>
  <c r="Q773" i="11"/>
  <c r="P773" i="11"/>
  <c r="M773" i="11"/>
  <c r="L773" i="11"/>
  <c r="F773" i="11"/>
  <c r="AI772" i="11"/>
  <c r="AH772" i="11"/>
  <c r="X772" i="11"/>
  <c r="U772" i="11"/>
  <c r="T772" i="11"/>
  <c r="N772" i="11"/>
  <c r="AG772" i="11" s="1"/>
  <c r="AI770" i="11"/>
  <c r="AH770" i="11"/>
  <c r="X770" i="11"/>
  <c r="U770" i="11"/>
  <c r="T770" i="11"/>
  <c r="N770" i="11"/>
  <c r="U420" i="11" l="1"/>
  <c r="AH420" i="11"/>
  <c r="AI773" i="11"/>
  <c r="X773" i="11"/>
  <c r="U773" i="11"/>
  <c r="T773" i="11"/>
  <c r="AI420" i="11"/>
  <c r="AG417" i="11"/>
  <c r="AE417" i="11"/>
  <c r="T417" i="11"/>
  <c r="T420" i="11" s="1"/>
  <c r="N419" i="11"/>
  <c r="N420" i="11" s="1"/>
  <c r="X419" i="11"/>
  <c r="X420" i="11" s="1"/>
  <c r="AI419" i="11"/>
  <c r="N773" i="11"/>
  <c r="AG773" i="11" s="1"/>
  <c r="AH773" i="11"/>
  <c r="AE770" i="11"/>
  <c r="AE772" i="11"/>
  <c r="AG770" i="11"/>
  <c r="W769" i="11"/>
  <c r="V769" i="11"/>
  <c r="S769" i="11"/>
  <c r="R769" i="11"/>
  <c r="Q769" i="11"/>
  <c r="P769" i="11"/>
  <c r="M769" i="11"/>
  <c r="L769" i="11"/>
  <c r="F769" i="11"/>
  <c r="AI768" i="11"/>
  <c r="AH768" i="11"/>
  <c r="X768" i="11"/>
  <c r="U768" i="11"/>
  <c r="T768" i="11"/>
  <c r="N768" i="11"/>
  <c r="T769" i="11" l="1"/>
  <c r="X769" i="11"/>
  <c r="AH769" i="11"/>
  <c r="AE773" i="11"/>
  <c r="AG419" i="11"/>
  <c r="AE419" i="11"/>
  <c r="N769" i="11"/>
  <c r="AE769" i="11" s="1"/>
  <c r="AI769" i="11"/>
  <c r="U769" i="11"/>
  <c r="AE768" i="11"/>
  <c r="AG768" i="11"/>
  <c r="AG769" i="11" l="1"/>
  <c r="AG420" i="11"/>
  <c r="AE420" i="11"/>
  <c r="W767" i="11" l="1"/>
  <c r="V767" i="11"/>
  <c r="S767" i="11"/>
  <c r="R767" i="11"/>
  <c r="Q767" i="11"/>
  <c r="P767" i="11"/>
  <c r="M767" i="11"/>
  <c r="L767" i="11"/>
  <c r="F767" i="11"/>
  <c r="AI766" i="11"/>
  <c r="AH766" i="11"/>
  <c r="X766" i="11"/>
  <c r="U766" i="11"/>
  <c r="T766" i="11"/>
  <c r="N766" i="11"/>
  <c r="AG766" i="11" s="1"/>
  <c r="AI765" i="11"/>
  <c r="AH765" i="11"/>
  <c r="X765" i="11"/>
  <c r="U765" i="11"/>
  <c r="T765" i="11"/>
  <c r="N765" i="11"/>
  <c r="AG765" i="11" s="1"/>
  <c r="W764" i="11"/>
  <c r="V764" i="11"/>
  <c r="S764" i="11"/>
  <c r="R764" i="11"/>
  <c r="Q764" i="11"/>
  <c r="P764" i="11"/>
  <c r="M764" i="11"/>
  <c r="L764" i="11"/>
  <c r="F764" i="11"/>
  <c r="AI763" i="11"/>
  <c r="AH763" i="11"/>
  <c r="X763" i="11"/>
  <c r="U763" i="11"/>
  <c r="T763" i="11"/>
  <c r="N763" i="11"/>
  <c r="AG763" i="11" s="1"/>
  <c r="AI761" i="11"/>
  <c r="AH761" i="11"/>
  <c r="X761" i="11"/>
  <c r="U761" i="11"/>
  <c r="T761" i="11"/>
  <c r="N761" i="11"/>
  <c r="AG761" i="11" s="1"/>
  <c r="U764" i="11" l="1"/>
  <c r="T767" i="11"/>
  <c r="U767" i="11"/>
  <c r="X764" i="11"/>
  <c r="T764" i="11"/>
  <c r="N764" i="11"/>
  <c r="AG764" i="11" s="1"/>
  <c r="AH764" i="11"/>
  <c r="AI767" i="11"/>
  <c r="AI764" i="11"/>
  <c r="X767" i="11"/>
  <c r="N767" i="11"/>
  <c r="AH767" i="11"/>
  <c r="AE765" i="11"/>
  <c r="AE766" i="11"/>
  <c r="AE761" i="11"/>
  <c r="AE763" i="11"/>
  <c r="AG767" i="11" l="1"/>
  <c r="AE764" i="11"/>
  <c r="AE767" i="11"/>
  <c r="W379" i="11" l="1"/>
  <c r="V379" i="11"/>
  <c r="S379" i="11"/>
  <c r="R379" i="11"/>
  <c r="Q379" i="11"/>
  <c r="P379" i="11"/>
  <c r="M379" i="11"/>
  <c r="L379" i="11"/>
  <c r="F379" i="11"/>
  <c r="AI378" i="11"/>
  <c r="AH378" i="11"/>
  <c r="X378" i="11"/>
  <c r="X379" i="11" s="1"/>
  <c r="T378" i="11"/>
  <c r="T379" i="11" s="1"/>
  <c r="N378" i="11"/>
  <c r="AG378" i="11" s="1"/>
  <c r="U379" i="11" l="1"/>
  <c r="AH379" i="11"/>
  <c r="AI379" i="11"/>
  <c r="N379" i="11"/>
  <c r="AE378" i="11"/>
  <c r="AE379" i="11" l="1"/>
  <c r="AG379" i="11"/>
  <c r="W1681" i="11" l="1"/>
  <c r="V1681" i="11"/>
  <c r="S1681" i="11"/>
  <c r="R1681" i="11"/>
  <c r="Q1681" i="11"/>
  <c r="M1681" i="11"/>
  <c r="L1681" i="11"/>
  <c r="F1681" i="11"/>
  <c r="AI1680" i="11"/>
  <c r="AH1680" i="11"/>
  <c r="X1680" i="11"/>
  <c r="U1680" i="11"/>
  <c r="T1680" i="11"/>
  <c r="N1680" i="11"/>
  <c r="AG1680" i="11" s="1"/>
  <c r="AI1678" i="11"/>
  <c r="AH1678" i="11"/>
  <c r="X1678" i="11"/>
  <c r="U1678" i="11"/>
  <c r="T1678" i="11"/>
  <c r="N1678" i="11"/>
  <c r="AI1691" i="11"/>
  <c r="AH1691" i="11"/>
  <c r="X1691" i="11"/>
  <c r="U1691" i="11"/>
  <c r="T1691" i="11"/>
  <c r="N1691" i="11"/>
  <c r="AG1691" i="11" s="1"/>
  <c r="AI1690" i="11"/>
  <c r="AH1690" i="11"/>
  <c r="X1690" i="11"/>
  <c r="U1690" i="11"/>
  <c r="T1690" i="11"/>
  <c r="N1690" i="11"/>
  <c r="AG1690" i="11" s="1"/>
  <c r="W1692" i="11"/>
  <c r="V1692" i="11"/>
  <c r="S1692" i="11"/>
  <c r="R1692" i="11"/>
  <c r="Q1692" i="11"/>
  <c r="P1692" i="11"/>
  <c r="M1692" i="11"/>
  <c r="L1692" i="11"/>
  <c r="F1692" i="11"/>
  <c r="AI1689" i="11"/>
  <c r="AH1689" i="11"/>
  <c r="X1689" i="11"/>
  <c r="U1689" i="11"/>
  <c r="T1689" i="11"/>
  <c r="N1689" i="11"/>
  <c r="AI1692" i="11" l="1"/>
  <c r="AI1681" i="11"/>
  <c r="X1681" i="11"/>
  <c r="AH1681" i="11"/>
  <c r="T1681" i="11"/>
  <c r="N1681" i="11"/>
  <c r="AE1681" i="11" s="1"/>
  <c r="U1681" i="11"/>
  <c r="T1692" i="11"/>
  <c r="AE1678" i="11"/>
  <c r="AE1680" i="11"/>
  <c r="AG1678" i="11"/>
  <c r="X1692" i="11"/>
  <c r="AE1691" i="11"/>
  <c r="AH1692" i="11"/>
  <c r="AE1690" i="11"/>
  <c r="N1692" i="11"/>
  <c r="AE1692" i="11" s="1"/>
  <c r="U1692" i="11"/>
  <c r="AE1689" i="11"/>
  <c r="AG1689" i="11"/>
  <c r="AG1681" i="11" l="1"/>
  <c r="AG1692" i="11"/>
  <c r="U535" i="11" l="1"/>
  <c r="U536" i="11"/>
  <c r="U538" i="11"/>
  <c r="U541" i="11"/>
  <c r="U544" i="11"/>
  <c r="U545" i="11"/>
  <c r="U547" i="11"/>
  <c r="U549" i="11"/>
  <c r="U552" i="11"/>
  <c r="U553" i="11"/>
  <c r="U569" i="11"/>
  <c r="U570" i="11"/>
  <c r="U572" i="11"/>
  <c r="U575" i="11"/>
  <c r="U576" i="11"/>
  <c r="U582" i="11"/>
  <c r="U583" i="11"/>
  <c r="U585" i="11"/>
  <c r="U592" i="11"/>
  <c r="U596" i="11"/>
  <c r="U597" i="11"/>
  <c r="U599" i="11"/>
  <c r="U600" i="11"/>
  <c r="U602" i="11"/>
  <c r="U604" i="11"/>
  <c r="U605" i="11"/>
  <c r="U607" i="11"/>
  <c r="U610" i="11"/>
  <c r="U612" i="11"/>
  <c r="U613" i="11"/>
  <c r="U615" i="11"/>
  <c r="U616" i="11"/>
  <c r="U618" i="11"/>
  <c r="U620" i="11"/>
  <c r="U621" i="11"/>
  <c r="U623" i="11"/>
  <c r="U625" i="11"/>
  <c r="U626" i="11"/>
  <c r="U628" i="11"/>
  <c r="U629" i="11"/>
  <c r="U631" i="11"/>
  <c r="U632" i="11"/>
  <c r="U634" i="11"/>
  <c r="U636" i="11"/>
  <c r="U637" i="11"/>
  <c r="U639" i="11"/>
  <c r="U640" i="11"/>
  <c r="U642" i="11"/>
  <c r="U643" i="11"/>
  <c r="U645" i="11"/>
  <c r="U647" i="11"/>
  <c r="U649" i="11"/>
  <c r="U650" i="11"/>
  <c r="U652" i="11"/>
  <c r="U653" i="11"/>
  <c r="U655" i="11"/>
  <c r="U656" i="11"/>
  <c r="U661" i="11"/>
  <c r="U663" i="11"/>
  <c r="U665" i="11"/>
  <c r="U667" i="11"/>
  <c r="U668" i="11"/>
  <c r="U670" i="11"/>
  <c r="U671" i="11"/>
  <c r="U673" i="11"/>
  <c r="U674" i="11"/>
  <c r="U676" i="11"/>
  <c r="U677" i="11"/>
  <c r="U684" i="11"/>
  <c r="U686" i="11"/>
  <c r="U688" i="11"/>
  <c r="U689" i="11"/>
  <c r="U691" i="11"/>
  <c r="U692" i="11"/>
  <c r="U694" i="11"/>
  <c r="U695" i="11"/>
  <c r="U697" i="11"/>
  <c r="U698" i="11"/>
  <c r="U700" i="11"/>
  <c r="U701" i="11"/>
  <c r="U703" i="11"/>
  <c r="U704" i="11"/>
  <c r="U706" i="11"/>
  <c r="U708" i="11"/>
  <c r="U710" i="11"/>
  <c r="U711" i="11"/>
  <c r="U713" i="11"/>
  <c r="U714" i="11"/>
  <c r="U716" i="11"/>
  <c r="U717" i="11"/>
  <c r="U719" i="11"/>
  <c r="U720" i="11"/>
  <c r="U722" i="11"/>
  <c r="U723" i="11"/>
  <c r="U725" i="11"/>
  <c r="U727" i="11"/>
  <c r="U729" i="11"/>
  <c r="U731" i="11"/>
  <c r="U733" i="11"/>
  <c r="U734" i="11"/>
  <c r="U736" i="11"/>
  <c r="U737" i="11"/>
  <c r="U739" i="11"/>
  <c r="U740" i="11"/>
  <c r="U742" i="11"/>
  <c r="U743" i="11"/>
  <c r="U745" i="11"/>
  <c r="U746" i="11"/>
  <c r="U748" i="11"/>
  <c r="U749" i="11"/>
  <c r="U751" i="11"/>
  <c r="U754" i="11"/>
  <c r="U756" i="11"/>
  <c r="U759" i="11"/>
  <c r="U925" i="11"/>
  <c r="U1025" i="11"/>
  <c r="U1026" i="11"/>
  <c r="U1028" i="11"/>
  <c r="U1037" i="11"/>
  <c r="U1041" i="11"/>
  <c r="U1049" i="11"/>
  <c r="U1053" i="11"/>
  <c r="U1055" i="11"/>
  <c r="U1063" i="11"/>
  <c r="U1065" i="11"/>
  <c r="U1067" i="11"/>
  <c r="U1069" i="11"/>
  <c r="U1071" i="11"/>
  <c r="U1073" i="11"/>
  <c r="U1075" i="11"/>
  <c r="U1077" i="11"/>
  <c r="U1079" i="11"/>
  <c r="U1081" i="11"/>
  <c r="U1083" i="11"/>
  <c r="U1087" i="11"/>
  <c r="U1089" i="11"/>
  <c r="U1091" i="11"/>
  <c r="U1093" i="11"/>
  <c r="U1097" i="11"/>
  <c r="U1099" i="11"/>
  <c r="U1101" i="11"/>
  <c r="U1103" i="11"/>
  <c r="U1105" i="11"/>
  <c r="U1107" i="11"/>
  <c r="U1109" i="11"/>
  <c r="U1111" i="11"/>
  <c r="U1113" i="11"/>
  <c r="U1115" i="11"/>
  <c r="U1117" i="11"/>
  <c r="U1119" i="11"/>
  <c r="U1121" i="11"/>
  <c r="U1127" i="11"/>
  <c r="U1165" i="11"/>
  <c r="U1168" i="11"/>
  <c r="U1170" i="11"/>
  <c r="U1172" i="11"/>
  <c r="U1211" i="11"/>
  <c r="U1215" i="11"/>
  <c r="U1221" i="11"/>
  <c r="U1224" i="11"/>
  <c r="U1236" i="11"/>
  <c r="U1258" i="11"/>
  <c r="U1260" i="11"/>
  <c r="U1265" i="11"/>
  <c r="U1266" i="11"/>
  <c r="U1268" i="11"/>
  <c r="U1373" i="11"/>
  <c r="U1391" i="11"/>
  <c r="U1394" i="11"/>
  <c r="U1401" i="11"/>
  <c r="U1493" i="11"/>
  <c r="U1506" i="11"/>
  <c r="U1508" i="11"/>
  <c r="U1528" i="11"/>
  <c r="U1541" i="11"/>
  <c r="U1542" i="11"/>
  <c r="U1547" i="11"/>
  <c r="U1548" i="11"/>
  <c r="U1572" i="11"/>
  <c r="U1628" i="11"/>
  <c r="U1636" i="11"/>
  <c r="U1646" i="11"/>
  <c r="U1648" i="11"/>
  <c r="U1651" i="11"/>
  <c r="U1652" i="11"/>
  <c r="U1656" i="11"/>
  <c r="U1660" i="11"/>
  <c r="U1662" i="11"/>
  <c r="U1666" i="11"/>
  <c r="U1671" i="11"/>
  <c r="U1672" i="11"/>
  <c r="U1674" i="11"/>
  <c r="U1675" i="11"/>
  <c r="U1676" i="11"/>
  <c r="U1711" i="11"/>
  <c r="U1713" i="11"/>
  <c r="U2137" i="11"/>
  <c r="U2139" i="11"/>
  <c r="U2143" i="11"/>
  <c r="U2145" i="11"/>
  <c r="U2147" i="11"/>
  <c r="U2151" i="11"/>
  <c r="U2155" i="11"/>
  <c r="U2157" i="11"/>
  <c r="U2159" i="11"/>
  <c r="U2165" i="11"/>
  <c r="U2167" i="11"/>
  <c r="U2168" i="11"/>
  <c r="U2170" i="11"/>
  <c r="U2171" i="11"/>
  <c r="U2173" i="11"/>
  <c r="U2175" i="11"/>
  <c r="U2181" i="11"/>
  <c r="U2183" i="11"/>
  <c r="U2187" i="11"/>
  <c r="U2191" i="11"/>
  <c r="U2195" i="11"/>
  <c r="U2201" i="11"/>
  <c r="U2203" i="11"/>
  <c r="U2207" i="11"/>
  <c r="U2211" i="11"/>
  <c r="U2217" i="11"/>
  <c r="U2219" i="11"/>
  <c r="U2240" i="11"/>
  <c r="U2246" i="11"/>
  <c r="U2249" i="11"/>
  <c r="U2253" i="11"/>
  <c r="U554" i="11"/>
  <c r="U1047" i="11"/>
  <c r="U679" i="11"/>
  <c r="U718" i="11" l="1"/>
  <c r="U644" i="11"/>
  <c r="U2189" i="11"/>
  <c r="U608" i="11"/>
  <c r="U1085" i="11" l="1"/>
  <c r="U1269" i="11" l="1"/>
  <c r="U682" i="11"/>
  <c r="U1270" i="11"/>
  <c r="U586" i="11" l="1"/>
  <c r="U594" i="11"/>
  <c r="U590" i="11"/>
  <c r="U588" i="11"/>
  <c r="U2163" i="11" l="1"/>
  <c r="U658" i="11" l="1"/>
  <c r="U1043" i="11" l="1"/>
  <c r="W1122" i="11"/>
  <c r="V1122" i="11"/>
  <c r="S1122" i="11"/>
  <c r="R1122" i="11"/>
  <c r="Q1122" i="11"/>
  <c r="P1122" i="11"/>
  <c r="M1122" i="11"/>
  <c r="L1122" i="11"/>
  <c r="F1122" i="11"/>
  <c r="AI1121" i="11"/>
  <c r="AH1121" i="11"/>
  <c r="X1121" i="11"/>
  <c r="X1122" i="11" s="1"/>
  <c r="T1121" i="11"/>
  <c r="T1122" i="11" s="1"/>
  <c r="N1121" i="11"/>
  <c r="AE1121" i="11" s="1"/>
  <c r="W755" i="11"/>
  <c r="V755" i="11"/>
  <c r="S755" i="11"/>
  <c r="R755" i="11"/>
  <c r="Q755" i="11"/>
  <c r="P755" i="11"/>
  <c r="M755" i="11"/>
  <c r="L755" i="11"/>
  <c r="F755" i="11"/>
  <c r="AI754" i="11"/>
  <c r="AH754" i="11"/>
  <c r="X754" i="11"/>
  <c r="T754" i="11"/>
  <c r="N754" i="11"/>
  <c r="AG754" i="11" s="1"/>
  <c r="AI751" i="11"/>
  <c r="AH751" i="11"/>
  <c r="X751" i="11"/>
  <c r="T751" i="11"/>
  <c r="N751" i="11"/>
  <c r="AG751" i="11" s="1"/>
  <c r="W760" i="11"/>
  <c r="V760" i="11"/>
  <c r="S760" i="11"/>
  <c r="Q760" i="11"/>
  <c r="P760" i="11"/>
  <c r="M760" i="11"/>
  <c r="L760" i="11"/>
  <c r="F760" i="11"/>
  <c r="AI759" i="11"/>
  <c r="AH759" i="11"/>
  <c r="X759" i="11"/>
  <c r="T759" i="11"/>
  <c r="N759" i="11"/>
  <c r="AE759" i="11" s="1"/>
  <c r="AI756" i="11"/>
  <c r="AH756" i="11"/>
  <c r="X756" i="11"/>
  <c r="T756" i="11"/>
  <c r="N756" i="11"/>
  <c r="AE756" i="11" s="1"/>
  <c r="W750" i="11"/>
  <c r="V750" i="11"/>
  <c r="S750" i="11"/>
  <c r="R750" i="11"/>
  <c r="Q750" i="11"/>
  <c r="P750" i="11"/>
  <c r="M750" i="11"/>
  <c r="L750" i="11"/>
  <c r="AI749" i="11"/>
  <c r="AH749" i="11"/>
  <c r="X749" i="11"/>
  <c r="T749" i="11"/>
  <c r="N749" i="11"/>
  <c r="AE749" i="11" s="1"/>
  <c r="AI748" i="11"/>
  <c r="AH748" i="11"/>
  <c r="X748" i="11"/>
  <c r="T748" i="11"/>
  <c r="N748" i="11"/>
  <c r="AE748" i="11" s="1"/>
  <c r="W927" i="11"/>
  <c r="V927" i="11"/>
  <c r="S927" i="11"/>
  <c r="R927" i="11"/>
  <c r="Q927" i="11"/>
  <c r="P927" i="11"/>
  <c r="M927" i="11"/>
  <c r="L927" i="11"/>
  <c r="F927" i="11"/>
  <c r="AI925" i="11"/>
  <c r="AH925" i="11"/>
  <c r="X925" i="11"/>
  <c r="N925" i="11"/>
  <c r="AI746" i="11"/>
  <c r="AH746" i="11"/>
  <c r="X746" i="11"/>
  <c r="T746" i="11"/>
  <c r="N746" i="11"/>
  <c r="AG746" i="11" s="1"/>
  <c r="W747" i="11"/>
  <c r="V747" i="11"/>
  <c r="S747" i="11"/>
  <c r="R747" i="11"/>
  <c r="Q747" i="11"/>
  <c r="P747" i="11"/>
  <c r="M747" i="11"/>
  <c r="L747" i="11"/>
  <c r="F747" i="11"/>
  <c r="AI745" i="11"/>
  <c r="AH745" i="11"/>
  <c r="X745" i="11"/>
  <c r="T745" i="11"/>
  <c r="N745" i="11"/>
  <c r="W724" i="11"/>
  <c r="V724" i="11"/>
  <c r="S724" i="11"/>
  <c r="R724" i="11"/>
  <c r="Q724" i="11"/>
  <c r="P724" i="11"/>
  <c r="M724" i="11"/>
  <c r="L724" i="11"/>
  <c r="F724" i="11"/>
  <c r="AI723" i="11"/>
  <c r="AH723" i="11"/>
  <c r="X723" i="11"/>
  <c r="T723" i="11"/>
  <c r="N723" i="11"/>
  <c r="AG723" i="11" s="1"/>
  <c r="AI722" i="11"/>
  <c r="AH722" i="11"/>
  <c r="X722" i="11"/>
  <c r="T722" i="11"/>
  <c r="N722" i="11"/>
  <c r="W1166" i="11"/>
  <c r="V1166" i="11"/>
  <c r="S1166" i="11"/>
  <c r="R1166" i="11"/>
  <c r="Q1166" i="11"/>
  <c r="P1166" i="11"/>
  <c r="M1166" i="11"/>
  <c r="L1166" i="11"/>
  <c r="F1166" i="11"/>
  <c r="AI1165" i="11"/>
  <c r="AH1165" i="11"/>
  <c r="X1165" i="11"/>
  <c r="X1166" i="11" s="1"/>
  <c r="T1165" i="11"/>
  <c r="T1166" i="11" s="1"/>
  <c r="N1165" i="11"/>
  <c r="AE1165" i="11" s="1"/>
  <c r="W738" i="11"/>
  <c r="V738" i="11"/>
  <c r="S738" i="11"/>
  <c r="R738" i="11"/>
  <c r="P738" i="11"/>
  <c r="M738" i="11"/>
  <c r="L738" i="11"/>
  <c r="F738" i="11"/>
  <c r="AI737" i="11"/>
  <c r="AH737" i="11"/>
  <c r="X737" i="11"/>
  <c r="T737" i="11"/>
  <c r="N737" i="11"/>
  <c r="AE737" i="11" s="1"/>
  <c r="AI736" i="11"/>
  <c r="AH736" i="11"/>
  <c r="X736" i="11"/>
  <c r="T736" i="11"/>
  <c r="N736" i="11"/>
  <c r="AE736" i="11" s="1"/>
  <c r="W735" i="11"/>
  <c r="V735" i="11"/>
  <c r="S735" i="11"/>
  <c r="R735" i="11"/>
  <c r="P735" i="11"/>
  <c r="M735" i="11"/>
  <c r="L735" i="11"/>
  <c r="F735" i="11"/>
  <c r="AI734" i="11"/>
  <c r="AH734" i="11"/>
  <c r="X734" i="11"/>
  <c r="T734" i="11"/>
  <c r="N734" i="11"/>
  <c r="AE734" i="11" s="1"/>
  <c r="AI733" i="11"/>
  <c r="AH733" i="11"/>
  <c r="X733" i="11"/>
  <c r="T733" i="11"/>
  <c r="N733" i="11"/>
  <c r="AE733" i="11" s="1"/>
  <c r="W728" i="11"/>
  <c r="V728" i="11"/>
  <c r="S728" i="11"/>
  <c r="R728" i="11"/>
  <c r="Q728" i="11"/>
  <c r="P728" i="11"/>
  <c r="M728" i="11"/>
  <c r="L728" i="11"/>
  <c r="F728" i="11"/>
  <c r="AI727" i="11"/>
  <c r="AH727" i="11"/>
  <c r="X727" i="11"/>
  <c r="T727" i="11"/>
  <c r="N727" i="11"/>
  <c r="AE727" i="11" s="1"/>
  <c r="AI725" i="11"/>
  <c r="AH725" i="11"/>
  <c r="X725" i="11"/>
  <c r="T725" i="11"/>
  <c r="N725" i="11"/>
  <c r="AE725" i="11" s="1"/>
  <c r="W732" i="11"/>
  <c r="V732" i="11"/>
  <c r="S732" i="11"/>
  <c r="R732" i="11"/>
  <c r="P732" i="11"/>
  <c r="M732" i="11"/>
  <c r="L732" i="11"/>
  <c r="F732" i="11"/>
  <c r="AI731" i="11"/>
  <c r="AH731" i="11"/>
  <c r="X731" i="11"/>
  <c r="T731" i="11"/>
  <c r="N731" i="11"/>
  <c r="AG731" i="11" s="1"/>
  <c r="AI729" i="11"/>
  <c r="AH729" i="11"/>
  <c r="X729" i="11"/>
  <c r="T729" i="11"/>
  <c r="N729" i="11"/>
  <c r="W741" i="11"/>
  <c r="V741" i="11"/>
  <c r="S741" i="11"/>
  <c r="R741" i="11"/>
  <c r="Q741" i="11"/>
  <c r="P741" i="11"/>
  <c r="M741" i="11"/>
  <c r="L741" i="11"/>
  <c r="F741" i="11"/>
  <c r="AI740" i="11"/>
  <c r="AH740" i="11"/>
  <c r="X740" i="11"/>
  <c r="T740" i="11"/>
  <c r="N740" i="11"/>
  <c r="AE740" i="11" s="1"/>
  <c r="AI739" i="11"/>
  <c r="AH739" i="11"/>
  <c r="X739" i="11"/>
  <c r="T739" i="11"/>
  <c r="N739" i="11"/>
  <c r="AE739" i="11" s="1"/>
  <c r="W744" i="11"/>
  <c r="V744" i="11"/>
  <c r="S744" i="11"/>
  <c r="R744" i="11"/>
  <c r="Q744" i="11"/>
  <c r="P744" i="11"/>
  <c r="M744" i="11"/>
  <c r="L744" i="11"/>
  <c r="F744" i="11"/>
  <c r="AI743" i="11"/>
  <c r="AH743" i="11"/>
  <c r="X743" i="11"/>
  <c r="T743" i="11"/>
  <c r="N743" i="11"/>
  <c r="AE743" i="11" s="1"/>
  <c r="AI742" i="11"/>
  <c r="AH742" i="11"/>
  <c r="X742" i="11"/>
  <c r="T742" i="11"/>
  <c r="N742" i="11"/>
  <c r="AE742" i="11" s="1"/>
  <c r="W1120" i="11"/>
  <c r="V1120" i="11"/>
  <c r="S1120" i="11"/>
  <c r="R1120" i="11"/>
  <c r="Q1120" i="11"/>
  <c r="P1120" i="11"/>
  <c r="M1120" i="11"/>
  <c r="L1120" i="11"/>
  <c r="F1120" i="11"/>
  <c r="AI1119" i="11"/>
  <c r="AH1119" i="11"/>
  <c r="X1119" i="11"/>
  <c r="X1120" i="11" s="1"/>
  <c r="T1119" i="11"/>
  <c r="T1120" i="11" s="1"/>
  <c r="N1119" i="11"/>
  <c r="N1120" i="11" s="1"/>
  <c r="AI1120" i="11" l="1"/>
  <c r="AI732" i="11"/>
  <c r="AI724" i="11"/>
  <c r="AI927" i="11"/>
  <c r="U738" i="11"/>
  <c r="U747" i="11"/>
  <c r="AI1122" i="11"/>
  <c r="U755" i="11"/>
  <c r="U1120" i="11"/>
  <c r="U732" i="11"/>
  <c r="U728" i="11"/>
  <c r="U760" i="11"/>
  <c r="U750" i="11"/>
  <c r="U1122" i="11"/>
  <c r="U741" i="11"/>
  <c r="U927" i="11"/>
  <c r="U744" i="11"/>
  <c r="U735" i="11"/>
  <c r="U724" i="11"/>
  <c r="U1166" i="11"/>
  <c r="X738" i="11"/>
  <c r="X724" i="11"/>
  <c r="AI760" i="11"/>
  <c r="AH728" i="11"/>
  <c r="T735" i="11"/>
  <c r="X728" i="11"/>
  <c r="X732" i="11"/>
  <c r="X755" i="11"/>
  <c r="T755" i="11"/>
  <c r="T724" i="11"/>
  <c r="X760" i="11"/>
  <c r="X741" i="11"/>
  <c r="T927" i="11"/>
  <c r="X927" i="11"/>
  <c r="T760" i="11"/>
  <c r="AH1122" i="11"/>
  <c r="AG727" i="11"/>
  <c r="T744" i="11"/>
  <c r="T732" i="11"/>
  <c r="AH738" i="11"/>
  <c r="T747" i="11"/>
  <c r="T750" i="11"/>
  <c r="AG737" i="11"/>
  <c r="AG725" i="11"/>
  <c r="N1166" i="11"/>
  <c r="X747" i="11"/>
  <c r="T741" i="11"/>
  <c r="T728" i="11"/>
  <c r="T738" i="11"/>
  <c r="X750" i="11"/>
  <c r="AG749" i="11"/>
  <c r="AG736" i="11"/>
  <c r="AI750" i="11"/>
  <c r="X744" i="11"/>
  <c r="AI728" i="11"/>
  <c r="X735" i="11"/>
  <c r="AI738" i="11"/>
  <c r="AG748" i="11"/>
  <c r="AH750" i="11"/>
  <c r="AH755" i="11"/>
  <c r="AG1121" i="11"/>
  <c r="N1122" i="11"/>
  <c r="N755" i="11"/>
  <c r="AG755" i="11" s="1"/>
  <c r="AI755" i="11"/>
  <c r="AE751" i="11"/>
  <c r="AE754" i="11"/>
  <c r="AH760" i="11"/>
  <c r="AG756" i="11"/>
  <c r="AG759" i="11"/>
  <c r="N760" i="11"/>
  <c r="AH927" i="11"/>
  <c r="N750" i="11"/>
  <c r="N927" i="11"/>
  <c r="AG927" i="11" s="1"/>
  <c r="AE925" i="11"/>
  <c r="AG925" i="11"/>
  <c r="AE746" i="11"/>
  <c r="N747" i="11"/>
  <c r="AE747" i="11" s="1"/>
  <c r="AI747" i="11"/>
  <c r="AH747" i="11"/>
  <c r="AE745" i="11"/>
  <c r="AG745" i="11"/>
  <c r="N724" i="11"/>
  <c r="AG724" i="11" s="1"/>
  <c r="AH724" i="11"/>
  <c r="AE722" i="11"/>
  <c r="AE723" i="11"/>
  <c r="AG722" i="11"/>
  <c r="AG1165" i="11"/>
  <c r="AI1166" i="11"/>
  <c r="AH1166" i="11"/>
  <c r="N738" i="11"/>
  <c r="N735" i="11"/>
  <c r="AG735" i="11" s="1"/>
  <c r="AG734" i="11"/>
  <c r="AI735" i="11"/>
  <c r="AG733" i="11"/>
  <c r="AH735" i="11"/>
  <c r="AH732" i="11"/>
  <c r="N728" i="11"/>
  <c r="N732" i="11"/>
  <c r="AG732" i="11" s="1"/>
  <c r="AE729" i="11"/>
  <c r="AE731" i="11"/>
  <c r="AG729" i="11"/>
  <c r="N741" i="11"/>
  <c r="AG741" i="11" s="1"/>
  <c r="AH741" i="11"/>
  <c r="AG740" i="11"/>
  <c r="AI741" i="11"/>
  <c r="AG739" i="11"/>
  <c r="N744" i="11"/>
  <c r="AG744" i="11" s="1"/>
  <c r="AG743" i="11"/>
  <c r="AI744" i="11"/>
  <c r="AG742" i="11"/>
  <c r="AH744" i="11"/>
  <c r="AH1120" i="11"/>
  <c r="AG1120" i="11"/>
  <c r="AE1120" i="11"/>
  <c r="AE1119" i="11"/>
  <c r="AG1119" i="11"/>
  <c r="W1118" i="11"/>
  <c r="V1118" i="11"/>
  <c r="S1118" i="11"/>
  <c r="R1118" i="11"/>
  <c r="Q1118" i="11"/>
  <c r="P1118" i="11"/>
  <c r="M1118" i="11"/>
  <c r="L1118" i="11"/>
  <c r="F1118" i="11"/>
  <c r="AI1117" i="11"/>
  <c r="AH1117" i="11"/>
  <c r="X1117" i="11"/>
  <c r="X1118" i="11" s="1"/>
  <c r="T1117" i="11"/>
  <c r="T1118" i="11" s="1"/>
  <c r="N1117" i="11"/>
  <c r="AE1117" i="11" s="1"/>
  <c r="W2188" i="11"/>
  <c r="V2188" i="11"/>
  <c r="S2188" i="11"/>
  <c r="R2188" i="11"/>
  <c r="P2188" i="11"/>
  <c r="M2188" i="11"/>
  <c r="L2188" i="11"/>
  <c r="F2188" i="11"/>
  <c r="AI2187" i="11"/>
  <c r="AH2187" i="11"/>
  <c r="X2187" i="11"/>
  <c r="X2188" i="11" s="1"/>
  <c r="N2187" i="11"/>
  <c r="N2188" i="11" s="1"/>
  <c r="AE755" i="11" l="1"/>
  <c r="AE744" i="11"/>
  <c r="U1118" i="11"/>
  <c r="AE735" i="11"/>
  <c r="AG747" i="11"/>
  <c r="AH1118" i="11"/>
  <c r="AG1166" i="11"/>
  <c r="AE1166" i="11"/>
  <c r="AE2187" i="11"/>
  <c r="AG1122" i="11"/>
  <c r="AE1122" i="11"/>
  <c r="AG760" i="11"/>
  <c r="AE760" i="11"/>
  <c r="AE750" i="11"/>
  <c r="AG750" i="11"/>
  <c r="AE927" i="11"/>
  <c r="AE724" i="11"/>
  <c r="AE741" i="11"/>
  <c r="AG738" i="11"/>
  <c r="AE738" i="11"/>
  <c r="AE728" i="11"/>
  <c r="AG728" i="11"/>
  <c r="AE732" i="11"/>
  <c r="N1118" i="11"/>
  <c r="AG1117" i="11"/>
  <c r="AI1118" i="11"/>
  <c r="AI2188" i="11"/>
  <c r="AG2187" i="11"/>
  <c r="AH2188" i="11"/>
  <c r="AG2188" i="11"/>
  <c r="AE2188" i="11"/>
  <c r="T2187" i="11"/>
  <c r="T2188" i="11" s="1"/>
  <c r="Q2188" i="11"/>
  <c r="U2188" i="11" s="1"/>
  <c r="AG1118" i="11" l="1"/>
  <c r="AE1118" i="11"/>
  <c r="W1374" i="11" l="1"/>
  <c r="V1374" i="11"/>
  <c r="S1374" i="11"/>
  <c r="R1374" i="11"/>
  <c r="Q1374" i="11"/>
  <c r="P1374" i="11"/>
  <c r="L1374" i="11"/>
  <c r="F1374" i="11"/>
  <c r="AI1373" i="11"/>
  <c r="AH1373" i="11"/>
  <c r="T1373" i="11"/>
  <c r="M1374" i="11"/>
  <c r="AI1221" i="11"/>
  <c r="AI1224" i="11"/>
  <c r="AH1224" i="11"/>
  <c r="X1224" i="11"/>
  <c r="T1224" i="11"/>
  <c r="N1224" i="11"/>
  <c r="AG1224" i="11" s="1"/>
  <c r="W1237" i="11"/>
  <c r="V1237" i="11"/>
  <c r="S1237" i="11"/>
  <c r="R1237" i="11"/>
  <c r="P1237" i="11"/>
  <c r="L1237" i="11"/>
  <c r="AI1236" i="11"/>
  <c r="AH1236" i="11"/>
  <c r="X1236" i="11"/>
  <c r="X1221" i="11"/>
  <c r="T1221" i="11"/>
  <c r="F1237" i="11" l="1"/>
  <c r="AI1237" i="11" s="1"/>
  <c r="U1374" i="11"/>
  <c r="T1374" i="11"/>
  <c r="AH1374" i="11"/>
  <c r="AI1374" i="11"/>
  <c r="X1373" i="11"/>
  <c r="N1373" i="11"/>
  <c r="N1221" i="11"/>
  <c r="AG1221" i="11" s="1"/>
  <c r="AH1221" i="11"/>
  <c r="AE1224" i="11"/>
  <c r="Q1237" i="11"/>
  <c r="T1236" i="11"/>
  <c r="T1237" i="11" s="1"/>
  <c r="X1237" i="11"/>
  <c r="M1237" i="11"/>
  <c r="N1236" i="11"/>
  <c r="W2220" i="11"/>
  <c r="V2220" i="11"/>
  <c r="S2220" i="11"/>
  <c r="R2220" i="11"/>
  <c r="Q2220" i="11"/>
  <c r="P2220" i="11"/>
  <c r="M2220" i="11"/>
  <c r="L2220" i="11"/>
  <c r="F2220" i="11"/>
  <c r="AI2219" i="11"/>
  <c r="AH2219" i="11"/>
  <c r="X2219" i="11"/>
  <c r="X2220" i="11" s="1"/>
  <c r="T2219" i="11"/>
  <c r="T2220" i="11" s="1"/>
  <c r="N2219" i="11"/>
  <c r="N2220" i="11" s="1"/>
  <c r="W2218" i="11"/>
  <c r="V2218" i="11"/>
  <c r="S2218" i="11"/>
  <c r="R2218" i="11"/>
  <c r="Q2218" i="11"/>
  <c r="P2218" i="11"/>
  <c r="M2218" i="11"/>
  <c r="L2218" i="11"/>
  <c r="F2218" i="11"/>
  <c r="AI2217" i="11"/>
  <c r="AH2217" i="11"/>
  <c r="X2217" i="11"/>
  <c r="X2218" i="11" s="1"/>
  <c r="T2217" i="11"/>
  <c r="T2218" i="11" s="1"/>
  <c r="N2217" i="11"/>
  <c r="N2218" i="11" s="1"/>
  <c r="U1237" i="11" l="1"/>
  <c r="AH1237" i="11"/>
  <c r="U2218" i="11"/>
  <c r="U2220" i="11"/>
  <c r="AE1221" i="11"/>
  <c r="AH2218" i="11"/>
  <c r="N1237" i="11"/>
  <c r="AG1237" i="11" s="1"/>
  <c r="X1374" i="11"/>
  <c r="AG1373" i="11"/>
  <c r="AE1373" i="11"/>
  <c r="N1374" i="11"/>
  <c r="AH2220" i="11"/>
  <c r="AI2218" i="11"/>
  <c r="AI2220" i="11"/>
  <c r="AE1236" i="11"/>
  <c r="AG1236" i="11"/>
  <c r="AG2220" i="11"/>
  <c r="AE2220" i="11"/>
  <c r="AE2219" i="11"/>
  <c r="AG2219" i="11"/>
  <c r="AG2218" i="11"/>
  <c r="AE2218" i="11"/>
  <c r="AE2217" i="11"/>
  <c r="AG2217" i="11"/>
  <c r="AE1237" i="11" l="1"/>
  <c r="AG1374" i="11"/>
  <c r="AE1374" i="11"/>
  <c r="U1526" i="11" l="1"/>
  <c r="U2205" i="11"/>
  <c r="U680" i="11"/>
  <c r="U683" i="11" s="1"/>
  <c r="U578" i="11" l="1"/>
  <c r="U467" i="11" l="1"/>
  <c r="W1114" i="11"/>
  <c r="V1114" i="11"/>
  <c r="S1114" i="11"/>
  <c r="R1114" i="11"/>
  <c r="Q1114" i="11"/>
  <c r="P1114" i="11"/>
  <c r="M1114" i="11"/>
  <c r="L1114" i="11"/>
  <c r="F1114" i="11"/>
  <c r="AI1113" i="11"/>
  <c r="AH1113" i="11"/>
  <c r="X1113" i="11"/>
  <c r="X1114" i="11" s="1"/>
  <c r="T1113" i="11"/>
  <c r="T1114" i="11" s="1"/>
  <c r="N1113" i="11"/>
  <c r="AG1113" i="11" s="1"/>
  <c r="W1112" i="11"/>
  <c r="V1112" i="11"/>
  <c r="S1112" i="11"/>
  <c r="R1112" i="11"/>
  <c r="Q1112" i="11"/>
  <c r="P1112" i="11"/>
  <c r="M1112" i="11"/>
  <c r="L1112" i="11"/>
  <c r="F1112" i="11"/>
  <c r="AI1111" i="11"/>
  <c r="AH1111" i="11"/>
  <c r="X1111" i="11"/>
  <c r="X1112" i="11" s="1"/>
  <c r="T1111" i="11"/>
  <c r="T1112" i="11" s="1"/>
  <c r="N1111" i="11"/>
  <c r="AG1111" i="11" s="1"/>
  <c r="W1110" i="11"/>
  <c r="V1110" i="11"/>
  <c r="S1110" i="11"/>
  <c r="R1110" i="11"/>
  <c r="Q1110" i="11"/>
  <c r="P1110" i="11"/>
  <c r="M1110" i="11"/>
  <c r="L1110" i="11"/>
  <c r="F1110" i="11"/>
  <c r="AI1109" i="11"/>
  <c r="AH1109" i="11"/>
  <c r="X1109" i="11"/>
  <c r="X1110" i="11" s="1"/>
  <c r="T1109" i="11"/>
  <c r="T1110" i="11" s="1"/>
  <c r="N1109" i="11"/>
  <c r="AE1109" i="11" s="1"/>
  <c r="W1106" i="11"/>
  <c r="V1106" i="11"/>
  <c r="S1106" i="11"/>
  <c r="R1106" i="11"/>
  <c r="Q1106" i="11"/>
  <c r="P1106" i="11"/>
  <c r="M1106" i="11"/>
  <c r="L1106" i="11"/>
  <c r="F1106" i="11"/>
  <c r="AI1105" i="11"/>
  <c r="AH1105" i="11"/>
  <c r="X1105" i="11"/>
  <c r="X1106" i="11" s="1"/>
  <c r="T1105" i="11"/>
  <c r="T1106" i="11" s="1"/>
  <c r="N1105" i="11"/>
  <c r="AE1105" i="11" s="1"/>
  <c r="W1108" i="11"/>
  <c r="V1108" i="11"/>
  <c r="S1108" i="11"/>
  <c r="R1108" i="11"/>
  <c r="Q1108" i="11"/>
  <c r="P1108" i="11"/>
  <c r="M1108" i="11"/>
  <c r="L1108" i="11"/>
  <c r="F1108" i="11"/>
  <c r="AI1107" i="11"/>
  <c r="AH1107" i="11"/>
  <c r="X1107" i="11"/>
  <c r="X1108" i="11" s="1"/>
  <c r="T1107" i="11"/>
  <c r="T1108" i="11" s="1"/>
  <c r="N1107" i="11"/>
  <c r="AG1107" i="11" s="1"/>
  <c r="W1116" i="11"/>
  <c r="S1116" i="11"/>
  <c r="R1116" i="11"/>
  <c r="Q1116" i="11"/>
  <c r="P1116" i="11"/>
  <c r="M1116" i="11"/>
  <c r="L1116" i="11"/>
  <c r="F1116" i="11"/>
  <c r="AI1115" i="11"/>
  <c r="AH1115" i="11"/>
  <c r="X1115" i="11"/>
  <c r="X1116" i="11" s="1"/>
  <c r="T1115" i="11"/>
  <c r="T1116" i="11" s="1"/>
  <c r="N1115" i="11"/>
  <c r="AG1115" i="11" s="1"/>
  <c r="W721" i="11"/>
  <c r="V721" i="11"/>
  <c r="S721" i="11"/>
  <c r="R721" i="11"/>
  <c r="Q721" i="11"/>
  <c r="P721" i="11"/>
  <c r="M721" i="11"/>
  <c r="F721" i="11"/>
  <c r="AI720" i="11"/>
  <c r="AH720" i="11"/>
  <c r="X720" i="11"/>
  <c r="T720" i="11"/>
  <c r="N720" i="11"/>
  <c r="AG720" i="11" s="1"/>
  <c r="AI719" i="11"/>
  <c r="AH719" i="11"/>
  <c r="X719" i="11"/>
  <c r="T719" i="11"/>
  <c r="N719" i="11"/>
  <c r="AG719" i="11" s="1"/>
  <c r="W715" i="11"/>
  <c r="V715" i="11"/>
  <c r="S715" i="11"/>
  <c r="R715" i="11"/>
  <c r="Q715" i="11"/>
  <c r="P715" i="11"/>
  <c r="M715" i="11"/>
  <c r="L715" i="11"/>
  <c r="F715" i="11"/>
  <c r="AI714" i="11"/>
  <c r="AH714" i="11"/>
  <c r="X714" i="11"/>
  <c r="T714" i="11"/>
  <c r="N714" i="11"/>
  <c r="AE714" i="11" s="1"/>
  <c r="AI713" i="11"/>
  <c r="AH713" i="11"/>
  <c r="X713" i="11"/>
  <c r="T713" i="11"/>
  <c r="N713" i="11"/>
  <c r="AE713" i="11" s="1"/>
  <c r="W712" i="11"/>
  <c r="V712" i="11"/>
  <c r="S712" i="11"/>
  <c r="R712" i="11"/>
  <c r="Q712" i="11"/>
  <c r="M712" i="11"/>
  <c r="L712" i="11"/>
  <c r="F712" i="11"/>
  <c r="AI711" i="11"/>
  <c r="AH711" i="11"/>
  <c r="X711" i="11"/>
  <c r="T711" i="11"/>
  <c r="N711" i="11"/>
  <c r="AG711" i="11" s="1"/>
  <c r="AI710" i="11"/>
  <c r="AH710" i="11"/>
  <c r="X710" i="11"/>
  <c r="T710" i="11"/>
  <c r="N710" i="11"/>
  <c r="AG710" i="11" s="1"/>
  <c r="W718" i="11"/>
  <c r="V718" i="11"/>
  <c r="S718" i="11"/>
  <c r="R718" i="11"/>
  <c r="Q718" i="11"/>
  <c r="P718" i="11"/>
  <c r="M718" i="11"/>
  <c r="L718" i="11"/>
  <c r="F718" i="11"/>
  <c r="AI717" i="11"/>
  <c r="AH717" i="11"/>
  <c r="X717" i="11"/>
  <c r="T717" i="11"/>
  <c r="N717" i="11"/>
  <c r="AG717" i="11" s="1"/>
  <c r="AI716" i="11"/>
  <c r="AH716" i="11"/>
  <c r="X716" i="11"/>
  <c r="T716" i="11"/>
  <c r="N716" i="11"/>
  <c r="W705" i="11"/>
  <c r="V705" i="11"/>
  <c r="S705" i="11"/>
  <c r="R705" i="11"/>
  <c r="Q705" i="11"/>
  <c r="P705" i="11"/>
  <c r="M705" i="11"/>
  <c r="L705" i="11"/>
  <c r="F705" i="11"/>
  <c r="AI704" i="11"/>
  <c r="AH704" i="11"/>
  <c r="X704" i="11"/>
  <c r="T704" i="11"/>
  <c r="N704" i="11"/>
  <c r="AE704" i="11" s="1"/>
  <c r="AI703" i="11"/>
  <c r="AH703" i="11"/>
  <c r="X703" i="11"/>
  <c r="T703" i="11"/>
  <c r="N703" i="11"/>
  <c r="AE703" i="11" s="1"/>
  <c r="W1102" i="11"/>
  <c r="V1102" i="11"/>
  <c r="S1102" i="11"/>
  <c r="R1102" i="11"/>
  <c r="Q1102" i="11"/>
  <c r="P1102" i="11"/>
  <c r="M1102" i="11"/>
  <c r="L1102" i="11"/>
  <c r="F1102" i="11"/>
  <c r="AI1101" i="11"/>
  <c r="AH1101" i="11"/>
  <c r="X1101" i="11"/>
  <c r="X1102" i="11" s="1"/>
  <c r="T1101" i="11"/>
  <c r="T1102" i="11" s="1"/>
  <c r="N1101" i="11"/>
  <c r="N1102" i="11" s="1"/>
  <c r="W1100" i="11"/>
  <c r="V1100" i="11"/>
  <c r="S1100" i="11"/>
  <c r="R1100" i="11"/>
  <c r="Q1100" i="11"/>
  <c r="P1100" i="11"/>
  <c r="M1100" i="11"/>
  <c r="L1100" i="11"/>
  <c r="F1100" i="11"/>
  <c r="AI1099" i="11"/>
  <c r="AH1099" i="11"/>
  <c r="X1099" i="11"/>
  <c r="X1100" i="11" s="1"/>
  <c r="T1099" i="11"/>
  <c r="T1100" i="11" s="1"/>
  <c r="N1099" i="11"/>
  <c r="AE1099" i="11" s="1"/>
  <c r="W1104" i="11"/>
  <c r="V1104" i="11"/>
  <c r="S1104" i="11"/>
  <c r="R1104" i="11"/>
  <c r="Q1104" i="11"/>
  <c r="P1104" i="11"/>
  <c r="M1104" i="11"/>
  <c r="L1104" i="11"/>
  <c r="F1104" i="11"/>
  <c r="AI1103" i="11"/>
  <c r="AH1103" i="11"/>
  <c r="X1103" i="11"/>
  <c r="X1104" i="11" s="1"/>
  <c r="T1103" i="11"/>
  <c r="T1104" i="11" s="1"/>
  <c r="N1103" i="11"/>
  <c r="N1104" i="11" s="1"/>
  <c r="W702" i="11"/>
  <c r="V702" i="11"/>
  <c r="S702" i="11"/>
  <c r="R702" i="11"/>
  <c r="Q702" i="11"/>
  <c r="P702" i="11"/>
  <c r="M702" i="11"/>
  <c r="L702" i="11"/>
  <c r="F702" i="11"/>
  <c r="AI701" i="11"/>
  <c r="AH701" i="11"/>
  <c r="X701" i="11"/>
  <c r="T701" i="11"/>
  <c r="N701" i="11"/>
  <c r="AG701" i="11" s="1"/>
  <c r="AI700" i="11"/>
  <c r="AH700" i="11"/>
  <c r="X700" i="11"/>
  <c r="T700" i="11"/>
  <c r="N700" i="11"/>
  <c r="AG700" i="11" s="1"/>
  <c r="W709" i="11"/>
  <c r="V709" i="11"/>
  <c r="S709" i="11"/>
  <c r="R709" i="11"/>
  <c r="Q709" i="11"/>
  <c r="P709" i="11"/>
  <c r="M709" i="11"/>
  <c r="L709" i="11"/>
  <c r="F709" i="11"/>
  <c r="AI708" i="11"/>
  <c r="AH708" i="11"/>
  <c r="X708" i="11"/>
  <c r="T708" i="11"/>
  <c r="N708" i="11"/>
  <c r="AG708" i="11" s="1"/>
  <c r="AI706" i="11"/>
  <c r="AH706" i="11"/>
  <c r="X706" i="11"/>
  <c r="T706" i="11"/>
  <c r="N706" i="11"/>
  <c r="AG706" i="11" s="1"/>
  <c r="AI1102" i="11" l="1"/>
  <c r="AI718" i="11"/>
  <c r="U712" i="11"/>
  <c r="U1116" i="11"/>
  <c r="U1106" i="11"/>
  <c r="U1112" i="11"/>
  <c r="U1104" i="11"/>
  <c r="U1102" i="11"/>
  <c r="U715" i="11"/>
  <c r="U702" i="11"/>
  <c r="U1100" i="11"/>
  <c r="U709" i="11"/>
  <c r="U705" i="11"/>
  <c r="U721" i="11"/>
  <c r="U1108" i="11"/>
  <c r="U1110" i="11"/>
  <c r="U1114" i="11"/>
  <c r="AI1104" i="11"/>
  <c r="X712" i="11"/>
  <c r="T712" i="11"/>
  <c r="AH1116" i="11"/>
  <c r="T709" i="11"/>
  <c r="AH1100" i="11"/>
  <c r="AH705" i="11"/>
  <c r="X718" i="11"/>
  <c r="X702" i="11"/>
  <c r="T702" i="11"/>
  <c r="T715" i="11"/>
  <c r="AI1100" i="11"/>
  <c r="T718" i="11"/>
  <c r="X721" i="11"/>
  <c r="T721" i="11"/>
  <c r="AH1106" i="11"/>
  <c r="AG703" i="11"/>
  <c r="AG1105" i="11"/>
  <c r="T705" i="11"/>
  <c r="N705" i="11"/>
  <c r="X709" i="11"/>
  <c r="N1100" i="11"/>
  <c r="AG714" i="11"/>
  <c r="N1112" i="11"/>
  <c r="AG1112" i="11" s="1"/>
  <c r="AH1104" i="11"/>
  <c r="AH1102" i="11"/>
  <c r="X705" i="11"/>
  <c r="AG704" i="11"/>
  <c r="AI705" i="11"/>
  <c r="AG713" i="11"/>
  <c r="AH715" i="11"/>
  <c r="AI1116" i="11"/>
  <c r="AI1106" i="11"/>
  <c r="N1114" i="11"/>
  <c r="AH1114" i="11"/>
  <c r="AG1099" i="11"/>
  <c r="AI715" i="11"/>
  <c r="X715" i="11"/>
  <c r="AH1110" i="11"/>
  <c r="AI1114" i="11"/>
  <c r="AE1113" i="11"/>
  <c r="AI1112" i="11"/>
  <c r="AH1112" i="11"/>
  <c r="AE1111" i="11"/>
  <c r="AG1109" i="11"/>
  <c r="AI1110" i="11"/>
  <c r="N1110" i="11"/>
  <c r="N1108" i="11"/>
  <c r="AE1108" i="11" s="1"/>
  <c r="N1106" i="11"/>
  <c r="AI1108" i="11"/>
  <c r="AH1108" i="11"/>
  <c r="AE1107" i="11"/>
  <c r="N1116" i="11"/>
  <c r="AE1115" i="11"/>
  <c r="AI721" i="11"/>
  <c r="AH721" i="11"/>
  <c r="N721" i="11"/>
  <c r="AE719" i="11"/>
  <c r="AE720" i="11"/>
  <c r="N715" i="11"/>
  <c r="AI712" i="11"/>
  <c r="AH712" i="11"/>
  <c r="N712" i="11"/>
  <c r="AE710" i="11"/>
  <c r="AE711" i="11"/>
  <c r="N718" i="11"/>
  <c r="AG718" i="11" s="1"/>
  <c r="AH718" i="11"/>
  <c r="AE716" i="11"/>
  <c r="AE717" i="11"/>
  <c r="AG716" i="11"/>
  <c r="AG1102" i="11"/>
  <c r="AE1102" i="11"/>
  <c r="AE1101" i="11"/>
  <c r="AG1101" i="11"/>
  <c r="AG1104" i="11"/>
  <c r="AE1104" i="11"/>
  <c r="AE1103" i="11"/>
  <c r="AG1103" i="11"/>
  <c r="AI702" i="11"/>
  <c r="AH702" i="11"/>
  <c r="N702" i="11"/>
  <c r="AE700" i="11"/>
  <c r="AE701" i="11"/>
  <c r="AI709" i="11"/>
  <c r="AH709" i="11"/>
  <c r="N709" i="11"/>
  <c r="AE706" i="11"/>
  <c r="AE708" i="11"/>
  <c r="AE1112" i="11" l="1"/>
  <c r="AG1108" i="11"/>
  <c r="AG705" i="11"/>
  <c r="AE705" i="11"/>
  <c r="AE1114" i="11"/>
  <c r="AG1114" i="11"/>
  <c r="AE1100" i="11"/>
  <c r="AG1100" i="11"/>
  <c r="AG1110" i="11"/>
  <c r="AE1110" i="11"/>
  <c r="AG1106" i="11"/>
  <c r="AE1106" i="11"/>
  <c r="AE1116" i="11"/>
  <c r="AG1116" i="11"/>
  <c r="AE721" i="11"/>
  <c r="AG721" i="11"/>
  <c r="AE718" i="11"/>
  <c r="AG715" i="11"/>
  <c r="AE715" i="11"/>
  <c r="AE712" i="11"/>
  <c r="AG712" i="11"/>
  <c r="AE702" i="11"/>
  <c r="AG702" i="11"/>
  <c r="AE709" i="11"/>
  <c r="AG709" i="11"/>
  <c r="U1404" i="11" l="1"/>
  <c r="U1649" i="11"/>
  <c r="W693" i="11" l="1"/>
  <c r="V693" i="11"/>
  <c r="S693" i="11"/>
  <c r="R693" i="11"/>
  <c r="Q693" i="11"/>
  <c r="P693" i="11"/>
  <c r="M693" i="11"/>
  <c r="L693" i="11"/>
  <c r="F693" i="11"/>
  <c r="AI692" i="11"/>
  <c r="AH692" i="11"/>
  <c r="X692" i="11"/>
  <c r="T692" i="11"/>
  <c r="N692" i="11"/>
  <c r="AE692" i="11" s="1"/>
  <c r="AI691" i="11"/>
  <c r="AH691" i="11"/>
  <c r="X691" i="11"/>
  <c r="T691" i="11"/>
  <c r="N691" i="11"/>
  <c r="AE691" i="11" s="1"/>
  <c r="W696" i="11"/>
  <c r="V696" i="11"/>
  <c r="S696" i="11"/>
  <c r="R696" i="11"/>
  <c r="Q696" i="11"/>
  <c r="P696" i="11"/>
  <c r="M696" i="11"/>
  <c r="F696" i="11"/>
  <c r="AI695" i="11"/>
  <c r="AH695" i="11"/>
  <c r="X695" i="11"/>
  <c r="T695" i="11"/>
  <c r="N695" i="11"/>
  <c r="AE695" i="11" s="1"/>
  <c r="AI694" i="11"/>
  <c r="AH694" i="11"/>
  <c r="X694" i="11"/>
  <c r="T694" i="11"/>
  <c r="N694" i="11"/>
  <c r="AE694" i="11" s="1"/>
  <c r="W699" i="11"/>
  <c r="V699" i="11"/>
  <c r="S699" i="11"/>
  <c r="R699" i="11"/>
  <c r="Q699" i="11"/>
  <c r="P699" i="11"/>
  <c r="M699" i="11"/>
  <c r="L699" i="11"/>
  <c r="F699" i="11"/>
  <c r="AI698" i="11"/>
  <c r="AH698" i="11"/>
  <c r="X698" i="11"/>
  <c r="T698" i="11"/>
  <c r="N698" i="11"/>
  <c r="AE698" i="11" s="1"/>
  <c r="AI697" i="11"/>
  <c r="AH697" i="11"/>
  <c r="X697" i="11"/>
  <c r="T697" i="11"/>
  <c r="N697" i="11"/>
  <c r="AE697" i="11" s="1"/>
  <c r="U2153" i="11"/>
  <c r="U1480" i="11"/>
  <c r="AI62" i="11"/>
  <c r="AH62" i="11"/>
  <c r="X62" i="11"/>
  <c r="T62" i="11"/>
  <c r="N62" i="11"/>
  <c r="AG62" i="11" s="1"/>
  <c r="U699" i="11" l="1"/>
  <c r="U696" i="11"/>
  <c r="U693" i="11"/>
  <c r="X699" i="11"/>
  <c r="T699" i="11"/>
  <c r="X693" i="11"/>
  <c r="T696" i="11"/>
  <c r="AI693" i="11"/>
  <c r="AH699" i="11"/>
  <c r="AI699" i="11"/>
  <c r="X696" i="11"/>
  <c r="T693" i="11"/>
  <c r="AG691" i="11"/>
  <c r="AH693" i="11"/>
  <c r="AG692" i="11"/>
  <c r="N693" i="11"/>
  <c r="AI696" i="11"/>
  <c r="N696" i="11"/>
  <c r="AH696" i="11"/>
  <c r="AG694" i="11"/>
  <c r="AG695" i="11"/>
  <c r="N699" i="11"/>
  <c r="AG697" i="11"/>
  <c r="AG698" i="11"/>
  <c r="AE62" i="11"/>
  <c r="W2204" i="11"/>
  <c r="V2204" i="11"/>
  <c r="S2204" i="11"/>
  <c r="R2204" i="11"/>
  <c r="Q2204" i="11"/>
  <c r="P2204" i="11"/>
  <c r="M2204" i="11"/>
  <c r="L2204" i="11"/>
  <c r="F2204" i="11"/>
  <c r="AI2203" i="11"/>
  <c r="AH2203" i="11"/>
  <c r="X2203" i="11"/>
  <c r="X2204" i="11" s="1"/>
  <c r="T2203" i="11"/>
  <c r="T2204" i="11" s="1"/>
  <c r="N2203" i="11"/>
  <c r="N2204" i="11" s="1"/>
  <c r="N1711" i="11"/>
  <c r="AG1711" i="11" s="1"/>
  <c r="T1711" i="11"/>
  <c r="X1711" i="11"/>
  <c r="AH1711" i="11"/>
  <c r="AI1711" i="11"/>
  <c r="N1713" i="11"/>
  <c r="AG1713" i="11" s="1"/>
  <c r="T1713" i="11"/>
  <c r="X1713" i="11"/>
  <c r="AH1713" i="11"/>
  <c r="AI1713" i="11"/>
  <c r="F1714" i="11"/>
  <c r="L1714" i="11"/>
  <c r="M1714" i="11"/>
  <c r="P1714" i="11"/>
  <c r="Q1714" i="11"/>
  <c r="R1714" i="11"/>
  <c r="S1714" i="11"/>
  <c r="V1714" i="11"/>
  <c r="W1714" i="11"/>
  <c r="U2204" i="11" l="1"/>
  <c r="U1714" i="11"/>
  <c r="AI2204" i="11"/>
  <c r="AE1713" i="11"/>
  <c r="AI1714" i="11"/>
  <c r="X1714" i="11"/>
  <c r="AE1711" i="11"/>
  <c r="AG693" i="11"/>
  <c r="AE693" i="11"/>
  <c r="AE696" i="11"/>
  <c r="AG696" i="11"/>
  <c r="AE699" i="11"/>
  <c r="AG699" i="11"/>
  <c r="T1714" i="11"/>
  <c r="AH1714" i="11"/>
  <c r="AH2204" i="11"/>
  <c r="AG2204" i="11"/>
  <c r="AE2204" i="11"/>
  <c r="AE2203" i="11"/>
  <c r="AG2203" i="11"/>
  <c r="N1714" i="11"/>
  <c r="AE1714" i="11" l="1"/>
  <c r="AG1714" i="11"/>
  <c r="U2179" i="11" l="1"/>
  <c r="U2209" i="11" l="1"/>
  <c r="U1219" i="11" l="1"/>
  <c r="U1220" i="11" s="1"/>
  <c r="U2129" i="11"/>
  <c r="U580" i="11"/>
  <c r="AI488" i="11" l="1"/>
  <c r="AH488" i="11"/>
  <c r="X488" i="11"/>
  <c r="T488" i="11"/>
  <c r="N488" i="11"/>
  <c r="AG488" i="11" s="1"/>
  <c r="AE488" i="11" l="1"/>
  <c r="U2133" i="11" l="1"/>
  <c r="U1638" i="11" l="1"/>
  <c r="U567" i="11" l="1"/>
  <c r="U1471" i="11" l="1"/>
  <c r="W687" i="11" l="1"/>
  <c r="V687" i="11"/>
  <c r="S687" i="11"/>
  <c r="R687" i="11"/>
  <c r="Q687" i="11"/>
  <c r="P687" i="11"/>
  <c r="M687" i="11"/>
  <c r="L687" i="11"/>
  <c r="F687" i="11"/>
  <c r="AI686" i="11"/>
  <c r="AH686" i="11"/>
  <c r="X686" i="11"/>
  <c r="T686" i="11"/>
  <c r="N686" i="11"/>
  <c r="AG686" i="11" s="1"/>
  <c r="AI684" i="11"/>
  <c r="AH684" i="11"/>
  <c r="X684" i="11"/>
  <c r="T684" i="11"/>
  <c r="N684" i="11"/>
  <c r="AG684" i="11" s="1"/>
  <c r="AH687" i="11" l="1"/>
  <c r="X687" i="11"/>
  <c r="T687" i="11"/>
  <c r="N687" i="11"/>
  <c r="AG687" i="11" s="1"/>
  <c r="AI687" i="11"/>
  <c r="AE684" i="11"/>
  <c r="AE686" i="11"/>
  <c r="AE687" i="11" l="1"/>
  <c r="U2127" i="11"/>
  <c r="U2255" i="11"/>
  <c r="U2161" i="11" l="1"/>
  <c r="U566" i="11"/>
  <c r="AI680" i="11" l="1"/>
  <c r="AH680" i="11"/>
  <c r="X680" i="11"/>
  <c r="T680" i="11"/>
  <c r="N680" i="11"/>
  <c r="AG680" i="11" s="1"/>
  <c r="W683" i="11"/>
  <c r="V683" i="11"/>
  <c r="S683" i="11"/>
  <c r="R683" i="11"/>
  <c r="Q683" i="11"/>
  <c r="P683" i="11"/>
  <c r="M683" i="11"/>
  <c r="L683" i="11"/>
  <c r="F683" i="11"/>
  <c r="AI682" i="11"/>
  <c r="AH682" i="11"/>
  <c r="X682" i="11"/>
  <c r="T682" i="11"/>
  <c r="N682" i="11"/>
  <c r="AG682" i="11" s="1"/>
  <c r="AI679" i="11"/>
  <c r="AH679" i="11"/>
  <c r="X679" i="11"/>
  <c r="T679" i="11"/>
  <c r="N679" i="11"/>
  <c r="W678" i="11"/>
  <c r="V678" i="11"/>
  <c r="S678" i="11"/>
  <c r="R678" i="11"/>
  <c r="Q678" i="11"/>
  <c r="P678" i="11"/>
  <c r="M678" i="11"/>
  <c r="L678" i="11"/>
  <c r="F678" i="11"/>
  <c r="AI678" i="11" s="1"/>
  <c r="AI677" i="11"/>
  <c r="AH677" i="11"/>
  <c r="X677" i="11"/>
  <c r="T677" i="11"/>
  <c r="N677" i="11"/>
  <c r="AE677" i="11" s="1"/>
  <c r="AI676" i="11"/>
  <c r="AH676" i="11"/>
  <c r="X676" i="11"/>
  <c r="T676" i="11"/>
  <c r="N676" i="11"/>
  <c r="AE676" i="11" s="1"/>
  <c r="W690" i="11"/>
  <c r="S690" i="11"/>
  <c r="R690" i="11"/>
  <c r="Q690" i="11"/>
  <c r="P690" i="11"/>
  <c r="M690" i="11"/>
  <c r="L690" i="11"/>
  <c r="F690" i="11"/>
  <c r="AI689" i="11"/>
  <c r="AH689" i="11"/>
  <c r="X689" i="11"/>
  <c r="T689" i="11"/>
  <c r="N689" i="11"/>
  <c r="AG689" i="11" s="1"/>
  <c r="AI688" i="11"/>
  <c r="AH688" i="11"/>
  <c r="X688" i="11"/>
  <c r="T688" i="11"/>
  <c r="N688" i="11"/>
  <c r="W1661" i="11"/>
  <c r="V1661" i="11"/>
  <c r="S1661" i="11"/>
  <c r="R1661" i="11"/>
  <c r="Q1661" i="11"/>
  <c r="P1661" i="11"/>
  <c r="M1661" i="11"/>
  <c r="L1661" i="11"/>
  <c r="F1661" i="11"/>
  <c r="AI1660" i="11"/>
  <c r="AH1660" i="11"/>
  <c r="X1660" i="11"/>
  <c r="T1660" i="11"/>
  <c r="N1660" i="11"/>
  <c r="AE1660" i="11" s="1"/>
  <c r="AI1656" i="11"/>
  <c r="AH1656" i="11"/>
  <c r="X1656" i="11"/>
  <c r="T1656" i="11"/>
  <c r="N1656" i="11"/>
  <c r="AE1656" i="11" s="1"/>
  <c r="W672" i="11"/>
  <c r="V672" i="11"/>
  <c r="S672" i="11"/>
  <c r="R672" i="11"/>
  <c r="Q672" i="11"/>
  <c r="P672" i="11"/>
  <c r="M672" i="11"/>
  <c r="L672" i="11"/>
  <c r="F672" i="11"/>
  <c r="AI671" i="11"/>
  <c r="AH671" i="11"/>
  <c r="X671" i="11"/>
  <c r="T671" i="11"/>
  <c r="N671" i="11"/>
  <c r="AG671" i="11" s="1"/>
  <c r="AI670" i="11"/>
  <c r="AH670" i="11"/>
  <c r="X670" i="11"/>
  <c r="T670" i="11"/>
  <c r="N670" i="11"/>
  <c r="AI674" i="11"/>
  <c r="AH674" i="11"/>
  <c r="X674" i="11"/>
  <c r="T674" i="11"/>
  <c r="N674" i="11"/>
  <c r="AG674" i="11" s="1"/>
  <c r="W675" i="11"/>
  <c r="V675" i="11"/>
  <c r="S675" i="11"/>
  <c r="R675" i="11"/>
  <c r="Q675" i="11"/>
  <c r="P675" i="11"/>
  <c r="M675" i="11"/>
  <c r="L675" i="11"/>
  <c r="F675" i="11"/>
  <c r="AI673" i="11"/>
  <c r="AH673" i="11"/>
  <c r="X673" i="11"/>
  <c r="T673" i="11"/>
  <c r="N673" i="11"/>
  <c r="W669" i="11"/>
  <c r="V669" i="11"/>
  <c r="S669" i="11"/>
  <c r="R669" i="11"/>
  <c r="Q669" i="11"/>
  <c r="P669" i="11"/>
  <c r="M669" i="11"/>
  <c r="L669" i="11"/>
  <c r="F669" i="11"/>
  <c r="AI668" i="11"/>
  <c r="AH668" i="11"/>
  <c r="X668" i="11"/>
  <c r="T668" i="11"/>
  <c r="N668" i="11"/>
  <c r="AG668" i="11" s="1"/>
  <c r="AI667" i="11"/>
  <c r="AH667" i="11"/>
  <c r="X667" i="11"/>
  <c r="T667" i="11"/>
  <c r="N667" i="11"/>
  <c r="AI672" i="11" l="1"/>
  <c r="U678" i="11"/>
  <c r="U675" i="11"/>
  <c r="U690" i="11"/>
  <c r="U672" i="11"/>
  <c r="U1661" i="11"/>
  <c r="U669" i="11"/>
  <c r="AI683" i="11"/>
  <c r="X690" i="11"/>
  <c r="T683" i="11"/>
  <c r="X678" i="11"/>
  <c r="T675" i="11"/>
  <c r="T1661" i="11"/>
  <c r="X672" i="11"/>
  <c r="X675" i="11"/>
  <c r="N672" i="11"/>
  <c r="AG672" i="11" s="1"/>
  <c r="AH1661" i="11"/>
  <c r="T690" i="11"/>
  <c r="X669" i="11"/>
  <c r="T669" i="11"/>
  <c r="T672" i="11"/>
  <c r="X1661" i="11"/>
  <c r="AG676" i="11"/>
  <c r="AH678" i="11"/>
  <c r="AI675" i="11"/>
  <c r="AI1661" i="11"/>
  <c r="AI690" i="11"/>
  <c r="T678" i="11"/>
  <c r="X683" i="11"/>
  <c r="AI669" i="11"/>
  <c r="AG677" i="11"/>
  <c r="AE680" i="11"/>
  <c r="N683" i="11"/>
  <c r="AG683" i="11" s="1"/>
  <c r="AH683" i="11"/>
  <c r="AE679" i="11"/>
  <c r="AE682" i="11"/>
  <c r="AG679" i="11"/>
  <c r="N678" i="11"/>
  <c r="AH690" i="11"/>
  <c r="N690" i="11"/>
  <c r="AG690" i="11" s="1"/>
  <c r="AE688" i="11"/>
  <c r="AE689" i="11"/>
  <c r="AG688" i="11"/>
  <c r="AG1660" i="11"/>
  <c r="AG1656" i="11"/>
  <c r="N1661" i="11"/>
  <c r="AH672" i="11"/>
  <c r="AE670" i="11"/>
  <c r="AE671" i="11"/>
  <c r="AG670" i="11"/>
  <c r="AH675" i="11"/>
  <c r="AE674" i="11"/>
  <c r="N675" i="11"/>
  <c r="AE673" i="11"/>
  <c r="AG673" i="11"/>
  <c r="AH669" i="11"/>
  <c r="N669" i="11"/>
  <c r="AG669" i="11" s="1"/>
  <c r="AE667" i="11"/>
  <c r="AE668" i="11"/>
  <c r="AG667" i="11"/>
  <c r="AG675" i="11" l="1"/>
  <c r="AE672" i="11"/>
  <c r="AE683" i="11"/>
  <c r="AE690" i="11"/>
  <c r="AG678" i="11"/>
  <c r="AE678" i="11"/>
  <c r="AG1661" i="11"/>
  <c r="AE1661" i="11"/>
  <c r="AE675" i="11"/>
  <c r="AE669" i="11"/>
  <c r="W1027" i="11" l="1"/>
  <c r="V1027" i="11"/>
  <c r="S1027" i="11"/>
  <c r="R1027" i="11"/>
  <c r="Q1027" i="11"/>
  <c r="P1027" i="11"/>
  <c r="M1027" i="11"/>
  <c r="L1027" i="11"/>
  <c r="F1027" i="11"/>
  <c r="AI1026" i="11"/>
  <c r="AH1026" i="11"/>
  <c r="X1026" i="11"/>
  <c r="T1026" i="11"/>
  <c r="N1026" i="11"/>
  <c r="AG1026" i="11" s="1"/>
  <c r="AI1025" i="11"/>
  <c r="AH1025" i="11"/>
  <c r="X1025" i="11"/>
  <c r="T1025" i="11"/>
  <c r="N1025" i="11"/>
  <c r="U1027" i="11" l="1"/>
  <c r="AI1027" i="11"/>
  <c r="X1027" i="11"/>
  <c r="T1027" i="11"/>
  <c r="AH1027" i="11"/>
  <c r="N1027" i="11"/>
  <c r="AG1027" i="11" s="1"/>
  <c r="AE1025" i="11"/>
  <c r="AE1026" i="11"/>
  <c r="AG1025" i="11"/>
  <c r="AE1027" i="11" l="1"/>
  <c r="U1654" i="11" l="1"/>
  <c r="W2210" i="11" l="1"/>
  <c r="V2210" i="11"/>
  <c r="S2210" i="11"/>
  <c r="R2210" i="11"/>
  <c r="Q2210" i="11"/>
  <c r="P2210" i="11"/>
  <c r="M2210" i="11"/>
  <c r="L2210" i="11"/>
  <c r="F2210" i="11"/>
  <c r="AI2209" i="11"/>
  <c r="AH2209" i="11"/>
  <c r="X2209" i="11"/>
  <c r="X2210" i="11" s="1"/>
  <c r="T2209" i="11"/>
  <c r="T2210" i="11" s="1"/>
  <c r="N2209" i="11"/>
  <c r="N2210" i="11" s="1"/>
  <c r="W2212" i="11"/>
  <c r="V2212" i="11"/>
  <c r="S2212" i="11"/>
  <c r="R2212" i="11"/>
  <c r="Q2212" i="11"/>
  <c r="P2212" i="11"/>
  <c r="M2212" i="11"/>
  <c r="L2212" i="11"/>
  <c r="F2212" i="11"/>
  <c r="AI2211" i="11"/>
  <c r="AH2211" i="11"/>
  <c r="X2211" i="11"/>
  <c r="X2212" i="11" s="1"/>
  <c r="T2211" i="11"/>
  <c r="T2212" i="11" s="1"/>
  <c r="N2211" i="11"/>
  <c r="AE2211" i="11" s="1"/>
  <c r="AI2210" i="11" l="1"/>
  <c r="U2212" i="11"/>
  <c r="U2210" i="11"/>
  <c r="AH2210" i="11"/>
  <c r="AG2210" i="11"/>
  <c r="AE2210" i="11"/>
  <c r="AE2209" i="11"/>
  <c r="AG2209" i="11"/>
  <c r="AI2212" i="11"/>
  <c r="AG2211" i="11"/>
  <c r="AH2212" i="11"/>
  <c r="N2212" i="11"/>
  <c r="AI235" i="11"/>
  <c r="AH235" i="11"/>
  <c r="X235" i="11"/>
  <c r="T235" i="11"/>
  <c r="N235" i="11"/>
  <c r="AG235" i="11" s="1"/>
  <c r="AI236" i="11"/>
  <c r="AH236" i="11"/>
  <c r="X236" i="11"/>
  <c r="T236" i="11"/>
  <c r="N236" i="11"/>
  <c r="AG236" i="11" s="1"/>
  <c r="AE2212" i="11" l="1"/>
  <c r="AG2212" i="11"/>
  <c r="AE235" i="11"/>
  <c r="AE236" i="11"/>
  <c r="W2202" i="11"/>
  <c r="V2202" i="11"/>
  <c r="S2202" i="11"/>
  <c r="R2202" i="11"/>
  <c r="Q2202" i="11"/>
  <c r="P2202" i="11"/>
  <c r="M2202" i="11"/>
  <c r="L2202" i="11"/>
  <c r="F2202" i="11"/>
  <c r="AI2201" i="11"/>
  <c r="AH2201" i="11"/>
  <c r="X2201" i="11"/>
  <c r="X2202" i="11" s="1"/>
  <c r="T2201" i="11"/>
  <c r="T2202" i="11" s="1"/>
  <c r="N2201" i="11"/>
  <c r="N2202" i="11" s="1"/>
  <c r="W2140" i="11"/>
  <c r="V2140" i="11"/>
  <c r="R2140" i="11"/>
  <c r="Q2140" i="11"/>
  <c r="P2140" i="11"/>
  <c r="L2140" i="11"/>
  <c r="F2140" i="11"/>
  <c r="AI2139" i="11"/>
  <c r="S2140" i="11"/>
  <c r="X2139" i="11"/>
  <c r="X2140" i="11" s="1"/>
  <c r="W2247" i="11"/>
  <c r="V2247" i="11"/>
  <c r="S2247" i="11"/>
  <c r="R2247" i="11"/>
  <c r="P2247" i="11"/>
  <c r="M2247" i="11"/>
  <c r="L2247" i="11"/>
  <c r="F2247" i="11"/>
  <c r="AI2246" i="11"/>
  <c r="AH2246" i="11"/>
  <c r="X2246" i="11"/>
  <c r="X2247" i="11" s="1"/>
  <c r="T2246" i="11"/>
  <c r="T2247" i="11" s="1"/>
  <c r="N2246" i="11"/>
  <c r="N2247" i="11" s="1"/>
  <c r="W2241" i="11"/>
  <c r="V2241" i="11"/>
  <c r="S2241" i="11"/>
  <c r="R2241" i="11"/>
  <c r="Q2241" i="11"/>
  <c r="P2241" i="11"/>
  <c r="M2241" i="11"/>
  <c r="L2241" i="11"/>
  <c r="F2241" i="11"/>
  <c r="AI2240" i="11"/>
  <c r="AH2240" i="11"/>
  <c r="X2240" i="11"/>
  <c r="X2241" i="11" s="1"/>
  <c r="T2240" i="11"/>
  <c r="T2241" i="11" s="1"/>
  <c r="N2240" i="11"/>
  <c r="N2241" i="11" s="1"/>
  <c r="AI2249" i="11"/>
  <c r="AH2249" i="11"/>
  <c r="X2249" i="11"/>
  <c r="X2250" i="11" s="1"/>
  <c r="T2249" i="11"/>
  <c r="T2250" i="11" s="1"/>
  <c r="N2249" i="11"/>
  <c r="N2250" i="11" s="1"/>
  <c r="W2252" i="11"/>
  <c r="V2252" i="11"/>
  <c r="R2252" i="11"/>
  <c r="P2252" i="11"/>
  <c r="M2252" i="11"/>
  <c r="L2252" i="11"/>
  <c r="F2252" i="11"/>
  <c r="AI2251" i="11"/>
  <c r="AH2251" i="11"/>
  <c r="X2251" i="11"/>
  <c r="X2252" i="11" s="1"/>
  <c r="T2251" i="11"/>
  <c r="T2252" i="11" s="1"/>
  <c r="N2251" i="11"/>
  <c r="N2252" i="11" s="1"/>
  <c r="AI2241" i="11" l="1"/>
  <c r="U2247" i="11"/>
  <c r="U2252" i="11"/>
  <c r="U2241" i="11"/>
  <c r="U2202" i="11"/>
  <c r="AI2202" i="11"/>
  <c r="AI2247" i="11"/>
  <c r="AH2252" i="11"/>
  <c r="AH2250" i="11"/>
  <c r="AH2241" i="11"/>
  <c r="AH2140" i="11"/>
  <c r="AH2247" i="11"/>
  <c r="AH2202" i="11"/>
  <c r="AG2202" i="11"/>
  <c r="AE2202" i="11"/>
  <c r="AE2201" i="11"/>
  <c r="AG2201" i="11"/>
  <c r="AI2140" i="11"/>
  <c r="T2139" i="11"/>
  <c r="T2140" i="11" s="1"/>
  <c r="N2139" i="11"/>
  <c r="AH2139" i="11"/>
  <c r="M2140" i="11"/>
  <c r="U2140" i="11" s="1"/>
  <c r="AI2250" i="11"/>
  <c r="AG2247" i="11"/>
  <c r="AE2247" i="11"/>
  <c r="AE2246" i="11"/>
  <c r="AG2246" i="11"/>
  <c r="AI2252" i="11"/>
  <c r="AG2241" i="11"/>
  <c r="AE2241" i="11"/>
  <c r="AE2240" i="11"/>
  <c r="AG2240" i="11"/>
  <c r="AG2250" i="11"/>
  <c r="AE2250" i="11"/>
  <c r="AE2249" i="11"/>
  <c r="AG2249" i="11"/>
  <c r="AG2252" i="11"/>
  <c r="AE2252" i="11"/>
  <c r="AE2251" i="11"/>
  <c r="AG2251" i="11"/>
  <c r="N2140" i="11" l="1"/>
  <c r="AG2139" i="11"/>
  <c r="AE2139" i="11"/>
  <c r="AG2140" i="11" l="1"/>
  <c r="AE2140" i="11"/>
  <c r="W662" i="11" l="1"/>
  <c r="V662" i="11"/>
  <c r="S662" i="11"/>
  <c r="R662" i="11"/>
  <c r="Q662" i="11"/>
  <c r="P662" i="11"/>
  <c r="M662" i="11"/>
  <c r="L662" i="11"/>
  <c r="F662" i="11"/>
  <c r="AI661" i="11"/>
  <c r="AH661" i="11"/>
  <c r="X661" i="11"/>
  <c r="T661" i="11"/>
  <c r="N661" i="11"/>
  <c r="AG661" i="11" s="1"/>
  <c r="AI658" i="11"/>
  <c r="AH658" i="11"/>
  <c r="X658" i="11"/>
  <c r="T658" i="11"/>
  <c r="N658" i="11"/>
  <c r="AG658" i="11" s="1"/>
  <c r="W666" i="11"/>
  <c r="V666" i="11"/>
  <c r="S666" i="11"/>
  <c r="R666" i="11"/>
  <c r="Q666" i="11"/>
  <c r="P666" i="11"/>
  <c r="M666" i="11"/>
  <c r="L666" i="11"/>
  <c r="F666" i="11"/>
  <c r="AI665" i="11"/>
  <c r="AH665" i="11"/>
  <c r="X665" i="11"/>
  <c r="T665" i="11"/>
  <c r="N665" i="11"/>
  <c r="AE665" i="11" s="1"/>
  <c r="AI663" i="11"/>
  <c r="AH663" i="11"/>
  <c r="X663" i="11"/>
  <c r="T663" i="11"/>
  <c r="N663" i="11"/>
  <c r="AE663" i="11" s="1"/>
  <c r="AI656" i="11"/>
  <c r="AH656" i="11"/>
  <c r="X656" i="11"/>
  <c r="T656" i="11"/>
  <c r="N656" i="11"/>
  <c r="AG656" i="11" s="1"/>
  <c r="W657" i="11"/>
  <c r="V657" i="11"/>
  <c r="S657" i="11"/>
  <c r="R657" i="11"/>
  <c r="Q657" i="11"/>
  <c r="P657" i="11"/>
  <c r="M657" i="11"/>
  <c r="L657" i="11"/>
  <c r="F657" i="11"/>
  <c r="AI655" i="11"/>
  <c r="AH655" i="11"/>
  <c r="X655" i="11"/>
  <c r="T655" i="11"/>
  <c r="N655" i="11"/>
  <c r="U662" i="11" l="1"/>
  <c r="U657" i="11"/>
  <c r="U666" i="11"/>
  <c r="T662" i="11"/>
  <c r="T657" i="11"/>
  <c r="T666" i="11"/>
  <c r="X662" i="11"/>
  <c r="X657" i="11"/>
  <c r="AI657" i="11"/>
  <c r="X666" i="11"/>
  <c r="AI662" i="11"/>
  <c r="N662" i="11"/>
  <c r="AH662" i="11"/>
  <c r="AE658" i="11"/>
  <c r="AE661" i="11"/>
  <c r="AG665" i="11"/>
  <c r="AG663" i="11"/>
  <c r="AH666" i="11"/>
  <c r="AI666" i="11"/>
  <c r="N666" i="11"/>
  <c r="AE656" i="11"/>
  <c r="AH657" i="11"/>
  <c r="N657" i="11"/>
  <c r="AG657" i="11" s="1"/>
  <c r="AE655" i="11"/>
  <c r="AG655" i="11"/>
  <c r="AE662" i="11" l="1"/>
  <c r="AG662" i="11"/>
  <c r="AG666" i="11"/>
  <c r="AE666" i="11"/>
  <c r="AE657" i="11"/>
  <c r="U533" i="11" l="1"/>
  <c r="U1059" i="11"/>
  <c r="AI1508" i="11" l="1"/>
  <c r="AH1508" i="11"/>
  <c r="X1508" i="11"/>
  <c r="T1508" i="11"/>
  <c r="N1508" i="11"/>
  <c r="AG1508" i="11" s="1"/>
  <c r="AE1508" i="11" l="1"/>
  <c r="U563" i="11"/>
  <c r="U1521" i="11" l="1"/>
  <c r="W644" i="11" l="1"/>
  <c r="V644" i="11"/>
  <c r="S644" i="11"/>
  <c r="R644" i="11"/>
  <c r="Q644" i="11"/>
  <c r="P644" i="11"/>
  <c r="M644" i="11"/>
  <c r="L644" i="11"/>
  <c r="F644" i="11"/>
  <c r="AI643" i="11"/>
  <c r="AH643" i="11"/>
  <c r="X643" i="11"/>
  <c r="T643" i="11"/>
  <c r="N643" i="11"/>
  <c r="AE643" i="11" s="1"/>
  <c r="AI642" i="11"/>
  <c r="AH642" i="11"/>
  <c r="X642" i="11"/>
  <c r="T642" i="11"/>
  <c r="N642" i="11"/>
  <c r="AE642" i="11" s="1"/>
  <c r="X644" i="11" l="1"/>
  <c r="T644" i="11"/>
  <c r="AI644" i="11"/>
  <c r="AG643" i="11"/>
  <c r="AH644" i="11"/>
  <c r="AG642" i="11"/>
  <c r="N644" i="11"/>
  <c r="AE644" i="11" l="1"/>
  <c r="AG644" i="11"/>
  <c r="U532" i="11" l="1"/>
  <c r="W648" i="11" l="1"/>
  <c r="V648" i="11"/>
  <c r="S648" i="11"/>
  <c r="R648" i="11"/>
  <c r="Q648" i="11"/>
  <c r="M648" i="11"/>
  <c r="L648" i="11"/>
  <c r="F648" i="11"/>
  <c r="AI647" i="11"/>
  <c r="AH647" i="11"/>
  <c r="X647" i="11"/>
  <c r="T647" i="11"/>
  <c r="N647" i="11"/>
  <c r="AG647" i="11" s="1"/>
  <c r="AI645" i="11"/>
  <c r="AH645" i="11"/>
  <c r="X645" i="11"/>
  <c r="T645" i="11"/>
  <c r="N645" i="11"/>
  <c r="W654" i="11"/>
  <c r="V654" i="11"/>
  <c r="S654" i="11"/>
  <c r="R654" i="11"/>
  <c r="Q654" i="11"/>
  <c r="P654" i="11"/>
  <c r="M654" i="11"/>
  <c r="L654" i="11"/>
  <c r="F654" i="11"/>
  <c r="AI653" i="11"/>
  <c r="AH653" i="11"/>
  <c r="X653" i="11"/>
  <c r="T653" i="11"/>
  <c r="N653" i="11"/>
  <c r="AG653" i="11" s="1"/>
  <c r="AI652" i="11"/>
  <c r="AH652" i="11"/>
  <c r="X652" i="11"/>
  <c r="T652" i="11"/>
  <c r="N652" i="11"/>
  <c r="AI1269" i="11"/>
  <c r="AH1269" i="11"/>
  <c r="X1269" i="11"/>
  <c r="T1269" i="11"/>
  <c r="N1269" i="11"/>
  <c r="AG1269" i="11" s="1"/>
  <c r="W641" i="11"/>
  <c r="V641" i="11"/>
  <c r="S641" i="11"/>
  <c r="R641" i="11"/>
  <c r="Q641" i="11"/>
  <c r="P641" i="11"/>
  <c r="M641" i="11"/>
  <c r="L641" i="11"/>
  <c r="F641" i="11"/>
  <c r="AI640" i="11"/>
  <c r="AH640" i="11"/>
  <c r="X640" i="11"/>
  <c r="T640" i="11"/>
  <c r="N640" i="11"/>
  <c r="AG640" i="11" s="1"/>
  <c r="AI639" i="11"/>
  <c r="AH639" i="11"/>
  <c r="X639" i="11"/>
  <c r="T639" i="11"/>
  <c r="N639" i="11"/>
  <c r="AI650" i="11"/>
  <c r="AH650" i="11"/>
  <c r="X650" i="11"/>
  <c r="T650" i="11"/>
  <c r="N650" i="11"/>
  <c r="AG650" i="11" s="1"/>
  <c r="W651" i="11"/>
  <c r="V651" i="11"/>
  <c r="S651" i="11"/>
  <c r="R651" i="11"/>
  <c r="Q651" i="11"/>
  <c r="P651" i="11"/>
  <c r="M651" i="11"/>
  <c r="L651" i="11"/>
  <c r="F651" i="11"/>
  <c r="AI649" i="11"/>
  <c r="AH649" i="11"/>
  <c r="X649" i="11"/>
  <c r="T649" i="11"/>
  <c r="N649" i="11"/>
  <c r="AG649" i="11" s="1"/>
  <c r="W522" i="11"/>
  <c r="V522" i="11"/>
  <c r="S522" i="11"/>
  <c r="R522" i="11"/>
  <c r="Q522" i="11"/>
  <c r="P522" i="11"/>
  <c r="M522" i="11"/>
  <c r="L522" i="11"/>
  <c r="F522" i="11"/>
  <c r="AI521" i="11"/>
  <c r="AH521" i="11"/>
  <c r="X521" i="11"/>
  <c r="T521" i="11"/>
  <c r="N521" i="11"/>
  <c r="AG521" i="11" s="1"/>
  <c r="AI519" i="11"/>
  <c r="AH519" i="11"/>
  <c r="X519" i="11"/>
  <c r="T519" i="11"/>
  <c r="N519" i="11"/>
  <c r="U522" i="11" l="1"/>
  <c r="AI654" i="11"/>
  <c r="AI522" i="11"/>
  <c r="AI648" i="11"/>
  <c r="U641" i="11"/>
  <c r="U654" i="11"/>
  <c r="U648" i="11"/>
  <c r="U651" i="11"/>
  <c r="AI641" i="11"/>
  <c r="X648" i="11"/>
  <c r="T654" i="11"/>
  <c r="X654" i="11"/>
  <c r="T648" i="11"/>
  <c r="AH654" i="11"/>
  <c r="T641" i="11"/>
  <c r="AH648" i="11"/>
  <c r="AE647" i="11"/>
  <c r="N648" i="11"/>
  <c r="AE648" i="11" s="1"/>
  <c r="AE645" i="11"/>
  <c r="AG645" i="11"/>
  <c r="N654" i="11"/>
  <c r="AG654" i="11" s="1"/>
  <c r="AE652" i="11"/>
  <c r="AE653" i="11"/>
  <c r="AG652" i="11"/>
  <c r="AE1269" i="11"/>
  <c r="X641" i="11"/>
  <c r="X522" i="11"/>
  <c r="T522" i="11"/>
  <c r="N641" i="11"/>
  <c r="AG641" i="11" s="1"/>
  <c r="AH641" i="11"/>
  <c r="T651" i="11"/>
  <c r="AH522" i="11"/>
  <c r="AE639" i="11"/>
  <c r="AE640" i="11"/>
  <c r="AG639" i="11"/>
  <c r="AI651" i="11"/>
  <c r="AH651" i="11"/>
  <c r="AE650" i="11"/>
  <c r="X651" i="11"/>
  <c r="N651" i="11"/>
  <c r="AG651" i="11" s="1"/>
  <c r="AE649" i="11"/>
  <c r="N522" i="11"/>
  <c r="AG522" i="11" s="1"/>
  <c r="AE519" i="11"/>
  <c r="AE521" i="11"/>
  <c r="AG519" i="11"/>
  <c r="U564" i="11"/>
  <c r="AG648" i="11" l="1"/>
  <c r="AE641" i="11"/>
  <c r="AE654" i="11"/>
  <c r="AE522" i="11"/>
  <c r="AE651" i="11"/>
  <c r="M490" i="11" l="1"/>
  <c r="U1409" i="11"/>
  <c r="U1410" i="11" s="1"/>
  <c r="M486" i="11" l="1"/>
  <c r="M483" i="11"/>
  <c r="W627" i="11" l="1"/>
  <c r="V627" i="11"/>
  <c r="S627" i="11"/>
  <c r="R627" i="11"/>
  <c r="Q627" i="11"/>
  <c r="P627" i="11"/>
  <c r="M627" i="11"/>
  <c r="L627" i="11"/>
  <c r="F627" i="11"/>
  <c r="AI626" i="11"/>
  <c r="AH626" i="11"/>
  <c r="X626" i="11"/>
  <c r="T626" i="11"/>
  <c r="N626" i="11"/>
  <c r="AE626" i="11" s="1"/>
  <c r="AI625" i="11"/>
  <c r="AH625" i="11"/>
  <c r="X625" i="11"/>
  <c r="T625" i="11"/>
  <c r="N625" i="11"/>
  <c r="W630" i="11"/>
  <c r="V630" i="11"/>
  <c r="S630" i="11"/>
  <c r="R630" i="11"/>
  <c r="Q630" i="11"/>
  <c r="P630" i="11"/>
  <c r="M630" i="11"/>
  <c r="L630" i="11"/>
  <c r="F630" i="11"/>
  <c r="AI629" i="11"/>
  <c r="AH629" i="11"/>
  <c r="X629" i="11"/>
  <c r="T629" i="11"/>
  <c r="N629" i="11"/>
  <c r="AG629" i="11" s="1"/>
  <c r="AI628" i="11"/>
  <c r="AH628" i="11"/>
  <c r="X628" i="11"/>
  <c r="T628" i="11"/>
  <c r="N628" i="11"/>
  <c r="W624" i="11"/>
  <c r="V624" i="11"/>
  <c r="S624" i="11"/>
  <c r="R624" i="11"/>
  <c r="Q624" i="11"/>
  <c r="P624" i="11"/>
  <c r="M624" i="11"/>
  <c r="L624" i="11"/>
  <c r="F624" i="11"/>
  <c r="AI623" i="11"/>
  <c r="AH623" i="11"/>
  <c r="X623" i="11"/>
  <c r="T623" i="11"/>
  <c r="N623" i="11"/>
  <c r="AG623" i="11" s="1"/>
  <c r="AI621" i="11"/>
  <c r="AH621" i="11"/>
  <c r="X621" i="11"/>
  <c r="T621" i="11"/>
  <c r="N621" i="11"/>
  <c r="AG621" i="11" s="1"/>
  <c r="AI620" i="11"/>
  <c r="AH620" i="11"/>
  <c r="X620" i="11"/>
  <c r="T620" i="11"/>
  <c r="N620" i="11"/>
  <c r="W638" i="11"/>
  <c r="V638" i="11"/>
  <c r="S638" i="11"/>
  <c r="R638" i="11"/>
  <c r="P638" i="11"/>
  <c r="M638" i="11"/>
  <c r="L638" i="11"/>
  <c r="F638" i="11"/>
  <c r="AI637" i="11"/>
  <c r="AH637" i="11"/>
  <c r="X637" i="11"/>
  <c r="T637" i="11"/>
  <c r="N637" i="11"/>
  <c r="AG637" i="11" s="1"/>
  <c r="AI636" i="11"/>
  <c r="AH636" i="11"/>
  <c r="X636" i="11"/>
  <c r="T636" i="11"/>
  <c r="N636" i="11"/>
  <c r="V619" i="11"/>
  <c r="S619" i="11"/>
  <c r="R619" i="11"/>
  <c r="Q619" i="11"/>
  <c r="P619" i="11"/>
  <c r="M619" i="11"/>
  <c r="L619" i="11"/>
  <c r="F619" i="11"/>
  <c r="AI618" i="11"/>
  <c r="AH618" i="11"/>
  <c r="X618" i="11"/>
  <c r="T618" i="11"/>
  <c r="N618" i="11"/>
  <c r="AG618" i="11" s="1"/>
  <c r="AI616" i="11"/>
  <c r="AH616" i="11"/>
  <c r="X616" i="11"/>
  <c r="T616" i="11"/>
  <c r="N616" i="11"/>
  <c r="AG616" i="11" s="1"/>
  <c r="AI615" i="11"/>
  <c r="AH615" i="11"/>
  <c r="X615" i="11"/>
  <c r="T615" i="11"/>
  <c r="N615" i="11"/>
  <c r="AI627" i="11" l="1"/>
  <c r="AI638" i="11"/>
  <c r="AI619" i="11"/>
  <c r="U619" i="11"/>
  <c r="U638" i="11"/>
  <c r="U624" i="11"/>
  <c r="U630" i="11"/>
  <c r="U627" i="11"/>
  <c r="AI624" i="11"/>
  <c r="X619" i="11"/>
  <c r="X627" i="11"/>
  <c r="X630" i="11"/>
  <c r="X638" i="11"/>
  <c r="X624" i="11"/>
  <c r="T627" i="11"/>
  <c r="N619" i="11"/>
  <c r="AG619" i="11" s="1"/>
  <c r="AH619" i="11"/>
  <c r="T638" i="11"/>
  <c r="T619" i="11"/>
  <c r="T624" i="11"/>
  <c r="T630" i="11"/>
  <c r="AI630" i="11"/>
  <c r="AH638" i="11"/>
  <c r="N624" i="11"/>
  <c r="AE624" i="11" s="1"/>
  <c r="AH624" i="11"/>
  <c r="N627" i="11"/>
  <c r="AG627" i="11" s="1"/>
  <c r="AE625" i="11"/>
  <c r="AH627" i="11"/>
  <c r="AG625" i="11"/>
  <c r="AG626" i="11"/>
  <c r="AH630" i="11"/>
  <c r="AE629" i="11"/>
  <c r="N630" i="11"/>
  <c r="AG630" i="11" s="1"/>
  <c r="AE628" i="11"/>
  <c r="AG628" i="11"/>
  <c r="AE620" i="11"/>
  <c r="AE621" i="11"/>
  <c r="AE623" i="11"/>
  <c r="AG620" i="11"/>
  <c r="N638" i="11"/>
  <c r="AG638" i="11" s="1"/>
  <c r="AE636" i="11"/>
  <c r="AE637" i="11"/>
  <c r="AG636" i="11"/>
  <c r="AE615" i="11"/>
  <c r="AE616" i="11"/>
  <c r="AE618" i="11"/>
  <c r="AG615" i="11"/>
  <c r="AG624" i="11" l="1"/>
  <c r="AE619" i="11"/>
  <c r="AE627" i="11"/>
  <c r="AE630" i="11"/>
  <c r="AE638" i="11"/>
  <c r="W614" i="11" l="1"/>
  <c r="V614" i="11"/>
  <c r="S614" i="11"/>
  <c r="R614" i="11"/>
  <c r="Q614" i="11"/>
  <c r="P614" i="11"/>
  <c r="M614" i="11"/>
  <c r="L614" i="11"/>
  <c r="F614" i="11"/>
  <c r="AI613" i="11"/>
  <c r="AH613" i="11"/>
  <c r="X613" i="11"/>
  <c r="T613" i="11"/>
  <c r="N613" i="11"/>
  <c r="AG613" i="11" s="1"/>
  <c r="AI612" i="11"/>
  <c r="AH612" i="11"/>
  <c r="X612" i="11"/>
  <c r="T612" i="11"/>
  <c r="N612" i="11"/>
  <c r="U614" i="11" l="1"/>
  <c r="AI614" i="11"/>
  <c r="X614" i="11"/>
  <c r="T614" i="11"/>
  <c r="N614" i="11"/>
  <c r="AH614" i="11"/>
  <c r="AE612" i="11"/>
  <c r="AE613" i="11"/>
  <c r="AG612" i="11"/>
  <c r="AG614" i="11" l="1"/>
  <c r="AE614" i="11"/>
  <c r="U1189" i="11" l="1"/>
  <c r="U1192" i="11" l="1"/>
  <c r="U1045" i="11"/>
  <c r="W71" i="11" l="1"/>
  <c r="V71" i="11"/>
  <c r="S71" i="11"/>
  <c r="R71" i="11"/>
  <c r="Q71" i="11"/>
  <c r="P71" i="11"/>
  <c r="M71" i="11"/>
  <c r="L71" i="11"/>
  <c r="F71" i="11"/>
  <c r="AI70" i="11"/>
  <c r="AH70" i="11"/>
  <c r="X70" i="11"/>
  <c r="T70" i="11"/>
  <c r="N70" i="11"/>
  <c r="AE70" i="11" s="1"/>
  <c r="AI69" i="11"/>
  <c r="AH69" i="11"/>
  <c r="X69" i="11"/>
  <c r="T69" i="11"/>
  <c r="N69" i="11"/>
  <c r="AE69" i="11" s="1"/>
  <c r="AI68" i="11"/>
  <c r="AH68" i="11"/>
  <c r="X68" i="11"/>
  <c r="T68" i="11"/>
  <c r="N68" i="11"/>
  <c r="AE68" i="11" s="1"/>
  <c r="W94" i="11"/>
  <c r="V94" i="11"/>
  <c r="S94" i="11"/>
  <c r="R94" i="11"/>
  <c r="Q94" i="11"/>
  <c r="P94" i="11"/>
  <c r="M94" i="11"/>
  <c r="L94" i="11"/>
  <c r="F94" i="11"/>
  <c r="AI93" i="11"/>
  <c r="AH93" i="11"/>
  <c r="X93" i="11"/>
  <c r="X94" i="11" s="1"/>
  <c r="T93" i="11"/>
  <c r="T94" i="11" s="1"/>
  <c r="N93" i="11"/>
  <c r="N94" i="11" s="1"/>
  <c r="W83" i="11"/>
  <c r="V83" i="11"/>
  <c r="S83" i="11"/>
  <c r="R83" i="11"/>
  <c r="Q83" i="11"/>
  <c r="P83" i="11"/>
  <c r="L83" i="11"/>
  <c r="F83" i="11"/>
  <c r="AI82" i="11"/>
  <c r="AH82" i="11"/>
  <c r="T82" i="11"/>
  <c r="T83" i="11" s="1"/>
  <c r="X82" i="11"/>
  <c r="X83" i="11" s="1"/>
  <c r="AI80" i="11"/>
  <c r="AH80" i="11"/>
  <c r="T80" i="11"/>
  <c r="T81" i="11" s="1"/>
  <c r="X80" i="11"/>
  <c r="X81" i="11" s="1"/>
  <c r="U71" i="11" l="1"/>
  <c r="U94" i="11"/>
  <c r="T71" i="11"/>
  <c r="X71" i="11"/>
  <c r="AI71" i="11"/>
  <c r="AG68" i="11"/>
  <c r="AG70" i="11"/>
  <c r="N71" i="11"/>
  <c r="AH71" i="11"/>
  <c r="AG69" i="11"/>
  <c r="AH94" i="11"/>
  <c r="AI94" i="11"/>
  <c r="AG94" i="11"/>
  <c r="AE94" i="11"/>
  <c r="AE93" i="11"/>
  <c r="AG93" i="11"/>
  <c r="AH81" i="11"/>
  <c r="AH83" i="11"/>
  <c r="N80" i="11"/>
  <c r="N82" i="11"/>
  <c r="N83" i="11" s="1"/>
  <c r="AG83" i="11" s="1"/>
  <c r="M83" i="11"/>
  <c r="U83" i="11" s="1"/>
  <c r="AI81" i="11"/>
  <c r="AI83" i="11"/>
  <c r="N81" i="11" l="1"/>
  <c r="AE81" i="11" s="1"/>
  <c r="AG71" i="11"/>
  <c r="AE71" i="11"/>
  <c r="AE83" i="11"/>
  <c r="AE80" i="11"/>
  <c r="AE82" i="11"/>
  <c r="AG80" i="11"/>
  <c r="AG82" i="11"/>
  <c r="AG81" i="11" l="1"/>
  <c r="W606" i="11" l="1"/>
  <c r="V606" i="11"/>
  <c r="S606" i="11"/>
  <c r="R606" i="11"/>
  <c r="Q606" i="11"/>
  <c r="P606" i="11"/>
  <c r="M606" i="11"/>
  <c r="L606" i="11"/>
  <c r="F606" i="11"/>
  <c r="AI605" i="11"/>
  <c r="AH605" i="11"/>
  <c r="X605" i="11"/>
  <c r="T605" i="11"/>
  <c r="N605" i="11"/>
  <c r="AG605" i="11" s="1"/>
  <c r="AI604" i="11"/>
  <c r="AH604" i="11"/>
  <c r="X604" i="11"/>
  <c r="T604" i="11"/>
  <c r="N604" i="11"/>
  <c r="W611" i="11"/>
  <c r="V611" i="11"/>
  <c r="S611" i="11"/>
  <c r="R611" i="11"/>
  <c r="Q611" i="11"/>
  <c r="P611" i="11"/>
  <c r="M611" i="11"/>
  <c r="L611" i="11"/>
  <c r="F611" i="11"/>
  <c r="AI610" i="11"/>
  <c r="AH610" i="11"/>
  <c r="X610" i="11"/>
  <c r="T610" i="11"/>
  <c r="N610" i="11"/>
  <c r="AE610" i="11" s="1"/>
  <c r="AI608" i="11"/>
  <c r="AH608" i="11"/>
  <c r="X608" i="11"/>
  <c r="T608" i="11"/>
  <c r="N608" i="11"/>
  <c r="AE608" i="11" s="1"/>
  <c r="AI607" i="11"/>
  <c r="AH607" i="11"/>
  <c r="X607" i="11"/>
  <c r="T607" i="11"/>
  <c r="N607" i="11"/>
  <c r="AE607" i="11" s="1"/>
  <c r="U606" i="11" l="1"/>
  <c r="U611" i="11"/>
  <c r="T611" i="11"/>
  <c r="T606" i="11"/>
  <c r="X606" i="11"/>
  <c r="AH606" i="11"/>
  <c r="X611" i="11"/>
  <c r="N606" i="11"/>
  <c r="AG606" i="11" s="1"/>
  <c r="AI606" i="11"/>
  <c r="AE604" i="11"/>
  <c r="AE605" i="11"/>
  <c r="AG604" i="11"/>
  <c r="AI611" i="11"/>
  <c r="AH611" i="11"/>
  <c r="AG610" i="11"/>
  <c r="AG608" i="11"/>
  <c r="AG607" i="11"/>
  <c r="N611" i="11"/>
  <c r="AG611" i="11" s="1"/>
  <c r="AE606" i="11" l="1"/>
  <c r="AE611" i="11"/>
  <c r="W1092" i="11" l="1"/>
  <c r="V1092" i="11"/>
  <c r="S1092" i="11"/>
  <c r="R1092" i="11"/>
  <c r="Q1092" i="11"/>
  <c r="P1092" i="11"/>
  <c r="M1092" i="11"/>
  <c r="L1092" i="11"/>
  <c r="F1092" i="11"/>
  <c r="AI1091" i="11"/>
  <c r="AH1091" i="11"/>
  <c r="X1091" i="11"/>
  <c r="X1092" i="11" s="1"/>
  <c r="T1091" i="11"/>
  <c r="T1092" i="11" s="1"/>
  <c r="N1091" i="11"/>
  <c r="AE1091" i="11" s="1"/>
  <c r="W1088" i="11"/>
  <c r="V1088" i="11"/>
  <c r="S1088" i="11"/>
  <c r="R1088" i="11"/>
  <c r="Q1088" i="11"/>
  <c r="P1088" i="11"/>
  <c r="M1088" i="11"/>
  <c r="L1088" i="11"/>
  <c r="F1088" i="11"/>
  <c r="AI1087" i="11"/>
  <c r="AH1087" i="11"/>
  <c r="X1087" i="11"/>
  <c r="X1088" i="11" s="1"/>
  <c r="T1087" i="11"/>
  <c r="T1088" i="11" s="1"/>
  <c r="N1087" i="11"/>
  <c r="AG1087" i="11" s="1"/>
  <c r="W1090" i="11"/>
  <c r="V1090" i="11"/>
  <c r="S1090" i="11"/>
  <c r="R1090" i="11"/>
  <c r="Q1090" i="11"/>
  <c r="P1090" i="11"/>
  <c r="M1090" i="11"/>
  <c r="L1090" i="11"/>
  <c r="F1090" i="11"/>
  <c r="AI1089" i="11"/>
  <c r="AH1089" i="11"/>
  <c r="X1089" i="11"/>
  <c r="X1090" i="11" s="1"/>
  <c r="T1089" i="11"/>
  <c r="T1090" i="11" s="1"/>
  <c r="N1089" i="11"/>
  <c r="AG1089" i="11" s="1"/>
  <c r="W1094" i="11"/>
  <c r="V1094" i="11"/>
  <c r="S1094" i="11"/>
  <c r="R1094" i="11"/>
  <c r="Q1094" i="11"/>
  <c r="P1094" i="11"/>
  <c r="M1094" i="11"/>
  <c r="L1094" i="11"/>
  <c r="F1094" i="11"/>
  <c r="AI1093" i="11"/>
  <c r="AH1093" i="11"/>
  <c r="X1093" i="11"/>
  <c r="X1094" i="11" s="1"/>
  <c r="T1093" i="11"/>
  <c r="T1094" i="11" s="1"/>
  <c r="N1093" i="11"/>
  <c r="AE1093" i="11" s="1"/>
  <c r="M1574" i="11"/>
  <c r="P1574" i="11"/>
  <c r="Q1574" i="11"/>
  <c r="R1574" i="11"/>
  <c r="S1574" i="11"/>
  <c r="V1574" i="11"/>
  <c r="W1574" i="11"/>
  <c r="L1574" i="11"/>
  <c r="F1574" i="11"/>
  <c r="AI1572" i="11"/>
  <c r="AH1572" i="11"/>
  <c r="X1572" i="11"/>
  <c r="T1572" i="11"/>
  <c r="N1572" i="11"/>
  <c r="AG1572" i="11" s="1"/>
  <c r="U1094" i="11" l="1"/>
  <c r="U1088" i="11"/>
  <c r="U1090" i="11"/>
  <c r="U1092" i="11"/>
  <c r="U1574" i="11"/>
  <c r="AH1094" i="11"/>
  <c r="N1094" i="11"/>
  <c r="AG1094" i="11" s="1"/>
  <c r="N1090" i="11"/>
  <c r="AG1090" i="11" s="1"/>
  <c r="AH1090" i="11"/>
  <c r="AI1088" i="11"/>
  <c r="AI1090" i="11"/>
  <c r="AI1094" i="11"/>
  <c r="N1088" i="11"/>
  <c r="AG1088" i="11" s="1"/>
  <c r="AH1088" i="11"/>
  <c r="N1092" i="11"/>
  <c r="AG1092" i="11" s="1"/>
  <c r="AH1092" i="11"/>
  <c r="AG1091" i="11"/>
  <c r="AI1092" i="11"/>
  <c r="AE1087" i="11"/>
  <c r="AE1089" i="11"/>
  <c r="AG1093" i="11"/>
  <c r="T1574" i="11"/>
  <c r="X1574" i="11"/>
  <c r="N1574" i="11"/>
  <c r="AG1574" i="11" s="1"/>
  <c r="AH1574" i="11"/>
  <c r="AE1572" i="11"/>
  <c r="AI1574" i="11"/>
  <c r="W603" i="11"/>
  <c r="V603" i="11"/>
  <c r="S603" i="11"/>
  <c r="R603" i="11"/>
  <c r="Q603" i="11"/>
  <c r="P603" i="11"/>
  <c r="M603" i="11"/>
  <c r="L603" i="11"/>
  <c r="F603" i="11"/>
  <c r="AI602" i="11"/>
  <c r="AH602" i="11"/>
  <c r="X602" i="11"/>
  <c r="T602" i="11"/>
  <c r="N602" i="11"/>
  <c r="AG602" i="11" s="1"/>
  <c r="AI600" i="11"/>
  <c r="AH600" i="11"/>
  <c r="X600" i="11"/>
  <c r="T600" i="11"/>
  <c r="N600" i="11"/>
  <c r="AG600" i="11" s="1"/>
  <c r="AI599" i="11"/>
  <c r="AH599" i="11"/>
  <c r="X599" i="11"/>
  <c r="T599" i="11"/>
  <c r="N599" i="11"/>
  <c r="AG599" i="11" s="1"/>
  <c r="W598" i="11"/>
  <c r="V598" i="11"/>
  <c r="S598" i="11"/>
  <c r="R598" i="11"/>
  <c r="Q598" i="11"/>
  <c r="P598" i="11"/>
  <c r="M598" i="11"/>
  <c r="L598" i="11"/>
  <c r="F598" i="11"/>
  <c r="AI597" i="11"/>
  <c r="AH597" i="11"/>
  <c r="X597" i="11"/>
  <c r="T597" i="11"/>
  <c r="N597" i="11"/>
  <c r="AG597" i="11" s="1"/>
  <c r="AI596" i="11"/>
  <c r="AH596" i="11"/>
  <c r="X596" i="11"/>
  <c r="T596" i="11"/>
  <c r="N596" i="11"/>
  <c r="AG596" i="11" s="1"/>
  <c r="W1216" i="11"/>
  <c r="V1216" i="11"/>
  <c r="S1216" i="11"/>
  <c r="R1216" i="11"/>
  <c r="Q1216" i="11"/>
  <c r="P1216" i="11"/>
  <c r="M1216" i="11"/>
  <c r="L1216" i="11"/>
  <c r="F1216" i="11"/>
  <c r="AI1215" i="11"/>
  <c r="AH1215" i="11"/>
  <c r="X1215" i="11"/>
  <c r="T1215" i="11"/>
  <c r="N1215" i="11"/>
  <c r="AE1215" i="11" s="1"/>
  <c r="AI1211" i="11"/>
  <c r="AH1211" i="11"/>
  <c r="X1211" i="11"/>
  <c r="T1211" i="11"/>
  <c r="N1211" i="11"/>
  <c r="AE1211" i="11" s="1"/>
  <c r="U603" i="11" l="1"/>
  <c r="U1216" i="11"/>
  <c r="U598" i="11"/>
  <c r="AE1088" i="11"/>
  <c r="AE1090" i="11"/>
  <c r="AE1094" i="11"/>
  <c r="AE1092" i="11"/>
  <c r="T603" i="11"/>
  <c r="X603" i="11"/>
  <c r="T598" i="11"/>
  <c r="AE1574" i="11"/>
  <c r="X598" i="11"/>
  <c r="X1216" i="11"/>
  <c r="T1216" i="11"/>
  <c r="AH603" i="11"/>
  <c r="AI603" i="11"/>
  <c r="N603" i="11"/>
  <c r="AG603" i="11" s="1"/>
  <c r="AE599" i="11"/>
  <c r="AE600" i="11"/>
  <c r="AE602" i="11"/>
  <c r="AI598" i="11"/>
  <c r="AH598" i="11"/>
  <c r="N598" i="11"/>
  <c r="AG598" i="11" s="1"/>
  <c r="AE596" i="11"/>
  <c r="AE597" i="11"/>
  <c r="AG1211" i="11"/>
  <c r="N1216" i="11"/>
  <c r="AG1216" i="11" s="1"/>
  <c r="AH1216" i="11"/>
  <c r="AG1215" i="11"/>
  <c r="AI1216" i="11"/>
  <c r="AE603" i="11" l="1"/>
  <c r="AE598" i="11"/>
  <c r="AE1216" i="11"/>
  <c r="U1032" i="11" l="1"/>
  <c r="W591" i="11" l="1"/>
  <c r="V591" i="11"/>
  <c r="S591" i="11"/>
  <c r="R591" i="11"/>
  <c r="Q591" i="11"/>
  <c r="P591" i="11"/>
  <c r="M591" i="11"/>
  <c r="L591" i="11"/>
  <c r="F591" i="11"/>
  <c r="AI590" i="11"/>
  <c r="AH590" i="11"/>
  <c r="X590" i="11"/>
  <c r="T590" i="11"/>
  <c r="N590" i="11"/>
  <c r="AE590" i="11" s="1"/>
  <c r="AI588" i="11"/>
  <c r="AH588" i="11"/>
  <c r="X588" i="11"/>
  <c r="T588" i="11"/>
  <c r="N588" i="11"/>
  <c r="AE588" i="11" s="1"/>
  <c r="W595" i="11"/>
  <c r="V595" i="11"/>
  <c r="S595" i="11"/>
  <c r="R595" i="11"/>
  <c r="Q595" i="11"/>
  <c r="P595" i="11"/>
  <c r="M595" i="11"/>
  <c r="L595" i="11"/>
  <c r="F595" i="11"/>
  <c r="AI594" i="11"/>
  <c r="AH594" i="11"/>
  <c r="X594" i="11"/>
  <c r="T594" i="11"/>
  <c r="N594" i="11"/>
  <c r="AE594" i="11" s="1"/>
  <c r="AI592" i="11"/>
  <c r="AH592" i="11"/>
  <c r="X592" i="11"/>
  <c r="T592" i="11"/>
  <c r="N592" i="11"/>
  <c r="AE592" i="11" s="1"/>
  <c r="W551" i="11"/>
  <c r="V551" i="11"/>
  <c r="S551" i="11"/>
  <c r="R551" i="11"/>
  <c r="Q551" i="11"/>
  <c r="P551" i="11"/>
  <c r="M551" i="11"/>
  <c r="L551" i="11"/>
  <c r="F551" i="11"/>
  <c r="AI549" i="11"/>
  <c r="AH549" i="11"/>
  <c r="X549" i="11"/>
  <c r="T549" i="11"/>
  <c r="N549" i="11"/>
  <c r="AE549" i="11" s="1"/>
  <c r="U1403" i="11"/>
  <c r="AI551" i="11" l="1"/>
  <c r="U551" i="11"/>
  <c r="U595" i="11"/>
  <c r="U591" i="11"/>
  <c r="X591" i="11"/>
  <c r="X551" i="11"/>
  <c r="T595" i="11"/>
  <c r="T591" i="11"/>
  <c r="AH591" i="11"/>
  <c r="AG590" i="11"/>
  <c r="AG588" i="11"/>
  <c r="AI591" i="11"/>
  <c r="N591" i="11"/>
  <c r="X595" i="11"/>
  <c r="AH595" i="11"/>
  <c r="AG592" i="11"/>
  <c r="AI595" i="11"/>
  <c r="AG594" i="11"/>
  <c r="N595" i="11"/>
  <c r="T551" i="11"/>
  <c r="AH551" i="11"/>
  <c r="AG549" i="11"/>
  <c r="N551" i="11"/>
  <c r="U466" i="11"/>
  <c r="W587" i="11"/>
  <c r="V587" i="11"/>
  <c r="S587" i="11"/>
  <c r="R587" i="11"/>
  <c r="Q587" i="11"/>
  <c r="P587" i="11"/>
  <c r="M587" i="11"/>
  <c r="L587" i="11"/>
  <c r="F587" i="11"/>
  <c r="AI586" i="11"/>
  <c r="AH586" i="11"/>
  <c r="X586" i="11"/>
  <c r="T586" i="11"/>
  <c r="N586" i="11"/>
  <c r="AG586" i="11" s="1"/>
  <c r="AI585" i="11"/>
  <c r="AH585" i="11"/>
  <c r="X585" i="11"/>
  <c r="T585" i="11"/>
  <c r="N585" i="11"/>
  <c r="U587" i="11" l="1"/>
  <c r="AI587" i="11"/>
  <c r="AG591" i="11"/>
  <c r="AE591" i="11"/>
  <c r="X587" i="11"/>
  <c r="T587" i="11"/>
  <c r="AG595" i="11"/>
  <c r="AE595" i="11"/>
  <c r="AE551" i="11"/>
  <c r="AG551" i="11"/>
  <c r="N587" i="11"/>
  <c r="AG587" i="11" s="1"/>
  <c r="AH587" i="11"/>
  <c r="AE585" i="11"/>
  <c r="AE586" i="11"/>
  <c r="AG585" i="11"/>
  <c r="T377" i="11"/>
  <c r="N377" i="11"/>
  <c r="AE587" i="11" l="1"/>
  <c r="AH377" i="11"/>
  <c r="AI377" i="11"/>
  <c r="X377" i="11"/>
  <c r="AG377" i="11" l="1"/>
  <c r="AE377" i="11"/>
  <c r="AI326" i="11" l="1"/>
  <c r="AH326" i="11"/>
  <c r="X326" i="11"/>
  <c r="T326" i="11"/>
  <c r="N326" i="11"/>
  <c r="AE326" i="11" s="1"/>
  <c r="W327" i="11"/>
  <c r="V327" i="11"/>
  <c r="S327" i="11"/>
  <c r="R327" i="11"/>
  <c r="Q327" i="11"/>
  <c r="P327" i="11"/>
  <c r="M327" i="11"/>
  <c r="L327" i="11"/>
  <c r="F327" i="11"/>
  <c r="AI325" i="11"/>
  <c r="AH325" i="11"/>
  <c r="X325" i="11"/>
  <c r="T325" i="11"/>
  <c r="N325" i="11"/>
  <c r="W324" i="11"/>
  <c r="V324" i="11"/>
  <c r="S324" i="11"/>
  <c r="R324" i="11"/>
  <c r="Q324" i="11"/>
  <c r="P324" i="11"/>
  <c r="M324" i="11"/>
  <c r="L324" i="11"/>
  <c r="F324" i="11"/>
  <c r="AI323" i="11"/>
  <c r="AH323" i="11"/>
  <c r="X323" i="11"/>
  <c r="T323" i="11"/>
  <c r="N323" i="11"/>
  <c r="AG323" i="11" s="1"/>
  <c r="AI322" i="11"/>
  <c r="AH322" i="11"/>
  <c r="X322" i="11"/>
  <c r="T322" i="11"/>
  <c r="N322" i="11"/>
  <c r="AG322" i="11" s="1"/>
  <c r="AI320" i="11"/>
  <c r="AH320" i="11"/>
  <c r="X320" i="11"/>
  <c r="T320" i="11"/>
  <c r="N320" i="11"/>
  <c r="W321" i="11"/>
  <c r="V321" i="11"/>
  <c r="S321" i="11"/>
  <c r="R321" i="11"/>
  <c r="Q321" i="11"/>
  <c r="P321" i="11"/>
  <c r="M321" i="11"/>
  <c r="L321" i="11"/>
  <c r="F321" i="11"/>
  <c r="AI317" i="11"/>
  <c r="AH317" i="11"/>
  <c r="X317" i="11"/>
  <c r="T317" i="11"/>
  <c r="N317" i="11"/>
  <c r="AI316" i="11"/>
  <c r="AH316" i="11"/>
  <c r="X316" i="11"/>
  <c r="T316" i="11"/>
  <c r="AG316" i="11"/>
  <c r="U327" i="11" l="1"/>
  <c r="AG320" i="11"/>
  <c r="AG317" i="11"/>
  <c r="AI327" i="11"/>
  <c r="T324" i="11"/>
  <c r="T321" i="11"/>
  <c r="X327" i="11"/>
  <c r="X321" i="11"/>
  <c r="X324" i="11"/>
  <c r="AI324" i="11"/>
  <c r="AH324" i="11"/>
  <c r="AG326" i="11"/>
  <c r="T327" i="11"/>
  <c r="N327" i="11"/>
  <c r="AE327" i="11" s="1"/>
  <c r="AH327" i="11"/>
  <c r="AE325" i="11"/>
  <c r="AG325" i="11"/>
  <c r="N324" i="11"/>
  <c r="AE322" i="11"/>
  <c r="AE323" i="11"/>
  <c r="AE320" i="11"/>
  <c r="AI321" i="11"/>
  <c r="N321" i="11"/>
  <c r="AH321" i="11"/>
  <c r="AE316" i="11"/>
  <c r="AE317" i="11"/>
  <c r="AG327" i="11" l="1"/>
  <c r="AE324" i="11"/>
  <c r="AG324" i="11"/>
  <c r="AE321" i="11"/>
  <c r="AG321" i="11"/>
  <c r="U1413" i="11" l="1"/>
  <c r="U1412" i="11"/>
  <c r="W1529" i="11" l="1"/>
  <c r="V1529" i="11"/>
  <c r="S1529" i="11"/>
  <c r="R1529" i="11"/>
  <c r="Q1529" i="11"/>
  <c r="P1529" i="11"/>
  <c r="M1529" i="11"/>
  <c r="L1529" i="11"/>
  <c r="F1529" i="11"/>
  <c r="AI1528" i="11"/>
  <c r="AH1528" i="11"/>
  <c r="X1528" i="11"/>
  <c r="T1528" i="11"/>
  <c r="N1528" i="11"/>
  <c r="AG1528" i="11" s="1"/>
  <c r="AI1526" i="11"/>
  <c r="AH1526" i="11"/>
  <c r="X1526" i="11"/>
  <c r="T1526" i="11"/>
  <c r="N1526" i="11"/>
  <c r="AG1526" i="11" s="1"/>
  <c r="W584" i="11"/>
  <c r="V584" i="11"/>
  <c r="S584" i="11"/>
  <c r="R584" i="11"/>
  <c r="Q584" i="11"/>
  <c r="P584" i="11"/>
  <c r="M584" i="11"/>
  <c r="L584" i="11"/>
  <c r="F584" i="11"/>
  <c r="AI583" i="11"/>
  <c r="AH583" i="11"/>
  <c r="X583" i="11"/>
  <c r="T583" i="11"/>
  <c r="N583" i="11"/>
  <c r="AE583" i="11" s="1"/>
  <c r="AI582" i="11"/>
  <c r="AH582" i="11"/>
  <c r="X582" i="11"/>
  <c r="T582" i="11"/>
  <c r="N582" i="11"/>
  <c r="AE582" i="11" s="1"/>
  <c r="W581" i="11"/>
  <c r="V581" i="11"/>
  <c r="S581" i="11"/>
  <c r="R581" i="11"/>
  <c r="Q581" i="11"/>
  <c r="P581" i="11"/>
  <c r="M581" i="11"/>
  <c r="L581" i="11"/>
  <c r="F581" i="11"/>
  <c r="AI580" i="11"/>
  <c r="AH580" i="11"/>
  <c r="X580" i="11"/>
  <c r="T580" i="11"/>
  <c r="N580" i="11"/>
  <c r="AE580" i="11" s="1"/>
  <c r="AI578" i="11"/>
  <c r="AH578" i="11"/>
  <c r="X578" i="11"/>
  <c r="T578" i="11"/>
  <c r="N578" i="11"/>
  <c r="AE578" i="11" s="1"/>
  <c r="W1098" i="11"/>
  <c r="V1098" i="11"/>
  <c r="S1098" i="11"/>
  <c r="R1098" i="11"/>
  <c r="Q1098" i="11"/>
  <c r="P1098" i="11"/>
  <c r="M1098" i="11"/>
  <c r="L1098" i="11"/>
  <c r="F1098" i="11"/>
  <c r="AI1097" i="11"/>
  <c r="AH1097" i="11"/>
  <c r="X1097" i="11"/>
  <c r="X1098" i="11" s="1"/>
  <c r="T1097" i="11"/>
  <c r="T1098" i="11" s="1"/>
  <c r="N1097" i="11"/>
  <c r="N1098" i="11" s="1"/>
  <c r="AI1258" i="11"/>
  <c r="AH1258" i="11"/>
  <c r="X1258" i="11"/>
  <c r="X1259" i="11" s="1"/>
  <c r="T1258" i="11"/>
  <c r="T1259" i="11" s="1"/>
  <c r="N1258" i="11"/>
  <c r="W1261" i="11"/>
  <c r="V1261" i="11"/>
  <c r="S1261" i="11"/>
  <c r="R1261" i="11"/>
  <c r="Q1261" i="11"/>
  <c r="P1261" i="11"/>
  <c r="M1261" i="11"/>
  <c r="L1261" i="11"/>
  <c r="F1261" i="11"/>
  <c r="AI1260" i="11"/>
  <c r="AH1260" i="11"/>
  <c r="X1260" i="11"/>
  <c r="X1261" i="11" s="1"/>
  <c r="T1260" i="11"/>
  <c r="T1261" i="11" s="1"/>
  <c r="N1260" i="11"/>
  <c r="AG1260" i="11" s="1"/>
  <c r="W577" i="11"/>
  <c r="V577" i="11"/>
  <c r="S577" i="11"/>
  <c r="R577" i="11"/>
  <c r="P577" i="11"/>
  <c r="M577" i="11"/>
  <c r="L577" i="11"/>
  <c r="F577" i="11"/>
  <c r="AI576" i="11"/>
  <c r="AH576" i="11"/>
  <c r="X576" i="11"/>
  <c r="T576" i="11"/>
  <c r="N576" i="11"/>
  <c r="AG576" i="11" s="1"/>
  <c r="AI575" i="11"/>
  <c r="AH575" i="11"/>
  <c r="X575" i="11"/>
  <c r="T575" i="11"/>
  <c r="N575" i="11"/>
  <c r="AG575" i="11" s="1"/>
  <c r="W574" i="11"/>
  <c r="V574" i="11"/>
  <c r="S574" i="11"/>
  <c r="R574" i="11"/>
  <c r="P574" i="11"/>
  <c r="M574" i="11"/>
  <c r="L574" i="11"/>
  <c r="F574" i="11"/>
  <c r="AI572" i="11"/>
  <c r="AH572" i="11"/>
  <c r="X572" i="11"/>
  <c r="T572" i="11"/>
  <c r="N572" i="11"/>
  <c r="AG572" i="11" s="1"/>
  <c r="V537" i="11"/>
  <c r="S537" i="11"/>
  <c r="R537" i="11"/>
  <c r="Q537" i="11"/>
  <c r="P537" i="11"/>
  <c r="M537" i="11"/>
  <c r="L537" i="11"/>
  <c r="F537" i="11"/>
  <c r="AI536" i="11"/>
  <c r="AH536" i="11"/>
  <c r="X536" i="11"/>
  <c r="T536" i="11"/>
  <c r="N536" i="11"/>
  <c r="AG536" i="11" s="1"/>
  <c r="AI535" i="11"/>
  <c r="AH535" i="11"/>
  <c r="X535" i="11"/>
  <c r="T535" i="11"/>
  <c r="N535" i="11"/>
  <c r="AG535" i="11" s="1"/>
  <c r="W540" i="11"/>
  <c r="V540" i="11"/>
  <c r="S540" i="11"/>
  <c r="R540" i="11"/>
  <c r="Q540" i="11"/>
  <c r="M540" i="11"/>
  <c r="L540" i="11"/>
  <c r="F540" i="11"/>
  <c r="AI538" i="11"/>
  <c r="AH538" i="11"/>
  <c r="X538" i="11"/>
  <c r="T538" i="11"/>
  <c r="N538" i="11"/>
  <c r="AE538" i="11" s="1"/>
  <c r="W543" i="11"/>
  <c r="V543" i="11"/>
  <c r="S543" i="11"/>
  <c r="R543" i="11"/>
  <c r="Q543" i="11"/>
  <c r="P543" i="11"/>
  <c r="M543" i="11"/>
  <c r="L543" i="11"/>
  <c r="F543" i="11"/>
  <c r="AI541" i="11"/>
  <c r="AH541" i="11"/>
  <c r="X541" i="11"/>
  <c r="T541" i="11"/>
  <c r="N541" i="11"/>
  <c r="AG541" i="11" s="1"/>
  <c r="V565" i="11"/>
  <c r="S565" i="11"/>
  <c r="R565" i="11"/>
  <c r="Q565" i="11"/>
  <c r="P565" i="11"/>
  <c r="M565" i="11"/>
  <c r="L565" i="11"/>
  <c r="F565" i="11"/>
  <c r="AI564" i="11"/>
  <c r="AH564" i="11"/>
  <c r="X564" i="11"/>
  <c r="T564" i="11"/>
  <c r="N564" i="11"/>
  <c r="AG564" i="11" s="1"/>
  <c r="AI563" i="11"/>
  <c r="AH563" i="11"/>
  <c r="X563" i="11"/>
  <c r="T563" i="11"/>
  <c r="N563" i="11"/>
  <c r="AG563" i="11" s="1"/>
  <c r="W568" i="11"/>
  <c r="V568" i="11"/>
  <c r="S568" i="11"/>
  <c r="R568" i="11"/>
  <c r="Q568" i="11"/>
  <c r="P568" i="11"/>
  <c r="M568" i="11"/>
  <c r="L568" i="11"/>
  <c r="F568" i="11"/>
  <c r="AI567" i="11"/>
  <c r="AH567" i="11"/>
  <c r="X567" i="11"/>
  <c r="T567" i="11"/>
  <c r="N567" i="11"/>
  <c r="AG567" i="11" s="1"/>
  <c r="AI566" i="11"/>
  <c r="AH566" i="11"/>
  <c r="X566" i="11"/>
  <c r="T566" i="11"/>
  <c r="N566" i="11"/>
  <c r="W571" i="11"/>
  <c r="V571" i="11"/>
  <c r="S571" i="11"/>
  <c r="R571" i="11"/>
  <c r="Q571" i="11"/>
  <c r="P571" i="11"/>
  <c r="M571" i="11"/>
  <c r="L571" i="11"/>
  <c r="F571" i="11"/>
  <c r="AI570" i="11"/>
  <c r="AH570" i="11"/>
  <c r="X570" i="11"/>
  <c r="T570" i="11"/>
  <c r="N570" i="11"/>
  <c r="AG570" i="11" s="1"/>
  <c r="AI569" i="11"/>
  <c r="AH569" i="11"/>
  <c r="X569" i="11"/>
  <c r="T569" i="11"/>
  <c r="N569" i="11"/>
  <c r="AI554" i="11"/>
  <c r="AH554" i="11"/>
  <c r="X554" i="11"/>
  <c r="T554" i="11"/>
  <c r="N554" i="11"/>
  <c r="AE554" i="11" s="1"/>
  <c r="W555" i="11"/>
  <c r="V555" i="11"/>
  <c r="S555" i="11"/>
  <c r="R555" i="11"/>
  <c r="Q555" i="11"/>
  <c r="P555" i="11"/>
  <c r="M555" i="11"/>
  <c r="L555" i="11"/>
  <c r="F555" i="11"/>
  <c r="AI553" i="11"/>
  <c r="AH553" i="11"/>
  <c r="X553" i="11"/>
  <c r="T553" i="11"/>
  <c r="N553" i="11"/>
  <c r="AG553" i="11" s="1"/>
  <c r="AI552" i="11"/>
  <c r="AH552" i="11"/>
  <c r="X552" i="11"/>
  <c r="T552" i="11"/>
  <c r="N552" i="11"/>
  <c r="AG552" i="11" s="1"/>
  <c r="AI1098" i="11" l="1"/>
  <c r="AE1258" i="11"/>
  <c r="N1259" i="11"/>
  <c r="U543" i="11"/>
  <c r="U574" i="11"/>
  <c r="U1098" i="11"/>
  <c r="U555" i="11"/>
  <c r="U571" i="11"/>
  <c r="U568" i="11"/>
  <c r="U565" i="11"/>
  <c r="U537" i="11"/>
  <c r="U1261" i="11"/>
  <c r="U584" i="11"/>
  <c r="U577" i="11"/>
  <c r="U540" i="11"/>
  <c r="U581" i="11"/>
  <c r="U1529" i="11"/>
  <c r="AI568" i="11"/>
  <c r="AI555" i="11"/>
  <c r="X1529" i="11"/>
  <c r="T1529" i="11"/>
  <c r="AH1529" i="11"/>
  <c r="AI1529" i="11"/>
  <c r="N1529" i="11"/>
  <c r="AE1526" i="11"/>
  <c r="AE1528" i="11"/>
  <c r="AH584" i="11"/>
  <c r="AG582" i="11"/>
  <c r="X584" i="11"/>
  <c r="AG583" i="11"/>
  <c r="T584" i="11"/>
  <c r="X581" i="11"/>
  <c r="T581" i="11"/>
  <c r="AI584" i="11"/>
  <c r="N584" i="11"/>
  <c r="AH581" i="11"/>
  <c r="AI581" i="11"/>
  <c r="N581" i="11"/>
  <c r="AG578" i="11"/>
  <c r="AG580" i="11"/>
  <c r="AH1098" i="11"/>
  <c r="AG1098" i="11"/>
  <c r="AE1098" i="11"/>
  <c r="AE1097" i="11"/>
  <c r="AG1097" i="11"/>
  <c r="AH565" i="11"/>
  <c r="AI1259" i="11"/>
  <c r="AH1259" i="11"/>
  <c r="AG1258" i="11"/>
  <c r="N1261" i="11"/>
  <c r="AE1261" i="11" s="1"/>
  <c r="X571" i="11"/>
  <c r="T565" i="11"/>
  <c r="N565" i="11"/>
  <c r="AE565" i="11" s="1"/>
  <c r="AH540" i="11"/>
  <c r="T537" i="11"/>
  <c r="X574" i="11"/>
  <c r="T574" i="11"/>
  <c r="N571" i="11"/>
  <c r="AE571" i="11" s="1"/>
  <c r="AH571" i="11"/>
  <c r="T568" i="11"/>
  <c r="X540" i="11"/>
  <c r="AI1261" i="11"/>
  <c r="AH1261" i="11"/>
  <c r="AE1260" i="11"/>
  <c r="T571" i="11"/>
  <c r="T543" i="11"/>
  <c r="X568" i="11"/>
  <c r="T577" i="11"/>
  <c r="X543" i="11"/>
  <c r="X577" i="11"/>
  <c r="AI577" i="11"/>
  <c r="AH577" i="11"/>
  <c r="N577" i="11"/>
  <c r="AE575" i="11"/>
  <c r="AE576" i="11"/>
  <c r="AI574" i="11"/>
  <c r="N574" i="11"/>
  <c r="AH574" i="11"/>
  <c r="AE572" i="11"/>
  <c r="X555" i="11"/>
  <c r="AI537" i="11"/>
  <c r="T555" i="11"/>
  <c r="AI571" i="11"/>
  <c r="AI565" i="11"/>
  <c r="AH543" i="11"/>
  <c r="T540" i="11"/>
  <c r="X537" i="11"/>
  <c r="X565" i="11"/>
  <c r="AI543" i="11"/>
  <c r="AH537" i="11"/>
  <c r="N537" i="11"/>
  <c r="AE535" i="11"/>
  <c r="AE536" i="11"/>
  <c r="AI540" i="11"/>
  <c r="N540" i="11"/>
  <c r="AG538" i="11"/>
  <c r="N543" i="11"/>
  <c r="AE541" i="11"/>
  <c r="AE563" i="11"/>
  <c r="AE564" i="11"/>
  <c r="N568" i="11"/>
  <c r="AE568" i="11" s="1"/>
  <c r="AH568" i="11"/>
  <c r="AE566" i="11"/>
  <c r="AE567" i="11"/>
  <c r="AG566" i="11"/>
  <c r="AE569" i="11"/>
  <c r="AE570" i="11"/>
  <c r="AG569" i="11"/>
  <c r="AG554" i="11"/>
  <c r="AE553" i="11"/>
  <c r="N555" i="11"/>
  <c r="AG555" i="11" s="1"/>
  <c r="AH555" i="11"/>
  <c r="AE552" i="11"/>
  <c r="AG571" i="11" l="1"/>
  <c r="AE1529" i="11"/>
  <c r="AG1529" i="11"/>
  <c r="AE584" i="11"/>
  <c r="AG584" i="11"/>
  <c r="AE581" i="11"/>
  <c r="AG581" i="11"/>
  <c r="AG1261" i="11"/>
  <c r="AG1259" i="11"/>
  <c r="AE1259" i="11"/>
  <c r="AG565" i="11"/>
  <c r="AE577" i="11"/>
  <c r="AG577" i="11"/>
  <c r="AE574" i="11"/>
  <c r="AG574" i="11"/>
  <c r="AE537" i="11"/>
  <c r="AG537" i="11"/>
  <c r="AE540" i="11"/>
  <c r="AG540" i="11"/>
  <c r="AE543" i="11"/>
  <c r="AG543" i="11"/>
  <c r="AG568" i="11"/>
  <c r="AE555" i="11"/>
  <c r="N247" i="11" l="1"/>
  <c r="AG247" i="11" s="1"/>
  <c r="AI247" i="11"/>
  <c r="AH247" i="11"/>
  <c r="T247" i="11"/>
  <c r="X247" i="11" l="1"/>
  <c r="AE247" i="11"/>
  <c r="U1524" i="11" l="1"/>
  <c r="U1406" i="11" l="1"/>
  <c r="AI314" i="11"/>
  <c r="AH314" i="11"/>
  <c r="X314" i="11"/>
  <c r="T314" i="11"/>
  <c r="N314" i="11"/>
  <c r="AG314" i="11" s="1"/>
  <c r="W315" i="11"/>
  <c r="V315" i="11"/>
  <c r="S315" i="11"/>
  <c r="R315" i="11"/>
  <c r="Q315" i="11"/>
  <c r="P315" i="11"/>
  <c r="M315" i="11"/>
  <c r="L315" i="11"/>
  <c r="F315" i="11"/>
  <c r="AI309" i="11"/>
  <c r="AH309" i="11"/>
  <c r="X309" i="11"/>
  <c r="T309" i="11"/>
  <c r="N309" i="11"/>
  <c r="AE309" i="11" s="1"/>
  <c r="W2208" i="11"/>
  <c r="V2208" i="11"/>
  <c r="S2208" i="11"/>
  <c r="R2208" i="11"/>
  <c r="Q2208" i="11"/>
  <c r="P2208" i="11"/>
  <c r="M2208" i="11"/>
  <c r="L2208" i="11"/>
  <c r="F2208" i="11"/>
  <c r="AI2207" i="11"/>
  <c r="AH2207" i="11"/>
  <c r="X2207" i="11"/>
  <c r="X2208" i="11" s="1"/>
  <c r="T2207" i="11"/>
  <c r="T2208" i="11" s="1"/>
  <c r="N2207" i="11"/>
  <c r="AE2207" i="11" s="1"/>
  <c r="W531" i="11"/>
  <c r="V531" i="11"/>
  <c r="S531" i="11"/>
  <c r="Q531" i="11"/>
  <c r="P531" i="11"/>
  <c r="M531" i="11"/>
  <c r="F531" i="11"/>
  <c r="AI530" i="11"/>
  <c r="AH530" i="11"/>
  <c r="X530" i="11"/>
  <c r="T530" i="11"/>
  <c r="N530" i="11"/>
  <c r="AE530" i="11" s="1"/>
  <c r="AI529" i="11"/>
  <c r="AH529" i="11"/>
  <c r="X529" i="11"/>
  <c r="T529" i="11"/>
  <c r="N529" i="11"/>
  <c r="AE529" i="11" s="1"/>
  <c r="W525" i="11"/>
  <c r="V525" i="11"/>
  <c r="S525" i="11"/>
  <c r="R525" i="11"/>
  <c r="Q525" i="11"/>
  <c r="P525" i="11"/>
  <c r="M525" i="11"/>
  <c r="L525" i="11"/>
  <c r="F525" i="11"/>
  <c r="AI524" i="11"/>
  <c r="AH524" i="11"/>
  <c r="X524" i="11"/>
  <c r="T524" i="11"/>
  <c r="N524" i="11"/>
  <c r="AG524" i="11" s="1"/>
  <c r="AI523" i="11"/>
  <c r="AH523" i="11"/>
  <c r="X523" i="11"/>
  <c r="T523" i="11"/>
  <c r="N523" i="11"/>
  <c r="W528" i="11"/>
  <c r="V528" i="11"/>
  <c r="S528" i="11"/>
  <c r="R528" i="11"/>
  <c r="Q528" i="11"/>
  <c r="P528" i="11"/>
  <c r="M528" i="11"/>
  <c r="L528" i="11"/>
  <c r="F528" i="11"/>
  <c r="AI527" i="11"/>
  <c r="AH527" i="11"/>
  <c r="X527" i="11"/>
  <c r="T527" i="11"/>
  <c r="N527" i="11"/>
  <c r="AG527" i="11" s="1"/>
  <c r="AI526" i="11"/>
  <c r="AH526" i="11"/>
  <c r="X526" i="11"/>
  <c r="T526" i="11"/>
  <c r="N526" i="11"/>
  <c r="AG526" i="11" s="1"/>
  <c r="AI533" i="11"/>
  <c r="AH533" i="11"/>
  <c r="X533" i="11"/>
  <c r="T533" i="11"/>
  <c r="N533" i="11"/>
  <c r="AG533" i="11" s="1"/>
  <c r="W534" i="11"/>
  <c r="S534" i="11"/>
  <c r="R534" i="11"/>
  <c r="Q534" i="11"/>
  <c r="M534" i="11"/>
  <c r="L534" i="11"/>
  <c r="F534" i="11"/>
  <c r="AI532" i="11"/>
  <c r="AH532" i="11"/>
  <c r="X532" i="11"/>
  <c r="T532" i="11"/>
  <c r="N532" i="11"/>
  <c r="AE532" i="11" s="1"/>
  <c r="W459" i="11"/>
  <c r="V459" i="11"/>
  <c r="S459" i="11"/>
  <c r="R459" i="11"/>
  <c r="Q459" i="11"/>
  <c r="P459" i="11"/>
  <c r="M459" i="11"/>
  <c r="L459" i="11"/>
  <c r="F459" i="11"/>
  <c r="AI456" i="11"/>
  <c r="AH456" i="11"/>
  <c r="X456" i="11"/>
  <c r="T456" i="11"/>
  <c r="N456" i="11"/>
  <c r="AG456" i="11" s="1"/>
  <c r="U459" i="11" l="1"/>
  <c r="U531" i="11"/>
  <c r="U528" i="11"/>
  <c r="U525" i="11"/>
  <c r="AI531" i="11"/>
  <c r="U2208" i="11"/>
  <c r="U534" i="11"/>
  <c r="T315" i="11"/>
  <c r="X528" i="11"/>
  <c r="T531" i="11"/>
  <c r="X315" i="11"/>
  <c r="AE314" i="11"/>
  <c r="AH315" i="11"/>
  <c r="AG309" i="11"/>
  <c r="N315" i="11"/>
  <c r="AI315" i="11"/>
  <c r="T528" i="11"/>
  <c r="X531" i="11"/>
  <c r="X525" i="11"/>
  <c r="T525" i="11"/>
  <c r="X534" i="11"/>
  <c r="N2208" i="11"/>
  <c r="AH2208" i="11"/>
  <c r="AG2207" i="11"/>
  <c r="AI2208" i="11"/>
  <c r="T459" i="11"/>
  <c r="T534" i="11"/>
  <c r="AH528" i="11"/>
  <c r="N525" i="11"/>
  <c r="AG525" i="11" s="1"/>
  <c r="X459" i="11"/>
  <c r="AI525" i="11"/>
  <c r="AH531" i="11"/>
  <c r="AG529" i="11"/>
  <c r="AG530" i="11"/>
  <c r="N531" i="11"/>
  <c r="AH525" i="11"/>
  <c r="AE523" i="11"/>
  <c r="AE524" i="11"/>
  <c r="AG523" i="11"/>
  <c r="N528" i="11"/>
  <c r="AG528" i="11" s="1"/>
  <c r="AI528" i="11"/>
  <c r="AE526" i="11"/>
  <c r="AE527" i="11"/>
  <c r="AE533" i="11"/>
  <c r="AG532" i="11"/>
  <c r="N534" i="11"/>
  <c r="AG534" i="11" s="1"/>
  <c r="AH534" i="11"/>
  <c r="AI534" i="11"/>
  <c r="N459" i="11"/>
  <c r="AG459" i="11" s="1"/>
  <c r="AH459" i="11"/>
  <c r="AI459" i="11"/>
  <c r="AE456" i="11"/>
  <c r="AG315" i="11" l="1"/>
  <c r="AG2208" i="11"/>
  <c r="AE2208" i="11"/>
  <c r="AE315" i="11"/>
  <c r="AE525" i="11"/>
  <c r="AG531" i="11"/>
  <c r="AE531" i="11"/>
  <c r="AE528" i="11"/>
  <c r="AE534" i="11"/>
  <c r="AE459" i="11"/>
  <c r="W500" i="11" l="1"/>
  <c r="V500" i="11"/>
  <c r="S500" i="11"/>
  <c r="R500" i="11"/>
  <c r="P500" i="11"/>
  <c r="L500" i="11"/>
  <c r="F500" i="11"/>
  <c r="AI499" i="11"/>
  <c r="X499" i="11"/>
  <c r="AH499" i="11"/>
  <c r="N499" i="11"/>
  <c r="AI498" i="11"/>
  <c r="AH498" i="11"/>
  <c r="X498" i="11"/>
  <c r="T498" i="11"/>
  <c r="Q500" i="11"/>
  <c r="N498" i="11"/>
  <c r="AG498" i="11" s="1"/>
  <c r="M500" i="11"/>
  <c r="U500" i="11" l="1"/>
  <c r="X500" i="11"/>
  <c r="AH500" i="11"/>
  <c r="AI500" i="11"/>
  <c r="AG499" i="11"/>
  <c r="AE499" i="11"/>
  <c r="N500" i="11"/>
  <c r="AE498" i="11"/>
  <c r="T499" i="11"/>
  <c r="T500" i="11" s="1"/>
  <c r="AG500" i="11" l="1"/>
  <c r="AE500" i="11"/>
  <c r="U2199" i="11" l="1"/>
  <c r="U1411" i="11" l="1"/>
  <c r="W308" i="11" l="1"/>
  <c r="V308" i="11"/>
  <c r="S308" i="11"/>
  <c r="R308" i="11"/>
  <c r="Q308" i="11"/>
  <c r="P308" i="11"/>
  <c r="M308" i="11"/>
  <c r="L308" i="11"/>
  <c r="F308" i="11"/>
  <c r="AI307" i="11"/>
  <c r="AH307" i="11"/>
  <c r="X307" i="11"/>
  <c r="T307" i="11"/>
  <c r="AG307" i="11"/>
  <c r="U1051" i="11"/>
  <c r="U308" i="11" l="1"/>
  <c r="T308" i="11"/>
  <c r="X308" i="11"/>
  <c r="AI308" i="11"/>
  <c r="N308" i="11"/>
  <c r="AH308" i="11"/>
  <c r="AE307" i="11"/>
  <c r="AE308" i="11" l="1"/>
  <c r="AG308" i="11"/>
  <c r="AI1676" i="11" l="1"/>
  <c r="AH1676" i="11"/>
  <c r="X1676" i="11"/>
  <c r="T1676" i="11"/>
  <c r="N1676" i="11"/>
  <c r="AE1676" i="11" s="1"/>
  <c r="AI1675" i="11"/>
  <c r="AH1675" i="11"/>
  <c r="X1675" i="11"/>
  <c r="T1675" i="11"/>
  <c r="N1675" i="11"/>
  <c r="AE1675" i="11" s="1"/>
  <c r="W1677" i="11"/>
  <c r="V1677" i="11"/>
  <c r="S1677" i="11"/>
  <c r="R1677" i="11"/>
  <c r="Q1677" i="11"/>
  <c r="P1677" i="11"/>
  <c r="M1677" i="11"/>
  <c r="L1677" i="11"/>
  <c r="F1677" i="11"/>
  <c r="AI1674" i="11"/>
  <c r="AH1674" i="11"/>
  <c r="X1674" i="11"/>
  <c r="T1674" i="11"/>
  <c r="N1674" i="11"/>
  <c r="W1086" i="11"/>
  <c r="V1086" i="11"/>
  <c r="S1086" i="11"/>
  <c r="R1086" i="11"/>
  <c r="Q1086" i="11"/>
  <c r="P1086" i="11"/>
  <c r="M1086" i="11"/>
  <c r="L1086" i="11"/>
  <c r="F1086" i="11"/>
  <c r="AI1085" i="11"/>
  <c r="AH1085" i="11"/>
  <c r="X1085" i="11"/>
  <c r="X1086" i="11" s="1"/>
  <c r="T1085" i="11"/>
  <c r="T1086" i="11" s="1"/>
  <c r="N1085" i="11"/>
  <c r="AG1085" i="11" s="1"/>
  <c r="AG1674" i="11" l="1"/>
  <c r="N1677" i="11"/>
  <c r="AE1677" i="11" s="1"/>
  <c r="U1086" i="11"/>
  <c r="U1677" i="11"/>
  <c r="AH1086" i="11"/>
  <c r="T1677" i="11"/>
  <c r="AI1086" i="11"/>
  <c r="X1677" i="11"/>
  <c r="AG1676" i="11"/>
  <c r="AG1675" i="11"/>
  <c r="AH1677" i="11"/>
  <c r="AI1677" i="11"/>
  <c r="AE1674" i="11"/>
  <c r="N1086" i="11"/>
  <c r="AE1085" i="11"/>
  <c r="AG1677" i="11" l="1"/>
  <c r="AE1086" i="11"/>
  <c r="AG1086" i="11"/>
  <c r="W1084" i="11"/>
  <c r="V1084" i="11"/>
  <c r="S1084" i="11"/>
  <c r="R1084" i="11"/>
  <c r="Q1084" i="11"/>
  <c r="P1084" i="11"/>
  <c r="M1084" i="11"/>
  <c r="L1084" i="11"/>
  <c r="F1084" i="11"/>
  <c r="AI1083" i="11"/>
  <c r="AH1083" i="11"/>
  <c r="X1083" i="11"/>
  <c r="X1084" i="11" s="1"/>
  <c r="T1083" i="11"/>
  <c r="T1084" i="11" s="1"/>
  <c r="N1083" i="11"/>
  <c r="AG1083" i="11" s="1"/>
  <c r="U1084" i="11" l="1"/>
  <c r="N1084" i="11"/>
  <c r="AE1084" i="11" s="1"/>
  <c r="AH1084" i="11"/>
  <c r="AI1084" i="11"/>
  <c r="AE1083" i="11"/>
  <c r="AG1084" i="11" l="1"/>
  <c r="U1030" i="11" l="1"/>
  <c r="Q2146" i="11" l="1"/>
  <c r="W375" i="11" l="1"/>
  <c r="V375" i="11"/>
  <c r="S375" i="11"/>
  <c r="R375" i="11"/>
  <c r="Q375" i="11"/>
  <c r="P375" i="11"/>
  <c r="L375" i="11"/>
  <c r="F375" i="11"/>
  <c r="AI374" i="11"/>
  <c r="AH374" i="11"/>
  <c r="T374" i="11"/>
  <c r="N374" i="11"/>
  <c r="AG374" i="11" s="1"/>
  <c r="M375" i="11"/>
  <c r="U375" i="11" l="1"/>
  <c r="T375" i="11"/>
  <c r="AI375" i="11"/>
  <c r="AH375" i="11"/>
  <c r="AE374" i="11"/>
  <c r="N375" i="11"/>
  <c r="X374" i="11"/>
  <c r="AG375" i="11" l="1"/>
  <c r="AE375" i="11"/>
  <c r="X375" i="11"/>
  <c r="AI632" i="11"/>
  <c r="AH632" i="11"/>
  <c r="X632" i="11"/>
  <c r="T632" i="11"/>
  <c r="N632" i="11"/>
  <c r="AG632" i="11" s="1"/>
  <c r="AI492" i="11"/>
  <c r="AH492" i="11"/>
  <c r="X492" i="11"/>
  <c r="T492" i="11"/>
  <c r="N492" i="11"/>
  <c r="AG492" i="11" s="1"/>
  <c r="W2254" i="11"/>
  <c r="V2254" i="11"/>
  <c r="S2254" i="11"/>
  <c r="R2254" i="11"/>
  <c r="P2254" i="11"/>
  <c r="L2254" i="11"/>
  <c r="F2254" i="11"/>
  <c r="AI2253" i="11"/>
  <c r="AH2253" i="11"/>
  <c r="X2253" i="11"/>
  <c r="X2254" i="11" s="1"/>
  <c r="N2253" i="11"/>
  <c r="AG2253" i="11" s="1"/>
  <c r="M2254" i="11"/>
  <c r="AI2254" i="11" l="1"/>
  <c r="AE632" i="11"/>
  <c r="AE492" i="11"/>
  <c r="AH2254" i="11"/>
  <c r="N2254" i="11"/>
  <c r="AE2253" i="11"/>
  <c r="T2254" i="11"/>
  <c r="Q2254" i="11"/>
  <c r="U2254" i="11" l="1"/>
  <c r="AG2254" i="11"/>
  <c r="AE2254" i="11"/>
  <c r="U2131" i="11" l="1"/>
  <c r="AI470" i="11" l="1"/>
  <c r="AH470" i="11"/>
  <c r="X470" i="11"/>
  <c r="T470" i="11"/>
  <c r="N470" i="11"/>
  <c r="AG470" i="11" s="1"/>
  <c r="AI467" i="11"/>
  <c r="AH467" i="11"/>
  <c r="X467" i="11"/>
  <c r="T467" i="11"/>
  <c r="N467" i="11"/>
  <c r="AG467" i="11" s="1"/>
  <c r="AE470" i="11" l="1"/>
  <c r="AE467" i="11"/>
  <c r="T424" i="11" l="1"/>
  <c r="U1453" i="11" l="1"/>
  <c r="W2206" i="11" l="1"/>
  <c r="V2206" i="11"/>
  <c r="S2206" i="11"/>
  <c r="R2206" i="11"/>
  <c r="Q2206" i="11"/>
  <c r="P2206" i="11"/>
  <c r="M2206" i="11"/>
  <c r="L2206" i="11"/>
  <c r="F2206" i="11"/>
  <c r="AI2205" i="11"/>
  <c r="AH2205" i="11"/>
  <c r="X2205" i="11"/>
  <c r="X2206" i="11" s="1"/>
  <c r="T2205" i="11"/>
  <c r="T2206" i="11" s="1"/>
  <c r="N2205" i="11"/>
  <c r="AE2205" i="11" s="1"/>
  <c r="W2200" i="11"/>
  <c r="V2200" i="11"/>
  <c r="S2200" i="11"/>
  <c r="R2200" i="11"/>
  <c r="Q2200" i="11"/>
  <c r="P2200" i="11"/>
  <c r="M2200" i="11"/>
  <c r="L2200" i="11"/>
  <c r="F2200" i="11"/>
  <c r="AI2199" i="11"/>
  <c r="AH2199" i="11"/>
  <c r="X2199" i="11"/>
  <c r="X2200" i="11" s="1"/>
  <c r="T2199" i="11"/>
  <c r="T2200" i="11" s="1"/>
  <c r="N2199" i="11"/>
  <c r="N2200" i="11" s="1"/>
  <c r="U2206" i="11" l="1"/>
  <c r="U2200" i="11"/>
  <c r="AI2200" i="11"/>
  <c r="AG2205" i="11"/>
  <c r="AI2206" i="11"/>
  <c r="AH2206" i="11"/>
  <c r="N2206" i="11"/>
  <c r="AH2200" i="11"/>
  <c r="AG2200" i="11"/>
  <c r="AE2200" i="11"/>
  <c r="AE2199" i="11"/>
  <c r="AG2199" i="11"/>
  <c r="AE2206" i="11" l="1"/>
  <c r="AG2206" i="11"/>
  <c r="U427" i="11" l="1"/>
  <c r="N266" i="11"/>
  <c r="U445" i="11" l="1"/>
  <c r="U1504" i="11" l="1"/>
  <c r="V295" i="11" l="1"/>
  <c r="U1497" i="11" l="1"/>
  <c r="W299" i="11" l="1"/>
  <c r="V299" i="11"/>
  <c r="S299" i="11"/>
  <c r="R299" i="11"/>
  <c r="Q299" i="11"/>
  <c r="P299" i="11"/>
  <c r="M299" i="11"/>
  <c r="F299" i="11"/>
  <c r="AI298" i="11"/>
  <c r="AH298" i="11"/>
  <c r="X298" i="11"/>
  <c r="X299" i="11" s="1"/>
  <c r="T298" i="11"/>
  <c r="T299" i="11" s="1"/>
  <c r="N298" i="11"/>
  <c r="AE298" i="11" s="1"/>
  <c r="U299" i="11" l="1"/>
  <c r="AI299" i="11"/>
  <c r="AG298" i="11"/>
  <c r="AH299" i="11"/>
  <c r="N299" i="11"/>
  <c r="W1673" i="11"/>
  <c r="V1673" i="11"/>
  <c r="S1673" i="11"/>
  <c r="R1673" i="11"/>
  <c r="Q1673" i="11"/>
  <c r="P1673" i="11"/>
  <c r="M1673" i="11"/>
  <c r="L1673" i="11"/>
  <c r="X1672" i="11"/>
  <c r="T1672" i="11"/>
  <c r="AH1671" i="11"/>
  <c r="X1671" i="11"/>
  <c r="T1671" i="11"/>
  <c r="N1671" i="11"/>
  <c r="F1673" i="11"/>
  <c r="AG1671" i="11" l="1"/>
  <c r="N1673" i="11"/>
  <c r="U1673" i="11"/>
  <c r="T1673" i="11"/>
  <c r="X1673" i="11"/>
  <c r="AG299" i="11"/>
  <c r="AE299" i="11"/>
  <c r="AI1673" i="11"/>
  <c r="AH1673" i="11"/>
  <c r="AE1672" i="11"/>
  <c r="AG1672" i="11"/>
  <c r="AI1671" i="11"/>
  <c r="AH1672" i="11"/>
  <c r="AE1671" i="11"/>
  <c r="AI1672" i="11"/>
  <c r="W1667" i="11"/>
  <c r="V1667" i="11"/>
  <c r="S1667" i="11"/>
  <c r="R1667" i="11"/>
  <c r="Q1667" i="11"/>
  <c r="P1667" i="11"/>
  <c r="M1667" i="11"/>
  <c r="L1667" i="11"/>
  <c r="F1667" i="11"/>
  <c r="AI1666" i="11"/>
  <c r="AH1666" i="11"/>
  <c r="X1666" i="11"/>
  <c r="T1666" i="11"/>
  <c r="N1666" i="11"/>
  <c r="AE1666" i="11" s="1"/>
  <c r="AI1662" i="11"/>
  <c r="AH1662" i="11"/>
  <c r="X1662" i="11"/>
  <c r="T1662" i="11"/>
  <c r="N1662" i="11"/>
  <c r="AE1662" i="11" s="1"/>
  <c r="U1667" i="11" l="1"/>
  <c r="X1667" i="11"/>
  <c r="AG1673" i="11"/>
  <c r="AE1673" i="11"/>
  <c r="T1667" i="11"/>
  <c r="AI1667" i="11"/>
  <c r="AG1666" i="11"/>
  <c r="AG1662" i="11"/>
  <c r="AH1667" i="11"/>
  <c r="N1667" i="11"/>
  <c r="AE1667" i="11" l="1"/>
  <c r="AG1667" i="11"/>
  <c r="W1655" i="11" l="1"/>
  <c r="V1655" i="11"/>
  <c r="S1655" i="11"/>
  <c r="R1655" i="11"/>
  <c r="Q1655" i="11"/>
  <c r="P1655" i="11"/>
  <c r="M1655" i="11"/>
  <c r="L1655" i="11"/>
  <c r="F1655" i="11"/>
  <c r="AI1654" i="11"/>
  <c r="AH1654" i="11"/>
  <c r="X1654" i="11"/>
  <c r="T1654" i="11"/>
  <c r="N1654" i="11"/>
  <c r="AE1654" i="11" s="1"/>
  <c r="W1460" i="11"/>
  <c r="V1460" i="11"/>
  <c r="S1460" i="11"/>
  <c r="R1460" i="11"/>
  <c r="Q1460" i="11"/>
  <c r="P1460" i="11"/>
  <c r="M1460" i="11"/>
  <c r="L1460" i="11"/>
  <c r="F1460" i="11"/>
  <c r="AI1453" i="11"/>
  <c r="AH1453" i="11"/>
  <c r="X1453" i="11"/>
  <c r="T1453" i="11"/>
  <c r="N1453" i="11"/>
  <c r="AE1453" i="11" s="1"/>
  <c r="U1655" i="11" l="1"/>
  <c r="U1460" i="11"/>
  <c r="T1655" i="11"/>
  <c r="X1655" i="11"/>
  <c r="AG1654" i="11"/>
  <c r="AH1655" i="11"/>
  <c r="AI1655" i="11"/>
  <c r="N1655" i="11"/>
  <c r="X1460" i="11"/>
  <c r="T1460" i="11"/>
  <c r="AG1453" i="11"/>
  <c r="AH1460" i="11"/>
  <c r="AI1460" i="11"/>
  <c r="N1460" i="11"/>
  <c r="AG1655" i="11" l="1"/>
  <c r="AE1655" i="11"/>
  <c r="AE1460" i="11"/>
  <c r="AG1460" i="11"/>
  <c r="W87" i="11" l="1"/>
  <c r="V87" i="11"/>
  <c r="S87" i="11"/>
  <c r="R87" i="11"/>
  <c r="Q87" i="11"/>
  <c r="P87" i="11"/>
  <c r="M87" i="11"/>
  <c r="L87" i="11"/>
  <c r="F87" i="11"/>
  <c r="AI86" i="11"/>
  <c r="AH86" i="11"/>
  <c r="X86" i="11"/>
  <c r="X87" i="11" s="1"/>
  <c r="T86" i="11"/>
  <c r="T87" i="11" s="1"/>
  <c r="N86" i="11"/>
  <c r="AE86" i="11" s="1"/>
  <c r="AI479" i="11"/>
  <c r="AH479" i="11"/>
  <c r="X479" i="11"/>
  <c r="T479" i="11"/>
  <c r="N479" i="11"/>
  <c r="AE479" i="11" s="1"/>
  <c r="U87" i="11" l="1"/>
  <c r="N87" i="11"/>
  <c r="AG87" i="11" s="1"/>
  <c r="AH87" i="11"/>
  <c r="AG479" i="11"/>
  <c r="AI87" i="11"/>
  <c r="AG86" i="11"/>
  <c r="AE87" i="11" l="1"/>
  <c r="W1653" i="11" l="1"/>
  <c r="V1653" i="11"/>
  <c r="S1653" i="11"/>
  <c r="R1653" i="11"/>
  <c r="Q1653" i="11"/>
  <c r="P1653" i="11"/>
  <c r="M1653" i="11"/>
  <c r="L1653" i="11"/>
  <c r="F1653" i="11"/>
  <c r="AI1652" i="11"/>
  <c r="AH1652" i="11"/>
  <c r="X1652" i="11"/>
  <c r="T1652" i="11"/>
  <c r="N1652" i="11"/>
  <c r="AE1652" i="11" s="1"/>
  <c r="AI1651" i="11"/>
  <c r="AH1651" i="11"/>
  <c r="X1651" i="11"/>
  <c r="T1651" i="11"/>
  <c r="N1651" i="11"/>
  <c r="AE1651" i="11" s="1"/>
  <c r="AI1219" i="11"/>
  <c r="AH1219" i="11"/>
  <c r="X1219" i="11"/>
  <c r="X1220" i="11" s="1"/>
  <c r="T1219" i="11"/>
  <c r="T1220" i="11" s="1"/>
  <c r="N1219" i="11"/>
  <c r="W1192" i="11"/>
  <c r="V1192" i="11"/>
  <c r="S1192" i="11"/>
  <c r="R1192" i="11"/>
  <c r="Q1192" i="11"/>
  <c r="P1192" i="11"/>
  <c r="M1192" i="11"/>
  <c r="L1192" i="11"/>
  <c r="F1192" i="11"/>
  <c r="AI1189" i="11"/>
  <c r="AH1189" i="11"/>
  <c r="X1189" i="11"/>
  <c r="T1189" i="11"/>
  <c r="N1189" i="11"/>
  <c r="AE1189" i="11" s="1"/>
  <c r="AE1219" i="11" l="1"/>
  <c r="N1220" i="11"/>
  <c r="U1653" i="11"/>
  <c r="T1653" i="11"/>
  <c r="AH1653" i="11"/>
  <c r="X1653" i="11"/>
  <c r="N1653" i="11"/>
  <c r="AG1653" i="11" s="1"/>
  <c r="AG1651" i="11"/>
  <c r="AG1652" i="11"/>
  <c r="AI1653" i="11"/>
  <c r="AH1220" i="11"/>
  <c r="AI1220" i="11"/>
  <c r="AG1219" i="11"/>
  <c r="T1192" i="11"/>
  <c r="AI1192" i="11"/>
  <c r="X1192" i="11"/>
  <c r="AG1189" i="11"/>
  <c r="N1192" i="11"/>
  <c r="AH1192" i="11"/>
  <c r="AE1653" i="11" l="1"/>
  <c r="AG1220" i="11"/>
  <c r="AE1220" i="11"/>
  <c r="AG1192" i="11"/>
  <c r="AE1192" i="11"/>
  <c r="U1272" i="11" l="1"/>
  <c r="U1274" i="11" l="1"/>
  <c r="AI1649" i="11" l="1"/>
  <c r="AH1649" i="11"/>
  <c r="X1649" i="11"/>
  <c r="T1649" i="11"/>
  <c r="N1649" i="11"/>
  <c r="AG1649" i="11" s="1"/>
  <c r="W1650" i="11"/>
  <c r="V1650" i="11"/>
  <c r="S1650" i="11"/>
  <c r="R1650" i="11"/>
  <c r="Q1650" i="11"/>
  <c r="P1650" i="11"/>
  <c r="M1650" i="11"/>
  <c r="L1650" i="11"/>
  <c r="F1650" i="11"/>
  <c r="AI1648" i="11"/>
  <c r="AH1648" i="11"/>
  <c r="X1648" i="11"/>
  <c r="T1648" i="11"/>
  <c r="N1648" i="11"/>
  <c r="AE1648" i="11" s="1"/>
  <c r="W303" i="11"/>
  <c r="V303" i="11"/>
  <c r="S303" i="11"/>
  <c r="R303" i="11"/>
  <c r="Q303" i="11"/>
  <c r="P303" i="11"/>
  <c r="M303" i="11"/>
  <c r="L303" i="11"/>
  <c r="F303" i="11"/>
  <c r="AI302" i="11"/>
  <c r="AH302" i="11"/>
  <c r="X302" i="11"/>
  <c r="T302" i="11"/>
  <c r="N302" i="11"/>
  <c r="AE302" i="11" s="1"/>
  <c r="AI1646" i="11"/>
  <c r="AH1646" i="11"/>
  <c r="X1646" i="11"/>
  <c r="X1647" i="11" s="1"/>
  <c r="T1646" i="11"/>
  <c r="T1647" i="11" s="1"/>
  <c r="N1646" i="11"/>
  <c r="U303" i="11" l="1"/>
  <c r="AG1646" i="11"/>
  <c r="N1647" i="11"/>
  <c r="U1650" i="11"/>
  <c r="AI303" i="11"/>
  <c r="T303" i="11"/>
  <c r="X303" i="11"/>
  <c r="X1650" i="11"/>
  <c r="AE1649" i="11"/>
  <c r="AH1650" i="11"/>
  <c r="AI1650" i="11"/>
  <c r="T1650" i="11"/>
  <c r="N1650" i="11"/>
  <c r="AG1648" i="11"/>
  <c r="AG302" i="11"/>
  <c r="AH303" i="11"/>
  <c r="N303" i="11"/>
  <c r="AH1647" i="11"/>
  <c r="AI1647" i="11"/>
  <c r="AE1646" i="11"/>
  <c r="AE1650" i="11" l="1"/>
  <c r="AG1650" i="11"/>
  <c r="AG303" i="11"/>
  <c r="AE303" i="11"/>
  <c r="AE1647" i="11"/>
  <c r="AG1647" i="11"/>
  <c r="W1481" i="11" l="1"/>
  <c r="V1481" i="11"/>
  <c r="S1481" i="11"/>
  <c r="R1481" i="11"/>
  <c r="Q1481" i="11"/>
  <c r="P1481" i="11"/>
  <c r="M1481" i="11"/>
  <c r="L1481" i="11"/>
  <c r="F1481" i="11"/>
  <c r="AI1480" i="11"/>
  <c r="AH1480" i="11"/>
  <c r="X1480" i="11"/>
  <c r="T1480" i="11"/>
  <c r="N1480" i="11"/>
  <c r="AE1480" i="11" s="1"/>
  <c r="AI1471" i="11"/>
  <c r="AH1471" i="11"/>
  <c r="X1471" i="11"/>
  <c r="T1471" i="11"/>
  <c r="N1471" i="11"/>
  <c r="AG1471" i="11" s="1"/>
  <c r="W1549" i="11"/>
  <c r="V1549" i="11"/>
  <c r="S1549" i="11"/>
  <c r="R1549" i="11"/>
  <c r="Q1549" i="11"/>
  <c r="P1549" i="11"/>
  <c r="M1549" i="11"/>
  <c r="L1549" i="11"/>
  <c r="F1549" i="11"/>
  <c r="AI1548" i="11"/>
  <c r="AH1548" i="11"/>
  <c r="X1548" i="11"/>
  <c r="T1548" i="11"/>
  <c r="N1548" i="11"/>
  <c r="AG1548" i="11" s="1"/>
  <c r="AI1547" i="11"/>
  <c r="AH1547" i="11"/>
  <c r="X1547" i="11"/>
  <c r="T1547" i="11"/>
  <c r="N1547" i="11"/>
  <c r="AG1547" i="11" s="1"/>
  <c r="W2132" i="11"/>
  <c r="V2132" i="11"/>
  <c r="S2132" i="11"/>
  <c r="R2132" i="11"/>
  <c r="Q2132" i="11"/>
  <c r="P2132" i="11"/>
  <c r="M2132" i="11"/>
  <c r="L2132" i="11"/>
  <c r="F2132" i="11"/>
  <c r="AI2131" i="11"/>
  <c r="AH2131" i="11"/>
  <c r="X2131" i="11"/>
  <c r="X2132" i="11" s="1"/>
  <c r="T2131" i="11"/>
  <c r="T2132" i="11" s="1"/>
  <c r="N2131" i="11"/>
  <c r="AG2131" i="11" s="1"/>
  <c r="W1644" i="11"/>
  <c r="V1644" i="11"/>
  <c r="S1644" i="11"/>
  <c r="R1644" i="11"/>
  <c r="Q1644" i="11"/>
  <c r="P1644" i="11"/>
  <c r="M1644" i="11"/>
  <c r="L1644" i="11"/>
  <c r="F1644" i="11"/>
  <c r="AI1638" i="11"/>
  <c r="AH1638" i="11"/>
  <c r="X1638" i="11"/>
  <c r="T1638" i="11"/>
  <c r="N1638" i="11"/>
  <c r="AG1638" i="11" s="1"/>
  <c r="U1644" i="11" l="1"/>
  <c r="U1549" i="11"/>
  <c r="U2132" i="11"/>
  <c r="U1481" i="11"/>
  <c r="X1481" i="11"/>
  <c r="T1481" i="11"/>
  <c r="AH1481" i="11"/>
  <c r="AE1471" i="11"/>
  <c r="AI1481" i="11"/>
  <c r="N1481" i="11"/>
  <c r="AG1480" i="11"/>
  <c r="AI2132" i="11"/>
  <c r="T1549" i="11"/>
  <c r="T1644" i="11"/>
  <c r="X1644" i="11"/>
  <c r="N2132" i="11"/>
  <c r="AH2132" i="11"/>
  <c r="AI1549" i="11"/>
  <c r="X1549" i="11"/>
  <c r="N1549" i="11"/>
  <c r="AH1549" i="11"/>
  <c r="AE1547" i="11"/>
  <c r="AE1548" i="11"/>
  <c r="AE2131" i="11"/>
  <c r="AI1644" i="11"/>
  <c r="AH1644" i="11"/>
  <c r="N1644" i="11"/>
  <c r="AE1638" i="11"/>
  <c r="AE1481" i="11" l="1"/>
  <c r="AG1481" i="11"/>
  <c r="AE1549" i="11"/>
  <c r="AG1549" i="11"/>
  <c r="AE2132" i="11"/>
  <c r="AG2132" i="11"/>
  <c r="AE1644" i="11"/>
  <c r="AG1644" i="11"/>
  <c r="W1525" i="11" l="1"/>
  <c r="V1525" i="11"/>
  <c r="S1525" i="11"/>
  <c r="R1525" i="11"/>
  <c r="P1525" i="11"/>
  <c r="L1525" i="11"/>
  <c r="F1525" i="11"/>
  <c r="AI1524" i="11"/>
  <c r="AH1524" i="11"/>
  <c r="T1524" i="11"/>
  <c r="T1525" i="11" s="1"/>
  <c r="X1524" i="11"/>
  <c r="X1525" i="11" s="1"/>
  <c r="AH1525" i="11" l="1"/>
  <c r="M1525" i="11"/>
  <c r="U1525" i="11" s="1"/>
  <c r="N1524" i="11"/>
  <c r="N1525" i="11" s="1"/>
  <c r="AG1525" i="11" s="1"/>
  <c r="AI1525" i="11"/>
  <c r="AE1524" i="11" l="1"/>
  <c r="AE1525" i="11"/>
  <c r="AG1524" i="11"/>
  <c r="W1637" i="11" l="1"/>
  <c r="V1637" i="11"/>
  <c r="S1637" i="11"/>
  <c r="R1637" i="11"/>
  <c r="Q1637" i="11"/>
  <c r="P1637" i="11"/>
  <c r="M1637" i="11"/>
  <c r="L1637" i="11"/>
  <c r="F1637" i="11"/>
  <c r="AI1636" i="11"/>
  <c r="AH1636" i="11"/>
  <c r="X1636" i="11"/>
  <c r="N1636" i="11"/>
  <c r="AG1636" i="11" s="1"/>
  <c r="AI1628" i="11"/>
  <c r="AH1628" i="11"/>
  <c r="X1628" i="11"/>
  <c r="N1628" i="11"/>
  <c r="U1637" i="11" l="1"/>
  <c r="AI1637" i="11"/>
  <c r="X1637" i="11"/>
  <c r="T1637" i="11"/>
  <c r="N1637" i="11"/>
  <c r="AG1637" i="11" s="1"/>
  <c r="AH1637" i="11"/>
  <c r="AE1628" i="11"/>
  <c r="AE1636" i="11"/>
  <c r="AG1628" i="11"/>
  <c r="AE1637" i="11" l="1"/>
  <c r="AI446" i="11" l="1"/>
  <c r="AH446" i="11"/>
  <c r="X446" i="11"/>
  <c r="T446" i="11"/>
  <c r="N446" i="11"/>
  <c r="AG446" i="11" s="1"/>
  <c r="W413" i="11"/>
  <c r="V413" i="11"/>
  <c r="S413" i="11"/>
  <c r="R413" i="11"/>
  <c r="Q413" i="11"/>
  <c r="P413" i="11"/>
  <c r="M413" i="11"/>
  <c r="L413" i="11"/>
  <c r="F413" i="11"/>
  <c r="AI412" i="11"/>
  <c r="AH412" i="11"/>
  <c r="X412" i="11"/>
  <c r="T412" i="11"/>
  <c r="N412" i="11"/>
  <c r="AG412" i="11" s="1"/>
  <c r="AI411" i="11"/>
  <c r="AH411" i="11"/>
  <c r="X411" i="11"/>
  <c r="T411" i="11"/>
  <c r="N411" i="11"/>
  <c r="AG411" i="11" s="1"/>
  <c r="AI410" i="11"/>
  <c r="AH410" i="11"/>
  <c r="X410" i="11"/>
  <c r="T410" i="11"/>
  <c r="N410" i="11"/>
  <c r="AG410" i="11" s="1"/>
  <c r="AI409" i="11"/>
  <c r="AH409" i="11"/>
  <c r="X409" i="11"/>
  <c r="T409" i="11"/>
  <c r="N409" i="11"/>
  <c r="AI415" i="11"/>
  <c r="AH415" i="11"/>
  <c r="X415" i="11"/>
  <c r="T415" i="11"/>
  <c r="N415" i="11"/>
  <c r="AG415" i="11" s="1"/>
  <c r="U413" i="11" l="1"/>
  <c r="AI413" i="11"/>
  <c r="T413" i="11"/>
  <c r="AH413" i="11"/>
  <c r="X413" i="11"/>
  <c r="N413" i="11"/>
  <c r="AE446" i="11"/>
  <c r="AE409" i="11"/>
  <c r="AE410" i="11"/>
  <c r="AE411" i="11"/>
  <c r="AE412" i="11"/>
  <c r="AG409" i="11"/>
  <c r="AE415" i="11"/>
  <c r="AG413" i="11" l="1"/>
  <c r="AE413" i="11"/>
  <c r="W291" i="11" l="1"/>
  <c r="V291" i="11"/>
  <c r="S291" i="11"/>
  <c r="R291" i="11"/>
  <c r="Q291" i="11"/>
  <c r="P291" i="11"/>
  <c r="M291" i="11"/>
  <c r="L291" i="11"/>
  <c r="AI290" i="11"/>
  <c r="AH290" i="11"/>
  <c r="X290" i="11"/>
  <c r="T290" i="11"/>
  <c r="N290" i="11"/>
  <c r="W295" i="11"/>
  <c r="R295" i="11"/>
  <c r="Q295" i="11"/>
  <c r="P295" i="11"/>
  <c r="L295" i="11"/>
  <c r="F295" i="11"/>
  <c r="AI294" i="11"/>
  <c r="AH294" i="11"/>
  <c r="X294" i="11"/>
  <c r="T294" i="11"/>
  <c r="N294" i="11"/>
  <c r="AG294" i="11" s="1"/>
  <c r="AI292" i="11"/>
  <c r="S295" i="11"/>
  <c r="X292" i="11"/>
  <c r="AH295" i="11" l="1"/>
  <c r="AI291" i="11"/>
  <c r="X291" i="11"/>
  <c r="N291" i="11"/>
  <c r="AG291" i="11" s="1"/>
  <c r="AI295" i="11"/>
  <c r="T291" i="11"/>
  <c r="AH291" i="11"/>
  <c r="AE290" i="11"/>
  <c r="AG290" i="11"/>
  <c r="X295" i="11"/>
  <c r="AE294" i="11"/>
  <c r="T292" i="11"/>
  <c r="T295" i="11" s="1"/>
  <c r="N292" i="11"/>
  <c r="AH292" i="11"/>
  <c r="M295" i="11"/>
  <c r="AE291" i="11" l="1"/>
  <c r="N295" i="11"/>
  <c r="AG292" i="11"/>
  <c r="AE292" i="11"/>
  <c r="AG295" i="11" l="1"/>
  <c r="AE295" i="11"/>
  <c r="U1057" i="11" l="1"/>
  <c r="W2192" i="11" l="1"/>
  <c r="V2192" i="11"/>
  <c r="S2192" i="11"/>
  <c r="R2192" i="11"/>
  <c r="Q2192" i="11"/>
  <c r="P2192" i="11"/>
  <c r="M2192" i="11"/>
  <c r="L2192" i="11"/>
  <c r="F2192" i="11"/>
  <c r="AI2191" i="11"/>
  <c r="AH2191" i="11"/>
  <c r="X2191" i="11"/>
  <c r="X2192" i="11" s="1"/>
  <c r="T2191" i="11"/>
  <c r="T2192" i="11" s="1"/>
  <c r="N2191" i="11"/>
  <c r="AE2191" i="11" s="1"/>
  <c r="U2192" i="11" l="1"/>
  <c r="AI2192" i="11"/>
  <c r="AH2192" i="11"/>
  <c r="AG2191" i="11"/>
  <c r="N2192" i="11"/>
  <c r="AG2192" i="11" l="1"/>
  <c r="AE2192" i="11"/>
  <c r="U2177" i="11" l="1"/>
  <c r="U1061" i="11" l="1"/>
  <c r="W2182" i="11" l="1"/>
  <c r="S2182" i="11"/>
  <c r="R2182" i="11"/>
  <c r="Q2182" i="11"/>
  <c r="P2182" i="11"/>
  <c r="M2182" i="11"/>
  <c r="L2182" i="11"/>
  <c r="F2182" i="11"/>
  <c r="AI2181" i="11"/>
  <c r="AH2181" i="11"/>
  <c r="X2181" i="11"/>
  <c r="X2182" i="11" s="1"/>
  <c r="T2181" i="11"/>
  <c r="T2182" i="11" s="1"/>
  <c r="N2181" i="11"/>
  <c r="N2182" i="11" s="1"/>
  <c r="U2182" i="11" l="1"/>
  <c r="AI2182" i="11"/>
  <c r="AH2182" i="11"/>
  <c r="AG2182" i="11"/>
  <c r="AE2182" i="11"/>
  <c r="AE2181" i="11"/>
  <c r="AG2181" i="11"/>
  <c r="W548" i="11" l="1"/>
  <c r="V548" i="11"/>
  <c r="S548" i="11"/>
  <c r="R548" i="11"/>
  <c r="Q548" i="11"/>
  <c r="P548" i="11"/>
  <c r="L548" i="11"/>
  <c r="F548" i="11"/>
  <c r="AI547" i="11"/>
  <c r="AH547" i="11"/>
  <c r="T547" i="11"/>
  <c r="T548" i="11" s="1"/>
  <c r="N547" i="11"/>
  <c r="W1042" i="11"/>
  <c r="V1042" i="11"/>
  <c r="S1042" i="11"/>
  <c r="R1042" i="11"/>
  <c r="Q1042" i="11"/>
  <c r="P1042" i="11"/>
  <c r="M1042" i="11"/>
  <c r="L1042" i="11"/>
  <c r="F1042" i="11"/>
  <c r="AI1041" i="11"/>
  <c r="AH1041" i="11"/>
  <c r="T1041" i="11"/>
  <c r="N1041" i="11"/>
  <c r="X1041" i="11"/>
  <c r="V494" i="11"/>
  <c r="R494" i="11"/>
  <c r="P494" i="11"/>
  <c r="L494" i="11"/>
  <c r="F494" i="11"/>
  <c r="W494" i="11"/>
  <c r="S494" i="11"/>
  <c r="Q494" i="11"/>
  <c r="AI491" i="11"/>
  <c r="AH491" i="11"/>
  <c r="T491" i="11"/>
  <c r="X491" i="11"/>
  <c r="W1038" i="11"/>
  <c r="V1038" i="11"/>
  <c r="S1038" i="11"/>
  <c r="R1038" i="11"/>
  <c r="Q1038" i="11"/>
  <c r="P1038" i="11"/>
  <c r="L1038" i="11"/>
  <c r="F1038" i="11"/>
  <c r="AI1037" i="11"/>
  <c r="AH1037" i="11"/>
  <c r="T1037" i="11"/>
  <c r="M1038" i="11"/>
  <c r="U1038" i="11" l="1"/>
  <c r="U1042" i="11"/>
  <c r="AI1042" i="11"/>
  <c r="AI548" i="11"/>
  <c r="AH548" i="11"/>
  <c r="X1042" i="11"/>
  <c r="N548" i="11"/>
  <c r="AE547" i="11"/>
  <c r="AG547" i="11"/>
  <c r="X547" i="11"/>
  <c r="X548" i="11" s="1"/>
  <c r="M548" i="11"/>
  <c r="U548" i="11" s="1"/>
  <c r="N491" i="11"/>
  <c r="AE491" i="11" s="1"/>
  <c r="T493" i="11"/>
  <c r="T494" i="11" s="1"/>
  <c r="T1038" i="11"/>
  <c r="M494" i="11"/>
  <c r="U494" i="11" s="1"/>
  <c r="T1042" i="11"/>
  <c r="AI494" i="11"/>
  <c r="AH494" i="11"/>
  <c r="AH493" i="11"/>
  <c r="AH1042" i="11"/>
  <c r="N1042" i="11"/>
  <c r="AE1041" i="11"/>
  <c r="AG1041" i="11"/>
  <c r="N493" i="11"/>
  <c r="X493" i="11"/>
  <c r="X494" i="11" s="1"/>
  <c r="AI493" i="11"/>
  <c r="AH1038" i="11"/>
  <c r="AI1038" i="11"/>
  <c r="X1037" i="11"/>
  <c r="X1038" i="11" s="1"/>
  <c r="N1037" i="11"/>
  <c r="AG1042" i="11" l="1"/>
  <c r="AG491" i="11"/>
  <c r="N494" i="11"/>
  <c r="AG494" i="11" s="1"/>
  <c r="AG548" i="11"/>
  <c r="AE548" i="11"/>
  <c r="AE1042" i="11"/>
  <c r="AE493" i="11"/>
  <c r="AG493" i="11"/>
  <c r="AG1037" i="11"/>
  <c r="AE1037" i="11"/>
  <c r="N1038" i="11"/>
  <c r="AE494" i="11" l="1"/>
  <c r="AG1038" i="11"/>
  <c r="AE1038" i="11"/>
  <c r="W306" i="11" l="1"/>
  <c r="V306" i="11"/>
  <c r="S306" i="11"/>
  <c r="R306" i="11"/>
  <c r="Q306" i="11"/>
  <c r="P306" i="11"/>
  <c r="M306" i="11"/>
  <c r="L306" i="11"/>
  <c r="F306" i="11"/>
  <c r="AI304" i="11"/>
  <c r="AH304" i="11"/>
  <c r="X304" i="11"/>
  <c r="T304" i="11"/>
  <c r="N304" i="11"/>
  <c r="AG304" i="11" s="1"/>
  <c r="U306" i="11" l="1"/>
  <c r="T306" i="11"/>
  <c r="X306" i="11"/>
  <c r="AI306" i="11"/>
  <c r="AH306" i="11"/>
  <c r="N306" i="11"/>
  <c r="AE304" i="11"/>
  <c r="AE306" i="11" l="1"/>
  <c r="AG306" i="11"/>
  <c r="M2150" i="11" l="1"/>
  <c r="U2149" i="11" l="1"/>
  <c r="M14" i="11"/>
  <c r="U14" i="11" s="1"/>
  <c r="W301" i="11" l="1"/>
  <c r="V301" i="11"/>
  <c r="S301" i="11"/>
  <c r="R301" i="11"/>
  <c r="Q301" i="11"/>
  <c r="P301" i="11"/>
  <c r="M301" i="11"/>
  <c r="L301" i="11"/>
  <c r="F301" i="11"/>
  <c r="AI300" i="11"/>
  <c r="AH300" i="11"/>
  <c r="X300" i="11"/>
  <c r="T300" i="11"/>
  <c r="N300" i="11"/>
  <c r="AE300" i="11" s="1"/>
  <c r="T301" i="11" l="1"/>
  <c r="AH301" i="11"/>
  <c r="X301" i="11"/>
  <c r="AI301" i="11"/>
  <c r="N301" i="11"/>
  <c r="AG300" i="11"/>
  <c r="AE301" i="11" l="1"/>
  <c r="AG301" i="11"/>
  <c r="W1173" i="11" l="1"/>
  <c r="V1173" i="11"/>
  <c r="S1173" i="11"/>
  <c r="R1173" i="11"/>
  <c r="P1173" i="11"/>
  <c r="M1173" i="11"/>
  <c r="L1173" i="11"/>
  <c r="F1173" i="11"/>
  <c r="AI1172" i="11"/>
  <c r="AH1172" i="11"/>
  <c r="X1172" i="11"/>
  <c r="X1173" i="11" s="1"/>
  <c r="T1172" i="11"/>
  <c r="T1173" i="11" s="1"/>
  <c r="N1172" i="11"/>
  <c r="AG1172" i="11" s="1"/>
  <c r="U1173" i="11" l="1"/>
  <c r="N1173" i="11"/>
  <c r="AG1173" i="11" s="1"/>
  <c r="AI1173" i="11"/>
  <c r="AH1173" i="11"/>
  <c r="AE1172" i="11"/>
  <c r="L1068" i="11"/>
  <c r="AE1173" i="11" l="1"/>
  <c r="W13" i="11" l="1"/>
  <c r="W67" i="11" l="1"/>
  <c r="V67" i="11"/>
  <c r="S67" i="11"/>
  <c r="R67" i="11"/>
  <c r="Q67" i="11"/>
  <c r="P67" i="11"/>
  <c r="M67" i="11"/>
  <c r="L67" i="11"/>
  <c r="F67" i="11"/>
  <c r="AI66" i="11"/>
  <c r="AH66" i="11"/>
  <c r="X66" i="11"/>
  <c r="T66" i="11"/>
  <c r="N66" i="11"/>
  <c r="AE66" i="11" s="1"/>
  <c r="AI65" i="11"/>
  <c r="AH65" i="11"/>
  <c r="X65" i="11"/>
  <c r="T65" i="11"/>
  <c r="N65" i="11"/>
  <c r="AE65" i="11" s="1"/>
  <c r="AI64" i="11"/>
  <c r="AH64" i="11"/>
  <c r="X64" i="11"/>
  <c r="T64" i="11"/>
  <c r="N64" i="11"/>
  <c r="AE64" i="11" s="1"/>
  <c r="R509" i="11"/>
  <c r="L2169" i="11"/>
  <c r="U67" i="11" l="1"/>
  <c r="T67" i="11"/>
  <c r="N67" i="11"/>
  <c r="AG67" i="11" s="1"/>
  <c r="AI67" i="11"/>
  <c r="X67" i="11"/>
  <c r="AH67" i="11"/>
  <c r="AG64" i="11"/>
  <c r="AG66" i="11"/>
  <c r="AG65" i="11"/>
  <c r="AE67" i="11" l="1"/>
  <c r="W1543" i="11" l="1"/>
  <c r="V1543" i="11"/>
  <c r="S1543" i="11"/>
  <c r="R1543" i="11"/>
  <c r="Q1543" i="11"/>
  <c r="P1543" i="11"/>
  <c r="M1543" i="11"/>
  <c r="L1543" i="11"/>
  <c r="F1543" i="11"/>
  <c r="AI1542" i="11"/>
  <c r="AH1542" i="11"/>
  <c r="X1542" i="11"/>
  <c r="T1542" i="11"/>
  <c r="N1542" i="11"/>
  <c r="AG1542" i="11" s="1"/>
  <c r="AI1541" i="11"/>
  <c r="AH1541" i="11"/>
  <c r="X1541" i="11"/>
  <c r="T1541" i="11"/>
  <c r="N1541" i="11"/>
  <c r="U1543" i="11" l="1"/>
  <c r="AI1543" i="11"/>
  <c r="X1543" i="11"/>
  <c r="N1543" i="11"/>
  <c r="AE1543" i="11" s="1"/>
  <c r="T1543" i="11"/>
  <c r="AH1543" i="11"/>
  <c r="AE1541" i="11"/>
  <c r="AE1542" i="11"/>
  <c r="AG1541" i="11"/>
  <c r="AG1543" i="11" l="1"/>
  <c r="M15" i="11" l="1"/>
  <c r="U15" i="11" s="1"/>
  <c r="W297" i="11" l="1"/>
  <c r="V297" i="11"/>
  <c r="S297" i="11"/>
  <c r="R297" i="11"/>
  <c r="Q297" i="11"/>
  <c r="P297" i="11"/>
  <c r="M297" i="11"/>
  <c r="L297" i="11"/>
  <c r="F297" i="11"/>
  <c r="AI296" i="11"/>
  <c r="AH296" i="11"/>
  <c r="X296" i="11"/>
  <c r="T296" i="11"/>
  <c r="N296" i="11"/>
  <c r="U297" i="11" l="1"/>
  <c r="AI297" i="11"/>
  <c r="X297" i="11"/>
  <c r="T297" i="11"/>
  <c r="AH297" i="11"/>
  <c r="N297" i="11"/>
  <c r="AG297" i="11" s="1"/>
  <c r="AE296" i="11"/>
  <c r="AG296" i="11"/>
  <c r="AE297" i="11" l="1"/>
  <c r="W1274" i="11" l="1"/>
  <c r="V1274" i="11"/>
  <c r="S1274" i="11"/>
  <c r="R1274" i="11"/>
  <c r="Q1274" i="11"/>
  <c r="P1274" i="11"/>
  <c r="M1274" i="11"/>
  <c r="L1274" i="11"/>
  <c r="F1274" i="11"/>
  <c r="AI1272" i="11"/>
  <c r="AH1272" i="11"/>
  <c r="X1272" i="11"/>
  <c r="T1272" i="11"/>
  <c r="N1272" i="11"/>
  <c r="AI1274" i="11" l="1"/>
  <c r="X1274" i="11"/>
  <c r="T1274" i="11"/>
  <c r="N1274" i="11"/>
  <c r="AH1274" i="11"/>
  <c r="AE1272" i="11"/>
  <c r="AG1272" i="11"/>
  <c r="AG1274" i="11" l="1"/>
  <c r="AE1274" i="11"/>
  <c r="W289" i="11" l="1"/>
  <c r="V289" i="11"/>
  <c r="S289" i="11"/>
  <c r="R289" i="11"/>
  <c r="Q289" i="11"/>
  <c r="P289" i="11"/>
  <c r="M289" i="11"/>
  <c r="L289" i="11"/>
  <c r="F289" i="11"/>
  <c r="AI287" i="11"/>
  <c r="AH287" i="11"/>
  <c r="X287" i="11"/>
  <c r="T287" i="11"/>
  <c r="N287" i="11"/>
  <c r="AE287" i="11" s="1"/>
  <c r="U289" i="11" l="1"/>
  <c r="X289" i="11"/>
  <c r="AH289" i="11"/>
  <c r="T289" i="11"/>
  <c r="AI289" i="11"/>
  <c r="AG287" i="11"/>
  <c r="N289" i="11"/>
  <c r="AG289" i="11" l="1"/>
  <c r="AE289" i="11"/>
  <c r="W1494" i="11" l="1"/>
  <c r="V1494" i="11"/>
  <c r="S1494" i="11"/>
  <c r="R1494" i="11"/>
  <c r="Q1494" i="11"/>
  <c r="P1494" i="11"/>
  <c r="M1494" i="11"/>
  <c r="L1494" i="11"/>
  <c r="F1494" i="11"/>
  <c r="AI1493" i="11"/>
  <c r="AH1493" i="11"/>
  <c r="X1493" i="11"/>
  <c r="T1493" i="11"/>
  <c r="N1493" i="11"/>
  <c r="AE1493" i="11" s="1"/>
  <c r="U1494" i="11" l="1"/>
  <c r="X1494" i="11"/>
  <c r="AI1494" i="11"/>
  <c r="AH1494" i="11"/>
  <c r="AG1493" i="11"/>
  <c r="T1494" i="11"/>
  <c r="N1494" i="11"/>
  <c r="AG1494" i="11" l="1"/>
  <c r="AE1494" i="11"/>
  <c r="M13" i="11" l="1"/>
  <c r="U13" i="11" s="1"/>
  <c r="M43" i="11" l="1"/>
  <c r="M44" i="11" s="1"/>
  <c r="AI508" i="11" l="1"/>
  <c r="AH508" i="11"/>
  <c r="X508" i="11"/>
  <c r="T508" i="11"/>
  <c r="N508" i="11"/>
  <c r="AG508" i="11" s="1"/>
  <c r="W1523" i="11"/>
  <c r="V1523" i="11"/>
  <c r="R1523" i="11"/>
  <c r="P1523" i="11"/>
  <c r="L1523" i="11"/>
  <c r="F1523" i="11"/>
  <c r="AI1521" i="11"/>
  <c r="X1521" i="11"/>
  <c r="S1523" i="11"/>
  <c r="N1521" i="11"/>
  <c r="M2169" i="11"/>
  <c r="P2169" i="11"/>
  <c r="Q2169" i="11"/>
  <c r="R2169" i="11"/>
  <c r="S2169" i="11"/>
  <c r="V2169" i="11"/>
  <c r="W2169" i="11"/>
  <c r="F2169" i="11"/>
  <c r="AI2167" i="11"/>
  <c r="AH2167" i="11"/>
  <c r="X2167" i="11"/>
  <c r="T2167" i="11"/>
  <c r="N2167" i="11"/>
  <c r="AG2167" i="11" s="1"/>
  <c r="U2169" i="11" l="1"/>
  <c r="AI1523" i="11"/>
  <c r="AE508" i="11"/>
  <c r="X1523" i="11"/>
  <c r="AH1523" i="11"/>
  <c r="AG1521" i="11"/>
  <c r="AE1521" i="11"/>
  <c r="Q1523" i="11"/>
  <c r="T1521" i="11"/>
  <c r="M1523" i="11"/>
  <c r="AH1521" i="11"/>
  <c r="AE2167" i="11"/>
  <c r="U1523" i="11" l="1"/>
  <c r="T1523" i="11"/>
  <c r="N1523" i="11"/>
  <c r="AG1523" i="11" l="1"/>
  <c r="AE1523" i="11"/>
  <c r="AI545" i="11"/>
  <c r="AH545" i="11"/>
  <c r="X545" i="11"/>
  <c r="T545" i="11"/>
  <c r="N545" i="11"/>
  <c r="AG545" i="11" s="1"/>
  <c r="W546" i="11"/>
  <c r="V546" i="11"/>
  <c r="S546" i="11"/>
  <c r="R546" i="11"/>
  <c r="Q546" i="11"/>
  <c r="P546" i="11"/>
  <c r="M546" i="11"/>
  <c r="L546" i="11"/>
  <c r="F546" i="11"/>
  <c r="AI544" i="11"/>
  <c r="AH544" i="11"/>
  <c r="X544" i="11"/>
  <c r="T544" i="11"/>
  <c r="N544" i="11"/>
  <c r="U546" i="11" l="1"/>
  <c r="X546" i="11"/>
  <c r="T546" i="11"/>
  <c r="AI546" i="11"/>
  <c r="AH546" i="11"/>
  <c r="AE545" i="11"/>
  <c r="N546" i="11"/>
  <c r="AE546" i="11" s="1"/>
  <c r="AE544" i="11"/>
  <c r="AG544" i="11"/>
  <c r="L245" i="11"/>
  <c r="AG546" i="11" l="1"/>
  <c r="W12" i="11" l="1"/>
  <c r="W277" i="11"/>
  <c r="V277" i="11"/>
  <c r="S277" i="11"/>
  <c r="R277" i="11"/>
  <c r="Q277" i="11"/>
  <c r="P277" i="11"/>
  <c r="M277" i="11"/>
  <c r="L277" i="11"/>
  <c r="F277" i="11"/>
  <c r="AI276" i="11"/>
  <c r="AH276" i="11"/>
  <c r="X276" i="11"/>
  <c r="N276" i="11"/>
  <c r="AG276" i="11" s="1"/>
  <c r="U277" i="11" l="1"/>
  <c r="T277" i="11"/>
  <c r="X277" i="11"/>
  <c r="AH277" i="11"/>
  <c r="AI277" i="11"/>
  <c r="N277" i="11"/>
  <c r="AE276" i="11"/>
  <c r="AG277" i="11" l="1"/>
  <c r="AE277" i="11"/>
  <c r="M12" i="11" l="1"/>
  <c r="U12" i="11" s="1"/>
  <c r="W389" i="11" l="1"/>
  <c r="V389" i="11"/>
  <c r="S389" i="11"/>
  <c r="R389" i="11"/>
  <c r="Q389" i="11"/>
  <c r="P389" i="11"/>
  <c r="M389" i="11"/>
  <c r="L389" i="11"/>
  <c r="F389" i="11"/>
  <c r="AI388" i="11"/>
  <c r="AH388" i="11"/>
  <c r="X388" i="11"/>
  <c r="T388" i="11"/>
  <c r="N388" i="11"/>
  <c r="AG388" i="11" s="1"/>
  <c r="AI387" i="11"/>
  <c r="AH387" i="11"/>
  <c r="X387" i="11"/>
  <c r="T387" i="11"/>
  <c r="N387" i="11"/>
  <c r="AG387" i="11" s="1"/>
  <c r="W635" i="11"/>
  <c r="V635" i="11"/>
  <c r="S635" i="11"/>
  <c r="R635" i="11"/>
  <c r="Q635" i="11"/>
  <c r="P635" i="11"/>
  <c r="L635" i="11"/>
  <c r="F635" i="11"/>
  <c r="AI634" i="11"/>
  <c r="AH634" i="11"/>
  <c r="X634" i="11"/>
  <c r="T634" i="11"/>
  <c r="AI631" i="11"/>
  <c r="AH631" i="11"/>
  <c r="T631" i="11"/>
  <c r="N631" i="11"/>
  <c r="AG631" i="11" s="1"/>
  <c r="M635" i="11"/>
  <c r="U389" i="11" l="1"/>
  <c r="U635" i="11"/>
  <c r="X389" i="11"/>
  <c r="T389" i="11"/>
  <c r="AH389" i="11"/>
  <c r="AI389" i="11"/>
  <c r="N389" i="11"/>
  <c r="AE387" i="11"/>
  <c r="AE388" i="11"/>
  <c r="T635" i="11"/>
  <c r="AH635" i="11"/>
  <c r="AI635" i="11"/>
  <c r="AE631" i="11"/>
  <c r="N634" i="11"/>
  <c r="X631" i="11"/>
  <c r="X635" i="11" s="1"/>
  <c r="AG389" i="11" l="1"/>
  <c r="AE389" i="11"/>
  <c r="AG634" i="11"/>
  <c r="AE634" i="11"/>
  <c r="N635" i="11"/>
  <c r="AG635" i="11" l="1"/>
  <c r="AE635" i="11"/>
  <c r="AI449" i="11" l="1"/>
  <c r="AH449" i="11"/>
  <c r="X449" i="11"/>
  <c r="T449" i="11"/>
  <c r="N449" i="11"/>
  <c r="AG449" i="11" s="1"/>
  <c r="AE449" i="11" l="1"/>
  <c r="R480" i="11" l="1"/>
  <c r="W1509" i="11" l="1"/>
  <c r="V1509" i="11"/>
  <c r="S1509" i="11"/>
  <c r="R1509" i="11"/>
  <c r="Q1509" i="11"/>
  <c r="P1509" i="11"/>
  <c r="M1509" i="11"/>
  <c r="L1509" i="11"/>
  <c r="F1509" i="11"/>
  <c r="AI1506" i="11"/>
  <c r="AH1506" i="11"/>
  <c r="X1506" i="11"/>
  <c r="T1506" i="11"/>
  <c r="N1506" i="11"/>
  <c r="AG1506" i="11" s="1"/>
  <c r="W515" i="11"/>
  <c r="V515" i="11"/>
  <c r="S515" i="11"/>
  <c r="R515" i="11"/>
  <c r="Q515" i="11"/>
  <c r="P515" i="11"/>
  <c r="M515" i="11"/>
  <c r="F515" i="11"/>
  <c r="AI514" i="11"/>
  <c r="AH514" i="11"/>
  <c r="X514" i="11"/>
  <c r="T514" i="11"/>
  <c r="N514" i="11"/>
  <c r="AG514" i="11" s="1"/>
  <c r="AI513" i="11"/>
  <c r="AH513" i="11"/>
  <c r="X513" i="11"/>
  <c r="T513" i="11"/>
  <c r="N513" i="11"/>
  <c r="U515" i="11" l="1"/>
  <c r="U1509" i="11"/>
  <c r="AI515" i="11"/>
  <c r="T1509" i="11"/>
  <c r="X1509" i="11"/>
  <c r="X515" i="11"/>
  <c r="T515" i="11"/>
  <c r="N1509" i="11"/>
  <c r="AH1509" i="11"/>
  <c r="AI1509" i="11"/>
  <c r="AE1506" i="11"/>
  <c r="N515" i="11"/>
  <c r="AE515" i="11" s="1"/>
  <c r="AH515" i="11"/>
  <c r="AE513" i="11"/>
  <c r="AE514" i="11"/>
  <c r="AG513" i="11"/>
  <c r="AG515" i="11" l="1"/>
  <c r="AE1509" i="11"/>
  <c r="AG1509" i="11"/>
  <c r="W284" i="11" l="1"/>
  <c r="V284" i="11"/>
  <c r="S284" i="11"/>
  <c r="R284" i="11"/>
  <c r="Q284" i="11"/>
  <c r="P284" i="11"/>
  <c r="M284" i="11"/>
  <c r="L284" i="11"/>
  <c r="F284" i="11"/>
  <c r="AI283" i="11"/>
  <c r="AH283" i="11"/>
  <c r="X283" i="11"/>
  <c r="X284" i="11" s="1"/>
  <c r="T283" i="11"/>
  <c r="T284" i="11" s="1"/>
  <c r="N283" i="11"/>
  <c r="N284" i="11" s="1"/>
  <c r="V286" i="11"/>
  <c r="S286" i="11"/>
  <c r="R286" i="11"/>
  <c r="Q286" i="11"/>
  <c r="P286" i="11"/>
  <c r="M286" i="11"/>
  <c r="L286" i="11"/>
  <c r="F286" i="11"/>
  <c r="AI285" i="11"/>
  <c r="AH285" i="11"/>
  <c r="X285" i="11"/>
  <c r="X286" i="11" s="1"/>
  <c r="T285" i="11"/>
  <c r="T286" i="11" s="1"/>
  <c r="N285" i="11"/>
  <c r="AG285" i="11" s="1"/>
  <c r="W275" i="11"/>
  <c r="V275" i="11"/>
  <c r="R275" i="11"/>
  <c r="Q275" i="11"/>
  <c r="P275" i="11"/>
  <c r="M275" i="11"/>
  <c r="L275" i="11"/>
  <c r="F275" i="11"/>
  <c r="AI274" i="11"/>
  <c r="AH274" i="11"/>
  <c r="X274" i="11"/>
  <c r="T274" i="11"/>
  <c r="N274" i="11"/>
  <c r="AG274" i="11" s="1"/>
  <c r="AI273" i="11"/>
  <c r="AH273" i="11"/>
  <c r="X273" i="11"/>
  <c r="T273" i="11"/>
  <c r="N273" i="11"/>
  <c r="W279" i="11"/>
  <c r="V279" i="11"/>
  <c r="S279" i="11"/>
  <c r="R279" i="11"/>
  <c r="Q279" i="11"/>
  <c r="P279" i="11"/>
  <c r="M279" i="11"/>
  <c r="L279" i="11"/>
  <c r="F279" i="11"/>
  <c r="AI278" i="11"/>
  <c r="AH278" i="11"/>
  <c r="X278" i="11"/>
  <c r="T278" i="11"/>
  <c r="N278" i="11"/>
  <c r="U286" i="11" l="1"/>
  <c r="U279" i="11"/>
  <c r="U284" i="11"/>
  <c r="AI275" i="11"/>
  <c r="AI279" i="11"/>
  <c r="AH284" i="11"/>
  <c r="T275" i="11"/>
  <c r="X279" i="11"/>
  <c r="N279" i="11"/>
  <c r="AH279" i="11"/>
  <c r="T279" i="11"/>
  <c r="X275" i="11"/>
  <c r="AI284" i="11"/>
  <c r="AG284" i="11"/>
  <c r="AE284" i="11"/>
  <c r="AE283" i="11"/>
  <c r="AG283" i="11"/>
  <c r="AH286" i="11"/>
  <c r="AI286" i="11"/>
  <c r="N286" i="11"/>
  <c r="AG286" i="11" s="1"/>
  <c r="AE285" i="11"/>
  <c r="AH275" i="11"/>
  <c r="N275" i="11"/>
  <c r="AG275" i="11" s="1"/>
  <c r="AE273" i="11"/>
  <c r="AE274" i="11"/>
  <c r="AG273" i="11"/>
  <c r="AE278" i="11"/>
  <c r="AG278" i="11"/>
  <c r="AG279" i="11" l="1"/>
  <c r="AE286" i="11"/>
  <c r="AE279" i="11"/>
  <c r="AE275" i="11"/>
  <c r="W2130" i="11" l="1"/>
  <c r="V2130" i="11"/>
  <c r="S2130" i="11"/>
  <c r="R2130" i="11"/>
  <c r="Q2130" i="11"/>
  <c r="P2130" i="11"/>
  <c r="M2130" i="11"/>
  <c r="L2130" i="11"/>
  <c r="F2130" i="11"/>
  <c r="AI2129" i="11"/>
  <c r="AH2129" i="11"/>
  <c r="X2129" i="11"/>
  <c r="X2130" i="11" s="1"/>
  <c r="T2129" i="11"/>
  <c r="T2130" i="11" s="1"/>
  <c r="N2129" i="11"/>
  <c r="AG2129" i="11" s="1"/>
  <c r="AI281" i="11"/>
  <c r="AH281" i="11"/>
  <c r="X281" i="11"/>
  <c r="T281" i="11"/>
  <c r="N281" i="11"/>
  <c r="AG281" i="11" s="1"/>
  <c r="W282" i="11"/>
  <c r="V282" i="11"/>
  <c r="S282" i="11"/>
  <c r="R282" i="11"/>
  <c r="Q282" i="11"/>
  <c r="P282" i="11"/>
  <c r="M282" i="11"/>
  <c r="L282" i="11"/>
  <c r="F282" i="11"/>
  <c r="AI280" i="11"/>
  <c r="AH280" i="11"/>
  <c r="X280" i="11"/>
  <c r="T280" i="11"/>
  <c r="N280" i="11"/>
  <c r="AG280" i="11" s="1"/>
  <c r="U282" i="11" l="1"/>
  <c r="U2130" i="11"/>
  <c r="N2130" i="11"/>
  <c r="AE2130" i="11" s="1"/>
  <c r="AH2130" i="11"/>
  <c r="AI2130" i="11"/>
  <c r="AE2129" i="11"/>
  <c r="X282" i="11"/>
  <c r="T282" i="11"/>
  <c r="AE281" i="11"/>
  <c r="AI282" i="11"/>
  <c r="N282" i="11"/>
  <c r="AH282" i="11"/>
  <c r="AE280" i="11"/>
  <c r="AG2130" i="11" l="1"/>
  <c r="AE282" i="11"/>
  <c r="AG282" i="11"/>
  <c r="N55" i="11" l="1"/>
  <c r="N63" i="11" l="1"/>
  <c r="W270" i="11" l="1"/>
  <c r="V270" i="11"/>
  <c r="S270" i="11"/>
  <c r="R270" i="11"/>
  <c r="Q270" i="11"/>
  <c r="P270" i="11"/>
  <c r="M270" i="11"/>
  <c r="L270" i="11"/>
  <c r="F270" i="11"/>
  <c r="AI268" i="11"/>
  <c r="AH268" i="11"/>
  <c r="X268" i="11"/>
  <c r="T268" i="11"/>
  <c r="N268" i="11"/>
  <c r="U270" i="11" l="1"/>
  <c r="AI270" i="11"/>
  <c r="X270" i="11"/>
  <c r="T270" i="11"/>
  <c r="AH270" i="11"/>
  <c r="N270" i="11"/>
  <c r="AE268" i="11"/>
  <c r="AG268" i="11"/>
  <c r="AI1266" i="11"/>
  <c r="AH1266" i="11"/>
  <c r="X1266" i="11"/>
  <c r="T1266" i="11"/>
  <c r="N1266" i="11"/>
  <c r="AG1266" i="11" s="1"/>
  <c r="W1267" i="11"/>
  <c r="V1267" i="11"/>
  <c r="S1267" i="11"/>
  <c r="R1267" i="11"/>
  <c r="Q1267" i="11"/>
  <c r="P1267" i="11"/>
  <c r="L1267" i="11"/>
  <c r="F1267" i="11"/>
  <c r="AI1265" i="11"/>
  <c r="AH1265" i="11"/>
  <c r="T1265" i="11"/>
  <c r="N1265" i="11"/>
  <c r="AG270" i="11" l="1"/>
  <c r="AE270" i="11"/>
  <c r="AI1267" i="11"/>
  <c r="AE1266" i="11"/>
  <c r="AH1267" i="11"/>
  <c r="T1267" i="11"/>
  <c r="N1267" i="11"/>
  <c r="AE1265" i="11"/>
  <c r="AG1265" i="11"/>
  <c r="X1265" i="11"/>
  <c r="X1267" i="11" s="1"/>
  <c r="M1267" i="11"/>
  <c r="U1267" i="11" s="1"/>
  <c r="AG1267" i="11" l="1"/>
  <c r="AE1267" i="11"/>
  <c r="W267" i="11" l="1"/>
  <c r="V267" i="11"/>
  <c r="S267" i="11"/>
  <c r="R267" i="11"/>
  <c r="Q267" i="11"/>
  <c r="P267" i="11"/>
  <c r="M267" i="11"/>
  <c r="L267" i="11"/>
  <c r="F267" i="11"/>
  <c r="AI266" i="11"/>
  <c r="AH266" i="11"/>
  <c r="X266" i="11"/>
  <c r="T266" i="11"/>
  <c r="AG266" i="11"/>
  <c r="W1128" i="11"/>
  <c r="V1128" i="11"/>
  <c r="S1128" i="11"/>
  <c r="R1128" i="11"/>
  <c r="Q1128" i="11"/>
  <c r="P1128" i="11"/>
  <c r="L1128" i="11"/>
  <c r="F1128" i="11"/>
  <c r="AI1127" i="11"/>
  <c r="AH1127" i="11"/>
  <c r="X1127" i="11"/>
  <c r="X1128" i="11" s="1"/>
  <c r="T1127" i="11"/>
  <c r="T1128" i="11" s="1"/>
  <c r="N1127" i="11"/>
  <c r="AG1127" i="11" s="1"/>
  <c r="U267" i="11" l="1"/>
  <c r="X267" i="11"/>
  <c r="U1128" i="11"/>
  <c r="T267" i="11"/>
  <c r="N1128" i="11"/>
  <c r="AG1128" i="11" s="1"/>
  <c r="AH1128" i="11"/>
  <c r="AI267" i="11"/>
  <c r="AH267" i="11"/>
  <c r="N267" i="11"/>
  <c r="AE266" i="11"/>
  <c r="AI1128" i="11"/>
  <c r="AE1127" i="11"/>
  <c r="AG267" i="11" l="1"/>
  <c r="AE1128" i="11"/>
  <c r="AE267" i="11"/>
  <c r="AI1504" i="11" l="1"/>
  <c r="AH1504" i="11"/>
  <c r="X1504" i="11"/>
  <c r="X1505" i="11" s="1"/>
  <c r="T1504" i="11"/>
  <c r="T1505" i="11" s="1"/>
  <c r="N1504" i="11"/>
  <c r="N1505" i="11" s="1"/>
  <c r="AI1505" i="11" l="1"/>
  <c r="AH1505" i="11"/>
  <c r="AE1505" i="11"/>
  <c r="AE1504" i="11"/>
  <c r="AG1504" i="11"/>
  <c r="AG1505" i="11" l="1"/>
  <c r="X265" i="11" l="1"/>
  <c r="T265" i="11"/>
  <c r="W1080" i="11"/>
  <c r="V1080" i="11"/>
  <c r="R1080" i="11"/>
  <c r="Q1080" i="11"/>
  <c r="P1080" i="11"/>
  <c r="M1080" i="11"/>
  <c r="L1080" i="11"/>
  <c r="F1080" i="11"/>
  <c r="AI1079" i="11"/>
  <c r="AH1079" i="11"/>
  <c r="X1079" i="11"/>
  <c r="X1080" i="11" s="1"/>
  <c r="T1079" i="11"/>
  <c r="T1080" i="11" s="1"/>
  <c r="N1079" i="11"/>
  <c r="N1080" i="11" s="1"/>
  <c r="W512" i="11"/>
  <c r="V512" i="11"/>
  <c r="S512" i="11"/>
  <c r="R512" i="11"/>
  <c r="Q512" i="11"/>
  <c r="P512" i="11"/>
  <c r="M512" i="11"/>
  <c r="L512" i="11"/>
  <c r="F512" i="11"/>
  <c r="AI510" i="11"/>
  <c r="AH510" i="11"/>
  <c r="X510" i="11"/>
  <c r="T510" i="11"/>
  <c r="N510" i="11"/>
  <c r="U512" i="11" l="1"/>
  <c r="N265" i="11"/>
  <c r="U1080" i="11"/>
  <c r="AI265" i="11"/>
  <c r="AI512" i="11"/>
  <c r="AI1080" i="11"/>
  <c r="AH512" i="11"/>
  <c r="X512" i="11"/>
  <c r="T512" i="11"/>
  <c r="AH265" i="11"/>
  <c r="AH1080" i="11"/>
  <c r="AG1080" i="11"/>
  <c r="AE1080" i="11"/>
  <c r="AE1079" i="11"/>
  <c r="AG1079" i="11"/>
  <c r="N512" i="11"/>
  <c r="AE512" i="11" s="1"/>
  <c r="AE510" i="11"/>
  <c r="AG510" i="11"/>
  <c r="AE265" i="11" l="1"/>
  <c r="AG265" i="11"/>
  <c r="AG512" i="11"/>
  <c r="W1076" i="11" l="1"/>
  <c r="V1076" i="11"/>
  <c r="S1076" i="11"/>
  <c r="R1076" i="11"/>
  <c r="Q1076" i="11"/>
  <c r="P1076" i="11"/>
  <c r="M1076" i="11"/>
  <c r="L1076" i="11"/>
  <c r="F1076" i="11"/>
  <c r="AI1075" i="11"/>
  <c r="AH1075" i="11"/>
  <c r="X1075" i="11"/>
  <c r="X1076" i="11" s="1"/>
  <c r="T1075" i="11"/>
  <c r="T1076" i="11" s="1"/>
  <c r="N1075" i="11"/>
  <c r="N1076" i="11" s="1"/>
  <c r="W1074" i="11"/>
  <c r="V1074" i="11"/>
  <c r="S1074" i="11"/>
  <c r="R1074" i="11"/>
  <c r="Q1074" i="11"/>
  <c r="P1074" i="11"/>
  <c r="M1074" i="11"/>
  <c r="L1074" i="11"/>
  <c r="F1074" i="11"/>
  <c r="AI1073" i="11"/>
  <c r="AH1073" i="11"/>
  <c r="X1073" i="11"/>
  <c r="X1074" i="11" s="1"/>
  <c r="T1073" i="11"/>
  <c r="T1074" i="11" s="1"/>
  <c r="N1073" i="11"/>
  <c r="AE1073" i="11" s="1"/>
  <c r="W1078" i="11"/>
  <c r="V1078" i="11"/>
  <c r="S1078" i="11"/>
  <c r="R1078" i="11"/>
  <c r="Q1078" i="11"/>
  <c r="P1078" i="11"/>
  <c r="M1078" i="11"/>
  <c r="L1078" i="11"/>
  <c r="F1078" i="11"/>
  <c r="AI1077" i="11"/>
  <c r="AH1077" i="11"/>
  <c r="X1077" i="11"/>
  <c r="X1078" i="11" s="1"/>
  <c r="T1077" i="11"/>
  <c r="T1078" i="11" s="1"/>
  <c r="N1077" i="11"/>
  <c r="N1078" i="11" s="1"/>
  <c r="U1074" i="11" l="1"/>
  <c r="U1078" i="11"/>
  <c r="U1076" i="11"/>
  <c r="AH1076" i="11"/>
  <c r="AH1074" i="11"/>
  <c r="N1074" i="11"/>
  <c r="AE1074" i="11" s="1"/>
  <c r="AG1073" i="11"/>
  <c r="AI1074" i="11"/>
  <c r="AI1078" i="11"/>
  <c r="AI1076" i="11"/>
  <c r="AG1076" i="11"/>
  <c r="AE1076" i="11"/>
  <c r="AE1075" i="11"/>
  <c r="AG1075" i="11"/>
  <c r="AH1078" i="11"/>
  <c r="AG1078" i="11"/>
  <c r="AE1078" i="11"/>
  <c r="AE1077" i="11"/>
  <c r="AG1077" i="11"/>
  <c r="AG1074" i="11" l="1"/>
  <c r="W1072" i="11" l="1"/>
  <c r="V1072" i="11"/>
  <c r="S1072" i="11"/>
  <c r="R1072" i="11"/>
  <c r="Q1072" i="11"/>
  <c r="P1072" i="11"/>
  <c r="M1072" i="11"/>
  <c r="L1072" i="11"/>
  <c r="F1072" i="11"/>
  <c r="AI1071" i="11"/>
  <c r="AH1071" i="11"/>
  <c r="X1071" i="11"/>
  <c r="X1072" i="11" s="1"/>
  <c r="T1071" i="11"/>
  <c r="T1072" i="11" s="1"/>
  <c r="N1071" i="11"/>
  <c r="AE1071" i="11" s="1"/>
  <c r="U1072" i="11" l="1"/>
  <c r="AI1072" i="11"/>
  <c r="AG1071" i="11"/>
  <c r="N1072" i="11"/>
  <c r="AH1072" i="11"/>
  <c r="AG1072" i="11" l="1"/>
  <c r="AE1072" i="11"/>
  <c r="W1070" i="11" l="1"/>
  <c r="V1070" i="11"/>
  <c r="S1070" i="11"/>
  <c r="R1070" i="11"/>
  <c r="Q1070" i="11"/>
  <c r="P1070" i="11"/>
  <c r="M1070" i="11"/>
  <c r="L1070" i="11"/>
  <c r="F1070" i="11"/>
  <c r="AI1069" i="11"/>
  <c r="AH1069" i="11"/>
  <c r="X1069" i="11"/>
  <c r="X1070" i="11" s="1"/>
  <c r="T1069" i="11"/>
  <c r="T1070" i="11" s="1"/>
  <c r="N1069" i="11"/>
  <c r="AG1069" i="11" s="1"/>
  <c r="W1068" i="11"/>
  <c r="V1068" i="11"/>
  <c r="S1068" i="11"/>
  <c r="R1068" i="11"/>
  <c r="Q1068" i="11"/>
  <c r="P1068" i="11"/>
  <c r="M1068" i="11"/>
  <c r="F1068" i="11"/>
  <c r="AI1067" i="11"/>
  <c r="AH1067" i="11"/>
  <c r="X1067" i="11"/>
  <c r="X1068" i="11" s="1"/>
  <c r="T1067" i="11"/>
  <c r="T1068" i="11" s="1"/>
  <c r="N1067" i="11"/>
  <c r="AE1067" i="11" s="1"/>
  <c r="W1082" i="11"/>
  <c r="V1082" i="11"/>
  <c r="S1082" i="11"/>
  <c r="R1082" i="11"/>
  <c r="Q1082" i="11"/>
  <c r="P1082" i="11"/>
  <c r="M1082" i="11"/>
  <c r="L1082" i="11"/>
  <c r="F1082" i="11"/>
  <c r="AI1081" i="11"/>
  <c r="AH1081" i="11"/>
  <c r="X1081" i="11"/>
  <c r="X1082" i="11" s="1"/>
  <c r="T1081" i="11"/>
  <c r="T1082" i="11" s="1"/>
  <c r="N1081" i="11"/>
  <c r="AG1081" i="11" s="1"/>
  <c r="U1070" i="11" l="1"/>
  <c r="U1082" i="11"/>
  <c r="U1068" i="11"/>
  <c r="N1068" i="11"/>
  <c r="AH1068" i="11"/>
  <c r="N1070" i="11"/>
  <c r="AG1070" i="11" s="1"/>
  <c r="AH1070" i="11"/>
  <c r="AI1068" i="11"/>
  <c r="AI1070" i="11"/>
  <c r="AH1082" i="11"/>
  <c r="AI1082" i="11"/>
  <c r="AE1069" i="11"/>
  <c r="AG1067" i="11"/>
  <c r="N1082" i="11"/>
  <c r="AE1081" i="11"/>
  <c r="W258" i="11"/>
  <c r="V258" i="11"/>
  <c r="S258" i="11"/>
  <c r="R258" i="11"/>
  <c r="Q258" i="11"/>
  <c r="P258" i="11"/>
  <c r="L258" i="11"/>
  <c r="F258" i="11"/>
  <c r="AI257" i="11"/>
  <c r="AH257" i="11"/>
  <c r="X257" i="11"/>
  <c r="X258" i="11" s="1"/>
  <c r="T257" i="11"/>
  <c r="T258" i="11" s="1"/>
  <c r="N257" i="11"/>
  <c r="AG257" i="11" s="1"/>
  <c r="AG1082" i="11" l="1"/>
  <c r="U258" i="11"/>
  <c r="AG1068" i="11"/>
  <c r="AE1068" i="11"/>
  <c r="AE1070" i="11"/>
  <c r="AE1082" i="11"/>
  <c r="AI258" i="11"/>
  <c r="AH258" i="11"/>
  <c r="N258" i="11"/>
  <c r="AG258" i="11" s="1"/>
  <c r="AE257" i="11"/>
  <c r="AE258" i="11" l="1"/>
  <c r="W16" i="11"/>
  <c r="W17" i="11" s="1"/>
  <c r="V16" i="11"/>
  <c r="V17" i="11" s="1"/>
  <c r="S16" i="11"/>
  <c r="S17" i="11" s="1"/>
  <c r="R16" i="11"/>
  <c r="R17" i="11" s="1"/>
  <c r="Q16" i="11"/>
  <c r="P16" i="11"/>
  <c r="P17" i="11" s="1"/>
  <c r="M16" i="11"/>
  <c r="M17" i="11" s="1"/>
  <c r="L16" i="11"/>
  <c r="L17" i="11" s="1"/>
  <c r="F16" i="11"/>
  <c r="F17" i="11" s="1"/>
  <c r="AI15" i="11"/>
  <c r="AH15" i="11"/>
  <c r="X15" i="11"/>
  <c r="T15" i="11"/>
  <c r="N15" i="11"/>
  <c r="AE15" i="11" s="1"/>
  <c r="AI14" i="11"/>
  <c r="AH14" i="11"/>
  <c r="X14" i="11"/>
  <c r="T14" i="11"/>
  <c r="N14" i="11"/>
  <c r="AE14" i="11" s="1"/>
  <c r="AI13" i="11"/>
  <c r="AH13" i="11"/>
  <c r="X13" i="11"/>
  <c r="T13" i="11"/>
  <c r="N13" i="11"/>
  <c r="AE13" i="11" s="1"/>
  <c r="AI12" i="11"/>
  <c r="AH12" i="11"/>
  <c r="X12" i="11"/>
  <c r="T12" i="11"/>
  <c r="N12" i="11"/>
  <c r="AE12" i="11" s="1"/>
  <c r="U16" i="11" l="1"/>
  <c r="Q17" i="11"/>
  <c r="U17" i="11" s="1"/>
  <c r="T16" i="11"/>
  <c r="T17" i="11" s="1"/>
  <c r="AI16" i="11"/>
  <c r="AH16" i="11"/>
  <c r="AG14" i="11"/>
  <c r="AG13" i="11"/>
  <c r="N16" i="11"/>
  <c r="AG15" i="11"/>
  <c r="X16" i="11"/>
  <c r="X17" i="11" s="1"/>
  <c r="AG12" i="11"/>
  <c r="AG16" i="11" l="1"/>
  <c r="N17" i="11"/>
  <c r="AE16" i="11"/>
  <c r="W509" i="11" l="1"/>
  <c r="V509" i="11"/>
  <c r="S509" i="11"/>
  <c r="Q509" i="11"/>
  <c r="P509" i="11"/>
  <c r="M509" i="11"/>
  <c r="L509" i="11"/>
  <c r="F509" i="11"/>
  <c r="AI507" i="11"/>
  <c r="AH507" i="11"/>
  <c r="X507" i="11"/>
  <c r="T507" i="11"/>
  <c r="N507" i="11"/>
  <c r="U509" i="11" l="1"/>
  <c r="T509" i="11"/>
  <c r="X509" i="11"/>
  <c r="AH509" i="11"/>
  <c r="AI509" i="11"/>
  <c r="N509" i="11"/>
  <c r="AG509" i="11" s="1"/>
  <c r="AE507" i="11"/>
  <c r="AG507" i="11"/>
  <c r="W262" i="11"/>
  <c r="V262" i="11"/>
  <c r="S262" i="11"/>
  <c r="R262" i="11"/>
  <c r="Q262" i="11"/>
  <c r="P262" i="11"/>
  <c r="M262" i="11"/>
  <c r="L262" i="11"/>
  <c r="F262" i="11"/>
  <c r="AI261" i="11"/>
  <c r="AH261" i="11"/>
  <c r="X261" i="11"/>
  <c r="T261" i="11"/>
  <c r="N261" i="11"/>
  <c r="AG261" i="11" s="1"/>
  <c r="AI259" i="11"/>
  <c r="AH259" i="11"/>
  <c r="X259" i="11"/>
  <c r="T259" i="11"/>
  <c r="N259" i="11"/>
  <c r="W256" i="11"/>
  <c r="V256" i="11"/>
  <c r="S256" i="11"/>
  <c r="R256" i="11"/>
  <c r="Q256" i="11"/>
  <c r="P256" i="11"/>
  <c r="M256" i="11"/>
  <c r="L256" i="11"/>
  <c r="F256" i="11"/>
  <c r="AI253" i="11"/>
  <c r="AH253" i="11"/>
  <c r="X253" i="11"/>
  <c r="T253" i="11"/>
  <c r="N253" i="11"/>
  <c r="U256" i="11" l="1"/>
  <c r="AI256" i="11"/>
  <c r="AI262" i="11"/>
  <c r="T256" i="11"/>
  <c r="X256" i="11"/>
  <c r="X262" i="11"/>
  <c r="AE509" i="11"/>
  <c r="AH262" i="11"/>
  <c r="T262" i="11"/>
  <c r="AH256" i="11"/>
  <c r="N262" i="11"/>
  <c r="AG262" i="11" s="1"/>
  <c r="AE259" i="11"/>
  <c r="AE261" i="11"/>
  <c r="AG259" i="11"/>
  <c r="N256" i="11"/>
  <c r="AG256" i="11" s="1"/>
  <c r="AE253" i="11"/>
  <c r="AG253" i="11"/>
  <c r="AE262" i="11" l="1"/>
  <c r="AE256" i="11"/>
  <c r="W506" i="11" l="1"/>
  <c r="V506" i="11"/>
  <c r="S506" i="11"/>
  <c r="R506" i="11"/>
  <c r="Q506" i="11"/>
  <c r="P506" i="11"/>
  <c r="M506" i="11"/>
  <c r="L506" i="11"/>
  <c r="F506" i="11"/>
  <c r="AI505" i="11"/>
  <c r="AH505" i="11"/>
  <c r="X505" i="11"/>
  <c r="T505" i="11"/>
  <c r="N505" i="11"/>
  <c r="AE505" i="11" s="1"/>
  <c r="AI504" i="11"/>
  <c r="AH504" i="11"/>
  <c r="X504" i="11"/>
  <c r="T504" i="11"/>
  <c r="N504" i="11"/>
  <c r="AE504" i="11" s="1"/>
  <c r="U506" i="11" l="1"/>
  <c r="X506" i="11"/>
  <c r="T506" i="11"/>
  <c r="N506" i="11"/>
  <c r="AG506" i="11" s="1"/>
  <c r="AG505" i="11"/>
  <c r="AI506" i="11"/>
  <c r="AG504" i="11"/>
  <c r="AH506" i="11"/>
  <c r="AE506" i="11" l="1"/>
  <c r="W248" i="11" l="1"/>
  <c r="V248" i="11"/>
  <c r="S248" i="11"/>
  <c r="R248" i="11"/>
  <c r="Q248" i="11"/>
  <c r="P248" i="11"/>
  <c r="M248" i="11"/>
  <c r="L248" i="11"/>
  <c r="F248" i="11"/>
  <c r="AI246" i="11"/>
  <c r="AH246" i="11"/>
  <c r="X246" i="11"/>
  <c r="T246" i="11"/>
  <c r="N246" i="11"/>
  <c r="AG246" i="11" s="1"/>
  <c r="AI251" i="11"/>
  <c r="AH251" i="11"/>
  <c r="X251" i="11"/>
  <c r="T251" i="11"/>
  <c r="N251" i="11"/>
  <c r="AE251" i="11" s="1"/>
  <c r="W252" i="11"/>
  <c r="V252" i="11"/>
  <c r="S252" i="11"/>
  <c r="R252" i="11"/>
  <c r="Q252" i="11"/>
  <c r="P252" i="11"/>
  <c r="M252" i="11"/>
  <c r="L252" i="11"/>
  <c r="F252" i="11"/>
  <c r="AI249" i="11"/>
  <c r="AH249" i="11"/>
  <c r="X249" i="11"/>
  <c r="T249" i="11"/>
  <c r="N249" i="11"/>
  <c r="AG249" i="11" s="1"/>
  <c r="U252" i="11" l="1"/>
  <c r="U248" i="11"/>
  <c r="T248" i="11"/>
  <c r="AH248" i="11"/>
  <c r="AI248" i="11"/>
  <c r="T252" i="11"/>
  <c r="X248" i="11"/>
  <c r="N248" i="11"/>
  <c r="AE246" i="11"/>
  <c r="AG251" i="11"/>
  <c r="X252" i="11"/>
  <c r="AI252" i="11"/>
  <c r="AH252" i="11"/>
  <c r="N252" i="11"/>
  <c r="AE249" i="11"/>
  <c r="AE248" i="11" l="1"/>
  <c r="AG248" i="11"/>
  <c r="AE252" i="11"/>
  <c r="AG252" i="11"/>
  <c r="W1414" i="11" l="1"/>
  <c r="V1414" i="11"/>
  <c r="S1414" i="11"/>
  <c r="R1414" i="11"/>
  <c r="Q1414" i="11"/>
  <c r="P1414" i="11"/>
  <c r="M1414" i="11"/>
  <c r="L1414" i="11"/>
  <c r="F1414" i="11"/>
  <c r="AI1413" i="11"/>
  <c r="AH1413" i="11"/>
  <c r="X1413" i="11"/>
  <c r="T1413" i="11"/>
  <c r="N1413" i="11"/>
  <c r="AG1413" i="11" s="1"/>
  <c r="AI1412" i="11"/>
  <c r="AH1412" i="11"/>
  <c r="X1412" i="11"/>
  <c r="T1412" i="11"/>
  <c r="N1412" i="11"/>
  <c r="AG1412" i="11" s="1"/>
  <c r="AI1411" i="11"/>
  <c r="AH1411" i="11"/>
  <c r="X1411" i="11"/>
  <c r="T1411" i="11"/>
  <c r="N1411" i="11"/>
  <c r="AG1411" i="11" s="1"/>
  <c r="U1414" i="11" l="1"/>
  <c r="AH1414" i="11"/>
  <c r="T1414" i="11"/>
  <c r="X1414" i="11"/>
  <c r="AI1414" i="11"/>
  <c r="N1414" i="11"/>
  <c r="AE1411" i="11"/>
  <c r="AE1412" i="11"/>
  <c r="AE1413" i="11"/>
  <c r="AE1414" i="11" l="1"/>
  <c r="AG1414" i="11"/>
  <c r="W2144" i="11"/>
  <c r="V2144" i="11"/>
  <c r="S2144" i="11"/>
  <c r="R2144" i="11"/>
  <c r="Q2144" i="11"/>
  <c r="P2144" i="11"/>
  <c r="L2144" i="11"/>
  <c r="F2144" i="11"/>
  <c r="AI2143" i="11"/>
  <c r="AH2143" i="11"/>
  <c r="T2143" i="11"/>
  <c r="T2144" i="11" s="1"/>
  <c r="X2143" i="11"/>
  <c r="X2144" i="11" s="1"/>
  <c r="W2154" i="11"/>
  <c r="V2154" i="11"/>
  <c r="S2154" i="11"/>
  <c r="R2154" i="11"/>
  <c r="Q2154" i="11"/>
  <c r="P2154" i="11"/>
  <c r="M2154" i="11"/>
  <c r="L2154" i="11"/>
  <c r="F2154" i="11"/>
  <c r="AI2153" i="11"/>
  <c r="AH2153" i="11"/>
  <c r="T2153" i="11"/>
  <c r="T2154" i="11" s="1"/>
  <c r="N2153" i="11"/>
  <c r="W2162" i="11"/>
  <c r="V2162" i="11"/>
  <c r="S2162" i="11"/>
  <c r="R2162" i="11"/>
  <c r="Q2162" i="11"/>
  <c r="P2162" i="11"/>
  <c r="M2162" i="11"/>
  <c r="F2162" i="11"/>
  <c r="AI2161" i="11"/>
  <c r="AH2161" i="11"/>
  <c r="X2161" i="11"/>
  <c r="X2162" i="11" s="1"/>
  <c r="T2161" i="11"/>
  <c r="T2162" i="11" s="1"/>
  <c r="N2161" i="11"/>
  <c r="AE2161" i="11" s="1"/>
  <c r="W19" i="11"/>
  <c r="W20" i="11" s="1"/>
  <c r="V19" i="11"/>
  <c r="V20" i="11" s="1"/>
  <c r="S19" i="11"/>
  <c r="S20" i="11" s="1"/>
  <c r="R19" i="11"/>
  <c r="R20" i="11" s="1"/>
  <c r="Q19" i="11"/>
  <c r="Q20" i="11" s="1"/>
  <c r="P19" i="11"/>
  <c r="P20" i="11" s="1"/>
  <c r="M19" i="11"/>
  <c r="M20" i="11" s="1"/>
  <c r="L19" i="11"/>
  <c r="L20" i="11" s="1"/>
  <c r="F19" i="11"/>
  <c r="F20" i="11" s="1"/>
  <c r="AI18" i="11"/>
  <c r="AH18" i="11"/>
  <c r="X18" i="11"/>
  <c r="X19" i="11" s="1"/>
  <c r="X20" i="11" s="1"/>
  <c r="T18" i="11"/>
  <c r="T19" i="11" s="1"/>
  <c r="T20" i="11" s="1"/>
  <c r="N18" i="11"/>
  <c r="AG18" i="11" s="1"/>
  <c r="U20" i="11" l="1"/>
  <c r="U19" i="11"/>
  <c r="U2162" i="11"/>
  <c r="U2154" i="11"/>
  <c r="AH2154" i="11"/>
  <c r="AH2162" i="11"/>
  <c r="AH19" i="11"/>
  <c r="N19" i="11"/>
  <c r="N20" i="11" s="1"/>
  <c r="AI2154" i="11"/>
  <c r="AI2144" i="11"/>
  <c r="AH2144" i="11"/>
  <c r="M2144" i="11"/>
  <c r="U2144" i="11" s="1"/>
  <c r="N2143" i="11"/>
  <c r="AE2153" i="11"/>
  <c r="N2154" i="11"/>
  <c r="AG2153" i="11"/>
  <c r="X2153" i="11"/>
  <c r="X2154" i="11" s="1"/>
  <c r="N2162" i="11"/>
  <c r="AI2162" i="11"/>
  <c r="AG2161" i="11"/>
  <c r="AI19" i="11"/>
  <c r="AE18" i="11"/>
  <c r="AE19" i="11" l="1"/>
  <c r="AG19" i="11"/>
  <c r="AE2143" i="11"/>
  <c r="N2144" i="11"/>
  <c r="AG2143" i="11"/>
  <c r="AG2154" i="11"/>
  <c r="AE2154" i="11"/>
  <c r="AE2162" i="11"/>
  <c r="AG2162" i="11"/>
  <c r="AG2144" i="11" l="1"/>
  <c r="AE2144" i="11"/>
  <c r="F38" i="5" l="1"/>
  <c r="W490" i="11" l="1"/>
  <c r="V490" i="11"/>
  <c r="S490" i="11"/>
  <c r="R490" i="11"/>
  <c r="Q490" i="11"/>
  <c r="P490" i="11"/>
  <c r="L490" i="11"/>
  <c r="F490" i="11"/>
  <c r="AI487" i="11"/>
  <c r="AH487" i="11"/>
  <c r="X487" i="11"/>
  <c r="T487" i="11"/>
  <c r="N487" i="11"/>
  <c r="AG487" i="11" s="1"/>
  <c r="U490" i="11" l="1"/>
  <c r="X490" i="11"/>
  <c r="T490" i="11"/>
  <c r="N490" i="11"/>
  <c r="AE490" i="11" s="1"/>
  <c r="AH490" i="11"/>
  <c r="AI490" i="11"/>
  <c r="AE487" i="11"/>
  <c r="AG490" i="11" l="1"/>
  <c r="W2196" i="11" l="1"/>
  <c r="V2196" i="11"/>
  <c r="S2196" i="11"/>
  <c r="R2196" i="11"/>
  <c r="Q2196" i="11"/>
  <c r="P2196" i="11"/>
  <c r="M2196" i="11"/>
  <c r="L2196" i="11"/>
  <c r="F2196" i="11"/>
  <c r="AI2195" i="11"/>
  <c r="AH2195" i="11"/>
  <c r="X2195" i="11"/>
  <c r="X2196" i="11" s="1"/>
  <c r="T2195" i="11"/>
  <c r="T2196" i="11" s="1"/>
  <c r="N2195" i="11"/>
  <c r="AG2195" i="11" s="1"/>
  <c r="U2196" i="11" l="1"/>
  <c r="AI2196" i="11"/>
  <c r="AH2196" i="11"/>
  <c r="N2196" i="11"/>
  <c r="AE2195" i="11"/>
  <c r="AE2196" i="11" l="1"/>
  <c r="AG2196" i="11"/>
  <c r="W483" i="11" l="1"/>
  <c r="V483" i="11"/>
  <c r="S483" i="11"/>
  <c r="R483" i="11"/>
  <c r="Q483" i="11"/>
  <c r="P483" i="11"/>
  <c r="L483" i="11"/>
  <c r="F483" i="11"/>
  <c r="AI481" i="11"/>
  <c r="AH481" i="11"/>
  <c r="X481" i="11"/>
  <c r="T481" i="11"/>
  <c r="N481" i="11"/>
  <c r="W486" i="11"/>
  <c r="V486" i="11"/>
  <c r="S486" i="11"/>
  <c r="R486" i="11"/>
  <c r="Q486" i="11"/>
  <c r="P486" i="11"/>
  <c r="F486" i="11"/>
  <c r="AI484" i="11"/>
  <c r="AH484" i="11"/>
  <c r="X484" i="11"/>
  <c r="T484" i="11"/>
  <c r="N484" i="11"/>
  <c r="AI517" i="11"/>
  <c r="AH517" i="11"/>
  <c r="X517" i="11"/>
  <c r="X518" i="11" s="1"/>
  <c r="T517" i="11"/>
  <c r="T518" i="11" s="1"/>
  <c r="N517" i="11"/>
  <c r="N518" i="11" s="1"/>
  <c r="U486" i="11" l="1"/>
  <c r="U483" i="11"/>
  <c r="AI518" i="11"/>
  <c r="AI486" i="11"/>
  <c r="X486" i="11"/>
  <c r="T486" i="11"/>
  <c r="N486" i="11"/>
  <c r="AG486" i="11" s="1"/>
  <c r="X483" i="11"/>
  <c r="T483" i="11"/>
  <c r="AI483" i="11"/>
  <c r="N483" i="11"/>
  <c r="AH483" i="11"/>
  <c r="AE481" i="11"/>
  <c r="AG481" i="11"/>
  <c r="AH486" i="11"/>
  <c r="AE484" i="11"/>
  <c r="AG484" i="11"/>
  <c r="AH518" i="11"/>
  <c r="AG518" i="11"/>
  <c r="AE517" i="11"/>
  <c r="AG517" i="11"/>
  <c r="AG483" i="11" l="1"/>
  <c r="AE486" i="11"/>
  <c r="AE483" i="11"/>
  <c r="AE518" i="11"/>
  <c r="W1066" i="11" l="1"/>
  <c r="V1066" i="11"/>
  <c r="S1066" i="11"/>
  <c r="R1066" i="11"/>
  <c r="Q1066" i="11"/>
  <c r="P1066" i="11"/>
  <c r="M1066" i="11"/>
  <c r="L1066" i="11"/>
  <c r="F1066" i="11"/>
  <c r="AI1065" i="11"/>
  <c r="AH1065" i="11"/>
  <c r="X1065" i="11"/>
  <c r="X1066" i="11" s="1"/>
  <c r="T1065" i="11"/>
  <c r="T1066" i="11" s="1"/>
  <c r="N1065" i="11"/>
  <c r="AE1065" i="11" s="1"/>
  <c r="U1066" i="11" l="1"/>
  <c r="AI1066" i="11"/>
  <c r="AH1066" i="11"/>
  <c r="AG1065" i="11"/>
  <c r="N1066" i="11"/>
  <c r="AG1066" i="11" l="1"/>
  <c r="AE1066" i="11"/>
  <c r="W2190" i="11" l="1"/>
  <c r="V2190" i="11"/>
  <c r="S2190" i="11"/>
  <c r="R2190" i="11"/>
  <c r="Q2190" i="11"/>
  <c r="P2190" i="11"/>
  <c r="M2190" i="11"/>
  <c r="L2190" i="11"/>
  <c r="AI2189" i="11"/>
  <c r="AH2189" i="11"/>
  <c r="X2189" i="11"/>
  <c r="X2190" i="11" s="1"/>
  <c r="T2189" i="11"/>
  <c r="T2190" i="11" s="1"/>
  <c r="N2189" i="11"/>
  <c r="AE2189" i="11" s="1"/>
  <c r="U2190" i="11" l="1"/>
  <c r="AI2190" i="11"/>
  <c r="AH2190" i="11"/>
  <c r="AG2189" i="11"/>
  <c r="N2190" i="11"/>
  <c r="AG2190" i="11" l="1"/>
  <c r="AE2190" i="11"/>
  <c r="W1048" i="11" l="1"/>
  <c r="V1048" i="11"/>
  <c r="S1048" i="11"/>
  <c r="R1048" i="11"/>
  <c r="Q1048" i="11"/>
  <c r="M1048" i="11"/>
  <c r="L1048" i="11"/>
  <c r="F1048" i="11"/>
  <c r="AI1047" i="11"/>
  <c r="AH1047" i="11"/>
  <c r="X1047" i="11"/>
  <c r="X1048" i="11" s="1"/>
  <c r="T1047" i="11"/>
  <c r="T1048" i="11" s="1"/>
  <c r="N1047" i="11"/>
  <c r="AG1047" i="11" s="1"/>
  <c r="W480" i="11"/>
  <c r="V480" i="11"/>
  <c r="S480" i="11"/>
  <c r="Q480" i="11"/>
  <c r="P480" i="11"/>
  <c r="M480" i="11"/>
  <c r="L480" i="11"/>
  <c r="F480" i="11"/>
  <c r="AI478" i="11"/>
  <c r="AH478" i="11"/>
  <c r="X478" i="11"/>
  <c r="T478" i="11"/>
  <c r="N478" i="11"/>
  <c r="AG478" i="11" s="1"/>
  <c r="U480" i="11" l="1"/>
  <c r="U1048" i="11"/>
  <c r="X480" i="11"/>
  <c r="T480" i="11"/>
  <c r="N480" i="11"/>
  <c r="AG480" i="11" s="1"/>
  <c r="AH480" i="11"/>
  <c r="AI1048" i="11"/>
  <c r="N1048" i="11"/>
  <c r="AG1048" i="11" s="1"/>
  <c r="AH1048" i="11"/>
  <c r="AI480" i="11"/>
  <c r="AE1047" i="11"/>
  <c r="AE478" i="11"/>
  <c r="AE480" i="11" l="1"/>
  <c r="AE1048" i="11"/>
  <c r="AI392" i="11" l="1"/>
  <c r="AH392" i="11"/>
  <c r="X392" i="11"/>
  <c r="T392" i="11"/>
  <c r="N392" i="11"/>
  <c r="AE392" i="11" s="1"/>
  <c r="V393" i="11"/>
  <c r="S393" i="11"/>
  <c r="R393" i="11"/>
  <c r="Q393" i="11"/>
  <c r="P393" i="11"/>
  <c r="M393" i="11"/>
  <c r="L393" i="11"/>
  <c r="F393" i="11"/>
  <c r="AI390" i="11"/>
  <c r="AH390" i="11"/>
  <c r="X390" i="11"/>
  <c r="T390" i="11"/>
  <c r="N390" i="11"/>
  <c r="AE390" i="11" s="1"/>
  <c r="T393" i="11" l="1"/>
  <c r="AG392" i="11"/>
  <c r="AG390" i="11"/>
  <c r="AH393" i="11"/>
  <c r="N393" i="11"/>
  <c r="AE393" i="11" l="1"/>
  <c r="AG393" i="11"/>
  <c r="AI384" i="11" l="1"/>
  <c r="AH384" i="11"/>
  <c r="X384" i="11"/>
  <c r="T384" i="11"/>
  <c r="N384" i="11"/>
  <c r="AG384" i="11" s="1"/>
  <c r="AE384" i="11" l="1"/>
  <c r="W1169" i="11" l="1"/>
  <c r="V1169" i="11"/>
  <c r="S1169" i="11"/>
  <c r="R1169" i="11"/>
  <c r="Q1169" i="11"/>
  <c r="P1169" i="11"/>
  <c r="M1169" i="11"/>
  <c r="L1169" i="11"/>
  <c r="F1169" i="11"/>
  <c r="AI1168" i="11"/>
  <c r="AH1168" i="11"/>
  <c r="X1168" i="11"/>
  <c r="X1169" i="11" s="1"/>
  <c r="T1168" i="11"/>
  <c r="T1169" i="11" s="1"/>
  <c r="N1168" i="11"/>
  <c r="AE1168" i="11" s="1"/>
  <c r="U1169" i="11" l="1"/>
  <c r="AH1169" i="11"/>
  <c r="N1169" i="11"/>
  <c r="AG1169" i="11" s="1"/>
  <c r="AI1169" i="11"/>
  <c r="AG1168" i="11"/>
  <c r="AE1169" i="11" l="1"/>
  <c r="W2180" i="11" l="1"/>
  <c r="V2180" i="11"/>
  <c r="S2180" i="11"/>
  <c r="R2180" i="11"/>
  <c r="Q2180" i="11"/>
  <c r="P2180" i="11"/>
  <c r="M2180" i="11"/>
  <c r="L2180" i="11"/>
  <c r="F2180" i="11"/>
  <c r="AI2179" i="11"/>
  <c r="AH2179" i="11"/>
  <c r="X2179" i="11"/>
  <c r="X2180" i="11" s="1"/>
  <c r="T2179" i="11"/>
  <c r="T2180" i="11" s="1"/>
  <c r="N2179" i="11"/>
  <c r="AE2179" i="11" s="1"/>
  <c r="W2184" i="11"/>
  <c r="V2184" i="11"/>
  <c r="S2184" i="11"/>
  <c r="R2184" i="11"/>
  <c r="Q2184" i="11"/>
  <c r="P2184" i="11"/>
  <c r="M2184" i="11"/>
  <c r="L2184" i="11"/>
  <c r="F2184" i="11"/>
  <c r="AI2183" i="11"/>
  <c r="AH2183" i="11"/>
  <c r="X2183" i="11"/>
  <c r="X2184" i="11" s="1"/>
  <c r="T2183" i="11"/>
  <c r="T2184" i="11" s="1"/>
  <c r="N2183" i="11"/>
  <c r="AE2183" i="11" s="1"/>
  <c r="U2184" i="11" l="1"/>
  <c r="U2180" i="11"/>
  <c r="AH2180" i="11"/>
  <c r="AH2184" i="11"/>
  <c r="AI2180" i="11"/>
  <c r="N2180" i="11"/>
  <c r="AI2184" i="11"/>
  <c r="AG2179" i="11"/>
  <c r="AG2183" i="11"/>
  <c r="N2184" i="11"/>
  <c r="AE2180" i="11" l="1"/>
  <c r="AG2180" i="11"/>
  <c r="AG2184" i="11"/>
  <c r="AE2184" i="11"/>
  <c r="W468" i="11" l="1"/>
  <c r="V468" i="11"/>
  <c r="S468" i="11"/>
  <c r="R468" i="11"/>
  <c r="Q468" i="11"/>
  <c r="P468" i="11"/>
  <c r="M468" i="11"/>
  <c r="L468" i="11"/>
  <c r="F468" i="11"/>
  <c r="AI466" i="11"/>
  <c r="AH466" i="11"/>
  <c r="X466" i="11"/>
  <c r="T466" i="11"/>
  <c r="N466" i="11"/>
  <c r="W471" i="11"/>
  <c r="V471" i="11"/>
  <c r="S471" i="11"/>
  <c r="R471" i="11"/>
  <c r="Q471" i="11"/>
  <c r="P471" i="11"/>
  <c r="M471" i="11"/>
  <c r="L471" i="11"/>
  <c r="F471" i="11"/>
  <c r="AI469" i="11"/>
  <c r="AH469" i="11"/>
  <c r="X469" i="11"/>
  <c r="T469" i="11"/>
  <c r="N469" i="11"/>
  <c r="U471" i="11" l="1"/>
  <c r="U468" i="11"/>
  <c r="X471" i="11"/>
  <c r="AI471" i="11"/>
  <c r="N468" i="11"/>
  <c r="AE468" i="11" s="1"/>
  <c r="X468" i="11"/>
  <c r="T471" i="11"/>
  <c r="T468" i="11"/>
  <c r="N471" i="11"/>
  <c r="AE471" i="11" s="1"/>
  <c r="AI468" i="11"/>
  <c r="AH468" i="11"/>
  <c r="AE466" i="11"/>
  <c r="AG466" i="11"/>
  <c r="AH471" i="11"/>
  <c r="AE469" i="11"/>
  <c r="AG469" i="11"/>
  <c r="AG468" i="11" l="1"/>
  <c r="AG471" i="11"/>
  <c r="W1271" i="11" l="1"/>
  <c r="V1271" i="11"/>
  <c r="S1271" i="11"/>
  <c r="R1271" i="11"/>
  <c r="Q1271" i="11"/>
  <c r="P1271" i="11"/>
  <c r="M1271" i="11"/>
  <c r="L1271" i="11"/>
  <c r="F1271" i="11"/>
  <c r="AI1270" i="11"/>
  <c r="AH1270" i="11"/>
  <c r="X1270" i="11"/>
  <c r="T1270" i="11"/>
  <c r="N1270" i="11"/>
  <c r="AG1270" i="11" s="1"/>
  <c r="AI1268" i="11"/>
  <c r="AH1268" i="11"/>
  <c r="X1268" i="11"/>
  <c r="T1268" i="11"/>
  <c r="N1268" i="11"/>
  <c r="W1171" i="11"/>
  <c r="V1171" i="11"/>
  <c r="S1171" i="11"/>
  <c r="R1171" i="11"/>
  <c r="Q1171" i="11"/>
  <c r="P1171" i="11"/>
  <c r="M1171" i="11"/>
  <c r="L1171" i="11"/>
  <c r="F1171" i="11"/>
  <c r="AI1170" i="11"/>
  <c r="AH1170" i="11"/>
  <c r="X1170" i="11"/>
  <c r="T1170" i="11"/>
  <c r="N1170" i="11"/>
  <c r="U1171" i="11" l="1"/>
  <c r="U1271" i="11"/>
  <c r="AI1171" i="11"/>
  <c r="AI1271" i="11"/>
  <c r="N1271" i="11"/>
  <c r="AG1271" i="11" s="1"/>
  <c r="AH1271" i="11"/>
  <c r="T1271" i="11"/>
  <c r="X1271" i="11"/>
  <c r="AE1268" i="11"/>
  <c r="AE1270" i="11"/>
  <c r="AG1268" i="11"/>
  <c r="X1171" i="11"/>
  <c r="T1171" i="11"/>
  <c r="AH1171" i="11"/>
  <c r="N1171" i="11"/>
  <c r="AE1171" i="11" s="1"/>
  <c r="AE1170" i="11"/>
  <c r="AG1170" i="11"/>
  <c r="AE1271" i="11" l="1"/>
  <c r="AG1171" i="11"/>
  <c r="AI1394" i="11" l="1"/>
  <c r="AH1394" i="11"/>
  <c r="X1394" i="11"/>
  <c r="T1394" i="11"/>
  <c r="N1394" i="11"/>
  <c r="AG1394" i="11" s="1"/>
  <c r="W1395" i="11"/>
  <c r="V1395" i="11"/>
  <c r="S1395" i="11"/>
  <c r="R1395" i="11"/>
  <c r="Q1395" i="11"/>
  <c r="P1395" i="11"/>
  <c r="L1395" i="11"/>
  <c r="F1395" i="11"/>
  <c r="AI1391" i="11"/>
  <c r="AH1391" i="11"/>
  <c r="T1391" i="11"/>
  <c r="N1391" i="11"/>
  <c r="AE1394" i="11" l="1"/>
  <c r="AI1395" i="11"/>
  <c r="T1395" i="11"/>
  <c r="AH1395" i="11"/>
  <c r="N1395" i="11"/>
  <c r="AE1391" i="11"/>
  <c r="AG1391" i="11"/>
  <c r="X1391" i="11"/>
  <c r="X1395" i="11" s="1"/>
  <c r="M1395" i="11"/>
  <c r="U1395" i="11" l="1"/>
  <c r="AG1395" i="11"/>
  <c r="AE1395" i="11"/>
  <c r="AI1497" i="11" l="1"/>
  <c r="AH1497" i="11"/>
  <c r="X1497" i="11"/>
  <c r="X1498" i="11" s="1"/>
  <c r="T1497" i="11"/>
  <c r="T1498" i="11" s="1"/>
  <c r="N1497" i="11"/>
  <c r="AI2168" i="11"/>
  <c r="AH2168" i="11"/>
  <c r="T2168" i="11"/>
  <c r="T2169" i="11" s="1"/>
  <c r="N2168" i="11"/>
  <c r="N2169" i="11" s="1"/>
  <c r="AG1497" i="11" l="1"/>
  <c r="N1498" i="11"/>
  <c r="AI1498" i="11"/>
  <c r="AH1498" i="11"/>
  <c r="AE1497" i="11"/>
  <c r="AH2169" i="11"/>
  <c r="AI2169" i="11"/>
  <c r="AG2168" i="11"/>
  <c r="AE2168" i="11"/>
  <c r="X2168" i="11"/>
  <c r="X2169" i="11" s="1"/>
  <c r="AE1498" i="11" l="1"/>
  <c r="AG1498" i="11"/>
  <c r="AE2169" i="11"/>
  <c r="AG2169" i="11"/>
  <c r="W450" i="11" l="1"/>
  <c r="V450" i="11"/>
  <c r="S450" i="11"/>
  <c r="R450" i="11"/>
  <c r="Q450" i="11"/>
  <c r="P450" i="11"/>
  <c r="M450" i="11"/>
  <c r="L450" i="11"/>
  <c r="F450" i="11"/>
  <c r="AI448" i="11"/>
  <c r="AH448" i="11"/>
  <c r="X448" i="11"/>
  <c r="T448" i="11"/>
  <c r="N448" i="11"/>
  <c r="U450" i="11" l="1"/>
  <c r="AI450" i="11"/>
  <c r="X450" i="11"/>
  <c r="T450" i="11"/>
  <c r="N450" i="11"/>
  <c r="AE450" i="11" s="1"/>
  <c r="AH450" i="11"/>
  <c r="AE448" i="11"/>
  <c r="AG448" i="11"/>
  <c r="AG450" i="11" l="1"/>
  <c r="W2178" i="11" l="1"/>
  <c r="V2178" i="11"/>
  <c r="S2178" i="11"/>
  <c r="R2178" i="11"/>
  <c r="Q2178" i="11"/>
  <c r="P2178" i="11"/>
  <c r="M2178" i="11"/>
  <c r="L2178" i="11"/>
  <c r="F2178" i="11"/>
  <c r="AI2177" i="11"/>
  <c r="AH2177" i="11"/>
  <c r="X2177" i="11"/>
  <c r="X2178" i="11" s="1"/>
  <c r="T2177" i="11"/>
  <c r="T2178" i="11" s="1"/>
  <c r="N2177" i="11"/>
  <c r="AE2177" i="11" s="1"/>
  <c r="U2178" i="11" l="1"/>
  <c r="AI2178" i="11"/>
  <c r="AG2177" i="11"/>
  <c r="AH2178" i="11"/>
  <c r="N2178" i="11"/>
  <c r="AG2178" i="11" s="1"/>
  <c r="AE2178" i="11" l="1"/>
  <c r="W2176" i="11" l="1"/>
  <c r="V2176" i="11"/>
  <c r="S2176" i="11"/>
  <c r="R2176" i="11"/>
  <c r="Q2176" i="11"/>
  <c r="P2176" i="11"/>
  <c r="M2176" i="11"/>
  <c r="L2176" i="11"/>
  <c r="F2176" i="11"/>
  <c r="AI2175" i="11"/>
  <c r="AH2175" i="11"/>
  <c r="X2175" i="11"/>
  <c r="X2176" i="11" s="1"/>
  <c r="T2175" i="11"/>
  <c r="T2176" i="11" s="1"/>
  <c r="N2175" i="11"/>
  <c r="AE2175" i="11" s="1"/>
  <c r="U2176" i="11" l="1"/>
  <c r="AG2175" i="11"/>
  <c r="AH2176" i="11"/>
  <c r="AI2176" i="11"/>
  <c r="N2176" i="11"/>
  <c r="AG2176" i="11" l="1"/>
  <c r="AE2176" i="11"/>
  <c r="W2172" i="11" l="1"/>
  <c r="V2172" i="11"/>
  <c r="S2172" i="11"/>
  <c r="R2172" i="11"/>
  <c r="Q2172" i="11"/>
  <c r="P2172" i="11"/>
  <c r="M2172" i="11"/>
  <c r="F2172" i="11"/>
  <c r="AI2171" i="11"/>
  <c r="AH2171" i="11"/>
  <c r="X2171" i="11"/>
  <c r="X2172" i="11" s="1"/>
  <c r="T2171" i="11"/>
  <c r="T2172" i="11" s="1"/>
  <c r="N2171" i="11"/>
  <c r="AG2171" i="11" s="1"/>
  <c r="U2172" i="11" l="1"/>
  <c r="AI2172" i="11"/>
  <c r="AH2172" i="11"/>
  <c r="N2172" i="11"/>
  <c r="AG2172" i="11" s="1"/>
  <c r="AE2171" i="11"/>
  <c r="AE2172" i="11" l="1"/>
  <c r="M385" i="11" l="1"/>
  <c r="P385" i="11"/>
  <c r="Q385" i="11"/>
  <c r="R385" i="11"/>
  <c r="S385" i="11"/>
  <c r="V385" i="11"/>
  <c r="W385" i="11"/>
  <c r="L385" i="11"/>
  <c r="F385" i="11"/>
  <c r="U385" i="11" l="1"/>
  <c r="W49" i="11"/>
  <c r="W50" i="11" s="1"/>
  <c r="V49" i="11"/>
  <c r="V50" i="11" s="1"/>
  <c r="S49" i="11"/>
  <c r="S50" i="11" s="1"/>
  <c r="R49" i="11"/>
  <c r="R50" i="11" s="1"/>
  <c r="Q49" i="11"/>
  <c r="Q50" i="11" s="1"/>
  <c r="P49" i="11"/>
  <c r="P50" i="11" s="1"/>
  <c r="M49" i="11"/>
  <c r="M50" i="11" s="1"/>
  <c r="L49" i="11"/>
  <c r="L50" i="11" s="1"/>
  <c r="F49" i="11"/>
  <c r="F50" i="11" s="1"/>
  <c r="AI48" i="11"/>
  <c r="AH48" i="11"/>
  <c r="X48" i="11"/>
  <c r="T48" i="11"/>
  <c r="N48" i="11"/>
  <c r="AG48" i="11" s="1"/>
  <c r="AI47" i="11"/>
  <c r="AH47" i="11"/>
  <c r="X47" i="11"/>
  <c r="T47" i="11"/>
  <c r="N47" i="11"/>
  <c r="AG47" i="11" s="1"/>
  <c r="U49" i="11" l="1"/>
  <c r="U50" i="11" s="1"/>
  <c r="AH49" i="11"/>
  <c r="T49" i="11"/>
  <c r="T50" i="11" s="1"/>
  <c r="N49" i="11"/>
  <c r="N50" i="11" s="1"/>
  <c r="X49" i="11"/>
  <c r="X50" i="11" s="1"/>
  <c r="AI49" i="11"/>
  <c r="AE47" i="11"/>
  <c r="AE48" i="11"/>
  <c r="AG49" i="11" l="1"/>
  <c r="AE49" i="11"/>
  <c r="W2128" i="11" l="1"/>
  <c r="V2128" i="11"/>
  <c r="S2128" i="11"/>
  <c r="R2128" i="11"/>
  <c r="Q2128" i="11"/>
  <c r="P2128" i="11"/>
  <c r="L2128" i="11"/>
  <c r="F2128" i="11"/>
  <c r="M2128" i="11"/>
  <c r="AI2127" i="11"/>
  <c r="AH2127" i="11"/>
  <c r="X2127" i="11"/>
  <c r="T2127" i="11"/>
  <c r="N2127" i="11"/>
  <c r="AG2127" i="11" s="1"/>
  <c r="U2128" i="11" l="1"/>
  <c r="T2128" i="11"/>
  <c r="AI2128" i="11"/>
  <c r="AH2128" i="11"/>
  <c r="AE2127" i="11"/>
  <c r="X2128" i="11"/>
  <c r="N2128" i="11" l="1"/>
  <c r="AG2128" i="11" l="1"/>
  <c r="AE2128" i="11"/>
  <c r="W1033" i="11" l="1"/>
  <c r="V1033" i="11"/>
  <c r="S1033" i="11"/>
  <c r="R1033" i="11"/>
  <c r="Q1033" i="11"/>
  <c r="P1033" i="11"/>
  <c r="M1033" i="11"/>
  <c r="L1033" i="11"/>
  <c r="F1033" i="11"/>
  <c r="AI1032" i="11"/>
  <c r="AH1032" i="11"/>
  <c r="X1032" i="11"/>
  <c r="X1033" i="11" s="1"/>
  <c r="T1032" i="11"/>
  <c r="T1033" i="11" s="1"/>
  <c r="N1032" i="11"/>
  <c r="AE1032" i="11" s="1"/>
  <c r="AI244" i="11"/>
  <c r="AH244" i="11"/>
  <c r="X244" i="11"/>
  <c r="T244" i="11"/>
  <c r="N244" i="11"/>
  <c r="AG244" i="11" s="1"/>
  <c r="U1033" i="11" l="1"/>
  <c r="AI1033" i="11"/>
  <c r="AH1033" i="11"/>
  <c r="N1033" i="11"/>
  <c r="AG1033" i="11" s="1"/>
  <c r="AG1032" i="11"/>
  <c r="AE244" i="11"/>
  <c r="AE1033" i="11" l="1"/>
  <c r="W1064" i="11" l="1"/>
  <c r="V1064" i="11"/>
  <c r="S1064" i="11"/>
  <c r="R1064" i="11"/>
  <c r="Q1064" i="11"/>
  <c r="P1064" i="11"/>
  <c r="M1064" i="11"/>
  <c r="L1064" i="11"/>
  <c r="F1064" i="11"/>
  <c r="AI1063" i="11"/>
  <c r="AH1063" i="11"/>
  <c r="X1063" i="11"/>
  <c r="X1064" i="11" s="1"/>
  <c r="T1063" i="11"/>
  <c r="T1064" i="11" s="1"/>
  <c r="N1063" i="11"/>
  <c r="AG1063" i="11" s="1"/>
  <c r="U1064" i="11" l="1"/>
  <c r="N1064" i="11"/>
  <c r="AE1064" i="11" s="1"/>
  <c r="AI1064" i="11"/>
  <c r="AH1064" i="11"/>
  <c r="AE1063" i="11"/>
  <c r="AG1064" i="11" l="1"/>
  <c r="W2174" i="11" l="1"/>
  <c r="V2174" i="11"/>
  <c r="S2174" i="11"/>
  <c r="R2174" i="11"/>
  <c r="Q2174" i="11"/>
  <c r="P2174" i="11"/>
  <c r="M2174" i="11"/>
  <c r="L2174" i="11"/>
  <c r="F2174" i="11"/>
  <c r="AI2173" i="11"/>
  <c r="AH2173" i="11"/>
  <c r="X2173" i="11"/>
  <c r="X2174" i="11" s="1"/>
  <c r="T2173" i="11"/>
  <c r="T2174" i="11" s="1"/>
  <c r="N2173" i="11"/>
  <c r="AE2173" i="11" s="1"/>
  <c r="U2174" i="11" l="1"/>
  <c r="AH2174" i="11"/>
  <c r="AI2174" i="11"/>
  <c r="N2174" i="11"/>
  <c r="AG2173" i="11"/>
  <c r="AE2174" i="11" l="1"/>
  <c r="AG2174" i="11"/>
  <c r="W447" i="11" l="1"/>
  <c r="V447" i="11"/>
  <c r="S447" i="11"/>
  <c r="R447" i="11"/>
  <c r="Q447" i="11"/>
  <c r="P447" i="11"/>
  <c r="M447" i="11"/>
  <c r="L447" i="11"/>
  <c r="F447" i="11"/>
  <c r="AI445" i="11"/>
  <c r="AH445" i="11"/>
  <c r="X445" i="11"/>
  <c r="T445" i="11"/>
  <c r="N445" i="11"/>
  <c r="AE445" i="11" s="1"/>
  <c r="U447" i="11" l="1"/>
  <c r="T447" i="11"/>
  <c r="X447" i="11"/>
  <c r="AH447" i="11"/>
  <c r="N447" i="11"/>
  <c r="AG447" i="11" s="1"/>
  <c r="AI447" i="11"/>
  <c r="AG445" i="11"/>
  <c r="AE447" i="11" l="1"/>
  <c r="W430" i="11" l="1"/>
  <c r="V430" i="11"/>
  <c r="S430" i="11"/>
  <c r="R430" i="11"/>
  <c r="Q430" i="11"/>
  <c r="P430" i="11"/>
  <c r="M430" i="11"/>
  <c r="L430" i="11"/>
  <c r="F430" i="11"/>
  <c r="AI429" i="11"/>
  <c r="AH429" i="11"/>
  <c r="X429" i="11"/>
  <c r="T429" i="11"/>
  <c r="N429" i="11"/>
  <c r="AE429" i="11" s="1"/>
  <c r="U430" i="11" l="1"/>
  <c r="AH430" i="11"/>
  <c r="T430" i="11"/>
  <c r="X430" i="11"/>
  <c r="AI430" i="11"/>
  <c r="AG429" i="11"/>
  <c r="N430" i="11"/>
  <c r="AE430" i="11" l="1"/>
  <c r="AG430" i="11"/>
  <c r="W2256" i="11" l="1"/>
  <c r="V2256" i="11"/>
  <c r="S2256" i="11"/>
  <c r="R2256" i="11"/>
  <c r="Q2256" i="11"/>
  <c r="P2256" i="11"/>
  <c r="M2256" i="11"/>
  <c r="L2256" i="11"/>
  <c r="F2256" i="11"/>
  <c r="AI2255" i="11"/>
  <c r="AH2255" i="11"/>
  <c r="X2256" i="11"/>
  <c r="T2255" i="11"/>
  <c r="T2256" i="11" s="1"/>
  <c r="N2255" i="11"/>
  <c r="AE2255" i="11" s="1"/>
  <c r="U2256" i="11" l="1"/>
  <c r="AG2255" i="11"/>
  <c r="AI2256" i="11"/>
  <c r="N2256" i="11"/>
  <c r="AG2256" i="11" s="1"/>
  <c r="AH2256" i="11"/>
  <c r="AE2256" i="11" l="1"/>
  <c r="AI464" i="11" l="1"/>
  <c r="AH464" i="11"/>
  <c r="X464" i="11"/>
  <c r="X465" i="11" s="1"/>
  <c r="T464" i="11"/>
  <c r="T465" i="11" s="1"/>
  <c r="N464" i="11"/>
  <c r="AE464" i="11" l="1"/>
  <c r="N465" i="11"/>
  <c r="AH465" i="11"/>
  <c r="AG464" i="11"/>
  <c r="AI465" i="11"/>
  <c r="AG465" i="11" l="1"/>
  <c r="AE465" i="11"/>
  <c r="W1062" i="11" l="1"/>
  <c r="V1062" i="11"/>
  <c r="S1062" i="11"/>
  <c r="R1062" i="11"/>
  <c r="Q1062" i="11"/>
  <c r="P1062" i="11"/>
  <c r="M1062" i="11"/>
  <c r="L1062" i="11"/>
  <c r="F1062" i="11"/>
  <c r="AI1061" i="11"/>
  <c r="AH1061" i="11"/>
  <c r="X1061" i="11"/>
  <c r="X1062" i="11" s="1"/>
  <c r="T1061" i="11"/>
  <c r="T1062" i="11" s="1"/>
  <c r="N1061" i="11"/>
  <c r="AE1061" i="11" s="1"/>
  <c r="W444" i="11"/>
  <c r="V444" i="11"/>
  <c r="S444" i="11"/>
  <c r="R444" i="11"/>
  <c r="Q444" i="11"/>
  <c r="P444" i="11"/>
  <c r="M444" i="11"/>
  <c r="L444" i="11"/>
  <c r="F444" i="11"/>
  <c r="AI443" i="11"/>
  <c r="AH443" i="11"/>
  <c r="X443" i="11"/>
  <c r="T443" i="11"/>
  <c r="N443" i="11"/>
  <c r="AE443" i="11" s="1"/>
  <c r="AI439" i="11"/>
  <c r="AH439" i="11"/>
  <c r="X439" i="11"/>
  <c r="T439" i="11"/>
  <c r="N439" i="11"/>
  <c r="AE439" i="11" s="1"/>
  <c r="U444" i="11" l="1"/>
  <c r="U1062" i="11"/>
  <c r="X444" i="11"/>
  <c r="AH1062" i="11"/>
  <c r="N1062" i="11"/>
  <c r="T444" i="11"/>
  <c r="AG1061" i="11"/>
  <c r="AI1062" i="11"/>
  <c r="AG443" i="11"/>
  <c r="AG439" i="11"/>
  <c r="N444" i="11"/>
  <c r="AG444" i="11" s="1"/>
  <c r="AH444" i="11"/>
  <c r="AI444" i="11"/>
  <c r="AG1062" i="11" l="1"/>
  <c r="AE1062" i="11"/>
  <c r="AE444" i="11"/>
  <c r="AI2170" i="11" l="1"/>
  <c r="AH2170" i="11"/>
  <c r="X2170" i="11"/>
  <c r="T2170" i="11"/>
  <c r="N2170" i="11"/>
  <c r="AE2170" i="11" l="1"/>
  <c r="AG2170" i="11"/>
  <c r="W2164" i="11" l="1"/>
  <c r="V2164" i="11"/>
  <c r="S2164" i="11"/>
  <c r="R2164" i="11"/>
  <c r="Q2164" i="11"/>
  <c r="P2164" i="11"/>
  <c r="M2164" i="11"/>
  <c r="L2164" i="11"/>
  <c r="F2164" i="11"/>
  <c r="AI2163" i="11"/>
  <c r="AH2163" i="11"/>
  <c r="X2163" i="11"/>
  <c r="X2164" i="11" s="1"/>
  <c r="T2163" i="11"/>
  <c r="T2164" i="11" s="1"/>
  <c r="N2163" i="11"/>
  <c r="N2164" i="11" s="1"/>
  <c r="U2164" i="11" l="1"/>
  <c r="AH2164" i="11"/>
  <c r="AI2164" i="11"/>
  <c r="AG2164" i="11"/>
  <c r="AE2164" i="11"/>
  <c r="AE2163" i="11"/>
  <c r="AG2163" i="11"/>
  <c r="W2166" i="11" l="1"/>
  <c r="V2166" i="11"/>
  <c r="S2166" i="11"/>
  <c r="R2166" i="11"/>
  <c r="Q2166" i="11"/>
  <c r="P2166" i="11"/>
  <c r="M2166" i="11"/>
  <c r="L2166" i="11"/>
  <c r="F2166" i="11"/>
  <c r="AI2165" i="11"/>
  <c r="AH2165" i="11"/>
  <c r="X2165" i="11"/>
  <c r="X2166" i="11" s="1"/>
  <c r="T2165" i="11"/>
  <c r="T2166" i="11" s="1"/>
  <c r="N2165" i="11"/>
  <c r="N2166" i="11" s="1"/>
  <c r="W2158" i="11"/>
  <c r="V2158" i="11"/>
  <c r="S2158" i="11"/>
  <c r="R2158" i="11"/>
  <c r="Q2158" i="11"/>
  <c r="P2158" i="11"/>
  <c r="M2158" i="11"/>
  <c r="L2158" i="11"/>
  <c r="F2158" i="11"/>
  <c r="AI2157" i="11"/>
  <c r="AH2157" i="11"/>
  <c r="X2157" i="11"/>
  <c r="X2158" i="11" s="1"/>
  <c r="T2157" i="11"/>
  <c r="T2158" i="11" s="1"/>
  <c r="N2157" i="11"/>
  <c r="AE2157" i="11" s="1"/>
  <c r="U2158" i="11" l="1"/>
  <c r="U2166" i="11"/>
  <c r="AI2166" i="11"/>
  <c r="AH2166" i="11"/>
  <c r="N2158" i="11"/>
  <c r="AH2158" i="11"/>
  <c r="AG2166" i="11"/>
  <c r="AE2166" i="11"/>
  <c r="AE2165" i="11"/>
  <c r="AG2165" i="11"/>
  <c r="AG2157" i="11"/>
  <c r="AI2158" i="11"/>
  <c r="AG2158" i="11" l="1"/>
  <c r="AE2158" i="11"/>
  <c r="W477" i="11" l="1"/>
  <c r="V477" i="11"/>
  <c r="S477" i="11"/>
  <c r="R477" i="11"/>
  <c r="Q477" i="11"/>
  <c r="P477" i="11"/>
  <c r="F477" i="11"/>
  <c r="AI475" i="11"/>
  <c r="AH475" i="11"/>
  <c r="T475" i="11"/>
  <c r="N475" i="11"/>
  <c r="AI477" i="11" l="1"/>
  <c r="T477" i="11"/>
  <c r="AH477" i="11"/>
  <c r="N477" i="11"/>
  <c r="AE475" i="11"/>
  <c r="AG475" i="11"/>
  <c r="X475" i="11"/>
  <c r="X477" i="11" s="1"/>
  <c r="M477" i="11"/>
  <c r="U477" i="11" s="1"/>
  <c r="AG477" i="11" l="1"/>
  <c r="AE477" i="11"/>
  <c r="W2160" i="11" l="1"/>
  <c r="V2160" i="11"/>
  <c r="S2160" i="11"/>
  <c r="R2160" i="11"/>
  <c r="Q2160" i="11"/>
  <c r="P2160" i="11"/>
  <c r="M2160" i="11"/>
  <c r="L2160" i="11"/>
  <c r="F2160" i="11"/>
  <c r="AI2159" i="11"/>
  <c r="AH2159" i="11"/>
  <c r="X2159" i="11"/>
  <c r="X2160" i="11" s="1"/>
  <c r="T2159" i="11"/>
  <c r="T2160" i="11" s="1"/>
  <c r="N2159" i="11"/>
  <c r="AG2159" i="11" s="1"/>
  <c r="U2160" i="11" l="1"/>
  <c r="AH2160" i="11"/>
  <c r="N2160" i="11"/>
  <c r="AE2160" i="11" s="1"/>
  <c r="AI2160" i="11"/>
  <c r="AE2159" i="11"/>
  <c r="AG2160" i="11" l="1"/>
  <c r="W2156" i="11" l="1"/>
  <c r="V2156" i="11"/>
  <c r="S2156" i="11"/>
  <c r="R2156" i="11"/>
  <c r="Q2156" i="11"/>
  <c r="P2156" i="11"/>
  <c r="M2156" i="11"/>
  <c r="L2156" i="11"/>
  <c r="F2156" i="11"/>
  <c r="AI2155" i="11"/>
  <c r="AH2155" i="11"/>
  <c r="X2155" i="11"/>
  <c r="X2156" i="11" s="1"/>
  <c r="T2155" i="11"/>
  <c r="T2156" i="11" s="1"/>
  <c r="N2155" i="11"/>
  <c r="AE2155" i="11" s="1"/>
  <c r="W2150" i="11"/>
  <c r="V2150" i="11"/>
  <c r="S2150" i="11"/>
  <c r="R2150" i="11"/>
  <c r="Q2150" i="11"/>
  <c r="P2150" i="11"/>
  <c r="L2150" i="11"/>
  <c r="F2150" i="11"/>
  <c r="AI2149" i="11"/>
  <c r="AH2149" i="11"/>
  <c r="X2149" i="11"/>
  <c r="X2150" i="11" s="1"/>
  <c r="T2149" i="11"/>
  <c r="T2150" i="11" s="1"/>
  <c r="N2149" i="11"/>
  <c r="AE2149" i="11" s="1"/>
  <c r="U2150" i="11" l="1"/>
  <c r="U2156" i="11"/>
  <c r="AI2150" i="11"/>
  <c r="N2156" i="11"/>
  <c r="AG2156" i="11" s="1"/>
  <c r="AH2156" i="11"/>
  <c r="AG2155" i="11"/>
  <c r="AI2156" i="11"/>
  <c r="AH2150" i="11"/>
  <c r="AG2149" i="11"/>
  <c r="N2150" i="11"/>
  <c r="AE2156" i="11" l="1"/>
  <c r="AG2150" i="11"/>
  <c r="AE2150" i="11"/>
  <c r="AI1406" i="11" l="1"/>
  <c r="AH1406" i="11"/>
  <c r="X1406" i="11"/>
  <c r="T1406" i="11"/>
  <c r="N1406" i="11"/>
  <c r="AG1406" i="11" s="1"/>
  <c r="AI1404" i="11"/>
  <c r="AH1404" i="11"/>
  <c r="X1404" i="11"/>
  <c r="T1404" i="11"/>
  <c r="N1404" i="11"/>
  <c r="AG1404" i="11" s="1"/>
  <c r="W1407" i="11"/>
  <c r="V1407" i="11"/>
  <c r="S1407" i="11"/>
  <c r="R1407" i="11"/>
  <c r="Q1407" i="11"/>
  <c r="P1407" i="11"/>
  <c r="M1407" i="11"/>
  <c r="L1407" i="11"/>
  <c r="F1407" i="11"/>
  <c r="AI1403" i="11"/>
  <c r="AH1403" i="11"/>
  <c r="X1403" i="11"/>
  <c r="T1403" i="11"/>
  <c r="N1403" i="11"/>
  <c r="AG1403" i="11" s="1"/>
  <c r="U1407" i="11" l="1"/>
  <c r="T1407" i="11"/>
  <c r="X1407" i="11"/>
  <c r="AH1407" i="11"/>
  <c r="AE1404" i="11"/>
  <c r="AE1406" i="11"/>
  <c r="N1407" i="11"/>
  <c r="AI1407" i="11"/>
  <c r="AE1403" i="11"/>
  <c r="AG1407" i="11" l="1"/>
  <c r="AE1407" i="11"/>
  <c r="V2152" i="11" l="1"/>
  <c r="S2152" i="11"/>
  <c r="R2152" i="11"/>
  <c r="Q2152" i="11"/>
  <c r="P2152" i="11"/>
  <c r="M2152" i="11"/>
  <c r="L2152" i="11"/>
  <c r="F2152" i="11"/>
  <c r="AI2151" i="11"/>
  <c r="AH2151" i="11"/>
  <c r="X2151" i="11"/>
  <c r="X2152" i="11" s="1"/>
  <c r="T2151" i="11"/>
  <c r="T2152" i="11" s="1"/>
  <c r="N2151" i="11"/>
  <c r="AE2151" i="11" s="1"/>
  <c r="U2152" i="11" l="1"/>
  <c r="AI2152" i="11"/>
  <c r="AG2151" i="11"/>
  <c r="AH2152" i="11"/>
  <c r="N2152" i="11"/>
  <c r="AE2152" i="11" l="1"/>
  <c r="AG2152" i="11"/>
  <c r="W272" i="11" l="1"/>
  <c r="V272" i="11"/>
  <c r="S272" i="11"/>
  <c r="R272" i="11"/>
  <c r="Q272" i="11"/>
  <c r="P272" i="11"/>
  <c r="M272" i="11"/>
  <c r="L272" i="11"/>
  <c r="F272" i="11"/>
  <c r="AI271" i="11"/>
  <c r="AH271" i="11"/>
  <c r="X271" i="11"/>
  <c r="T271" i="11"/>
  <c r="N271" i="11"/>
  <c r="AG271" i="11" s="1"/>
  <c r="U272" i="11" l="1"/>
  <c r="AI272" i="11"/>
  <c r="T272" i="11"/>
  <c r="AH272" i="11"/>
  <c r="X272" i="11"/>
  <c r="N272" i="11"/>
  <c r="AE271" i="11"/>
  <c r="AG272" i="11" l="1"/>
  <c r="AE272" i="11"/>
  <c r="W245" i="11" l="1"/>
  <c r="V245" i="11"/>
  <c r="S245" i="11"/>
  <c r="R245" i="11"/>
  <c r="Q245" i="11"/>
  <c r="P245" i="11"/>
  <c r="M245" i="11"/>
  <c r="F245" i="11"/>
  <c r="AI241" i="11"/>
  <c r="AH241" i="11"/>
  <c r="X241" i="11"/>
  <c r="T241" i="11"/>
  <c r="N241" i="11"/>
  <c r="AE241" i="11" s="1"/>
  <c r="X245" i="11" l="1"/>
  <c r="T245" i="11"/>
  <c r="AI245" i="11"/>
  <c r="AG241" i="11"/>
  <c r="N245" i="11"/>
  <c r="AH245" i="11"/>
  <c r="AG245" i="11" l="1"/>
  <c r="AE245" i="11"/>
  <c r="W2148" i="11" l="1"/>
  <c r="V2148" i="11"/>
  <c r="S2148" i="11"/>
  <c r="R2148" i="11"/>
  <c r="Q2148" i="11"/>
  <c r="P2148" i="11"/>
  <c r="M2148" i="11"/>
  <c r="L2148" i="11"/>
  <c r="F2148" i="11"/>
  <c r="AI2147" i="11"/>
  <c r="AH2147" i="11"/>
  <c r="X2147" i="11"/>
  <c r="X2148" i="11" s="1"/>
  <c r="T2147" i="11"/>
  <c r="T2148" i="11" s="1"/>
  <c r="N2147" i="11"/>
  <c r="AG2147" i="11" s="1"/>
  <c r="U2148" i="11" l="1"/>
  <c r="AH2148" i="11"/>
  <c r="AI2148" i="11"/>
  <c r="N2148" i="11"/>
  <c r="AE2147" i="11"/>
  <c r="AE2148" i="11" l="1"/>
  <c r="AG2148" i="11"/>
  <c r="T35" i="11" l="1"/>
  <c r="N35" i="11"/>
  <c r="X35" i="11"/>
  <c r="AH34" i="11"/>
  <c r="AI34" i="11"/>
  <c r="AE34" i="11" l="1"/>
  <c r="AG34" i="11"/>
  <c r="W1402" i="11" l="1"/>
  <c r="V1402" i="11"/>
  <c r="S1402" i="11"/>
  <c r="R1402" i="11"/>
  <c r="Q1402" i="11"/>
  <c r="P1402" i="11"/>
  <c r="M1402" i="11"/>
  <c r="L1402" i="11"/>
  <c r="F1402" i="11"/>
  <c r="AI1401" i="11"/>
  <c r="AH1401" i="11"/>
  <c r="X1401" i="11"/>
  <c r="T1401" i="11"/>
  <c r="N1401" i="11"/>
  <c r="AE1401" i="11" s="1"/>
  <c r="U1402" i="11" l="1"/>
  <c r="AI1402" i="11"/>
  <c r="X1402" i="11"/>
  <c r="T1402" i="11"/>
  <c r="AG1401" i="11"/>
  <c r="AH1402" i="11"/>
  <c r="N1402" i="11"/>
  <c r="AG1402" i="11" l="1"/>
  <c r="AE1402" i="11"/>
  <c r="AI1409" i="11" l="1"/>
  <c r="AH1409" i="11"/>
  <c r="T1409" i="11"/>
  <c r="T1410" i="11" s="1"/>
  <c r="AI1410" i="11" l="1"/>
  <c r="AH1410" i="11"/>
  <c r="X1409" i="11"/>
  <c r="X1410" i="11" s="1"/>
  <c r="N1409" i="11"/>
  <c r="N1410" i="11" s="1"/>
  <c r="AG1409" i="11" l="1"/>
  <c r="AE1409" i="11"/>
  <c r="AG1410" i="11" l="1"/>
  <c r="AE1410" i="11"/>
  <c r="W1054" i="11" l="1"/>
  <c r="V1054" i="11"/>
  <c r="S1054" i="11"/>
  <c r="R1054" i="11"/>
  <c r="Q1054" i="11"/>
  <c r="P1054" i="11"/>
  <c r="M1054" i="11"/>
  <c r="L1054" i="11"/>
  <c r="F1054" i="11"/>
  <c r="AI1053" i="11"/>
  <c r="AH1053" i="11"/>
  <c r="T1053" i="11"/>
  <c r="T1054" i="11" s="1"/>
  <c r="N1053" i="11"/>
  <c r="N1054" i="11" s="1"/>
  <c r="X1053" i="11"/>
  <c r="X1054" i="11" s="1"/>
  <c r="U1054" i="11" l="1"/>
  <c r="AH1054" i="11"/>
  <c r="AI1054" i="11"/>
  <c r="AG1054" i="11"/>
  <c r="AE1054" i="11"/>
  <c r="AE1053" i="11"/>
  <c r="AG1053" i="11"/>
  <c r="X385" i="11" l="1"/>
  <c r="T385" i="11"/>
  <c r="N385" i="11" l="1"/>
  <c r="AH385" i="11"/>
  <c r="AI385" i="11"/>
  <c r="AG385" i="11" l="1"/>
  <c r="AE385" i="11"/>
  <c r="M1046" i="11" l="1"/>
  <c r="W426" i="11" l="1"/>
  <c r="V426" i="11"/>
  <c r="S426" i="11"/>
  <c r="R426" i="11"/>
  <c r="Q426" i="11"/>
  <c r="P426" i="11"/>
  <c r="M426" i="11"/>
  <c r="L426" i="11"/>
  <c r="F426" i="11"/>
  <c r="AI425" i="11"/>
  <c r="AH425" i="11"/>
  <c r="X425" i="11"/>
  <c r="T425" i="11"/>
  <c r="N425" i="11"/>
  <c r="AE425" i="11" s="1"/>
  <c r="AI424" i="11"/>
  <c r="AH424" i="11"/>
  <c r="X424" i="11"/>
  <c r="N424" i="11"/>
  <c r="AE424" i="11" s="1"/>
  <c r="W428" i="11"/>
  <c r="S428" i="11"/>
  <c r="R428" i="11"/>
  <c r="Q428" i="11"/>
  <c r="P428" i="11"/>
  <c r="M428" i="11"/>
  <c r="L428" i="11"/>
  <c r="F428" i="11"/>
  <c r="AI427" i="11"/>
  <c r="AH427" i="11"/>
  <c r="X427" i="11"/>
  <c r="T427" i="11"/>
  <c r="N427" i="11"/>
  <c r="AE427" i="11" s="1"/>
  <c r="U428" i="11" l="1"/>
  <c r="U426" i="11"/>
  <c r="AH426" i="11"/>
  <c r="AI426" i="11"/>
  <c r="AG424" i="11"/>
  <c r="T426" i="11"/>
  <c r="X428" i="11"/>
  <c r="N426" i="11"/>
  <c r="X426" i="11"/>
  <c r="AG425" i="11"/>
  <c r="AH428" i="11"/>
  <c r="N428" i="11"/>
  <c r="AG428" i="11" s="1"/>
  <c r="T428" i="11"/>
  <c r="AG427" i="11"/>
  <c r="AI428" i="11"/>
  <c r="AG426" i="11" l="1"/>
  <c r="AE426" i="11"/>
  <c r="AE428" i="11"/>
  <c r="W2134" i="11" l="1"/>
  <c r="V2134" i="11"/>
  <c r="S2134" i="11"/>
  <c r="R2134" i="11"/>
  <c r="Q2134" i="11"/>
  <c r="P2134" i="11"/>
  <c r="M2134" i="11"/>
  <c r="L2134" i="11"/>
  <c r="AI2133" i="11"/>
  <c r="AH2133" i="11"/>
  <c r="X2133" i="11"/>
  <c r="X2134" i="11" s="1"/>
  <c r="T2133" i="11"/>
  <c r="T2134" i="11" s="1"/>
  <c r="N2133" i="11"/>
  <c r="AG2133" i="11" s="1"/>
  <c r="U2134" i="11" l="1"/>
  <c r="AI2134" i="11"/>
  <c r="N2134" i="11"/>
  <c r="AH2134" i="11"/>
  <c r="AE2133" i="11"/>
  <c r="AG2134" i="11" l="1"/>
  <c r="AE2134" i="11"/>
  <c r="W2146" i="11" l="1"/>
  <c r="V2146" i="11"/>
  <c r="S2146" i="11"/>
  <c r="R2146" i="11"/>
  <c r="P2146" i="11"/>
  <c r="M2146" i="11"/>
  <c r="L2146" i="11"/>
  <c r="F2146" i="11"/>
  <c r="AI2145" i="11"/>
  <c r="AH2145" i="11"/>
  <c r="X2145" i="11"/>
  <c r="X2146" i="11" s="1"/>
  <c r="T2145" i="11"/>
  <c r="T2146" i="11" s="1"/>
  <c r="N2145" i="11"/>
  <c r="AE2145" i="11" s="1"/>
  <c r="U2146" i="11" l="1"/>
  <c r="AI2146" i="11"/>
  <c r="AH2146" i="11"/>
  <c r="AG2145" i="11"/>
  <c r="N2146" i="11"/>
  <c r="AG2146" i="11" l="1"/>
  <c r="AE2146" i="11"/>
  <c r="W237" i="11" l="1"/>
  <c r="V237" i="11"/>
  <c r="S237" i="11"/>
  <c r="R237" i="11"/>
  <c r="Q237" i="11"/>
  <c r="P237" i="11"/>
  <c r="M237" i="11"/>
  <c r="F237" i="11"/>
  <c r="AI234" i="11"/>
  <c r="AH234" i="11"/>
  <c r="X234" i="11"/>
  <c r="T234" i="11"/>
  <c r="N234" i="11"/>
  <c r="AE234" i="11" s="1"/>
  <c r="U237" i="11" l="1"/>
  <c r="X237" i="11"/>
  <c r="T237" i="11"/>
  <c r="N237" i="11"/>
  <c r="N238" i="11" s="1"/>
  <c r="AH237" i="11"/>
  <c r="AI237" i="11"/>
  <c r="AG234" i="11"/>
  <c r="AG237" i="11" l="1"/>
  <c r="AE237" i="11"/>
  <c r="W1044" i="11"/>
  <c r="V1044" i="11"/>
  <c r="S1044" i="11"/>
  <c r="P1044" i="11"/>
  <c r="L1044" i="11"/>
  <c r="F1044" i="11"/>
  <c r="AI1043" i="11"/>
  <c r="AH1043" i="11"/>
  <c r="Q1044" i="11"/>
  <c r="X1043" i="11"/>
  <c r="X1044" i="11" s="1"/>
  <c r="AH1044" i="11" l="1"/>
  <c r="AI1044" i="11"/>
  <c r="M1044" i="11"/>
  <c r="U1044" i="11" s="1"/>
  <c r="N1043" i="11"/>
  <c r="T1043" i="11"/>
  <c r="T1044" i="11" s="1"/>
  <c r="AG1043" i="11" l="1"/>
  <c r="AE1043" i="11"/>
  <c r="N1044" i="11"/>
  <c r="AE1044" i="11" l="1"/>
  <c r="AG1044" i="11"/>
  <c r="W63" i="11" l="1"/>
  <c r="W238" i="11" s="1"/>
  <c r="V63" i="11"/>
  <c r="V238" i="11" s="1"/>
  <c r="S63" i="11"/>
  <c r="S238" i="11" s="1"/>
  <c r="R63" i="11"/>
  <c r="R238" i="11" s="1"/>
  <c r="Q63" i="11"/>
  <c r="Q238" i="11" s="1"/>
  <c r="P63" i="11"/>
  <c r="P238" i="11" s="1"/>
  <c r="M63" i="11"/>
  <c r="M238" i="11" s="1"/>
  <c r="L63" i="11"/>
  <c r="L238" i="11" s="1"/>
  <c r="F63" i="11"/>
  <c r="F238" i="11" s="1"/>
  <c r="AI55" i="11"/>
  <c r="AH55" i="11"/>
  <c r="X55" i="11"/>
  <c r="T55" i="11"/>
  <c r="AE55" i="11"/>
  <c r="U63" i="11" l="1"/>
  <c r="U238" i="11" s="1"/>
  <c r="T63" i="11"/>
  <c r="T238" i="11" s="1"/>
  <c r="X63" i="11"/>
  <c r="X238" i="11" s="1"/>
  <c r="AG63" i="11"/>
  <c r="AH63" i="11"/>
  <c r="AI63" i="11"/>
  <c r="AG55" i="11"/>
  <c r="AE63" i="11" l="1"/>
  <c r="W240" i="11" l="1"/>
  <c r="W386" i="11" s="1"/>
  <c r="V240" i="11"/>
  <c r="V386" i="11" s="1"/>
  <c r="S240" i="11"/>
  <c r="S386" i="11" s="1"/>
  <c r="R240" i="11"/>
  <c r="R386" i="11" s="1"/>
  <c r="Q240" i="11"/>
  <c r="Q386" i="11" s="1"/>
  <c r="P240" i="11"/>
  <c r="P386" i="11" s="1"/>
  <c r="M240" i="11"/>
  <c r="M386" i="11" s="1"/>
  <c r="L240" i="11"/>
  <c r="L386" i="11" s="1"/>
  <c r="F240" i="11"/>
  <c r="F386" i="11" s="1"/>
  <c r="AI239" i="11"/>
  <c r="AH239" i="11"/>
  <c r="X239" i="11"/>
  <c r="T239" i="11"/>
  <c r="N239" i="11"/>
  <c r="U240" i="11" l="1"/>
  <c r="U386" i="11" s="1"/>
  <c r="T240" i="11"/>
  <c r="T386" i="11" s="1"/>
  <c r="X240" i="11"/>
  <c r="X386" i="11" s="1"/>
  <c r="AH240" i="11"/>
  <c r="N240" i="11"/>
  <c r="N386" i="11" s="1"/>
  <c r="AI240" i="11"/>
  <c r="AE239" i="11"/>
  <c r="AG239" i="11"/>
  <c r="AG240" i="11" l="1"/>
  <c r="AE240" i="11"/>
  <c r="F1029" i="11" l="1"/>
  <c r="V1058" i="11" l="1"/>
  <c r="S1058" i="11"/>
  <c r="Q1058" i="11"/>
  <c r="P1058" i="11"/>
  <c r="L1058" i="11"/>
  <c r="F1058" i="11"/>
  <c r="AH1057" i="11"/>
  <c r="W1058" i="11"/>
  <c r="T1057" i="11"/>
  <c r="T1058" i="11" s="1"/>
  <c r="N1057" i="11"/>
  <c r="AH1058" i="11" l="1"/>
  <c r="AI1058" i="11"/>
  <c r="N1058" i="11"/>
  <c r="AG1057" i="11"/>
  <c r="AE1057" i="11"/>
  <c r="M1058" i="11"/>
  <c r="U1058" i="11" s="1"/>
  <c r="X1057" i="11"/>
  <c r="X1058" i="11" s="1"/>
  <c r="AI1057" i="11"/>
  <c r="AG1058" i="11" l="1"/>
  <c r="AE1058" i="11"/>
  <c r="W1056" i="11" l="1"/>
  <c r="V1056" i="11"/>
  <c r="S1056" i="11"/>
  <c r="R1056" i="11"/>
  <c r="Q1056" i="11"/>
  <c r="P1056" i="11"/>
  <c r="M1056" i="11"/>
  <c r="L1056" i="11"/>
  <c r="F1056" i="11"/>
  <c r="AI1055" i="11"/>
  <c r="AH1055" i="11"/>
  <c r="X1055" i="11"/>
  <c r="X1056" i="11" s="1"/>
  <c r="T1055" i="11"/>
  <c r="T1056" i="11" s="1"/>
  <c r="N1055" i="11"/>
  <c r="AE1055" i="11" s="1"/>
  <c r="U1056" i="11" l="1"/>
  <c r="AI1056" i="11"/>
  <c r="AH1056" i="11"/>
  <c r="AG1055" i="11"/>
  <c r="N1056" i="11"/>
  <c r="AG1056" i="11" l="1"/>
  <c r="AE1056" i="11"/>
  <c r="W2138" i="11" l="1"/>
  <c r="W2257" i="11" s="1"/>
  <c r="V2138" i="11"/>
  <c r="V2257" i="11" s="1"/>
  <c r="R2138" i="11"/>
  <c r="R2257" i="11" s="1"/>
  <c r="P2138" i="11"/>
  <c r="P2257" i="11" s="1"/>
  <c r="L2138" i="11"/>
  <c r="L2257" i="11" s="1"/>
  <c r="W43" i="11" l="1"/>
  <c r="W44" i="11" s="1"/>
  <c r="V43" i="11"/>
  <c r="V44" i="11" s="1"/>
  <c r="S43" i="11"/>
  <c r="S44" i="11" s="1"/>
  <c r="R43" i="11"/>
  <c r="R44" i="11" s="1"/>
  <c r="Q43" i="11"/>
  <c r="Q44" i="11" s="1"/>
  <c r="P43" i="11"/>
  <c r="P44" i="11" s="1"/>
  <c r="L43" i="11"/>
  <c r="L44" i="11" s="1"/>
  <c r="F43" i="11"/>
  <c r="F44" i="11" s="1"/>
  <c r="AI42" i="11"/>
  <c r="AH42" i="11"/>
  <c r="X42" i="11"/>
  <c r="T42" i="11"/>
  <c r="N42" i="11"/>
  <c r="U43" i="11" l="1"/>
  <c r="U44" i="11" s="1"/>
  <c r="AI43" i="11"/>
  <c r="AH43" i="11"/>
  <c r="X43" i="11"/>
  <c r="X44" i="11" s="1"/>
  <c r="T43" i="11"/>
  <c r="T44" i="11" s="1"/>
  <c r="N43" i="11"/>
  <c r="N44" i="11" s="1"/>
  <c r="AE42" i="11"/>
  <c r="AG42" i="11"/>
  <c r="AE43" i="11" l="1"/>
  <c r="AG43" i="11"/>
  <c r="AH35" i="11" l="1"/>
  <c r="AI35" i="11"/>
  <c r="AG35" i="11" l="1"/>
  <c r="AE35" i="11"/>
  <c r="W1060" i="11" l="1"/>
  <c r="V1060" i="11"/>
  <c r="S1060" i="11"/>
  <c r="R1060" i="11"/>
  <c r="Q1060" i="11"/>
  <c r="P1060" i="11"/>
  <c r="M1060" i="11"/>
  <c r="L1060" i="11"/>
  <c r="F1060" i="11"/>
  <c r="AI1059" i="11"/>
  <c r="AH1059" i="11"/>
  <c r="X1059" i="11"/>
  <c r="X1060" i="11" s="1"/>
  <c r="T1059" i="11"/>
  <c r="T1060" i="11" s="1"/>
  <c r="N1059" i="11"/>
  <c r="AE1059" i="11" s="1"/>
  <c r="U1060" i="11" l="1"/>
  <c r="AH1060" i="11"/>
  <c r="AI1060" i="11"/>
  <c r="N1060" i="11"/>
  <c r="AE1060" i="11" s="1"/>
  <c r="AG1059" i="11"/>
  <c r="AG1060" i="11" l="1"/>
  <c r="W1046" i="11" l="1"/>
  <c r="V1046" i="11"/>
  <c r="S1046" i="11"/>
  <c r="R1046" i="11"/>
  <c r="Q1046" i="11"/>
  <c r="P1046" i="11"/>
  <c r="L1046" i="11"/>
  <c r="F1046" i="11"/>
  <c r="AI1045" i="11"/>
  <c r="AH1045" i="11"/>
  <c r="X1045" i="11"/>
  <c r="X1046" i="11" s="1"/>
  <c r="T1045" i="11"/>
  <c r="T1046" i="11" s="1"/>
  <c r="N1045" i="11"/>
  <c r="AE1045" i="11" s="1"/>
  <c r="U1046" i="11" l="1"/>
  <c r="N1046" i="11"/>
  <c r="AE1046" i="11" s="1"/>
  <c r="AH1046" i="11"/>
  <c r="AI1046" i="11"/>
  <c r="AG1045" i="11"/>
  <c r="AG1046" i="11" l="1"/>
  <c r="W1052" i="11" l="1"/>
  <c r="V1052" i="11"/>
  <c r="S1052" i="11"/>
  <c r="R1052" i="11"/>
  <c r="Q1052" i="11"/>
  <c r="P1052" i="11"/>
  <c r="M1052" i="11"/>
  <c r="L1052" i="11"/>
  <c r="F1052" i="11"/>
  <c r="AI1051" i="11"/>
  <c r="AH1051" i="11"/>
  <c r="X1051" i="11"/>
  <c r="X1052" i="11" s="1"/>
  <c r="T1051" i="11"/>
  <c r="T1052" i="11" s="1"/>
  <c r="N1051" i="11"/>
  <c r="AE1051" i="11" s="1"/>
  <c r="U1052" i="11" l="1"/>
  <c r="AG1051" i="11"/>
  <c r="AI1052" i="11"/>
  <c r="N1052" i="11"/>
  <c r="AH1052" i="11"/>
  <c r="AG1052" i="11" l="1"/>
  <c r="AE1052" i="11"/>
  <c r="W416" i="11" l="1"/>
  <c r="V416" i="11"/>
  <c r="S416" i="11"/>
  <c r="R416" i="11"/>
  <c r="Q416" i="11"/>
  <c r="P416" i="11"/>
  <c r="M416" i="11"/>
  <c r="L416" i="11"/>
  <c r="F416" i="11"/>
  <c r="AI414" i="11"/>
  <c r="AH414" i="11"/>
  <c r="X414" i="11"/>
  <c r="T414" i="11"/>
  <c r="N414" i="11"/>
  <c r="AE414" i="11" s="1"/>
  <c r="U416" i="11" l="1"/>
  <c r="X416" i="11"/>
  <c r="T416" i="11"/>
  <c r="AI416" i="11"/>
  <c r="AG414" i="11"/>
  <c r="AH416" i="11"/>
  <c r="N416" i="11"/>
  <c r="AG416" i="11" l="1"/>
  <c r="AE416" i="11"/>
  <c r="X1028" i="11" l="1"/>
  <c r="X1029" i="11" s="1"/>
  <c r="W1050" i="11"/>
  <c r="V1050" i="11"/>
  <c r="S1050" i="11"/>
  <c r="R1050" i="11"/>
  <c r="Q1050" i="11"/>
  <c r="P1050" i="11"/>
  <c r="M1050" i="11"/>
  <c r="L1050" i="11"/>
  <c r="F1050" i="11"/>
  <c r="AI1049" i="11"/>
  <c r="AH1049" i="11"/>
  <c r="X1049" i="11"/>
  <c r="X1050" i="11" s="1"/>
  <c r="T1049" i="11"/>
  <c r="T1050" i="11" s="1"/>
  <c r="N1049" i="11"/>
  <c r="AE1049" i="11" s="1"/>
  <c r="T1028" i="11"/>
  <c r="T1029" i="11" s="1"/>
  <c r="AH1028" i="11"/>
  <c r="AI1028" i="11"/>
  <c r="L1029" i="11"/>
  <c r="P1029" i="11"/>
  <c r="Q1029" i="11"/>
  <c r="R1029" i="11"/>
  <c r="S1029" i="11"/>
  <c r="V1029" i="11"/>
  <c r="W1029" i="11"/>
  <c r="N1030" i="11"/>
  <c r="AG1030" i="11" s="1"/>
  <c r="X1030" i="11"/>
  <c r="X1031" i="11" s="1"/>
  <c r="AH1030" i="11"/>
  <c r="AI1030" i="11"/>
  <c r="F1031" i="11"/>
  <c r="L1031" i="11"/>
  <c r="M1031" i="11"/>
  <c r="P1031" i="11"/>
  <c r="R1031" i="11"/>
  <c r="S1031" i="11"/>
  <c r="V1031" i="11"/>
  <c r="W1031" i="11"/>
  <c r="F8" i="5"/>
  <c r="G8" i="5"/>
  <c r="G19" i="5" s="1"/>
  <c r="H8" i="5"/>
  <c r="I8" i="5" s="1"/>
  <c r="I19" i="5"/>
  <c r="F9" i="5"/>
  <c r="G9" i="5"/>
  <c r="H9" i="5"/>
  <c r="I9" i="5"/>
  <c r="F10" i="5"/>
  <c r="H10" i="5"/>
  <c r="I10" i="5" s="1"/>
  <c r="F11" i="5"/>
  <c r="G11" i="5" s="1"/>
  <c r="H11" i="5"/>
  <c r="I11" i="5" s="1"/>
  <c r="F12" i="5"/>
  <c r="G12" i="5" s="1"/>
  <c r="H12" i="5"/>
  <c r="I12" i="5" s="1"/>
  <c r="F13" i="5"/>
  <c r="H13" i="5"/>
  <c r="F14" i="5"/>
  <c r="G14" i="5" s="1"/>
  <c r="H14" i="5"/>
  <c r="I14" i="5" s="1"/>
  <c r="F15" i="5"/>
  <c r="G15" i="5"/>
  <c r="H15" i="5"/>
  <c r="I15" i="5"/>
  <c r="F16" i="5"/>
  <c r="G16" i="5"/>
  <c r="H16" i="5"/>
  <c r="I16" i="5"/>
  <c r="F17" i="5"/>
  <c r="H17" i="5"/>
  <c r="D18" i="5"/>
  <c r="D19" i="5"/>
  <c r="E18" i="5"/>
  <c r="F18" i="5"/>
  <c r="G18" i="5" s="1"/>
  <c r="H18" i="5"/>
  <c r="I18" i="5" s="1"/>
  <c r="E19" i="5"/>
  <c r="F19" i="5"/>
  <c r="H19" i="5"/>
  <c r="T1030" i="11"/>
  <c r="T1031" i="11" s="1"/>
  <c r="Q1031" i="11"/>
  <c r="G17" i="5"/>
  <c r="I17" i="5"/>
  <c r="N1028" i="11"/>
  <c r="AE1028" i="11" s="1"/>
  <c r="M1029" i="11"/>
  <c r="G13" i="5"/>
  <c r="I13" i="5"/>
  <c r="S1167" i="11" l="1"/>
  <c r="Q1167" i="11"/>
  <c r="M1167" i="11"/>
  <c r="P1167" i="11"/>
  <c r="V1167" i="11"/>
  <c r="T1167" i="11"/>
  <c r="F1167" i="11"/>
  <c r="L1167" i="11"/>
  <c r="L2258" i="11" s="1"/>
  <c r="R1167" i="11"/>
  <c r="U1031" i="11"/>
  <c r="U1050" i="11"/>
  <c r="U1029" i="11"/>
  <c r="AH1050" i="11"/>
  <c r="AG1049" i="11"/>
  <c r="N1050" i="11"/>
  <c r="AH1031" i="11"/>
  <c r="AI1031" i="11"/>
  <c r="N1029" i="11"/>
  <c r="AG1029" i="11" s="1"/>
  <c r="AG1028" i="11"/>
  <c r="AI1050" i="11"/>
  <c r="AH44" i="11"/>
  <c r="AE1030" i="11"/>
  <c r="N1031" i="11"/>
  <c r="AH1029" i="11"/>
  <c r="AI1029" i="11"/>
  <c r="N1167" i="11" l="1"/>
  <c r="F35" i="5"/>
  <c r="J3" i="16"/>
  <c r="AG1050" i="11"/>
  <c r="AG44" i="11"/>
  <c r="AG50" i="11"/>
  <c r="AG17" i="11"/>
  <c r="R2258" i="11"/>
  <c r="AE1050" i="11"/>
  <c r="AH11" i="11"/>
  <c r="AI11" i="11"/>
  <c r="AE1029" i="11"/>
  <c r="AH386" i="11"/>
  <c r="AH238" i="11"/>
  <c r="AH20" i="11"/>
  <c r="AI20" i="11"/>
  <c r="AH50" i="11"/>
  <c r="AE1031" i="11"/>
  <c r="AG1031" i="11"/>
  <c r="AH17" i="11"/>
  <c r="AI17" i="11"/>
  <c r="AI50" i="11"/>
  <c r="P2258" i="11"/>
  <c r="V2258" i="11"/>
  <c r="F41" i="5" s="1"/>
  <c r="AI44" i="11"/>
  <c r="AH1167" i="11" l="1"/>
  <c r="AE50" i="11"/>
  <c r="AE17" i="11"/>
  <c r="AE20" i="11"/>
  <c r="AG20" i="11"/>
  <c r="AE44" i="11"/>
  <c r="AE11" i="11"/>
  <c r="AG11" i="11"/>
  <c r="AI238" i="11"/>
  <c r="AI386" i="11"/>
  <c r="AG238" i="11" l="1"/>
  <c r="AE238" i="11"/>
  <c r="AG386" i="11"/>
  <c r="AE386" i="11"/>
  <c r="AE1167" i="11"/>
  <c r="AG1167" i="11"/>
  <c r="AH2137" i="11" l="1"/>
  <c r="F2138" i="11"/>
  <c r="F2257" i="11" s="1"/>
  <c r="AI2137" i="11"/>
  <c r="Q2138" i="11"/>
  <c r="Q2257" i="11" s="1"/>
  <c r="T2137" i="11"/>
  <c r="T2138" i="11" s="1"/>
  <c r="T2257" i="11" s="1"/>
  <c r="S2138" i="11"/>
  <c r="S2257" i="11" s="1"/>
  <c r="X2137" i="11"/>
  <c r="X2138" i="11" s="1"/>
  <c r="X2257" i="11" s="1"/>
  <c r="M2138" i="11"/>
  <c r="M2257" i="11" s="1"/>
  <c r="N2137" i="11"/>
  <c r="F2258" i="11" l="1"/>
  <c r="U2138" i="11"/>
  <c r="U2257" i="11" s="1"/>
  <c r="S2258" i="11"/>
  <c r="M2258" i="11"/>
  <c r="T2258" i="11"/>
  <c r="AH2138" i="11"/>
  <c r="AI2138" i="11"/>
  <c r="N2138" i="11"/>
  <c r="N2257" i="11" s="1"/>
  <c r="AE2137" i="11"/>
  <c r="AG2137" i="11"/>
  <c r="F39" i="5" l="1"/>
  <c r="AI2257" i="11"/>
  <c r="AH2258" i="11"/>
  <c r="AH2257" i="11"/>
  <c r="AE2138" i="11"/>
  <c r="AG2138" i="11"/>
  <c r="Q2258" i="11"/>
  <c r="N2258" i="11" l="1"/>
  <c r="AG2257" i="11"/>
  <c r="AE2257" i="11"/>
  <c r="AG2258" i="11" l="1"/>
  <c r="AE2258" i="11"/>
  <c r="F3" i="16"/>
  <c r="G3" i="16"/>
  <c r="E3" i="16"/>
  <c r="W393" i="11"/>
  <c r="W1167" i="11" s="1"/>
  <c r="X393" i="11"/>
  <c r="X1167" i="11" s="1"/>
  <c r="I3" i="16" l="1"/>
  <c r="U393" i="11"/>
  <c r="U1167" i="11" s="1"/>
  <c r="AI393" i="11"/>
  <c r="X2258" i="11"/>
  <c r="U2258" i="11" l="1"/>
  <c r="F40" i="5"/>
  <c r="AI1167" i="11"/>
  <c r="W2258" i="11"/>
  <c r="F42" i="5" s="1"/>
  <c r="C3" i="16" l="1"/>
  <c r="AI2258" i="11"/>
  <c r="H3" i="16"/>
  <c r="D3" i="16"/>
</calcChain>
</file>

<file path=xl/sharedStrings.xml><?xml version="1.0" encoding="utf-8"?>
<sst xmlns="http://schemas.openxmlformats.org/spreadsheetml/2006/main" count="8438" uniqueCount="1051">
  <si>
    <t>Black</t>
  </si>
  <si>
    <t>OVS</t>
  </si>
  <si>
    <t>NORTHERN FASHION LIMITED</t>
  </si>
  <si>
    <t xml:space="preserve">    Staff  Present </t>
  </si>
  <si>
    <t xml:space="preserve">           G.total W.I.P.</t>
  </si>
  <si>
    <t>White</t>
  </si>
  <si>
    <t xml:space="preserve">AT  A  GLANCE   </t>
  </si>
  <si>
    <t>SL NO</t>
  </si>
  <si>
    <t>Buyer Name</t>
  </si>
  <si>
    <t>Total Ord. Qty</t>
  </si>
  <si>
    <t>Li &amp; Fung.Lojas Renner</t>
  </si>
  <si>
    <t xml:space="preserve">Best Seller </t>
  </si>
  <si>
    <t>G.Total :</t>
  </si>
  <si>
    <t>Style Qty</t>
  </si>
  <si>
    <t>Worker Present</t>
  </si>
  <si>
    <t>Prepared By</t>
  </si>
  <si>
    <t>Best Corporation ( BigW )</t>
  </si>
  <si>
    <t>GBX  Trading ( New Look  )</t>
  </si>
  <si>
    <t>Lager 157 AB</t>
  </si>
  <si>
    <t>GBX  Trading ( Splash  )</t>
  </si>
  <si>
    <t>United Textile Group  ( U T G )                   ( Zalando)</t>
  </si>
  <si>
    <t>G.Total (GBX New Look) &gt;&gt;&gt;</t>
  </si>
  <si>
    <t>G.Total   (OVS )</t>
  </si>
  <si>
    <t xml:space="preserve">G.Total (  United Textile Group )  </t>
  </si>
  <si>
    <t>G . Total</t>
  </si>
  <si>
    <t>Job No</t>
  </si>
  <si>
    <t>Ship Date</t>
  </si>
  <si>
    <t>Total Print Send</t>
  </si>
  <si>
    <t>Total Print Recv</t>
  </si>
  <si>
    <t>Remarks</t>
  </si>
  <si>
    <t xml:space="preserve">Style </t>
  </si>
  <si>
    <t>Ord . Qty</t>
  </si>
  <si>
    <t xml:space="preserve"> Print Balance</t>
  </si>
  <si>
    <t>Production Date:</t>
  </si>
  <si>
    <t xml:space="preserve"> T&amp; A Plan                     ( Deying ) </t>
  </si>
  <si>
    <t xml:space="preserve">Report Date : </t>
  </si>
  <si>
    <t>G.Total B/S (Name It)&gt;&gt;&gt;</t>
  </si>
  <si>
    <t xml:space="preserve">Bestseller  (Only &amp; Sons)  </t>
  </si>
  <si>
    <t>Dark Sapphire</t>
  </si>
  <si>
    <t>Bright White</t>
  </si>
  <si>
    <t>UTG</t>
  </si>
  <si>
    <t>Lt Grey Melange</t>
  </si>
  <si>
    <t>Print/Emb</t>
  </si>
  <si>
    <t>Factory Name</t>
  </si>
  <si>
    <t xml:space="preserve"> </t>
  </si>
  <si>
    <t>NFL</t>
  </si>
  <si>
    <t>Sub Total</t>
  </si>
  <si>
    <t>P</t>
  </si>
  <si>
    <t>E</t>
  </si>
  <si>
    <t>Cloud Dancer</t>
  </si>
  <si>
    <t xml:space="preserve">               </t>
  </si>
  <si>
    <t>BS-ONL</t>
  </si>
  <si>
    <t>BS-NMT</t>
  </si>
  <si>
    <t>BS-ONS</t>
  </si>
  <si>
    <t>Schedule Close Date</t>
  </si>
  <si>
    <t>First Print Sent Date</t>
  </si>
  <si>
    <t>Night Sky</t>
  </si>
  <si>
    <t>P+E</t>
  </si>
  <si>
    <t>S1</t>
  </si>
  <si>
    <t>S2</t>
  </si>
  <si>
    <t>S3</t>
  </si>
  <si>
    <t>Sewing Floor</t>
  </si>
  <si>
    <t xml:space="preserve">           </t>
  </si>
  <si>
    <t>Job NO:</t>
  </si>
  <si>
    <t>Cutting Qty</t>
  </si>
  <si>
    <t>Print Sent</t>
  </si>
  <si>
    <t>Print Recv</t>
  </si>
  <si>
    <t>Sewing Input</t>
  </si>
  <si>
    <t>Forever New Ching PTY ltd</t>
  </si>
  <si>
    <t>-New Look</t>
  </si>
  <si>
    <t xml:space="preserve">Total  Cting .Qty </t>
  </si>
  <si>
    <t>Total Cting Blance .Qty</t>
  </si>
  <si>
    <t>Total  Inp .Qty</t>
  </si>
  <si>
    <t>Total  Inp Blance.Qty</t>
  </si>
  <si>
    <t>United Textile Group  ( U T G )                   ( Olet)</t>
  </si>
  <si>
    <t>Today Inp (Sewing)</t>
  </si>
  <si>
    <t>G.Total Inp (Sewing)</t>
  </si>
  <si>
    <t>Ct : Officer / Incharg</t>
  </si>
  <si>
    <t>Cting Manager</t>
  </si>
  <si>
    <t>Total Inp</t>
  </si>
  <si>
    <t>Gruppocion ( + Upim) Grils</t>
  </si>
  <si>
    <t xml:space="preserve"> ( Spa ) Girls </t>
  </si>
  <si>
    <t>Today Cutting</t>
  </si>
  <si>
    <t>G: Total Cutting</t>
  </si>
  <si>
    <t>Total Ready for Input</t>
  </si>
  <si>
    <t>Ready for input</t>
  </si>
  <si>
    <t>Today Input</t>
  </si>
  <si>
    <t>Order Qty</t>
  </si>
  <si>
    <t>Cut Bal</t>
  </si>
  <si>
    <t>.</t>
  </si>
  <si>
    <t xml:space="preserve">Reason of short </t>
  </si>
  <si>
    <t>Present status</t>
  </si>
  <si>
    <t>Cut Bal %</t>
  </si>
  <si>
    <t>Print Rcv short</t>
  </si>
  <si>
    <t>Inout short</t>
  </si>
  <si>
    <t>Cut  Bal</t>
  </si>
  <si>
    <t>Guess</t>
  </si>
  <si>
    <t>Silver Lining</t>
  </si>
  <si>
    <t>Navy Blazer</t>
  </si>
  <si>
    <t>Sainsbury's</t>
  </si>
  <si>
    <t xml:space="preserve">  </t>
  </si>
  <si>
    <t xml:space="preserve">Cutting T &amp; A Plan  </t>
  </si>
  <si>
    <t>Total Cutting</t>
  </si>
  <si>
    <t>Cutting Balance</t>
  </si>
  <si>
    <t>Jet Black</t>
  </si>
  <si>
    <t>G.Total (GBX Maurice &gt;&gt;&gt;</t>
  </si>
  <si>
    <t>G.Total (GBX Sainsburys &gt;&gt;&gt;</t>
  </si>
  <si>
    <t>Maurices</t>
  </si>
  <si>
    <t>Inp Balance</t>
  </si>
  <si>
    <t xml:space="preserve">Start </t>
  </si>
  <si>
    <t>End</t>
  </si>
  <si>
    <t xml:space="preserve">             </t>
  </si>
  <si>
    <t>G.Total (Miss Selfridge &gt;&gt;&gt;</t>
  </si>
  <si>
    <t>Today Print Rcvd</t>
  </si>
  <si>
    <t>Egret</t>
  </si>
  <si>
    <t xml:space="preserve">Blue Nights </t>
  </si>
  <si>
    <t>Grey Melange</t>
  </si>
  <si>
    <t>Castor Grey</t>
  </si>
  <si>
    <t>41 Navy</t>
  </si>
  <si>
    <t>Today Print Sent</t>
  </si>
  <si>
    <t>Laurel Wreath</t>
  </si>
  <si>
    <t xml:space="preserve">  Buyer &amp; Style Wise Daily Cutting, Input &amp; Print Production Summary</t>
  </si>
  <si>
    <t>Color</t>
  </si>
  <si>
    <t>Peyote Melange</t>
  </si>
  <si>
    <t>Chocolate Torte</t>
  </si>
  <si>
    <t>Black Coffee</t>
  </si>
  <si>
    <t>NORTHERN FASHION LIMITTED</t>
  </si>
  <si>
    <t>Pine Grove</t>
  </si>
  <si>
    <t>09.03.26</t>
  </si>
  <si>
    <t>Fig</t>
  </si>
  <si>
    <t>Grey Pinstripe</t>
  </si>
  <si>
    <t>Port Royale</t>
  </si>
  <si>
    <t>Deco Rose</t>
  </si>
  <si>
    <t>Mulch</t>
  </si>
  <si>
    <t>Beluga</t>
  </si>
  <si>
    <t>Balsam Green</t>
  </si>
  <si>
    <t>Rumba Red</t>
  </si>
  <si>
    <t>Antique White</t>
  </si>
  <si>
    <t>Arctic Dusk</t>
  </si>
  <si>
    <t>15.06.26</t>
  </si>
  <si>
    <t>22.06.26</t>
  </si>
  <si>
    <t>Coffee Bean</t>
  </si>
  <si>
    <t>Q6VPA6K6618</t>
  </si>
  <si>
    <t>Luxe Pink</t>
  </si>
  <si>
    <t>Pure White</t>
  </si>
  <si>
    <t>Black Beauty</t>
  </si>
  <si>
    <t>Sphagnum</t>
  </si>
  <si>
    <t>Peasley Beige</t>
  </si>
  <si>
    <t>Navy</t>
  </si>
  <si>
    <t>Maritime Blue</t>
  </si>
  <si>
    <t>Birch</t>
  </si>
  <si>
    <t>20.07.26</t>
  </si>
  <si>
    <t>Kalamata</t>
  </si>
  <si>
    <t>Peacoat</t>
  </si>
  <si>
    <t>BAD1546</t>
  </si>
  <si>
    <t>Dk Grey Melange</t>
  </si>
  <si>
    <t>Plum Perfect</t>
  </si>
  <si>
    <t>Chocolate Plum</t>
  </si>
  <si>
    <t>Warm Taupe</t>
  </si>
  <si>
    <t>Beige Melange</t>
  </si>
  <si>
    <t>Olive Night</t>
  </si>
  <si>
    <t>Cloud Dancer Aop</t>
  </si>
  <si>
    <t>17.07.26</t>
  </si>
  <si>
    <t>Winetasting</t>
  </si>
  <si>
    <t>Wild Ginger</t>
  </si>
  <si>
    <t>BAD0962</t>
  </si>
  <si>
    <t>Surf The Web Blue</t>
  </si>
  <si>
    <t>Tofu</t>
  </si>
  <si>
    <t>Tradewinds</t>
  </si>
  <si>
    <t>Surf The Web</t>
  </si>
  <si>
    <t>27.07.26</t>
  </si>
  <si>
    <t>Evening Blue</t>
  </si>
  <si>
    <t>BAD2548</t>
  </si>
  <si>
    <t>Nomad</t>
  </si>
  <si>
    <t>Marron</t>
  </si>
  <si>
    <t>17.08.26</t>
  </si>
  <si>
    <t>27.06.26</t>
  </si>
  <si>
    <t>BAD1502</t>
  </si>
  <si>
    <t>BAD0966</t>
  </si>
  <si>
    <t>Cabernet</t>
  </si>
  <si>
    <t>Dress Blue</t>
  </si>
  <si>
    <t>Pumice Stone</t>
  </si>
  <si>
    <t>T.M Lewin</t>
  </si>
  <si>
    <t>Grey Marl</t>
  </si>
  <si>
    <t>G.Total (GBX T.M Lewin &gt;&gt;&gt;</t>
  </si>
  <si>
    <t>24475 13th</t>
  </si>
  <si>
    <t>Island Fossil</t>
  </si>
  <si>
    <t>Sepia</t>
  </si>
  <si>
    <t>Mauve Shadows</t>
  </si>
  <si>
    <t>18.07.26</t>
  </si>
  <si>
    <t>4 Mid Grey</t>
  </si>
  <si>
    <t>10.07.26</t>
  </si>
  <si>
    <t>25.07.26</t>
  </si>
  <si>
    <t>BAD2323</t>
  </si>
  <si>
    <t>BAD0985</t>
  </si>
  <si>
    <t>Red</t>
  </si>
  <si>
    <t>22.07.26</t>
  </si>
  <si>
    <t>07.07.26</t>
  </si>
  <si>
    <t>Spiced Apple</t>
  </si>
  <si>
    <t>Hot Fudge</t>
  </si>
  <si>
    <t>Lily Pad</t>
  </si>
  <si>
    <t>Stormy Sea</t>
  </si>
  <si>
    <t>Dawn Pink</t>
  </si>
  <si>
    <t>13224978/13229864</t>
  </si>
  <si>
    <t>Mosstone</t>
  </si>
  <si>
    <t>13224969/13229841</t>
  </si>
  <si>
    <t>Andorra</t>
  </si>
  <si>
    <t>16.06.26</t>
  </si>
  <si>
    <t>10.08.26</t>
  </si>
  <si>
    <t>43102 5th</t>
  </si>
  <si>
    <t>07.09.26</t>
  </si>
  <si>
    <t>30011 20th</t>
  </si>
  <si>
    <t>Black-Animal</t>
  </si>
  <si>
    <t>Black-Feather Frame</t>
  </si>
  <si>
    <t>Black-Leo Brush</t>
  </si>
  <si>
    <t>Black-Leo Wild</t>
  </si>
  <si>
    <t>Cloud Dancer-Big Disco</t>
  </si>
  <si>
    <t>Cloud Dancer-City Love</t>
  </si>
  <si>
    <t>Cloud Dancer-City Paris</t>
  </si>
  <si>
    <t>Cloud Dancer-City Perfect</t>
  </si>
  <si>
    <t>Cloud Dancer-City Scooter</t>
  </si>
  <si>
    <t>Cloud Dancer-City Bicycle</t>
  </si>
  <si>
    <t>Cloud Dancer- Feather Free</t>
  </si>
  <si>
    <t>Cloud Dancer- Woman Splash</t>
  </si>
  <si>
    <t>Phantom</t>
  </si>
  <si>
    <t>Charcoal Gray</t>
  </si>
  <si>
    <t>21.09.26</t>
  </si>
  <si>
    <t>Dutch Canal</t>
  </si>
  <si>
    <t>Parfait Pink</t>
  </si>
  <si>
    <t>Parfait Pink Aop</t>
  </si>
  <si>
    <t>Lollipop</t>
  </si>
  <si>
    <t>41880 24th</t>
  </si>
  <si>
    <t>01.08.26</t>
  </si>
  <si>
    <t>Chocolate Brown</t>
  </si>
  <si>
    <t>Bel Air Blue</t>
  </si>
  <si>
    <t>Beetroot Purple</t>
  </si>
  <si>
    <t>47763 2nd</t>
  </si>
  <si>
    <t>Tibetan Red</t>
  </si>
  <si>
    <t>24.08.26</t>
  </si>
  <si>
    <t>26.06.26</t>
  </si>
  <si>
    <t>Peyote</t>
  </si>
  <si>
    <t>Coca Mocha</t>
  </si>
  <si>
    <t>ANIMAL</t>
  </si>
  <si>
    <t>30.07.26</t>
  </si>
  <si>
    <t>BAD0960</t>
  </si>
  <si>
    <t>22.08.26</t>
  </si>
  <si>
    <t>BAD1634</t>
  </si>
  <si>
    <t>Shaved Chocolate</t>
  </si>
  <si>
    <t>08.08.26</t>
  </si>
  <si>
    <t>RFD Aop</t>
  </si>
  <si>
    <t>BAD1298</t>
  </si>
  <si>
    <t>Black+Ecru y/d</t>
  </si>
  <si>
    <t>White+Navy y/d</t>
  </si>
  <si>
    <t>Marron Banner</t>
  </si>
  <si>
    <t>Marron Banner+White y/d</t>
  </si>
  <si>
    <t>BAD1630</t>
  </si>
  <si>
    <t>BAD2681</t>
  </si>
  <si>
    <t>Dark Navy</t>
  </si>
  <si>
    <t>Olive Night Aop</t>
  </si>
  <si>
    <t>Gatawba Grape Aop</t>
  </si>
  <si>
    <t>43969 38th</t>
  </si>
  <si>
    <t>43969 39th</t>
  </si>
  <si>
    <t>16.08.26</t>
  </si>
  <si>
    <t>BAD1318</t>
  </si>
  <si>
    <t>14.08.26</t>
  </si>
  <si>
    <t>Bracken</t>
  </si>
  <si>
    <t>15.08.26</t>
  </si>
  <si>
    <t>Quarry</t>
  </si>
  <si>
    <t>Purple Dove</t>
  </si>
  <si>
    <t>Desert Taupe</t>
  </si>
  <si>
    <t>Chinois Green</t>
  </si>
  <si>
    <t>45964 8th</t>
  </si>
  <si>
    <t>12.09.26</t>
  </si>
  <si>
    <t>45964 9th</t>
  </si>
  <si>
    <t>Little Boy Blue</t>
  </si>
  <si>
    <t>08.07.26</t>
  </si>
  <si>
    <t>Burnt Hena</t>
  </si>
  <si>
    <t>Golden Yellow</t>
  </si>
  <si>
    <t>30588 19th</t>
  </si>
  <si>
    <t>Flint Stone</t>
  </si>
  <si>
    <t>Purple Gumdrop</t>
  </si>
  <si>
    <t>27204 57th</t>
  </si>
  <si>
    <t>27204 58th</t>
  </si>
  <si>
    <t>13.09.26</t>
  </si>
  <si>
    <t>Miss Selfridge</t>
  </si>
  <si>
    <t>INDOMS33612</t>
  </si>
  <si>
    <t>Disty Pink Aop</t>
  </si>
  <si>
    <t>31.08.26</t>
  </si>
  <si>
    <t>41880 25th</t>
  </si>
  <si>
    <t>41873 12th</t>
  </si>
  <si>
    <t>14.09.26</t>
  </si>
  <si>
    <t>Ether</t>
  </si>
  <si>
    <t>Anise Flower</t>
  </si>
  <si>
    <t>48188 2nd</t>
  </si>
  <si>
    <t>22036 37th</t>
  </si>
  <si>
    <t>22036 38th</t>
  </si>
  <si>
    <t>43316 27th</t>
  </si>
  <si>
    <t>43321 25th</t>
  </si>
  <si>
    <t>18.09.26</t>
  </si>
  <si>
    <t>23325 17th</t>
  </si>
  <si>
    <t>Vintage Indigo</t>
  </si>
  <si>
    <t>29.09.26</t>
  </si>
  <si>
    <t>Whitecap Gray</t>
  </si>
  <si>
    <t>Nosegay</t>
  </si>
  <si>
    <t>Mole</t>
  </si>
  <si>
    <t>20.09.26</t>
  </si>
  <si>
    <t>Ultimate Grey</t>
  </si>
  <si>
    <t>44677 2nd</t>
  </si>
  <si>
    <t>Cayenne</t>
  </si>
  <si>
    <t>Corsage</t>
  </si>
  <si>
    <t>Soft Chambray</t>
  </si>
  <si>
    <t>07.11.26</t>
  </si>
  <si>
    <t>45154 2nd</t>
  </si>
  <si>
    <t>Winsome Orchid</t>
  </si>
  <si>
    <t>BAD3242</t>
  </si>
  <si>
    <t>Chocolate Brown+Chambray Blue</t>
  </si>
  <si>
    <t>18.08.26</t>
  </si>
  <si>
    <t>Ibis Rose</t>
  </si>
  <si>
    <t>45963 11th</t>
  </si>
  <si>
    <t>Strom Front</t>
  </si>
  <si>
    <t>Chambray</t>
  </si>
  <si>
    <t>Skyway</t>
  </si>
  <si>
    <t>Evenning Blue</t>
  </si>
  <si>
    <t>Catawba Grape Aop</t>
  </si>
  <si>
    <t>23.09.26</t>
  </si>
  <si>
    <t>41645 10th</t>
  </si>
  <si>
    <t>41645 9th</t>
  </si>
  <si>
    <t>41645 11th</t>
  </si>
  <si>
    <t>BAD2640</t>
  </si>
  <si>
    <t>BAD2927</t>
  </si>
  <si>
    <t>02.11.26</t>
  </si>
  <si>
    <t>Cameo Green</t>
  </si>
  <si>
    <t>Winter Twig</t>
  </si>
  <si>
    <t>03.11.26</t>
  </si>
  <si>
    <t>13251485/13255895</t>
  </si>
  <si>
    <t>Barberry</t>
  </si>
  <si>
    <t>Lichen</t>
  </si>
  <si>
    <t>13250999/13267095</t>
  </si>
  <si>
    <t>Verdant Green</t>
  </si>
  <si>
    <t>13250961/13267089</t>
  </si>
  <si>
    <t>19.09.26</t>
  </si>
  <si>
    <t>04.11.26</t>
  </si>
  <si>
    <t>Mauve Shadows-Top</t>
  </si>
  <si>
    <t>Mauve Shadows-Pant</t>
  </si>
  <si>
    <t>24230 23th</t>
  </si>
  <si>
    <t>47875 2nd</t>
  </si>
  <si>
    <t>BAD3224</t>
  </si>
  <si>
    <t>Zinfandel</t>
  </si>
  <si>
    <t>BAD0982</t>
  </si>
  <si>
    <t>44047 12th</t>
  </si>
  <si>
    <t>Rosebloom</t>
  </si>
  <si>
    <t>Chocolate Lab</t>
  </si>
  <si>
    <t>Chambray Blue</t>
  </si>
  <si>
    <t>46748 11th</t>
  </si>
  <si>
    <t>46748 12th</t>
  </si>
  <si>
    <t>22041 64th</t>
  </si>
  <si>
    <t>22041 63th</t>
  </si>
  <si>
    <t>22041 62th</t>
  </si>
  <si>
    <t>21.07.26</t>
  </si>
  <si>
    <t>43330 11th</t>
  </si>
  <si>
    <t>43319 21th</t>
  </si>
  <si>
    <t>Ballerina</t>
  </si>
  <si>
    <t>43326 13th</t>
  </si>
  <si>
    <t>43323 31th</t>
  </si>
  <si>
    <t>Violet Tulle</t>
  </si>
  <si>
    <t>26828 68th</t>
  </si>
  <si>
    <t>Turbulence</t>
  </si>
  <si>
    <t>Pink Nectar</t>
  </si>
  <si>
    <t>26828 73th</t>
  </si>
  <si>
    <t>26828 75th</t>
  </si>
  <si>
    <t>26827 52th</t>
  </si>
  <si>
    <t>Baked Clay</t>
  </si>
  <si>
    <t>26827 55th</t>
  </si>
  <si>
    <t>41626 26th</t>
  </si>
  <si>
    <t>42481 12th</t>
  </si>
  <si>
    <t>BAD1279/2431</t>
  </si>
  <si>
    <t>Cameo Rose</t>
  </si>
  <si>
    <t>28.09.26</t>
  </si>
  <si>
    <t>46304 2nd</t>
  </si>
  <si>
    <t>Duck Green</t>
  </si>
  <si>
    <t>46301 2nd</t>
  </si>
  <si>
    <t>46300 2nd</t>
  </si>
  <si>
    <t>46703 2nd</t>
  </si>
  <si>
    <t>BAD3165</t>
  </si>
  <si>
    <t>41637 9th</t>
  </si>
  <si>
    <t>Maroon</t>
  </si>
  <si>
    <t>44023 12th</t>
  </si>
  <si>
    <t>Peyote Melange Aop</t>
  </si>
  <si>
    <t>Burnished Lilac Aop</t>
  </si>
  <si>
    <t>Chocolate Plum Aop</t>
  </si>
  <si>
    <t>46491 4th</t>
  </si>
  <si>
    <t>Rose Brown</t>
  </si>
  <si>
    <t>23.07.26</t>
  </si>
  <si>
    <t>46309 5th</t>
  </si>
  <si>
    <t>Pageant Blue</t>
  </si>
  <si>
    <t>Cub</t>
  </si>
  <si>
    <t>46152 6th</t>
  </si>
  <si>
    <t>46152 8th</t>
  </si>
  <si>
    <t>Lt Taupe</t>
  </si>
  <si>
    <t>40675 11th</t>
  </si>
  <si>
    <t>44587 10th</t>
  </si>
  <si>
    <t>26.10.26</t>
  </si>
  <si>
    <t>Orchid Ice</t>
  </si>
  <si>
    <t>24.07.26</t>
  </si>
  <si>
    <t>40672 6th</t>
  </si>
  <si>
    <t>BAD0934</t>
  </si>
  <si>
    <t>40672 7th</t>
  </si>
  <si>
    <t>Violet Ice</t>
  </si>
  <si>
    <t>Mulled Basil</t>
  </si>
  <si>
    <t>44916 2nd</t>
  </si>
  <si>
    <t>09.11.26</t>
  </si>
  <si>
    <t>44675 2nd</t>
  </si>
  <si>
    <t>43316 26th</t>
  </si>
  <si>
    <t>45294 2nd</t>
  </si>
  <si>
    <t>BAD2540</t>
  </si>
  <si>
    <t>24.09.26</t>
  </si>
  <si>
    <t>23.11.26</t>
  </si>
  <si>
    <t>44672 5th</t>
  </si>
  <si>
    <t>Magenta</t>
  </si>
  <si>
    <t>44672 4th</t>
  </si>
  <si>
    <t>Sunlight</t>
  </si>
  <si>
    <t>Cloud Dancer-Simple</t>
  </si>
  <si>
    <t>Cloud Dancer-Lemon</t>
  </si>
  <si>
    <t>46494 3rd</t>
  </si>
  <si>
    <t>Tender Touch</t>
  </si>
  <si>
    <t>44019 17th</t>
  </si>
  <si>
    <t>41831 8th</t>
  </si>
  <si>
    <t>Pink Cosmos</t>
  </si>
  <si>
    <t>46493 3rd</t>
  </si>
  <si>
    <t>Dark Sapphire+B.White y/d</t>
  </si>
  <si>
    <t>Bright White+Dark Sapphire y/d</t>
  </si>
  <si>
    <t>Tender Touch+Blackberry yd/</t>
  </si>
  <si>
    <t>BAD3244</t>
  </si>
  <si>
    <t>Beigemelange</t>
  </si>
  <si>
    <t>BAD3246</t>
  </si>
  <si>
    <t>30011 21th</t>
  </si>
  <si>
    <t>12.10.26</t>
  </si>
  <si>
    <t>Cloud Dancer-Lady Denim</t>
  </si>
  <si>
    <t>Cloud Dancer-Lady Leopard Jacket</t>
  </si>
  <si>
    <t>Cloud Dancer-Lady Leopard Pant</t>
  </si>
  <si>
    <t>Cloud Dancer-Lemon Au soleil</t>
  </si>
  <si>
    <t>Cloud Dancer-Lemon Delce Vita</t>
  </si>
  <si>
    <t>Cloud Dancer-Lemon portofino</t>
  </si>
  <si>
    <t>Cloud Dancer-Lemon Positano</t>
  </si>
  <si>
    <t>Cloud Dancer-Scratced Foil</t>
  </si>
  <si>
    <t>Walnut</t>
  </si>
  <si>
    <t>30709 9th</t>
  </si>
  <si>
    <t>30710 12th</t>
  </si>
  <si>
    <t>30711 8th</t>
  </si>
  <si>
    <t>Forest Night</t>
  </si>
  <si>
    <t>28.07.26</t>
  </si>
  <si>
    <t>Citadel</t>
  </si>
  <si>
    <t>Spellbound</t>
  </si>
  <si>
    <t>Peyote-Top</t>
  </si>
  <si>
    <t>Mulled Basil-Pant</t>
  </si>
  <si>
    <t>Peyote-Pant</t>
  </si>
  <si>
    <t>Dawn Pink-Top</t>
  </si>
  <si>
    <t>Dawn Pink-Pant</t>
  </si>
  <si>
    <t>Peyote Aop-Romper</t>
  </si>
  <si>
    <t>Citadel-Pant</t>
  </si>
  <si>
    <t>47047 2nd</t>
  </si>
  <si>
    <t>48199 3rd</t>
  </si>
  <si>
    <t>47818 3rd</t>
  </si>
  <si>
    <t>Rosin</t>
  </si>
  <si>
    <t>Forest Fog</t>
  </si>
  <si>
    <t>Black Onyx</t>
  </si>
  <si>
    <t>46491 5th</t>
  </si>
  <si>
    <t>29.07.26</t>
  </si>
  <si>
    <t>45750 2nd</t>
  </si>
  <si>
    <t>Bright White-Blue Squirtle</t>
  </si>
  <si>
    <t>Bright White-Yellow Pikachu</t>
  </si>
  <si>
    <t>Bright White-Green Bulbasaur</t>
  </si>
  <si>
    <t>Bright White-Red Charmander</t>
  </si>
  <si>
    <t>21.08.26</t>
  </si>
  <si>
    <t>French Vanilla</t>
  </si>
  <si>
    <t>Pickled Pepper</t>
  </si>
  <si>
    <t>BAD1056</t>
  </si>
  <si>
    <t>44281 2nd</t>
  </si>
  <si>
    <t>BAD2913</t>
  </si>
  <si>
    <t>29.08.26</t>
  </si>
  <si>
    <t>BAD2522</t>
  </si>
  <si>
    <t>27711 15th</t>
  </si>
  <si>
    <t>03.10.26</t>
  </si>
  <si>
    <t>Cloud Dancer-Viva La Vida</t>
  </si>
  <si>
    <t>Cloud Dancer-Chic</t>
  </si>
  <si>
    <t>45093 3rd</t>
  </si>
  <si>
    <t>BAD2961</t>
  </si>
  <si>
    <t>31.07.26</t>
  </si>
  <si>
    <t>Crockery</t>
  </si>
  <si>
    <t>Forget-Me-Not</t>
  </si>
  <si>
    <t>Orchid Ice Aop</t>
  </si>
  <si>
    <t>13224958/13229872</t>
  </si>
  <si>
    <t>13224957/13229878</t>
  </si>
  <si>
    <t>25.10.26</t>
  </si>
  <si>
    <t>13253226/13256039</t>
  </si>
  <si>
    <t>13259688/13261406</t>
  </si>
  <si>
    <t>22041 65th</t>
  </si>
  <si>
    <t>Pink Carnation</t>
  </si>
  <si>
    <t>68663/68664/68665</t>
  </si>
  <si>
    <t>30703 12th</t>
  </si>
  <si>
    <t>46499 2nd</t>
  </si>
  <si>
    <t>06.08.26</t>
  </si>
  <si>
    <t>NC</t>
  </si>
  <si>
    <t>Sample</t>
  </si>
  <si>
    <t>07.08.26</t>
  </si>
  <si>
    <t>ANTHONY'S</t>
  </si>
  <si>
    <t>SPAJKT-038</t>
  </si>
  <si>
    <t>Khaki</t>
  </si>
  <si>
    <t>21.12.26</t>
  </si>
  <si>
    <t>13251009/13256010</t>
  </si>
  <si>
    <t>Tapestry</t>
  </si>
  <si>
    <t>Carafe</t>
  </si>
  <si>
    <t>Nosegay Aop</t>
  </si>
  <si>
    <t>Nosegay+C/D y/d</t>
  </si>
  <si>
    <t>Coffee Quartz+Nosegay y/d</t>
  </si>
  <si>
    <t>19.12.26</t>
  </si>
  <si>
    <t>C/D+Lichen y/d</t>
  </si>
  <si>
    <t>13262944/13267100</t>
  </si>
  <si>
    <t>Coffee Quartz Aop</t>
  </si>
  <si>
    <t>Pink Frosting</t>
  </si>
  <si>
    <t>Serenity</t>
  </si>
  <si>
    <t>Summer Sand</t>
  </si>
  <si>
    <t>Pure Cashmere</t>
  </si>
  <si>
    <t>30.11.26</t>
  </si>
  <si>
    <t>Blue Haze</t>
  </si>
  <si>
    <t>Lavendula</t>
  </si>
  <si>
    <t>07.12.26</t>
  </si>
  <si>
    <t>Pink Drink</t>
  </si>
  <si>
    <t>White Alyssum Aop</t>
  </si>
  <si>
    <t>White Alyssum Aop-Top</t>
  </si>
  <si>
    <t>05.09.26</t>
  </si>
  <si>
    <t>11.08.26</t>
  </si>
  <si>
    <t>Lilas</t>
  </si>
  <si>
    <t>41875 16th</t>
  </si>
  <si>
    <t>45317 5th</t>
  </si>
  <si>
    <t>45315 5th</t>
  </si>
  <si>
    <t>26766 20th</t>
  </si>
  <si>
    <t>44840 8th</t>
  </si>
  <si>
    <t>C/D+Mermaid y/d</t>
  </si>
  <si>
    <t>C/D+Navy Blazer y/d</t>
  </si>
  <si>
    <t>12.08.26</t>
  </si>
  <si>
    <t>22035 71th</t>
  </si>
  <si>
    <t>22035 72th</t>
  </si>
  <si>
    <t>Cinder</t>
  </si>
  <si>
    <t>Popcorn</t>
  </si>
  <si>
    <t>11.01.27</t>
  </si>
  <si>
    <t>22035 73th</t>
  </si>
  <si>
    <t>Harbor Gray</t>
  </si>
  <si>
    <t>Marina</t>
  </si>
  <si>
    <t>44115 14th</t>
  </si>
  <si>
    <t>44115 15th</t>
  </si>
  <si>
    <t>Chocolate Plum+French y/d</t>
  </si>
  <si>
    <t>Pickled Pepper+C/D y/d</t>
  </si>
  <si>
    <t>Violet Tulle+Chocolate y/d</t>
  </si>
  <si>
    <t>47950 2nd</t>
  </si>
  <si>
    <t>Black+Gradenia y/d</t>
  </si>
  <si>
    <t>Mocha Meringue+Gradenia y/d</t>
  </si>
  <si>
    <t>Delicioso+Gradenia y/d</t>
  </si>
  <si>
    <t>High Risk Red+ Gradenia y/d</t>
  </si>
  <si>
    <t>Italian Plum+Pink y/d</t>
  </si>
  <si>
    <t>Chocolate Brow+Angel Falls y/d</t>
  </si>
  <si>
    <t>Mocha Meringue+Pumic Stone y/d</t>
  </si>
  <si>
    <t>28.12.26</t>
  </si>
  <si>
    <t>Pale Aqua</t>
  </si>
  <si>
    <t>Med Grey Melange</t>
  </si>
  <si>
    <t>Fondue Fudge</t>
  </si>
  <si>
    <t>13.08.26</t>
  </si>
  <si>
    <t>29402 44th</t>
  </si>
  <si>
    <t>29402 43th</t>
  </si>
  <si>
    <t>Granita</t>
  </si>
  <si>
    <t>29402 45th</t>
  </si>
  <si>
    <t>29402 46th</t>
  </si>
  <si>
    <t>16.11.26</t>
  </si>
  <si>
    <t>15386645/5395981</t>
  </si>
  <si>
    <t>15386646/15395980</t>
  </si>
  <si>
    <t>Cashmere Blue</t>
  </si>
  <si>
    <t>C/D+Night Sky y/d</t>
  </si>
  <si>
    <t>C/D+Parfait Pink y/d</t>
  </si>
  <si>
    <t>Begonia Pink</t>
  </si>
  <si>
    <t>27204 59th</t>
  </si>
  <si>
    <t>27204 60th</t>
  </si>
  <si>
    <t>27204 61th</t>
  </si>
  <si>
    <t>27204 62th</t>
  </si>
  <si>
    <t>44114 7th</t>
  </si>
  <si>
    <t>Willow</t>
  </si>
  <si>
    <t>48139 2nd</t>
  </si>
  <si>
    <t>C/D+Black y/d</t>
  </si>
  <si>
    <t>Chcocolate Plum</t>
  </si>
  <si>
    <t>271TSHFTT519-6172</t>
  </si>
  <si>
    <t>Pink Dogwood</t>
  </si>
  <si>
    <t>Bird's Egg Green</t>
  </si>
  <si>
    <t>271TSHFTT519S-6172</t>
  </si>
  <si>
    <t>Coconut Milk+Black y/d</t>
  </si>
  <si>
    <t>Urban Red+Coconut Milk y/d</t>
  </si>
  <si>
    <t>05.10.26</t>
  </si>
  <si>
    <t>Bright White Aop-Cherries</t>
  </si>
  <si>
    <t>Bright White Aop-Strawberry</t>
  </si>
  <si>
    <t>Bright White-Bees</t>
  </si>
  <si>
    <t>Bright White-Shell Ice Water</t>
  </si>
  <si>
    <t>Ice Water</t>
  </si>
  <si>
    <t>Lt Grey Melange Aop</t>
  </si>
  <si>
    <t>Violet Tulle+Evening Blue y/d</t>
  </si>
  <si>
    <t>Little Boy Blue+Evening Blue y/d</t>
  </si>
  <si>
    <t>271TRO017-6153</t>
  </si>
  <si>
    <t>44020 12th</t>
  </si>
  <si>
    <t>42946 10th</t>
  </si>
  <si>
    <t>44669 2nd</t>
  </si>
  <si>
    <t>44668 2nd</t>
  </si>
  <si>
    <t>21.11.26</t>
  </si>
  <si>
    <t>17.10.26</t>
  </si>
  <si>
    <t>Coconut Milk</t>
  </si>
  <si>
    <t>Black-Moustachelisa</t>
  </si>
  <si>
    <t>Black-Bubblegum</t>
  </si>
  <si>
    <t>44671 2nd</t>
  </si>
  <si>
    <t>Frosty Green</t>
  </si>
  <si>
    <t>Mineral Red</t>
  </si>
  <si>
    <t>46303 2nd</t>
  </si>
  <si>
    <t>19.10.26</t>
  </si>
  <si>
    <t>44663 3rd</t>
  </si>
  <si>
    <t>42946 8th</t>
  </si>
  <si>
    <t>Pink Lady+Burgundy y/d</t>
  </si>
  <si>
    <t>Port Royale+Birch y/d</t>
  </si>
  <si>
    <t>Chicory Coffee+Black y/d</t>
  </si>
  <si>
    <t>42946 9th</t>
  </si>
  <si>
    <t>30588 20th</t>
  </si>
  <si>
    <t>43317 18th</t>
  </si>
  <si>
    <t>Nosegay+Barberry y/d</t>
  </si>
  <si>
    <t>Mole+Nosegay y/d</t>
  </si>
  <si>
    <t>Whitecap Gray+Mole y/d</t>
  </si>
  <si>
    <t>271VST0211SB-901</t>
  </si>
  <si>
    <t>Hused Violet</t>
  </si>
  <si>
    <t>271VST0210BS-901</t>
  </si>
  <si>
    <t>271TSH561-6140</t>
  </si>
  <si>
    <t>Stalactite</t>
  </si>
  <si>
    <t>271NDG214-903</t>
  </si>
  <si>
    <t>262TSH085-6140</t>
  </si>
  <si>
    <t>Barely Pink</t>
  </si>
  <si>
    <t>262TSH026-6140</t>
  </si>
  <si>
    <t>Chalk Pink</t>
  </si>
  <si>
    <t>271POL025-6140</t>
  </si>
  <si>
    <t>Suger Swizzle Aop</t>
  </si>
  <si>
    <t>46748 13th</t>
  </si>
  <si>
    <t>44198 5th</t>
  </si>
  <si>
    <t>Rose Violet+Birch y/d</t>
  </si>
  <si>
    <t>Cayenne+Cloud Cream y/d</t>
  </si>
  <si>
    <t>Candy Pink+Birch y/d</t>
  </si>
  <si>
    <t>Amparo Blue+Chocolate Brown y/d</t>
  </si>
  <si>
    <t>Black+Birch y/d</t>
  </si>
  <si>
    <t>Soft Chambray+Black Coffee y/d</t>
  </si>
  <si>
    <t>271TSH006-6153</t>
  </si>
  <si>
    <t>Lucent White</t>
  </si>
  <si>
    <t>44077 8th</t>
  </si>
  <si>
    <t>Shark</t>
  </si>
  <si>
    <t>Faded Denim</t>
  </si>
  <si>
    <t>Whisper White</t>
  </si>
  <si>
    <t>Twill</t>
  </si>
  <si>
    <t>Seagrass</t>
  </si>
  <si>
    <t>Meteorite</t>
  </si>
  <si>
    <t>Caribou</t>
  </si>
  <si>
    <t>Monksrobe</t>
  </si>
  <si>
    <t>Stellar</t>
  </si>
  <si>
    <t>Chinchilla</t>
  </si>
  <si>
    <t>Winter Moss</t>
  </si>
  <si>
    <t>44077 9th</t>
  </si>
  <si>
    <t>2524991/4704991</t>
  </si>
  <si>
    <t>White+Black y/d</t>
  </si>
  <si>
    <t>25.08.26</t>
  </si>
  <si>
    <t>45691 2nd</t>
  </si>
  <si>
    <t>19.08.26</t>
  </si>
  <si>
    <t>41787 33th</t>
  </si>
  <si>
    <t>15.09.26</t>
  </si>
  <si>
    <t>271TSHT184W-6084</t>
  </si>
  <si>
    <t>Salute</t>
  </si>
  <si>
    <t>Aloe</t>
  </si>
  <si>
    <t>Celery</t>
  </si>
  <si>
    <t>19.01.27</t>
  </si>
  <si>
    <t>Lacy Lilac Aop</t>
  </si>
  <si>
    <t>Strawberry Moon Aop</t>
  </si>
  <si>
    <t>Creamed Corn Aop</t>
  </si>
  <si>
    <t>Strawberry Moon</t>
  </si>
  <si>
    <t>13251273/13267083</t>
  </si>
  <si>
    <t xml:space="preserve">Lacy Lilac </t>
  </si>
  <si>
    <t>Creamed Corn</t>
  </si>
  <si>
    <t>271LEG002-6153</t>
  </si>
  <si>
    <t>Pirate Black</t>
  </si>
  <si>
    <t>13263133/13256007</t>
  </si>
  <si>
    <t>Lacy Lilac</t>
  </si>
  <si>
    <t>24.10.26</t>
  </si>
  <si>
    <t>40671 14th</t>
  </si>
  <si>
    <t>Almond</t>
  </si>
  <si>
    <t>40671 13th</t>
  </si>
  <si>
    <t>40671 12th</t>
  </si>
  <si>
    <t>41948 5th</t>
  </si>
  <si>
    <t>BAD0984</t>
  </si>
  <si>
    <t>43430 6th</t>
  </si>
  <si>
    <t>BAD2549</t>
  </si>
  <si>
    <t>Bordeaux</t>
  </si>
  <si>
    <t>Bordeaux+Egret y/d</t>
  </si>
  <si>
    <t>44277 4th</t>
  </si>
  <si>
    <t>BAD2903</t>
  </si>
  <si>
    <t>Rose Smoke</t>
  </si>
  <si>
    <t>Dark Olive</t>
  </si>
  <si>
    <t>41833 5th</t>
  </si>
  <si>
    <t>43337 6th</t>
  </si>
  <si>
    <t>BAD1633</t>
  </si>
  <si>
    <t>Burgundy</t>
  </si>
  <si>
    <t>43333 5th</t>
  </si>
  <si>
    <t>BAD1545</t>
  </si>
  <si>
    <t>Black+White y/d</t>
  </si>
  <si>
    <t>20.08.26</t>
  </si>
  <si>
    <t>44076 18th</t>
  </si>
  <si>
    <t>Blue Fog</t>
  </si>
  <si>
    <t>Pelican</t>
  </si>
  <si>
    <t>Hedge Green</t>
  </si>
  <si>
    <t>Purple Ash</t>
  </si>
  <si>
    <t>Dusty Rose</t>
  </si>
  <si>
    <t>Iceberg Green</t>
  </si>
  <si>
    <t>Sky way</t>
  </si>
  <si>
    <t>44076 19th</t>
  </si>
  <si>
    <t>44076 20th</t>
  </si>
  <si>
    <t>Cloud Dancer-Flower love</t>
  </si>
  <si>
    <t>Cloud Dancer-Pasta</t>
  </si>
  <si>
    <t>48202 2nd</t>
  </si>
  <si>
    <t>Mazarine Blue</t>
  </si>
  <si>
    <t>271TSH009-6153</t>
  </si>
  <si>
    <t>Lilac Snow</t>
  </si>
  <si>
    <t>26.09.26</t>
  </si>
  <si>
    <t>271SWT072-227</t>
  </si>
  <si>
    <t>Peyote Aop</t>
  </si>
  <si>
    <t>43316 29th</t>
  </si>
  <si>
    <t>43316 28th</t>
  </si>
  <si>
    <t>44842 10th</t>
  </si>
  <si>
    <t>Dark Sapphire Aop</t>
  </si>
  <si>
    <t>43321 26th</t>
  </si>
  <si>
    <t>43325 15th</t>
  </si>
  <si>
    <t>44023 13th</t>
  </si>
  <si>
    <t xml:space="preserve">Burnished Lilac </t>
  </si>
  <si>
    <t>43323 35th</t>
  </si>
  <si>
    <t>Winesome Orchid</t>
  </si>
  <si>
    <t>43323 34th</t>
  </si>
  <si>
    <t>43327 17th</t>
  </si>
  <si>
    <t>43327 16th</t>
  </si>
  <si>
    <t>48203 2nd</t>
  </si>
  <si>
    <t>Lavender Fog Aop</t>
  </si>
  <si>
    <t>Sheer Blue</t>
  </si>
  <si>
    <t>Chalk Violet</t>
  </si>
  <si>
    <t>Sweet Dreams</t>
  </si>
  <si>
    <t>Cashmere Blue Aop</t>
  </si>
  <si>
    <t>Bright White Aop-Hearts/Barbados Cherry</t>
  </si>
  <si>
    <t>Bright White Aop-Chrries</t>
  </si>
  <si>
    <t>Orchid Petal</t>
  </si>
  <si>
    <t>Left Over</t>
  </si>
  <si>
    <t>26827 56th</t>
  </si>
  <si>
    <t>26827 57th</t>
  </si>
  <si>
    <t>Twilight Mave y/d</t>
  </si>
  <si>
    <t>48188 3rd</t>
  </si>
  <si>
    <t>29251 14th</t>
  </si>
  <si>
    <t>26.08.26</t>
  </si>
  <si>
    <t>27.08.26</t>
  </si>
  <si>
    <t>Eggplant</t>
  </si>
  <si>
    <t>Spring Lake</t>
  </si>
  <si>
    <t>271POL074-227</t>
  </si>
  <si>
    <t>48245 2nd</t>
  </si>
  <si>
    <t>28.08.26</t>
  </si>
  <si>
    <t>01.11.26</t>
  </si>
  <si>
    <t>30.10.26</t>
  </si>
  <si>
    <t>Lava Smoke</t>
  </si>
  <si>
    <t>271TSH073-227/271TSH073W-227</t>
  </si>
  <si>
    <t>04.10.26</t>
  </si>
  <si>
    <t>Laurel Green</t>
  </si>
  <si>
    <t>Corsage+Bright White y/d</t>
  </si>
  <si>
    <t>Bright White+Begonia Pink y/d</t>
  </si>
  <si>
    <t>Plaza Taupe</t>
  </si>
  <si>
    <t>Almond Milk</t>
  </si>
  <si>
    <t>271TSH010-6153</t>
  </si>
  <si>
    <t>Lt Grey Melange+Lucent White y/d</t>
  </si>
  <si>
    <t>271PJA019AG2-6111</t>
  </si>
  <si>
    <t>Med Grey Melange Aop</t>
  </si>
  <si>
    <t>46491 6th</t>
  </si>
  <si>
    <t>46491 7th</t>
  </si>
  <si>
    <t>46491 8th</t>
  </si>
  <si>
    <t>271TSH111-6156</t>
  </si>
  <si>
    <t>46616 4th</t>
  </si>
  <si>
    <t>26828 78th</t>
  </si>
  <si>
    <t>26828 79th</t>
  </si>
  <si>
    <t>26828 80th</t>
  </si>
  <si>
    <t>42483 7th</t>
  </si>
  <si>
    <t>Black-Harmony Infinite Spaces</t>
  </si>
  <si>
    <t>Black-Hand Eye</t>
  </si>
  <si>
    <t>Black-Mount Fuji</t>
  </si>
  <si>
    <t>Black-Valencia</t>
  </si>
  <si>
    <t>Black-Broken Abyss</t>
  </si>
  <si>
    <t>271SWT093-6140</t>
  </si>
  <si>
    <t>First Blush</t>
  </si>
  <si>
    <t>271TSH065-6140</t>
  </si>
  <si>
    <t>271TSH087-6140</t>
  </si>
  <si>
    <t>Brilliant White Aop</t>
  </si>
  <si>
    <t>271PJA021PD4-6111</t>
  </si>
  <si>
    <t>Beech</t>
  </si>
  <si>
    <t>271HTS001SET-244</t>
  </si>
  <si>
    <t>Gossamer Pink-Hat</t>
  </si>
  <si>
    <t>Gossamer Pink-Skirf</t>
  </si>
  <si>
    <t>271HTS504JB-5192/271HTS505-5192</t>
  </si>
  <si>
    <t>Parsian Night</t>
  </si>
  <si>
    <t>271HTS501SET-5192</t>
  </si>
  <si>
    <t>Navel Academy-Hat</t>
  </si>
  <si>
    <t>Navel Academy-Skirf</t>
  </si>
  <si>
    <t>Chocolate Plum+Violet Tulle</t>
  </si>
  <si>
    <t>01.09.26</t>
  </si>
  <si>
    <t>271MMP007CMS13-6111</t>
  </si>
  <si>
    <t>Black Aop</t>
  </si>
  <si>
    <t>Grey Melange Aop</t>
  </si>
  <si>
    <t>Amparo Blue</t>
  </si>
  <si>
    <t>Magenta Purple+Tofu y/d</t>
  </si>
  <si>
    <t>Orchid Bloom</t>
  </si>
  <si>
    <t>Cashmere Rose</t>
  </si>
  <si>
    <t>Magenta Purple</t>
  </si>
  <si>
    <t>48532 2nd</t>
  </si>
  <si>
    <t>Phantom+Bright y/d</t>
  </si>
  <si>
    <t>Primrose Pink+Cayenne y/d</t>
  </si>
  <si>
    <t>Bel Air Blue+Primrose y/d</t>
  </si>
  <si>
    <t>02.09.26</t>
  </si>
  <si>
    <t>Cutting, Print, Embroidery, Input Production Report ( Month Of September '2026)</t>
  </si>
  <si>
    <t>Month Of  September G : Total Cutting</t>
  </si>
  <si>
    <t>Month Of September Working  Day</t>
  </si>
  <si>
    <t>Month Of September Avarage  Cutting</t>
  </si>
  <si>
    <t>271TSH184-6154</t>
  </si>
  <si>
    <t>OFF White</t>
  </si>
  <si>
    <t>Vintage Indigo+Jet Stream y/d</t>
  </si>
  <si>
    <t>Sepia+Jet stream y/d</t>
  </si>
  <si>
    <t>Green Milieu y/d</t>
  </si>
  <si>
    <t>Vintage Indigo y/d</t>
  </si>
  <si>
    <t>03.09.26</t>
  </si>
  <si>
    <t>271MMP006CMS12-6111</t>
  </si>
  <si>
    <t>271NDG003DRSL-6111</t>
  </si>
  <si>
    <t>22040 27th</t>
  </si>
  <si>
    <t>22040 28th</t>
  </si>
  <si>
    <t>48302 2nd</t>
  </si>
  <si>
    <t>Black Coffee+Birch y/d</t>
  </si>
  <si>
    <t>Birch+Winetasting y/d</t>
  </si>
  <si>
    <t>Black Coffee+Orchid Pink y/d</t>
  </si>
  <si>
    <t>22034 55th</t>
  </si>
  <si>
    <t>22035 74th</t>
  </si>
  <si>
    <t>271NDG213-903</t>
  </si>
  <si>
    <t>271TSH090-227</t>
  </si>
  <si>
    <t>Bitter Sweat+Pink Drink y/d</t>
  </si>
  <si>
    <t>Med Grey Melange Aop-Top</t>
  </si>
  <si>
    <t>Med Grey Melange Aop-Bottom</t>
  </si>
  <si>
    <t>White Alyssum Aop-Bottom</t>
  </si>
  <si>
    <t>Country Air Aop-Top</t>
  </si>
  <si>
    <t>Country Air Aop-Bottom</t>
  </si>
  <si>
    <t>04.09.26</t>
  </si>
  <si>
    <t>41712 16th</t>
  </si>
  <si>
    <t>41712 15th</t>
  </si>
  <si>
    <t>21004 36th</t>
  </si>
  <si>
    <t>43969 40th</t>
  </si>
  <si>
    <t>Double Cream</t>
  </si>
  <si>
    <t>French Roast</t>
  </si>
  <si>
    <t>Green Lily</t>
  </si>
  <si>
    <t>Dusk</t>
  </si>
  <si>
    <t>08.11.26</t>
  </si>
  <si>
    <t>43969 41th</t>
  </si>
  <si>
    <t>26030 22th</t>
  </si>
  <si>
    <t>26030 23th</t>
  </si>
  <si>
    <t>26030 24th</t>
  </si>
  <si>
    <t>41836 9th</t>
  </si>
  <si>
    <t>Chocolate Martini</t>
  </si>
  <si>
    <t>Iguana</t>
  </si>
  <si>
    <t>41836 10th</t>
  </si>
  <si>
    <t>Italian Straw</t>
  </si>
  <si>
    <t>Cornflower Blue</t>
  </si>
  <si>
    <t>41836 11th</t>
  </si>
  <si>
    <t>48158 2nd</t>
  </si>
  <si>
    <t>271HTS002SET-244</t>
  </si>
  <si>
    <t>Nosegay- Hat</t>
  </si>
  <si>
    <t>Nosegay- Skirf</t>
  </si>
  <si>
    <t>Cloud Dancer-Pink</t>
  </si>
  <si>
    <t>Cloud Dancer-Gold and Red</t>
  </si>
  <si>
    <t>Mermaid</t>
  </si>
  <si>
    <t>14.12.26</t>
  </si>
  <si>
    <t>Black+C/D y/d</t>
  </si>
  <si>
    <t>Night Sky+C/D y/d</t>
  </si>
  <si>
    <t>Night Sky+Sun Kissed Coral y/d</t>
  </si>
  <si>
    <t>Balsam Green+C/D y/d</t>
  </si>
  <si>
    <t>Jadeite</t>
  </si>
  <si>
    <t>Purple Haze</t>
  </si>
  <si>
    <t>Mars Red</t>
  </si>
  <si>
    <t>43102 7th</t>
  </si>
  <si>
    <t>Candy Pink+Marina+B.W y/d</t>
  </si>
  <si>
    <t>Anise Flower Aop Sia ditsy</t>
  </si>
  <si>
    <t>Candy Pink</t>
  </si>
  <si>
    <t>Anise Flower+Cashmere Blue y/d</t>
  </si>
  <si>
    <t>Sweet Dreams Aop</t>
  </si>
  <si>
    <t xml:space="preserve">Anise Flower Aop </t>
  </si>
  <si>
    <t>48610 1st</t>
  </si>
  <si>
    <t>Primrose Pink</t>
  </si>
  <si>
    <t>Re-cut for sewing rejection</t>
  </si>
  <si>
    <t>06.10.26</t>
  </si>
  <si>
    <t>271SWTFTT524-6172</t>
  </si>
  <si>
    <t>271SWTFTT513-6172</t>
  </si>
  <si>
    <t>Fox Glove</t>
  </si>
  <si>
    <t>271TROFTB90-6172</t>
  </si>
  <si>
    <t>16.10.26</t>
  </si>
  <si>
    <t>271SWTFTT521-6172</t>
  </si>
  <si>
    <t>Safari RFD</t>
  </si>
  <si>
    <t>Med Grey RFD</t>
  </si>
  <si>
    <t>271TSH006-222</t>
  </si>
  <si>
    <t>Burnt Olive</t>
  </si>
  <si>
    <t>46615 8th</t>
  </si>
  <si>
    <t>14.11.26</t>
  </si>
  <si>
    <t>46615 9th</t>
  </si>
  <si>
    <t>47709 2nd</t>
  </si>
  <si>
    <t>48619 2nd</t>
  </si>
  <si>
    <t>271HTS507JB/508JB/613JB-5162</t>
  </si>
  <si>
    <t>Martini Olive</t>
  </si>
  <si>
    <t>Blue Blush</t>
  </si>
  <si>
    <t>271HTS004JB-244</t>
  </si>
  <si>
    <t>271HTS611JB-5192</t>
  </si>
  <si>
    <t>Insignia Blue</t>
  </si>
  <si>
    <t>271HTS610JB-5192</t>
  </si>
  <si>
    <t>271HTS104JB-244</t>
  </si>
  <si>
    <t>271HTS007JB-244</t>
  </si>
  <si>
    <t>Sand Dollar</t>
  </si>
  <si>
    <t>271HTS506JB-5192</t>
  </si>
  <si>
    <t>Black Oyster</t>
  </si>
  <si>
    <t>271HTS005JB-244</t>
  </si>
  <si>
    <t>271SWT110-282</t>
  </si>
  <si>
    <t>Mustang</t>
  </si>
  <si>
    <t>45964 13th</t>
  </si>
  <si>
    <t>45964 14th</t>
  </si>
  <si>
    <t>46748 15th</t>
  </si>
  <si>
    <t>46748 14th</t>
  </si>
  <si>
    <t>46748 16th</t>
  </si>
  <si>
    <t>45964 15th</t>
  </si>
  <si>
    <t>45964 16th</t>
  </si>
  <si>
    <t>11.09.26</t>
  </si>
  <si>
    <t>Evening Blue-Top</t>
  </si>
  <si>
    <t>Black+White y/d-Top</t>
  </si>
  <si>
    <t>Black+White y/d-Pant</t>
  </si>
  <si>
    <t>Black-Pant</t>
  </si>
  <si>
    <t>Cloud Dancer-Top</t>
  </si>
  <si>
    <t>26827 58th</t>
  </si>
  <si>
    <t>Cloud Dancer-Pant</t>
  </si>
  <si>
    <t>Early Hours Aop-Top</t>
  </si>
  <si>
    <t>Early Hours Aop-Pant</t>
  </si>
  <si>
    <t>Med Grey Melange Aop-Pant</t>
  </si>
  <si>
    <t>Gray Morn Aop-Top</t>
  </si>
  <si>
    <t>Gray Morn Aop-Pant</t>
  </si>
  <si>
    <t>41626 27th</t>
  </si>
  <si>
    <t>271TSH091-227</t>
  </si>
  <si>
    <t>271JOG090-6140</t>
  </si>
  <si>
    <t>Ski Petrol</t>
  </si>
  <si>
    <t>Red-Pant</t>
  </si>
  <si>
    <t>Cloud Dancer Aop-Sia Ditsy</t>
  </si>
  <si>
    <t>Marina+Candy Pink y/d</t>
  </si>
  <si>
    <t>Anise Flower Aop-Sia Ditsy</t>
  </si>
  <si>
    <t>Candy Pink Aop-Sia Ditsy</t>
  </si>
  <si>
    <t>48615 2nd</t>
  </si>
  <si>
    <t>48299 2nd</t>
  </si>
  <si>
    <t>Bright White-Universe</t>
  </si>
  <si>
    <t>Bright White-Self Love</t>
  </si>
  <si>
    <t>Bright White-Pastry</t>
  </si>
  <si>
    <t>48299 3rd</t>
  </si>
  <si>
    <t>48620 2nd</t>
  </si>
  <si>
    <t>27204 63th</t>
  </si>
  <si>
    <t>Mauve Mist</t>
  </si>
  <si>
    <t>Bitter Chocolate</t>
  </si>
  <si>
    <t>27204 64th</t>
  </si>
  <si>
    <t>27204 65th</t>
  </si>
  <si>
    <t>Wild Orchid</t>
  </si>
  <si>
    <t>27204 66th</t>
  </si>
  <si>
    <t>27204 67th</t>
  </si>
  <si>
    <t>27204 68th</t>
  </si>
  <si>
    <t>26828 76th</t>
  </si>
  <si>
    <t>26828 81th</t>
  </si>
  <si>
    <t>26828 82th</t>
  </si>
  <si>
    <t>44047 13th</t>
  </si>
  <si>
    <t>45150 5th</t>
  </si>
  <si>
    <t>BAD2992</t>
  </si>
  <si>
    <t>Light Taupe</t>
  </si>
  <si>
    <t>26582 9th</t>
  </si>
  <si>
    <t>Cloud Dancer-Mojave</t>
  </si>
  <si>
    <t>Cloud Dancer+Black y/d</t>
  </si>
  <si>
    <t>Chalk Pink+Windsor Wine y/d</t>
  </si>
  <si>
    <t>Port Royale+Chambray Blue y/d</t>
  </si>
  <si>
    <t>Cloud Dancer+Brown y/d</t>
  </si>
  <si>
    <t>Pink Lady+Windsor Wine y/d</t>
  </si>
  <si>
    <t>Cloud Dancer+Chicory Coffee</t>
  </si>
  <si>
    <t>45330 2nd</t>
  </si>
  <si>
    <t>15374392/15388414/15388415</t>
  </si>
  <si>
    <t>45314 6th</t>
  </si>
  <si>
    <t>41873 13th</t>
  </si>
  <si>
    <t>41875 17th</t>
  </si>
  <si>
    <t>45320 7th</t>
  </si>
  <si>
    <t>45313 11th</t>
  </si>
  <si>
    <t>45317 6th</t>
  </si>
  <si>
    <t>48189 2nd</t>
  </si>
  <si>
    <t>47066 4th</t>
  </si>
  <si>
    <t>44700 5th</t>
  </si>
  <si>
    <t>30530 5th</t>
  </si>
  <si>
    <t>46309 6th</t>
  </si>
  <si>
    <t>271TSH170-6154</t>
  </si>
  <si>
    <t>Off White/Green</t>
  </si>
  <si>
    <t>271TRO093-6156</t>
  </si>
  <si>
    <t>Lt Blue</t>
  </si>
  <si>
    <t>47070 2nd</t>
  </si>
  <si>
    <t>26970 60th</t>
  </si>
  <si>
    <t>47819 2nd</t>
  </si>
  <si>
    <t>Sepia+Birch y/d</t>
  </si>
  <si>
    <t>271TSH008-223</t>
  </si>
  <si>
    <t>Magnet Gray</t>
  </si>
  <si>
    <t>Sun-Dried Tomato</t>
  </si>
  <si>
    <t>46236 2nd</t>
  </si>
  <si>
    <t>46322 2nd</t>
  </si>
  <si>
    <t>26970 61th</t>
  </si>
  <si>
    <t>44262 8th</t>
  </si>
  <si>
    <t>Dune</t>
  </si>
  <si>
    <t>22028692/22042219</t>
  </si>
  <si>
    <t>Naval Academy</t>
  </si>
  <si>
    <t>48153 2nd</t>
  </si>
  <si>
    <t>04.01.27</t>
  </si>
  <si>
    <t>48283 2nd</t>
  </si>
  <si>
    <t>48283 3rd</t>
  </si>
  <si>
    <t>Vintage Khaki</t>
  </si>
  <si>
    <t>43629 5th</t>
  </si>
  <si>
    <t>Orchid Hush</t>
  </si>
  <si>
    <t>48551 1st</t>
  </si>
  <si>
    <t>Pink Pattern</t>
  </si>
  <si>
    <t>16.09.26</t>
  </si>
  <si>
    <t>17.09.26</t>
  </si>
  <si>
    <t>Production Date:17.09.26</t>
  </si>
  <si>
    <t xml:space="preserve">               Report Date :18.09.2026</t>
  </si>
  <si>
    <t>44945 5th</t>
  </si>
  <si>
    <t>28.11.26</t>
  </si>
  <si>
    <t>43663 9th</t>
  </si>
  <si>
    <t>Chutney</t>
  </si>
  <si>
    <t>43663 10th</t>
  </si>
  <si>
    <t>Canyon Rose</t>
  </si>
  <si>
    <t>Capuccino</t>
  </si>
  <si>
    <t>41947 27th</t>
  </si>
  <si>
    <t>BAD2554/984</t>
  </si>
  <si>
    <t>Camel</t>
  </si>
  <si>
    <t>Spectrum Blue</t>
  </si>
  <si>
    <t>Rose Bloom</t>
  </si>
  <si>
    <t>Grey Flannel</t>
  </si>
  <si>
    <t>40668 9th</t>
  </si>
  <si>
    <t>14.10.26</t>
  </si>
  <si>
    <t>BAD3254</t>
  </si>
  <si>
    <t>44587 11th</t>
  </si>
  <si>
    <t>43306 19th</t>
  </si>
  <si>
    <t>BAD1368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</si>
</sst>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;[Red]0"/>
    <numFmt numFmtId="165" formatCode="0.000%"/>
  </numFmts>
  <fonts count="242" x14ac:knownFonts="1">
    <font>
      <sz val="11"/>
      <color theme="1"/>
      <name val="Century Gothic"/>
      <family val="2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0"/>
      <color indexed="8"/>
      <name val="Arial"/>
      <family val="2"/>
    </font>
    <font>
      <b/>
      <sz val="12"/>
      <color indexed="8"/>
      <name val="Calibri"/>
      <family val="2"/>
    </font>
    <font>
      <sz val="12"/>
      <color indexed="8"/>
      <name val="Arial"/>
      <family val="2"/>
    </font>
    <font>
      <sz val="10"/>
      <color indexed="8"/>
      <name val="Calibri"/>
      <family val="2"/>
    </font>
    <font>
      <sz val="18"/>
      <color indexed="8"/>
      <name val="Arial"/>
      <family val="2"/>
    </font>
    <font>
      <sz val="14"/>
      <color indexed="8"/>
      <name val="Calibri"/>
      <family val="2"/>
    </font>
    <font>
      <sz val="10"/>
      <color indexed="8"/>
      <name val="Engravers MT"/>
      <family val="1"/>
    </font>
    <font>
      <sz val="12"/>
      <color indexed="8"/>
      <name val="Book Antiqua"/>
      <family val="1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stellar"/>
      <family val="1"/>
    </font>
    <font>
      <b/>
      <sz val="12"/>
      <color indexed="57"/>
      <name val="Calibri"/>
      <family val="2"/>
    </font>
    <font>
      <b/>
      <sz val="13"/>
      <color indexed="8"/>
      <name val="Calibri"/>
      <family val="2"/>
    </font>
    <font>
      <sz val="8"/>
      <color indexed="8"/>
      <name val="Arial"/>
      <family val="2"/>
    </font>
    <font>
      <b/>
      <sz val="16"/>
      <color indexed="10"/>
      <name val="Calibri"/>
      <family val="2"/>
    </font>
    <font>
      <sz val="16"/>
      <color indexed="8"/>
      <name val="Calibri"/>
      <family val="2"/>
    </font>
    <font>
      <b/>
      <sz val="14"/>
      <color indexed="8"/>
      <name val="Calibri"/>
      <family val="2"/>
    </font>
    <font>
      <b/>
      <sz val="14"/>
      <name val="Calibri"/>
      <family val="2"/>
    </font>
    <font>
      <b/>
      <sz val="12"/>
      <color indexed="8"/>
      <name val="Arial"/>
      <family val="2"/>
    </font>
    <font>
      <sz val="10.5"/>
      <color indexed="8"/>
      <name val="Arial"/>
      <family val="2"/>
    </font>
    <font>
      <sz val="10.5"/>
      <name val="Arial"/>
      <family val="2"/>
    </font>
    <font>
      <b/>
      <sz val="11.5"/>
      <color indexed="8"/>
      <name val="Arial"/>
      <family val="2"/>
    </font>
    <font>
      <sz val="11.5"/>
      <color indexed="8"/>
      <name val="Arial"/>
      <family val="2"/>
    </font>
    <font>
      <sz val="11"/>
      <color indexed="8"/>
      <name val="Arial"/>
      <family val="2"/>
    </font>
    <font>
      <b/>
      <sz val="11.5"/>
      <name val="Arial"/>
      <family val="2"/>
    </font>
    <font>
      <b/>
      <sz val="10.5"/>
      <color indexed="8"/>
      <name val="Arial"/>
      <family val="2"/>
    </font>
    <font>
      <b/>
      <sz val="10.5"/>
      <name val="Arial"/>
      <family val="2"/>
    </font>
    <font>
      <b/>
      <sz val="16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.5"/>
      <name val="Arial"/>
      <family val="2"/>
    </font>
    <font>
      <b/>
      <sz val="16"/>
      <color indexed="8"/>
      <name val="Calibri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entury Gothic"/>
      <family val="2"/>
    </font>
    <font>
      <sz val="10"/>
      <name val="Century Gothic"/>
      <family val="1"/>
    </font>
    <font>
      <b/>
      <sz val="11"/>
      <color indexed="8"/>
      <name val="Century Gothic"/>
      <family val="2"/>
    </font>
    <font>
      <sz val="10"/>
      <color indexed="56"/>
      <name val="Calibri"/>
      <family val="2"/>
    </font>
    <font>
      <b/>
      <sz val="14"/>
      <color indexed="8"/>
      <name val="Century Gothic"/>
      <family val="2"/>
    </font>
    <font>
      <b/>
      <sz val="18"/>
      <color indexed="8"/>
      <name val="Calibri"/>
      <family val="2"/>
    </font>
    <font>
      <sz val="10"/>
      <name val="Arial"/>
      <family val="2"/>
    </font>
    <font>
      <sz val="11"/>
      <color theme="1"/>
      <name val="Century Gothic"/>
      <family val="2"/>
    </font>
    <font>
      <sz val="11"/>
      <color theme="1"/>
      <name val="Agency FB"/>
      <family val="2"/>
    </font>
    <font>
      <sz val="11"/>
      <color theme="0"/>
      <name val="Century Gothic"/>
      <family val="2"/>
    </font>
    <font>
      <b/>
      <sz val="11"/>
      <color rgb="FFFA7D00"/>
      <name val="Agency FB"/>
      <family val="2"/>
    </font>
    <font>
      <i/>
      <sz val="11"/>
      <color rgb="FF7F7F7F"/>
      <name val="Century Gothic"/>
      <family val="2"/>
    </font>
    <font>
      <sz val="11"/>
      <color rgb="FF006100"/>
      <name val="Century Gothic"/>
      <family val="2"/>
    </font>
    <font>
      <b/>
      <sz val="15"/>
      <color theme="3"/>
      <name val="Century Gothic"/>
      <family val="2"/>
    </font>
    <font>
      <b/>
      <sz val="13"/>
      <color theme="3"/>
      <name val="Century Gothic"/>
      <family val="2"/>
    </font>
    <font>
      <b/>
      <sz val="11"/>
      <color theme="3"/>
      <name val="Century Gothic"/>
      <family val="2"/>
    </font>
    <font>
      <sz val="11"/>
      <color rgb="FF3F3F76"/>
      <name val="Agency FB"/>
      <family val="2"/>
    </font>
    <font>
      <sz val="11"/>
      <color rgb="FFFA7D00"/>
      <name val="Century Gothic"/>
      <family val="2"/>
    </font>
    <font>
      <sz val="11"/>
      <color rgb="FF9C6500"/>
      <name val="Century Gothic"/>
      <family val="2"/>
    </font>
    <font>
      <b/>
      <sz val="18"/>
      <color theme="3"/>
      <name val="Century Gothic"/>
      <family val="2"/>
    </font>
    <font>
      <b/>
      <sz val="11"/>
      <color theme="1"/>
      <name val="Century Gothic"/>
      <family val="2"/>
    </font>
    <font>
      <sz val="11"/>
      <color rgb="FFFF0000"/>
      <name val="Century Gothic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9C65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0"/>
      <name val="Century Gothic"/>
      <family val="1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927">
    <xf numFmtId="0" fontId="0" fillId="0" borderId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206" fillId="31" borderId="0" applyNumberFormat="0" applyBorder="0" applyAlignment="0" applyProtection="0"/>
    <xf numFmtId="0" fontId="206" fillId="31" borderId="0" applyNumberFormat="0" applyBorder="0" applyAlignment="0" applyProtection="0"/>
    <xf numFmtId="0" fontId="206" fillId="31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82" fillId="12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82" fillId="9" borderId="0" applyNumberFormat="0" applyBorder="0" applyAlignment="0" applyProtection="0"/>
    <xf numFmtId="0" fontId="82" fillId="9" borderId="0" applyNumberFormat="0" applyBorder="0" applyAlignment="0" applyProtection="0"/>
    <xf numFmtId="0" fontId="82" fillId="9" borderId="0" applyNumberFormat="0" applyBorder="0" applyAlignment="0" applyProtection="0"/>
    <xf numFmtId="0" fontId="82" fillId="9" borderId="0" applyNumberFormat="0" applyBorder="0" applyAlignment="0" applyProtection="0"/>
    <xf numFmtId="0" fontId="82" fillId="9" borderId="0" applyNumberFormat="0" applyBorder="0" applyAlignment="0" applyProtection="0"/>
    <xf numFmtId="0" fontId="82" fillId="9" borderId="0" applyNumberFormat="0" applyBorder="0" applyAlignment="0" applyProtection="0"/>
    <xf numFmtId="0" fontId="82" fillId="9" borderId="0" applyNumberFormat="0" applyBorder="0" applyAlignment="0" applyProtection="0"/>
    <xf numFmtId="0" fontId="82" fillId="9" borderId="0" applyNumberFormat="0" applyBorder="0" applyAlignment="0" applyProtection="0"/>
    <xf numFmtId="0" fontId="82" fillId="9" borderId="0" applyNumberFormat="0" applyBorder="0" applyAlignment="0" applyProtection="0"/>
    <xf numFmtId="0" fontId="82" fillId="9" borderId="0" applyNumberFormat="0" applyBorder="0" applyAlignment="0" applyProtection="0"/>
    <xf numFmtId="0" fontId="82" fillId="9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82" fillId="1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82" fillId="14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82" fillId="15" borderId="0" applyNumberFormat="0" applyBorder="0" applyAlignment="0" applyProtection="0"/>
    <xf numFmtId="0" fontId="82" fillId="15" borderId="0" applyNumberFormat="0" applyBorder="0" applyAlignment="0" applyProtection="0"/>
    <xf numFmtId="0" fontId="82" fillId="15" borderId="0" applyNumberFormat="0" applyBorder="0" applyAlignment="0" applyProtection="0"/>
    <xf numFmtId="0" fontId="82" fillId="15" borderId="0" applyNumberFormat="0" applyBorder="0" applyAlignment="0" applyProtection="0"/>
    <xf numFmtId="0" fontId="82" fillId="15" borderId="0" applyNumberFormat="0" applyBorder="0" applyAlignment="0" applyProtection="0"/>
    <xf numFmtId="0" fontId="82" fillId="15" borderId="0" applyNumberFormat="0" applyBorder="0" applyAlignment="0" applyProtection="0"/>
    <xf numFmtId="0" fontId="82" fillId="15" borderId="0" applyNumberFormat="0" applyBorder="0" applyAlignment="0" applyProtection="0"/>
    <xf numFmtId="0" fontId="82" fillId="15" borderId="0" applyNumberFormat="0" applyBorder="0" applyAlignment="0" applyProtection="0"/>
    <xf numFmtId="0" fontId="82" fillId="15" borderId="0" applyNumberFormat="0" applyBorder="0" applyAlignment="0" applyProtection="0"/>
    <xf numFmtId="0" fontId="82" fillId="15" borderId="0" applyNumberFormat="0" applyBorder="0" applyAlignment="0" applyProtection="0"/>
    <xf numFmtId="0" fontId="82" fillId="15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82" fillId="16" borderId="0" applyNumberFormat="0" applyBorder="0" applyAlignment="0" applyProtection="0"/>
    <xf numFmtId="0" fontId="82" fillId="16" borderId="0" applyNumberFormat="0" applyBorder="0" applyAlignment="0" applyProtection="0"/>
    <xf numFmtId="0" fontId="82" fillId="16" borderId="0" applyNumberFormat="0" applyBorder="0" applyAlignment="0" applyProtection="0"/>
    <xf numFmtId="0" fontId="82" fillId="16" borderId="0" applyNumberFormat="0" applyBorder="0" applyAlignment="0" applyProtection="0"/>
    <xf numFmtId="0" fontId="82" fillId="16" borderId="0" applyNumberFormat="0" applyBorder="0" applyAlignment="0" applyProtection="0"/>
    <xf numFmtId="0" fontId="82" fillId="16" borderId="0" applyNumberFormat="0" applyBorder="0" applyAlignment="0" applyProtection="0"/>
    <xf numFmtId="0" fontId="82" fillId="16" borderId="0" applyNumberFormat="0" applyBorder="0" applyAlignment="0" applyProtection="0"/>
    <xf numFmtId="0" fontId="82" fillId="16" borderId="0" applyNumberFormat="0" applyBorder="0" applyAlignment="0" applyProtection="0"/>
    <xf numFmtId="0" fontId="82" fillId="16" borderId="0" applyNumberFormat="0" applyBorder="0" applyAlignment="0" applyProtection="0"/>
    <xf numFmtId="0" fontId="82" fillId="16" borderId="0" applyNumberFormat="0" applyBorder="0" applyAlignment="0" applyProtection="0"/>
    <xf numFmtId="0" fontId="82" fillId="16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82" fillId="17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82" fillId="13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207" fillId="0" borderId="0" applyNumberFormat="0" applyBorder="0" applyAlignment="0" applyProtection="0"/>
    <xf numFmtId="0" fontId="82" fillId="14" borderId="0" applyNumberFormat="0" applyBorder="0" applyAlignment="0" applyProtection="0"/>
    <xf numFmtId="0" fontId="82" fillId="19" borderId="0" applyNumberFormat="0" applyBorder="0" applyAlignment="0" applyProtection="0"/>
    <xf numFmtId="0" fontId="83" fillId="3" borderId="0" applyNumberFormat="0" applyBorder="0" applyAlignment="0" applyProtection="0"/>
    <xf numFmtId="0" fontId="84" fillId="20" borderId="1" applyNumberFormat="0" applyAlignment="0" applyProtection="0"/>
    <xf numFmtId="0" fontId="208" fillId="32" borderId="16" applyNumberFormat="0" applyAlignment="0" applyProtection="0"/>
    <xf numFmtId="0" fontId="208" fillId="32" borderId="16" applyNumberFormat="0" applyAlignment="0" applyProtection="0"/>
    <xf numFmtId="0" fontId="208" fillId="32" borderId="16" applyNumberFormat="0" applyAlignment="0" applyProtection="0"/>
    <xf numFmtId="0" fontId="85" fillId="21" borderId="2" applyNumberFormat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8" fillId="0" borderId="0" applyFon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10" fillId="0" borderId="0" applyNumberFormat="0" applyBorder="0" applyAlignment="0" applyProtection="0"/>
    <xf numFmtId="0" fontId="210" fillId="0" borderId="0" applyNumberFormat="0" applyBorder="0" applyAlignment="0" applyProtection="0"/>
    <xf numFmtId="0" fontId="210" fillId="0" borderId="0" applyNumberFormat="0" applyBorder="0" applyAlignment="0" applyProtection="0"/>
    <xf numFmtId="0" fontId="87" fillId="4" borderId="0" applyNumberFormat="0" applyBorder="0" applyAlignment="0" applyProtection="0"/>
    <xf numFmtId="0" fontId="87" fillId="4" borderId="0" applyNumberFormat="0" applyBorder="0" applyAlignment="0" applyProtection="0"/>
    <xf numFmtId="0" fontId="87" fillId="4" borderId="0" applyNumberFormat="0" applyBorder="0" applyAlignment="0" applyProtection="0"/>
    <xf numFmtId="0" fontId="87" fillId="4" borderId="0" applyNumberFormat="0" applyBorder="0" applyAlignment="0" applyProtection="0"/>
    <xf numFmtId="0" fontId="87" fillId="4" borderId="0" applyNumberFormat="0" applyBorder="0" applyAlignment="0" applyProtection="0"/>
    <xf numFmtId="0" fontId="87" fillId="4" borderId="0" applyNumberFormat="0" applyBorder="0" applyAlignment="0" applyProtection="0"/>
    <xf numFmtId="0" fontId="87" fillId="4" borderId="0" applyNumberFormat="0" applyBorder="0" applyAlignment="0" applyProtection="0"/>
    <xf numFmtId="0" fontId="87" fillId="4" borderId="0" applyNumberFormat="0" applyBorder="0" applyAlignment="0" applyProtection="0"/>
    <xf numFmtId="0" fontId="87" fillId="4" borderId="0" applyNumberFormat="0" applyBorder="0" applyAlignment="0" applyProtection="0"/>
    <xf numFmtId="0" fontId="87" fillId="4" borderId="0" applyNumberFormat="0" applyBorder="0" applyAlignment="0" applyProtection="0"/>
    <xf numFmtId="0" fontId="87" fillId="4" borderId="0" applyNumberFormat="0" applyBorder="0" applyAlignment="0" applyProtection="0"/>
    <xf numFmtId="0" fontId="210" fillId="0" borderId="0" applyNumberFormat="0" applyBorder="0" applyAlignment="0" applyProtection="0"/>
    <xf numFmtId="0" fontId="210" fillId="0" borderId="0" applyNumberFormat="0" applyBorder="0" applyAlignment="0" applyProtection="0"/>
    <xf numFmtId="0" fontId="210" fillId="0" borderId="0" applyNumberFormat="0" applyBorder="0" applyAlignment="0" applyProtection="0"/>
    <xf numFmtId="0" fontId="210" fillId="0" borderId="0" applyNumberFormat="0" applyBorder="0" applyAlignment="0" applyProtection="0"/>
    <xf numFmtId="0" fontId="210" fillId="0" borderId="0" applyNumberFormat="0" applyBorder="0" applyAlignment="0" applyProtection="0"/>
    <xf numFmtId="0" fontId="210" fillId="0" borderId="0" applyNumberFormat="0" applyBorder="0" applyAlignment="0" applyProtection="0"/>
    <xf numFmtId="0" fontId="210" fillId="0" borderId="0" applyNumberFormat="0" applyBorder="0" applyAlignment="0" applyProtection="0"/>
    <xf numFmtId="0" fontId="211" fillId="0" borderId="17" applyNumberFormat="0" applyFill="0" applyAlignment="0" applyProtection="0"/>
    <xf numFmtId="0" fontId="211" fillId="0" borderId="17" applyNumberFormat="0" applyFill="0" applyAlignment="0" applyProtection="0"/>
    <xf numFmtId="0" fontId="211" fillId="0" borderId="17" applyNumberFormat="0" applyFill="0" applyAlignment="0" applyProtection="0"/>
    <xf numFmtId="0" fontId="52" fillId="0" borderId="3" applyNumberFormat="0" applyFill="0" applyAlignment="0" applyProtection="0"/>
    <xf numFmtId="0" fontId="52" fillId="0" borderId="3" applyNumberFormat="0" applyFill="0" applyAlignment="0" applyProtection="0"/>
    <xf numFmtId="0" fontId="52" fillId="0" borderId="3" applyNumberFormat="0" applyFill="0" applyAlignment="0" applyProtection="0"/>
    <xf numFmtId="0" fontId="52" fillId="0" borderId="3" applyNumberFormat="0" applyFill="0" applyAlignment="0" applyProtection="0"/>
    <xf numFmtId="0" fontId="52" fillId="0" borderId="3" applyNumberFormat="0" applyFill="0" applyAlignment="0" applyProtection="0"/>
    <xf numFmtId="0" fontId="52" fillId="0" borderId="3" applyNumberFormat="0" applyFill="0" applyAlignment="0" applyProtection="0"/>
    <xf numFmtId="0" fontId="52" fillId="0" borderId="3" applyNumberFormat="0" applyFill="0" applyAlignment="0" applyProtection="0"/>
    <xf numFmtId="0" fontId="52" fillId="0" borderId="3" applyNumberFormat="0" applyFill="0" applyAlignment="0" applyProtection="0"/>
    <xf numFmtId="0" fontId="52" fillId="0" borderId="3" applyNumberFormat="0" applyFill="0" applyAlignment="0" applyProtection="0"/>
    <xf numFmtId="0" fontId="52" fillId="0" borderId="3" applyNumberFormat="0" applyFill="0" applyAlignment="0" applyProtection="0"/>
    <xf numFmtId="0" fontId="52" fillId="0" borderId="3" applyNumberFormat="0" applyFill="0" applyAlignment="0" applyProtection="0"/>
    <xf numFmtId="0" fontId="211" fillId="0" borderId="17" applyNumberFormat="0" applyFill="0" applyAlignment="0" applyProtection="0"/>
    <xf numFmtId="0" fontId="211" fillId="0" borderId="17" applyNumberFormat="0" applyFill="0" applyAlignment="0" applyProtection="0"/>
    <xf numFmtId="0" fontId="211" fillId="0" borderId="17" applyNumberFormat="0" applyFill="0" applyAlignment="0" applyProtection="0"/>
    <xf numFmtId="0" fontId="211" fillId="0" borderId="17" applyNumberFormat="0" applyFill="0" applyAlignment="0" applyProtection="0"/>
    <xf numFmtId="0" fontId="211" fillId="0" borderId="17" applyNumberFormat="0" applyFill="0" applyAlignment="0" applyProtection="0"/>
    <xf numFmtId="0" fontId="211" fillId="0" borderId="17" applyNumberFormat="0" applyFill="0" applyAlignment="0" applyProtection="0"/>
    <xf numFmtId="0" fontId="211" fillId="0" borderId="17" applyNumberFormat="0" applyFill="0" applyAlignment="0" applyProtection="0"/>
    <xf numFmtId="0" fontId="212" fillId="0" borderId="18" applyNumberFormat="0" applyFill="0" applyAlignment="0" applyProtection="0"/>
    <xf numFmtId="0" fontId="212" fillId="0" borderId="18" applyNumberFormat="0" applyFill="0" applyAlignment="0" applyProtection="0"/>
    <xf numFmtId="0" fontId="212" fillId="0" borderId="18" applyNumberFormat="0" applyFill="0" applyAlignment="0" applyProtection="0"/>
    <xf numFmtId="0" fontId="88" fillId="0" borderId="4" applyNumberFormat="0" applyFill="0" applyAlignment="0" applyProtection="0"/>
    <xf numFmtId="0" fontId="88" fillId="0" borderId="4" applyNumberFormat="0" applyFill="0" applyAlignment="0" applyProtection="0"/>
    <xf numFmtId="0" fontId="88" fillId="0" borderId="4" applyNumberFormat="0" applyFill="0" applyAlignment="0" applyProtection="0"/>
    <xf numFmtId="0" fontId="88" fillId="0" borderId="4" applyNumberFormat="0" applyFill="0" applyAlignment="0" applyProtection="0"/>
    <xf numFmtId="0" fontId="88" fillId="0" borderId="4" applyNumberFormat="0" applyFill="0" applyAlignment="0" applyProtection="0"/>
    <xf numFmtId="0" fontId="88" fillId="0" borderId="4" applyNumberFormat="0" applyFill="0" applyAlignment="0" applyProtection="0"/>
    <xf numFmtId="0" fontId="88" fillId="0" borderId="4" applyNumberFormat="0" applyFill="0" applyAlignment="0" applyProtection="0"/>
    <xf numFmtId="0" fontId="88" fillId="0" borderId="4" applyNumberFormat="0" applyFill="0" applyAlignment="0" applyProtection="0"/>
    <xf numFmtId="0" fontId="88" fillId="0" borderId="4" applyNumberFormat="0" applyFill="0" applyAlignment="0" applyProtection="0"/>
    <xf numFmtId="0" fontId="88" fillId="0" borderId="4" applyNumberFormat="0" applyFill="0" applyAlignment="0" applyProtection="0"/>
    <xf numFmtId="0" fontId="88" fillId="0" borderId="4" applyNumberFormat="0" applyFill="0" applyAlignment="0" applyProtection="0"/>
    <xf numFmtId="0" fontId="212" fillId="0" borderId="18" applyNumberFormat="0" applyFill="0" applyAlignment="0" applyProtection="0"/>
    <xf numFmtId="0" fontId="212" fillId="0" borderId="18" applyNumberFormat="0" applyFill="0" applyAlignment="0" applyProtection="0"/>
    <xf numFmtId="0" fontId="212" fillId="0" borderId="18" applyNumberFormat="0" applyFill="0" applyAlignment="0" applyProtection="0"/>
    <xf numFmtId="0" fontId="212" fillId="0" borderId="18" applyNumberFormat="0" applyFill="0" applyAlignment="0" applyProtection="0"/>
    <xf numFmtId="0" fontId="212" fillId="0" borderId="18" applyNumberFormat="0" applyFill="0" applyAlignment="0" applyProtection="0"/>
    <xf numFmtId="0" fontId="212" fillId="0" borderId="18" applyNumberFormat="0" applyFill="0" applyAlignment="0" applyProtection="0"/>
    <xf numFmtId="0" fontId="212" fillId="0" borderId="18" applyNumberFormat="0" applyFill="0" applyAlignment="0" applyProtection="0"/>
    <xf numFmtId="0" fontId="213" fillId="0" borderId="19" applyNumberFormat="0" applyFill="0" applyAlignment="0" applyProtection="0"/>
    <xf numFmtId="0" fontId="213" fillId="0" borderId="19" applyNumberFormat="0" applyFill="0" applyAlignment="0" applyProtection="0"/>
    <xf numFmtId="0" fontId="213" fillId="0" borderId="19" applyNumberFormat="0" applyFill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213" fillId="0" borderId="19" applyNumberFormat="0" applyFill="0" applyAlignment="0" applyProtection="0"/>
    <xf numFmtId="0" fontId="213" fillId="0" borderId="19" applyNumberFormat="0" applyFill="0" applyAlignment="0" applyProtection="0"/>
    <xf numFmtId="0" fontId="213" fillId="0" borderId="19" applyNumberFormat="0" applyFill="0" applyAlignment="0" applyProtection="0"/>
    <xf numFmtId="0" fontId="213" fillId="0" borderId="19" applyNumberFormat="0" applyFill="0" applyAlignment="0" applyProtection="0"/>
    <xf numFmtId="0" fontId="213" fillId="0" borderId="19" applyNumberFormat="0" applyFill="0" applyAlignment="0" applyProtection="0"/>
    <xf numFmtId="0" fontId="213" fillId="0" borderId="19" applyNumberFormat="0" applyFill="0" applyAlignment="0" applyProtection="0"/>
    <xf numFmtId="0" fontId="213" fillId="0" borderId="19" applyNumberFormat="0" applyFill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89" fillId="7" borderId="1" applyNumberFormat="0" applyAlignment="0" applyProtection="0"/>
    <xf numFmtId="0" fontId="214" fillId="33" borderId="16" applyNumberFormat="0" applyAlignment="0" applyProtection="0"/>
    <xf numFmtId="0" fontId="214" fillId="33" borderId="16" applyNumberFormat="0" applyAlignment="0" applyProtection="0"/>
    <xf numFmtId="0" fontId="214" fillId="33" borderId="16" applyNumberFormat="0" applyAlignment="0" applyProtection="0"/>
    <xf numFmtId="0" fontId="215" fillId="0" borderId="20" applyNumberFormat="0" applyFill="0" applyAlignment="0" applyProtection="0"/>
    <xf numFmtId="0" fontId="215" fillId="0" borderId="20" applyNumberFormat="0" applyFill="0" applyAlignment="0" applyProtection="0"/>
    <xf numFmtId="0" fontId="215" fillId="0" borderId="20" applyNumberFormat="0" applyFill="0" applyAlignment="0" applyProtection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90" fillId="0" borderId="6" applyNumberFormat="0" applyFill="0" applyAlignment="0" applyProtection="0"/>
    <xf numFmtId="0" fontId="215" fillId="0" borderId="20" applyNumberFormat="0" applyFill="0" applyAlignment="0" applyProtection="0"/>
    <xf numFmtId="0" fontId="215" fillId="0" borderId="20" applyNumberFormat="0" applyFill="0" applyAlignment="0" applyProtection="0"/>
    <xf numFmtId="0" fontId="215" fillId="0" borderId="20" applyNumberFormat="0" applyFill="0" applyAlignment="0" applyProtection="0"/>
    <xf numFmtId="0" fontId="215" fillId="0" borderId="20" applyNumberFormat="0" applyFill="0" applyAlignment="0" applyProtection="0"/>
    <xf numFmtId="0" fontId="215" fillId="0" borderId="20" applyNumberFormat="0" applyFill="0" applyAlignment="0" applyProtection="0"/>
    <xf numFmtId="0" fontId="215" fillId="0" borderId="20" applyNumberFormat="0" applyFill="0" applyAlignment="0" applyProtection="0"/>
    <xf numFmtId="0" fontId="215" fillId="0" borderId="20" applyNumberFormat="0" applyFill="0" applyAlignment="0" applyProtection="0"/>
    <xf numFmtId="0" fontId="216" fillId="0" borderId="0" applyNumberFormat="0" applyBorder="0" applyAlignment="0" applyProtection="0"/>
    <xf numFmtId="0" fontId="216" fillId="0" borderId="0" applyNumberFormat="0" applyBorder="0" applyAlignment="0" applyProtection="0"/>
    <xf numFmtId="0" fontId="216" fillId="0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216" fillId="0" borderId="0" applyNumberFormat="0" applyBorder="0" applyAlignment="0" applyProtection="0"/>
    <xf numFmtId="0" fontId="216" fillId="0" borderId="0" applyNumberFormat="0" applyBorder="0" applyAlignment="0" applyProtection="0"/>
    <xf numFmtId="0" fontId="216" fillId="0" borderId="0" applyNumberFormat="0" applyBorder="0" applyAlignment="0" applyProtection="0"/>
    <xf numFmtId="0" fontId="216" fillId="0" borderId="0" applyNumberFormat="0" applyBorder="0" applyAlignment="0" applyProtection="0"/>
    <xf numFmtId="0" fontId="216" fillId="0" borderId="0" applyNumberFormat="0" applyBorder="0" applyAlignment="0" applyProtection="0"/>
    <xf numFmtId="0" fontId="216" fillId="0" borderId="0" applyNumberFormat="0" applyBorder="0" applyAlignment="0" applyProtection="0"/>
    <xf numFmtId="0" fontId="216" fillId="0" borderId="0" applyNumberFormat="0" applyBorder="0" applyAlignment="0" applyProtection="0"/>
    <xf numFmtId="0" fontId="39" fillId="0" borderId="0"/>
    <xf numFmtId="0" fontId="39" fillId="0" borderId="0"/>
    <xf numFmtId="0" fontId="146" fillId="0" borderId="0"/>
    <xf numFmtId="0" fontId="39" fillId="0" borderId="0"/>
    <xf numFmtId="0" fontId="147" fillId="0" borderId="0"/>
    <xf numFmtId="0" fontId="39" fillId="0" borderId="0"/>
    <xf numFmtId="0" fontId="148" fillId="0" borderId="0"/>
    <xf numFmtId="0" fontId="39" fillId="0" borderId="0"/>
    <xf numFmtId="0" fontId="149" fillId="0" borderId="0"/>
    <xf numFmtId="0" fontId="39" fillId="0" borderId="0"/>
    <xf numFmtId="0" fontId="150" fillId="0" borderId="0"/>
    <xf numFmtId="0" fontId="39" fillId="0" borderId="0"/>
    <xf numFmtId="0" fontId="151" fillId="0" borderId="0"/>
    <xf numFmtId="0" fontId="39" fillId="0" borderId="0"/>
    <xf numFmtId="0" fontId="152" fillId="0" borderId="0"/>
    <xf numFmtId="0" fontId="39" fillId="0" borderId="0"/>
    <xf numFmtId="0" fontId="153" fillId="0" borderId="0"/>
    <xf numFmtId="0" fontId="39" fillId="0" borderId="0"/>
    <xf numFmtId="0" fontId="154" fillId="0" borderId="0"/>
    <xf numFmtId="0" fontId="39" fillId="0" borderId="0"/>
    <xf numFmtId="0" fontId="155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56" fillId="0" borderId="0"/>
    <xf numFmtId="0" fontId="39" fillId="0" borderId="0"/>
    <xf numFmtId="0" fontId="157" fillId="0" borderId="0"/>
    <xf numFmtId="0" fontId="39" fillId="0" borderId="0"/>
    <xf numFmtId="0" fontId="158" fillId="0" borderId="0"/>
    <xf numFmtId="0" fontId="39" fillId="0" borderId="0"/>
    <xf numFmtId="0" fontId="159" fillId="0" borderId="0"/>
    <xf numFmtId="0" fontId="39" fillId="0" borderId="0"/>
    <xf numFmtId="0" fontId="160" fillId="0" borderId="0"/>
    <xf numFmtId="0" fontId="39" fillId="0" borderId="0"/>
    <xf numFmtId="0" fontId="161" fillId="0" borderId="0"/>
    <xf numFmtId="0" fontId="39" fillId="0" borderId="0"/>
    <xf numFmtId="0" fontId="162" fillId="0" borderId="0"/>
    <xf numFmtId="0" fontId="39" fillId="0" borderId="0"/>
    <xf numFmtId="0" fontId="163" fillId="0" borderId="0"/>
    <xf numFmtId="0" fontId="39" fillId="0" borderId="0"/>
    <xf numFmtId="0" fontId="164" fillId="0" borderId="0"/>
    <xf numFmtId="0" fontId="39" fillId="0" borderId="0"/>
    <xf numFmtId="0" fontId="165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66" fillId="0" borderId="0"/>
    <xf numFmtId="0" fontId="39" fillId="0" borderId="0"/>
    <xf numFmtId="0" fontId="167" fillId="0" borderId="0"/>
    <xf numFmtId="0" fontId="39" fillId="0" borderId="0"/>
    <xf numFmtId="0" fontId="168" fillId="0" borderId="0"/>
    <xf numFmtId="0" fontId="39" fillId="0" borderId="0"/>
    <xf numFmtId="0" fontId="169" fillId="0" borderId="0"/>
    <xf numFmtId="0" fontId="39" fillId="0" borderId="0"/>
    <xf numFmtId="0" fontId="170" fillId="0" borderId="0"/>
    <xf numFmtId="0" fontId="39" fillId="0" borderId="0"/>
    <xf numFmtId="0" fontId="171" fillId="0" borderId="0"/>
    <xf numFmtId="0" fontId="39" fillId="0" borderId="0"/>
    <xf numFmtId="0" fontId="172" fillId="0" borderId="0"/>
    <xf numFmtId="0" fontId="39" fillId="0" borderId="0"/>
    <xf numFmtId="0" fontId="173" fillId="0" borderId="0"/>
    <xf numFmtId="0" fontId="39" fillId="0" borderId="0"/>
    <xf numFmtId="0" fontId="174" fillId="0" borderId="0"/>
    <xf numFmtId="0" fontId="39" fillId="0" borderId="0"/>
    <xf numFmtId="0" fontId="175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76" fillId="0" borderId="0"/>
    <xf numFmtId="0" fontId="39" fillId="0" borderId="0"/>
    <xf numFmtId="0" fontId="177" fillId="0" borderId="0"/>
    <xf numFmtId="0" fontId="39" fillId="0" borderId="0"/>
    <xf numFmtId="0" fontId="178" fillId="0" borderId="0"/>
    <xf numFmtId="0" fontId="39" fillId="0" borderId="0"/>
    <xf numFmtId="0" fontId="179" fillId="0" borderId="0"/>
    <xf numFmtId="0" fontId="39" fillId="0" borderId="0"/>
    <xf numFmtId="0" fontId="180" fillId="0" borderId="0"/>
    <xf numFmtId="0" fontId="39" fillId="0" borderId="0"/>
    <xf numFmtId="0" fontId="181" fillId="0" borderId="0"/>
    <xf numFmtId="0" fontId="39" fillId="0" borderId="0"/>
    <xf numFmtId="0" fontId="182" fillId="0" borderId="0"/>
    <xf numFmtId="0" fontId="39" fillId="0" borderId="0"/>
    <xf numFmtId="0" fontId="183" fillId="0" borderId="0"/>
    <xf numFmtId="0" fontId="39" fillId="0" borderId="0"/>
    <xf numFmtId="0" fontId="184" fillId="0" borderId="0"/>
    <xf numFmtId="0" fontId="185" fillId="0" borderId="0"/>
    <xf numFmtId="0" fontId="205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86" fillId="0" borderId="0"/>
    <xf numFmtId="0" fontId="187" fillId="0" borderId="0"/>
    <xf numFmtId="0" fontId="188" fillId="0" borderId="0"/>
    <xf numFmtId="0" fontId="189" fillId="0" borderId="0"/>
    <xf numFmtId="0" fontId="190" fillId="0" borderId="0"/>
    <xf numFmtId="0" fontId="191" fillId="0" borderId="0"/>
    <xf numFmtId="0" fontId="192" fillId="0" borderId="0"/>
    <xf numFmtId="0" fontId="193" fillId="0" borderId="0"/>
    <xf numFmtId="0" fontId="194" fillId="0" borderId="0"/>
    <xf numFmtId="0" fontId="19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96" fillId="0" borderId="0"/>
    <xf numFmtId="0" fontId="197" fillId="0" borderId="0"/>
    <xf numFmtId="0" fontId="204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39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99" fillId="0" borderId="0"/>
    <xf numFmtId="0" fontId="199" fillId="0" borderId="0"/>
    <xf numFmtId="0" fontId="199" fillId="0" borderId="0"/>
    <xf numFmtId="0" fontId="39" fillId="0" borderId="0"/>
    <xf numFmtId="0" fontId="3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19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99" fillId="0" borderId="0"/>
    <xf numFmtId="0" fontId="39" fillId="0" borderId="0"/>
    <xf numFmtId="0" fontId="39" fillId="0" borderId="0"/>
    <xf numFmtId="0" fontId="199" fillId="0" borderId="0"/>
    <xf numFmtId="0" fontId="39" fillId="0" borderId="0"/>
    <xf numFmtId="0" fontId="39" fillId="0" borderId="0"/>
    <xf numFmtId="0" fontId="205" fillId="0" borderId="0"/>
    <xf numFmtId="0" fontId="39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81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94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9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205" fillId="0" borderId="0"/>
    <xf numFmtId="0" fontId="205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96" fillId="0" borderId="0"/>
    <xf numFmtId="0" fontId="39" fillId="0" borderId="0"/>
    <xf numFmtId="0" fontId="97" fillId="0" borderId="0"/>
    <xf numFmtId="0" fontId="39" fillId="0" borderId="0"/>
    <xf numFmtId="0" fontId="98" fillId="0" borderId="0"/>
    <xf numFmtId="0" fontId="39" fillId="0" borderId="0"/>
    <xf numFmtId="0" fontId="99" fillId="0" borderId="0"/>
    <xf numFmtId="0" fontId="39" fillId="0" borderId="0"/>
    <xf numFmtId="0" fontId="100" fillId="0" borderId="0"/>
    <xf numFmtId="0" fontId="39" fillId="0" borderId="0"/>
    <xf numFmtId="0" fontId="101" fillId="0" borderId="0"/>
    <xf numFmtId="0" fontId="39" fillId="0" borderId="0"/>
    <xf numFmtId="0" fontId="102" fillId="0" borderId="0"/>
    <xf numFmtId="0" fontId="39" fillId="0" borderId="0"/>
    <xf numFmtId="0" fontId="103" fillId="0" borderId="0"/>
    <xf numFmtId="0" fontId="39" fillId="0" borderId="0"/>
    <xf numFmtId="0" fontId="104" fillId="0" borderId="0"/>
    <xf numFmtId="0" fontId="39" fillId="0" borderId="0"/>
    <xf numFmtId="0" fontId="105" fillId="0" borderId="0"/>
    <xf numFmtId="0" fontId="39" fillId="0" borderId="0"/>
    <xf numFmtId="0" fontId="205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06" fillId="0" borderId="0"/>
    <xf numFmtId="0" fontId="39" fillId="0" borderId="0"/>
    <xf numFmtId="0" fontId="107" fillId="0" borderId="0"/>
    <xf numFmtId="0" fontId="39" fillId="0" borderId="0"/>
    <xf numFmtId="0" fontId="108" fillId="0" borderId="0"/>
    <xf numFmtId="0" fontId="39" fillId="0" borderId="0"/>
    <xf numFmtId="0" fontId="109" fillId="0" borderId="0"/>
    <xf numFmtId="0" fontId="39" fillId="0" borderId="0"/>
    <xf numFmtId="0" fontId="110" fillId="0" borderId="0"/>
    <xf numFmtId="0" fontId="39" fillId="0" borderId="0"/>
    <xf numFmtId="0" fontId="111" fillId="0" borderId="0"/>
    <xf numFmtId="0" fontId="39" fillId="0" borderId="0"/>
    <xf numFmtId="0" fontId="112" fillId="0" borderId="0"/>
    <xf numFmtId="0" fontId="39" fillId="0" borderId="0"/>
    <xf numFmtId="0" fontId="113" fillId="0" borderId="0"/>
    <xf numFmtId="0" fontId="39" fillId="0" borderId="0"/>
    <xf numFmtId="0" fontId="114" fillId="0" borderId="0"/>
    <xf numFmtId="0" fontId="39" fillId="0" borderId="0"/>
    <xf numFmtId="0" fontId="11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16" fillId="0" borderId="0"/>
    <xf numFmtId="0" fontId="39" fillId="0" borderId="0"/>
    <xf numFmtId="0" fontId="117" fillId="0" borderId="0"/>
    <xf numFmtId="0" fontId="39" fillId="0" borderId="0"/>
    <xf numFmtId="0" fontId="118" fillId="0" borderId="0"/>
    <xf numFmtId="0" fontId="39" fillId="0" borderId="0"/>
    <xf numFmtId="0" fontId="119" fillId="0" borderId="0"/>
    <xf numFmtId="0" fontId="39" fillId="0" borderId="0"/>
    <xf numFmtId="0" fontId="120" fillId="0" borderId="0"/>
    <xf numFmtId="0" fontId="39" fillId="0" borderId="0"/>
    <xf numFmtId="0" fontId="121" fillId="0" borderId="0"/>
    <xf numFmtId="0" fontId="39" fillId="0" borderId="0"/>
    <xf numFmtId="0" fontId="122" fillId="0" borderId="0"/>
    <xf numFmtId="0" fontId="39" fillId="0" borderId="0"/>
    <xf numFmtId="0" fontId="123" fillId="0" borderId="0"/>
    <xf numFmtId="0" fontId="39" fillId="0" borderId="0"/>
    <xf numFmtId="0" fontId="124" fillId="0" borderId="0"/>
    <xf numFmtId="0" fontId="39" fillId="0" borderId="0"/>
    <xf numFmtId="0" fontId="125" fillId="0" borderId="0"/>
    <xf numFmtId="0" fontId="39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26" fillId="0" borderId="0"/>
    <xf numFmtId="0" fontId="39" fillId="0" borderId="0"/>
    <xf numFmtId="0" fontId="127" fillId="0" borderId="0"/>
    <xf numFmtId="0" fontId="39" fillId="0" borderId="0"/>
    <xf numFmtId="0" fontId="128" fillId="0" borderId="0"/>
    <xf numFmtId="0" fontId="39" fillId="0" borderId="0"/>
    <xf numFmtId="0" fontId="129" fillId="0" borderId="0"/>
    <xf numFmtId="0" fontId="39" fillId="0" borderId="0"/>
    <xf numFmtId="0" fontId="130" fillId="0" borderId="0"/>
    <xf numFmtId="0" fontId="39" fillId="0" borderId="0"/>
    <xf numFmtId="0" fontId="131" fillId="0" borderId="0"/>
    <xf numFmtId="0" fontId="39" fillId="0" borderId="0"/>
    <xf numFmtId="0" fontId="132" fillId="0" borderId="0"/>
    <xf numFmtId="0" fontId="39" fillId="0" borderId="0"/>
    <xf numFmtId="0" fontId="133" fillId="0" borderId="0"/>
    <xf numFmtId="0" fontId="39" fillId="0" borderId="0"/>
    <xf numFmtId="0" fontId="134" fillId="0" borderId="0"/>
    <xf numFmtId="0" fontId="39" fillId="0" borderId="0"/>
    <xf numFmtId="0" fontId="135" fillId="0" borderId="0"/>
    <xf numFmtId="0" fontId="39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9" fillId="0" borderId="0"/>
    <xf numFmtId="0" fontId="205" fillId="0" borderId="0"/>
    <xf numFmtId="0" fontId="205" fillId="0" borderId="0"/>
    <xf numFmtId="0" fontId="136" fillId="0" borderId="0"/>
    <xf numFmtId="0" fontId="39" fillId="0" borderId="0"/>
    <xf numFmtId="0" fontId="137" fillId="0" borderId="0"/>
    <xf numFmtId="0" fontId="39" fillId="0" borderId="0"/>
    <xf numFmtId="0" fontId="138" fillId="0" borderId="0"/>
    <xf numFmtId="0" fontId="39" fillId="0" borderId="0"/>
    <xf numFmtId="0" fontId="139" fillId="0" borderId="0"/>
    <xf numFmtId="0" fontId="39" fillId="0" borderId="0"/>
    <xf numFmtId="0" fontId="140" fillId="0" borderId="0"/>
    <xf numFmtId="0" fontId="39" fillId="0" borderId="0"/>
    <xf numFmtId="0" fontId="141" fillId="0" borderId="0"/>
    <xf numFmtId="0" fontId="39" fillId="0" borderId="0"/>
    <xf numFmtId="0" fontId="142" fillId="0" borderId="0"/>
    <xf numFmtId="0" fontId="39" fillId="0" borderId="0"/>
    <xf numFmtId="0" fontId="143" fillId="0" borderId="0"/>
    <xf numFmtId="0" fontId="39" fillId="0" borderId="0"/>
    <xf numFmtId="0" fontId="144" fillId="0" borderId="0"/>
    <xf numFmtId="0" fontId="39" fillId="0" borderId="0"/>
    <xf numFmtId="0" fontId="145" fillId="0" borderId="0"/>
    <xf numFmtId="0" fontId="39" fillId="0" borderId="0"/>
    <xf numFmtId="0" fontId="39" fillId="23" borderId="7" applyNumberFormat="0" applyFont="0" applyAlignment="0" applyProtection="0"/>
    <xf numFmtId="0" fontId="92" fillId="20" borderId="8" applyNumberFormat="0" applyAlignment="0" applyProtection="0"/>
    <xf numFmtId="9" fontId="42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98" fillId="0" borderId="0" applyFont="0" applyFill="0" applyBorder="0" applyAlignment="0" applyProtection="0"/>
    <xf numFmtId="0" fontId="21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218" fillId="0" borderId="21" applyNumberFormat="0" applyFill="0" applyAlignment="0" applyProtection="0"/>
    <xf numFmtId="0" fontId="218" fillId="0" borderId="21" applyNumberFormat="0" applyFill="0" applyAlignment="0" applyProtection="0"/>
    <xf numFmtId="0" fontId="218" fillId="0" borderId="21" applyNumberFormat="0" applyFill="0" applyAlignment="0" applyProtection="0"/>
    <xf numFmtId="0" fontId="56" fillId="0" borderId="9" applyNumberFormat="0" applyFill="0" applyAlignment="0" applyProtection="0"/>
    <xf numFmtId="0" fontId="56" fillId="0" borderId="9" applyNumberFormat="0" applyFill="0" applyAlignment="0" applyProtection="0"/>
    <xf numFmtId="0" fontId="56" fillId="0" borderId="9" applyNumberFormat="0" applyFill="0" applyAlignment="0" applyProtection="0"/>
    <xf numFmtId="0" fontId="56" fillId="0" borderId="9" applyNumberFormat="0" applyFill="0" applyAlignment="0" applyProtection="0"/>
    <xf numFmtId="0" fontId="56" fillId="0" borderId="9" applyNumberFormat="0" applyFill="0" applyAlignment="0" applyProtection="0"/>
    <xf numFmtId="0" fontId="56" fillId="0" borderId="9" applyNumberFormat="0" applyFill="0" applyAlignment="0" applyProtection="0"/>
    <xf numFmtId="0" fontId="56" fillId="0" borderId="9" applyNumberFormat="0" applyFill="0" applyAlignment="0" applyProtection="0"/>
    <xf numFmtId="0" fontId="56" fillId="0" borderId="9" applyNumberFormat="0" applyFill="0" applyAlignment="0" applyProtection="0"/>
    <xf numFmtId="0" fontId="56" fillId="0" borderId="9" applyNumberFormat="0" applyFill="0" applyAlignment="0" applyProtection="0"/>
    <xf numFmtId="0" fontId="56" fillId="0" borderId="9" applyNumberFormat="0" applyFill="0" applyAlignment="0" applyProtection="0"/>
    <xf numFmtId="0" fontId="56" fillId="0" borderId="9" applyNumberFormat="0" applyFill="0" applyAlignment="0" applyProtection="0"/>
    <xf numFmtId="0" fontId="218" fillId="0" borderId="21" applyNumberFormat="0" applyFill="0" applyAlignment="0" applyProtection="0"/>
    <xf numFmtId="0" fontId="218" fillId="0" borderId="21" applyNumberFormat="0" applyFill="0" applyAlignment="0" applyProtection="0"/>
    <xf numFmtId="0" fontId="218" fillId="0" borderId="21" applyNumberFormat="0" applyFill="0" applyAlignment="0" applyProtection="0"/>
    <xf numFmtId="0" fontId="218" fillId="0" borderId="21" applyNumberFormat="0" applyFill="0" applyAlignment="0" applyProtection="0"/>
    <xf numFmtId="0" fontId="218" fillId="0" borderId="21" applyNumberFormat="0" applyFill="0" applyAlignment="0" applyProtection="0"/>
    <xf numFmtId="0" fontId="218" fillId="0" borderId="21" applyNumberFormat="0" applyFill="0" applyAlignment="0" applyProtection="0"/>
    <xf numFmtId="0" fontId="218" fillId="0" borderId="21" applyNumberFormat="0" applyFill="0" applyAlignment="0" applyProtection="0"/>
    <xf numFmtId="0" fontId="219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219" fillId="0" borderId="0" applyNumberFormat="0" applyFill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29" fillId="0" borderId="0" applyNumberFormat="0" applyFill="0" applyBorder="0" applyAlignment="0" applyProtection="0"/>
    <xf numFmtId="0" fontId="232" fillId="0" borderId="0" applyNumberFormat="0" applyBorder="0" applyAlignment="0" applyProtection="0"/>
    <xf numFmtId="0" fontId="223" fillId="0" borderId="17" applyNumberFormat="0" applyFill="0" applyAlignment="0" applyProtection="0"/>
    <xf numFmtId="0" fontId="224" fillId="0" borderId="18" applyNumberFormat="0" applyFill="0" applyAlignment="0" applyProtection="0"/>
    <xf numFmtId="0" fontId="225" fillId="0" borderId="19" applyNumberFormat="0" applyFill="0" applyAlignment="0" applyProtection="0"/>
    <xf numFmtId="0" fontId="225" fillId="0" borderId="0" applyNumberFormat="0" applyFill="0" applyBorder="0" applyAlignment="0" applyProtection="0"/>
    <xf numFmtId="0" fontId="227" fillId="0" borderId="20" applyNumberFormat="0" applyFill="0" applyAlignment="0" applyProtection="0"/>
    <xf numFmtId="0" fontId="226" fillId="0" borderId="0" applyNumberFormat="0" applyBorder="0" applyAlignment="0" applyProtection="0"/>
    <xf numFmtId="0" fontId="222" fillId="0" borderId="0" applyNumberFormat="0" applyFill="0" applyBorder="0" applyAlignment="0" applyProtection="0"/>
    <xf numFmtId="0" fontId="230" fillId="0" borderId="21" applyNumberFormat="0" applyFill="0" applyAlignment="0" applyProtection="0"/>
    <xf numFmtId="0" fontId="22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33" fillId="0" borderId="0"/>
    <xf numFmtId="0" fontId="37" fillId="0" borderId="0"/>
    <xf numFmtId="0" fontId="233" fillId="0" borderId="0"/>
    <xf numFmtId="0" fontId="37" fillId="0" borderId="0"/>
    <xf numFmtId="0" fontId="2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29" fillId="0" borderId="0" applyNumberFormat="0" applyFill="0" applyBorder="0" applyAlignment="0" applyProtection="0"/>
    <xf numFmtId="0" fontId="229" fillId="0" borderId="0" applyNumberFormat="0" applyFill="0" applyBorder="0" applyAlignment="0" applyProtection="0"/>
    <xf numFmtId="0" fontId="229" fillId="0" borderId="0" applyNumberFormat="0" applyFill="0" applyBorder="0" applyAlignment="0" applyProtection="0"/>
    <xf numFmtId="0" fontId="229" fillId="0" borderId="0" applyNumberFormat="0" applyFill="0" applyBorder="0" applyAlignment="0" applyProtection="0"/>
    <xf numFmtId="0" fontId="229" fillId="0" borderId="0" applyNumberFormat="0" applyFill="0" applyBorder="0" applyAlignment="0" applyProtection="0"/>
    <xf numFmtId="0" fontId="229" fillId="0" borderId="0" applyNumberFormat="0" applyFill="0" applyBorder="0" applyAlignment="0" applyProtection="0"/>
    <xf numFmtId="0" fontId="229" fillId="0" borderId="0" applyNumberFormat="0" applyFill="0" applyBorder="0" applyAlignment="0" applyProtection="0"/>
    <xf numFmtId="0" fontId="229" fillId="0" borderId="0" applyNumberFormat="0" applyFill="0" applyBorder="0" applyAlignment="0" applyProtection="0"/>
    <xf numFmtId="0" fontId="229" fillId="0" borderId="0" applyNumberFormat="0" applyFill="0" applyBorder="0" applyAlignment="0" applyProtection="0"/>
    <xf numFmtId="0" fontId="232" fillId="0" borderId="0" applyNumberFormat="0" applyBorder="0" applyAlignment="0" applyProtection="0"/>
    <xf numFmtId="0" fontId="232" fillId="0" borderId="0" applyNumberFormat="0" applyBorder="0" applyAlignment="0" applyProtection="0"/>
    <xf numFmtId="0" fontId="232" fillId="0" borderId="0" applyNumberFormat="0" applyBorder="0" applyAlignment="0" applyProtection="0"/>
    <xf numFmtId="0" fontId="232" fillId="0" borderId="0" applyNumberFormat="0" applyBorder="0" applyAlignment="0" applyProtection="0"/>
    <xf numFmtId="0" fontId="232" fillId="0" borderId="0" applyNumberFormat="0" applyBorder="0" applyAlignment="0" applyProtection="0"/>
    <xf numFmtId="0" fontId="232" fillId="0" borderId="0" applyNumberFormat="0" applyBorder="0" applyAlignment="0" applyProtection="0"/>
    <xf numFmtId="0" fontId="232" fillId="0" borderId="0" applyNumberFormat="0" applyBorder="0" applyAlignment="0" applyProtection="0"/>
    <xf numFmtId="0" fontId="232" fillId="0" borderId="0" applyNumberFormat="0" applyBorder="0" applyAlignment="0" applyProtection="0"/>
    <xf numFmtId="0" fontId="232" fillId="0" borderId="0" applyNumberFormat="0" applyBorder="0" applyAlignment="0" applyProtection="0"/>
    <xf numFmtId="0" fontId="223" fillId="0" borderId="17" applyNumberFormat="0" applyFill="0" applyAlignment="0" applyProtection="0"/>
    <xf numFmtId="0" fontId="223" fillId="0" borderId="17" applyNumberFormat="0" applyFill="0" applyAlignment="0" applyProtection="0"/>
    <xf numFmtId="0" fontId="223" fillId="0" borderId="17" applyNumberFormat="0" applyFill="0" applyAlignment="0" applyProtection="0"/>
    <xf numFmtId="0" fontId="223" fillId="0" borderId="17" applyNumberFormat="0" applyFill="0" applyAlignment="0" applyProtection="0"/>
    <xf numFmtId="0" fontId="223" fillId="0" borderId="17" applyNumberFormat="0" applyFill="0" applyAlignment="0" applyProtection="0"/>
    <xf numFmtId="0" fontId="223" fillId="0" borderId="17" applyNumberFormat="0" applyFill="0" applyAlignment="0" applyProtection="0"/>
    <xf numFmtId="0" fontId="223" fillId="0" borderId="17" applyNumberFormat="0" applyFill="0" applyAlignment="0" applyProtection="0"/>
    <xf numFmtId="0" fontId="223" fillId="0" borderId="17" applyNumberFormat="0" applyFill="0" applyAlignment="0" applyProtection="0"/>
    <xf numFmtId="0" fontId="223" fillId="0" borderId="17" applyNumberFormat="0" applyFill="0" applyAlignment="0" applyProtection="0"/>
    <xf numFmtId="0" fontId="224" fillId="0" borderId="18" applyNumberFormat="0" applyFill="0" applyAlignment="0" applyProtection="0"/>
    <xf numFmtId="0" fontId="224" fillId="0" borderId="18" applyNumberFormat="0" applyFill="0" applyAlignment="0" applyProtection="0"/>
    <xf numFmtId="0" fontId="224" fillId="0" borderId="18" applyNumberFormat="0" applyFill="0" applyAlignment="0" applyProtection="0"/>
    <xf numFmtId="0" fontId="224" fillId="0" borderId="18" applyNumberFormat="0" applyFill="0" applyAlignment="0" applyProtection="0"/>
    <xf numFmtId="0" fontId="224" fillId="0" borderId="18" applyNumberFormat="0" applyFill="0" applyAlignment="0" applyProtection="0"/>
    <xf numFmtId="0" fontId="224" fillId="0" borderId="18" applyNumberFormat="0" applyFill="0" applyAlignment="0" applyProtection="0"/>
    <xf numFmtId="0" fontId="224" fillId="0" borderId="18" applyNumberFormat="0" applyFill="0" applyAlignment="0" applyProtection="0"/>
    <xf numFmtId="0" fontId="224" fillId="0" borderId="18" applyNumberFormat="0" applyFill="0" applyAlignment="0" applyProtection="0"/>
    <xf numFmtId="0" fontId="224" fillId="0" borderId="18" applyNumberFormat="0" applyFill="0" applyAlignment="0" applyProtection="0"/>
    <xf numFmtId="0" fontId="225" fillId="0" borderId="19" applyNumberFormat="0" applyFill="0" applyAlignment="0" applyProtection="0"/>
    <xf numFmtId="0" fontId="225" fillId="0" borderId="19" applyNumberFormat="0" applyFill="0" applyAlignment="0" applyProtection="0"/>
    <xf numFmtId="0" fontId="225" fillId="0" borderId="19" applyNumberFormat="0" applyFill="0" applyAlignment="0" applyProtection="0"/>
    <xf numFmtId="0" fontId="225" fillId="0" borderId="19" applyNumberFormat="0" applyFill="0" applyAlignment="0" applyProtection="0"/>
    <xf numFmtId="0" fontId="225" fillId="0" borderId="19" applyNumberFormat="0" applyFill="0" applyAlignment="0" applyProtection="0"/>
    <xf numFmtId="0" fontId="225" fillId="0" borderId="19" applyNumberFormat="0" applyFill="0" applyAlignment="0" applyProtection="0"/>
    <xf numFmtId="0" fontId="225" fillId="0" borderId="19" applyNumberFormat="0" applyFill="0" applyAlignment="0" applyProtection="0"/>
    <xf numFmtId="0" fontId="225" fillId="0" borderId="19" applyNumberFormat="0" applyFill="0" applyAlignment="0" applyProtection="0"/>
    <xf numFmtId="0" fontId="225" fillId="0" borderId="19" applyNumberFormat="0" applyFill="0" applyAlignment="0" applyProtection="0"/>
    <xf numFmtId="0" fontId="225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7" fillId="0" borderId="20" applyNumberFormat="0" applyFill="0" applyAlignment="0" applyProtection="0"/>
    <xf numFmtId="0" fontId="227" fillId="0" borderId="20" applyNumberFormat="0" applyFill="0" applyAlignment="0" applyProtection="0"/>
    <xf numFmtId="0" fontId="227" fillId="0" borderId="20" applyNumberFormat="0" applyFill="0" applyAlignment="0" applyProtection="0"/>
    <xf numFmtId="0" fontId="227" fillId="0" borderId="20" applyNumberFormat="0" applyFill="0" applyAlignment="0" applyProtection="0"/>
    <xf numFmtId="0" fontId="227" fillId="0" borderId="20" applyNumberFormat="0" applyFill="0" applyAlignment="0" applyProtection="0"/>
    <xf numFmtId="0" fontId="227" fillId="0" borderId="20" applyNumberFormat="0" applyFill="0" applyAlignment="0" applyProtection="0"/>
    <xf numFmtId="0" fontId="227" fillId="0" borderId="20" applyNumberFormat="0" applyFill="0" applyAlignment="0" applyProtection="0"/>
    <xf numFmtId="0" fontId="227" fillId="0" borderId="20" applyNumberFormat="0" applyFill="0" applyAlignment="0" applyProtection="0"/>
    <xf numFmtId="0" fontId="227" fillId="0" borderId="20" applyNumberFormat="0" applyFill="0" applyAlignment="0" applyProtection="0"/>
    <xf numFmtId="0" fontId="226" fillId="0" borderId="0" applyNumberFormat="0" applyBorder="0" applyAlignment="0" applyProtection="0"/>
    <xf numFmtId="0" fontId="226" fillId="0" borderId="0" applyNumberFormat="0" applyBorder="0" applyAlignment="0" applyProtection="0"/>
    <xf numFmtId="0" fontId="226" fillId="0" borderId="0" applyNumberFormat="0" applyBorder="0" applyAlignment="0" applyProtection="0"/>
    <xf numFmtId="0" fontId="226" fillId="0" borderId="0" applyNumberFormat="0" applyBorder="0" applyAlignment="0" applyProtection="0"/>
    <xf numFmtId="0" fontId="226" fillId="0" borderId="0" applyNumberFormat="0" applyBorder="0" applyAlignment="0" applyProtection="0"/>
    <xf numFmtId="0" fontId="226" fillId="0" borderId="0" applyNumberFormat="0" applyBorder="0" applyAlignment="0" applyProtection="0"/>
    <xf numFmtId="0" fontId="226" fillId="0" borderId="0" applyNumberFormat="0" applyBorder="0" applyAlignment="0" applyProtection="0"/>
    <xf numFmtId="0" fontId="226" fillId="0" borderId="0" applyNumberFormat="0" applyBorder="0" applyAlignment="0" applyProtection="0"/>
    <xf numFmtId="0" fontId="226" fillId="0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33" fillId="0" borderId="0"/>
    <xf numFmtId="0" fontId="233" fillId="0" borderId="0"/>
    <xf numFmtId="0" fontId="233" fillId="0" borderId="0"/>
    <xf numFmtId="0" fontId="233" fillId="0" borderId="0"/>
    <xf numFmtId="0" fontId="233" fillId="0" borderId="0"/>
    <xf numFmtId="0" fontId="233" fillId="0" borderId="0"/>
    <xf numFmtId="0" fontId="233" fillId="0" borderId="0"/>
    <xf numFmtId="0" fontId="233" fillId="0" borderId="0"/>
    <xf numFmtId="0" fontId="233" fillId="0" borderId="0"/>
    <xf numFmtId="0" fontId="2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30" fillId="0" borderId="21" applyNumberFormat="0" applyFill="0" applyAlignment="0" applyProtection="0"/>
    <xf numFmtId="0" fontId="230" fillId="0" borderId="21" applyNumberFormat="0" applyFill="0" applyAlignment="0" applyProtection="0"/>
    <xf numFmtId="0" fontId="230" fillId="0" borderId="21" applyNumberFormat="0" applyFill="0" applyAlignment="0" applyProtection="0"/>
    <xf numFmtId="0" fontId="230" fillId="0" borderId="21" applyNumberFormat="0" applyFill="0" applyAlignment="0" applyProtection="0"/>
    <xf numFmtId="0" fontId="230" fillId="0" borderId="21" applyNumberFormat="0" applyFill="0" applyAlignment="0" applyProtection="0"/>
    <xf numFmtId="0" fontId="230" fillId="0" borderId="21" applyNumberFormat="0" applyFill="0" applyAlignment="0" applyProtection="0"/>
    <xf numFmtId="0" fontId="230" fillId="0" borderId="21" applyNumberFormat="0" applyFill="0" applyAlignment="0" applyProtection="0"/>
    <xf numFmtId="0" fontId="230" fillId="0" borderId="21" applyNumberFormat="0" applyFill="0" applyAlignment="0" applyProtection="0"/>
    <xf numFmtId="0" fontId="230" fillId="0" borderId="21" applyNumberFormat="0" applyFill="0" applyAlignment="0" applyProtection="0"/>
    <xf numFmtId="0" fontId="228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2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3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3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0" fontId="231" fillId="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29" fillId="0" borderId="0" applyNumberFormat="0" applyFill="0" applyBorder="0" applyAlignment="0" applyProtection="0"/>
    <xf numFmtId="0" fontId="232" fillId="0" borderId="0" applyNumberFormat="0" applyBorder="0" applyAlignment="0" applyProtection="0"/>
    <xf numFmtId="0" fontId="223" fillId="0" borderId="17" applyNumberFormat="0" applyFill="0" applyAlignment="0" applyProtection="0"/>
    <xf numFmtId="0" fontId="224" fillId="0" borderId="18" applyNumberFormat="0" applyFill="0" applyAlignment="0" applyProtection="0"/>
    <xf numFmtId="0" fontId="225" fillId="0" borderId="19" applyNumberFormat="0" applyFill="0" applyAlignment="0" applyProtection="0"/>
    <xf numFmtId="0" fontId="225" fillId="0" borderId="0" applyNumberFormat="0" applyFill="0" applyBorder="0" applyAlignment="0" applyProtection="0"/>
    <xf numFmtId="0" fontId="227" fillId="0" borderId="20" applyNumberFormat="0" applyFill="0" applyAlignment="0" applyProtection="0"/>
    <xf numFmtId="0" fontId="226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22" fillId="0" borderId="0" applyNumberFormat="0" applyFill="0" applyBorder="0" applyAlignment="0" applyProtection="0"/>
    <xf numFmtId="0" fontId="230" fillId="0" borderId="21" applyNumberFormat="0" applyFill="0" applyAlignment="0" applyProtection="0"/>
    <xf numFmtId="0" fontId="22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4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0">
    <xf numFmtId="0" fontId="0" fillId="0" borderId="0" xfId="0"/>
    <xf numFmtId="0" fontId="48" fillId="24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/>
    <xf numFmtId="0" fontId="0" fillId="0" borderId="0" xfId="0" applyBorder="1" applyAlignment="1"/>
    <xf numFmtId="0" fontId="41" fillId="24" borderId="10" xfId="0" applyFont="1" applyFill="1" applyBorder="1" applyAlignment="1">
      <alignment horizontal="center" vertical="center" wrapText="1"/>
    </xf>
    <xf numFmtId="0" fontId="47" fillId="0" borderId="0" xfId="0" applyFont="1"/>
    <xf numFmtId="0" fontId="47" fillId="0" borderId="0" xfId="0" applyFont="1" applyAlignment="1"/>
    <xf numFmtId="0" fontId="47" fillId="0" borderId="0" xfId="0" applyFont="1" applyBorder="1"/>
    <xf numFmtId="0" fontId="50" fillId="24" borderId="0" xfId="0" applyFont="1" applyFill="1" applyBorder="1" applyAlignment="1">
      <alignment vertical="center" wrapText="1"/>
    </xf>
    <xf numFmtId="0" fontId="51" fillId="0" borderId="0" xfId="0" applyFont="1" applyFill="1" applyBorder="1" applyAlignment="1">
      <alignment vertical="center"/>
    </xf>
    <xf numFmtId="0" fontId="48" fillId="24" borderId="0" xfId="0" applyFont="1" applyFill="1" applyBorder="1" applyAlignment="1">
      <alignment vertical="center"/>
    </xf>
    <xf numFmtId="0" fontId="46" fillId="24" borderId="0" xfId="0" applyFont="1" applyFill="1" applyBorder="1" applyAlignment="1">
      <alignment horizontal="center" vertical="center"/>
    </xf>
    <xf numFmtId="0" fontId="59" fillId="0" borderId="10" xfId="0" applyFont="1" applyFill="1" applyBorder="1" applyAlignment="1">
      <alignment horizontal="center" vertical="center" wrapText="1"/>
    </xf>
    <xf numFmtId="0" fontId="59" fillId="24" borderId="10" xfId="0" applyFont="1" applyFill="1" applyBorder="1" applyAlignment="1">
      <alignment horizontal="center" vertical="center" wrapText="1"/>
    </xf>
    <xf numFmtId="0" fontId="46" fillId="0" borderId="0" xfId="0" applyFont="1" applyFill="1" applyBorder="1" applyAlignment="1">
      <alignment vertical="center"/>
    </xf>
    <xf numFmtId="0" fontId="58" fillId="24" borderId="10" xfId="0" applyFont="1" applyFill="1" applyBorder="1" applyAlignment="1">
      <alignment horizontal="center" vertical="center" wrapText="1"/>
    </xf>
    <xf numFmtId="0" fontId="55" fillId="24" borderId="0" xfId="0" applyFont="1" applyFill="1"/>
    <xf numFmtId="0" fontId="0" fillId="24" borderId="0" xfId="0" applyFill="1"/>
    <xf numFmtId="3" fontId="58" fillId="24" borderId="10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61" fillId="24" borderId="10" xfId="0" applyFont="1" applyFill="1" applyBorder="1" applyAlignment="1">
      <alignment horizontal="center" vertical="center"/>
    </xf>
    <xf numFmtId="0" fontId="62" fillId="0" borderId="0" xfId="0" applyFont="1"/>
    <xf numFmtId="0" fontId="0" fillId="25" borderId="0" xfId="0" applyFill="1"/>
    <xf numFmtId="0" fontId="41" fillId="24" borderId="10" xfId="0" applyFont="1" applyFill="1" applyBorder="1" applyAlignment="1">
      <alignment horizontal="center" vertical="center"/>
    </xf>
    <xf numFmtId="0" fontId="45" fillId="24" borderId="10" xfId="0" applyFont="1" applyFill="1" applyBorder="1" applyAlignment="1">
      <alignment horizontal="center" vertical="center" wrapText="1"/>
    </xf>
    <xf numFmtId="0" fontId="45" fillId="24" borderId="10" xfId="0" applyFont="1" applyFill="1" applyBorder="1" applyAlignment="1">
      <alignment horizontal="center" vertical="center"/>
    </xf>
    <xf numFmtId="0" fontId="56" fillId="24" borderId="10" xfId="0" applyFont="1" applyFill="1" applyBorder="1" applyAlignment="1">
      <alignment horizontal="center" vertical="center" wrapText="1"/>
    </xf>
    <xf numFmtId="0" fontId="49" fillId="0" borderId="0" xfId="0" applyFont="1" applyBorder="1" applyAlignment="1">
      <alignment horizontal="center" vertical="center" textRotation="90" wrapText="1"/>
    </xf>
    <xf numFmtId="0" fontId="61" fillId="24" borderId="0" xfId="0" applyFont="1" applyFill="1" applyBorder="1" applyAlignment="1">
      <alignment horizontal="center" vertical="center"/>
    </xf>
    <xf numFmtId="164" fontId="63" fillId="24" borderId="10" xfId="0" applyNumberFormat="1" applyFont="1" applyFill="1" applyBorder="1" applyAlignment="1">
      <alignment horizontal="center" vertical="center"/>
    </xf>
    <xf numFmtId="3" fontId="47" fillId="0" borderId="0" xfId="0" applyNumberFormat="1" applyFont="1"/>
    <xf numFmtId="0" fontId="44" fillId="0" borderId="0" xfId="0" applyFont="1" applyFill="1"/>
    <xf numFmtId="164" fontId="47" fillId="0" borderId="0" xfId="0" applyNumberFormat="1" applyFont="1"/>
    <xf numFmtId="0" fontId="201" fillId="0" borderId="0" xfId="0" applyFont="1"/>
    <xf numFmtId="0" fontId="200" fillId="0" borderId="0" xfId="0" applyFont="1" applyBorder="1" applyAlignment="1"/>
    <xf numFmtId="165" fontId="200" fillId="0" borderId="0" xfId="0" applyNumberFormat="1" applyFont="1" applyBorder="1" applyAlignment="1"/>
    <xf numFmtId="164" fontId="47" fillId="0" borderId="0" xfId="0" applyNumberFormat="1" applyFont="1" applyAlignment="1"/>
    <xf numFmtId="164" fontId="0" fillId="0" borderId="0" xfId="0" applyNumberFormat="1" applyAlignment="1"/>
    <xf numFmtId="0" fontId="65" fillId="0" borderId="0" xfId="0" applyFont="1" applyFill="1" applyBorder="1" applyAlignment="1">
      <alignment horizontal="center" vertical="center"/>
    </xf>
    <xf numFmtId="0" fontId="44" fillId="0" borderId="0" xfId="0" applyFont="1" applyFill="1" applyAlignment="1">
      <alignment horizontal="center"/>
    </xf>
    <xf numFmtId="3" fontId="0" fillId="0" borderId="0" xfId="0" applyNumberFormat="1" applyFill="1" applyBorder="1" applyAlignment="1">
      <alignment horizontal="center" vertical="center"/>
    </xf>
    <xf numFmtId="0" fontId="60" fillId="0" borderId="0" xfId="0" applyFont="1" applyFill="1"/>
    <xf numFmtId="0" fontId="76" fillId="26" borderId="0" xfId="0" applyFont="1" applyFill="1" applyAlignment="1">
      <alignment horizontal="center" vertical="center"/>
    </xf>
    <xf numFmtId="0" fontId="66" fillId="27" borderId="0" xfId="0" applyFont="1" applyFill="1" applyBorder="1" applyAlignment="1">
      <alignment vertical="center"/>
    </xf>
    <xf numFmtId="0" fontId="76" fillId="24" borderId="0" xfId="0" applyFont="1" applyFill="1" applyAlignment="1">
      <alignment horizontal="center" vertical="center"/>
    </xf>
    <xf numFmtId="3" fontId="67" fillId="24" borderId="10" xfId="0" applyNumberFormat="1" applyFont="1" applyFill="1" applyBorder="1" applyAlignment="1">
      <alignment horizontal="center" vertical="center" wrapText="1"/>
    </xf>
    <xf numFmtId="0" fontId="68" fillId="24" borderId="0" xfId="0" applyFont="1" applyFill="1" applyBorder="1" applyAlignment="1">
      <alignment horizontal="center" vertical="center"/>
    </xf>
    <xf numFmtId="0" fontId="46" fillId="26" borderId="10" xfId="0" applyFont="1" applyFill="1" applyBorder="1" applyAlignment="1">
      <alignment horizontal="center" vertical="center"/>
    </xf>
    <xf numFmtId="0" fontId="69" fillId="24" borderId="0" xfId="0" applyFont="1" applyFill="1" applyBorder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49" fillId="28" borderId="0" xfId="0" applyFont="1" applyFill="1" applyAlignment="1">
      <alignment horizontal="center" vertical="center"/>
    </xf>
    <xf numFmtId="0" fontId="63" fillId="28" borderId="0" xfId="0" applyFont="1" applyFill="1" applyBorder="1" applyAlignment="1">
      <alignment horizontal="center" vertical="center"/>
    </xf>
    <xf numFmtId="3" fontId="63" fillId="28" borderId="10" xfId="0" applyNumberFormat="1" applyFont="1" applyFill="1" applyBorder="1" applyAlignment="1">
      <alignment horizontal="center" vertical="center"/>
    </xf>
    <xf numFmtId="3" fontId="64" fillId="28" borderId="10" xfId="0" applyNumberFormat="1" applyFont="1" applyFill="1" applyBorder="1" applyAlignment="1">
      <alignment horizontal="center" vertical="center"/>
    </xf>
    <xf numFmtId="0" fontId="64" fillId="28" borderId="0" xfId="0" applyFont="1" applyFill="1" applyAlignment="1">
      <alignment horizontal="center" vertical="center"/>
    </xf>
    <xf numFmtId="0" fontId="63" fillId="28" borderId="0" xfId="0" applyFont="1" applyFill="1" applyAlignment="1">
      <alignment horizontal="center" vertical="center"/>
    </xf>
    <xf numFmtId="0" fontId="49" fillId="28" borderId="10" xfId="0" applyFont="1" applyFill="1" applyBorder="1" applyAlignment="1">
      <alignment horizontal="center" vertical="center"/>
    </xf>
    <xf numFmtId="3" fontId="79" fillId="29" borderId="10" xfId="0" applyNumberFormat="1" applyFont="1" applyFill="1" applyBorder="1" applyAlignment="1">
      <alignment horizontal="center" vertical="center"/>
    </xf>
    <xf numFmtId="0" fontId="67" fillId="30" borderId="10" xfId="0" applyFont="1" applyFill="1" applyBorder="1" applyAlignment="1">
      <alignment horizontal="center" vertical="center" wrapText="1"/>
    </xf>
    <xf numFmtId="0" fontId="39" fillId="30" borderId="0" xfId="0" applyFont="1" applyFill="1"/>
    <xf numFmtId="0" fontId="62" fillId="29" borderId="0" xfId="0" applyFont="1" applyFill="1" applyBorder="1" applyAlignment="1">
      <alignment horizontal="center" vertical="center"/>
    </xf>
    <xf numFmtId="1" fontId="73" fillId="30" borderId="10" xfId="0" applyNumberFormat="1" applyFont="1" applyFill="1" applyBorder="1" applyAlignment="1">
      <alignment horizontal="center" vertical="center" wrapText="1"/>
    </xf>
    <xf numFmtId="0" fontId="76" fillId="26" borderId="10" xfId="0" applyFont="1" applyFill="1" applyBorder="1" applyAlignment="1">
      <alignment horizontal="center" vertical="center"/>
    </xf>
    <xf numFmtId="0" fontId="70" fillId="26" borderId="10" xfId="0" applyFont="1" applyFill="1" applyBorder="1" applyAlignment="1">
      <alignment horizontal="center" vertical="center"/>
    </xf>
    <xf numFmtId="3" fontId="78" fillId="26" borderId="10" xfId="0" applyNumberFormat="1" applyFont="1" applyFill="1" applyBorder="1" applyAlignment="1">
      <alignment horizontal="center" vertical="center" wrapText="1"/>
    </xf>
    <xf numFmtId="3" fontId="78" fillId="24" borderId="10" xfId="0" applyNumberFormat="1" applyFont="1" applyFill="1" applyBorder="1" applyAlignment="1">
      <alignment horizontal="center" vertical="center" wrapText="1"/>
    </xf>
    <xf numFmtId="0" fontId="44" fillId="0" borderId="0" xfId="0" applyFont="1" applyFill="1" applyBorder="1"/>
    <xf numFmtId="0" fontId="69" fillId="26" borderId="10" xfId="0" applyFont="1" applyFill="1" applyBorder="1" applyAlignment="1">
      <alignment horizontal="center" vertical="center"/>
    </xf>
    <xf numFmtId="0" fontId="60" fillId="0" borderId="10" xfId="0" applyFont="1" applyFill="1" applyBorder="1"/>
    <xf numFmtId="0" fontId="60" fillId="0" borderId="0" xfId="0" applyFont="1" applyFill="1" applyBorder="1"/>
    <xf numFmtId="0" fontId="60" fillId="0" borderId="11" xfId="0" applyFont="1" applyFill="1" applyBorder="1"/>
    <xf numFmtId="0" fontId="39" fillId="30" borderId="0" xfId="0" applyFont="1" applyFill="1" applyBorder="1"/>
    <xf numFmtId="0" fontId="63" fillId="28" borderId="10" xfId="0" applyFont="1" applyFill="1" applyBorder="1" applyAlignment="1">
      <alignment horizontal="center" vertical="center"/>
    </xf>
    <xf numFmtId="0" fontId="64" fillId="28" borderId="10" xfId="0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70" fillId="26" borderId="10" xfId="0" applyFont="1" applyFill="1" applyBorder="1" applyAlignment="1">
      <alignment horizontal="center" vertical="center" wrapText="1"/>
    </xf>
    <xf numFmtId="0" fontId="68" fillId="24" borderId="10" xfId="0" applyFont="1" applyFill="1" applyBorder="1" applyAlignment="1">
      <alignment horizontal="center" vertical="center"/>
    </xf>
    <xf numFmtId="0" fontId="68" fillId="26" borderId="0" xfId="0" applyFont="1" applyFill="1" applyBorder="1" applyAlignment="1">
      <alignment horizontal="center" vertical="center"/>
    </xf>
    <xf numFmtId="0" fontId="76" fillId="26" borderId="10" xfId="0" applyFont="1" applyFill="1" applyBorder="1" applyAlignment="1">
      <alignment horizontal="center" vertical="center" wrapText="1"/>
    </xf>
    <xf numFmtId="3" fontId="77" fillId="26" borderId="10" xfId="0" applyNumberFormat="1" applyFont="1" applyFill="1" applyBorder="1" applyAlignment="1">
      <alignment horizontal="center" vertical="center" wrapText="1"/>
    </xf>
    <xf numFmtId="0" fontId="76" fillId="26" borderId="0" xfId="0" applyFont="1" applyFill="1" applyBorder="1" applyAlignment="1">
      <alignment horizontal="center" vertical="center"/>
    </xf>
    <xf numFmtId="3" fontId="75" fillId="24" borderId="10" xfId="0" applyNumberFormat="1" applyFont="1" applyFill="1" applyBorder="1" applyAlignment="1">
      <alignment horizontal="center" vertical="center" wrapText="1"/>
    </xf>
    <xf numFmtId="3" fontId="67" fillId="26" borderId="10" xfId="0" applyNumberFormat="1" applyFont="1" applyFill="1" applyBorder="1" applyAlignment="1">
      <alignment horizontal="center" vertical="center" wrapText="1"/>
    </xf>
    <xf numFmtId="3" fontId="75" fillId="26" borderId="10" xfId="0" applyNumberFormat="1" applyFont="1" applyFill="1" applyBorder="1" applyAlignment="1">
      <alignment horizontal="center" vertical="center" wrapText="1"/>
    </xf>
    <xf numFmtId="0" fontId="70" fillId="24" borderId="0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9" fontId="65" fillId="0" borderId="0" xfId="2315" applyFont="1" applyFill="1" applyBorder="1" applyAlignment="1">
      <alignment horizontal="center" vertical="center"/>
    </xf>
    <xf numFmtId="0" fontId="66" fillId="24" borderId="10" xfId="0" applyFont="1" applyFill="1" applyBorder="1" applyAlignment="1">
      <alignment horizontal="center" vertical="center"/>
    </xf>
    <xf numFmtId="0" fontId="68" fillId="26" borderId="10" xfId="0" applyFont="1" applyFill="1" applyBorder="1" applyAlignment="1">
      <alignment horizontal="center" vertical="center"/>
    </xf>
    <xf numFmtId="3" fontId="71" fillId="26" borderId="10" xfId="0" applyNumberFormat="1" applyFont="1" applyFill="1" applyBorder="1" applyAlignment="1">
      <alignment horizontal="center" vertical="center" wrapText="1"/>
    </xf>
    <xf numFmtId="3" fontId="78" fillId="0" borderId="10" xfId="0" applyNumberFormat="1" applyFont="1" applyFill="1" applyBorder="1" applyAlignment="1">
      <alignment horizontal="center" vertical="center" wrapText="1"/>
    </xf>
    <xf numFmtId="3" fontId="64" fillId="28" borderId="10" xfId="0" applyNumberFormat="1" applyFont="1" applyFill="1" applyBorder="1" applyAlignment="1">
      <alignment horizontal="center" vertical="center" wrapText="1"/>
    </xf>
    <xf numFmtId="0" fontId="62" fillId="29" borderId="10" xfId="0" applyFont="1" applyFill="1" applyBorder="1" applyAlignment="1">
      <alignment horizontal="center" vertical="center"/>
    </xf>
    <xf numFmtId="0" fontId="66" fillId="27" borderId="10" xfId="0" applyFont="1" applyFill="1" applyBorder="1" applyAlignment="1">
      <alignment horizontal="center" vertical="center"/>
    </xf>
    <xf numFmtId="0" fontId="69" fillId="0" borderId="10" xfId="0" applyFont="1" applyFill="1" applyBorder="1" applyAlignment="1">
      <alignment horizontal="center" vertical="center"/>
    </xf>
    <xf numFmtId="0" fontId="72" fillId="30" borderId="10" xfId="0" applyFont="1" applyFill="1" applyBorder="1" applyAlignment="1">
      <alignment horizontal="center" vertical="center" wrapText="1"/>
    </xf>
    <xf numFmtId="0" fontId="80" fillId="30" borderId="10" xfId="0" applyFont="1" applyFill="1" applyBorder="1" applyAlignment="1">
      <alignment horizontal="center" vertical="center"/>
    </xf>
    <xf numFmtId="0" fontId="66" fillId="27" borderId="10" xfId="0" applyFont="1" applyFill="1" applyBorder="1" applyAlignment="1">
      <alignment horizontal="center" vertical="center" wrapText="1"/>
    </xf>
    <xf numFmtId="9" fontId="69" fillId="24" borderId="10" xfId="2315" applyFont="1" applyFill="1" applyBorder="1" applyAlignment="1">
      <alignment horizontal="center" vertical="center"/>
    </xf>
    <xf numFmtId="0" fontId="80" fillId="26" borderId="10" xfId="0" applyFont="1" applyFill="1" applyBorder="1" applyAlignment="1">
      <alignment horizontal="center" vertical="center"/>
    </xf>
    <xf numFmtId="0" fontId="68" fillId="26" borderId="10" xfId="0" applyFont="1" applyFill="1" applyBorder="1" applyAlignment="1">
      <alignment horizontal="center" vertical="center" wrapText="1"/>
    </xf>
    <xf numFmtId="0" fontId="68" fillId="24" borderId="10" xfId="0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/>
    </xf>
    <xf numFmtId="3" fontId="63" fillId="29" borderId="10" xfId="0" applyNumberFormat="1" applyFont="1" applyFill="1" applyBorder="1" applyAlignment="1">
      <alignment horizontal="center" vertical="center"/>
    </xf>
    <xf numFmtId="0" fontId="70" fillId="24" borderId="10" xfId="0" applyFont="1" applyFill="1" applyBorder="1" applyAlignment="1">
      <alignment horizontal="center" vertical="center"/>
    </xf>
    <xf numFmtId="0" fontId="70" fillId="24" borderId="10" xfId="0" applyFont="1" applyFill="1" applyBorder="1" applyAlignment="1">
      <alignment horizontal="center" vertical="center" wrapText="1"/>
    </xf>
    <xf numFmtId="3" fontId="73" fillId="30" borderId="10" xfId="0" applyNumberFormat="1" applyFont="1" applyFill="1" applyBorder="1" applyAlignment="1">
      <alignment horizontal="center" vertical="center" wrapText="1"/>
    </xf>
    <xf numFmtId="0" fontId="69" fillId="24" borderId="10" xfId="0" applyFont="1" applyFill="1" applyBorder="1" applyAlignment="1">
      <alignment horizontal="center" vertical="center"/>
    </xf>
    <xf numFmtId="1" fontId="75" fillId="30" borderId="10" xfId="0" applyNumberFormat="1" applyFont="1" applyFill="1" applyBorder="1" applyAlignment="1">
      <alignment horizontal="center" vertical="center"/>
    </xf>
    <xf numFmtId="0" fontId="70" fillId="24" borderId="13" xfId="0" applyFont="1" applyFill="1" applyBorder="1" applyAlignment="1">
      <alignment vertical="center" wrapText="1"/>
    </xf>
    <xf numFmtId="0" fontId="72" fillId="30" borderId="10" xfId="0" applyFont="1" applyFill="1" applyBorder="1" applyAlignment="1">
      <alignment horizontal="center" vertical="center"/>
    </xf>
    <xf numFmtId="0" fontId="76" fillId="24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39" fillId="0" borderId="10" xfId="406" applyFont="1" applyBorder="1" applyAlignment="1" applyProtection="1">
      <alignment horizontal="center" vertical="center" wrapText="1"/>
      <protection hidden="1"/>
    </xf>
    <xf numFmtId="0" fontId="76" fillId="24" borderId="10" xfId="0" applyFont="1" applyFill="1" applyBorder="1" applyAlignment="1">
      <alignment horizontal="center" vertical="center"/>
    </xf>
    <xf numFmtId="0" fontId="44" fillId="24" borderId="10" xfId="0" applyFont="1" applyFill="1" applyBorder="1" applyAlignment="1">
      <alignment horizontal="center" vertical="center" wrapText="1"/>
    </xf>
    <xf numFmtId="0" fontId="44" fillId="24" borderId="10" xfId="0" applyFont="1" applyFill="1" applyBorder="1" applyAlignment="1">
      <alignment horizontal="center" vertical="center"/>
    </xf>
    <xf numFmtId="0" fontId="39" fillId="0" borderId="10" xfId="468" applyFont="1" applyBorder="1" applyAlignment="1" applyProtection="1">
      <alignment horizontal="center" vertical="center"/>
      <protection hidden="1"/>
    </xf>
    <xf numFmtId="0" fontId="39" fillId="0" borderId="10" xfId="476" applyFont="1" applyBorder="1" applyAlignment="1" applyProtection="1">
      <alignment horizontal="center" vertical="center"/>
      <protection hidden="1"/>
    </xf>
    <xf numFmtId="0" fontId="44" fillId="0" borderId="10" xfId="0" applyNumberFormat="1" applyFont="1" applyFill="1" applyBorder="1" applyAlignment="1">
      <alignment horizontal="center" vertical="center"/>
    </xf>
    <xf numFmtId="0" fontId="70" fillId="24" borderId="10" xfId="0" applyFont="1" applyFill="1" applyBorder="1" applyAlignment="1">
      <alignment horizontal="left" vertical="center" indent="1"/>
    </xf>
    <xf numFmtId="0" fontId="70" fillId="0" borderId="10" xfId="0" applyNumberFormat="1" applyFont="1" applyFill="1" applyBorder="1" applyAlignment="1">
      <alignment horizontal="center" vertical="center"/>
    </xf>
    <xf numFmtId="0" fontId="39" fillId="0" borderId="10" xfId="572" applyFont="1" applyBorder="1" applyAlignment="1" applyProtection="1">
      <alignment horizontal="center" vertical="center" wrapText="1"/>
      <protection hidden="1"/>
    </xf>
    <xf numFmtId="0" fontId="39" fillId="0" borderId="10" xfId="581" applyFont="1" applyBorder="1" applyAlignment="1" applyProtection="1">
      <alignment horizontal="center" vertical="center" wrapText="1"/>
      <protection hidden="1"/>
    </xf>
    <xf numFmtId="0" fontId="39" fillId="0" borderId="10" xfId="615" applyFont="1" applyBorder="1" applyAlignment="1" applyProtection="1">
      <alignment horizontal="center" vertical="center" wrapText="1"/>
      <protection hidden="1"/>
    </xf>
    <xf numFmtId="0" fontId="39" fillId="0" borderId="10" xfId="618" applyFont="1" applyBorder="1" applyAlignment="1" applyProtection="1">
      <alignment horizontal="center" vertical="center" wrapText="1"/>
      <protection hidden="1"/>
    </xf>
    <xf numFmtId="0" fontId="39" fillId="0" borderId="10" xfId="624" applyFont="1" applyBorder="1" applyAlignment="1" applyProtection="1">
      <alignment horizontal="center" vertical="center" wrapText="1"/>
      <protection hidden="1"/>
    </xf>
    <xf numFmtId="0" fontId="39" fillId="0" borderId="10" xfId="658" applyFont="1" applyBorder="1" applyAlignment="1" applyProtection="1">
      <alignment horizontal="center" vertical="center" wrapText="1"/>
      <protection hidden="1"/>
    </xf>
    <xf numFmtId="0" fontId="39" fillId="0" borderId="10" xfId="32419" applyFont="1" applyBorder="1" applyAlignment="1" applyProtection="1">
      <alignment horizontal="center" vertical="center" wrapText="1"/>
      <protection hidden="1"/>
    </xf>
    <xf numFmtId="0" fontId="39" fillId="0" borderId="10" xfId="406" applyFont="1" applyBorder="1" applyAlignment="1" applyProtection="1">
      <alignment horizontal="center" vertical="center" wrapText="1"/>
      <protection hidden="1"/>
    </xf>
    <xf numFmtId="0" fontId="39" fillId="0" borderId="10" xfId="40303" applyFont="1" applyBorder="1" applyAlignment="1" applyProtection="1">
      <alignment horizontal="center" vertical="center" wrapText="1"/>
      <protection hidden="1"/>
    </xf>
    <xf numFmtId="0" fontId="39" fillId="0" borderId="10" xfId="407" applyFont="1" applyBorder="1" applyAlignment="1" applyProtection="1">
      <alignment horizontal="center" vertical="center" wrapText="1"/>
      <protection hidden="1"/>
    </xf>
    <xf numFmtId="0" fontId="79" fillId="29" borderId="10" xfId="0" applyFont="1" applyFill="1" applyBorder="1" applyAlignment="1">
      <alignment horizontal="center" vertical="center"/>
    </xf>
    <xf numFmtId="0" fontId="79" fillId="29" borderId="10" xfId="0" applyFont="1" applyFill="1" applyBorder="1" applyAlignment="1">
      <alignment horizontal="center" vertical="center"/>
    </xf>
    <xf numFmtId="0" fontId="76" fillId="26" borderId="10" xfId="0" applyFont="1" applyFill="1" applyBorder="1" applyAlignment="1">
      <alignment horizontal="center" vertical="center"/>
    </xf>
    <xf numFmtId="0" fontId="80" fillId="26" borderId="10" xfId="0" applyFont="1" applyFill="1" applyBorder="1" applyAlignment="1">
      <alignment horizontal="center" vertical="center"/>
    </xf>
    <xf numFmtId="0" fontId="68" fillId="26" borderId="10" xfId="0" applyFont="1" applyFill="1" applyBorder="1" applyAlignment="1">
      <alignment horizontal="center" vertical="center" wrapText="1"/>
    </xf>
    <xf numFmtId="1" fontId="241" fillId="30" borderId="10" xfId="0" applyNumberFormat="1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221" fillId="0" borderId="10" xfId="0" applyFont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221" fillId="0" borderId="10" xfId="0" applyFont="1" applyBorder="1" applyAlignment="1">
      <alignment horizontal="center" vertical="center" wrapText="1"/>
    </xf>
    <xf numFmtId="0" fontId="44" fillId="0" borderId="10" xfId="0" applyFont="1" applyFill="1" applyBorder="1" applyAlignment="1">
      <alignment horizontal="center" vertical="center"/>
    </xf>
    <xf numFmtId="0" fontId="241" fillId="0" borderId="10" xfId="624" applyFont="1" applyBorder="1" applyAlignment="1" applyProtection="1">
      <alignment horizontal="center" vertical="center" wrapText="1"/>
      <protection hidden="1"/>
    </xf>
    <xf numFmtId="3" fontId="241" fillId="24" borderId="10" xfId="0" applyNumberFormat="1" applyFont="1" applyFill="1" applyBorder="1" applyAlignment="1">
      <alignment horizontal="center" vertical="center" wrapText="1"/>
    </xf>
    <xf numFmtId="3" fontId="45" fillId="29" borderId="10" xfId="0" applyNumberFormat="1" applyFont="1" applyFill="1" applyBorder="1" applyAlignment="1">
      <alignment horizontal="center" vertical="center"/>
    </xf>
    <xf numFmtId="0" fontId="44" fillId="0" borderId="10" xfId="0" applyFont="1" applyFill="1" applyBorder="1" applyAlignment="1">
      <alignment horizontal="center" vertical="center" wrapText="1"/>
    </xf>
    <xf numFmtId="0" fontId="221" fillId="0" borderId="10" xfId="0" applyFont="1" applyBorder="1" applyAlignment="1">
      <alignment horizontal="center" vertical="center" wrapText="1"/>
    </xf>
    <xf numFmtId="0" fontId="44" fillId="0" borderId="10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/>
    </xf>
    <xf numFmtId="0" fontId="44" fillId="0" borderId="10" xfId="0" applyFont="1" applyFill="1" applyBorder="1" applyAlignment="1">
      <alignment horizontal="center" vertical="center" wrapText="1"/>
    </xf>
    <xf numFmtId="0" fontId="44" fillId="0" borderId="10" xfId="0" applyFont="1" applyFill="1" applyBorder="1" applyAlignment="1">
      <alignment horizontal="center" vertical="center" wrapText="1"/>
    </xf>
    <xf numFmtId="0" fontId="44" fillId="0" borderId="10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44" fillId="0" borderId="10" xfId="0" applyFont="1" applyFill="1" applyBorder="1" applyAlignment="1">
      <alignment horizontal="center" vertical="center" wrapText="1"/>
    </xf>
    <xf numFmtId="0" fontId="70" fillId="24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75" fillId="0" borderId="13" xfId="0" applyFont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44" fillId="24" borderId="12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 wrapText="1"/>
    </xf>
    <xf numFmtId="0" fontId="39" fillId="0" borderId="10" xfId="407" applyFont="1" applyFill="1" applyBorder="1" applyAlignment="1" applyProtection="1">
      <alignment horizontal="center" vertical="center" wrapText="1"/>
      <protection hidden="1"/>
    </xf>
    <xf numFmtId="0" fontId="39" fillId="0" borderId="13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39" fillId="0" borderId="10" xfId="476" applyFont="1" applyBorder="1" applyAlignment="1" applyProtection="1">
      <alignment horizontal="center" vertical="center" wrapText="1"/>
      <protection hidden="1"/>
    </xf>
    <xf numFmtId="1" fontId="76" fillId="26" borderId="10" xfId="0" applyNumberFormat="1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75" fillId="0" borderId="13" xfId="0" applyFont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39" fillId="0" borderId="10" xfId="615" applyFont="1" applyFill="1" applyBorder="1" applyAlignment="1" applyProtection="1">
      <alignment horizontal="center" vertical="center" wrapText="1"/>
      <protection hidden="1"/>
    </xf>
    <xf numFmtId="0" fontId="70" fillId="0" borderId="10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220" fillId="0" borderId="13" xfId="0" applyFont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75" fillId="0" borderId="13" xfId="0" applyFont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center" vertical="center" wrapText="1"/>
    </xf>
    <xf numFmtId="0" fontId="75" fillId="0" borderId="13" xfId="0" applyFont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70" fillId="0" borderId="10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39" fillId="0" borderId="10" xfId="406" applyFont="1" applyFill="1" applyBorder="1" applyAlignment="1" applyProtection="1">
      <alignment horizontal="center" vertical="center" wrapText="1"/>
      <protection hidden="1"/>
    </xf>
    <xf numFmtId="0" fontId="39" fillId="0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75" fillId="0" borderId="10" xfId="0" applyFont="1" applyFill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75" fillId="0" borderId="13" xfId="0" applyFont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 wrapText="1"/>
    </xf>
    <xf numFmtId="0" fontId="69" fillId="0" borderId="10" xfId="0" applyNumberFormat="1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 wrapText="1"/>
    </xf>
    <xf numFmtId="0" fontId="44" fillId="24" borderId="12" xfId="0" applyFont="1" applyFill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70" fillId="24" borderId="13" xfId="0" applyFont="1" applyFill="1" applyBorder="1" applyAlignment="1">
      <alignment horizontal="center" vertical="center" wrapText="1"/>
    </xf>
    <xf numFmtId="0" fontId="220" fillId="0" borderId="13" xfId="0" applyFont="1" applyBorder="1" applyAlignment="1">
      <alignment horizontal="center" vertical="center" wrapText="1"/>
    </xf>
    <xf numFmtId="0" fontId="220" fillId="0" borderId="10" xfId="0" applyFont="1" applyBorder="1" applyAlignment="1">
      <alignment horizontal="center" vertical="center"/>
    </xf>
    <xf numFmtId="0" fontId="44" fillId="24" borderId="1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164" fontId="63" fillId="24" borderId="15" xfId="0" applyNumberFormat="1" applyFont="1" applyFill="1" applyBorder="1" applyAlignment="1">
      <alignment horizontal="center" vertical="center"/>
    </xf>
    <xf numFmtId="164" fontId="63" fillId="24" borderId="14" xfId="0" applyNumberFormat="1" applyFont="1" applyFill="1" applyBorder="1" applyAlignment="1">
      <alignment horizontal="center" vertical="center"/>
    </xf>
    <xf numFmtId="0" fontId="63" fillId="24" borderId="10" xfId="0" applyFont="1" applyFill="1" applyBorder="1" applyAlignment="1">
      <alignment horizontal="center" vertical="center"/>
    </xf>
    <xf numFmtId="164" fontId="64" fillId="24" borderId="14" xfId="0" applyNumberFormat="1" applyFont="1" applyFill="1" applyBorder="1" applyAlignment="1">
      <alignment horizontal="center" vertical="center"/>
    </xf>
    <xf numFmtId="164" fontId="64" fillId="24" borderId="10" xfId="0" applyNumberFormat="1" applyFont="1" applyFill="1" applyBorder="1" applyAlignment="1">
      <alignment horizontal="center" vertical="center"/>
    </xf>
    <xf numFmtId="0" fontId="45" fillId="24" borderId="10" xfId="0" applyFont="1" applyFill="1" applyBorder="1" applyAlignment="1">
      <alignment horizontal="center" vertical="center"/>
    </xf>
    <xf numFmtId="0" fontId="202" fillId="0" borderId="15" xfId="0" applyFont="1" applyBorder="1" applyAlignment="1">
      <alignment horizontal="center" vertical="center"/>
    </xf>
    <xf numFmtId="0" fontId="202" fillId="0" borderId="14" xfId="0" applyFont="1" applyBorder="1" applyAlignment="1">
      <alignment horizontal="center" vertical="center"/>
    </xf>
    <xf numFmtId="164" fontId="63" fillId="24" borderId="10" xfId="0" applyNumberFormat="1" applyFont="1" applyFill="1" applyBorder="1" applyAlignment="1">
      <alignment horizontal="center" vertical="center"/>
    </xf>
    <xf numFmtId="0" fontId="57" fillId="24" borderId="0" xfId="0" applyFont="1" applyFill="1" applyBorder="1" applyAlignment="1">
      <alignment horizontal="center" vertical="center"/>
    </xf>
    <xf numFmtId="0" fontId="59" fillId="24" borderId="0" xfId="0" applyFont="1" applyFill="1" applyBorder="1" applyAlignment="1">
      <alignment horizontal="center" vertical="center" wrapText="1"/>
    </xf>
    <xf numFmtId="0" fontId="46" fillId="0" borderId="0" xfId="0" applyFont="1" applyFill="1" applyBorder="1" applyAlignment="1">
      <alignment horizontal="left" vertical="center"/>
    </xf>
    <xf numFmtId="0" fontId="46" fillId="24" borderId="0" xfId="0" applyFont="1" applyFill="1" applyBorder="1" applyAlignment="1">
      <alignment horizontal="right" vertical="center"/>
    </xf>
    <xf numFmtId="0" fontId="49" fillId="0" borderId="13" xfId="0" applyFont="1" applyBorder="1" applyAlignment="1">
      <alignment horizontal="center" vertical="center" textRotation="90" wrapText="1"/>
    </xf>
    <xf numFmtId="0" fontId="49" fillId="0" borderId="12" xfId="0" applyFont="1" applyBorder="1" applyAlignment="1">
      <alignment horizontal="center" vertical="center" textRotation="90" wrapText="1"/>
    </xf>
    <xf numFmtId="0" fontId="49" fillId="0" borderId="11" xfId="0" applyFont="1" applyBorder="1" applyAlignment="1">
      <alignment horizontal="center" vertical="center" textRotation="90" wrapText="1"/>
    </xf>
    <xf numFmtId="0" fontId="61" fillId="24" borderId="15" xfId="0" applyFont="1" applyFill="1" applyBorder="1" applyAlignment="1">
      <alignment horizontal="center" vertical="center"/>
    </xf>
    <xf numFmtId="0" fontId="61" fillId="24" borderId="14" xfId="0" applyFont="1" applyFill="1" applyBorder="1" applyAlignment="1">
      <alignment horizontal="center" vertical="center"/>
    </xf>
    <xf numFmtId="3" fontId="203" fillId="0" borderId="10" xfId="0" applyNumberFormat="1" applyFont="1" applyBorder="1" applyAlignment="1">
      <alignment horizontal="center" vertical="center"/>
    </xf>
    <xf numFmtId="0" fontId="203" fillId="0" borderId="10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 wrapText="1"/>
    </xf>
    <xf numFmtId="0" fontId="39" fillId="0" borderId="12" xfId="0" applyFont="1" applyFill="1" applyBorder="1" applyAlignment="1">
      <alignment horizontal="center" vertical="center" wrapText="1"/>
    </xf>
    <xf numFmtId="0" fontId="220" fillId="0" borderId="13" xfId="0" applyFont="1" applyBorder="1" applyAlignment="1">
      <alignment horizontal="center" vertical="center"/>
    </xf>
    <xf numFmtId="0" fontId="220" fillId="0" borderId="12" xfId="0" applyFont="1" applyBorder="1" applyAlignment="1">
      <alignment horizontal="center" vertical="center"/>
    </xf>
    <xf numFmtId="0" fontId="220" fillId="0" borderId="11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39" fillId="0" borderId="12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 vertical="center"/>
    </xf>
    <xf numFmtId="0" fontId="70" fillId="24" borderId="13" xfId="0" applyFont="1" applyFill="1" applyBorder="1" applyAlignment="1">
      <alignment horizontal="center" vertical="center" wrapText="1"/>
    </xf>
    <xf numFmtId="0" fontId="70" fillId="24" borderId="12" xfId="0" applyFont="1" applyFill="1" applyBorder="1" applyAlignment="1">
      <alignment horizontal="center" vertical="center" wrapText="1"/>
    </xf>
    <xf numFmtId="0" fontId="39" fillId="0" borderId="11" xfId="0" applyFont="1" applyFill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/>
    </xf>
    <xf numFmtId="0" fontId="44" fillId="24" borderId="12" xfId="0" applyFont="1" applyFill="1" applyBorder="1" applyAlignment="1">
      <alignment horizontal="center" vertical="center"/>
    </xf>
    <xf numFmtId="0" fontId="220" fillId="0" borderId="10" xfId="0" applyFont="1" applyBorder="1" applyAlignment="1">
      <alignment horizontal="center" vertical="center"/>
    </xf>
    <xf numFmtId="0" fontId="220" fillId="0" borderId="13" xfId="0" applyFont="1" applyBorder="1" applyAlignment="1">
      <alignment horizontal="center" vertical="center" wrapText="1"/>
    </xf>
    <xf numFmtId="0" fontId="220" fillId="0" borderId="12" xfId="0" applyFont="1" applyBorder="1" applyAlignment="1">
      <alignment horizontal="center" vertical="center" wrapText="1"/>
    </xf>
    <xf numFmtId="0" fontId="44" fillId="24" borderId="13" xfId="0" applyFont="1" applyFill="1" applyBorder="1" applyAlignment="1">
      <alignment horizontal="center" vertical="center" wrapText="1"/>
    </xf>
    <xf numFmtId="0" fontId="44" fillId="24" borderId="12" xfId="0" applyFont="1" applyFill="1" applyBorder="1" applyAlignment="1">
      <alignment horizontal="center" vertical="center" wrapText="1"/>
    </xf>
    <xf numFmtId="0" fontId="74" fillId="0" borderId="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left" vertical="center"/>
    </xf>
    <xf numFmtId="0" fontId="65" fillId="0" borderId="0" xfId="0" applyFont="1" applyFill="1" applyBorder="1" applyAlignment="1">
      <alignment horizontal="right" vertical="center"/>
    </xf>
    <xf numFmtId="0" fontId="70" fillId="0" borderId="13" xfId="0" applyFont="1" applyFill="1" applyBorder="1" applyAlignment="1">
      <alignment horizontal="center" vertical="center"/>
    </xf>
    <xf numFmtId="0" fontId="70" fillId="0" borderId="12" xfId="0" applyFont="1" applyFill="1" applyBorder="1" applyAlignment="1">
      <alignment horizontal="center" vertical="center"/>
    </xf>
    <xf numFmtId="0" fontId="75" fillId="0" borderId="13" xfId="0" applyFont="1" applyBorder="1" applyAlignment="1">
      <alignment horizontal="center" vertical="center" wrapText="1"/>
    </xf>
    <xf numFmtId="0" fontId="75" fillId="0" borderId="12" xfId="0" applyFont="1" applyBorder="1" applyAlignment="1">
      <alignment horizontal="center" vertical="center" wrapText="1"/>
    </xf>
    <xf numFmtId="0" fontId="75" fillId="0" borderId="11" xfId="0" applyFont="1" applyBorder="1" applyAlignment="1">
      <alignment horizontal="center" vertical="center" wrapText="1"/>
    </xf>
    <xf numFmtId="0" fontId="44" fillId="24" borderId="11" xfId="0" applyFont="1" applyFill="1" applyBorder="1" applyAlignment="1">
      <alignment horizontal="center" vertical="center"/>
    </xf>
    <xf numFmtId="0" fontId="75" fillId="0" borderId="13" xfId="0" applyFont="1" applyFill="1" applyBorder="1" applyAlignment="1">
      <alignment horizontal="center" vertical="center"/>
    </xf>
    <xf numFmtId="0" fontId="75" fillId="0" borderId="12" xfId="0" applyFont="1" applyFill="1" applyBorder="1" applyAlignment="1">
      <alignment horizontal="center" vertical="center"/>
    </xf>
    <xf numFmtId="0" fontId="220" fillId="0" borderId="11" xfId="0" applyFont="1" applyBorder="1" applyAlignment="1">
      <alignment horizontal="center" vertical="center" wrapText="1"/>
    </xf>
  </cellXfs>
  <cellStyles count="63927">
    <cellStyle name="20% - Accent1 2" xfId="1"/>
    <cellStyle name="20% - Accent1 2 2" xfId="2"/>
    <cellStyle name="20% - Accent2 2" xfId="3"/>
    <cellStyle name="20% - Accent2 2 2" xfId="4"/>
    <cellStyle name="20% - Accent3 2" xfId="5"/>
    <cellStyle name="20% - Accent3 2 2" xfId="6"/>
    <cellStyle name="20% - Accent3 2 3" xfId="7"/>
    <cellStyle name="20% - Accent3 2 4" xfId="8"/>
    <cellStyle name="20% - Accent3 2 5" xfId="9"/>
    <cellStyle name="20% - Accent4 2" xfId="10"/>
    <cellStyle name="20% - Accent4 2 2" xfId="11"/>
    <cellStyle name="20% - Accent5 2" xfId="12"/>
    <cellStyle name="20% - Accent5 2 2" xfId="13"/>
    <cellStyle name="20% - Accent6 2" xfId="14"/>
    <cellStyle name="20% - Accent6 2 2" xfId="15"/>
    <cellStyle name="40% - Accent1 2" xfId="16"/>
    <cellStyle name="40% - Accent1 2 2" xfId="17"/>
    <cellStyle name="40% - Accent2 2" xfId="18"/>
    <cellStyle name="40% - Accent2 2 2" xfId="19"/>
    <cellStyle name="40% - Accent3 2" xfId="20"/>
    <cellStyle name="40% - Accent3 2 2" xfId="21"/>
    <cellStyle name="40% - Accent4 2" xfId="22"/>
    <cellStyle name="40% - Accent4 2 2" xfId="23"/>
    <cellStyle name="40% - Accent5 2" xfId="24"/>
    <cellStyle name="40% - Accent5 2 2" xfId="25"/>
    <cellStyle name="40% - Accent6 2" xfId="26"/>
    <cellStyle name="40% - Accent6 2 2" xfId="27"/>
    <cellStyle name="60% - Accent1 2" xfId="28"/>
    <cellStyle name="60% - Accent2 10" xfId="29"/>
    <cellStyle name="60% - Accent2 10 2" xfId="2475"/>
    <cellStyle name="60% - Accent2 11" xfId="30"/>
    <cellStyle name="60% - Accent2 11 2" xfId="2476"/>
    <cellStyle name="60% - Accent2 12" xfId="31"/>
    <cellStyle name="60% - Accent2 12 2" xfId="34173"/>
    <cellStyle name="60% - Accent2 13" xfId="2438"/>
    <cellStyle name="60% - Accent2 2" xfId="32"/>
    <cellStyle name="60% - Accent2 2 10" xfId="33"/>
    <cellStyle name="60% - Accent2 2 11" xfId="34"/>
    <cellStyle name="60% - Accent2 2 2" xfId="35"/>
    <cellStyle name="60% - Accent2 2 3" xfId="36"/>
    <cellStyle name="60% - Accent2 2 4" xfId="37"/>
    <cellStyle name="60% - Accent2 2 5" xfId="38"/>
    <cellStyle name="60% - Accent2 2 6" xfId="39"/>
    <cellStyle name="60% - Accent2 2 7" xfId="40"/>
    <cellStyle name="60% - Accent2 2 8" xfId="41"/>
    <cellStyle name="60% - Accent2 2 9" xfId="42"/>
    <cellStyle name="60% - Accent2 3" xfId="43"/>
    <cellStyle name="60% - Accent2 3 2" xfId="2477"/>
    <cellStyle name="60% - Accent2 4" xfId="44"/>
    <cellStyle name="60% - Accent2 4 2" xfId="2478"/>
    <cellStyle name="60% - Accent2 5" xfId="45"/>
    <cellStyle name="60% - Accent2 5 2" xfId="2479"/>
    <cellStyle name="60% - Accent2 6" xfId="46"/>
    <cellStyle name="60% - Accent2 6 2" xfId="2480"/>
    <cellStyle name="60% - Accent2 7" xfId="47"/>
    <cellStyle name="60% - Accent2 7 2" xfId="2481"/>
    <cellStyle name="60% - Accent2 8" xfId="48"/>
    <cellStyle name="60% - Accent2 8 2" xfId="2482"/>
    <cellStyle name="60% - Accent2 9" xfId="49"/>
    <cellStyle name="60% - Accent2 9 2" xfId="2483"/>
    <cellStyle name="60% - Accent3 2" xfId="50"/>
    <cellStyle name="60% - Accent4 10" xfId="51"/>
    <cellStyle name="60% - Accent4 10 2" xfId="2484"/>
    <cellStyle name="60% - Accent4 11" xfId="52"/>
    <cellStyle name="60% - Accent4 11 2" xfId="2485"/>
    <cellStyle name="60% - Accent4 12" xfId="53"/>
    <cellStyle name="60% - Accent4 12 2" xfId="34174"/>
    <cellStyle name="60% - Accent4 13" xfId="2439"/>
    <cellStyle name="60% - Accent4 2" xfId="54"/>
    <cellStyle name="60% - Accent4 2 10" xfId="55"/>
    <cellStyle name="60% - Accent4 2 11" xfId="56"/>
    <cellStyle name="60% - Accent4 2 2" xfId="57"/>
    <cellStyle name="60% - Accent4 2 3" xfId="58"/>
    <cellStyle name="60% - Accent4 2 4" xfId="59"/>
    <cellStyle name="60% - Accent4 2 5" xfId="60"/>
    <cellStyle name="60% - Accent4 2 6" xfId="61"/>
    <cellStyle name="60% - Accent4 2 7" xfId="62"/>
    <cellStyle name="60% - Accent4 2 8" xfId="63"/>
    <cellStyle name="60% - Accent4 2 9" xfId="64"/>
    <cellStyle name="60% - Accent4 3" xfId="65"/>
    <cellStyle name="60% - Accent4 3 2" xfId="2486"/>
    <cellStyle name="60% - Accent4 4" xfId="66"/>
    <cellStyle name="60% - Accent4 4 2" xfId="2487"/>
    <cellStyle name="60% - Accent4 5" xfId="67"/>
    <cellStyle name="60% - Accent4 5 2" xfId="2488"/>
    <cellStyle name="60% - Accent4 6" xfId="68"/>
    <cellStyle name="60% - Accent4 6 2" xfId="2489"/>
    <cellStyle name="60% - Accent4 7" xfId="69"/>
    <cellStyle name="60% - Accent4 7 2" xfId="2490"/>
    <cellStyle name="60% - Accent4 8" xfId="70"/>
    <cellStyle name="60% - Accent4 8 2" xfId="2491"/>
    <cellStyle name="60% - Accent4 9" xfId="71"/>
    <cellStyle name="60% - Accent4 9 2" xfId="2492"/>
    <cellStyle name="60% - Accent5 2" xfId="72"/>
    <cellStyle name="60% - Accent6 10" xfId="73"/>
    <cellStyle name="60% - Accent6 10 2" xfId="2493"/>
    <cellStyle name="60% - Accent6 11" xfId="74"/>
    <cellStyle name="60% - Accent6 11 2" xfId="2494"/>
    <cellStyle name="60% - Accent6 12" xfId="75"/>
    <cellStyle name="60% - Accent6 12 2" xfId="34175"/>
    <cellStyle name="60% - Accent6 13" xfId="2440"/>
    <cellStyle name="60% - Accent6 2" xfId="76"/>
    <cellStyle name="60% - Accent6 2 10" xfId="77"/>
    <cellStyle name="60% - Accent6 2 11" xfId="78"/>
    <cellStyle name="60% - Accent6 2 2" xfId="79"/>
    <cellStyle name="60% - Accent6 2 3" xfId="80"/>
    <cellStyle name="60% - Accent6 2 4" xfId="81"/>
    <cellStyle name="60% - Accent6 2 5" xfId="82"/>
    <cellStyle name="60% - Accent6 2 6" xfId="83"/>
    <cellStyle name="60% - Accent6 2 7" xfId="84"/>
    <cellStyle name="60% - Accent6 2 8" xfId="85"/>
    <cellStyle name="60% - Accent6 2 9" xfId="86"/>
    <cellStyle name="60% - Accent6 3" xfId="87"/>
    <cellStyle name="60% - Accent6 3 2" xfId="2495"/>
    <cellStyle name="60% - Accent6 4" xfId="88"/>
    <cellStyle name="60% - Accent6 4 2" xfId="2496"/>
    <cellStyle name="60% - Accent6 5" xfId="89"/>
    <cellStyle name="60% - Accent6 5 2" xfId="2497"/>
    <cellStyle name="60% - Accent6 6" xfId="90"/>
    <cellStyle name="60% - Accent6 6 2" xfId="2498"/>
    <cellStyle name="60% - Accent6 7" xfId="91"/>
    <cellStyle name="60% - Accent6 7 2" xfId="2499"/>
    <cellStyle name="60% - Accent6 8" xfId="92"/>
    <cellStyle name="60% - Accent6 8 2" xfId="2500"/>
    <cellStyle name="60% - Accent6 9" xfId="93"/>
    <cellStyle name="60% - Accent6 9 2" xfId="2501"/>
    <cellStyle name="Accent1 10" xfId="94"/>
    <cellStyle name="Accent1 10 2" xfId="2502"/>
    <cellStyle name="Accent1 11" xfId="95"/>
    <cellStyle name="Accent1 11 2" xfId="2503"/>
    <cellStyle name="Accent1 12" xfId="96"/>
    <cellStyle name="Accent1 12 2" xfId="34176"/>
    <cellStyle name="Accent1 13" xfId="2441"/>
    <cellStyle name="Accent1 2" xfId="97"/>
    <cellStyle name="Accent1 2 10" xfId="98"/>
    <cellStyle name="Accent1 2 11" xfId="99"/>
    <cellStyle name="Accent1 2 2" xfId="100"/>
    <cellStyle name="Accent1 2 3" xfId="101"/>
    <cellStyle name="Accent1 2 4" xfId="102"/>
    <cellStyle name="Accent1 2 5" xfId="103"/>
    <cellStyle name="Accent1 2 6" xfId="104"/>
    <cellStyle name="Accent1 2 7" xfId="105"/>
    <cellStyle name="Accent1 2 8" xfId="106"/>
    <cellStyle name="Accent1 2 9" xfId="107"/>
    <cellStyle name="Accent1 3" xfId="108"/>
    <cellStyle name="Accent1 3 2" xfId="2504"/>
    <cellStyle name="Accent1 4" xfId="109"/>
    <cellStyle name="Accent1 4 2" xfId="2505"/>
    <cellStyle name="Accent1 5" xfId="110"/>
    <cellStyle name="Accent1 5 2" xfId="2506"/>
    <cellStyle name="Accent1 6" xfId="111"/>
    <cellStyle name="Accent1 6 2" xfId="2507"/>
    <cellStyle name="Accent1 7" xfId="112"/>
    <cellStyle name="Accent1 7 2" xfId="2508"/>
    <cellStyle name="Accent1 8" xfId="113"/>
    <cellStyle name="Accent1 8 2" xfId="2509"/>
    <cellStyle name="Accent1 9" xfId="114"/>
    <cellStyle name="Accent1 9 2" xfId="2510"/>
    <cellStyle name="Accent2 10" xfId="115"/>
    <cellStyle name="Accent2 10 2" xfId="2511"/>
    <cellStyle name="Accent2 11" xfId="116"/>
    <cellStyle name="Accent2 11 2" xfId="2512"/>
    <cellStyle name="Accent2 12" xfId="117"/>
    <cellStyle name="Accent2 12 2" xfId="34177"/>
    <cellStyle name="Accent2 13" xfId="2442"/>
    <cellStyle name="Accent2 2" xfId="118"/>
    <cellStyle name="Accent2 2 10" xfId="119"/>
    <cellStyle name="Accent2 2 11" xfId="120"/>
    <cellStyle name="Accent2 2 2" xfId="121"/>
    <cellStyle name="Accent2 2 3" xfId="122"/>
    <cellStyle name="Accent2 2 4" xfId="123"/>
    <cellStyle name="Accent2 2 5" xfId="124"/>
    <cellStyle name="Accent2 2 6" xfId="125"/>
    <cellStyle name="Accent2 2 7" xfId="126"/>
    <cellStyle name="Accent2 2 8" xfId="127"/>
    <cellStyle name="Accent2 2 9" xfId="128"/>
    <cellStyle name="Accent2 3" xfId="129"/>
    <cellStyle name="Accent2 3 2" xfId="2513"/>
    <cellStyle name="Accent2 4" xfId="130"/>
    <cellStyle name="Accent2 4 2" xfId="2514"/>
    <cellStyle name="Accent2 5" xfId="131"/>
    <cellStyle name="Accent2 5 2" xfId="2515"/>
    <cellStyle name="Accent2 6" xfId="132"/>
    <cellStyle name="Accent2 6 2" xfId="2516"/>
    <cellStyle name="Accent2 7" xfId="133"/>
    <cellStyle name="Accent2 7 2" xfId="2517"/>
    <cellStyle name="Accent2 8" xfId="134"/>
    <cellStyle name="Accent2 8 2" xfId="2518"/>
    <cellStyle name="Accent2 9" xfId="135"/>
    <cellStyle name="Accent2 9 2" xfId="2519"/>
    <cellStyle name="Accent3 10" xfId="136"/>
    <cellStyle name="Accent3 10 2" xfId="2520"/>
    <cellStyle name="Accent3 11" xfId="137"/>
    <cellStyle name="Accent3 11 2" xfId="2521"/>
    <cellStyle name="Accent3 12" xfId="138"/>
    <cellStyle name="Accent3 12 2" xfId="34178"/>
    <cellStyle name="Accent3 13" xfId="2443"/>
    <cellStyle name="Accent3 2" xfId="139"/>
    <cellStyle name="Accent3 2 10" xfId="140"/>
    <cellStyle name="Accent3 2 11" xfId="141"/>
    <cellStyle name="Accent3 2 2" xfId="142"/>
    <cellStyle name="Accent3 2 3" xfId="143"/>
    <cellStyle name="Accent3 2 4" xfId="144"/>
    <cellStyle name="Accent3 2 5" xfId="145"/>
    <cellStyle name="Accent3 2 6" xfId="146"/>
    <cellStyle name="Accent3 2 7" xfId="147"/>
    <cellStyle name="Accent3 2 8" xfId="148"/>
    <cellStyle name="Accent3 2 9" xfId="149"/>
    <cellStyle name="Accent3 3" xfId="150"/>
    <cellStyle name="Accent3 3 2" xfId="2522"/>
    <cellStyle name="Accent3 4" xfId="151"/>
    <cellStyle name="Accent3 4 2" xfId="2523"/>
    <cellStyle name="Accent3 5" xfId="152"/>
    <cellStyle name="Accent3 5 2" xfId="2524"/>
    <cellStyle name="Accent3 6" xfId="153"/>
    <cellStyle name="Accent3 6 2" xfId="2525"/>
    <cellStyle name="Accent3 7" xfId="154"/>
    <cellStyle name="Accent3 7 2" xfId="2526"/>
    <cellStyle name="Accent3 8" xfId="155"/>
    <cellStyle name="Accent3 8 2" xfId="2527"/>
    <cellStyle name="Accent3 9" xfId="156"/>
    <cellStyle name="Accent3 9 2" xfId="2528"/>
    <cellStyle name="Accent4 10" xfId="157"/>
    <cellStyle name="Accent4 10 2" xfId="2529"/>
    <cellStyle name="Accent4 11" xfId="158"/>
    <cellStyle name="Accent4 11 2" xfId="2530"/>
    <cellStyle name="Accent4 12" xfId="159"/>
    <cellStyle name="Accent4 12 2" xfId="34179"/>
    <cellStyle name="Accent4 13" xfId="2444"/>
    <cellStyle name="Accent4 2" xfId="160"/>
    <cellStyle name="Accent4 2 10" xfId="161"/>
    <cellStyle name="Accent4 2 11" xfId="162"/>
    <cellStyle name="Accent4 2 2" xfId="163"/>
    <cellStyle name="Accent4 2 3" xfId="164"/>
    <cellStyle name="Accent4 2 4" xfId="165"/>
    <cellStyle name="Accent4 2 5" xfId="166"/>
    <cellStyle name="Accent4 2 6" xfId="167"/>
    <cellStyle name="Accent4 2 7" xfId="168"/>
    <cellStyle name="Accent4 2 8" xfId="169"/>
    <cellStyle name="Accent4 2 9" xfId="170"/>
    <cellStyle name="Accent4 3" xfId="171"/>
    <cellStyle name="Accent4 3 2" xfId="2531"/>
    <cellStyle name="Accent4 4" xfId="172"/>
    <cellStyle name="Accent4 4 2" xfId="2532"/>
    <cellStyle name="Accent4 5" xfId="173"/>
    <cellStyle name="Accent4 5 2" xfId="2533"/>
    <cellStyle name="Accent4 6" xfId="174"/>
    <cellStyle name="Accent4 6 2" xfId="2534"/>
    <cellStyle name="Accent4 7" xfId="175"/>
    <cellStyle name="Accent4 7 2" xfId="2535"/>
    <cellStyle name="Accent4 8" xfId="176"/>
    <cellStyle name="Accent4 8 2" xfId="2536"/>
    <cellStyle name="Accent4 9" xfId="177"/>
    <cellStyle name="Accent4 9 2" xfId="2537"/>
    <cellStyle name="Accent5 2" xfId="178"/>
    <cellStyle name="Accent6 2" xfId="179"/>
    <cellStyle name="Bad 2" xfId="180"/>
    <cellStyle name="Calculation 2" xfId="181"/>
    <cellStyle name="Calculation 2 2" xfId="182"/>
    <cellStyle name="Calculation 2 3" xfId="183"/>
    <cellStyle name="Calculation 2 4" xfId="184"/>
    <cellStyle name="Check Cell 2" xfId="185"/>
    <cellStyle name="Comma 2" xfId="186"/>
    <cellStyle name="Comma 2 2" xfId="187"/>
    <cellStyle name="Comma 3" xfId="188"/>
    <cellStyle name="Comma 3 10" xfId="7921"/>
    <cellStyle name="Comma 3 11" xfId="9674"/>
    <cellStyle name="Comma 3 12" xfId="11426"/>
    <cellStyle name="Comma 3 13" xfId="13178"/>
    <cellStyle name="Comma 3 14" xfId="14930"/>
    <cellStyle name="Comma 3 15" xfId="16683"/>
    <cellStyle name="Comma 3 16" xfId="18435"/>
    <cellStyle name="Comma 3 17" xfId="20188"/>
    <cellStyle name="Comma 3 18" xfId="21940"/>
    <cellStyle name="Comma 3 19" xfId="23692"/>
    <cellStyle name="Comma 3 2" xfId="189"/>
    <cellStyle name="Comma 3 2 10" xfId="9729"/>
    <cellStyle name="Comma 3 2 11" xfId="11481"/>
    <cellStyle name="Comma 3 2 12" xfId="13233"/>
    <cellStyle name="Comma 3 2 13" xfId="14985"/>
    <cellStyle name="Comma 3 2 14" xfId="16738"/>
    <cellStyle name="Comma 3 2 15" xfId="18490"/>
    <cellStyle name="Comma 3 2 16" xfId="20243"/>
    <cellStyle name="Comma 3 2 17" xfId="21995"/>
    <cellStyle name="Comma 3 2 18" xfId="23747"/>
    <cellStyle name="Comma 3 2 19" xfId="25499"/>
    <cellStyle name="Comma 3 2 2" xfId="190"/>
    <cellStyle name="Comma 3 2 2 10" xfId="11589"/>
    <cellStyle name="Comma 3 2 2 11" xfId="13341"/>
    <cellStyle name="Comma 3 2 2 12" xfId="15093"/>
    <cellStyle name="Comma 3 2 2 13" xfId="16846"/>
    <cellStyle name="Comma 3 2 2 14" xfId="18598"/>
    <cellStyle name="Comma 3 2 2 15" xfId="20351"/>
    <cellStyle name="Comma 3 2 2 16" xfId="22103"/>
    <cellStyle name="Comma 3 2 2 17" xfId="23855"/>
    <cellStyle name="Comma 3 2 2 18" xfId="25607"/>
    <cellStyle name="Comma 3 2 2 19" xfId="27359"/>
    <cellStyle name="Comma 3 2 2 2" xfId="191"/>
    <cellStyle name="Comma 3 2 2 2 10" xfId="13362"/>
    <cellStyle name="Comma 3 2 2 2 11" xfId="15114"/>
    <cellStyle name="Comma 3 2 2 2 12" xfId="16867"/>
    <cellStyle name="Comma 3 2 2 2 13" xfId="18619"/>
    <cellStyle name="Comma 3 2 2 2 14" xfId="20372"/>
    <cellStyle name="Comma 3 2 2 2 15" xfId="22124"/>
    <cellStyle name="Comma 3 2 2 2 16" xfId="23876"/>
    <cellStyle name="Comma 3 2 2 2 17" xfId="25628"/>
    <cellStyle name="Comma 3 2 2 2 18" xfId="27380"/>
    <cellStyle name="Comma 3 2 2 2 19" xfId="29133"/>
    <cellStyle name="Comma 3 2 2 2 2" xfId="192"/>
    <cellStyle name="Comma 3 2 2 2 2 10" xfId="15550"/>
    <cellStyle name="Comma 3 2 2 2 2 11" xfId="17303"/>
    <cellStyle name="Comma 3 2 2 2 2 12" xfId="19055"/>
    <cellStyle name="Comma 3 2 2 2 2 13" xfId="20808"/>
    <cellStyle name="Comma 3 2 2 2 2 14" xfId="22560"/>
    <cellStyle name="Comma 3 2 2 2 2 15" xfId="24312"/>
    <cellStyle name="Comma 3 2 2 2 2 16" xfId="26064"/>
    <cellStyle name="Comma 3 2 2 2 2 17" xfId="27816"/>
    <cellStyle name="Comma 3 2 2 2 2 18" xfId="29569"/>
    <cellStyle name="Comma 3 2 2 2 2 19" xfId="31321"/>
    <cellStyle name="Comma 3 2 2 2 2 2" xfId="193"/>
    <cellStyle name="Comma 3 2 2 2 2 2 10" xfId="18179"/>
    <cellStyle name="Comma 3 2 2 2 2 2 11" xfId="19931"/>
    <cellStyle name="Comma 3 2 2 2 2 2 12" xfId="21684"/>
    <cellStyle name="Comma 3 2 2 2 2 2 13" xfId="23436"/>
    <cellStyle name="Comma 3 2 2 2 2 2 14" xfId="25188"/>
    <cellStyle name="Comma 3 2 2 2 2 2 15" xfId="26940"/>
    <cellStyle name="Comma 3 2 2 2 2 2 16" xfId="28692"/>
    <cellStyle name="Comma 3 2 2 2 2 2 17" xfId="30445"/>
    <cellStyle name="Comma 3 2 2 2 2 2 18" xfId="32197"/>
    <cellStyle name="Comma 3 2 2 2 2 2 19" xfId="33950"/>
    <cellStyle name="Comma 3 2 2 2 2 2 2" xfId="4161"/>
    <cellStyle name="Comma 3 2 2 2 2 2 20" xfId="36586"/>
    <cellStyle name="Comma 3 2 2 2 2 2 21" xfId="38326"/>
    <cellStyle name="Comma 3 2 2 2 2 2 22" xfId="40079"/>
    <cellStyle name="Comma 3 2 2 2 2 2 23" xfId="41834"/>
    <cellStyle name="Comma 3 2 2 2 2 2 24" xfId="43586"/>
    <cellStyle name="Comma 3 2 2 2 2 2 25" xfId="46204"/>
    <cellStyle name="Comma 3 2 2 2 2 2 26" xfId="47956"/>
    <cellStyle name="Comma 3 2 2 2 2 2 27" xfId="49708"/>
    <cellStyle name="Comma 3 2 2 2 2 2 28" xfId="51460"/>
    <cellStyle name="Comma 3 2 2 2 2 2 29" xfId="53212"/>
    <cellStyle name="Comma 3 2 2 2 2 2 3" xfId="5913"/>
    <cellStyle name="Comma 3 2 2 2 2 2 30" xfId="54964"/>
    <cellStyle name="Comma 3 2 2 2 2 2 31" xfId="56716"/>
    <cellStyle name="Comma 3 2 2 2 2 2 32" xfId="58469"/>
    <cellStyle name="Comma 3 2 2 2 2 2 33" xfId="60221"/>
    <cellStyle name="Comma 3 2 2 2 2 2 34" xfId="61973"/>
    <cellStyle name="Comma 3 2 2 2 2 2 4" xfId="7665"/>
    <cellStyle name="Comma 3 2 2 2 2 2 5" xfId="9417"/>
    <cellStyle name="Comma 3 2 2 2 2 2 6" xfId="11170"/>
    <cellStyle name="Comma 3 2 2 2 2 2 7" xfId="12922"/>
    <cellStyle name="Comma 3 2 2 2 2 2 8" xfId="14674"/>
    <cellStyle name="Comma 3 2 2 2 2 2 9" xfId="16426"/>
    <cellStyle name="Comma 3 2 2 2 2 20" xfId="33074"/>
    <cellStyle name="Comma 3 2 2 2 2 21" xfId="34184"/>
    <cellStyle name="Comma 3 2 2 2 2 22" xfId="35710"/>
    <cellStyle name="Comma 3 2 2 2 2 23" xfId="36813"/>
    <cellStyle name="Comma 3 2 2 2 2 24" xfId="39203"/>
    <cellStyle name="Comma 3 2 2 2 2 25" xfId="40958"/>
    <cellStyle name="Comma 3 2 2 2 2 26" xfId="42710"/>
    <cellStyle name="Comma 3 2 2 2 2 27" xfId="43813"/>
    <cellStyle name="Comma 3 2 2 2 2 28" xfId="45328"/>
    <cellStyle name="Comma 3 2 2 2 2 29" xfId="47080"/>
    <cellStyle name="Comma 3 2 2 2 2 3" xfId="3285"/>
    <cellStyle name="Comma 3 2 2 2 2 30" xfId="48832"/>
    <cellStyle name="Comma 3 2 2 2 2 31" xfId="50584"/>
    <cellStyle name="Comma 3 2 2 2 2 32" xfId="52336"/>
    <cellStyle name="Comma 3 2 2 2 2 33" xfId="54088"/>
    <cellStyle name="Comma 3 2 2 2 2 34" xfId="55840"/>
    <cellStyle name="Comma 3 2 2 2 2 35" xfId="57593"/>
    <cellStyle name="Comma 3 2 2 2 2 36" xfId="59345"/>
    <cellStyle name="Comma 3 2 2 2 2 37" xfId="61097"/>
    <cellStyle name="Comma 3 2 2 2 2 38" xfId="62200"/>
    <cellStyle name="Comma 3 2 2 2 2 39" xfId="63066"/>
    <cellStyle name="Comma 3 2 2 2 2 4" xfId="5037"/>
    <cellStyle name="Comma 3 2 2 2 2 5" xfId="6789"/>
    <cellStyle name="Comma 3 2 2 2 2 6" xfId="8541"/>
    <cellStyle name="Comma 3 2 2 2 2 7" xfId="10294"/>
    <cellStyle name="Comma 3 2 2 2 2 8" xfId="12046"/>
    <cellStyle name="Comma 3 2 2 2 2 9" xfId="13798"/>
    <cellStyle name="Comma 3 2 2 2 20" xfId="30885"/>
    <cellStyle name="Comma 3 2 2 2 21" xfId="32638"/>
    <cellStyle name="Comma 3 2 2 2 22" xfId="34183"/>
    <cellStyle name="Comma 3 2 2 2 23" xfId="35274"/>
    <cellStyle name="Comma 3 2 2 2 24" xfId="36812"/>
    <cellStyle name="Comma 3 2 2 2 25" xfId="38767"/>
    <cellStyle name="Comma 3 2 2 2 26" xfId="40522"/>
    <cellStyle name="Comma 3 2 2 2 27" xfId="42274"/>
    <cellStyle name="Comma 3 2 2 2 28" xfId="43812"/>
    <cellStyle name="Comma 3 2 2 2 29" xfId="44892"/>
    <cellStyle name="Comma 3 2 2 2 3" xfId="194"/>
    <cellStyle name="Comma 3 2 2 2 3 10" xfId="17743"/>
    <cellStyle name="Comma 3 2 2 2 3 11" xfId="19495"/>
    <cellStyle name="Comma 3 2 2 2 3 12" xfId="21248"/>
    <cellStyle name="Comma 3 2 2 2 3 13" xfId="23000"/>
    <cellStyle name="Comma 3 2 2 2 3 14" xfId="24752"/>
    <cellStyle name="Comma 3 2 2 2 3 15" xfId="26504"/>
    <cellStyle name="Comma 3 2 2 2 3 16" xfId="28256"/>
    <cellStyle name="Comma 3 2 2 2 3 17" xfId="30009"/>
    <cellStyle name="Comma 3 2 2 2 3 18" xfId="31761"/>
    <cellStyle name="Comma 3 2 2 2 3 19" xfId="33514"/>
    <cellStyle name="Comma 3 2 2 2 3 2" xfId="3725"/>
    <cellStyle name="Comma 3 2 2 2 3 20" xfId="36150"/>
    <cellStyle name="Comma 3 2 2 2 3 21" xfId="37890"/>
    <cellStyle name="Comma 3 2 2 2 3 22" xfId="39643"/>
    <cellStyle name="Comma 3 2 2 2 3 23" xfId="41398"/>
    <cellStyle name="Comma 3 2 2 2 3 24" xfId="43150"/>
    <cellStyle name="Comma 3 2 2 2 3 25" xfId="45768"/>
    <cellStyle name="Comma 3 2 2 2 3 26" xfId="47520"/>
    <cellStyle name="Comma 3 2 2 2 3 27" xfId="49272"/>
    <cellStyle name="Comma 3 2 2 2 3 28" xfId="51024"/>
    <cellStyle name="Comma 3 2 2 2 3 29" xfId="52776"/>
    <cellStyle name="Comma 3 2 2 2 3 3" xfId="5477"/>
    <cellStyle name="Comma 3 2 2 2 3 30" xfId="54528"/>
    <cellStyle name="Comma 3 2 2 2 3 31" xfId="56280"/>
    <cellStyle name="Comma 3 2 2 2 3 32" xfId="58033"/>
    <cellStyle name="Comma 3 2 2 2 3 33" xfId="59785"/>
    <cellStyle name="Comma 3 2 2 2 3 34" xfId="61537"/>
    <cellStyle name="Comma 3 2 2 2 3 4" xfId="7229"/>
    <cellStyle name="Comma 3 2 2 2 3 5" xfId="8981"/>
    <cellStyle name="Comma 3 2 2 2 3 6" xfId="10734"/>
    <cellStyle name="Comma 3 2 2 2 3 7" xfId="12486"/>
    <cellStyle name="Comma 3 2 2 2 3 8" xfId="14238"/>
    <cellStyle name="Comma 3 2 2 2 3 9" xfId="15990"/>
    <cellStyle name="Comma 3 2 2 2 30" xfId="46644"/>
    <cellStyle name="Comma 3 2 2 2 31" xfId="48396"/>
    <cellStyle name="Comma 3 2 2 2 32" xfId="50148"/>
    <cellStyle name="Comma 3 2 2 2 33" xfId="51900"/>
    <cellStyle name="Comma 3 2 2 2 34" xfId="53652"/>
    <cellStyle name="Comma 3 2 2 2 35" xfId="55404"/>
    <cellStyle name="Comma 3 2 2 2 36" xfId="57157"/>
    <cellStyle name="Comma 3 2 2 2 37" xfId="58909"/>
    <cellStyle name="Comma 3 2 2 2 38" xfId="60661"/>
    <cellStyle name="Comma 3 2 2 2 39" xfId="62199"/>
    <cellStyle name="Comma 3 2 2 2 4" xfId="2849"/>
    <cellStyle name="Comma 3 2 2 2 40" xfId="63065"/>
    <cellStyle name="Comma 3 2 2 2 5" xfId="4601"/>
    <cellStyle name="Comma 3 2 2 2 6" xfId="6353"/>
    <cellStyle name="Comma 3 2 2 2 7" xfId="8105"/>
    <cellStyle name="Comma 3 2 2 2 8" xfId="9858"/>
    <cellStyle name="Comma 3 2 2 2 9" xfId="11610"/>
    <cellStyle name="Comma 3 2 2 20" xfId="29112"/>
    <cellStyle name="Comma 3 2 2 21" xfId="30864"/>
    <cellStyle name="Comma 3 2 2 22" xfId="32617"/>
    <cellStyle name="Comma 3 2 2 23" xfId="34182"/>
    <cellStyle name="Comma 3 2 2 24" xfId="35253"/>
    <cellStyle name="Comma 3 2 2 25" xfId="36811"/>
    <cellStyle name="Comma 3 2 2 26" xfId="38746"/>
    <cellStyle name="Comma 3 2 2 27" xfId="40501"/>
    <cellStyle name="Comma 3 2 2 28" xfId="42253"/>
    <cellStyle name="Comma 3 2 2 29" xfId="43811"/>
    <cellStyle name="Comma 3 2 2 3" xfId="195"/>
    <cellStyle name="Comma 3 2 2 3 10" xfId="15529"/>
    <cellStyle name="Comma 3 2 2 3 11" xfId="17282"/>
    <cellStyle name="Comma 3 2 2 3 12" xfId="19034"/>
    <cellStyle name="Comma 3 2 2 3 13" xfId="20787"/>
    <cellStyle name="Comma 3 2 2 3 14" xfId="22539"/>
    <cellStyle name="Comma 3 2 2 3 15" xfId="24291"/>
    <cellStyle name="Comma 3 2 2 3 16" xfId="26043"/>
    <cellStyle name="Comma 3 2 2 3 17" xfId="27795"/>
    <cellStyle name="Comma 3 2 2 3 18" xfId="29548"/>
    <cellStyle name="Comma 3 2 2 3 19" xfId="31300"/>
    <cellStyle name="Comma 3 2 2 3 2" xfId="196"/>
    <cellStyle name="Comma 3 2 2 3 2 10" xfId="18158"/>
    <cellStyle name="Comma 3 2 2 3 2 11" xfId="19910"/>
    <cellStyle name="Comma 3 2 2 3 2 12" xfId="21663"/>
    <cellStyle name="Comma 3 2 2 3 2 13" xfId="23415"/>
    <cellStyle name="Comma 3 2 2 3 2 14" xfId="25167"/>
    <cellStyle name="Comma 3 2 2 3 2 15" xfId="26919"/>
    <cellStyle name="Comma 3 2 2 3 2 16" xfId="28671"/>
    <cellStyle name="Comma 3 2 2 3 2 17" xfId="30424"/>
    <cellStyle name="Comma 3 2 2 3 2 18" xfId="32176"/>
    <cellStyle name="Comma 3 2 2 3 2 19" xfId="33929"/>
    <cellStyle name="Comma 3 2 2 3 2 2" xfId="4140"/>
    <cellStyle name="Comma 3 2 2 3 2 20" xfId="36565"/>
    <cellStyle name="Comma 3 2 2 3 2 21" xfId="38305"/>
    <cellStyle name="Comma 3 2 2 3 2 22" xfId="40058"/>
    <cellStyle name="Comma 3 2 2 3 2 23" xfId="41813"/>
    <cellStyle name="Comma 3 2 2 3 2 24" xfId="43565"/>
    <cellStyle name="Comma 3 2 2 3 2 25" xfId="46183"/>
    <cellStyle name="Comma 3 2 2 3 2 26" xfId="47935"/>
    <cellStyle name="Comma 3 2 2 3 2 27" xfId="49687"/>
    <cellStyle name="Comma 3 2 2 3 2 28" xfId="51439"/>
    <cellStyle name="Comma 3 2 2 3 2 29" xfId="53191"/>
    <cellStyle name="Comma 3 2 2 3 2 3" xfId="5892"/>
    <cellStyle name="Comma 3 2 2 3 2 30" xfId="54943"/>
    <cellStyle name="Comma 3 2 2 3 2 31" xfId="56695"/>
    <cellStyle name="Comma 3 2 2 3 2 32" xfId="58448"/>
    <cellStyle name="Comma 3 2 2 3 2 33" xfId="60200"/>
    <cellStyle name="Comma 3 2 2 3 2 34" xfId="61952"/>
    <cellStyle name="Comma 3 2 2 3 2 4" xfId="7644"/>
    <cellStyle name="Comma 3 2 2 3 2 5" xfId="9396"/>
    <cellStyle name="Comma 3 2 2 3 2 6" xfId="11149"/>
    <cellStyle name="Comma 3 2 2 3 2 7" xfId="12901"/>
    <cellStyle name="Comma 3 2 2 3 2 8" xfId="14653"/>
    <cellStyle name="Comma 3 2 2 3 2 9" xfId="16405"/>
    <cellStyle name="Comma 3 2 2 3 20" xfId="33053"/>
    <cellStyle name="Comma 3 2 2 3 21" xfId="34185"/>
    <cellStyle name="Comma 3 2 2 3 22" xfId="35689"/>
    <cellStyle name="Comma 3 2 2 3 23" xfId="36814"/>
    <cellStyle name="Comma 3 2 2 3 24" xfId="39182"/>
    <cellStyle name="Comma 3 2 2 3 25" xfId="40937"/>
    <cellStyle name="Comma 3 2 2 3 26" xfId="42689"/>
    <cellStyle name="Comma 3 2 2 3 27" xfId="43814"/>
    <cellStyle name="Comma 3 2 2 3 28" xfId="45307"/>
    <cellStyle name="Comma 3 2 2 3 29" xfId="47059"/>
    <cellStyle name="Comma 3 2 2 3 3" xfId="3264"/>
    <cellStyle name="Comma 3 2 2 3 30" xfId="48811"/>
    <cellStyle name="Comma 3 2 2 3 31" xfId="50563"/>
    <cellStyle name="Comma 3 2 2 3 32" xfId="52315"/>
    <cellStyle name="Comma 3 2 2 3 33" xfId="54067"/>
    <cellStyle name="Comma 3 2 2 3 34" xfId="55819"/>
    <cellStyle name="Comma 3 2 2 3 35" xfId="57572"/>
    <cellStyle name="Comma 3 2 2 3 36" xfId="59324"/>
    <cellStyle name="Comma 3 2 2 3 37" xfId="61076"/>
    <cellStyle name="Comma 3 2 2 3 38" xfId="62201"/>
    <cellStyle name="Comma 3 2 2 3 39" xfId="63067"/>
    <cellStyle name="Comma 3 2 2 3 4" xfId="5016"/>
    <cellStyle name="Comma 3 2 2 3 5" xfId="6768"/>
    <cellStyle name="Comma 3 2 2 3 6" xfId="8520"/>
    <cellStyle name="Comma 3 2 2 3 7" xfId="10273"/>
    <cellStyle name="Comma 3 2 2 3 8" xfId="12025"/>
    <cellStyle name="Comma 3 2 2 3 9" xfId="13777"/>
    <cellStyle name="Comma 3 2 2 30" xfId="44871"/>
    <cellStyle name="Comma 3 2 2 31" xfId="46623"/>
    <cellStyle name="Comma 3 2 2 32" xfId="48375"/>
    <cellStyle name="Comma 3 2 2 33" xfId="50127"/>
    <cellStyle name="Comma 3 2 2 34" xfId="51879"/>
    <cellStyle name="Comma 3 2 2 35" xfId="53631"/>
    <cellStyle name="Comma 3 2 2 36" xfId="55383"/>
    <cellStyle name="Comma 3 2 2 37" xfId="57136"/>
    <cellStyle name="Comma 3 2 2 38" xfId="58888"/>
    <cellStyle name="Comma 3 2 2 39" xfId="60640"/>
    <cellStyle name="Comma 3 2 2 4" xfId="197"/>
    <cellStyle name="Comma 3 2 2 4 10" xfId="17722"/>
    <cellStyle name="Comma 3 2 2 4 11" xfId="19474"/>
    <cellStyle name="Comma 3 2 2 4 12" xfId="21227"/>
    <cellStyle name="Comma 3 2 2 4 13" xfId="22979"/>
    <cellStyle name="Comma 3 2 2 4 14" xfId="24731"/>
    <cellStyle name="Comma 3 2 2 4 15" xfId="26483"/>
    <cellStyle name="Comma 3 2 2 4 16" xfId="28235"/>
    <cellStyle name="Comma 3 2 2 4 17" xfId="29988"/>
    <cellStyle name="Comma 3 2 2 4 18" xfId="31740"/>
    <cellStyle name="Comma 3 2 2 4 19" xfId="33493"/>
    <cellStyle name="Comma 3 2 2 4 2" xfId="3704"/>
    <cellStyle name="Comma 3 2 2 4 20" xfId="36129"/>
    <cellStyle name="Comma 3 2 2 4 21" xfId="37869"/>
    <cellStyle name="Comma 3 2 2 4 22" xfId="39622"/>
    <cellStyle name="Comma 3 2 2 4 23" xfId="41377"/>
    <cellStyle name="Comma 3 2 2 4 24" xfId="43129"/>
    <cellStyle name="Comma 3 2 2 4 25" xfId="45747"/>
    <cellStyle name="Comma 3 2 2 4 26" xfId="47499"/>
    <cellStyle name="Comma 3 2 2 4 27" xfId="49251"/>
    <cellStyle name="Comma 3 2 2 4 28" xfId="51003"/>
    <cellStyle name="Comma 3 2 2 4 29" xfId="52755"/>
    <cellStyle name="Comma 3 2 2 4 3" xfId="5456"/>
    <cellStyle name="Comma 3 2 2 4 30" xfId="54507"/>
    <cellStyle name="Comma 3 2 2 4 31" xfId="56259"/>
    <cellStyle name="Comma 3 2 2 4 32" xfId="58012"/>
    <cellStyle name="Comma 3 2 2 4 33" xfId="59764"/>
    <cellStyle name="Comma 3 2 2 4 34" xfId="61516"/>
    <cellStyle name="Comma 3 2 2 4 4" xfId="7208"/>
    <cellStyle name="Comma 3 2 2 4 5" xfId="8960"/>
    <cellStyle name="Comma 3 2 2 4 6" xfId="10713"/>
    <cellStyle name="Comma 3 2 2 4 7" xfId="12465"/>
    <cellStyle name="Comma 3 2 2 4 8" xfId="14217"/>
    <cellStyle name="Comma 3 2 2 4 9" xfId="15969"/>
    <cellStyle name="Comma 3 2 2 40" xfId="62198"/>
    <cellStyle name="Comma 3 2 2 41" xfId="63064"/>
    <cellStyle name="Comma 3 2 2 5" xfId="2828"/>
    <cellStyle name="Comma 3 2 2 6" xfId="4580"/>
    <cellStyle name="Comma 3 2 2 7" xfId="6332"/>
    <cellStyle name="Comma 3 2 2 8" xfId="8084"/>
    <cellStyle name="Comma 3 2 2 9" xfId="9837"/>
    <cellStyle name="Comma 3 2 20" xfId="27251"/>
    <cellStyle name="Comma 3 2 21" xfId="29004"/>
    <cellStyle name="Comma 3 2 22" xfId="30756"/>
    <cellStyle name="Comma 3 2 23" xfId="32509"/>
    <cellStyle name="Comma 3 2 24" xfId="34181"/>
    <cellStyle name="Comma 3 2 25" xfId="35145"/>
    <cellStyle name="Comma 3 2 26" xfId="36810"/>
    <cellStyle name="Comma 3 2 27" xfId="38638"/>
    <cellStyle name="Comma 3 2 28" xfId="40393"/>
    <cellStyle name="Comma 3 2 29" xfId="42145"/>
    <cellStyle name="Comma 3 2 3" xfId="198"/>
    <cellStyle name="Comma 3 2 3 10" xfId="13363"/>
    <cellStyle name="Comma 3 2 3 11" xfId="15115"/>
    <cellStyle name="Comma 3 2 3 12" xfId="16868"/>
    <cellStyle name="Comma 3 2 3 13" xfId="18620"/>
    <cellStyle name="Comma 3 2 3 14" xfId="20373"/>
    <cellStyle name="Comma 3 2 3 15" xfId="22125"/>
    <cellStyle name="Comma 3 2 3 16" xfId="23877"/>
    <cellStyle name="Comma 3 2 3 17" xfId="25629"/>
    <cellStyle name="Comma 3 2 3 18" xfId="27381"/>
    <cellStyle name="Comma 3 2 3 19" xfId="29134"/>
    <cellStyle name="Comma 3 2 3 2" xfId="199"/>
    <cellStyle name="Comma 3 2 3 2 10" xfId="15551"/>
    <cellStyle name="Comma 3 2 3 2 11" xfId="17304"/>
    <cellStyle name="Comma 3 2 3 2 12" xfId="19056"/>
    <cellStyle name="Comma 3 2 3 2 13" xfId="20809"/>
    <cellStyle name="Comma 3 2 3 2 14" xfId="22561"/>
    <cellStyle name="Comma 3 2 3 2 15" xfId="24313"/>
    <cellStyle name="Comma 3 2 3 2 16" xfId="26065"/>
    <cellStyle name="Comma 3 2 3 2 17" xfId="27817"/>
    <cellStyle name="Comma 3 2 3 2 18" xfId="29570"/>
    <cellStyle name="Comma 3 2 3 2 19" xfId="31322"/>
    <cellStyle name="Comma 3 2 3 2 2" xfId="200"/>
    <cellStyle name="Comma 3 2 3 2 2 10" xfId="18180"/>
    <cellStyle name="Comma 3 2 3 2 2 11" xfId="19932"/>
    <cellStyle name="Comma 3 2 3 2 2 12" xfId="21685"/>
    <cellStyle name="Comma 3 2 3 2 2 13" xfId="23437"/>
    <cellStyle name="Comma 3 2 3 2 2 14" xfId="25189"/>
    <cellStyle name="Comma 3 2 3 2 2 15" xfId="26941"/>
    <cellStyle name="Comma 3 2 3 2 2 16" xfId="28693"/>
    <cellStyle name="Comma 3 2 3 2 2 17" xfId="30446"/>
    <cellStyle name="Comma 3 2 3 2 2 18" xfId="32198"/>
    <cellStyle name="Comma 3 2 3 2 2 19" xfId="33951"/>
    <cellStyle name="Comma 3 2 3 2 2 2" xfId="4162"/>
    <cellStyle name="Comma 3 2 3 2 2 20" xfId="36587"/>
    <cellStyle name="Comma 3 2 3 2 2 21" xfId="38327"/>
    <cellStyle name="Comma 3 2 3 2 2 22" xfId="40080"/>
    <cellStyle name="Comma 3 2 3 2 2 23" xfId="41835"/>
    <cellStyle name="Comma 3 2 3 2 2 24" xfId="43587"/>
    <cellStyle name="Comma 3 2 3 2 2 25" xfId="46205"/>
    <cellStyle name="Comma 3 2 3 2 2 26" xfId="47957"/>
    <cellStyle name="Comma 3 2 3 2 2 27" xfId="49709"/>
    <cellStyle name="Comma 3 2 3 2 2 28" xfId="51461"/>
    <cellStyle name="Comma 3 2 3 2 2 29" xfId="53213"/>
    <cellStyle name="Comma 3 2 3 2 2 3" xfId="5914"/>
    <cellStyle name="Comma 3 2 3 2 2 30" xfId="54965"/>
    <cellStyle name="Comma 3 2 3 2 2 31" xfId="56717"/>
    <cellStyle name="Comma 3 2 3 2 2 32" xfId="58470"/>
    <cellStyle name="Comma 3 2 3 2 2 33" xfId="60222"/>
    <cellStyle name="Comma 3 2 3 2 2 34" xfId="61974"/>
    <cellStyle name="Comma 3 2 3 2 2 4" xfId="7666"/>
    <cellStyle name="Comma 3 2 3 2 2 5" xfId="9418"/>
    <cellStyle name="Comma 3 2 3 2 2 6" xfId="11171"/>
    <cellStyle name="Comma 3 2 3 2 2 7" xfId="12923"/>
    <cellStyle name="Comma 3 2 3 2 2 8" xfId="14675"/>
    <cellStyle name="Comma 3 2 3 2 2 9" xfId="16427"/>
    <cellStyle name="Comma 3 2 3 2 20" xfId="33075"/>
    <cellStyle name="Comma 3 2 3 2 21" xfId="34187"/>
    <cellStyle name="Comma 3 2 3 2 22" xfId="35711"/>
    <cellStyle name="Comma 3 2 3 2 23" xfId="36816"/>
    <cellStyle name="Comma 3 2 3 2 24" xfId="39204"/>
    <cellStyle name="Comma 3 2 3 2 25" xfId="40959"/>
    <cellStyle name="Comma 3 2 3 2 26" xfId="42711"/>
    <cellStyle name="Comma 3 2 3 2 27" xfId="43816"/>
    <cellStyle name="Comma 3 2 3 2 28" xfId="45329"/>
    <cellStyle name="Comma 3 2 3 2 29" xfId="47081"/>
    <cellStyle name="Comma 3 2 3 2 3" xfId="3286"/>
    <cellStyle name="Comma 3 2 3 2 30" xfId="48833"/>
    <cellStyle name="Comma 3 2 3 2 31" xfId="50585"/>
    <cellStyle name="Comma 3 2 3 2 32" xfId="52337"/>
    <cellStyle name="Comma 3 2 3 2 33" xfId="54089"/>
    <cellStyle name="Comma 3 2 3 2 34" xfId="55841"/>
    <cellStyle name="Comma 3 2 3 2 35" xfId="57594"/>
    <cellStyle name="Comma 3 2 3 2 36" xfId="59346"/>
    <cellStyle name="Comma 3 2 3 2 37" xfId="61098"/>
    <cellStyle name="Comma 3 2 3 2 38" xfId="62203"/>
    <cellStyle name="Comma 3 2 3 2 39" xfId="63069"/>
    <cellStyle name="Comma 3 2 3 2 4" xfId="5038"/>
    <cellStyle name="Comma 3 2 3 2 5" xfId="6790"/>
    <cellStyle name="Comma 3 2 3 2 6" xfId="8542"/>
    <cellStyle name="Comma 3 2 3 2 7" xfId="10295"/>
    <cellStyle name="Comma 3 2 3 2 8" xfId="12047"/>
    <cellStyle name="Comma 3 2 3 2 9" xfId="13799"/>
    <cellStyle name="Comma 3 2 3 20" xfId="30886"/>
    <cellStyle name="Comma 3 2 3 21" xfId="32639"/>
    <cellStyle name="Comma 3 2 3 22" xfId="34186"/>
    <cellStyle name="Comma 3 2 3 23" xfId="35275"/>
    <cellStyle name="Comma 3 2 3 24" xfId="36815"/>
    <cellStyle name="Comma 3 2 3 25" xfId="38768"/>
    <cellStyle name="Comma 3 2 3 26" xfId="40523"/>
    <cellStyle name="Comma 3 2 3 27" xfId="42275"/>
    <cellStyle name="Comma 3 2 3 28" xfId="43815"/>
    <cellStyle name="Comma 3 2 3 29" xfId="44893"/>
    <cellStyle name="Comma 3 2 3 3" xfId="201"/>
    <cellStyle name="Comma 3 2 3 3 10" xfId="17744"/>
    <cellStyle name="Comma 3 2 3 3 11" xfId="19496"/>
    <cellStyle name="Comma 3 2 3 3 12" xfId="21249"/>
    <cellStyle name="Comma 3 2 3 3 13" xfId="23001"/>
    <cellStyle name="Comma 3 2 3 3 14" xfId="24753"/>
    <cellStyle name="Comma 3 2 3 3 15" xfId="26505"/>
    <cellStyle name="Comma 3 2 3 3 16" xfId="28257"/>
    <cellStyle name="Comma 3 2 3 3 17" xfId="30010"/>
    <cellStyle name="Comma 3 2 3 3 18" xfId="31762"/>
    <cellStyle name="Comma 3 2 3 3 19" xfId="33515"/>
    <cellStyle name="Comma 3 2 3 3 2" xfId="3726"/>
    <cellStyle name="Comma 3 2 3 3 20" xfId="36151"/>
    <cellStyle name="Comma 3 2 3 3 21" xfId="37891"/>
    <cellStyle name="Comma 3 2 3 3 22" xfId="39644"/>
    <cellStyle name="Comma 3 2 3 3 23" xfId="41399"/>
    <cellStyle name="Comma 3 2 3 3 24" xfId="43151"/>
    <cellStyle name="Comma 3 2 3 3 25" xfId="45769"/>
    <cellStyle name="Comma 3 2 3 3 26" xfId="47521"/>
    <cellStyle name="Comma 3 2 3 3 27" xfId="49273"/>
    <cellStyle name="Comma 3 2 3 3 28" xfId="51025"/>
    <cellStyle name="Comma 3 2 3 3 29" xfId="52777"/>
    <cellStyle name="Comma 3 2 3 3 3" xfId="5478"/>
    <cellStyle name="Comma 3 2 3 3 30" xfId="54529"/>
    <cellStyle name="Comma 3 2 3 3 31" xfId="56281"/>
    <cellStyle name="Comma 3 2 3 3 32" xfId="58034"/>
    <cellStyle name="Comma 3 2 3 3 33" xfId="59786"/>
    <cellStyle name="Comma 3 2 3 3 34" xfId="61538"/>
    <cellStyle name="Comma 3 2 3 3 4" xfId="7230"/>
    <cellStyle name="Comma 3 2 3 3 5" xfId="8982"/>
    <cellStyle name="Comma 3 2 3 3 6" xfId="10735"/>
    <cellStyle name="Comma 3 2 3 3 7" xfId="12487"/>
    <cellStyle name="Comma 3 2 3 3 8" xfId="14239"/>
    <cellStyle name="Comma 3 2 3 3 9" xfId="15991"/>
    <cellStyle name="Comma 3 2 3 30" xfId="46645"/>
    <cellStyle name="Comma 3 2 3 31" xfId="48397"/>
    <cellStyle name="Comma 3 2 3 32" xfId="50149"/>
    <cellStyle name="Comma 3 2 3 33" xfId="51901"/>
    <cellStyle name="Comma 3 2 3 34" xfId="53653"/>
    <cellStyle name="Comma 3 2 3 35" xfId="55405"/>
    <cellStyle name="Comma 3 2 3 36" xfId="57158"/>
    <cellStyle name="Comma 3 2 3 37" xfId="58910"/>
    <cellStyle name="Comma 3 2 3 38" xfId="60662"/>
    <cellStyle name="Comma 3 2 3 39" xfId="62202"/>
    <cellStyle name="Comma 3 2 3 4" xfId="2850"/>
    <cellStyle name="Comma 3 2 3 40" xfId="63068"/>
    <cellStyle name="Comma 3 2 3 5" xfId="4602"/>
    <cellStyle name="Comma 3 2 3 6" xfId="6354"/>
    <cellStyle name="Comma 3 2 3 7" xfId="8106"/>
    <cellStyle name="Comma 3 2 3 8" xfId="9859"/>
    <cellStyle name="Comma 3 2 3 9" xfId="11611"/>
    <cellStyle name="Comma 3 2 30" xfId="43810"/>
    <cellStyle name="Comma 3 2 31" xfId="44763"/>
    <cellStyle name="Comma 3 2 32" xfId="46515"/>
    <cellStyle name="Comma 3 2 33" xfId="48267"/>
    <cellStyle name="Comma 3 2 34" xfId="50019"/>
    <cellStyle name="Comma 3 2 35" xfId="51771"/>
    <cellStyle name="Comma 3 2 36" xfId="53523"/>
    <cellStyle name="Comma 3 2 37" xfId="55275"/>
    <cellStyle name="Comma 3 2 38" xfId="57028"/>
    <cellStyle name="Comma 3 2 39" xfId="58780"/>
    <cellStyle name="Comma 3 2 4" xfId="202"/>
    <cellStyle name="Comma 3 2 4 10" xfId="15421"/>
    <cellStyle name="Comma 3 2 4 11" xfId="17174"/>
    <cellStyle name="Comma 3 2 4 12" xfId="18926"/>
    <cellStyle name="Comma 3 2 4 13" xfId="20679"/>
    <cellStyle name="Comma 3 2 4 14" xfId="22431"/>
    <cellStyle name="Comma 3 2 4 15" xfId="24183"/>
    <cellStyle name="Comma 3 2 4 16" xfId="25935"/>
    <cellStyle name="Comma 3 2 4 17" xfId="27687"/>
    <cellStyle name="Comma 3 2 4 18" xfId="29440"/>
    <cellStyle name="Comma 3 2 4 19" xfId="31192"/>
    <cellStyle name="Comma 3 2 4 2" xfId="203"/>
    <cellStyle name="Comma 3 2 4 2 10" xfId="18050"/>
    <cellStyle name="Comma 3 2 4 2 11" xfId="19802"/>
    <cellStyle name="Comma 3 2 4 2 12" xfId="21555"/>
    <cellStyle name="Comma 3 2 4 2 13" xfId="23307"/>
    <cellStyle name="Comma 3 2 4 2 14" xfId="25059"/>
    <cellStyle name="Comma 3 2 4 2 15" xfId="26811"/>
    <cellStyle name="Comma 3 2 4 2 16" xfId="28563"/>
    <cellStyle name="Comma 3 2 4 2 17" xfId="30316"/>
    <cellStyle name="Comma 3 2 4 2 18" xfId="32068"/>
    <cellStyle name="Comma 3 2 4 2 19" xfId="33821"/>
    <cellStyle name="Comma 3 2 4 2 2" xfId="4032"/>
    <cellStyle name="Comma 3 2 4 2 20" xfId="36457"/>
    <cellStyle name="Comma 3 2 4 2 21" xfId="38197"/>
    <cellStyle name="Comma 3 2 4 2 22" xfId="39950"/>
    <cellStyle name="Comma 3 2 4 2 23" xfId="41705"/>
    <cellStyle name="Comma 3 2 4 2 24" xfId="43457"/>
    <cellStyle name="Comma 3 2 4 2 25" xfId="46075"/>
    <cellStyle name="Comma 3 2 4 2 26" xfId="47827"/>
    <cellStyle name="Comma 3 2 4 2 27" xfId="49579"/>
    <cellStyle name="Comma 3 2 4 2 28" xfId="51331"/>
    <cellStyle name="Comma 3 2 4 2 29" xfId="53083"/>
    <cellStyle name="Comma 3 2 4 2 3" xfId="5784"/>
    <cellStyle name="Comma 3 2 4 2 30" xfId="54835"/>
    <cellStyle name="Comma 3 2 4 2 31" xfId="56587"/>
    <cellStyle name="Comma 3 2 4 2 32" xfId="58340"/>
    <cellStyle name="Comma 3 2 4 2 33" xfId="60092"/>
    <cellStyle name="Comma 3 2 4 2 34" xfId="61844"/>
    <cellStyle name="Comma 3 2 4 2 4" xfId="7536"/>
    <cellStyle name="Comma 3 2 4 2 5" xfId="9288"/>
    <cellStyle name="Comma 3 2 4 2 6" xfId="11041"/>
    <cellStyle name="Comma 3 2 4 2 7" xfId="12793"/>
    <cellStyle name="Comma 3 2 4 2 8" xfId="14545"/>
    <cellStyle name="Comma 3 2 4 2 9" xfId="16297"/>
    <cellStyle name="Comma 3 2 4 20" xfId="32945"/>
    <cellStyle name="Comma 3 2 4 21" xfId="34188"/>
    <cellStyle name="Comma 3 2 4 22" xfId="35581"/>
    <cellStyle name="Comma 3 2 4 23" xfId="36817"/>
    <cellStyle name="Comma 3 2 4 24" xfId="39074"/>
    <cellStyle name="Comma 3 2 4 25" xfId="40829"/>
    <cellStyle name="Comma 3 2 4 26" xfId="42581"/>
    <cellStyle name="Comma 3 2 4 27" xfId="43817"/>
    <cellStyle name="Comma 3 2 4 28" xfId="45199"/>
    <cellStyle name="Comma 3 2 4 29" xfId="46951"/>
    <cellStyle name="Comma 3 2 4 3" xfId="3156"/>
    <cellStyle name="Comma 3 2 4 30" xfId="48703"/>
    <cellStyle name="Comma 3 2 4 31" xfId="50455"/>
    <cellStyle name="Comma 3 2 4 32" xfId="52207"/>
    <cellStyle name="Comma 3 2 4 33" xfId="53959"/>
    <cellStyle name="Comma 3 2 4 34" xfId="55711"/>
    <cellStyle name="Comma 3 2 4 35" xfId="57464"/>
    <cellStyle name="Comma 3 2 4 36" xfId="59216"/>
    <cellStyle name="Comma 3 2 4 37" xfId="60968"/>
    <cellStyle name="Comma 3 2 4 38" xfId="62204"/>
    <cellStyle name="Comma 3 2 4 39" xfId="63070"/>
    <cellStyle name="Comma 3 2 4 4" xfId="4908"/>
    <cellStyle name="Comma 3 2 4 5" xfId="6660"/>
    <cellStyle name="Comma 3 2 4 6" xfId="8412"/>
    <cellStyle name="Comma 3 2 4 7" xfId="10165"/>
    <cellStyle name="Comma 3 2 4 8" xfId="11917"/>
    <cellStyle name="Comma 3 2 4 9" xfId="13669"/>
    <cellStyle name="Comma 3 2 40" xfId="60532"/>
    <cellStyle name="Comma 3 2 41" xfId="62197"/>
    <cellStyle name="Comma 3 2 42" xfId="63063"/>
    <cellStyle name="Comma 3 2 5" xfId="204"/>
    <cellStyle name="Comma 3 2 5 10" xfId="17614"/>
    <cellStyle name="Comma 3 2 5 11" xfId="19366"/>
    <cellStyle name="Comma 3 2 5 12" xfId="21119"/>
    <cellStyle name="Comma 3 2 5 13" xfId="22871"/>
    <cellStyle name="Comma 3 2 5 14" xfId="24623"/>
    <cellStyle name="Comma 3 2 5 15" xfId="26375"/>
    <cellStyle name="Comma 3 2 5 16" xfId="28127"/>
    <cellStyle name="Comma 3 2 5 17" xfId="29880"/>
    <cellStyle name="Comma 3 2 5 18" xfId="31632"/>
    <cellStyle name="Comma 3 2 5 19" xfId="33385"/>
    <cellStyle name="Comma 3 2 5 2" xfId="3596"/>
    <cellStyle name="Comma 3 2 5 20" xfId="36021"/>
    <cellStyle name="Comma 3 2 5 21" xfId="37761"/>
    <cellStyle name="Comma 3 2 5 22" xfId="39514"/>
    <cellStyle name="Comma 3 2 5 23" xfId="41269"/>
    <cellStyle name="Comma 3 2 5 24" xfId="43021"/>
    <cellStyle name="Comma 3 2 5 25" xfId="45639"/>
    <cellStyle name="Comma 3 2 5 26" xfId="47391"/>
    <cellStyle name="Comma 3 2 5 27" xfId="49143"/>
    <cellStyle name="Comma 3 2 5 28" xfId="50895"/>
    <cellStyle name="Comma 3 2 5 29" xfId="52647"/>
    <cellStyle name="Comma 3 2 5 3" xfId="5348"/>
    <cellStyle name="Comma 3 2 5 30" xfId="54399"/>
    <cellStyle name="Comma 3 2 5 31" xfId="56151"/>
    <cellStyle name="Comma 3 2 5 32" xfId="57904"/>
    <cellStyle name="Comma 3 2 5 33" xfId="59656"/>
    <cellStyle name="Comma 3 2 5 34" xfId="61408"/>
    <cellStyle name="Comma 3 2 5 4" xfId="7100"/>
    <cellStyle name="Comma 3 2 5 5" xfId="8852"/>
    <cellStyle name="Comma 3 2 5 6" xfId="10605"/>
    <cellStyle name="Comma 3 2 5 7" xfId="12357"/>
    <cellStyle name="Comma 3 2 5 8" xfId="14109"/>
    <cellStyle name="Comma 3 2 5 9" xfId="15861"/>
    <cellStyle name="Comma 3 2 6" xfId="2720"/>
    <cellStyle name="Comma 3 2 7" xfId="4472"/>
    <cellStyle name="Comma 3 2 8" xfId="6224"/>
    <cellStyle name="Comma 3 2 9" xfId="7976"/>
    <cellStyle name="Comma 3 20" xfId="25444"/>
    <cellStyle name="Comma 3 21" xfId="27196"/>
    <cellStyle name="Comma 3 22" xfId="28949"/>
    <cellStyle name="Comma 3 23" xfId="30701"/>
    <cellStyle name="Comma 3 24" xfId="32454"/>
    <cellStyle name="Comma 3 25" xfId="34180"/>
    <cellStyle name="Comma 3 26" xfId="35090"/>
    <cellStyle name="Comma 3 27" xfId="36809"/>
    <cellStyle name="Comma 3 28" xfId="38583"/>
    <cellStyle name="Comma 3 29" xfId="40338"/>
    <cellStyle name="Comma 3 3" xfId="205"/>
    <cellStyle name="Comma 3 3 10" xfId="11534"/>
    <cellStyle name="Comma 3 3 11" xfId="13286"/>
    <cellStyle name="Comma 3 3 12" xfId="15038"/>
    <cellStyle name="Comma 3 3 13" xfId="16791"/>
    <cellStyle name="Comma 3 3 14" xfId="18543"/>
    <cellStyle name="Comma 3 3 15" xfId="20296"/>
    <cellStyle name="Comma 3 3 16" xfId="22048"/>
    <cellStyle name="Comma 3 3 17" xfId="23800"/>
    <cellStyle name="Comma 3 3 18" xfId="25552"/>
    <cellStyle name="Comma 3 3 19" xfId="27304"/>
    <cellStyle name="Comma 3 3 2" xfId="206"/>
    <cellStyle name="Comma 3 3 2 10" xfId="13364"/>
    <cellStyle name="Comma 3 3 2 11" xfId="15116"/>
    <cellStyle name="Comma 3 3 2 12" xfId="16869"/>
    <cellStyle name="Comma 3 3 2 13" xfId="18621"/>
    <cellStyle name="Comma 3 3 2 14" xfId="20374"/>
    <cellStyle name="Comma 3 3 2 15" xfId="22126"/>
    <cellStyle name="Comma 3 3 2 16" xfId="23878"/>
    <cellStyle name="Comma 3 3 2 17" xfId="25630"/>
    <cellStyle name="Comma 3 3 2 18" xfId="27382"/>
    <cellStyle name="Comma 3 3 2 19" xfId="29135"/>
    <cellStyle name="Comma 3 3 2 2" xfId="207"/>
    <cellStyle name="Comma 3 3 2 2 10" xfId="15552"/>
    <cellStyle name="Comma 3 3 2 2 11" xfId="17305"/>
    <cellStyle name="Comma 3 3 2 2 12" xfId="19057"/>
    <cellStyle name="Comma 3 3 2 2 13" xfId="20810"/>
    <cellStyle name="Comma 3 3 2 2 14" xfId="22562"/>
    <cellStyle name="Comma 3 3 2 2 15" xfId="24314"/>
    <cellStyle name="Comma 3 3 2 2 16" xfId="26066"/>
    <cellStyle name="Comma 3 3 2 2 17" xfId="27818"/>
    <cellStyle name="Comma 3 3 2 2 18" xfId="29571"/>
    <cellStyle name="Comma 3 3 2 2 19" xfId="31323"/>
    <cellStyle name="Comma 3 3 2 2 2" xfId="208"/>
    <cellStyle name="Comma 3 3 2 2 2 10" xfId="18181"/>
    <cellStyle name="Comma 3 3 2 2 2 11" xfId="19933"/>
    <cellStyle name="Comma 3 3 2 2 2 12" xfId="21686"/>
    <cellStyle name="Comma 3 3 2 2 2 13" xfId="23438"/>
    <cellStyle name="Comma 3 3 2 2 2 14" xfId="25190"/>
    <cellStyle name="Comma 3 3 2 2 2 15" xfId="26942"/>
    <cellStyle name="Comma 3 3 2 2 2 16" xfId="28694"/>
    <cellStyle name="Comma 3 3 2 2 2 17" xfId="30447"/>
    <cellStyle name="Comma 3 3 2 2 2 18" xfId="32199"/>
    <cellStyle name="Comma 3 3 2 2 2 19" xfId="33952"/>
    <cellStyle name="Comma 3 3 2 2 2 2" xfId="4163"/>
    <cellStyle name="Comma 3 3 2 2 2 20" xfId="36588"/>
    <cellStyle name="Comma 3 3 2 2 2 21" xfId="38328"/>
    <cellStyle name="Comma 3 3 2 2 2 22" xfId="40081"/>
    <cellStyle name="Comma 3 3 2 2 2 23" xfId="41836"/>
    <cellStyle name="Comma 3 3 2 2 2 24" xfId="43588"/>
    <cellStyle name="Comma 3 3 2 2 2 25" xfId="46206"/>
    <cellStyle name="Comma 3 3 2 2 2 26" xfId="47958"/>
    <cellStyle name="Comma 3 3 2 2 2 27" xfId="49710"/>
    <cellStyle name="Comma 3 3 2 2 2 28" xfId="51462"/>
    <cellStyle name="Comma 3 3 2 2 2 29" xfId="53214"/>
    <cellStyle name="Comma 3 3 2 2 2 3" xfId="5915"/>
    <cellStyle name="Comma 3 3 2 2 2 30" xfId="54966"/>
    <cellStyle name="Comma 3 3 2 2 2 31" xfId="56718"/>
    <cellStyle name="Comma 3 3 2 2 2 32" xfId="58471"/>
    <cellStyle name="Comma 3 3 2 2 2 33" xfId="60223"/>
    <cellStyle name="Comma 3 3 2 2 2 34" xfId="61975"/>
    <cellStyle name="Comma 3 3 2 2 2 4" xfId="7667"/>
    <cellStyle name="Comma 3 3 2 2 2 5" xfId="9419"/>
    <cellStyle name="Comma 3 3 2 2 2 6" xfId="11172"/>
    <cellStyle name="Comma 3 3 2 2 2 7" xfId="12924"/>
    <cellStyle name="Comma 3 3 2 2 2 8" xfId="14676"/>
    <cellStyle name="Comma 3 3 2 2 2 9" xfId="16428"/>
    <cellStyle name="Comma 3 3 2 2 20" xfId="33076"/>
    <cellStyle name="Comma 3 3 2 2 21" xfId="34191"/>
    <cellStyle name="Comma 3 3 2 2 22" xfId="35712"/>
    <cellStyle name="Comma 3 3 2 2 23" xfId="36820"/>
    <cellStyle name="Comma 3 3 2 2 24" xfId="39205"/>
    <cellStyle name="Comma 3 3 2 2 25" xfId="40960"/>
    <cellStyle name="Comma 3 3 2 2 26" xfId="42712"/>
    <cellStyle name="Comma 3 3 2 2 27" xfId="43820"/>
    <cellStyle name="Comma 3 3 2 2 28" xfId="45330"/>
    <cellStyle name="Comma 3 3 2 2 29" xfId="47082"/>
    <cellStyle name="Comma 3 3 2 2 3" xfId="3287"/>
    <cellStyle name="Comma 3 3 2 2 30" xfId="48834"/>
    <cellStyle name="Comma 3 3 2 2 31" xfId="50586"/>
    <cellStyle name="Comma 3 3 2 2 32" xfId="52338"/>
    <cellStyle name="Comma 3 3 2 2 33" xfId="54090"/>
    <cellStyle name="Comma 3 3 2 2 34" xfId="55842"/>
    <cellStyle name="Comma 3 3 2 2 35" xfId="57595"/>
    <cellStyle name="Comma 3 3 2 2 36" xfId="59347"/>
    <cellStyle name="Comma 3 3 2 2 37" xfId="61099"/>
    <cellStyle name="Comma 3 3 2 2 38" xfId="62207"/>
    <cellStyle name="Comma 3 3 2 2 39" xfId="63073"/>
    <cellStyle name="Comma 3 3 2 2 4" xfId="5039"/>
    <cellStyle name="Comma 3 3 2 2 5" xfId="6791"/>
    <cellStyle name="Comma 3 3 2 2 6" xfId="8543"/>
    <cellStyle name="Comma 3 3 2 2 7" xfId="10296"/>
    <cellStyle name="Comma 3 3 2 2 8" xfId="12048"/>
    <cellStyle name="Comma 3 3 2 2 9" xfId="13800"/>
    <cellStyle name="Comma 3 3 2 20" xfId="30887"/>
    <cellStyle name="Comma 3 3 2 21" xfId="32640"/>
    <cellStyle name="Comma 3 3 2 22" xfId="34190"/>
    <cellStyle name="Comma 3 3 2 23" xfId="35276"/>
    <cellStyle name="Comma 3 3 2 24" xfId="36819"/>
    <cellStyle name="Comma 3 3 2 25" xfId="38769"/>
    <cellStyle name="Comma 3 3 2 26" xfId="40524"/>
    <cellStyle name="Comma 3 3 2 27" xfId="42276"/>
    <cellStyle name="Comma 3 3 2 28" xfId="43819"/>
    <cellStyle name="Comma 3 3 2 29" xfId="44894"/>
    <cellStyle name="Comma 3 3 2 3" xfId="209"/>
    <cellStyle name="Comma 3 3 2 3 10" xfId="17745"/>
    <cellStyle name="Comma 3 3 2 3 11" xfId="19497"/>
    <cellStyle name="Comma 3 3 2 3 12" xfId="21250"/>
    <cellStyle name="Comma 3 3 2 3 13" xfId="23002"/>
    <cellStyle name="Comma 3 3 2 3 14" xfId="24754"/>
    <cellStyle name="Comma 3 3 2 3 15" xfId="26506"/>
    <cellStyle name="Comma 3 3 2 3 16" xfId="28258"/>
    <cellStyle name="Comma 3 3 2 3 17" xfId="30011"/>
    <cellStyle name="Comma 3 3 2 3 18" xfId="31763"/>
    <cellStyle name="Comma 3 3 2 3 19" xfId="33516"/>
    <cellStyle name="Comma 3 3 2 3 2" xfId="3727"/>
    <cellStyle name="Comma 3 3 2 3 20" xfId="36152"/>
    <cellStyle name="Comma 3 3 2 3 21" xfId="37892"/>
    <cellStyle name="Comma 3 3 2 3 22" xfId="39645"/>
    <cellStyle name="Comma 3 3 2 3 23" xfId="41400"/>
    <cellStyle name="Comma 3 3 2 3 24" xfId="43152"/>
    <cellStyle name="Comma 3 3 2 3 25" xfId="45770"/>
    <cellStyle name="Comma 3 3 2 3 26" xfId="47522"/>
    <cellStyle name="Comma 3 3 2 3 27" xfId="49274"/>
    <cellStyle name="Comma 3 3 2 3 28" xfId="51026"/>
    <cellStyle name="Comma 3 3 2 3 29" xfId="52778"/>
    <cellStyle name="Comma 3 3 2 3 3" xfId="5479"/>
    <cellStyle name="Comma 3 3 2 3 30" xfId="54530"/>
    <cellStyle name="Comma 3 3 2 3 31" xfId="56282"/>
    <cellStyle name="Comma 3 3 2 3 32" xfId="58035"/>
    <cellStyle name="Comma 3 3 2 3 33" xfId="59787"/>
    <cellStyle name="Comma 3 3 2 3 34" xfId="61539"/>
    <cellStyle name="Comma 3 3 2 3 4" xfId="7231"/>
    <cellStyle name="Comma 3 3 2 3 5" xfId="8983"/>
    <cellStyle name="Comma 3 3 2 3 6" xfId="10736"/>
    <cellStyle name="Comma 3 3 2 3 7" xfId="12488"/>
    <cellStyle name="Comma 3 3 2 3 8" xfId="14240"/>
    <cellStyle name="Comma 3 3 2 3 9" xfId="15992"/>
    <cellStyle name="Comma 3 3 2 30" xfId="46646"/>
    <cellStyle name="Comma 3 3 2 31" xfId="48398"/>
    <cellStyle name="Comma 3 3 2 32" xfId="50150"/>
    <cellStyle name="Comma 3 3 2 33" xfId="51902"/>
    <cellStyle name="Comma 3 3 2 34" xfId="53654"/>
    <cellStyle name="Comma 3 3 2 35" xfId="55406"/>
    <cellStyle name="Comma 3 3 2 36" xfId="57159"/>
    <cellStyle name="Comma 3 3 2 37" xfId="58911"/>
    <cellStyle name="Comma 3 3 2 38" xfId="60663"/>
    <cellStyle name="Comma 3 3 2 39" xfId="62206"/>
    <cellStyle name="Comma 3 3 2 4" xfId="2851"/>
    <cellStyle name="Comma 3 3 2 40" xfId="63072"/>
    <cellStyle name="Comma 3 3 2 5" xfId="4603"/>
    <cellStyle name="Comma 3 3 2 6" xfId="6355"/>
    <cellStyle name="Comma 3 3 2 7" xfId="8107"/>
    <cellStyle name="Comma 3 3 2 8" xfId="9860"/>
    <cellStyle name="Comma 3 3 2 9" xfId="11612"/>
    <cellStyle name="Comma 3 3 20" xfId="29057"/>
    <cellStyle name="Comma 3 3 21" xfId="30809"/>
    <cellStyle name="Comma 3 3 22" xfId="32562"/>
    <cellStyle name="Comma 3 3 23" xfId="34189"/>
    <cellStyle name="Comma 3 3 24" xfId="35198"/>
    <cellStyle name="Comma 3 3 25" xfId="36818"/>
    <cellStyle name="Comma 3 3 26" xfId="38691"/>
    <cellStyle name="Comma 3 3 27" xfId="40446"/>
    <cellStyle name="Comma 3 3 28" xfId="42198"/>
    <cellStyle name="Comma 3 3 29" xfId="43818"/>
    <cellStyle name="Comma 3 3 3" xfId="210"/>
    <cellStyle name="Comma 3 3 3 10" xfId="15474"/>
    <cellStyle name="Comma 3 3 3 11" xfId="17227"/>
    <cellStyle name="Comma 3 3 3 12" xfId="18979"/>
    <cellStyle name="Comma 3 3 3 13" xfId="20732"/>
    <cellStyle name="Comma 3 3 3 14" xfId="22484"/>
    <cellStyle name="Comma 3 3 3 15" xfId="24236"/>
    <cellStyle name="Comma 3 3 3 16" xfId="25988"/>
    <cellStyle name="Comma 3 3 3 17" xfId="27740"/>
    <cellStyle name="Comma 3 3 3 18" xfId="29493"/>
    <cellStyle name="Comma 3 3 3 19" xfId="31245"/>
    <cellStyle name="Comma 3 3 3 2" xfId="211"/>
    <cellStyle name="Comma 3 3 3 2 10" xfId="18103"/>
    <cellStyle name="Comma 3 3 3 2 11" xfId="19855"/>
    <cellStyle name="Comma 3 3 3 2 12" xfId="21608"/>
    <cellStyle name="Comma 3 3 3 2 13" xfId="23360"/>
    <cellStyle name="Comma 3 3 3 2 14" xfId="25112"/>
    <cellStyle name="Comma 3 3 3 2 15" xfId="26864"/>
    <cellStyle name="Comma 3 3 3 2 16" xfId="28616"/>
    <cellStyle name="Comma 3 3 3 2 17" xfId="30369"/>
    <cellStyle name="Comma 3 3 3 2 18" xfId="32121"/>
    <cellStyle name="Comma 3 3 3 2 19" xfId="33874"/>
    <cellStyle name="Comma 3 3 3 2 2" xfId="4085"/>
    <cellStyle name="Comma 3 3 3 2 20" xfId="36510"/>
    <cellStyle name="Comma 3 3 3 2 21" xfId="38250"/>
    <cellStyle name="Comma 3 3 3 2 22" xfId="40003"/>
    <cellStyle name="Comma 3 3 3 2 23" xfId="41758"/>
    <cellStyle name="Comma 3 3 3 2 24" xfId="43510"/>
    <cellStyle name="Comma 3 3 3 2 25" xfId="46128"/>
    <cellStyle name="Comma 3 3 3 2 26" xfId="47880"/>
    <cellStyle name="Comma 3 3 3 2 27" xfId="49632"/>
    <cellStyle name="Comma 3 3 3 2 28" xfId="51384"/>
    <cellStyle name="Comma 3 3 3 2 29" xfId="53136"/>
    <cellStyle name="Comma 3 3 3 2 3" xfId="5837"/>
    <cellStyle name="Comma 3 3 3 2 30" xfId="54888"/>
    <cellStyle name="Comma 3 3 3 2 31" xfId="56640"/>
    <cellStyle name="Comma 3 3 3 2 32" xfId="58393"/>
    <cellStyle name="Comma 3 3 3 2 33" xfId="60145"/>
    <cellStyle name="Comma 3 3 3 2 34" xfId="61897"/>
    <cellStyle name="Comma 3 3 3 2 4" xfId="7589"/>
    <cellStyle name="Comma 3 3 3 2 5" xfId="9341"/>
    <cellStyle name="Comma 3 3 3 2 6" xfId="11094"/>
    <cellStyle name="Comma 3 3 3 2 7" xfId="12846"/>
    <cellStyle name="Comma 3 3 3 2 8" xfId="14598"/>
    <cellStyle name="Comma 3 3 3 2 9" xfId="16350"/>
    <cellStyle name="Comma 3 3 3 20" xfId="32998"/>
    <cellStyle name="Comma 3 3 3 21" xfId="34192"/>
    <cellStyle name="Comma 3 3 3 22" xfId="35634"/>
    <cellStyle name="Comma 3 3 3 23" xfId="36821"/>
    <cellStyle name="Comma 3 3 3 24" xfId="39127"/>
    <cellStyle name="Comma 3 3 3 25" xfId="40882"/>
    <cellStyle name="Comma 3 3 3 26" xfId="42634"/>
    <cellStyle name="Comma 3 3 3 27" xfId="43821"/>
    <cellStyle name="Comma 3 3 3 28" xfId="45252"/>
    <cellStyle name="Comma 3 3 3 29" xfId="47004"/>
    <cellStyle name="Comma 3 3 3 3" xfId="3209"/>
    <cellStyle name="Comma 3 3 3 30" xfId="48756"/>
    <cellStyle name="Comma 3 3 3 31" xfId="50508"/>
    <cellStyle name="Comma 3 3 3 32" xfId="52260"/>
    <cellStyle name="Comma 3 3 3 33" xfId="54012"/>
    <cellStyle name="Comma 3 3 3 34" xfId="55764"/>
    <cellStyle name="Comma 3 3 3 35" xfId="57517"/>
    <cellStyle name="Comma 3 3 3 36" xfId="59269"/>
    <cellStyle name="Comma 3 3 3 37" xfId="61021"/>
    <cellStyle name="Comma 3 3 3 38" xfId="62208"/>
    <cellStyle name="Comma 3 3 3 39" xfId="63074"/>
    <cellStyle name="Comma 3 3 3 4" xfId="4961"/>
    <cellStyle name="Comma 3 3 3 5" xfId="6713"/>
    <cellStyle name="Comma 3 3 3 6" xfId="8465"/>
    <cellStyle name="Comma 3 3 3 7" xfId="10218"/>
    <cellStyle name="Comma 3 3 3 8" xfId="11970"/>
    <cellStyle name="Comma 3 3 3 9" xfId="13722"/>
    <cellStyle name="Comma 3 3 30" xfId="44816"/>
    <cellStyle name="Comma 3 3 31" xfId="46568"/>
    <cellStyle name="Comma 3 3 32" xfId="48320"/>
    <cellStyle name="Comma 3 3 33" xfId="50072"/>
    <cellStyle name="Comma 3 3 34" xfId="51824"/>
    <cellStyle name="Comma 3 3 35" xfId="53576"/>
    <cellStyle name="Comma 3 3 36" xfId="55328"/>
    <cellStyle name="Comma 3 3 37" xfId="57081"/>
    <cellStyle name="Comma 3 3 38" xfId="58833"/>
    <cellStyle name="Comma 3 3 39" xfId="60585"/>
    <cellStyle name="Comma 3 3 4" xfId="212"/>
    <cellStyle name="Comma 3 3 4 10" xfId="17667"/>
    <cellStyle name="Comma 3 3 4 11" xfId="19419"/>
    <cellStyle name="Comma 3 3 4 12" xfId="21172"/>
    <cellStyle name="Comma 3 3 4 13" xfId="22924"/>
    <cellStyle name="Comma 3 3 4 14" xfId="24676"/>
    <cellStyle name="Comma 3 3 4 15" xfId="26428"/>
    <cellStyle name="Comma 3 3 4 16" xfId="28180"/>
    <cellStyle name="Comma 3 3 4 17" xfId="29933"/>
    <cellStyle name="Comma 3 3 4 18" xfId="31685"/>
    <cellStyle name="Comma 3 3 4 19" xfId="33438"/>
    <cellStyle name="Comma 3 3 4 2" xfId="3649"/>
    <cellStyle name="Comma 3 3 4 20" xfId="36074"/>
    <cellStyle name="Comma 3 3 4 21" xfId="37814"/>
    <cellStyle name="Comma 3 3 4 22" xfId="39567"/>
    <cellStyle name="Comma 3 3 4 23" xfId="41322"/>
    <cellStyle name="Comma 3 3 4 24" xfId="43074"/>
    <cellStyle name="Comma 3 3 4 25" xfId="45692"/>
    <cellStyle name="Comma 3 3 4 26" xfId="47444"/>
    <cellStyle name="Comma 3 3 4 27" xfId="49196"/>
    <cellStyle name="Comma 3 3 4 28" xfId="50948"/>
    <cellStyle name="Comma 3 3 4 29" xfId="52700"/>
    <cellStyle name="Comma 3 3 4 3" xfId="5401"/>
    <cellStyle name="Comma 3 3 4 30" xfId="54452"/>
    <cellStyle name="Comma 3 3 4 31" xfId="56204"/>
    <cellStyle name="Comma 3 3 4 32" xfId="57957"/>
    <cellStyle name="Comma 3 3 4 33" xfId="59709"/>
    <cellStyle name="Comma 3 3 4 34" xfId="61461"/>
    <cellStyle name="Comma 3 3 4 4" xfId="7153"/>
    <cellStyle name="Comma 3 3 4 5" xfId="8905"/>
    <cellStyle name="Comma 3 3 4 6" xfId="10658"/>
    <cellStyle name="Comma 3 3 4 7" xfId="12410"/>
    <cellStyle name="Comma 3 3 4 8" xfId="14162"/>
    <cellStyle name="Comma 3 3 4 9" xfId="15914"/>
    <cellStyle name="Comma 3 3 40" xfId="62205"/>
    <cellStyle name="Comma 3 3 41" xfId="63071"/>
    <cellStyle name="Comma 3 3 5" xfId="2773"/>
    <cellStyle name="Comma 3 3 6" xfId="4525"/>
    <cellStyle name="Comma 3 3 7" xfId="6277"/>
    <cellStyle name="Comma 3 3 8" xfId="8029"/>
    <cellStyle name="Comma 3 3 9" xfId="9782"/>
    <cellStyle name="Comma 3 30" xfId="42090"/>
    <cellStyle name="Comma 3 31" xfId="43809"/>
    <cellStyle name="Comma 3 32" xfId="44708"/>
    <cellStyle name="Comma 3 33" xfId="46460"/>
    <cellStyle name="Comma 3 34" xfId="48212"/>
    <cellStyle name="Comma 3 35" xfId="49964"/>
    <cellStyle name="Comma 3 36" xfId="51716"/>
    <cellStyle name="Comma 3 37" xfId="53468"/>
    <cellStyle name="Comma 3 38" xfId="55220"/>
    <cellStyle name="Comma 3 39" xfId="56973"/>
    <cellStyle name="Comma 3 4" xfId="213"/>
    <cellStyle name="Comma 3 4 10" xfId="13365"/>
    <cellStyle name="Comma 3 4 11" xfId="15117"/>
    <cellStyle name="Comma 3 4 12" xfId="16870"/>
    <cellStyle name="Comma 3 4 13" xfId="18622"/>
    <cellStyle name="Comma 3 4 14" xfId="20375"/>
    <cellStyle name="Comma 3 4 15" xfId="22127"/>
    <cellStyle name="Comma 3 4 16" xfId="23879"/>
    <cellStyle name="Comma 3 4 17" xfId="25631"/>
    <cellStyle name="Comma 3 4 18" xfId="27383"/>
    <cellStyle name="Comma 3 4 19" xfId="29136"/>
    <cellStyle name="Comma 3 4 2" xfId="214"/>
    <cellStyle name="Comma 3 4 2 10" xfId="15553"/>
    <cellStyle name="Comma 3 4 2 11" xfId="17306"/>
    <cellStyle name="Comma 3 4 2 12" xfId="19058"/>
    <cellStyle name="Comma 3 4 2 13" xfId="20811"/>
    <cellStyle name="Comma 3 4 2 14" xfId="22563"/>
    <cellStyle name="Comma 3 4 2 15" xfId="24315"/>
    <cellStyle name="Comma 3 4 2 16" xfId="26067"/>
    <cellStyle name="Comma 3 4 2 17" xfId="27819"/>
    <cellStyle name="Comma 3 4 2 18" xfId="29572"/>
    <cellStyle name="Comma 3 4 2 19" xfId="31324"/>
    <cellStyle name="Comma 3 4 2 2" xfId="215"/>
    <cellStyle name="Comma 3 4 2 2 10" xfId="18182"/>
    <cellStyle name="Comma 3 4 2 2 11" xfId="19934"/>
    <cellStyle name="Comma 3 4 2 2 12" xfId="21687"/>
    <cellStyle name="Comma 3 4 2 2 13" xfId="23439"/>
    <cellStyle name="Comma 3 4 2 2 14" xfId="25191"/>
    <cellStyle name="Comma 3 4 2 2 15" xfId="26943"/>
    <cellStyle name="Comma 3 4 2 2 16" xfId="28695"/>
    <cellStyle name="Comma 3 4 2 2 17" xfId="30448"/>
    <cellStyle name="Comma 3 4 2 2 18" xfId="32200"/>
    <cellStyle name="Comma 3 4 2 2 19" xfId="33953"/>
    <cellStyle name="Comma 3 4 2 2 2" xfId="4164"/>
    <cellStyle name="Comma 3 4 2 2 20" xfId="36589"/>
    <cellStyle name="Comma 3 4 2 2 21" xfId="38329"/>
    <cellStyle name="Comma 3 4 2 2 22" xfId="40082"/>
    <cellStyle name="Comma 3 4 2 2 23" xfId="41837"/>
    <cellStyle name="Comma 3 4 2 2 24" xfId="43589"/>
    <cellStyle name="Comma 3 4 2 2 25" xfId="46207"/>
    <cellStyle name="Comma 3 4 2 2 26" xfId="47959"/>
    <cellStyle name="Comma 3 4 2 2 27" xfId="49711"/>
    <cellStyle name="Comma 3 4 2 2 28" xfId="51463"/>
    <cellStyle name="Comma 3 4 2 2 29" xfId="53215"/>
    <cellStyle name="Comma 3 4 2 2 3" xfId="5916"/>
    <cellStyle name="Comma 3 4 2 2 30" xfId="54967"/>
    <cellStyle name="Comma 3 4 2 2 31" xfId="56719"/>
    <cellStyle name="Comma 3 4 2 2 32" xfId="58472"/>
    <cellStyle name="Comma 3 4 2 2 33" xfId="60224"/>
    <cellStyle name="Comma 3 4 2 2 34" xfId="61976"/>
    <cellStyle name="Comma 3 4 2 2 4" xfId="7668"/>
    <cellStyle name="Comma 3 4 2 2 5" xfId="9420"/>
    <cellStyle name="Comma 3 4 2 2 6" xfId="11173"/>
    <cellStyle name="Comma 3 4 2 2 7" xfId="12925"/>
    <cellStyle name="Comma 3 4 2 2 8" xfId="14677"/>
    <cellStyle name="Comma 3 4 2 2 9" xfId="16429"/>
    <cellStyle name="Comma 3 4 2 20" xfId="33077"/>
    <cellStyle name="Comma 3 4 2 21" xfId="34194"/>
    <cellStyle name="Comma 3 4 2 22" xfId="35713"/>
    <cellStyle name="Comma 3 4 2 23" xfId="36823"/>
    <cellStyle name="Comma 3 4 2 24" xfId="39206"/>
    <cellStyle name="Comma 3 4 2 25" xfId="40961"/>
    <cellStyle name="Comma 3 4 2 26" xfId="42713"/>
    <cellStyle name="Comma 3 4 2 27" xfId="43823"/>
    <cellStyle name="Comma 3 4 2 28" xfId="45331"/>
    <cellStyle name="Comma 3 4 2 29" xfId="47083"/>
    <cellStyle name="Comma 3 4 2 3" xfId="3288"/>
    <cellStyle name="Comma 3 4 2 30" xfId="48835"/>
    <cellStyle name="Comma 3 4 2 31" xfId="50587"/>
    <cellStyle name="Comma 3 4 2 32" xfId="52339"/>
    <cellStyle name="Comma 3 4 2 33" xfId="54091"/>
    <cellStyle name="Comma 3 4 2 34" xfId="55843"/>
    <cellStyle name="Comma 3 4 2 35" xfId="57596"/>
    <cellStyle name="Comma 3 4 2 36" xfId="59348"/>
    <cellStyle name="Comma 3 4 2 37" xfId="61100"/>
    <cellStyle name="Comma 3 4 2 38" xfId="62210"/>
    <cellStyle name="Comma 3 4 2 39" xfId="63076"/>
    <cellStyle name="Comma 3 4 2 4" xfId="5040"/>
    <cellStyle name="Comma 3 4 2 5" xfId="6792"/>
    <cellStyle name="Comma 3 4 2 6" xfId="8544"/>
    <cellStyle name="Comma 3 4 2 7" xfId="10297"/>
    <cellStyle name="Comma 3 4 2 8" xfId="12049"/>
    <cellStyle name="Comma 3 4 2 9" xfId="13801"/>
    <cellStyle name="Comma 3 4 20" xfId="30888"/>
    <cellStyle name="Comma 3 4 21" xfId="32641"/>
    <cellStyle name="Comma 3 4 22" xfId="34193"/>
    <cellStyle name="Comma 3 4 23" xfId="35277"/>
    <cellStyle name="Comma 3 4 24" xfId="36822"/>
    <cellStyle name="Comma 3 4 25" xfId="38770"/>
    <cellStyle name="Comma 3 4 26" xfId="40525"/>
    <cellStyle name="Comma 3 4 27" xfId="42277"/>
    <cellStyle name="Comma 3 4 28" xfId="43822"/>
    <cellStyle name="Comma 3 4 29" xfId="44895"/>
    <cellStyle name="Comma 3 4 3" xfId="216"/>
    <cellStyle name="Comma 3 4 3 10" xfId="17746"/>
    <cellStyle name="Comma 3 4 3 11" xfId="19498"/>
    <cellStyle name="Comma 3 4 3 12" xfId="21251"/>
    <cellStyle name="Comma 3 4 3 13" xfId="23003"/>
    <cellStyle name="Comma 3 4 3 14" xfId="24755"/>
    <cellStyle name="Comma 3 4 3 15" xfId="26507"/>
    <cellStyle name="Comma 3 4 3 16" xfId="28259"/>
    <cellStyle name="Comma 3 4 3 17" xfId="30012"/>
    <cellStyle name="Comma 3 4 3 18" xfId="31764"/>
    <cellStyle name="Comma 3 4 3 19" xfId="33517"/>
    <cellStyle name="Comma 3 4 3 2" xfId="3728"/>
    <cellStyle name="Comma 3 4 3 20" xfId="36153"/>
    <cellStyle name="Comma 3 4 3 21" xfId="37893"/>
    <cellStyle name="Comma 3 4 3 22" xfId="39646"/>
    <cellStyle name="Comma 3 4 3 23" xfId="41401"/>
    <cellStyle name="Comma 3 4 3 24" xfId="43153"/>
    <cellStyle name="Comma 3 4 3 25" xfId="45771"/>
    <cellStyle name="Comma 3 4 3 26" xfId="47523"/>
    <cellStyle name="Comma 3 4 3 27" xfId="49275"/>
    <cellStyle name="Comma 3 4 3 28" xfId="51027"/>
    <cellStyle name="Comma 3 4 3 29" xfId="52779"/>
    <cellStyle name="Comma 3 4 3 3" xfId="5480"/>
    <cellStyle name="Comma 3 4 3 30" xfId="54531"/>
    <cellStyle name="Comma 3 4 3 31" xfId="56283"/>
    <cellStyle name="Comma 3 4 3 32" xfId="58036"/>
    <cellStyle name="Comma 3 4 3 33" xfId="59788"/>
    <cellStyle name="Comma 3 4 3 34" xfId="61540"/>
    <cellStyle name="Comma 3 4 3 4" xfId="7232"/>
    <cellStyle name="Comma 3 4 3 5" xfId="8984"/>
    <cellStyle name="Comma 3 4 3 6" xfId="10737"/>
    <cellStyle name="Comma 3 4 3 7" xfId="12489"/>
    <cellStyle name="Comma 3 4 3 8" xfId="14241"/>
    <cellStyle name="Comma 3 4 3 9" xfId="15993"/>
    <cellStyle name="Comma 3 4 30" xfId="46647"/>
    <cellStyle name="Comma 3 4 31" xfId="48399"/>
    <cellStyle name="Comma 3 4 32" xfId="50151"/>
    <cellStyle name="Comma 3 4 33" xfId="51903"/>
    <cellStyle name="Comma 3 4 34" xfId="53655"/>
    <cellStyle name="Comma 3 4 35" xfId="55407"/>
    <cellStyle name="Comma 3 4 36" xfId="57160"/>
    <cellStyle name="Comma 3 4 37" xfId="58912"/>
    <cellStyle name="Comma 3 4 38" xfId="60664"/>
    <cellStyle name="Comma 3 4 39" xfId="62209"/>
    <cellStyle name="Comma 3 4 4" xfId="2852"/>
    <cellStyle name="Comma 3 4 40" xfId="63075"/>
    <cellStyle name="Comma 3 4 5" xfId="4604"/>
    <cellStyle name="Comma 3 4 6" xfId="6356"/>
    <cellStyle name="Comma 3 4 7" xfId="8108"/>
    <cellStyle name="Comma 3 4 8" xfId="9861"/>
    <cellStyle name="Comma 3 4 9" xfId="11613"/>
    <cellStyle name="Comma 3 40" xfId="58725"/>
    <cellStyle name="Comma 3 41" xfId="60477"/>
    <cellStyle name="Comma 3 42" xfId="62196"/>
    <cellStyle name="Comma 3 43" xfId="63062"/>
    <cellStyle name="Comma 3 5" xfId="217"/>
    <cellStyle name="Comma 3 5 10" xfId="15366"/>
    <cellStyle name="Comma 3 5 11" xfId="17119"/>
    <cellStyle name="Comma 3 5 12" xfId="18871"/>
    <cellStyle name="Comma 3 5 13" xfId="20624"/>
    <cellStyle name="Comma 3 5 14" xfId="22376"/>
    <cellStyle name="Comma 3 5 15" xfId="24128"/>
    <cellStyle name="Comma 3 5 16" xfId="25880"/>
    <cellStyle name="Comma 3 5 17" xfId="27632"/>
    <cellStyle name="Comma 3 5 18" xfId="29385"/>
    <cellStyle name="Comma 3 5 19" xfId="31137"/>
    <cellStyle name="Comma 3 5 2" xfId="218"/>
    <cellStyle name="Comma 3 5 2 10" xfId="17995"/>
    <cellStyle name="Comma 3 5 2 11" xfId="19747"/>
    <cellStyle name="Comma 3 5 2 12" xfId="21500"/>
    <cellStyle name="Comma 3 5 2 13" xfId="23252"/>
    <cellStyle name="Comma 3 5 2 14" xfId="25004"/>
    <cellStyle name="Comma 3 5 2 15" xfId="26756"/>
    <cellStyle name="Comma 3 5 2 16" xfId="28508"/>
    <cellStyle name="Comma 3 5 2 17" xfId="30261"/>
    <cellStyle name="Comma 3 5 2 18" xfId="32013"/>
    <cellStyle name="Comma 3 5 2 19" xfId="33766"/>
    <cellStyle name="Comma 3 5 2 2" xfId="3977"/>
    <cellStyle name="Comma 3 5 2 20" xfId="36402"/>
    <cellStyle name="Comma 3 5 2 21" xfId="38142"/>
    <cellStyle name="Comma 3 5 2 22" xfId="39895"/>
    <cellStyle name="Comma 3 5 2 23" xfId="41650"/>
    <cellStyle name="Comma 3 5 2 24" xfId="43402"/>
    <cellStyle name="Comma 3 5 2 25" xfId="46020"/>
    <cellStyle name="Comma 3 5 2 26" xfId="47772"/>
    <cellStyle name="Comma 3 5 2 27" xfId="49524"/>
    <cellStyle name="Comma 3 5 2 28" xfId="51276"/>
    <cellStyle name="Comma 3 5 2 29" xfId="53028"/>
    <cellStyle name="Comma 3 5 2 3" xfId="5729"/>
    <cellStyle name="Comma 3 5 2 30" xfId="54780"/>
    <cellStyle name="Comma 3 5 2 31" xfId="56532"/>
    <cellStyle name="Comma 3 5 2 32" xfId="58285"/>
    <cellStyle name="Comma 3 5 2 33" xfId="60037"/>
    <cellStyle name="Comma 3 5 2 34" xfId="61789"/>
    <cellStyle name="Comma 3 5 2 4" xfId="7481"/>
    <cellStyle name="Comma 3 5 2 5" xfId="9233"/>
    <cellStyle name="Comma 3 5 2 6" xfId="10986"/>
    <cellStyle name="Comma 3 5 2 7" xfId="12738"/>
    <cellStyle name="Comma 3 5 2 8" xfId="14490"/>
    <cellStyle name="Comma 3 5 2 9" xfId="16242"/>
    <cellStyle name="Comma 3 5 20" xfId="32890"/>
    <cellStyle name="Comma 3 5 21" xfId="34195"/>
    <cellStyle name="Comma 3 5 22" xfId="35526"/>
    <cellStyle name="Comma 3 5 23" xfId="36824"/>
    <cellStyle name="Comma 3 5 24" xfId="39019"/>
    <cellStyle name="Comma 3 5 25" xfId="40774"/>
    <cellStyle name="Comma 3 5 26" xfId="42526"/>
    <cellStyle name="Comma 3 5 27" xfId="43824"/>
    <cellStyle name="Comma 3 5 28" xfId="45144"/>
    <cellStyle name="Comma 3 5 29" xfId="46896"/>
    <cellStyle name="Comma 3 5 3" xfId="3101"/>
    <cellStyle name="Comma 3 5 30" xfId="48648"/>
    <cellStyle name="Comma 3 5 31" xfId="50400"/>
    <cellStyle name="Comma 3 5 32" xfId="52152"/>
    <cellStyle name="Comma 3 5 33" xfId="53904"/>
    <cellStyle name="Comma 3 5 34" xfId="55656"/>
    <cellStyle name="Comma 3 5 35" xfId="57409"/>
    <cellStyle name="Comma 3 5 36" xfId="59161"/>
    <cellStyle name="Comma 3 5 37" xfId="60913"/>
    <cellStyle name="Comma 3 5 38" xfId="62211"/>
    <cellStyle name="Comma 3 5 39" xfId="63077"/>
    <cellStyle name="Comma 3 5 4" xfId="4853"/>
    <cellStyle name="Comma 3 5 5" xfId="6605"/>
    <cellStyle name="Comma 3 5 6" xfId="8357"/>
    <cellStyle name="Comma 3 5 7" xfId="10110"/>
    <cellStyle name="Comma 3 5 8" xfId="11862"/>
    <cellStyle name="Comma 3 5 9" xfId="13614"/>
    <cellStyle name="Comma 3 6" xfId="219"/>
    <cellStyle name="Comma 3 6 10" xfId="17559"/>
    <cellStyle name="Comma 3 6 11" xfId="19311"/>
    <cellStyle name="Comma 3 6 12" xfId="21064"/>
    <cellStyle name="Comma 3 6 13" xfId="22816"/>
    <cellStyle name="Comma 3 6 14" xfId="24568"/>
    <cellStyle name="Comma 3 6 15" xfId="26320"/>
    <cellStyle name="Comma 3 6 16" xfId="28072"/>
    <cellStyle name="Comma 3 6 17" xfId="29825"/>
    <cellStyle name="Comma 3 6 18" xfId="31577"/>
    <cellStyle name="Comma 3 6 19" xfId="33330"/>
    <cellStyle name="Comma 3 6 2" xfId="3541"/>
    <cellStyle name="Comma 3 6 20" xfId="35966"/>
    <cellStyle name="Comma 3 6 21" xfId="37680"/>
    <cellStyle name="Comma 3 6 22" xfId="39459"/>
    <cellStyle name="Comma 3 6 23" xfId="41214"/>
    <cellStyle name="Comma 3 6 24" xfId="42966"/>
    <cellStyle name="Comma 3 6 25" xfId="45584"/>
    <cellStyle name="Comma 3 6 26" xfId="47336"/>
    <cellStyle name="Comma 3 6 27" xfId="49088"/>
    <cellStyle name="Comma 3 6 28" xfId="50840"/>
    <cellStyle name="Comma 3 6 29" xfId="52592"/>
    <cellStyle name="Comma 3 6 3" xfId="5293"/>
    <cellStyle name="Comma 3 6 30" xfId="54344"/>
    <cellStyle name="Comma 3 6 31" xfId="56096"/>
    <cellStyle name="Comma 3 6 32" xfId="57849"/>
    <cellStyle name="Comma 3 6 33" xfId="59601"/>
    <cellStyle name="Comma 3 6 34" xfId="61353"/>
    <cellStyle name="Comma 3 6 4" xfId="7045"/>
    <cellStyle name="Comma 3 6 5" xfId="8797"/>
    <cellStyle name="Comma 3 6 6" xfId="10550"/>
    <cellStyle name="Comma 3 6 7" xfId="12302"/>
    <cellStyle name="Comma 3 6 8" xfId="14054"/>
    <cellStyle name="Comma 3 6 9" xfId="15806"/>
    <cellStyle name="Comma 3 7" xfId="2665"/>
    <cellStyle name="Comma 3 8" xfId="4417"/>
    <cellStyle name="Comma 3 9" xfId="6169"/>
    <cellStyle name="Currency 2" xfId="220"/>
    <cellStyle name="Currency 2 2" xfId="221"/>
    <cellStyle name="Currency 2 2 2" xfId="222"/>
    <cellStyle name="Currency 2 2 2 2" xfId="223"/>
    <cellStyle name="Currency 2 2 3" xfId="224"/>
    <cellStyle name="Currency 2 2 3 2" xfId="225"/>
    <cellStyle name="Currency 2 2 4" xfId="226"/>
    <cellStyle name="Currency 2 3" xfId="227"/>
    <cellStyle name="Currency 2 3 2" xfId="228"/>
    <cellStyle name="Currency 2 3 2 2" xfId="229"/>
    <cellStyle name="Currency 2 3 3" xfId="230"/>
    <cellStyle name="Currency 2 3 3 2" xfId="231"/>
    <cellStyle name="Currency 2 4" xfId="232"/>
    <cellStyle name="Currency 2 5" xfId="233"/>
    <cellStyle name="Explanatory Text 10" xfId="234"/>
    <cellStyle name="Explanatory Text 10 2" xfId="2538"/>
    <cellStyle name="Explanatory Text 11" xfId="235"/>
    <cellStyle name="Explanatory Text 11 2" xfId="2539"/>
    <cellStyle name="Explanatory Text 12" xfId="236"/>
    <cellStyle name="Explanatory Text 12 2" xfId="34196"/>
    <cellStyle name="Explanatory Text 13" xfId="2445"/>
    <cellStyle name="Explanatory Text 2" xfId="237"/>
    <cellStyle name="Explanatory Text 2 10" xfId="238"/>
    <cellStyle name="Explanatory Text 2 11" xfId="239"/>
    <cellStyle name="Explanatory Text 2 2" xfId="240"/>
    <cellStyle name="Explanatory Text 2 3" xfId="241"/>
    <cellStyle name="Explanatory Text 2 4" xfId="242"/>
    <cellStyle name="Explanatory Text 2 5" xfId="243"/>
    <cellStyle name="Explanatory Text 2 6" xfId="244"/>
    <cellStyle name="Explanatory Text 2 7" xfId="245"/>
    <cellStyle name="Explanatory Text 2 8" xfId="246"/>
    <cellStyle name="Explanatory Text 2 9" xfId="247"/>
    <cellStyle name="Explanatory Text 3" xfId="248"/>
    <cellStyle name="Explanatory Text 3 2" xfId="2540"/>
    <cellStyle name="Explanatory Text 4" xfId="249"/>
    <cellStyle name="Explanatory Text 4 2" xfId="2541"/>
    <cellStyle name="Explanatory Text 5" xfId="250"/>
    <cellStyle name="Explanatory Text 5 2" xfId="2542"/>
    <cellStyle name="Explanatory Text 6" xfId="251"/>
    <cellStyle name="Explanatory Text 6 2" xfId="2543"/>
    <cellStyle name="Explanatory Text 7" xfId="252"/>
    <cellStyle name="Explanatory Text 7 2" xfId="2544"/>
    <cellStyle name="Explanatory Text 8" xfId="253"/>
    <cellStyle name="Explanatory Text 8 2" xfId="2545"/>
    <cellStyle name="Explanatory Text 9" xfId="254"/>
    <cellStyle name="Explanatory Text 9 2" xfId="2546"/>
    <cellStyle name="Good 10" xfId="255"/>
    <cellStyle name="Good 10 2" xfId="2547"/>
    <cellStyle name="Good 11" xfId="256"/>
    <cellStyle name="Good 11 2" xfId="2548"/>
    <cellStyle name="Good 12" xfId="257"/>
    <cellStyle name="Good 12 2" xfId="34197"/>
    <cellStyle name="Good 13" xfId="2446"/>
    <cellStyle name="Good 2" xfId="258"/>
    <cellStyle name="Good 2 10" xfId="259"/>
    <cellStyle name="Good 2 11" xfId="260"/>
    <cellStyle name="Good 2 2" xfId="261"/>
    <cellStyle name="Good 2 3" xfId="262"/>
    <cellStyle name="Good 2 4" xfId="263"/>
    <cellStyle name="Good 2 5" xfId="264"/>
    <cellStyle name="Good 2 6" xfId="265"/>
    <cellStyle name="Good 2 7" xfId="266"/>
    <cellStyle name="Good 2 8" xfId="267"/>
    <cellStyle name="Good 2 9" xfId="268"/>
    <cellStyle name="Good 3" xfId="269"/>
    <cellStyle name="Good 3 2" xfId="2549"/>
    <cellStyle name="Good 4" xfId="270"/>
    <cellStyle name="Good 4 2" xfId="2550"/>
    <cellStyle name="Good 5" xfId="271"/>
    <cellStyle name="Good 5 2" xfId="2551"/>
    <cellStyle name="Good 6" xfId="272"/>
    <cellStyle name="Good 6 2" xfId="2552"/>
    <cellStyle name="Good 7" xfId="273"/>
    <cellStyle name="Good 7 2" xfId="2553"/>
    <cellStyle name="Good 8" xfId="274"/>
    <cellStyle name="Good 8 2" xfId="2554"/>
    <cellStyle name="Good 9" xfId="275"/>
    <cellStyle name="Good 9 2" xfId="2555"/>
    <cellStyle name="Heading 1 10" xfId="276"/>
    <cellStyle name="Heading 1 10 2" xfId="2556"/>
    <cellStyle name="Heading 1 11" xfId="277"/>
    <cellStyle name="Heading 1 11 2" xfId="2557"/>
    <cellStyle name="Heading 1 12" xfId="278"/>
    <cellStyle name="Heading 1 12 2" xfId="34198"/>
    <cellStyle name="Heading 1 13" xfId="2447"/>
    <cellStyle name="Heading 1 2" xfId="279"/>
    <cellStyle name="Heading 1 2 10" xfId="280"/>
    <cellStyle name="Heading 1 2 11" xfId="281"/>
    <cellStyle name="Heading 1 2 2" xfId="282"/>
    <cellStyle name="Heading 1 2 3" xfId="283"/>
    <cellStyle name="Heading 1 2 4" xfId="284"/>
    <cellStyle name="Heading 1 2 5" xfId="285"/>
    <cellStyle name="Heading 1 2 6" xfId="286"/>
    <cellStyle name="Heading 1 2 7" xfId="287"/>
    <cellStyle name="Heading 1 2 8" xfId="288"/>
    <cellStyle name="Heading 1 2 9" xfId="289"/>
    <cellStyle name="Heading 1 3" xfId="290"/>
    <cellStyle name="Heading 1 3 2" xfId="2558"/>
    <cellStyle name="Heading 1 4" xfId="291"/>
    <cellStyle name="Heading 1 4 2" xfId="2559"/>
    <cellStyle name="Heading 1 5" xfId="292"/>
    <cellStyle name="Heading 1 5 2" xfId="2560"/>
    <cellStyle name="Heading 1 6" xfId="293"/>
    <cellStyle name="Heading 1 6 2" xfId="2561"/>
    <cellStyle name="Heading 1 7" xfId="294"/>
    <cellStyle name="Heading 1 7 2" xfId="2562"/>
    <cellStyle name="Heading 1 8" xfId="295"/>
    <cellStyle name="Heading 1 8 2" xfId="2563"/>
    <cellStyle name="Heading 1 9" xfId="296"/>
    <cellStyle name="Heading 1 9 2" xfId="2564"/>
    <cellStyle name="Heading 2 10" xfId="297"/>
    <cellStyle name="Heading 2 10 2" xfId="2565"/>
    <cellStyle name="Heading 2 11" xfId="298"/>
    <cellStyle name="Heading 2 11 2" xfId="2566"/>
    <cellStyle name="Heading 2 12" xfId="299"/>
    <cellStyle name="Heading 2 12 2" xfId="34199"/>
    <cellStyle name="Heading 2 13" xfId="2448"/>
    <cellStyle name="Heading 2 2" xfId="300"/>
    <cellStyle name="Heading 2 2 10" xfId="301"/>
    <cellStyle name="Heading 2 2 11" xfId="302"/>
    <cellStyle name="Heading 2 2 2" xfId="303"/>
    <cellStyle name="Heading 2 2 3" xfId="304"/>
    <cellStyle name="Heading 2 2 4" xfId="305"/>
    <cellStyle name="Heading 2 2 5" xfId="306"/>
    <cellStyle name="Heading 2 2 6" xfId="307"/>
    <cellStyle name="Heading 2 2 7" xfId="308"/>
    <cellStyle name="Heading 2 2 8" xfId="309"/>
    <cellStyle name="Heading 2 2 9" xfId="310"/>
    <cellStyle name="Heading 2 3" xfId="311"/>
    <cellStyle name="Heading 2 3 2" xfId="2567"/>
    <cellStyle name="Heading 2 4" xfId="312"/>
    <cellStyle name="Heading 2 4 2" xfId="2568"/>
    <cellStyle name="Heading 2 5" xfId="313"/>
    <cellStyle name="Heading 2 5 2" xfId="2569"/>
    <cellStyle name="Heading 2 6" xfId="314"/>
    <cellStyle name="Heading 2 6 2" xfId="2570"/>
    <cellStyle name="Heading 2 7" xfId="315"/>
    <cellStyle name="Heading 2 7 2" xfId="2571"/>
    <cellStyle name="Heading 2 8" xfId="316"/>
    <cellStyle name="Heading 2 8 2" xfId="2572"/>
    <cellStyle name="Heading 2 9" xfId="317"/>
    <cellStyle name="Heading 2 9 2" xfId="2573"/>
    <cellStyle name="Heading 3 10" xfId="318"/>
    <cellStyle name="Heading 3 10 2" xfId="2574"/>
    <cellStyle name="Heading 3 11" xfId="319"/>
    <cellStyle name="Heading 3 11 2" xfId="2575"/>
    <cellStyle name="Heading 3 12" xfId="320"/>
    <cellStyle name="Heading 3 12 2" xfId="34200"/>
    <cellStyle name="Heading 3 13" xfId="2449"/>
    <cellStyle name="Heading 3 2" xfId="321"/>
    <cellStyle name="Heading 3 2 10" xfId="322"/>
    <cellStyle name="Heading 3 2 11" xfId="323"/>
    <cellStyle name="Heading 3 2 2" xfId="324"/>
    <cellStyle name="Heading 3 2 3" xfId="325"/>
    <cellStyle name="Heading 3 2 4" xfId="326"/>
    <cellStyle name="Heading 3 2 5" xfId="327"/>
    <cellStyle name="Heading 3 2 6" xfId="328"/>
    <cellStyle name="Heading 3 2 7" xfId="329"/>
    <cellStyle name="Heading 3 2 8" xfId="330"/>
    <cellStyle name="Heading 3 2 9" xfId="331"/>
    <cellStyle name="Heading 3 3" xfId="332"/>
    <cellStyle name="Heading 3 3 2" xfId="2576"/>
    <cellStyle name="Heading 3 4" xfId="333"/>
    <cellStyle name="Heading 3 4 2" xfId="2577"/>
    <cellStyle name="Heading 3 5" xfId="334"/>
    <cellStyle name="Heading 3 5 2" xfId="2578"/>
    <cellStyle name="Heading 3 6" xfId="335"/>
    <cellStyle name="Heading 3 6 2" xfId="2579"/>
    <cellStyle name="Heading 3 7" xfId="336"/>
    <cellStyle name="Heading 3 7 2" xfId="2580"/>
    <cellStyle name="Heading 3 8" xfId="337"/>
    <cellStyle name="Heading 3 8 2" xfId="2581"/>
    <cellStyle name="Heading 3 9" xfId="338"/>
    <cellStyle name="Heading 3 9 2" xfId="2582"/>
    <cellStyle name="Heading 4 10" xfId="339"/>
    <cellStyle name="Heading 4 10 2" xfId="2583"/>
    <cellStyle name="Heading 4 11" xfId="340"/>
    <cellStyle name="Heading 4 11 2" xfId="2584"/>
    <cellStyle name="Heading 4 12" xfId="341"/>
    <cellStyle name="Heading 4 12 2" xfId="34201"/>
    <cellStyle name="Heading 4 13" xfId="2450"/>
    <cellStyle name="Heading 4 2" xfId="342"/>
    <cellStyle name="Heading 4 2 10" xfId="343"/>
    <cellStyle name="Heading 4 2 11" xfId="344"/>
    <cellStyle name="Heading 4 2 2" xfId="345"/>
    <cellStyle name="Heading 4 2 3" xfId="346"/>
    <cellStyle name="Heading 4 2 4" xfId="347"/>
    <cellStyle name="Heading 4 2 5" xfId="348"/>
    <cellStyle name="Heading 4 2 6" xfId="349"/>
    <cellStyle name="Heading 4 2 7" xfId="350"/>
    <cellStyle name="Heading 4 2 8" xfId="351"/>
    <cellStyle name="Heading 4 2 9" xfId="352"/>
    <cellStyle name="Heading 4 3" xfId="353"/>
    <cellStyle name="Heading 4 3 2" xfId="2585"/>
    <cellStyle name="Heading 4 4" xfId="354"/>
    <cellStyle name="Heading 4 4 2" xfId="2586"/>
    <cellStyle name="Heading 4 5" xfId="355"/>
    <cellStyle name="Heading 4 5 2" xfId="2587"/>
    <cellStyle name="Heading 4 6" xfId="356"/>
    <cellStyle name="Heading 4 6 2" xfId="2588"/>
    <cellStyle name="Heading 4 7" xfId="357"/>
    <cellStyle name="Heading 4 7 2" xfId="2589"/>
    <cellStyle name="Heading 4 8" xfId="358"/>
    <cellStyle name="Heading 4 8 2" xfId="2590"/>
    <cellStyle name="Heading 4 9" xfId="359"/>
    <cellStyle name="Heading 4 9 2" xfId="2591"/>
    <cellStyle name="Input 2" xfId="360"/>
    <cellStyle name="Input 2 2" xfId="361"/>
    <cellStyle name="Input 2 3" xfId="362"/>
    <cellStyle name="Input 2 4" xfId="363"/>
    <cellStyle name="Linked Cell 10" xfId="364"/>
    <cellStyle name="Linked Cell 10 2" xfId="2592"/>
    <cellStyle name="Linked Cell 11" xfId="365"/>
    <cellStyle name="Linked Cell 11 2" xfId="2593"/>
    <cellStyle name="Linked Cell 12" xfId="366"/>
    <cellStyle name="Linked Cell 12 2" xfId="34202"/>
    <cellStyle name="Linked Cell 13" xfId="2451"/>
    <cellStyle name="Linked Cell 2" xfId="367"/>
    <cellStyle name="Linked Cell 2 10" xfId="368"/>
    <cellStyle name="Linked Cell 2 11" xfId="369"/>
    <cellStyle name="Linked Cell 2 2" xfId="370"/>
    <cellStyle name="Linked Cell 2 3" xfId="371"/>
    <cellStyle name="Linked Cell 2 4" xfId="372"/>
    <cellStyle name="Linked Cell 2 5" xfId="373"/>
    <cellStyle name="Linked Cell 2 6" xfId="374"/>
    <cellStyle name="Linked Cell 2 7" xfId="375"/>
    <cellStyle name="Linked Cell 2 8" xfId="376"/>
    <cellStyle name="Linked Cell 2 9" xfId="377"/>
    <cellStyle name="Linked Cell 3" xfId="378"/>
    <cellStyle name="Linked Cell 3 2" xfId="2594"/>
    <cellStyle name="Linked Cell 4" xfId="379"/>
    <cellStyle name="Linked Cell 4 2" xfId="2595"/>
    <cellStyle name="Linked Cell 5" xfId="380"/>
    <cellStyle name="Linked Cell 5 2" xfId="2596"/>
    <cellStyle name="Linked Cell 6" xfId="381"/>
    <cellStyle name="Linked Cell 6 2" xfId="2597"/>
    <cellStyle name="Linked Cell 7" xfId="382"/>
    <cellStyle name="Linked Cell 7 2" xfId="2598"/>
    <cellStyle name="Linked Cell 8" xfId="383"/>
    <cellStyle name="Linked Cell 8 2" xfId="2599"/>
    <cellStyle name="Linked Cell 9" xfId="384"/>
    <cellStyle name="Linked Cell 9 2" xfId="2600"/>
    <cellStyle name="Neutral 10" xfId="385"/>
    <cellStyle name="Neutral 10 2" xfId="2601"/>
    <cellStyle name="Neutral 11" xfId="386"/>
    <cellStyle name="Neutral 11 2" xfId="2602"/>
    <cellStyle name="Neutral 12" xfId="387"/>
    <cellStyle name="Neutral 12 2" xfId="34203"/>
    <cellStyle name="Neutral 13" xfId="2452"/>
    <cellStyle name="Neutral 2" xfId="388"/>
    <cellStyle name="Neutral 2 10" xfId="389"/>
    <cellStyle name="Neutral 2 11" xfId="390"/>
    <cellStyle name="Neutral 2 2" xfId="391"/>
    <cellStyle name="Neutral 2 3" xfId="392"/>
    <cellStyle name="Neutral 2 4" xfId="393"/>
    <cellStyle name="Neutral 2 5" xfId="394"/>
    <cellStyle name="Neutral 2 6" xfId="395"/>
    <cellStyle name="Neutral 2 7" xfId="396"/>
    <cellStyle name="Neutral 2 8" xfId="397"/>
    <cellStyle name="Neutral 2 9" xfId="398"/>
    <cellStyle name="Neutral 3" xfId="399"/>
    <cellStyle name="Neutral 3 2" xfId="2603"/>
    <cellStyle name="Neutral 4" xfId="400"/>
    <cellStyle name="Neutral 4 2" xfId="2604"/>
    <cellStyle name="Neutral 5" xfId="401"/>
    <cellStyle name="Neutral 5 2" xfId="2605"/>
    <cellStyle name="Neutral 6" xfId="402"/>
    <cellStyle name="Neutral 6 2" xfId="2606"/>
    <cellStyle name="Neutral 7" xfId="403"/>
    <cellStyle name="Neutral 7 2" xfId="2607"/>
    <cellStyle name="Neutral 8" xfId="404"/>
    <cellStyle name="Neutral 8 2" xfId="2608"/>
    <cellStyle name="Neutral 9" xfId="405"/>
    <cellStyle name="Neutral 9 2" xfId="2609"/>
    <cellStyle name="Normal" xfId="0" builtinId="0"/>
    <cellStyle name="Normal 10" xfId="406"/>
    <cellStyle name="Normal 10 2" xfId="407"/>
    <cellStyle name="Normal 100" xfId="408"/>
    <cellStyle name="Normal 100 2" xfId="409"/>
    <cellStyle name="Normal 101" xfId="410"/>
    <cellStyle name="Normal 101 2" xfId="411"/>
    <cellStyle name="Normal 102" xfId="412"/>
    <cellStyle name="Normal 102 2" xfId="413"/>
    <cellStyle name="Normal 103" xfId="414"/>
    <cellStyle name="Normal 103 2" xfId="415"/>
    <cellStyle name="Normal 104" xfId="416"/>
    <cellStyle name="Normal 104 2" xfId="417"/>
    <cellStyle name="Normal 105" xfId="418"/>
    <cellStyle name="Normal 105 2" xfId="419"/>
    <cellStyle name="Normal 106" xfId="420"/>
    <cellStyle name="Normal 106 2" xfId="421"/>
    <cellStyle name="Normal 107" xfId="422"/>
    <cellStyle name="Normal 107 2" xfId="423"/>
    <cellStyle name="Normal 108" xfId="424"/>
    <cellStyle name="Normal 108 2" xfId="425"/>
    <cellStyle name="Normal 109" xfId="426"/>
    <cellStyle name="Normal 109 2" xfId="427"/>
    <cellStyle name="Normal 11" xfId="428"/>
    <cellStyle name="Normal 11 10" xfId="7896"/>
    <cellStyle name="Normal 11 11" xfId="9649"/>
    <cellStyle name="Normal 11 12" xfId="11401"/>
    <cellStyle name="Normal 11 13" xfId="13153"/>
    <cellStyle name="Normal 11 14" xfId="14905"/>
    <cellStyle name="Normal 11 15" xfId="16658"/>
    <cellStyle name="Normal 11 16" xfId="18410"/>
    <cellStyle name="Normal 11 17" xfId="20163"/>
    <cellStyle name="Normal 11 18" xfId="21915"/>
    <cellStyle name="Normal 11 19" xfId="23667"/>
    <cellStyle name="Normal 11 2" xfId="429"/>
    <cellStyle name="Normal 11 2 10" xfId="9704"/>
    <cellStyle name="Normal 11 2 11" xfId="11456"/>
    <cellStyle name="Normal 11 2 12" xfId="13208"/>
    <cellStyle name="Normal 11 2 13" xfId="14960"/>
    <cellStyle name="Normal 11 2 14" xfId="16713"/>
    <cellStyle name="Normal 11 2 15" xfId="18465"/>
    <cellStyle name="Normal 11 2 16" xfId="20218"/>
    <cellStyle name="Normal 11 2 17" xfId="21970"/>
    <cellStyle name="Normal 11 2 18" xfId="23722"/>
    <cellStyle name="Normal 11 2 19" xfId="25474"/>
    <cellStyle name="Normal 11 2 2" xfId="430"/>
    <cellStyle name="Normal 11 2 2 10" xfId="11564"/>
    <cellStyle name="Normal 11 2 2 11" xfId="13316"/>
    <cellStyle name="Normal 11 2 2 12" xfId="15068"/>
    <cellStyle name="Normal 11 2 2 13" xfId="16821"/>
    <cellStyle name="Normal 11 2 2 14" xfId="18573"/>
    <cellStyle name="Normal 11 2 2 15" xfId="20326"/>
    <cellStyle name="Normal 11 2 2 16" xfId="22078"/>
    <cellStyle name="Normal 11 2 2 17" xfId="23830"/>
    <cellStyle name="Normal 11 2 2 18" xfId="25582"/>
    <cellStyle name="Normal 11 2 2 19" xfId="27334"/>
    <cellStyle name="Normal 11 2 2 2" xfId="431"/>
    <cellStyle name="Normal 11 2 2 2 10" xfId="13366"/>
    <cellStyle name="Normal 11 2 2 2 11" xfId="15118"/>
    <cellStyle name="Normal 11 2 2 2 12" xfId="16871"/>
    <cellStyle name="Normal 11 2 2 2 13" xfId="18623"/>
    <cellStyle name="Normal 11 2 2 2 14" xfId="20376"/>
    <cellStyle name="Normal 11 2 2 2 15" xfId="22128"/>
    <cellStyle name="Normal 11 2 2 2 16" xfId="23880"/>
    <cellStyle name="Normal 11 2 2 2 17" xfId="25632"/>
    <cellStyle name="Normal 11 2 2 2 18" xfId="27384"/>
    <cellStyle name="Normal 11 2 2 2 19" xfId="29137"/>
    <cellStyle name="Normal 11 2 2 2 2" xfId="432"/>
    <cellStyle name="Normal 11 2 2 2 2 10" xfId="15554"/>
    <cellStyle name="Normal 11 2 2 2 2 11" xfId="17307"/>
    <cellStyle name="Normal 11 2 2 2 2 12" xfId="19059"/>
    <cellStyle name="Normal 11 2 2 2 2 13" xfId="20812"/>
    <cellStyle name="Normal 11 2 2 2 2 14" xfId="22564"/>
    <cellStyle name="Normal 11 2 2 2 2 15" xfId="24316"/>
    <cellStyle name="Normal 11 2 2 2 2 16" xfId="26068"/>
    <cellStyle name="Normal 11 2 2 2 2 17" xfId="27820"/>
    <cellStyle name="Normal 11 2 2 2 2 18" xfId="29573"/>
    <cellStyle name="Normal 11 2 2 2 2 19" xfId="31325"/>
    <cellStyle name="Normal 11 2 2 2 2 2" xfId="433"/>
    <cellStyle name="Normal 11 2 2 2 2 2 10" xfId="18183"/>
    <cellStyle name="Normal 11 2 2 2 2 2 11" xfId="19935"/>
    <cellStyle name="Normal 11 2 2 2 2 2 12" xfId="21688"/>
    <cellStyle name="Normal 11 2 2 2 2 2 13" xfId="23440"/>
    <cellStyle name="Normal 11 2 2 2 2 2 14" xfId="25192"/>
    <cellStyle name="Normal 11 2 2 2 2 2 15" xfId="26944"/>
    <cellStyle name="Normal 11 2 2 2 2 2 16" xfId="28696"/>
    <cellStyle name="Normal 11 2 2 2 2 2 17" xfId="30449"/>
    <cellStyle name="Normal 11 2 2 2 2 2 18" xfId="32201"/>
    <cellStyle name="Normal 11 2 2 2 2 2 19" xfId="33954"/>
    <cellStyle name="Normal 11 2 2 2 2 2 2" xfId="4165"/>
    <cellStyle name="Normal 11 2 2 2 2 2 20" xfId="36590"/>
    <cellStyle name="Normal 11 2 2 2 2 2 21" xfId="38330"/>
    <cellStyle name="Normal 11 2 2 2 2 2 22" xfId="40083"/>
    <cellStyle name="Normal 11 2 2 2 2 2 23" xfId="41838"/>
    <cellStyle name="Normal 11 2 2 2 2 2 24" xfId="43590"/>
    <cellStyle name="Normal 11 2 2 2 2 2 25" xfId="46208"/>
    <cellStyle name="Normal 11 2 2 2 2 2 26" xfId="47960"/>
    <cellStyle name="Normal 11 2 2 2 2 2 27" xfId="49712"/>
    <cellStyle name="Normal 11 2 2 2 2 2 28" xfId="51464"/>
    <cellStyle name="Normal 11 2 2 2 2 2 29" xfId="53216"/>
    <cellStyle name="Normal 11 2 2 2 2 2 3" xfId="5917"/>
    <cellStyle name="Normal 11 2 2 2 2 2 30" xfId="54968"/>
    <cellStyle name="Normal 11 2 2 2 2 2 31" xfId="56720"/>
    <cellStyle name="Normal 11 2 2 2 2 2 32" xfId="58473"/>
    <cellStyle name="Normal 11 2 2 2 2 2 33" xfId="60225"/>
    <cellStyle name="Normal 11 2 2 2 2 2 34" xfId="61977"/>
    <cellStyle name="Normal 11 2 2 2 2 2 4" xfId="7669"/>
    <cellStyle name="Normal 11 2 2 2 2 2 5" xfId="9421"/>
    <cellStyle name="Normal 11 2 2 2 2 2 6" xfId="11174"/>
    <cellStyle name="Normal 11 2 2 2 2 2 7" xfId="12926"/>
    <cellStyle name="Normal 11 2 2 2 2 2 8" xfId="14678"/>
    <cellStyle name="Normal 11 2 2 2 2 2 9" xfId="16430"/>
    <cellStyle name="Normal 11 2 2 2 2 20" xfId="33078"/>
    <cellStyle name="Normal 11 2 2 2 2 21" xfId="34208"/>
    <cellStyle name="Normal 11 2 2 2 2 22" xfId="35714"/>
    <cellStyle name="Normal 11 2 2 2 2 23" xfId="36829"/>
    <cellStyle name="Normal 11 2 2 2 2 24" xfId="39207"/>
    <cellStyle name="Normal 11 2 2 2 2 25" xfId="40962"/>
    <cellStyle name="Normal 11 2 2 2 2 26" xfId="42714"/>
    <cellStyle name="Normal 11 2 2 2 2 27" xfId="43829"/>
    <cellStyle name="Normal 11 2 2 2 2 28" xfId="45332"/>
    <cellStyle name="Normal 11 2 2 2 2 29" xfId="47084"/>
    <cellStyle name="Normal 11 2 2 2 2 3" xfId="3289"/>
    <cellStyle name="Normal 11 2 2 2 2 30" xfId="48836"/>
    <cellStyle name="Normal 11 2 2 2 2 31" xfId="50588"/>
    <cellStyle name="Normal 11 2 2 2 2 32" xfId="52340"/>
    <cellStyle name="Normal 11 2 2 2 2 33" xfId="54092"/>
    <cellStyle name="Normal 11 2 2 2 2 34" xfId="55844"/>
    <cellStyle name="Normal 11 2 2 2 2 35" xfId="57597"/>
    <cellStyle name="Normal 11 2 2 2 2 36" xfId="59349"/>
    <cellStyle name="Normal 11 2 2 2 2 37" xfId="61101"/>
    <cellStyle name="Normal 11 2 2 2 2 38" xfId="62216"/>
    <cellStyle name="Normal 11 2 2 2 2 39" xfId="63082"/>
    <cellStyle name="Normal 11 2 2 2 2 4" xfId="5041"/>
    <cellStyle name="Normal 11 2 2 2 2 5" xfId="6793"/>
    <cellStyle name="Normal 11 2 2 2 2 6" xfId="8545"/>
    <cellStyle name="Normal 11 2 2 2 2 7" xfId="10298"/>
    <cellStyle name="Normal 11 2 2 2 2 8" xfId="12050"/>
    <cellStyle name="Normal 11 2 2 2 2 9" xfId="13802"/>
    <cellStyle name="Normal 11 2 2 2 20" xfId="30889"/>
    <cellStyle name="Normal 11 2 2 2 21" xfId="32642"/>
    <cellStyle name="Normal 11 2 2 2 22" xfId="34207"/>
    <cellStyle name="Normal 11 2 2 2 23" xfId="35278"/>
    <cellStyle name="Normal 11 2 2 2 24" xfId="36828"/>
    <cellStyle name="Normal 11 2 2 2 25" xfId="38771"/>
    <cellStyle name="Normal 11 2 2 2 26" xfId="40526"/>
    <cellStyle name="Normal 11 2 2 2 27" xfId="42278"/>
    <cellStyle name="Normal 11 2 2 2 28" xfId="43828"/>
    <cellStyle name="Normal 11 2 2 2 29" xfId="44896"/>
    <cellStyle name="Normal 11 2 2 2 3" xfId="434"/>
    <cellStyle name="Normal 11 2 2 2 3 10" xfId="17747"/>
    <cellStyle name="Normal 11 2 2 2 3 11" xfId="19499"/>
    <cellStyle name="Normal 11 2 2 2 3 12" xfId="21252"/>
    <cellStyle name="Normal 11 2 2 2 3 13" xfId="23004"/>
    <cellStyle name="Normal 11 2 2 2 3 14" xfId="24756"/>
    <cellStyle name="Normal 11 2 2 2 3 15" xfId="26508"/>
    <cellStyle name="Normal 11 2 2 2 3 16" xfId="28260"/>
    <cellStyle name="Normal 11 2 2 2 3 17" xfId="30013"/>
    <cellStyle name="Normal 11 2 2 2 3 18" xfId="31765"/>
    <cellStyle name="Normal 11 2 2 2 3 19" xfId="33518"/>
    <cellStyle name="Normal 11 2 2 2 3 2" xfId="3729"/>
    <cellStyle name="Normal 11 2 2 2 3 20" xfId="36154"/>
    <cellStyle name="Normal 11 2 2 2 3 21" xfId="37894"/>
    <cellStyle name="Normal 11 2 2 2 3 22" xfId="39647"/>
    <cellStyle name="Normal 11 2 2 2 3 23" xfId="41402"/>
    <cellStyle name="Normal 11 2 2 2 3 24" xfId="43154"/>
    <cellStyle name="Normal 11 2 2 2 3 25" xfId="45772"/>
    <cellStyle name="Normal 11 2 2 2 3 26" xfId="47524"/>
    <cellStyle name="Normal 11 2 2 2 3 27" xfId="49276"/>
    <cellStyle name="Normal 11 2 2 2 3 28" xfId="51028"/>
    <cellStyle name="Normal 11 2 2 2 3 29" xfId="52780"/>
    <cellStyle name="Normal 11 2 2 2 3 3" xfId="5481"/>
    <cellStyle name="Normal 11 2 2 2 3 30" xfId="54532"/>
    <cellStyle name="Normal 11 2 2 2 3 31" xfId="56284"/>
    <cellStyle name="Normal 11 2 2 2 3 32" xfId="58037"/>
    <cellStyle name="Normal 11 2 2 2 3 33" xfId="59789"/>
    <cellStyle name="Normal 11 2 2 2 3 34" xfId="61541"/>
    <cellStyle name="Normal 11 2 2 2 3 4" xfId="7233"/>
    <cellStyle name="Normal 11 2 2 2 3 5" xfId="8985"/>
    <cellStyle name="Normal 11 2 2 2 3 6" xfId="10738"/>
    <cellStyle name="Normal 11 2 2 2 3 7" xfId="12490"/>
    <cellStyle name="Normal 11 2 2 2 3 8" xfId="14242"/>
    <cellStyle name="Normal 11 2 2 2 3 9" xfId="15994"/>
    <cellStyle name="Normal 11 2 2 2 30" xfId="46648"/>
    <cellStyle name="Normal 11 2 2 2 31" xfId="48400"/>
    <cellStyle name="Normal 11 2 2 2 32" xfId="50152"/>
    <cellStyle name="Normal 11 2 2 2 33" xfId="51904"/>
    <cellStyle name="Normal 11 2 2 2 34" xfId="53656"/>
    <cellStyle name="Normal 11 2 2 2 35" xfId="55408"/>
    <cellStyle name="Normal 11 2 2 2 36" xfId="57161"/>
    <cellStyle name="Normal 11 2 2 2 37" xfId="58913"/>
    <cellStyle name="Normal 11 2 2 2 38" xfId="60665"/>
    <cellStyle name="Normal 11 2 2 2 39" xfId="62215"/>
    <cellStyle name="Normal 11 2 2 2 4" xfId="2853"/>
    <cellStyle name="Normal 11 2 2 2 40" xfId="63081"/>
    <cellStyle name="Normal 11 2 2 2 5" xfId="4605"/>
    <cellStyle name="Normal 11 2 2 2 6" xfId="6357"/>
    <cellStyle name="Normal 11 2 2 2 7" xfId="8109"/>
    <cellStyle name="Normal 11 2 2 2 8" xfId="9862"/>
    <cellStyle name="Normal 11 2 2 2 9" xfId="11614"/>
    <cellStyle name="Normal 11 2 2 20" xfId="29087"/>
    <cellStyle name="Normal 11 2 2 21" xfId="30839"/>
    <cellStyle name="Normal 11 2 2 22" xfId="32592"/>
    <cellStyle name="Normal 11 2 2 23" xfId="34206"/>
    <cellStyle name="Normal 11 2 2 24" xfId="35228"/>
    <cellStyle name="Normal 11 2 2 25" xfId="36827"/>
    <cellStyle name="Normal 11 2 2 26" xfId="38721"/>
    <cellStyle name="Normal 11 2 2 27" xfId="40476"/>
    <cellStyle name="Normal 11 2 2 28" xfId="42228"/>
    <cellStyle name="Normal 11 2 2 29" xfId="43827"/>
    <cellStyle name="Normal 11 2 2 3" xfId="435"/>
    <cellStyle name="Normal 11 2 2 3 10" xfId="15504"/>
    <cellStyle name="Normal 11 2 2 3 11" xfId="17257"/>
    <cellStyle name="Normal 11 2 2 3 12" xfId="19009"/>
    <cellStyle name="Normal 11 2 2 3 13" xfId="20762"/>
    <cellStyle name="Normal 11 2 2 3 14" xfId="22514"/>
    <cellStyle name="Normal 11 2 2 3 15" xfId="24266"/>
    <cellStyle name="Normal 11 2 2 3 16" xfId="26018"/>
    <cellStyle name="Normal 11 2 2 3 17" xfId="27770"/>
    <cellStyle name="Normal 11 2 2 3 18" xfId="29523"/>
    <cellStyle name="Normal 11 2 2 3 19" xfId="31275"/>
    <cellStyle name="Normal 11 2 2 3 2" xfId="436"/>
    <cellStyle name="Normal 11 2 2 3 2 10" xfId="18133"/>
    <cellStyle name="Normal 11 2 2 3 2 11" xfId="19885"/>
    <cellStyle name="Normal 11 2 2 3 2 12" xfId="21638"/>
    <cellStyle name="Normal 11 2 2 3 2 13" xfId="23390"/>
    <cellStyle name="Normal 11 2 2 3 2 14" xfId="25142"/>
    <cellStyle name="Normal 11 2 2 3 2 15" xfId="26894"/>
    <cellStyle name="Normal 11 2 2 3 2 16" xfId="28646"/>
    <cellStyle name="Normal 11 2 2 3 2 17" xfId="30399"/>
    <cellStyle name="Normal 11 2 2 3 2 18" xfId="32151"/>
    <cellStyle name="Normal 11 2 2 3 2 19" xfId="33904"/>
    <cellStyle name="Normal 11 2 2 3 2 2" xfId="4115"/>
    <cellStyle name="Normal 11 2 2 3 2 20" xfId="36540"/>
    <cellStyle name="Normal 11 2 2 3 2 21" xfId="38280"/>
    <cellStyle name="Normal 11 2 2 3 2 22" xfId="40033"/>
    <cellStyle name="Normal 11 2 2 3 2 23" xfId="41788"/>
    <cellStyle name="Normal 11 2 2 3 2 24" xfId="43540"/>
    <cellStyle name="Normal 11 2 2 3 2 25" xfId="46158"/>
    <cellStyle name="Normal 11 2 2 3 2 26" xfId="47910"/>
    <cellStyle name="Normal 11 2 2 3 2 27" xfId="49662"/>
    <cellStyle name="Normal 11 2 2 3 2 28" xfId="51414"/>
    <cellStyle name="Normal 11 2 2 3 2 29" xfId="53166"/>
    <cellStyle name="Normal 11 2 2 3 2 3" xfId="5867"/>
    <cellStyle name="Normal 11 2 2 3 2 30" xfId="54918"/>
    <cellStyle name="Normal 11 2 2 3 2 31" xfId="56670"/>
    <cellStyle name="Normal 11 2 2 3 2 32" xfId="58423"/>
    <cellStyle name="Normal 11 2 2 3 2 33" xfId="60175"/>
    <cellStyle name="Normal 11 2 2 3 2 34" xfId="61927"/>
    <cellStyle name="Normal 11 2 2 3 2 4" xfId="7619"/>
    <cellStyle name="Normal 11 2 2 3 2 5" xfId="9371"/>
    <cellStyle name="Normal 11 2 2 3 2 6" xfId="11124"/>
    <cellStyle name="Normal 11 2 2 3 2 7" xfId="12876"/>
    <cellStyle name="Normal 11 2 2 3 2 8" xfId="14628"/>
    <cellStyle name="Normal 11 2 2 3 2 9" xfId="16380"/>
    <cellStyle name="Normal 11 2 2 3 20" xfId="33028"/>
    <cellStyle name="Normal 11 2 2 3 21" xfId="34209"/>
    <cellStyle name="Normal 11 2 2 3 22" xfId="35664"/>
    <cellStyle name="Normal 11 2 2 3 23" xfId="36830"/>
    <cellStyle name="Normal 11 2 2 3 24" xfId="39157"/>
    <cellStyle name="Normal 11 2 2 3 25" xfId="40912"/>
    <cellStyle name="Normal 11 2 2 3 26" xfId="42664"/>
    <cellStyle name="Normal 11 2 2 3 27" xfId="43830"/>
    <cellStyle name="Normal 11 2 2 3 28" xfId="45282"/>
    <cellStyle name="Normal 11 2 2 3 29" xfId="47034"/>
    <cellStyle name="Normal 11 2 2 3 3" xfId="3239"/>
    <cellStyle name="Normal 11 2 2 3 30" xfId="48786"/>
    <cellStyle name="Normal 11 2 2 3 31" xfId="50538"/>
    <cellStyle name="Normal 11 2 2 3 32" xfId="52290"/>
    <cellStyle name="Normal 11 2 2 3 33" xfId="54042"/>
    <cellStyle name="Normal 11 2 2 3 34" xfId="55794"/>
    <cellStyle name="Normal 11 2 2 3 35" xfId="57547"/>
    <cellStyle name="Normal 11 2 2 3 36" xfId="59299"/>
    <cellStyle name="Normal 11 2 2 3 37" xfId="61051"/>
    <cellStyle name="Normal 11 2 2 3 38" xfId="62217"/>
    <cellStyle name="Normal 11 2 2 3 39" xfId="63083"/>
    <cellStyle name="Normal 11 2 2 3 4" xfId="4991"/>
    <cellStyle name="Normal 11 2 2 3 5" xfId="6743"/>
    <cellStyle name="Normal 11 2 2 3 6" xfId="8495"/>
    <cellStyle name="Normal 11 2 2 3 7" xfId="10248"/>
    <cellStyle name="Normal 11 2 2 3 8" xfId="12000"/>
    <cellStyle name="Normal 11 2 2 3 9" xfId="13752"/>
    <cellStyle name="Normal 11 2 2 30" xfId="44846"/>
    <cellStyle name="Normal 11 2 2 31" xfId="46598"/>
    <cellStyle name="Normal 11 2 2 32" xfId="48350"/>
    <cellStyle name="Normal 11 2 2 33" xfId="50102"/>
    <cellStyle name="Normal 11 2 2 34" xfId="51854"/>
    <cellStyle name="Normal 11 2 2 35" xfId="53606"/>
    <cellStyle name="Normal 11 2 2 36" xfId="55358"/>
    <cellStyle name="Normal 11 2 2 37" xfId="57111"/>
    <cellStyle name="Normal 11 2 2 38" xfId="58863"/>
    <cellStyle name="Normal 11 2 2 39" xfId="60615"/>
    <cellStyle name="Normal 11 2 2 4" xfId="437"/>
    <cellStyle name="Normal 11 2 2 4 10" xfId="17697"/>
    <cellStyle name="Normal 11 2 2 4 11" xfId="19449"/>
    <cellStyle name="Normal 11 2 2 4 12" xfId="21202"/>
    <cellStyle name="Normal 11 2 2 4 13" xfId="22954"/>
    <cellStyle name="Normal 11 2 2 4 14" xfId="24706"/>
    <cellStyle name="Normal 11 2 2 4 15" xfId="26458"/>
    <cellStyle name="Normal 11 2 2 4 16" xfId="28210"/>
    <cellStyle name="Normal 11 2 2 4 17" xfId="29963"/>
    <cellStyle name="Normal 11 2 2 4 18" xfId="31715"/>
    <cellStyle name="Normal 11 2 2 4 19" xfId="33468"/>
    <cellStyle name="Normal 11 2 2 4 2" xfId="3679"/>
    <cellStyle name="Normal 11 2 2 4 20" xfId="36104"/>
    <cellStyle name="Normal 11 2 2 4 21" xfId="37844"/>
    <cellStyle name="Normal 11 2 2 4 22" xfId="39597"/>
    <cellStyle name="Normal 11 2 2 4 23" xfId="41352"/>
    <cellStyle name="Normal 11 2 2 4 24" xfId="43104"/>
    <cellStyle name="Normal 11 2 2 4 25" xfId="45722"/>
    <cellStyle name="Normal 11 2 2 4 26" xfId="47474"/>
    <cellStyle name="Normal 11 2 2 4 27" xfId="49226"/>
    <cellStyle name="Normal 11 2 2 4 28" xfId="50978"/>
    <cellStyle name="Normal 11 2 2 4 29" xfId="52730"/>
    <cellStyle name="Normal 11 2 2 4 3" xfId="5431"/>
    <cellStyle name="Normal 11 2 2 4 30" xfId="54482"/>
    <cellStyle name="Normal 11 2 2 4 31" xfId="56234"/>
    <cellStyle name="Normal 11 2 2 4 32" xfId="57987"/>
    <cellStyle name="Normal 11 2 2 4 33" xfId="59739"/>
    <cellStyle name="Normal 11 2 2 4 34" xfId="61491"/>
    <cellStyle name="Normal 11 2 2 4 4" xfId="7183"/>
    <cellStyle name="Normal 11 2 2 4 5" xfId="8935"/>
    <cellStyle name="Normal 11 2 2 4 6" xfId="10688"/>
    <cellStyle name="Normal 11 2 2 4 7" xfId="12440"/>
    <cellStyle name="Normal 11 2 2 4 8" xfId="14192"/>
    <cellStyle name="Normal 11 2 2 4 9" xfId="15944"/>
    <cellStyle name="Normal 11 2 2 40" xfId="62214"/>
    <cellStyle name="Normal 11 2 2 41" xfId="63080"/>
    <cellStyle name="Normal 11 2 2 5" xfId="2803"/>
    <cellStyle name="Normal 11 2 2 6" xfId="4555"/>
    <cellStyle name="Normal 11 2 2 7" xfId="6307"/>
    <cellStyle name="Normal 11 2 2 8" xfId="8059"/>
    <cellStyle name="Normal 11 2 2 9" xfId="9812"/>
    <cellStyle name="Normal 11 2 20" xfId="27226"/>
    <cellStyle name="Normal 11 2 21" xfId="28979"/>
    <cellStyle name="Normal 11 2 22" xfId="30731"/>
    <cellStyle name="Normal 11 2 23" xfId="32484"/>
    <cellStyle name="Normal 11 2 24" xfId="34205"/>
    <cellStyle name="Normal 11 2 25" xfId="35120"/>
    <cellStyle name="Normal 11 2 26" xfId="36826"/>
    <cellStyle name="Normal 11 2 27" xfId="38613"/>
    <cellStyle name="Normal 11 2 28" xfId="40368"/>
    <cellStyle name="Normal 11 2 29" xfId="42120"/>
    <cellStyle name="Normal 11 2 3" xfId="438"/>
    <cellStyle name="Normal 11 2 3 10" xfId="13367"/>
    <cellStyle name="Normal 11 2 3 11" xfId="15119"/>
    <cellStyle name="Normal 11 2 3 12" xfId="16872"/>
    <cellStyle name="Normal 11 2 3 13" xfId="18624"/>
    <cellStyle name="Normal 11 2 3 14" xfId="20377"/>
    <cellStyle name="Normal 11 2 3 15" xfId="22129"/>
    <cellStyle name="Normal 11 2 3 16" xfId="23881"/>
    <cellStyle name="Normal 11 2 3 17" xfId="25633"/>
    <cellStyle name="Normal 11 2 3 18" xfId="27385"/>
    <cellStyle name="Normal 11 2 3 19" xfId="29138"/>
    <cellStyle name="Normal 11 2 3 2" xfId="439"/>
    <cellStyle name="Normal 11 2 3 2 10" xfId="15555"/>
    <cellStyle name="Normal 11 2 3 2 11" xfId="17308"/>
    <cellStyle name="Normal 11 2 3 2 12" xfId="19060"/>
    <cellStyle name="Normal 11 2 3 2 13" xfId="20813"/>
    <cellStyle name="Normal 11 2 3 2 14" xfId="22565"/>
    <cellStyle name="Normal 11 2 3 2 15" xfId="24317"/>
    <cellStyle name="Normal 11 2 3 2 16" xfId="26069"/>
    <cellStyle name="Normal 11 2 3 2 17" xfId="27821"/>
    <cellStyle name="Normal 11 2 3 2 18" xfId="29574"/>
    <cellStyle name="Normal 11 2 3 2 19" xfId="31326"/>
    <cellStyle name="Normal 11 2 3 2 2" xfId="440"/>
    <cellStyle name="Normal 11 2 3 2 2 10" xfId="18184"/>
    <cellStyle name="Normal 11 2 3 2 2 11" xfId="19936"/>
    <cellStyle name="Normal 11 2 3 2 2 12" xfId="21689"/>
    <cellStyle name="Normal 11 2 3 2 2 13" xfId="23441"/>
    <cellStyle name="Normal 11 2 3 2 2 14" xfId="25193"/>
    <cellStyle name="Normal 11 2 3 2 2 15" xfId="26945"/>
    <cellStyle name="Normal 11 2 3 2 2 16" xfId="28697"/>
    <cellStyle name="Normal 11 2 3 2 2 17" xfId="30450"/>
    <cellStyle name="Normal 11 2 3 2 2 18" xfId="32202"/>
    <cellStyle name="Normal 11 2 3 2 2 19" xfId="33955"/>
    <cellStyle name="Normal 11 2 3 2 2 2" xfId="4166"/>
    <cellStyle name="Normal 11 2 3 2 2 20" xfId="36591"/>
    <cellStyle name="Normal 11 2 3 2 2 21" xfId="38331"/>
    <cellStyle name="Normal 11 2 3 2 2 22" xfId="40084"/>
    <cellStyle name="Normal 11 2 3 2 2 23" xfId="41839"/>
    <cellStyle name="Normal 11 2 3 2 2 24" xfId="43591"/>
    <cellStyle name="Normal 11 2 3 2 2 25" xfId="46209"/>
    <cellStyle name="Normal 11 2 3 2 2 26" xfId="47961"/>
    <cellStyle name="Normal 11 2 3 2 2 27" xfId="49713"/>
    <cellStyle name="Normal 11 2 3 2 2 28" xfId="51465"/>
    <cellStyle name="Normal 11 2 3 2 2 29" xfId="53217"/>
    <cellStyle name="Normal 11 2 3 2 2 3" xfId="5918"/>
    <cellStyle name="Normal 11 2 3 2 2 30" xfId="54969"/>
    <cellStyle name="Normal 11 2 3 2 2 31" xfId="56721"/>
    <cellStyle name="Normal 11 2 3 2 2 32" xfId="58474"/>
    <cellStyle name="Normal 11 2 3 2 2 33" xfId="60226"/>
    <cellStyle name="Normal 11 2 3 2 2 34" xfId="61978"/>
    <cellStyle name="Normal 11 2 3 2 2 4" xfId="7670"/>
    <cellStyle name="Normal 11 2 3 2 2 5" xfId="9422"/>
    <cellStyle name="Normal 11 2 3 2 2 6" xfId="11175"/>
    <cellStyle name="Normal 11 2 3 2 2 7" xfId="12927"/>
    <cellStyle name="Normal 11 2 3 2 2 8" xfId="14679"/>
    <cellStyle name="Normal 11 2 3 2 2 9" xfId="16431"/>
    <cellStyle name="Normal 11 2 3 2 20" xfId="33079"/>
    <cellStyle name="Normal 11 2 3 2 21" xfId="34211"/>
    <cellStyle name="Normal 11 2 3 2 22" xfId="35715"/>
    <cellStyle name="Normal 11 2 3 2 23" xfId="36832"/>
    <cellStyle name="Normal 11 2 3 2 24" xfId="39208"/>
    <cellStyle name="Normal 11 2 3 2 25" xfId="40963"/>
    <cellStyle name="Normal 11 2 3 2 26" xfId="42715"/>
    <cellStyle name="Normal 11 2 3 2 27" xfId="43832"/>
    <cellStyle name="Normal 11 2 3 2 28" xfId="45333"/>
    <cellStyle name="Normal 11 2 3 2 29" xfId="47085"/>
    <cellStyle name="Normal 11 2 3 2 3" xfId="3290"/>
    <cellStyle name="Normal 11 2 3 2 30" xfId="48837"/>
    <cellStyle name="Normal 11 2 3 2 31" xfId="50589"/>
    <cellStyle name="Normal 11 2 3 2 32" xfId="52341"/>
    <cellStyle name="Normal 11 2 3 2 33" xfId="54093"/>
    <cellStyle name="Normal 11 2 3 2 34" xfId="55845"/>
    <cellStyle name="Normal 11 2 3 2 35" xfId="57598"/>
    <cellStyle name="Normal 11 2 3 2 36" xfId="59350"/>
    <cellStyle name="Normal 11 2 3 2 37" xfId="61102"/>
    <cellStyle name="Normal 11 2 3 2 38" xfId="62219"/>
    <cellStyle name="Normal 11 2 3 2 39" xfId="63085"/>
    <cellStyle name="Normal 11 2 3 2 4" xfId="5042"/>
    <cellStyle name="Normal 11 2 3 2 5" xfId="6794"/>
    <cellStyle name="Normal 11 2 3 2 6" xfId="8546"/>
    <cellStyle name="Normal 11 2 3 2 7" xfId="10299"/>
    <cellStyle name="Normal 11 2 3 2 8" xfId="12051"/>
    <cellStyle name="Normal 11 2 3 2 9" xfId="13803"/>
    <cellStyle name="Normal 11 2 3 20" xfId="30890"/>
    <cellStyle name="Normal 11 2 3 21" xfId="32643"/>
    <cellStyle name="Normal 11 2 3 22" xfId="34210"/>
    <cellStyle name="Normal 11 2 3 23" xfId="35279"/>
    <cellStyle name="Normal 11 2 3 24" xfId="36831"/>
    <cellStyle name="Normal 11 2 3 25" xfId="38772"/>
    <cellStyle name="Normal 11 2 3 26" xfId="40527"/>
    <cellStyle name="Normal 11 2 3 27" xfId="42279"/>
    <cellStyle name="Normal 11 2 3 28" xfId="43831"/>
    <cellStyle name="Normal 11 2 3 29" xfId="44897"/>
    <cellStyle name="Normal 11 2 3 3" xfId="441"/>
    <cellStyle name="Normal 11 2 3 3 10" xfId="17748"/>
    <cellStyle name="Normal 11 2 3 3 11" xfId="19500"/>
    <cellStyle name="Normal 11 2 3 3 12" xfId="21253"/>
    <cellStyle name="Normal 11 2 3 3 13" xfId="23005"/>
    <cellStyle name="Normal 11 2 3 3 14" xfId="24757"/>
    <cellStyle name="Normal 11 2 3 3 15" xfId="26509"/>
    <cellStyle name="Normal 11 2 3 3 16" xfId="28261"/>
    <cellStyle name="Normal 11 2 3 3 17" xfId="30014"/>
    <cellStyle name="Normal 11 2 3 3 18" xfId="31766"/>
    <cellStyle name="Normal 11 2 3 3 19" xfId="33519"/>
    <cellStyle name="Normal 11 2 3 3 2" xfId="3730"/>
    <cellStyle name="Normal 11 2 3 3 20" xfId="36155"/>
    <cellStyle name="Normal 11 2 3 3 21" xfId="37895"/>
    <cellStyle name="Normal 11 2 3 3 22" xfId="39648"/>
    <cellStyle name="Normal 11 2 3 3 23" xfId="41403"/>
    <cellStyle name="Normal 11 2 3 3 24" xfId="43155"/>
    <cellStyle name="Normal 11 2 3 3 25" xfId="45773"/>
    <cellStyle name="Normal 11 2 3 3 26" xfId="47525"/>
    <cellStyle name="Normal 11 2 3 3 27" xfId="49277"/>
    <cellStyle name="Normal 11 2 3 3 28" xfId="51029"/>
    <cellStyle name="Normal 11 2 3 3 29" xfId="52781"/>
    <cellStyle name="Normal 11 2 3 3 3" xfId="5482"/>
    <cellStyle name="Normal 11 2 3 3 30" xfId="54533"/>
    <cellStyle name="Normal 11 2 3 3 31" xfId="56285"/>
    <cellStyle name="Normal 11 2 3 3 32" xfId="58038"/>
    <cellStyle name="Normal 11 2 3 3 33" xfId="59790"/>
    <cellStyle name="Normal 11 2 3 3 34" xfId="61542"/>
    <cellStyle name="Normal 11 2 3 3 4" xfId="7234"/>
    <cellStyle name="Normal 11 2 3 3 5" xfId="8986"/>
    <cellStyle name="Normal 11 2 3 3 6" xfId="10739"/>
    <cellStyle name="Normal 11 2 3 3 7" xfId="12491"/>
    <cellStyle name="Normal 11 2 3 3 8" xfId="14243"/>
    <cellStyle name="Normal 11 2 3 3 9" xfId="15995"/>
    <cellStyle name="Normal 11 2 3 30" xfId="46649"/>
    <cellStyle name="Normal 11 2 3 31" xfId="48401"/>
    <cellStyle name="Normal 11 2 3 32" xfId="50153"/>
    <cellStyle name="Normal 11 2 3 33" xfId="51905"/>
    <cellStyle name="Normal 11 2 3 34" xfId="53657"/>
    <cellStyle name="Normal 11 2 3 35" xfId="55409"/>
    <cellStyle name="Normal 11 2 3 36" xfId="57162"/>
    <cellStyle name="Normal 11 2 3 37" xfId="58914"/>
    <cellStyle name="Normal 11 2 3 38" xfId="60666"/>
    <cellStyle name="Normal 11 2 3 39" xfId="62218"/>
    <cellStyle name="Normal 11 2 3 4" xfId="2854"/>
    <cellStyle name="Normal 11 2 3 40" xfId="63084"/>
    <cellStyle name="Normal 11 2 3 5" xfId="4606"/>
    <cellStyle name="Normal 11 2 3 6" xfId="6358"/>
    <cellStyle name="Normal 11 2 3 7" xfId="8110"/>
    <cellStyle name="Normal 11 2 3 8" xfId="9863"/>
    <cellStyle name="Normal 11 2 3 9" xfId="11615"/>
    <cellStyle name="Normal 11 2 30" xfId="43826"/>
    <cellStyle name="Normal 11 2 31" xfId="44738"/>
    <cellStyle name="Normal 11 2 32" xfId="46490"/>
    <cellStyle name="Normal 11 2 33" xfId="48242"/>
    <cellStyle name="Normal 11 2 34" xfId="49994"/>
    <cellStyle name="Normal 11 2 35" xfId="51746"/>
    <cellStyle name="Normal 11 2 36" xfId="53498"/>
    <cellStyle name="Normal 11 2 37" xfId="55250"/>
    <cellStyle name="Normal 11 2 38" xfId="57003"/>
    <cellStyle name="Normal 11 2 39" xfId="58755"/>
    <cellStyle name="Normal 11 2 4" xfId="442"/>
    <cellStyle name="Normal 11 2 4 10" xfId="15396"/>
    <cellStyle name="Normal 11 2 4 11" xfId="17149"/>
    <cellStyle name="Normal 11 2 4 12" xfId="18901"/>
    <cellStyle name="Normal 11 2 4 13" xfId="20654"/>
    <cellStyle name="Normal 11 2 4 14" xfId="22406"/>
    <cellStyle name="Normal 11 2 4 15" xfId="24158"/>
    <cellStyle name="Normal 11 2 4 16" xfId="25910"/>
    <cellStyle name="Normal 11 2 4 17" xfId="27662"/>
    <cellStyle name="Normal 11 2 4 18" xfId="29415"/>
    <cellStyle name="Normal 11 2 4 19" xfId="31167"/>
    <cellStyle name="Normal 11 2 4 2" xfId="443"/>
    <cellStyle name="Normal 11 2 4 2 10" xfId="18025"/>
    <cellStyle name="Normal 11 2 4 2 11" xfId="19777"/>
    <cellStyle name="Normal 11 2 4 2 12" xfId="21530"/>
    <cellStyle name="Normal 11 2 4 2 13" xfId="23282"/>
    <cellStyle name="Normal 11 2 4 2 14" xfId="25034"/>
    <cellStyle name="Normal 11 2 4 2 15" xfId="26786"/>
    <cellStyle name="Normal 11 2 4 2 16" xfId="28538"/>
    <cellStyle name="Normal 11 2 4 2 17" xfId="30291"/>
    <cellStyle name="Normal 11 2 4 2 18" xfId="32043"/>
    <cellStyle name="Normal 11 2 4 2 19" xfId="33796"/>
    <cellStyle name="Normal 11 2 4 2 2" xfId="4007"/>
    <cellStyle name="Normal 11 2 4 2 20" xfId="36432"/>
    <cellStyle name="Normal 11 2 4 2 21" xfId="38172"/>
    <cellStyle name="Normal 11 2 4 2 22" xfId="39925"/>
    <cellStyle name="Normal 11 2 4 2 23" xfId="41680"/>
    <cellStyle name="Normal 11 2 4 2 24" xfId="43432"/>
    <cellStyle name="Normal 11 2 4 2 25" xfId="46050"/>
    <cellStyle name="Normal 11 2 4 2 26" xfId="47802"/>
    <cellStyle name="Normal 11 2 4 2 27" xfId="49554"/>
    <cellStyle name="Normal 11 2 4 2 28" xfId="51306"/>
    <cellStyle name="Normal 11 2 4 2 29" xfId="53058"/>
    <cellStyle name="Normal 11 2 4 2 3" xfId="5759"/>
    <cellStyle name="Normal 11 2 4 2 30" xfId="54810"/>
    <cellStyle name="Normal 11 2 4 2 31" xfId="56562"/>
    <cellStyle name="Normal 11 2 4 2 32" xfId="58315"/>
    <cellStyle name="Normal 11 2 4 2 33" xfId="60067"/>
    <cellStyle name="Normal 11 2 4 2 34" xfId="61819"/>
    <cellStyle name="Normal 11 2 4 2 4" xfId="7511"/>
    <cellStyle name="Normal 11 2 4 2 5" xfId="9263"/>
    <cellStyle name="Normal 11 2 4 2 6" xfId="11016"/>
    <cellStyle name="Normal 11 2 4 2 7" xfId="12768"/>
    <cellStyle name="Normal 11 2 4 2 8" xfId="14520"/>
    <cellStyle name="Normal 11 2 4 2 9" xfId="16272"/>
    <cellStyle name="Normal 11 2 4 20" xfId="32920"/>
    <cellStyle name="Normal 11 2 4 21" xfId="34212"/>
    <cellStyle name="Normal 11 2 4 22" xfId="35556"/>
    <cellStyle name="Normal 11 2 4 23" xfId="36833"/>
    <cellStyle name="Normal 11 2 4 24" xfId="39049"/>
    <cellStyle name="Normal 11 2 4 25" xfId="40804"/>
    <cellStyle name="Normal 11 2 4 26" xfId="42556"/>
    <cellStyle name="Normal 11 2 4 27" xfId="43833"/>
    <cellStyle name="Normal 11 2 4 28" xfId="45174"/>
    <cellStyle name="Normal 11 2 4 29" xfId="46926"/>
    <cellStyle name="Normal 11 2 4 3" xfId="3131"/>
    <cellStyle name="Normal 11 2 4 30" xfId="48678"/>
    <cellStyle name="Normal 11 2 4 31" xfId="50430"/>
    <cellStyle name="Normal 11 2 4 32" xfId="52182"/>
    <cellStyle name="Normal 11 2 4 33" xfId="53934"/>
    <cellStyle name="Normal 11 2 4 34" xfId="55686"/>
    <cellStyle name="Normal 11 2 4 35" xfId="57439"/>
    <cellStyle name="Normal 11 2 4 36" xfId="59191"/>
    <cellStyle name="Normal 11 2 4 37" xfId="60943"/>
    <cellStyle name="Normal 11 2 4 38" xfId="62220"/>
    <cellStyle name="Normal 11 2 4 39" xfId="63086"/>
    <cellStyle name="Normal 11 2 4 4" xfId="4883"/>
    <cellStyle name="Normal 11 2 4 5" xfId="6635"/>
    <cellStyle name="Normal 11 2 4 6" xfId="8387"/>
    <cellStyle name="Normal 11 2 4 7" xfId="10140"/>
    <cellStyle name="Normal 11 2 4 8" xfId="11892"/>
    <cellStyle name="Normal 11 2 4 9" xfId="13644"/>
    <cellStyle name="Normal 11 2 40" xfId="60507"/>
    <cellStyle name="Normal 11 2 41" xfId="62213"/>
    <cellStyle name="Normal 11 2 42" xfId="63079"/>
    <cellStyle name="Normal 11 2 5" xfId="444"/>
    <cellStyle name="Normal 11 2 5 10" xfId="17589"/>
    <cellStyle name="Normal 11 2 5 11" xfId="19341"/>
    <cellStyle name="Normal 11 2 5 12" xfId="21094"/>
    <cellStyle name="Normal 11 2 5 13" xfId="22846"/>
    <cellStyle name="Normal 11 2 5 14" xfId="24598"/>
    <cellStyle name="Normal 11 2 5 15" xfId="26350"/>
    <cellStyle name="Normal 11 2 5 16" xfId="28102"/>
    <cellStyle name="Normal 11 2 5 17" xfId="29855"/>
    <cellStyle name="Normal 11 2 5 18" xfId="31607"/>
    <cellStyle name="Normal 11 2 5 19" xfId="33360"/>
    <cellStyle name="Normal 11 2 5 2" xfId="3571"/>
    <cellStyle name="Normal 11 2 5 20" xfId="35996"/>
    <cellStyle name="Normal 11 2 5 21" xfId="37736"/>
    <cellStyle name="Normal 11 2 5 22" xfId="39489"/>
    <cellStyle name="Normal 11 2 5 23" xfId="41244"/>
    <cellStyle name="Normal 11 2 5 24" xfId="42996"/>
    <cellStyle name="Normal 11 2 5 25" xfId="45614"/>
    <cellStyle name="Normal 11 2 5 26" xfId="47366"/>
    <cellStyle name="Normal 11 2 5 27" xfId="49118"/>
    <cellStyle name="Normal 11 2 5 28" xfId="50870"/>
    <cellStyle name="Normal 11 2 5 29" xfId="52622"/>
    <cellStyle name="Normal 11 2 5 3" xfId="5323"/>
    <cellStyle name="Normal 11 2 5 30" xfId="54374"/>
    <cellStyle name="Normal 11 2 5 31" xfId="56126"/>
    <cellStyle name="Normal 11 2 5 32" xfId="57879"/>
    <cellStyle name="Normal 11 2 5 33" xfId="59631"/>
    <cellStyle name="Normal 11 2 5 34" xfId="61383"/>
    <cellStyle name="Normal 11 2 5 4" xfId="7075"/>
    <cellStyle name="Normal 11 2 5 5" xfId="8827"/>
    <cellStyle name="Normal 11 2 5 6" xfId="10580"/>
    <cellStyle name="Normal 11 2 5 7" xfId="12332"/>
    <cellStyle name="Normal 11 2 5 8" xfId="14084"/>
    <cellStyle name="Normal 11 2 5 9" xfId="15836"/>
    <cellStyle name="Normal 11 2 6" xfId="2695"/>
    <cellStyle name="Normal 11 2 7" xfId="4447"/>
    <cellStyle name="Normal 11 2 8" xfId="6199"/>
    <cellStyle name="Normal 11 2 9" xfId="7951"/>
    <cellStyle name="Normal 11 20" xfId="25419"/>
    <cellStyle name="Normal 11 21" xfId="27171"/>
    <cellStyle name="Normal 11 22" xfId="28924"/>
    <cellStyle name="Normal 11 23" xfId="30676"/>
    <cellStyle name="Normal 11 24" xfId="32429"/>
    <cellStyle name="Normal 11 25" xfId="34204"/>
    <cellStyle name="Normal 11 26" xfId="35065"/>
    <cellStyle name="Normal 11 27" xfId="36825"/>
    <cellStyle name="Normal 11 28" xfId="38557"/>
    <cellStyle name="Normal 11 29" xfId="40313"/>
    <cellStyle name="Normal 11 3" xfId="445"/>
    <cellStyle name="Normal 11 3 10" xfId="11509"/>
    <cellStyle name="Normal 11 3 11" xfId="13261"/>
    <cellStyle name="Normal 11 3 12" xfId="15013"/>
    <cellStyle name="Normal 11 3 13" xfId="16766"/>
    <cellStyle name="Normal 11 3 14" xfId="18518"/>
    <cellStyle name="Normal 11 3 15" xfId="20271"/>
    <cellStyle name="Normal 11 3 16" xfId="22023"/>
    <cellStyle name="Normal 11 3 17" xfId="23775"/>
    <cellStyle name="Normal 11 3 18" xfId="25527"/>
    <cellStyle name="Normal 11 3 19" xfId="27279"/>
    <cellStyle name="Normal 11 3 2" xfId="446"/>
    <cellStyle name="Normal 11 3 2 10" xfId="13368"/>
    <cellStyle name="Normal 11 3 2 11" xfId="15120"/>
    <cellStyle name="Normal 11 3 2 12" xfId="16873"/>
    <cellStyle name="Normal 11 3 2 13" xfId="18625"/>
    <cellStyle name="Normal 11 3 2 14" xfId="20378"/>
    <cellStyle name="Normal 11 3 2 15" xfId="22130"/>
    <cellStyle name="Normal 11 3 2 16" xfId="23882"/>
    <cellStyle name="Normal 11 3 2 17" xfId="25634"/>
    <cellStyle name="Normal 11 3 2 18" xfId="27386"/>
    <cellStyle name="Normal 11 3 2 19" xfId="29139"/>
    <cellStyle name="Normal 11 3 2 2" xfId="447"/>
    <cellStyle name="Normal 11 3 2 2 10" xfId="15556"/>
    <cellStyle name="Normal 11 3 2 2 11" xfId="17309"/>
    <cellStyle name="Normal 11 3 2 2 12" xfId="19061"/>
    <cellStyle name="Normal 11 3 2 2 13" xfId="20814"/>
    <cellStyle name="Normal 11 3 2 2 14" xfId="22566"/>
    <cellStyle name="Normal 11 3 2 2 15" xfId="24318"/>
    <cellStyle name="Normal 11 3 2 2 16" xfId="26070"/>
    <cellStyle name="Normal 11 3 2 2 17" xfId="27822"/>
    <cellStyle name="Normal 11 3 2 2 18" xfId="29575"/>
    <cellStyle name="Normal 11 3 2 2 19" xfId="31327"/>
    <cellStyle name="Normal 11 3 2 2 2" xfId="448"/>
    <cellStyle name="Normal 11 3 2 2 2 10" xfId="18185"/>
    <cellStyle name="Normal 11 3 2 2 2 11" xfId="19937"/>
    <cellStyle name="Normal 11 3 2 2 2 12" xfId="21690"/>
    <cellStyle name="Normal 11 3 2 2 2 13" xfId="23442"/>
    <cellStyle name="Normal 11 3 2 2 2 14" xfId="25194"/>
    <cellStyle name="Normal 11 3 2 2 2 15" xfId="26946"/>
    <cellStyle name="Normal 11 3 2 2 2 16" xfId="28698"/>
    <cellStyle name="Normal 11 3 2 2 2 17" xfId="30451"/>
    <cellStyle name="Normal 11 3 2 2 2 18" xfId="32203"/>
    <cellStyle name="Normal 11 3 2 2 2 19" xfId="33956"/>
    <cellStyle name="Normal 11 3 2 2 2 2" xfId="4167"/>
    <cellStyle name="Normal 11 3 2 2 2 20" xfId="36592"/>
    <cellStyle name="Normal 11 3 2 2 2 21" xfId="38332"/>
    <cellStyle name="Normal 11 3 2 2 2 22" xfId="40085"/>
    <cellStyle name="Normal 11 3 2 2 2 23" xfId="41840"/>
    <cellStyle name="Normal 11 3 2 2 2 24" xfId="43592"/>
    <cellStyle name="Normal 11 3 2 2 2 25" xfId="46210"/>
    <cellStyle name="Normal 11 3 2 2 2 26" xfId="47962"/>
    <cellStyle name="Normal 11 3 2 2 2 27" xfId="49714"/>
    <cellStyle name="Normal 11 3 2 2 2 28" xfId="51466"/>
    <cellStyle name="Normal 11 3 2 2 2 29" xfId="53218"/>
    <cellStyle name="Normal 11 3 2 2 2 3" xfId="5919"/>
    <cellStyle name="Normal 11 3 2 2 2 30" xfId="54970"/>
    <cellStyle name="Normal 11 3 2 2 2 31" xfId="56722"/>
    <cellStyle name="Normal 11 3 2 2 2 32" xfId="58475"/>
    <cellStyle name="Normal 11 3 2 2 2 33" xfId="60227"/>
    <cellStyle name="Normal 11 3 2 2 2 34" xfId="61979"/>
    <cellStyle name="Normal 11 3 2 2 2 4" xfId="7671"/>
    <cellStyle name="Normal 11 3 2 2 2 5" xfId="9423"/>
    <cellStyle name="Normal 11 3 2 2 2 6" xfId="11176"/>
    <cellStyle name="Normal 11 3 2 2 2 7" xfId="12928"/>
    <cellStyle name="Normal 11 3 2 2 2 8" xfId="14680"/>
    <cellStyle name="Normal 11 3 2 2 2 9" xfId="16432"/>
    <cellStyle name="Normal 11 3 2 2 20" xfId="33080"/>
    <cellStyle name="Normal 11 3 2 2 21" xfId="34215"/>
    <cellStyle name="Normal 11 3 2 2 22" xfId="35716"/>
    <cellStyle name="Normal 11 3 2 2 23" xfId="36836"/>
    <cellStyle name="Normal 11 3 2 2 24" xfId="39209"/>
    <cellStyle name="Normal 11 3 2 2 25" xfId="40964"/>
    <cellStyle name="Normal 11 3 2 2 26" xfId="42716"/>
    <cellStyle name="Normal 11 3 2 2 27" xfId="43836"/>
    <cellStyle name="Normal 11 3 2 2 28" xfId="45334"/>
    <cellStyle name="Normal 11 3 2 2 29" xfId="47086"/>
    <cellStyle name="Normal 11 3 2 2 3" xfId="3291"/>
    <cellStyle name="Normal 11 3 2 2 30" xfId="48838"/>
    <cellStyle name="Normal 11 3 2 2 31" xfId="50590"/>
    <cellStyle name="Normal 11 3 2 2 32" xfId="52342"/>
    <cellStyle name="Normal 11 3 2 2 33" xfId="54094"/>
    <cellStyle name="Normal 11 3 2 2 34" xfId="55846"/>
    <cellStyle name="Normal 11 3 2 2 35" xfId="57599"/>
    <cellStyle name="Normal 11 3 2 2 36" xfId="59351"/>
    <cellStyle name="Normal 11 3 2 2 37" xfId="61103"/>
    <cellStyle name="Normal 11 3 2 2 38" xfId="62223"/>
    <cellStyle name="Normal 11 3 2 2 39" xfId="63089"/>
    <cellStyle name="Normal 11 3 2 2 4" xfId="5043"/>
    <cellStyle name="Normal 11 3 2 2 5" xfId="6795"/>
    <cellStyle name="Normal 11 3 2 2 6" xfId="8547"/>
    <cellStyle name="Normal 11 3 2 2 7" xfId="10300"/>
    <cellStyle name="Normal 11 3 2 2 8" xfId="12052"/>
    <cellStyle name="Normal 11 3 2 2 9" xfId="13804"/>
    <cellStyle name="Normal 11 3 2 20" xfId="30891"/>
    <cellStyle name="Normal 11 3 2 21" xfId="32644"/>
    <cellStyle name="Normal 11 3 2 22" xfId="34214"/>
    <cellStyle name="Normal 11 3 2 23" xfId="35280"/>
    <cellStyle name="Normal 11 3 2 24" xfId="36835"/>
    <cellStyle name="Normal 11 3 2 25" xfId="38773"/>
    <cellStyle name="Normal 11 3 2 26" xfId="40528"/>
    <cellStyle name="Normal 11 3 2 27" xfId="42280"/>
    <cellStyle name="Normal 11 3 2 28" xfId="43835"/>
    <cellStyle name="Normal 11 3 2 29" xfId="44898"/>
    <cellStyle name="Normal 11 3 2 3" xfId="449"/>
    <cellStyle name="Normal 11 3 2 3 10" xfId="17749"/>
    <cellStyle name="Normal 11 3 2 3 11" xfId="19501"/>
    <cellStyle name="Normal 11 3 2 3 12" xfId="21254"/>
    <cellStyle name="Normal 11 3 2 3 13" xfId="23006"/>
    <cellStyle name="Normal 11 3 2 3 14" xfId="24758"/>
    <cellStyle name="Normal 11 3 2 3 15" xfId="26510"/>
    <cellStyle name="Normal 11 3 2 3 16" xfId="28262"/>
    <cellStyle name="Normal 11 3 2 3 17" xfId="30015"/>
    <cellStyle name="Normal 11 3 2 3 18" xfId="31767"/>
    <cellStyle name="Normal 11 3 2 3 19" xfId="33520"/>
    <cellStyle name="Normal 11 3 2 3 2" xfId="3731"/>
    <cellStyle name="Normal 11 3 2 3 20" xfId="36156"/>
    <cellStyle name="Normal 11 3 2 3 21" xfId="37896"/>
    <cellStyle name="Normal 11 3 2 3 22" xfId="39649"/>
    <cellStyle name="Normal 11 3 2 3 23" xfId="41404"/>
    <cellStyle name="Normal 11 3 2 3 24" xfId="43156"/>
    <cellStyle name="Normal 11 3 2 3 25" xfId="45774"/>
    <cellStyle name="Normal 11 3 2 3 26" xfId="47526"/>
    <cellStyle name="Normal 11 3 2 3 27" xfId="49278"/>
    <cellStyle name="Normal 11 3 2 3 28" xfId="51030"/>
    <cellStyle name="Normal 11 3 2 3 29" xfId="52782"/>
    <cellStyle name="Normal 11 3 2 3 3" xfId="5483"/>
    <cellStyle name="Normal 11 3 2 3 30" xfId="54534"/>
    <cellStyle name="Normal 11 3 2 3 31" xfId="56286"/>
    <cellStyle name="Normal 11 3 2 3 32" xfId="58039"/>
    <cellStyle name="Normal 11 3 2 3 33" xfId="59791"/>
    <cellStyle name="Normal 11 3 2 3 34" xfId="61543"/>
    <cellStyle name="Normal 11 3 2 3 4" xfId="7235"/>
    <cellStyle name="Normal 11 3 2 3 5" xfId="8987"/>
    <cellStyle name="Normal 11 3 2 3 6" xfId="10740"/>
    <cellStyle name="Normal 11 3 2 3 7" xfId="12492"/>
    <cellStyle name="Normal 11 3 2 3 8" xfId="14244"/>
    <cellStyle name="Normal 11 3 2 3 9" xfId="15996"/>
    <cellStyle name="Normal 11 3 2 30" xfId="46650"/>
    <cellStyle name="Normal 11 3 2 31" xfId="48402"/>
    <cellStyle name="Normal 11 3 2 32" xfId="50154"/>
    <cellStyle name="Normal 11 3 2 33" xfId="51906"/>
    <cellStyle name="Normal 11 3 2 34" xfId="53658"/>
    <cellStyle name="Normal 11 3 2 35" xfId="55410"/>
    <cellStyle name="Normal 11 3 2 36" xfId="57163"/>
    <cellStyle name="Normal 11 3 2 37" xfId="58915"/>
    <cellStyle name="Normal 11 3 2 38" xfId="60667"/>
    <cellStyle name="Normal 11 3 2 39" xfId="62222"/>
    <cellStyle name="Normal 11 3 2 4" xfId="2855"/>
    <cellStyle name="Normal 11 3 2 40" xfId="63088"/>
    <cellStyle name="Normal 11 3 2 5" xfId="4607"/>
    <cellStyle name="Normal 11 3 2 6" xfId="6359"/>
    <cellStyle name="Normal 11 3 2 7" xfId="8111"/>
    <cellStyle name="Normal 11 3 2 8" xfId="9864"/>
    <cellStyle name="Normal 11 3 2 9" xfId="11616"/>
    <cellStyle name="Normal 11 3 20" xfId="29032"/>
    <cellStyle name="Normal 11 3 21" xfId="30784"/>
    <cellStyle name="Normal 11 3 22" xfId="32537"/>
    <cellStyle name="Normal 11 3 23" xfId="34213"/>
    <cellStyle name="Normal 11 3 24" xfId="35173"/>
    <cellStyle name="Normal 11 3 25" xfId="36834"/>
    <cellStyle name="Normal 11 3 26" xfId="38666"/>
    <cellStyle name="Normal 11 3 27" xfId="40421"/>
    <cellStyle name="Normal 11 3 28" xfId="42173"/>
    <cellStyle name="Normal 11 3 29" xfId="43834"/>
    <cellStyle name="Normal 11 3 3" xfId="450"/>
    <cellStyle name="Normal 11 3 3 10" xfId="15449"/>
    <cellStyle name="Normal 11 3 3 11" xfId="17202"/>
    <cellStyle name="Normal 11 3 3 12" xfId="18954"/>
    <cellStyle name="Normal 11 3 3 13" xfId="20707"/>
    <cellStyle name="Normal 11 3 3 14" xfId="22459"/>
    <cellStyle name="Normal 11 3 3 15" xfId="24211"/>
    <cellStyle name="Normal 11 3 3 16" xfId="25963"/>
    <cellStyle name="Normal 11 3 3 17" xfId="27715"/>
    <cellStyle name="Normal 11 3 3 18" xfId="29468"/>
    <cellStyle name="Normal 11 3 3 19" xfId="31220"/>
    <cellStyle name="Normal 11 3 3 2" xfId="451"/>
    <cellStyle name="Normal 11 3 3 2 10" xfId="18078"/>
    <cellStyle name="Normal 11 3 3 2 11" xfId="19830"/>
    <cellStyle name="Normal 11 3 3 2 12" xfId="21583"/>
    <cellStyle name="Normal 11 3 3 2 13" xfId="23335"/>
    <cellStyle name="Normal 11 3 3 2 14" xfId="25087"/>
    <cellStyle name="Normal 11 3 3 2 15" xfId="26839"/>
    <cellStyle name="Normal 11 3 3 2 16" xfId="28591"/>
    <cellStyle name="Normal 11 3 3 2 17" xfId="30344"/>
    <cellStyle name="Normal 11 3 3 2 18" xfId="32096"/>
    <cellStyle name="Normal 11 3 3 2 19" xfId="33849"/>
    <cellStyle name="Normal 11 3 3 2 2" xfId="4060"/>
    <cellStyle name="Normal 11 3 3 2 20" xfId="36485"/>
    <cellStyle name="Normal 11 3 3 2 21" xfId="38225"/>
    <cellStyle name="Normal 11 3 3 2 22" xfId="39978"/>
    <cellStyle name="Normal 11 3 3 2 23" xfId="41733"/>
    <cellStyle name="Normal 11 3 3 2 24" xfId="43485"/>
    <cellStyle name="Normal 11 3 3 2 25" xfId="46103"/>
    <cellStyle name="Normal 11 3 3 2 26" xfId="47855"/>
    <cellStyle name="Normal 11 3 3 2 27" xfId="49607"/>
    <cellStyle name="Normal 11 3 3 2 28" xfId="51359"/>
    <cellStyle name="Normal 11 3 3 2 29" xfId="53111"/>
    <cellStyle name="Normal 11 3 3 2 3" xfId="5812"/>
    <cellStyle name="Normal 11 3 3 2 30" xfId="54863"/>
    <cellStyle name="Normal 11 3 3 2 31" xfId="56615"/>
    <cellStyle name="Normal 11 3 3 2 32" xfId="58368"/>
    <cellStyle name="Normal 11 3 3 2 33" xfId="60120"/>
    <cellStyle name="Normal 11 3 3 2 34" xfId="61872"/>
    <cellStyle name="Normal 11 3 3 2 4" xfId="7564"/>
    <cellStyle name="Normal 11 3 3 2 5" xfId="9316"/>
    <cellStyle name="Normal 11 3 3 2 6" xfId="11069"/>
    <cellStyle name="Normal 11 3 3 2 7" xfId="12821"/>
    <cellStyle name="Normal 11 3 3 2 8" xfId="14573"/>
    <cellStyle name="Normal 11 3 3 2 9" xfId="16325"/>
    <cellStyle name="Normal 11 3 3 20" xfId="32973"/>
    <cellStyle name="Normal 11 3 3 21" xfId="34216"/>
    <cellStyle name="Normal 11 3 3 22" xfId="35609"/>
    <cellStyle name="Normal 11 3 3 23" xfId="36837"/>
    <cellStyle name="Normal 11 3 3 24" xfId="39102"/>
    <cellStyle name="Normal 11 3 3 25" xfId="40857"/>
    <cellStyle name="Normal 11 3 3 26" xfId="42609"/>
    <cellStyle name="Normal 11 3 3 27" xfId="43837"/>
    <cellStyle name="Normal 11 3 3 28" xfId="45227"/>
    <cellStyle name="Normal 11 3 3 29" xfId="46979"/>
    <cellStyle name="Normal 11 3 3 3" xfId="3184"/>
    <cellStyle name="Normal 11 3 3 30" xfId="48731"/>
    <cellStyle name="Normal 11 3 3 31" xfId="50483"/>
    <cellStyle name="Normal 11 3 3 32" xfId="52235"/>
    <cellStyle name="Normal 11 3 3 33" xfId="53987"/>
    <cellStyle name="Normal 11 3 3 34" xfId="55739"/>
    <cellStyle name="Normal 11 3 3 35" xfId="57492"/>
    <cellStyle name="Normal 11 3 3 36" xfId="59244"/>
    <cellStyle name="Normal 11 3 3 37" xfId="60996"/>
    <cellStyle name="Normal 11 3 3 38" xfId="62224"/>
    <cellStyle name="Normal 11 3 3 39" xfId="63090"/>
    <cellStyle name="Normal 11 3 3 4" xfId="4936"/>
    <cellStyle name="Normal 11 3 3 5" xfId="6688"/>
    <cellStyle name="Normal 11 3 3 6" xfId="8440"/>
    <cellStyle name="Normal 11 3 3 7" xfId="10193"/>
    <cellStyle name="Normal 11 3 3 8" xfId="11945"/>
    <cellStyle name="Normal 11 3 3 9" xfId="13697"/>
    <cellStyle name="Normal 11 3 30" xfId="44791"/>
    <cellStyle name="Normal 11 3 31" xfId="46543"/>
    <cellStyle name="Normal 11 3 32" xfId="48295"/>
    <cellStyle name="Normal 11 3 33" xfId="50047"/>
    <cellStyle name="Normal 11 3 34" xfId="51799"/>
    <cellStyle name="Normal 11 3 35" xfId="53551"/>
    <cellStyle name="Normal 11 3 36" xfId="55303"/>
    <cellStyle name="Normal 11 3 37" xfId="57056"/>
    <cellStyle name="Normal 11 3 38" xfId="58808"/>
    <cellStyle name="Normal 11 3 39" xfId="60560"/>
    <cellStyle name="Normal 11 3 4" xfId="452"/>
    <cellStyle name="Normal 11 3 4 10" xfId="17642"/>
    <cellStyle name="Normal 11 3 4 11" xfId="19394"/>
    <cellStyle name="Normal 11 3 4 12" xfId="21147"/>
    <cellStyle name="Normal 11 3 4 13" xfId="22899"/>
    <cellStyle name="Normal 11 3 4 14" xfId="24651"/>
    <cellStyle name="Normal 11 3 4 15" xfId="26403"/>
    <cellStyle name="Normal 11 3 4 16" xfId="28155"/>
    <cellStyle name="Normal 11 3 4 17" xfId="29908"/>
    <cellStyle name="Normal 11 3 4 18" xfId="31660"/>
    <cellStyle name="Normal 11 3 4 19" xfId="33413"/>
    <cellStyle name="Normal 11 3 4 2" xfId="3624"/>
    <cellStyle name="Normal 11 3 4 20" xfId="36049"/>
    <cellStyle name="Normal 11 3 4 21" xfId="37789"/>
    <cellStyle name="Normal 11 3 4 22" xfId="39542"/>
    <cellStyle name="Normal 11 3 4 23" xfId="41297"/>
    <cellStyle name="Normal 11 3 4 24" xfId="43049"/>
    <cellStyle name="Normal 11 3 4 25" xfId="45667"/>
    <cellStyle name="Normal 11 3 4 26" xfId="47419"/>
    <cellStyle name="Normal 11 3 4 27" xfId="49171"/>
    <cellStyle name="Normal 11 3 4 28" xfId="50923"/>
    <cellStyle name="Normal 11 3 4 29" xfId="52675"/>
    <cellStyle name="Normal 11 3 4 3" xfId="5376"/>
    <cellStyle name="Normal 11 3 4 30" xfId="54427"/>
    <cellStyle name="Normal 11 3 4 31" xfId="56179"/>
    <cellStyle name="Normal 11 3 4 32" xfId="57932"/>
    <cellStyle name="Normal 11 3 4 33" xfId="59684"/>
    <cellStyle name="Normal 11 3 4 34" xfId="61436"/>
    <cellStyle name="Normal 11 3 4 4" xfId="7128"/>
    <cellStyle name="Normal 11 3 4 5" xfId="8880"/>
    <cellStyle name="Normal 11 3 4 6" xfId="10633"/>
    <cellStyle name="Normal 11 3 4 7" xfId="12385"/>
    <cellStyle name="Normal 11 3 4 8" xfId="14137"/>
    <cellStyle name="Normal 11 3 4 9" xfId="15889"/>
    <cellStyle name="Normal 11 3 40" xfId="62221"/>
    <cellStyle name="Normal 11 3 41" xfId="63087"/>
    <cellStyle name="Normal 11 3 5" xfId="2748"/>
    <cellStyle name="Normal 11 3 6" xfId="4500"/>
    <cellStyle name="Normal 11 3 7" xfId="6252"/>
    <cellStyle name="Normal 11 3 8" xfId="8004"/>
    <cellStyle name="Normal 11 3 9" xfId="9757"/>
    <cellStyle name="Normal 11 30" xfId="42065"/>
    <cellStyle name="Normal 11 31" xfId="43825"/>
    <cellStyle name="Normal 11 32" xfId="44683"/>
    <cellStyle name="Normal 11 33" xfId="46435"/>
    <cellStyle name="Normal 11 34" xfId="48187"/>
    <cellStyle name="Normal 11 35" xfId="49939"/>
    <cellStyle name="Normal 11 36" xfId="51691"/>
    <cellStyle name="Normal 11 37" xfId="53443"/>
    <cellStyle name="Normal 11 38" xfId="55195"/>
    <cellStyle name="Normal 11 39" xfId="56948"/>
    <cellStyle name="Normal 11 4" xfId="453"/>
    <cellStyle name="Normal 11 4 10" xfId="13369"/>
    <cellStyle name="Normal 11 4 11" xfId="15121"/>
    <cellStyle name="Normal 11 4 12" xfId="16874"/>
    <cellStyle name="Normal 11 4 13" xfId="18626"/>
    <cellStyle name="Normal 11 4 14" xfId="20379"/>
    <cellStyle name="Normal 11 4 15" xfId="22131"/>
    <cellStyle name="Normal 11 4 16" xfId="23883"/>
    <cellStyle name="Normal 11 4 17" xfId="25635"/>
    <cellStyle name="Normal 11 4 18" xfId="27387"/>
    <cellStyle name="Normal 11 4 19" xfId="29140"/>
    <cellStyle name="Normal 11 4 2" xfId="454"/>
    <cellStyle name="Normal 11 4 2 10" xfId="15557"/>
    <cellStyle name="Normal 11 4 2 11" xfId="17310"/>
    <cellStyle name="Normal 11 4 2 12" xfId="19062"/>
    <cellStyle name="Normal 11 4 2 13" xfId="20815"/>
    <cellStyle name="Normal 11 4 2 14" xfId="22567"/>
    <cellStyle name="Normal 11 4 2 15" xfId="24319"/>
    <cellStyle name="Normal 11 4 2 16" xfId="26071"/>
    <cellStyle name="Normal 11 4 2 17" xfId="27823"/>
    <cellStyle name="Normal 11 4 2 18" xfId="29576"/>
    <cellStyle name="Normal 11 4 2 19" xfId="31328"/>
    <cellStyle name="Normal 11 4 2 2" xfId="455"/>
    <cellStyle name="Normal 11 4 2 2 10" xfId="18186"/>
    <cellStyle name="Normal 11 4 2 2 11" xfId="19938"/>
    <cellStyle name="Normal 11 4 2 2 12" xfId="21691"/>
    <cellStyle name="Normal 11 4 2 2 13" xfId="23443"/>
    <cellStyle name="Normal 11 4 2 2 14" xfId="25195"/>
    <cellStyle name="Normal 11 4 2 2 15" xfId="26947"/>
    <cellStyle name="Normal 11 4 2 2 16" xfId="28699"/>
    <cellStyle name="Normal 11 4 2 2 17" xfId="30452"/>
    <cellStyle name="Normal 11 4 2 2 18" xfId="32204"/>
    <cellStyle name="Normal 11 4 2 2 19" xfId="33957"/>
    <cellStyle name="Normal 11 4 2 2 2" xfId="4168"/>
    <cellStyle name="Normal 11 4 2 2 20" xfId="36593"/>
    <cellStyle name="Normal 11 4 2 2 21" xfId="38333"/>
    <cellStyle name="Normal 11 4 2 2 22" xfId="40086"/>
    <cellStyle name="Normal 11 4 2 2 23" xfId="41841"/>
    <cellStyle name="Normal 11 4 2 2 24" xfId="43593"/>
    <cellStyle name="Normal 11 4 2 2 25" xfId="46211"/>
    <cellStyle name="Normal 11 4 2 2 26" xfId="47963"/>
    <cellStyle name="Normal 11 4 2 2 27" xfId="49715"/>
    <cellStyle name="Normal 11 4 2 2 28" xfId="51467"/>
    <cellStyle name="Normal 11 4 2 2 29" xfId="53219"/>
    <cellStyle name="Normal 11 4 2 2 3" xfId="5920"/>
    <cellStyle name="Normal 11 4 2 2 30" xfId="54971"/>
    <cellStyle name="Normal 11 4 2 2 31" xfId="56723"/>
    <cellStyle name="Normal 11 4 2 2 32" xfId="58476"/>
    <cellStyle name="Normal 11 4 2 2 33" xfId="60228"/>
    <cellStyle name="Normal 11 4 2 2 34" xfId="61980"/>
    <cellStyle name="Normal 11 4 2 2 4" xfId="7672"/>
    <cellStyle name="Normal 11 4 2 2 5" xfId="9424"/>
    <cellStyle name="Normal 11 4 2 2 6" xfId="11177"/>
    <cellStyle name="Normal 11 4 2 2 7" xfId="12929"/>
    <cellStyle name="Normal 11 4 2 2 8" xfId="14681"/>
    <cellStyle name="Normal 11 4 2 2 9" xfId="16433"/>
    <cellStyle name="Normal 11 4 2 20" xfId="33081"/>
    <cellStyle name="Normal 11 4 2 21" xfId="34218"/>
    <cellStyle name="Normal 11 4 2 22" xfId="35717"/>
    <cellStyle name="Normal 11 4 2 23" xfId="36839"/>
    <cellStyle name="Normal 11 4 2 24" xfId="39210"/>
    <cellStyle name="Normal 11 4 2 25" xfId="40965"/>
    <cellStyle name="Normal 11 4 2 26" xfId="42717"/>
    <cellStyle name="Normal 11 4 2 27" xfId="43839"/>
    <cellStyle name="Normal 11 4 2 28" xfId="45335"/>
    <cellStyle name="Normal 11 4 2 29" xfId="47087"/>
    <cellStyle name="Normal 11 4 2 3" xfId="3292"/>
    <cellStyle name="Normal 11 4 2 30" xfId="48839"/>
    <cellStyle name="Normal 11 4 2 31" xfId="50591"/>
    <cellStyle name="Normal 11 4 2 32" xfId="52343"/>
    <cellStyle name="Normal 11 4 2 33" xfId="54095"/>
    <cellStyle name="Normal 11 4 2 34" xfId="55847"/>
    <cellStyle name="Normal 11 4 2 35" xfId="57600"/>
    <cellStyle name="Normal 11 4 2 36" xfId="59352"/>
    <cellStyle name="Normal 11 4 2 37" xfId="61104"/>
    <cellStyle name="Normal 11 4 2 38" xfId="62226"/>
    <cellStyle name="Normal 11 4 2 39" xfId="63092"/>
    <cellStyle name="Normal 11 4 2 4" xfId="5044"/>
    <cellStyle name="Normal 11 4 2 5" xfId="6796"/>
    <cellStyle name="Normal 11 4 2 6" xfId="8548"/>
    <cellStyle name="Normal 11 4 2 7" xfId="10301"/>
    <cellStyle name="Normal 11 4 2 8" xfId="12053"/>
    <cellStyle name="Normal 11 4 2 9" xfId="13805"/>
    <cellStyle name="Normal 11 4 20" xfId="30892"/>
    <cellStyle name="Normal 11 4 21" xfId="32645"/>
    <cellStyle name="Normal 11 4 22" xfId="34217"/>
    <cellStyle name="Normal 11 4 23" xfId="35281"/>
    <cellStyle name="Normal 11 4 24" xfId="36838"/>
    <cellStyle name="Normal 11 4 25" xfId="38774"/>
    <cellStyle name="Normal 11 4 26" xfId="40529"/>
    <cellStyle name="Normal 11 4 27" xfId="42281"/>
    <cellStyle name="Normal 11 4 28" xfId="43838"/>
    <cellStyle name="Normal 11 4 29" xfId="44899"/>
    <cellStyle name="Normal 11 4 3" xfId="456"/>
    <cellStyle name="Normal 11 4 3 10" xfId="17750"/>
    <cellStyle name="Normal 11 4 3 11" xfId="19502"/>
    <cellStyle name="Normal 11 4 3 12" xfId="21255"/>
    <cellStyle name="Normal 11 4 3 13" xfId="23007"/>
    <cellStyle name="Normal 11 4 3 14" xfId="24759"/>
    <cellStyle name="Normal 11 4 3 15" xfId="26511"/>
    <cellStyle name="Normal 11 4 3 16" xfId="28263"/>
    <cellStyle name="Normal 11 4 3 17" xfId="30016"/>
    <cellStyle name="Normal 11 4 3 18" xfId="31768"/>
    <cellStyle name="Normal 11 4 3 19" xfId="33521"/>
    <cellStyle name="Normal 11 4 3 2" xfId="3732"/>
    <cellStyle name="Normal 11 4 3 20" xfId="36157"/>
    <cellStyle name="Normal 11 4 3 21" xfId="37897"/>
    <cellStyle name="Normal 11 4 3 22" xfId="39650"/>
    <cellStyle name="Normal 11 4 3 23" xfId="41405"/>
    <cellStyle name="Normal 11 4 3 24" xfId="43157"/>
    <cellStyle name="Normal 11 4 3 25" xfId="45775"/>
    <cellStyle name="Normal 11 4 3 26" xfId="47527"/>
    <cellStyle name="Normal 11 4 3 27" xfId="49279"/>
    <cellStyle name="Normal 11 4 3 28" xfId="51031"/>
    <cellStyle name="Normal 11 4 3 29" xfId="52783"/>
    <cellStyle name="Normal 11 4 3 3" xfId="5484"/>
    <cellStyle name="Normal 11 4 3 30" xfId="54535"/>
    <cellStyle name="Normal 11 4 3 31" xfId="56287"/>
    <cellStyle name="Normal 11 4 3 32" xfId="58040"/>
    <cellStyle name="Normal 11 4 3 33" xfId="59792"/>
    <cellStyle name="Normal 11 4 3 34" xfId="61544"/>
    <cellStyle name="Normal 11 4 3 4" xfId="7236"/>
    <cellStyle name="Normal 11 4 3 5" xfId="8988"/>
    <cellStyle name="Normal 11 4 3 6" xfId="10741"/>
    <cellStyle name="Normal 11 4 3 7" xfId="12493"/>
    <cellStyle name="Normal 11 4 3 8" xfId="14245"/>
    <cellStyle name="Normal 11 4 3 9" xfId="15997"/>
    <cellStyle name="Normal 11 4 30" xfId="46651"/>
    <cellStyle name="Normal 11 4 31" xfId="48403"/>
    <cellStyle name="Normal 11 4 32" xfId="50155"/>
    <cellStyle name="Normal 11 4 33" xfId="51907"/>
    <cellStyle name="Normal 11 4 34" xfId="53659"/>
    <cellStyle name="Normal 11 4 35" xfId="55411"/>
    <cellStyle name="Normal 11 4 36" xfId="57164"/>
    <cellStyle name="Normal 11 4 37" xfId="58916"/>
    <cellStyle name="Normal 11 4 38" xfId="60668"/>
    <cellStyle name="Normal 11 4 39" xfId="62225"/>
    <cellStyle name="Normal 11 4 4" xfId="2856"/>
    <cellStyle name="Normal 11 4 40" xfId="63091"/>
    <cellStyle name="Normal 11 4 5" xfId="4608"/>
    <cellStyle name="Normal 11 4 6" xfId="6360"/>
    <cellStyle name="Normal 11 4 7" xfId="8112"/>
    <cellStyle name="Normal 11 4 8" xfId="9865"/>
    <cellStyle name="Normal 11 4 9" xfId="11617"/>
    <cellStyle name="Normal 11 40" xfId="58700"/>
    <cellStyle name="Normal 11 41" xfId="60452"/>
    <cellStyle name="Normal 11 42" xfId="62212"/>
    <cellStyle name="Normal 11 43" xfId="63078"/>
    <cellStyle name="Normal 11 5" xfId="457"/>
    <cellStyle name="Normal 11 5 10" xfId="15341"/>
    <cellStyle name="Normal 11 5 11" xfId="17094"/>
    <cellStyle name="Normal 11 5 12" xfId="18846"/>
    <cellStyle name="Normal 11 5 13" xfId="20599"/>
    <cellStyle name="Normal 11 5 14" xfId="22351"/>
    <cellStyle name="Normal 11 5 15" xfId="24103"/>
    <cellStyle name="Normal 11 5 16" xfId="25855"/>
    <cellStyle name="Normal 11 5 17" xfId="27607"/>
    <cellStyle name="Normal 11 5 18" xfId="29360"/>
    <cellStyle name="Normal 11 5 19" xfId="31112"/>
    <cellStyle name="Normal 11 5 2" xfId="458"/>
    <cellStyle name="Normal 11 5 2 10" xfId="17970"/>
    <cellStyle name="Normal 11 5 2 11" xfId="19722"/>
    <cellStyle name="Normal 11 5 2 12" xfId="21475"/>
    <cellStyle name="Normal 11 5 2 13" xfId="23227"/>
    <cellStyle name="Normal 11 5 2 14" xfId="24979"/>
    <cellStyle name="Normal 11 5 2 15" xfId="26731"/>
    <cellStyle name="Normal 11 5 2 16" xfId="28483"/>
    <cellStyle name="Normal 11 5 2 17" xfId="30236"/>
    <cellStyle name="Normal 11 5 2 18" xfId="31988"/>
    <cellStyle name="Normal 11 5 2 19" xfId="33741"/>
    <cellStyle name="Normal 11 5 2 2" xfId="3952"/>
    <cellStyle name="Normal 11 5 2 20" xfId="36377"/>
    <cellStyle name="Normal 11 5 2 21" xfId="38117"/>
    <cellStyle name="Normal 11 5 2 22" xfId="39870"/>
    <cellStyle name="Normal 11 5 2 23" xfId="41625"/>
    <cellStyle name="Normal 11 5 2 24" xfId="43377"/>
    <cellStyle name="Normal 11 5 2 25" xfId="45995"/>
    <cellStyle name="Normal 11 5 2 26" xfId="47747"/>
    <cellStyle name="Normal 11 5 2 27" xfId="49499"/>
    <cellStyle name="Normal 11 5 2 28" xfId="51251"/>
    <cellStyle name="Normal 11 5 2 29" xfId="53003"/>
    <cellStyle name="Normal 11 5 2 3" xfId="5704"/>
    <cellStyle name="Normal 11 5 2 30" xfId="54755"/>
    <cellStyle name="Normal 11 5 2 31" xfId="56507"/>
    <cellStyle name="Normal 11 5 2 32" xfId="58260"/>
    <cellStyle name="Normal 11 5 2 33" xfId="60012"/>
    <cellStyle name="Normal 11 5 2 34" xfId="61764"/>
    <cellStyle name="Normal 11 5 2 4" xfId="7456"/>
    <cellStyle name="Normal 11 5 2 5" xfId="9208"/>
    <cellStyle name="Normal 11 5 2 6" xfId="10961"/>
    <cellStyle name="Normal 11 5 2 7" xfId="12713"/>
    <cellStyle name="Normal 11 5 2 8" xfId="14465"/>
    <cellStyle name="Normal 11 5 2 9" xfId="16217"/>
    <cellStyle name="Normal 11 5 20" xfId="32865"/>
    <cellStyle name="Normal 11 5 21" xfId="34219"/>
    <cellStyle name="Normal 11 5 22" xfId="35501"/>
    <cellStyle name="Normal 11 5 23" xfId="36840"/>
    <cellStyle name="Normal 11 5 24" xfId="38994"/>
    <cellStyle name="Normal 11 5 25" xfId="40749"/>
    <cellStyle name="Normal 11 5 26" xfId="42501"/>
    <cellStyle name="Normal 11 5 27" xfId="43840"/>
    <cellStyle name="Normal 11 5 28" xfId="45119"/>
    <cellStyle name="Normal 11 5 29" xfId="46871"/>
    <cellStyle name="Normal 11 5 3" xfId="3076"/>
    <cellStyle name="Normal 11 5 30" xfId="48623"/>
    <cellStyle name="Normal 11 5 31" xfId="50375"/>
    <cellStyle name="Normal 11 5 32" xfId="52127"/>
    <cellStyle name="Normal 11 5 33" xfId="53879"/>
    <cellStyle name="Normal 11 5 34" xfId="55631"/>
    <cellStyle name="Normal 11 5 35" xfId="57384"/>
    <cellStyle name="Normal 11 5 36" xfId="59136"/>
    <cellStyle name="Normal 11 5 37" xfId="60888"/>
    <cellStyle name="Normal 11 5 38" xfId="62227"/>
    <cellStyle name="Normal 11 5 39" xfId="63093"/>
    <cellStyle name="Normal 11 5 4" xfId="4828"/>
    <cellStyle name="Normal 11 5 5" xfId="6580"/>
    <cellStyle name="Normal 11 5 6" xfId="8332"/>
    <cellStyle name="Normal 11 5 7" xfId="10085"/>
    <cellStyle name="Normal 11 5 8" xfId="11837"/>
    <cellStyle name="Normal 11 5 9" xfId="13589"/>
    <cellStyle name="Normal 11 6" xfId="459"/>
    <cellStyle name="Normal 11 6 10" xfId="17534"/>
    <cellStyle name="Normal 11 6 11" xfId="19286"/>
    <cellStyle name="Normal 11 6 12" xfId="21039"/>
    <cellStyle name="Normal 11 6 13" xfId="22791"/>
    <cellStyle name="Normal 11 6 14" xfId="24543"/>
    <cellStyle name="Normal 11 6 15" xfId="26295"/>
    <cellStyle name="Normal 11 6 16" xfId="28047"/>
    <cellStyle name="Normal 11 6 17" xfId="29800"/>
    <cellStyle name="Normal 11 6 18" xfId="31552"/>
    <cellStyle name="Normal 11 6 19" xfId="33305"/>
    <cellStyle name="Normal 11 6 2" xfId="3516"/>
    <cellStyle name="Normal 11 6 20" xfId="35941"/>
    <cellStyle name="Normal 11 6 21" xfId="37685"/>
    <cellStyle name="Normal 11 6 22" xfId="39434"/>
    <cellStyle name="Normal 11 6 23" xfId="41189"/>
    <cellStyle name="Normal 11 6 24" xfId="42941"/>
    <cellStyle name="Normal 11 6 25" xfId="45559"/>
    <cellStyle name="Normal 11 6 26" xfId="47311"/>
    <cellStyle name="Normal 11 6 27" xfId="49063"/>
    <cellStyle name="Normal 11 6 28" xfId="50815"/>
    <cellStyle name="Normal 11 6 29" xfId="52567"/>
    <cellStyle name="Normal 11 6 3" xfId="5268"/>
    <cellStyle name="Normal 11 6 30" xfId="54319"/>
    <cellStyle name="Normal 11 6 31" xfId="56071"/>
    <cellStyle name="Normal 11 6 32" xfId="57824"/>
    <cellStyle name="Normal 11 6 33" xfId="59576"/>
    <cellStyle name="Normal 11 6 34" xfId="61328"/>
    <cellStyle name="Normal 11 6 4" xfId="7020"/>
    <cellStyle name="Normal 11 6 5" xfId="8772"/>
    <cellStyle name="Normal 11 6 6" xfId="10525"/>
    <cellStyle name="Normal 11 6 7" xfId="12277"/>
    <cellStyle name="Normal 11 6 8" xfId="14029"/>
    <cellStyle name="Normal 11 6 9" xfId="15781"/>
    <cellStyle name="Normal 11 7" xfId="2467"/>
    <cellStyle name="Normal 11 8" xfId="4392"/>
    <cellStyle name="Normal 11 9" xfId="6144"/>
    <cellStyle name="Normal 110" xfId="460"/>
    <cellStyle name="Normal 110 2" xfId="461"/>
    <cellStyle name="Normal 111" xfId="462"/>
    <cellStyle name="Normal 111 2" xfId="463"/>
    <cellStyle name="Normal 112" xfId="464"/>
    <cellStyle name="Normal 112 2" xfId="465"/>
    <cellStyle name="Normal 113" xfId="466"/>
    <cellStyle name="Normal 113 2" xfId="467"/>
    <cellStyle name="Normal 114" xfId="468"/>
    <cellStyle name="Normal 114 2" xfId="469"/>
    <cellStyle name="Normal 115" xfId="470"/>
    <cellStyle name="Normal 115 2" xfId="471"/>
    <cellStyle name="Normal 116" xfId="472"/>
    <cellStyle name="Normal 116 2" xfId="473"/>
    <cellStyle name="Normal 117" xfId="474"/>
    <cellStyle name="Normal 117 2" xfId="475"/>
    <cellStyle name="Normal 118" xfId="476"/>
    <cellStyle name="Normal 118 2" xfId="477"/>
    <cellStyle name="Normal 119" xfId="478"/>
    <cellStyle name="Normal 119 2" xfId="479"/>
    <cellStyle name="Normal 12" xfId="480"/>
    <cellStyle name="Normal 12 10" xfId="7897"/>
    <cellStyle name="Normal 12 11" xfId="9650"/>
    <cellStyle name="Normal 12 12" xfId="11402"/>
    <cellStyle name="Normal 12 13" xfId="13154"/>
    <cellStyle name="Normal 12 14" xfId="14906"/>
    <cellStyle name="Normal 12 15" xfId="16659"/>
    <cellStyle name="Normal 12 16" xfId="18411"/>
    <cellStyle name="Normal 12 17" xfId="20164"/>
    <cellStyle name="Normal 12 18" xfId="21916"/>
    <cellStyle name="Normal 12 19" xfId="23668"/>
    <cellStyle name="Normal 12 2" xfId="481"/>
    <cellStyle name="Normal 12 2 10" xfId="9705"/>
    <cellStyle name="Normal 12 2 11" xfId="11457"/>
    <cellStyle name="Normal 12 2 12" xfId="13209"/>
    <cellStyle name="Normal 12 2 13" xfId="14961"/>
    <cellStyle name="Normal 12 2 14" xfId="16714"/>
    <cellStyle name="Normal 12 2 15" xfId="18466"/>
    <cellStyle name="Normal 12 2 16" xfId="20219"/>
    <cellStyle name="Normal 12 2 17" xfId="21971"/>
    <cellStyle name="Normal 12 2 18" xfId="23723"/>
    <cellStyle name="Normal 12 2 19" xfId="25475"/>
    <cellStyle name="Normal 12 2 2" xfId="482"/>
    <cellStyle name="Normal 12 2 2 10" xfId="11565"/>
    <cellStyle name="Normal 12 2 2 11" xfId="13317"/>
    <cellStyle name="Normal 12 2 2 12" xfId="15069"/>
    <cellStyle name="Normal 12 2 2 13" xfId="16822"/>
    <cellStyle name="Normal 12 2 2 14" xfId="18574"/>
    <cellStyle name="Normal 12 2 2 15" xfId="20327"/>
    <cellStyle name="Normal 12 2 2 16" xfId="22079"/>
    <cellStyle name="Normal 12 2 2 17" xfId="23831"/>
    <cellStyle name="Normal 12 2 2 18" xfId="25583"/>
    <cellStyle name="Normal 12 2 2 19" xfId="27335"/>
    <cellStyle name="Normal 12 2 2 2" xfId="483"/>
    <cellStyle name="Normal 12 2 2 2 10" xfId="13370"/>
    <cellStyle name="Normal 12 2 2 2 11" xfId="15122"/>
    <cellStyle name="Normal 12 2 2 2 12" xfId="16875"/>
    <cellStyle name="Normal 12 2 2 2 13" xfId="18627"/>
    <cellStyle name="Normal 12 2 2 2 14" xfId="20380"/>
    <cellStyle name="Normal 12 2 2 2 15" xfId="22132"/>
    <cellStyle name="Normal 12 2 2 2 16" xfId="23884"/>
    <cellStyle name="Normal 12 2 2 2 17" xfId="25636"/>
    <cellStyle name="Normal 12 2 2 2 18" xfId="27388"/>
    <cellStyle name="Normal 12 2 2 2 19" xfId="29141"/>
    <cellStyle name="Normal 12 2 2 2 2" xfId="484"/>
    <cellStyle name="Normal 12 2 2 2 2 10" xfId="15558"/>
    <cellStyle name="Normal 12 2 2 2 2 11" xfId="17311"/>
    <cellStyle name="Normal 12 2 2 2 2 12" xfId="19063"/>
    <cellStyle name="Normal 12 2 2 2 2 13" xfId="20816"/>
    <cellStyle name="Normal 12 2 2 2 2 14" xfId="22568"/>
    <cellStyle name="Normal 12 2 2 2 2 15" xfId="24320"/>
    <cellStyle name="Normal 12 2 2 2 2 16" xfId="26072"/>
    <cellStyle name="Normal 12 2 2 2 2 17" xfId="27824"/>
    <cellStyle name="Normal 12 2 2 2 2 18" xfId="29577"/>
    <cellStyle name="Normal 12 2 2 2 2 19" xfId="31329"/>
    <cellStyle name="Normal 12 2 2 2 2 2" xfId="485"/>
    <cellStyle name="Normal 12 2 2 2 2 2 10" xfId="18187"/>
    <cellStyle name="Normal 12 2 2 2 2 2 11" xfId="19939"/>
    <cellStyle name="Normal 12 2 2 2 2 2 12" xfId="21692"/>
    <cellStyle name="Normal 12 2 2 2 2 2 13" xfId="23444"/>
    <cellStyle name="Normal 12 2 2 2 2 2 14" xfId="25196"/>
    <cellStyle name="Normal 12 2 2 2 2 2 15" xfId="26948"/>
    <cellStyle name="Normal 12 2 2 2 2 2 16" xfId="28700"/>
    <cellStyle name="Normal 12 2 2 2 2 2 17" xfId="30453"/>
    <cellStyle name="Normal 12 2 2 2 2 2 18" xfId="32205"/>
    <cellStyle name="Normal 12 2 2 2 2 2 19" xfId="33958"/>
    <cellStyle name="Normal 12 2 2 2 2 2 2" xfId="4169"/>
    <cellStyle name="Normal 12 2 2 2 2 2 20" xfId="36594"/>
    <cellStyle name="Normal 12 2 2 2 2 2 21" xfId="38334"/>
    <cellStyle name="Normal 12 2 2 2 2 2 22" xfId="40087"/>
    <cellStyle name="Normal 12 2 2 2 2 2 23" xfId="41842"/>
    <cellStyle name="Normal 12 2 2 2 2 2 24" xfId="43594"/>
    <cellStyle name="Normal 12 2 2 2 2 2 25" xfId="46212"/>
    <cellStyle name="Normal 12 2 2 2 2 2 26" xfId="47964"/>
    <cellStyle name="Normal 12 2 2 2 2 2 27" xfId="49716"/>
    <cellStyle name="Normal 12 2 2 2 2 2 28" xfId="51468"/>
    <cellStyle name="Normal 12 2 2 2 2 2 29" xfId="53220"/>
    <cellStyle name="Normal 12 2 2 2 2 2 3" xfId="5921"/>
    <cellStyle name="Normal 12 2 2 2 2 2 30" xfId="54972"/>
    <cellStyle name="Normal 12 2 2 2 2 2 31" xfId="56724"/>
    <cellStyle name="Normal 12 2 2 2 2 2 32" xfId="58477"/>
    <cellStyle name="Normal 12 2 2 2 2 2 33" xfId="60229"/>
    <cellStyle name="Normal 12 2 2 2 2 2 34" xfId="61981"/>
    <cellStyle name="Normal 12 2 2 2 2 2 4" xfId="7673"/>
    <cellStyle name="Normal 12 2 2 2 2 2 5" xfId="9425"/>
    <cellStyle name="Normal 12 2 2 2 2 2 6" xfId="11178"/>
    <cellStyle name="Normal 12 2 2 2 2 2 7" xfId="12930"/>
    <cellStyle name="Normal 12 2 2 2 2 2 8" xfId="14682"/>
    <cellStyle name="Normal 12 2 2 2 2 2 9" xfId="16434"/>
    <cellStyle name="Normal 12 2 2 2 2 20" xfId="33082"/>
    <cellStyle name="Normal 12 2 2 2 2 21" xfId="34224"/>
    <cellStyle name="Normal 12 2 2 2 2 22" xfId="35718"/>
    <cellStyle name="Normal 12 2 2 2 2 23" xfId="36845"/>
    <cellStyle name="Normal 12 2 2 2 2 24" xfId="39211"/>
    <cellStyle name="Normal 12 2 2 2 2 25" xfId="40966"/>
    <cellStyle name="Normal 12 2 2 2 2 26" xfId="42718"/>
    <cellStyle name="Normal 12 2 2 2 2 27" xfId="43845"/>
    <cellStyle name="Normal 12 2 2 2 2 28" xfId="45336"/>
    <cellStyle name="Normal 12 2 2 2 2 29" xfId="47088"/>
    <cellStyle name="Normal 12 2 2 2 2 3" xfId="3293"/>
    <cellStyle name="Normal 12 2 2 2 2 30" xfId="48840"/>
    <cellStyle name="Normal 12 2 2 2 2 31" xfId="50592"/>
    <cellStyle name="Normal 12 2 2 2 2 32" xfId="52344"/>
    <cellStyle name="Normal 12 2 2 2 2 33" xfId="54096"/>
    <cellStyle name="Normal 12 2 2 2 2 34" xfId="55848"/>
    <cellStyle name="Normal 12 2 2 2 2 35" xfId="57601"/>
    <cellStyle name="Normal 12 2 2 2 2 36" xfId="59353"/>
    <cellStyle name="Normal 12 2 2 2 2 37" xfId="61105"/>
    <cellStyle name="Normal 12 2 2 2 2 38" xfId="62232"/>
    <cellStyle name="Normal 12 2 2 2 2 39" xfId="63098"/>
    <cellStyle name="Normal 12 2 2 2 2 4" xfId="5045"/>
    <cellStyle name="Normal 12 2 2 2 2 5" xfId="6797"/>
    <cellStyle name="Normal 12 2 2 2 2 6" xfId="8549"/>
    <cellStyle name="Normal 12 2 2 2 2 7" xfId="10302"/>
    <cellStyle name="Normal 12 2 2 2 2 8" xfId="12054"/>
    <cellStyle name="Normal 12 2 2 2 2 9" xfId="13806"/>
    <cellStyle name="Normal 12 2 2 2 20" xfId="30893"/>
    <cellStyle name="Normal 12 2 2 2 21" xfId="32646"/>
    <cellStyle name="Normal 12 2 2 2 22" xfId="34223"/>
    <cellStyle name="Normal 12 2 2 2 23" xfId="35282"/>
    <cellStyle name="Normal 12 2 2 2 24" xfId="36844"/>
    <cellStyle name="Normal 12 2 2 2 25" xfId="38775"/>
    <cellStyle name="Normal 12 2 2 2 26" xfId="40530"/>
    <cellStyle name="Normal 12 2 2 2 27" xfId="42282"/>
    <cellStyle name="Normal 12 2 2 2 28" xfId="43844"/>
    <cellStyle name="Normal 12 2 2 2 29" xfId="44900"/>
    <cellStyle name="Normal 12 2 2 2 3" xfId="486"/>
    <cellStyle name="Normal 12 2 2 2 3 10" xfId="17751"/>
    <cellStyle name="Normal 12 2 2 2 3 11" xfId="19503"/>
    <cellStyle name="Normal 12 2 2 2 3 12" xfId="21256"/>
    <cellStyle name="Normal 12 2 2 2 3 13" xfId="23008"/>
    <cellStyle name="Normal 12 2 2 2 3 14" xfId="24760"/>
    <cellStyle name="Normal 12 2 2 2 3 15" xfId="26512"/>
    <cellStyle name="Normal 12 2 2 2 3 16" xfId="28264"/>
    <cellStyle name="Normal 12 2 2 2 3 17" xfId="30017"/>
    <cellStyle name="Normal 12 2 2 2 3 18" xfId="31769"/>
    <cellStyle name="Normal 12 2 2 2 3 19" xfId="33522"/>
    <cellStyle name="Normal 12 2 2 2 3 2" xfId="3733"/>
    <cellStyle name="Normal 12 2 2 2 3 20" xfId="36158"/>
    <cellStyle name="Normal 12 2 2 2 3 21" xfId="37898"/>
    <cellStyle name="Normal 12 2 2 2 3 22" xfId="39651"/>
    <cellStyle name="Normal 12 2 2 2 3 23" xfId="41406"/>
    <cellStyle name="Normal 12 2 2 2 3 24" xfId="43158"/>
    <cellStyle name="Normal 12 2 2 2 3 25" xfId="45776"/>
    <cellStyle name="Normal 12 2 2 2 3 26" xfId="47528"/>
    <cellStyle name="Normal 12 2 2 2 3 27" xfId="49280"/>
    <cellStyle name="Normal 12 2 2 2 3 28" xfId="51032"/>
    <cellStyle name="Normal 12 2 2 2 3 29" xfId="52784"/>
    <cellStyle name="Normal 12 2 2 2 3 3" xfId="5485"/>
    <cellStyle name="Normal 12 2 2 2 3 30" xfId="54536"/>
    <cellStyle name="Normal 12 2 2 2 3 31" xfId="56288"/>
    <cellStyle name="Normal 12 2 2 2 3 32" xfId="58041"/>
    <cellStyle name="Normal 12 2 2 2 3 33" xfId="59793"/>
    <cellStyle name="Normal 12 2 2 2 3 34" xfId="61545"/>
    <cellStyle name="Normal 12 2 2 2 3 4" xfId="7237"/>
    <cellStyle name="Normal 12 2 2 2 3 5" xfId="8989"/>
    <cellStyle name="Normal 12 2 2 2 3 6" xfId="10742"/>
    <cellStyle name="Normal 12 2 2 2 3 7" xfId="12494"/>
    <cellStyle name="Normal 12 2 2 2 3 8" xfId="14246"/>
    <cellStyle name="Normal 12 2 2 2 3 9" xfId="15998"/>
    <cellStyle name="Normal 12 2 2 2 30" xfId="46652"/>
    <cellStyle name="Normal 12 2 2 2 31" xfId="48404"/>
    <cellStyle name="Normal 12 2 2 2 32" xfId="50156"/>
    <cellStyle name="Normal 12 2 2 2 33" xfId="51908"/>
    <cellStyle name="Normal 12 2 2 2 34" xfId="53660"/>
    <cellStyle name="Normal 12 2 2 2 35" xfId="55412"/>
    <cellStyle name="Normal 12 2 2 2 36" xfId="57165"/>
    <cellStyle name="Normal 12 2 2 2 37" xfId="58917"/>
    <cellStyle name="Normal 12 2 2 2 38" xfId="60669"/>
    <cellStyle name="Normal 12 2 2 2 39" xfId="62231"/>
    <cellStyle name="Normal 12 2 2 2 4" xfId="2857"/>
    <cellStyle name="Normal 12 2 2 2 40" xfId="63097"/>
    <cellStyle name="Normal 12 2 2 2 5" xfId="4609"/>
    <cellStyle name="Normal 12 2 2 2 6" xfId="6361"/>
    <cellStyle name="Normal 12 2 2 2 7" xfId="8113"/>
    <cellStyle name="Normal 12 2 2 2 8" xfId="9866"/>
    <cellStyle name="Normal 12 2 2 2 9" xfId="11618"/>
    <cellStyle name="Normal 12 2 2 20" xfId="29088"/>
    <cellStyle name="Normal 12 2 2 21" xfId="30840"/>
    <cellStyle name="Normal 12 2 2 22" xfId="32593"/>
    <cellStyle name="Normal 12 2 2 23" xfId="34222"/>
    <cellStyle name="Normal 12 2 2 24" xfId="35229"/>
    <cellStyle name="Normal 12 2 2 25" xfId="36843"/>
    <cellStyle name="Normal 12 2 2 26" xfId="38722"/>
    <cellStyle name="Normal 12 2 2 27" xfId="40477"/>
    <cellStyle name="Normal 12 2 2 28" xfId="42229"/>
    <cellStyle name="Normal 12 2 2 29" xfId="43843"/>
    <cellStyle name="Normal 12 2 2 3" xfId="487"/>
    <cellStyle name="Normal 12 2 2 3 10" xfId="15505"/>
    <cellStyle name="Normal 12 2 2 3 11" xfId="17258"/>
    <cellStyle name="Normal 12 2 2 3 12" xfId="19010"/>
    <cellStyle name="Normal 12 2 2 3 13" xfId="20763"/>
    <cellStyle name="Normal 12 2 2 3 14" xfId="22515"/>
    <cellStyle name="Normal 12 2 2 3 15" xfId="24267"/>
    <cellStyle name="Normal 12 2 2 3 16" xfId="26019"/>
    <cellStyle name="Normal 12 2 2 3 17" xfId="27771"/>
    <cellStyle name="Normal 12 2 2 3 18" xfId="29524"/>
    <cellStyle name="Normal 12 2 2 3 19" xfId="31276"/>
    <cellStyle name="Normal 12 2 2 3 2" xfId="488"/>
    <cellStyle name="Normal 12 2 2 3 2 10" xfId="18134"/>
    <cellStyle name="Normal 12 2 2 3 2 11" xfId="19886"/>
    <cellStyle name="Normal 12 2 2 3 2 12" xfId="21639"/>
    <cellStyle name="Normal 12 2 2 3 2 13" xfId="23391"/>
    <cellStyle name="Normal 12 2 2 3 2 14" xfId="25143"/>
    <cellStyle name="Normal 12 2 2 3 2 15" xfId="26895"/>
    <cellStyle name="Normal 12 2 2 3 2 16" xfId="28647"/>
    <cellStyle name="Normal 12 2 2 3 2 17" xfId="30400"/>
    <cellStyle name="Normal 12 2 2 3 2 18" xfId="32152"/>
    <cellStyle name="Normal 12 2 2 3 2 19" xfId="33905"/>
    <cellStyle name="Normal 12 2 2 3 2 2" xfId="4116"/>
    <cellStyle name="Normal 12 2 2 3 2 20" xfId="36541"/>
    <cellStyle name="Normal 12 2 2 3 2 21" xfId="38281"/>
    <cellStyle name="Normal 12 2 2 3 2 22" xfId="40034"/>
    <cellStyle name="Normal 12 2 2 3 2 23" xfId="41789"/>
    <cellStyle name="Normal 12 2 2 3 2 24" xfId="43541"/>
    <cellStyle name="Normal 12 2 2 3 2 25" xfId="46159"/>
    <cellStyle name="Normal 12 2 2 3 2 26" xfId="47911"/>
    <cellStyle name="Normal 12 2 2 3 2 27" xfId="49663"/>
    <cellStyle name="Normal 12 2 2 3 2 28" xfId="51415"/>
    <cellStyle name="Normal 12 2 2 3 2 29" xfId="53167"/>
    <cellStyle name="Normal 12 2 2 3 2 3" xfId="5868"/>
    <cellStyle name="Normal 12 2 2 3 2 30" xfId="54919"/>
    <cellStyle name="Normal 12 2 2 3 2 31" xfId="56671"/>
    <cellStyle name="Normal 12 2 2 3 2 32" xfId="58424"/>
    <cellStyle name="Normal 12 2 2 3 2 33" xfId="60176"/>
    <cellStyle name="Normal 12 2 2 3 2 34" xfId="61928"/>
    <cellStyle name="Normal 12 2 2 3 2 4" xfId="7620"/>
    <cellStyle name="Normal 12 2 2 3 2 5" xfId="9372"/>
    <cellStyle name="Normal 12 2 2 3 2 6" xfId="11125"/>
    <cellStyle name="Normal 12 2 2 3 2 7" xfId="12877"/>
    <cellStyle name="Normal 12 2 2 3 2 8" xfId="14629"/>
    <cellStyle name="Normal 12 2 2 3 2 9" xfId="16381"/>
    <cellStyle name="Normal 12 2 2 3 20" xfId="33029"/>
    <cellStyle name="Normal 12 2 2 3 21" xfId="34225"/>
    <cellStyle name="Normal 12 2 2 3 22" xfId="35665"/>
    <cellStyle name="Normal 12 2 2 3 23" xfId="36846"/>
    <cellStyle name="Normal 12 2 2 3 24" xfId="39158"/>
    <cellStyle name="Normal 12 2 2 3 25" xfId="40913"/>
    <cellStyle name="Normal 12 2 2 3 26" xfId="42665"/>
    <cellStyle name="Normal 12 2 2 3 27" xfId="43846"/>
    <cellStyle name="Normal 12 2 2 3 28" xfId="45283"/>
    <cellStyle name="Normal 12 2 2 3 29" xfId="47035"/>
    <cellStyle name="Normal 12 2 2 3 3" xfId="3240"/>
    <cellStyle name="Normal 12 2 2 3 30" xfId="48787"/>
    <cellStyle name="Normal 12 2 2 3 31" xfId="50539"/>
    <cellStyle name="Normal 12 2 2 3 32" xfId="52291"/>
    <cellStyle name="Normal 12 2 2 3 33" xfId="54043"/>
    <cellStyle name="Normal 12 2 2 3 34" xfId="55795"/>
    <cellStyle name="Normal 12 2 2 3 35" xfId="57548"/>
    <cellStyle name="Normal 12 2 2 3 36" xfId="59300"/>
    <cellStyle name="Normal 12 2 2 3 37" xfId="61052"/>
    <cellStyle name="Normal 12 2 2 3 38" xfId="62233"/>
    <cellStyle name="Normal 12 2 2 3 39" xfId="63099"/>
    <cellStyle name="Normal 12 2 2 3 4" xfId="4992"/>
    <cellStyle name="Normal 12 2 2 3 5" xfId="6744"/>
    <cellStyle name="Normal 12 2 2 3 6" xfId="8496"/>
    <cellStyle name="Normal 12 2 2 3 7" xfId="10249"/>
    <cellStyle name="Normal 12 2 2 3 8" xfId="12001"/>
    <cellStyle name="Normal 12 2 2 3 9" xfId="13753"/>
    <cellStyle name="Normal 12 2 2 30" xfId="44847"/>
    <cellStyle name="Normal 12 2 2 31" xfId="46599"/>
    <cellStyle name="Normal 12 2 2 32" xfId="48351"/>
    <cellStyle name="Normal 12 2 2 33" xfId="50103"/>
    <cellStyle name="Normal 12 2 2 34" xfId="51855"/>
    <cellStyle name="Normal 12 2 2 35" xfId="53607"/>
    <cellStyle name="Normal 12 2 2 36" xfId="55359"/>
    <cellStyle name="Normal 12 2 2 37" xfId="57112"/>
    <cellStyle name="Normal 12 2 2 38" xfId="58864"/>
    <cellStyle name="Normal 12 2 2 39" xfId="60616"/>
    <cellStyle name="Normal 12 2 2 4" xfId="489"/>
    <cellStyle name="Normal 12 2 2 4 10" xfId="17698"/>
    <cellStyle name="Normal 12 2 2 4 11" xfId="19450"/>
    <cellStyle name="Normal 12 2 2 4 12" xfId="21203"/>
    <cellStyle name="Normal 12 2 2 4 13" xfId="22955"/>
    <cellStyle name="Normal 12 2 2 4 14" xfId="24707"/>
    <cellStyle name="Normal 12 2 2 4 15" xfId="26459"/>
    <cellStyle name="Normal 12 2 2 4 16" xfId="28211"/>
    <cellStyle name="Normal 12 2 2 4 17" xfId="29964"/>
    <cellStyle name="Normal 12 2 2 4 18" xfId="31716"/>
    <cellStyle name="Normal 12 2 2 4 19" xfId="33469"/>
    <cellStyle name="Normal 12 2 2 4 2" xfId="3680"/>
    <cellStyle name="Normal 12 2 2 4 20" xfId="36105"/>
    <cellStyle name="Normal 12 2 2 4 21" xfId="37845"/>
    <cellStyle name="Normal 12 2 2 4 22" xfId="39598"/>
    <cellStyle name="Normal 12 2 2 4 23" xfId="41353"/>
    <cellStyle name="Normal 12 2 2 4 24" xfId="43105"/>
    <cellStyle name="Normal 12 2 2 4 25" xfId="45723"/>
    <cellStyle name="Normal 12 2 2 4 26" xfId="47475"/>
    <cellStyle name="Normal 12 2 2 4 27" xfId="49227"/>
    <cellStyle name="Normal 12 2 2 4 28" xfId="50979"/>
    <cellStyle name="Normal 12 2 2 4 29" xfId="52731"/>
    <cellStyle name="Normal 12 2 2 4 3" xfId="5432"/>
    <cellStyle name="Normal 12 2 2 4 30" xfId="54483"/>
    <cellStyle name="Normal 12 2 2 4 31" xfId="56235"/>
    <cellStyle name="Normal 12 2 2 4 32" xfId="57988"/>
    <cellStyle name="Normal 12 2 2 4 33" xfId="59740"/>
    <cellStyle name="Normal 12 2 2 4 34" xfId="61492"/>
    <cellStyle name="Normal 12 2 2 4 4" xfId="7184"/>
    <cellStyle name="Normal 12 2 2 4 5" xfId="8936"/>
    <cellStyle name="Normal 12 2 2 4 6" xfId="10689"/>
    <cellStyle name="Normal 12 2 2 4 7" xfId="12441"/>
    <cellStyle name="Normal 12 2 2 4 8" xfId="14193"/>
    <cellStyle name="Normal 12 2 2 4 9" xfId="15945"/>
    <cellStyle name="Normal 12 2 2 40" xfId="62230"/>
    <cellStyle name="Normal 12 2 2 41" xfId="63096"/>
    <cellStyle name="Normal 12 2 2 5" xfId="2804"/>
    <cellStyle name="Normal 12 2 2 6" xfId="4556"/>
    <cellStyle name="Normal 12 2 2 7" xfId="6308"/>
    <cellStyle name="Normal 12 2 2 8" xfId="8060"/>
    <cellStyle name="Normal 12 2 2 9" xfId="9813"/>
    <cellStyle name="Normal 12 2 20" xfId="27227"/>
    <cellStyle name="Normal 12 2 21" xfId="28980"/>
    <cellStyle name="Normal 12 2 22" xfId="30732"/>
    <cellStyle name="Normal 12 2 23" xfId="32485"/>
    <cellStyle name="Normal 12 2 24" xfId="34221"/>
    <cellStyle name="Normal 12 2 25" xfId="35121"/>
    <cellStyle name="Normal 12 2 26" xfId="36842"/>
    <cellStyle name="Normal 12 2 27" xfId="38614"/>
    <cellStyle name="Normal 12 2 28" xfId="40369"/>
    <cellStyle name="Normal 12 2 29" xfId="42121"/>
    <cellStyle name="Normal 12 2 3" xfId="490"/>
    <cellStyle name="Normal 12 2 3 10" xfId="13371"/>
    <cellStyle name="Normal 12 2 3 11" xfId="15123"/>
    <cellStyle name="Normal 12 2 3 12" xfId="16876"/>
    <cellStyle name="Normal 12 2 3 13" xfId="18628"/>
    <cellStyle name="Normal 12 2 3 14" xfId="20381"/>
    <cellStyle name="Normal 12 2 3 15" xfId="22133"/>
    <cellStyle name="Normal 12 2 3 16" xfId="23885"/>
    <cellStyle name="Normal 12 2 3 17" xfId="25637"/>
    <cellStyle name="Normal 12 2 3 18" xfId="27389"/>
    <cellStyle name="Normal 12 2 3 19" xfId="29142"/>
    <cellStyle name="Normal 12 2 3 2" xfId="491"/>
    <cellStyle name="Normal 12 2 3 2 10" xfId="15559"/>
    <cellStyle name="Normal 12 2 3 2 11" xfId="17312"/>
    <cellStyle name="Normal 12 2 3 2 12" xfId="19064"/>
    <cellStyle name="Normal 12 2 3 2 13" xfId="20817"/>
    <cellStyle name="Normal 12 2 3 2 14" xfId="22569"/>
    <cellStyle name="Normal 12 2 3 2 15" xfId="24321"/>
    <cellStyle name="Normal 12 2 3 2 16" xfId="26073"/>
    <cellStyle name="Normal 12 2 3 2 17" xfId="27825"/>
    <cellStyle name="Normal 12 2 3 2 18" xfId="29578"/>
    <cellStyle name="Normal 12 2 3 2 19" xfId="31330"/>
    <cellStyle name="Normal 12 2 3 2 2" xfId="492"/>
    <cellStyle name="Normal 12 2 3 2 2 10" xfId="18188"/>
    <cellStyle name="Normal 12 2 3 2 2 11" xfId="19940"/>
    <cellStyle name="Normal 12 2 3 2 2 12" xfId="21693"/>
    <cellStyle name="Normal 12 2 3 2 2 13" xfId="23445"/>
    <cellStyle name="Normal 12 2 3 2 2 14" xfId="25197"/>
    <cellStyle name="Normal 12 2 3 2 2 15" xfId="26949"/>
    <cellStyle name="Normal 12 2 3 2 2 16" xfId="28701"/>
    <cellStyle name="Normal 12 2 3 2 2 17" xfId="30454"/>
    <cellStyle name="Normal 12 2 3 2 2 18" xfId="32206"/>
    <cellStyle name="Normal 12 2 3 2 2 19" xfId="33959"/>
    <cellStyle name="Normal 12 2 3 2 2 2" xfId="4170"/>
    <cellStyle name="Normal 12 2 3 2 2 20" xfId="36595"/>
    <cellStyle name="Normal 12 2 3 2 2 21" xfId="38335"/>
    <cellStyle name="Normal 12 2 3 2 2 22" xfId="40088"/>
    <cellStyle name="Normal 12 2 3 2 2 23" xfId="41843"/>
    <cellStyle name="Normal 12 2 3 2 2 24" xfId="43595"/>
    <cellStyle name="Normal 12 2 3 2 2 25" xfId="46213"/>
    <cellStyle name="Normal 12 2 3 2 2 26" xfId="47965"/>
    <cellStyle name="Normal 12 2 3 2 2 27" xfId="49717"/>
    <cellStyle name="Normal 12 2 3 2 2 28" xfId="51469"/>
    <cellStyle name="Normal 12 2 3 2 2 29" xfId="53221"/>
    <cellStyle name="Normal 12 2 3 2 2 3" xfId="5922"/>
    <cellStyle name="Normal 12 2 3 2 2 30" xfId="54973"/>
    <cellStyle name="Normal 12 2 3 2 2 31" xfId="56725"/>
    <cellStyle name="Normal 12 2 3 2 2 32" xfId="58478"/>
    <cellStyle name="Normal 12 2 3 2 2 33" xfId="60230"/>
    <cellStyle name="Normal 12 2 3 2 2 34" xfId="61982"/>
    <cellStyle name="Normal 12 2 3 2 2 4" xfId="7674"/>
    <cellStyle name="Normal 12 2 3 2 2 5" xfId="9426"/>
    <cellStyle name="Normal 12 2 3 2 2 6" xfId="11179"/>
    <cellStyle name="Normal 12 2 3 2 2 7" xfId="12931"/>
    <cellStyle name="Normal 12 2 3 2 2 8" xfId="14683"/>
    <cellStyle name="Normal 12 2 3 2 2 9" xfId="16435"/>
    <cellStyle name="Normal 12 2 3 2 20" xfId="33083"/>
    <cellStyle name="Normal 12 2 3 2 21" xfId="34227"/>
    <cellStyle name="Normal 12 2 3 2 22" xfId="35719"/>
    <cellStyle name="Normal 12 2 3 2 23" xfId="36848"/>
    <cellStyle name="Normal 12 2 3 2 24" xfId="39212"/>
    <cellStyle name="Normal 12 2 3 2 25" xfId="40967"/>
    <cellStyle name="Normal 12 2 3 2 26" xfId="42719"/>
    <cellStyle name="Normal 12 2 3 2 27" xfId="43848"/>
    <cellStyle name="Normal 12 2 3 2 28" xfId="45337"/>
    <cellStyle name="Normal 12 2 3 2 29" xfId="47089"/>
    <cellStyle name="Normal 12 2 3 2 3" xfId="3294"/>
    <cellStyle name="Normal 12 2 3 2 30" xfId="48841"/>
    <cellStyle name="Normal 12 2 3 2 31" xfId="50593"/>
    <cellStyle name="Normal 12 2 3 2 32" xfId="52345"/>
    <cellStyle name="Normal 12 2 3 2 33" xfId="54097"/>
    <cellStyle name="Normal 12 2 3 2 34" xfId="55849"/>
    <cellStyle name="Normal 12 2 3 2 35" xfId="57602"/>
    <cellStyle name="Normal 12 2 3 2 36" xfId="59354"/>
    <cellStyle name="Normal 12 2 3 2 37" xfId="61106"/>
    <cellStyle name="Normal 12 2 3 2 38" xfId="62235"/>
    <cellStyle name="Normal 12 2 3 2 39" xfId="63101"/>
    <cellStyle name="Normal 12 2 3 2 4" xfId="5046"/>
    <cellStyle name="Normal 12 2 3 2 5" xfId="6798"/>
    <cellStyle name="Normal 12 2 3 2 6" xfId="8550"/>
    <cellStyle name="Normal 12 2 3 2 7" xfId="10303"/>
    <cellStyle name="Normal 12 2 3 2 8" xfId="12055"/>
    <cellStyle name="Normal 12 2 3 2 9" xfId="13807"/>
    <cellStyle name="Normal 12 2 3 20" xfId="30894"/>
    <cellStyle name="Normal 12 2 3 21" xfId="32647"/>
    <cellStyle name="Normal 12 2 3 22" xfId="34226"/>
    <cellStyle name="Normal 12 2 3 23" xfId="35283"/>
    <cellStyle name="Normal 12 2 3 24" xfId="36847"/>
    <cellStyle name="Normal 12 2 3 25" xfId="38776"/>
    <cellStyle name="Normal 12 2 3 26" xfId="40531"/>
    <cellStyle name="Normal 12 2 3 27" xfId="42283"/>
    <cellStyle name="Normal 12 2 3 28" xfId="43847"/>
    <cellStyle name="Normal 12 2 3 29" xfId="44901"/>
    <cellStyle name="Normal 12 2 3 3" xfId="493"/>
    <cellStyle name="Normal 12 2 3 3 10" xfId="17752"/>
    <cellStyle name="Normal 12 2 3 3 11" xfId="19504"/>
    <cellStyle name="Normal 12 2 3 3 12" xfId="21257"/>
    <cellStyle name="Normal 12 2 3 3 13" xfId="23009"/>
    <cellStyle name="Normal 12 2 3 3 14" xfId="24761"/>
    <cellStyle name="Normal 12 2 3 3 15" xfId="26513"/>
    <cellStyle name="Normal 12 2 3 3 16" xfId="28265"/>
    <cellStyle name="Normal 12 2 3 3 17" xfId="30018"/>
    <cellStyle name="Normal 12 2 3 3 18" xfId="31770"/>
    <cellStyle name="Normal 12 2 3 3 19" xfId="33523"/>
    <cellStyle name="Normal 12 2 3 3 2" xfId="3734"/>
    <cellStyle name="Normal 12 2 3 3 20" xfId="36159"/>
    <cellStyle name="Normal 12 2 3 3 21" xfId="37899"/>
    <cellStyle name="Normal 12 2 3 3 22" xfId="39652"/>
    <cellStyle name="Normal 12 2 3 3 23" xfId="41407"/>
    <cellStyle name="Normal 12 2 3 3 24" xfId="43159"/>
    <cellStyle name="Normal 12 2 3 3 25" xfId="45777"/>
    <cellStyle name="Normal 12 2 3 3 26" xfId="47529"/>
    <cellStyle name="Normal 12 2 3 3 27" xfId="49281"/>
    <cellStyle name="Normal 12 2 3 3 28" xfId="51033"/>
    <cellStyle name="Normal 12 2 3 3 29" xfId="52785"/>
    <cellStyle name="Normal 12 2 3 3 3" xfId="5486"/>
    <cellStyle name="Normal 12 2 3 3 30" xfId="54537"/>
    <cellStyle name="Normal 12 2 3 3 31" xfId="56289"/>
    <cellStyle name="Normal 12 2 3 3 32" xfId="58042"/>
    <cellStyle name="Normal 12 2 3 3 33" xfId="59794"/>
    <cellStyle name="Normal 12 2 3 3 34" xfId="61546"/>
    <cellStyle name="Normal 12 2 3 3 4" xfId="7238"/>
    <cellStyle name="Normal 12 2 3 3 5" xfId="8990"/>
    <cellStyle name="Normal 12 2 3 3 6" xfId="10743"/>
    <cellStyle name="Normal 12 2 3 3 7" xfId="12495"/>
    <cellStyle name="Normal 12 2 3 3 8" xfId="14247"/>
    <cellStyle name="Normal 12 2 3 3 9" xfId="15999"/>
    <cellStyle name="Normal 12 2 3 30" xfId="46653"/>
    <cellStyle name="Normal 12 2 3 31" xfId="48405"/>
    <cellStyle name="Normal 12 2 3 32" xfId="50157"/>
    <cellStyle name="Normal 12 2 3 33" xfId="51909"/>
    <cellStyle name="Normal 12 2 3 34" xfId="53661"/>
    <cellStyle name="Normal 12 2 3 35" xfId="55413"/>
    <cellStyle name="Normal 12 2 3 36" xfId="57166"/>
    <cellStyle name="Normal 12 2 3 37" xfId="58918"/>
    <cellStyle name="Normal 12 2 3 38" xfId="60670"/>
    <cellStyle name="Normal 12 2 3 39" xfId="62234"/>
    <cellStyle name="Normal 12 2 3 4" xfId="2858"/>
    <cellStyle name="Normal 12 2 3 40" xfId="63100"/>
    <cellStyle name="Normal 12 2 3 5" xfId="4610"/>
    <cellStyle name="Normal 12 2 3 6" xfId="6362"/>
    <cellStyle name="Normal 12 2 3 7" xfId="8114"/>
    <cellStyle name="Normal 12 2 3 8" xfId="9867"/>
    <cellStyle name="Normal 12 2 3 9" xfId="11619"/>
    <cellStyle name="Normal 12 2 30" xfId="43842"/>
    <cellStyle name="Normal 12 2 31" xfId="44739"/>
    <cellStyle name="Normal 12 2 32" xfId="46491"/>
    <cellStyle name="Normal 12 2 33" xfId="48243"/>
    <cellStyle name="Normal 12 2 34" xfId="49995"/>
    <cellStyle name="Normal 12 2 35" xfId="51747"/>
    <cellStyle name="Normal 12 2 36" xfId="53499"/>
    <cellStyle name="Normal 12 2 37" xfId="55251"/>
    <cellStyle name="Normal 12 2 38" xfId="57004"/>
    <cellStyle name="Normal 12 2 39" xfId="58756"/>
    <cellStyle name="Normal 12 2 4" xfId="494"/>
    <cellStyle name="Normal 12 2 4 10" xfId="15397"/>
    <cellStyle name="Normal 12 2 4 11" xfId="17150"/>
    <cellStyle name="Normal 12 2 4 12" xfId="18902"/>
    <cellStyle name="Normal 12 2 4 13" xfId="20655"/>
    <cellStyle name="Normal 12 2 4 14" xfId="22407"/>
    <cellStyle name="Normal 12 2 4 15" xfId="24159"/>
    <cellStyle name="Normal 12 2 4 16" xfId="25911"/>
    <cellStyle name="Normal 12 2 4 17" xfId="27663"/>
    <cellStyle name="Normal 12 2 4 18" xfId="29416"/>
    <cellStyle name="Normal 12 2 4 19" xfId="31168"/>
    <cellStyle name="Normal 12 2 4 2" xfId="495"/>
    <cellStyle name="Normal 12 2 4 2 10" xfId="18026"/>
    <cellStyle name="Normal 12 2 4 2 11" xfId="19778"/>
    <cellStyle name="Normal 12 2 4 2 12" xfId="21531"/>
    <cellStyle name="Normal 12 2 4 2 13" xfId="23283"/>
    <cellStyle name="Normal 12 2 4 2 14" xfId="25035"/>
    <cellStyle name="Normal 12 2 4 2 15" xfId="26787"/>
    <cellStyle name="Normal 12 2 4 2 16" xfId="28539"/>
    <cellStyle name="Normal 12 2 4 2 17" xfId="30292"/>
    <cellStyle name="Normal 12 2 4 2 18" xfId="32044"/>
    <cellStyle name="Normal 12 2 4 2 19" xfId="33797"/>
    <cellStyle name="Normal 12 2 4 2 2" xfId="4008"/>
    <cellStyle name="Normal 12 2 4 2 20" xfId="36433"/>
    <cellStyle name="Normal 12 2 4 2 21" xfId="38173"/>
    <cellStyle name="Normal 12 2 4 2 22" xfId="39926"/>
    <cellStyle name="Normal 12 2 4 2 23" xfId="41681"/>
    <cellStyle name="Normal 12 2 4 2 24" xfId="43433"/>
    <cellStyle name="Normal 12 2 4 2 25" xfId="46051"/>
    <cellStyle name="Normal 12 2 4 2 26" xfId="47803"/>
    <cellStyle name="Normal 12 2 4 2 27" xfId="49555"/>
    <cellStyle name="Normal 12 2 4 2 28" xfId="51307"/>
    <cellStyle name="Normal 12 2 4 2 29" xfId="53059"/>
    <cellStyle name="Normal 12 2 4 2 3" xfId="5760"/>
    <cellStyle name="Normal 12 2 4 2 30" xfId="54811"/>
    <cellStyle name="Normal 12 2 4 2 31" xfId="56563"/>
    <cellStyle name="Normal 12 2 4 2 32" xfId="58316"/>
    <cellStyle name="Normal 12 2 4 2 33" xfId="60068"/>
    <cellStyle name="Normal 12 2 4 2 34" xfId="61820"/>
    <cellStyle name="Normal 12 2 4 2 4" xfId="7512"/>
    <cellStyle name="Normal 12 2 4 2 5" xfId="9264"/>
    <cellStyle name="Normal 12 2 4 2 6" xfId="11017"/>
    <cellStyle name="Normal 12 2 4 2 7" xfId="12769"/>
    <cellStyle name="Normal 12 2 4 2 8" xfId="14521"/>
    <cellStyle name="Normal 12 2 4 2 9" xfId="16273"/>
    <cellStyle name="Normal 12 2 4 20" xfId="32921"/>
    <cellStyle name="Normal 12 2 4 21" xfId="34228"/>
    <cellStyle name="Normal 12 2 4 22" xfId="35557"/>
    <cellStyle name="Normal 12 2 4 23" xfId="36849"/>
    <cellStyle name="Normal 12 2 4 24" xfId="39050"/>
    <cellStyle name="Normal 12 2 4 25" xfId="40805"/>
    <cellStyle name="Normal 12 2 4 26" xfId="42557"/>
    <cellStyle name="Normal 12 2 4 27" xfId="43849"/>
    <cellStyle name="Normal 12 2 4 28" xfId="45175"/>
    <cellStyle name="Normal 12 2 4 29" xfId="46927"/>
    <cellStyle name="Normal 12 2 4 3" xfId="3132"/>
    <cellStyle name="Normal 12 2 4 30" xfId="48679"/>
    <cellStyle name="Normal 12 2 4 31" xfId="50431"/>
    <cellStyle name="Normal 12 2 4 32" xfId="52183"/>
    <cellStyle name="Normal 12 2 4 33" xfId="53935"/>
    <cellStyle name="Normal 12 2 4 34" xfId="55687"/>
    <cellStyle name="Normal 12 2 4 35" xfId="57440"/>
    <cellStyle name="Normal 12 2 4 36" xfId="59192"/>
    <cellStyle name="Normal 12 2 4 37" xfId="60944"/>
    <cellStyle name="Normal 12 2 4 38" xfId="62236"/>
    <cellStyle name="Normal 12 2 4 39" xfId="63102"/>
    <cellStyle name="Normal 12 2 4 4" xfId="4884"/>
    <cellStyle name="Normal 12 2 4 5" xfId="6636"/>
    <cellStyle name="Normal 12 2 4 6" xfId="8388"/>
    <cellStyle name="Normal 12 2 4 7" xfId="10141"/>
    <cellStyle name="Normal 12 2 4 8" xfId="11893"/>
    <cellStyle name="Normal 12 2 4 9" xfId="13645"/>
    <cellStyle name="Normal 12 2 40" xfId="60508"/>
    <cellStyle name="Normal 12 2 41" xfId="62229"/>
    <cellStyle name="Normal 12 2 42" xfId="63095"/>
    <cellStyle name="Normal 12 2 5" xfId="496"/>
    <cellStyle name="Normal 12 2 5 10" xfId="17590"/>
    <cellStyle name="Normal 12 2 5 11" xfId="19342"/>
    <cellStyle name="Normal 12 2 5 12" xfId="21095"/>
    <cellStyle name="Normal 12 2 5 13" xfId="22847"/>
    <cellStyle name="Normal 12 2 5 14" xfId="24599"/>
    <cellStyle name="Normal 12 2 5 15" xfId="26351"/>
    <cellStyle name="Normal 12 2 5 16" xfId="28103"/>
    <cellStyle name="Normal 12 2 5 17" xfId="29856"/>
    <cellStyle name="Normal 12 2 5 18" xfId="31608"/>
    <cellStyle name="Normal 12 2 5 19" xfId="33361"/>
    <cellStyle name="Normal 12 2 5 2" xfId="3572"/>
    <cellStyle name="Normal 12 2 5 20" xfId="35997"/>
    <cellStyle name="Normal 12 2 5 21" xfId="37723"/>
    <cellStyle name="Normal 12 2 5 22" xfId="39490"/>
    <cellStyle name="Normal 12 2 5 23" xfId="41245"/>
    <cellStyle name="Normal 12 2 5 24" xfId="42997"/>
    <cellStyle name="Normal 12 2 5 25" xfId="45615"/>
    <cellStyle name="Normal 12 2 5 26" xfId="47367"/>
    <cellStyle name="Normal 12 2 5 27" xfId="49119"/>
    <cellStyle name="Normal 12 2 5 28" xfId="50871"/>
    <cellStyle name="Normal 12 2 5 29" xfId="52623"/>
    <cellStyle name="Normal 12 2 5 3" xfId="5324"/>
    <cellStyle name="Normal 12 2 5 30" xfId="54375"/>
    <cellStyle name="Normal 12 2 5 31" xfId="56127"/>
    <cellStyle name="Normal 12 2 5 32" xfId="57880"/>
    <cellStyle name="Normal 12 2 5 33" xfId="59632"/>
    <cellStyle name="Normal 12 2 5 34" xfId="61384"/>
    <cellStyle name="Normal 12 2 5 4" xfId="7076"/>
    <cellStyle name="Normal 12 2 5 5" xfId="8828"/>
    <cellStyle name="Normal 12 2 5 6" xfId="10581"/>
    <cellStyle name="Normal 12 2 5 7" xfId="12333"/>
    <cellStyle name="Normal 12 2 5 8" xfId="14085"/>
    <cellStyle name="Normal 12 2 5 9" xfId="15837"/>
    <cellStyle name="Normal 12 2 6" xfId="2696"/>
    <cellStyle name="Normal 12 2 7" xfId="4448"/>
    <cellStyle name="Normal 12 2 8" xfId="6200"/>
    <cellStyle name="Normal 12 2 9" xfId="7952"/>
    <cellStyle name="Normal 12 20" xfId="25420"/>
    <cellStyle name="Normal 12 21" xfId="27172"/>
    <cellStyle name="Normal 12 22" xfId="28925"/>
    <cellStyle name="Normal 12 23" xfId="30677"/>
    <cellStyle name="Normal 12 24" xfId="32430"/>
    <cellStyle name="Normal 12 25" xfId="34220"/>
    <cellStyle name="Normal 12 26" xfId="35066"/>
    <cellStyle name="Normal 12 27" xfId="36841"/>
    <cellStyle name="Normal 12 28" xfId="38558"/>
    <cellStyle name="Normal 12 29" xfId="40314"/>
    <cellStyle name="Normal 12 3" xfId="497"/>
    <cellStyle name="Normal 12 3 10" xfId="11510"/>
    <cellStyle name="Normal 12 3 11" xfId="13262"/>
    <cellStyle name="Normal 12 3 12" xfId="15014"/>
    <cellStyle name="Normal 12 3 13" xfId="16767"/>
    <cellStyle name="Normal 12 3 14" xfId="18519"/>
    <cellStyle name="Normal 12 3 15" xfId="20272"/>
    <cellStyle name="Normal 12 3 16" xfId="22024"/>
    <cellStyle name="Normal 12 3 17" xfId="23776"/>
    <cellStyle name="Normal 12 3 18" xfId="25528"/>
    <cellStyle name="Normal 12 3 19" xfId="27280"/>
    <cellStyle name="Normal 12 3 2" xfId="498"/>
    <cellStyle name="Normal 12 3 2 10" xfId="13372"/>
    <cellStyle name="Normal 12 3 2 11" xfId="15124"/>
    <cellStyle name="Normal 12 3 2 12" xfId="16877"/>
    <cellStyle name="Normal 12 3 2 13" xfId="18629"/>
    <cellStyle name="Normal 12 3 2 14" xfId="20382"/>
    <cellStyle name="Normal 12 3 2 15" xfId="22134"/>
    <cellStyle name="Normal 12 3 2 16" xfId="23886"/>
    <cellStyle name="Normal 12 3 2 17" xfId="25638"/>
    <cellStyle name="Normal 12 3 2 18" xfId="27390"/>
    <cellStyle name="Normal 12 3 2 19" xfId="29143"/>
    <cellStyle name="Normal 12 3 2 2" xfId="499"/>
    <cellStyle name="Normal 12 3 2 2 10" xfId="15560"/>
    <cellStyle name="Normal 12 3 2 2 11" xfId="17313"/>
    <cellStyle name="Normal 12 3 2 2 12" xfId="19065"/>
    <cellStyle name="Normal 12 3 2 2 13" xfId="20818"/>
    <cellStyle name="Normal 12 3 2 2 14" xfId="22570"/>
    <cellStyle name="Normal 12 3 2 2 15" xfId="24322"/>
    <cellStyle name="Normal 12 3 2 2 16" xfId="26074"/>
    <cellStyle name="Normal 12 3 2 2 17" xfId="27826"/>
    <cellStyle name="Normal 12 3 2 2 18" xfId="29579"/>
    <cellStyle name="Normal 12 3 2 2 19" xfId="31331"/>
    <cellStyle name="Normal 12 3 2 2 2" xfId="500"/>
    <cellStyle name="Normal 12 3 2 2 2 10" xfId="18189"/>
    <cellStyle name="Normal 12 3 2 2 2 11" xfId="19941"/>
    <cellStyle name="Normal 12 3 2 2 2 12" xfId="21694"/>
    <cellStyle name="Normal 12 3 2 2 2 13" xfId="23446"/>
    <cellStyle name="Normal 12 3 2 2 2 14" xfId="25198"/>
    <cellStyle name="Normal 12 3 2 2 2 15" xfId="26950"/>
    <cellStyle name="Normal 12 3 2 2 2 16" xfId="28702"/>
    <cellStyle name="Normal 12 3 2 2 2 17" xfId="30455"/>
    <cellStyle name="Normal 12 3 2 2 2 18" xfId="32207"/>
    <cellStyle name="Normal 12 3 2 2 2 19" xfId="33960"/>
    <cellStyle name="Normal 12 3 2 2 2 2" xfId="4171"/>
    <cellStyle name="Normal 12 3 2 2 2 20" xfId="36596"/>
    <cellStyle name="Normal 12 3 2 2 2 21" xfId="38336"/>
    <cellStyle name="Normal 12 3 2 2 2 22" xfId="40089"/>
    <cellStyle name="Normal 12 3 2 2 2 23" xfId="41844"/>
    <cellStyle name="Normal 12 3 2 2 2 24" xfId="43596"/>
    <cellStyle name="Normal 12 3 2 2 2 25" xfId="46214"/>
    <cellStyle name="Normal 12 3 2 2 2 26" xfId="47966"/>
    <cellStyle name="Normal 12 3 2 2 2 27" xfId="49718"/>
    <cellStyle name="Normal 12 3 2 2 2 28" xfId="51470"/>
    <cellStyle name="Normal 12 3 2 2 2 29" xfId="53222"/>
    <cellStyle name="Normal 12 3 2 2 2 3" xfId="5923"/>
    <cellStyle name="Normal 12 3 2 2 2 30" xfId="54974"/>
    <cellStyle name="Normal 12 3 2 2 2 31" xfId="56726"/>
    <cellStyle name="Normal 12 3 2 2 2 32" xfId="58479"/>
    <cellStyle name="Normal 12 3 2 2 2 33" xfId="60231"/>
    <cellStyle name="Normal 12 3 2 2 2 34" xfId="61983"/>
    <cellStyle name="Normal 12 3 2 2 2 4" xfId="7675"/>
    <cellStyle name="Normal 12 3 2 2 2 5" xfId="9427"/>
    <cellStyle name="Normal 12 3 2 2 2 6" xfId="11180"/>
    <cellStyle name="Normal 12 3 2 2 2 7" xfId="12932"/>
    <cellStyle name="Normal 12 3 2 2 2 8" xfId="14684"/>
    <cellStyle name="Normal 12 3 2 2 2 9" xfId="16436"/>
    <cellStyle name="Normal 12 3 2 2 20" xfId="33084"/>
    <cellStyle name="Normal 12 3 2 2 21" xfId="34231"/>
    <cellStyle name="Normal 12 3 2 2 22" xfId="35720"/>
    <cellStyle name="Normal 12 3 2 2 23" xfId="36852"/>
    <cellStyle name="Normal 12 3 2 2 24" xfId="39213"/>
    <cellStyle name="Normal 12 3 2 2 25" xfId="40968"/>
    <cellStyle name="Normal 12 3 2 2 26" xfId="42720"/>
    <cellStyle name="Normal 12 3 2 2 27" xfId="43852"/>
    <cellStyle name="Normal 12 3 2 2 28" xfId="45338"/>
    <cellStyle name="Normal 12 3 2 2 29" xfId="47090"/>
    <cellStyle name="Normal 12 3 2 2 3" xfId="3295"/>
    <cellStyle name="Normal 12 3 2 2 30" xfId="48842"/>
    <cellStyle name="Normal 12 3 2 2 31" xfId="50594"/>
    <cellStyle name="Normal 12 3 2 2 32" xfId="52346"/>
    <cellStyle name="Normal 12 3 2 2 33" xfId="54098"/>
    <cellStyle name="Normal 12 3 2 2 34" xfId="55850"/>
    <cellStyle name="Normal 12 3 2 2 35" xfId="57603"/>
    <cellStyle name="Normal 12 3 2 2 36" xfId="59355"/>
    <cellStyle name="Normal 12 3 2 2 37" xfId="61107"/>
    <cellStyle name="Normal 12 3 2 2 38" xfId="62239"/>
    <cellStyle name="Normal 12 3 2 2 39" xfId="63105"/>
    <cellStyle name="Normal 12 3 2 2 4" xfId="5047"/>
    <cellStyle name="Normal 12 3 2 2 5" xfId="6799"/>
    <cellStyle name="Normal 12 3 2 2 6" xfId="8551"/>
    <cellStyle name="Normal 12 3 2 2 7" xfId="10304"/>
    <cellStyle name="Normal 12 3 2 2 8" xfId="12056"/>
    <cellStyle name="Normal 12 3 2 2 9" xfId="13808"/>
    <cellStyle name="Normal 12 3 2 20" xfId="30895"/>
    <cellStyle name="Normal 12 3 2 21" xfId="32648"/>
    <cellStyle name="Normal 12 3 2 22" xfId="34230"/>
    <cellStyle name="Normal 12 3 2 23" xfId="35284"/>
    <cellStyle name="Normal 12 3 2 24" xfId="36851"/>
    <cellStyle name="Normal 12 3 2 25" xfId="38777"/>
    <cellStyle name="Normal 12 3 2 26" xfId="40532"/>
    <cellStyle name="Normal 12 3 2 27" xfId="42284"/>
    <cellStyle name="Normal 12 3 2 28" xfId="43851"/>
    <cellStyle name="Normal 12 3 2 29" xfId="44902"/>
    <cellStyle name="Normal 12 3 2 3" xfId="501"/>
    <cellStyle name="Normal 12 3 2 3 10" xfId="17753"/>
    <cellStyle name="Normal 12 3 2 3 11" xfId="19505"/>
    <cellStyle name="Normal 12 3 2 3 12" xfId="21258"/>
    <cellStyle name="Normal 12 3 2 3 13" xfId="23010"/>
    <cellStyle name="Normal 12 3 2 3 14" xfId="24762"/>
    <cellStyle name="Normal 12 3 2 3 15" xfId="26514"/>
    <cellStyle name="Normal 12 3 2 3 16" xfId="28266"/>
    <cellStyle name="Normal 12 3 2 3 17" xfId="30019"/>
    <cellStyle name="Normal 12 3 2 3 18" xfId="31771"/>
    <cellStyle name="Normal 12 3 2 3 19" xfId="33524"/>
    <cellStyle name="Normal 12 3 2 3 2" xfId="3735"/>
    <cellStyle name="Normal 12 3 2 3 20" xfId="36160"/>
    <cellStyle name="Normal 12 3 2 3 21" xfId="37900"/>
    <cellStyle name="Normal 12 3 2 3 22" xfId="39653"/>
    <cellStyle name="Normal 12 3 2 3 23" xfId="41408"/>
    <cellStyle name="Normal 12 3 2 3 24" xfId="43160"/>
    <cellStyle name="Normal 12 3 2 3 25" xfId="45778"/>
    <cellStyle name="Normal 12 3 2 3 26" xfId="47530"/>
    <cellStyle name="Normal 12 3 2 3 27" xfId="49282"/>
    <cellStyle name="Normal 12 3 2 3 28" xfId="51034"/>
    <cellStyle name="Normal 12 3 2 3 29" xfId="52786"/>
    <cellStyle name="Normal 12 3 2 3 3" xfId="5487"/>
    <cellStyle name="Normal 12 3 2 3 30" xfId="54538"/>
    <cellStyle name="Normal 12 3 2 3 31" xfId="56290"/>
    <cellStyle name="Normal 12 3 2 3 32" xfId="58043"/>
    <cellStyle name="Normal 12 3 2 3 33" xfId="59795"/>
    <cellStyle name="Normal 12 3 2 3 34" xfId="61547"/>
    <cellStyle name="Normal 12 3 2 3 4" xfId="7239"/>
    <cellStyle name="Normal 12 3 2 3 5" xfId="8991"/>
    <cellStyle name="Normal 12 3 2 3 6" xfId="10744"/>
    <cellStyle name="Normal 12 3 2 3 7" xfId="12496"/>
    <cellStyle name="Normal 12 3 2 3 8" xfId="14248"/>
    <cellStyle name="Normal 12 3 2 3 9" xfId="16000"/>
    <cellStyle name="Normal 12 3 2 30" xfId="46654"/>
    <cellStyle name="Normal 12 3 2 31" xfId="48406"/>
    <cellStyle name="Normal 12 3 2 32" xfId="50158"/>
    <cellStyle name="Normal 12 3 2 33" xfId="51910"/>
    <cellStyle name="Normal 12 3 2 34" xfId="53662"/>
    <cellStyle name="Normal 12 3 2 35" xfId="55414"/>
    <cellStyle name="Normal 12 3 2 36" xfId="57167"/>
    <cellStyle name="Normal 12 3 2 37" xfId="58919"/>
    <cellStyle name="Normal 12 3 2 38" xfId="60671"/>
    <cellStyle name="Normal 12 3 2 39" xfId="62238"/>
    <cellStyle name="Normal 12 3 2 4" xfId="2859"/>
    <cellStyle name="Normal 12 3 2 40" xfId="63104"/>
    <cellStyle name="Normal 12 3 2 5" xfId="4611"/>
    <cellStyle name="Normal 12 3 2 6" xfId="6363"/>
    <cellStyle name="Normal 12 3 2 7" xfId="8115"/>
    <cellStyle name="Normal 12 3 2 8" xfId="9868"/>
    <cellStyle name="Normal 12 3 2 9" xfId="11620"/>
    <cellStyle name="Normal 12 3 20" xfId="29033"/>
    <cellStyle name="Normal 12 3 21" xfId="30785"/>
    <cellStyle name="Normal 12 3 22" xfId="32538"/>
    <cellStyle name="Normal 12 3 23" xfId="34229"/>
    <cellStyle name="Normal 12 3 24" xfId="35174"/>
    <cellStyle name="Normal 12 3 25" xfId="36850"/>
    <cellStyle name="Normal 12 3 26" xfId="38667"/>
    <cellStyle name="Normal 12 3 27" xfId="40422"/>
    <cellStyle name="Normal 12 3 28" xfId="42174"/>
    <cellStyle name="Normal 12 3 29" xfId="43850"/>
    <cellStyle name="Normal 12 3 3" xfId="502"/>
    <cellStyle name="Normal 12 3 3 10" xfId="15450"/>
    <cellStyle name="Normal 12 3 3 11" xfId="17203"/>
    <cellStyle name="Normal 12 3 3 12" xfId="18955"/>
    <cellStyle name="Normal 12 3 3 13" xfId="20708"/>
    <cellStyle name="Normal 12 3 3 14" xfId="22460"/>
    <cellStyle name="Normal 12 3 3 15" xfId="24212"/>
    <cellStyle name="Normal 12 3 3 16" xfId="25964"/>
    <cellStyle name="Normal 12 3 3 17" xfId="27716"/>
    <cellStyle name="Normal 12 3 3 18" xfId="29469"/>
    <cellStyle name="Normal 12 3 3 19" xfId="31221"/>
    <cellStyle name="Normal 12 3 3 2" xfId="503"/>
    <cellStyle name="Normal 12 3 3 2 10" xfId="18079"/>
    <cellStyle name="Normal 12 3 3 2 11" xfId="19831"/>
    <cellStyle name="Normal 12 3 3 2 12" xfId="21584"/>
    <cellStyle name="Normal 12 3 3 2 13" xfId="23336"/>
    <cellStyle name="Normal 12 3 3 2 14" xfId="25088"/>
    <cellStyle name="Normal 12 3 3 2 15" xfId="26840"/>
    <cellStyle name="Normal 12 3 3 2 16" xfId="28592"/>
    <cellStyle name="Normal 12 3 3 2 17" xfId="30345"/>
    <cellStyle name="Normal 12 3 3 2 18" xfId="32097"/>
    <cellStyle name="Normal 12 3 3 2 19" xfId="33850"/>
    <cellStyle name="Normal 12 3 3 2 2" xfId="4061"/>
    <cellStyle name="Normal 12 3 3 2 20" xfId="36486"/>
    <cellStyle name="Normal 12 3 3 2 21" xfId="38226"/>
    <cellStyle name="Normal 12 3 3 2 22" xfId="39979"/>
    <cellStyle name="Normal 12 3 3 2 23" xfId="41734"/>
    <cellStyle name="Normal 12 3 3 2 24" xfId="43486"/>
    <cellStyle name="Normal 12 3 3 2 25" xfId="46104"/>
    <cellStyle name="Normal 12 3 3 2 26" xfId="47856"/>
    <cellStyle name="Normal 12 3 3 2 27" xfId="49608"/>
    <cellStyle name="Normal 12 3 3 2 28" xfId="51360"/>
    <cellStyle name="Normal 12 3 3 2 29" xfId="53112"/>
    <cellStyle name="Normal 12 3 3 2 3" xfId="5813"/>
    <cellStyle name="Normal 12 3 3 2 30" xfId="54864"/>
    <cellStyle name="Normal 12 3 3 2 31" xfId="56616"/>
    <cellStyle name="Normal 12 3 3 2 32" xfId="58369"/>
    <cellStyle name="Normal 12 3 3 2 33" xfId="60121"/>
    <cellStyle name="Normal 12 3 3 2 34" xfId="61873"/>
    <cellStyle name="Normal 12 3 3 2 4" xfId="7565"/>
    <cellStyle name="Normal 12 3 3 2 5" xfId="9317"/>
    <cellStyle name="Normal 12 3 3 2 6" xfId="11070"/>
    <cellStyle name="Normal 12 3 3 2 7" xfId="12822"/>
    <cellStyle name="Normal 12 3 3 2 8" xfId="14574"/>
    <cellStyle name="Normal 12 3 3 2 9" xfId="16326"/>
    <cellStyle name="Normal 12 3 3 20" xfId="32974"/>
    <cellStyle name="Normal 12 3 3 21" xfId="34232"/>
    <cellStyle name="Normal 12 3 3 22" xfId="35610"/>
    <cellStyle name="Normal 12 3 3 23" xfId="36853"/>
    <cellStyle name="Normal 12 3 3 24" xfId="39103"/>
    <cellStyle name="Normal 12 3 3 25" xfId="40858"/>
    <cellStyle name="Normal 12 3 3 26" xfId="42610"/>
    <cellStyle name="Normal 12 3 3 27" xfId="43853"/>
    <cellStyle name="Normal 12 3 3 28" xfId="45228"/>
    <cellStyle name="Normal 12 3 3 29" xfId="46980"/>
    <cellStyle name="Normal 12 3 3 3" xfId="3185"/>
    <cellStyle name="Normal 12 3 3 30" xfId="48732"/>
    <cellStyle name="Normal 12 3 3 31" xfId="50484"/>
    <cellStyle name="Normal 12 3 3 32" xfId="52236"/>
    <cellStyle name="Normal 12 3 3 33" xfId="53988"/>
    <cellStyle name="Normal 12 3 3 34" xfId="55740"/>
    <cellStyle name="Normal 12 3 3 35" xfId="57493"/>
    <cellStyle name="Normal 12 3 3 36" xfId="59245"/>
    <cellStyle name="Normal 12 3 3 37" xfId="60997"/>
    <cellStyle name="Normal 12 3 3 38" xfId="62240"/>
    <cellStyle name="Normal 12 3 3 39" xfId="63106"/>
    <cellStyle name="Normal 12 3 3 4" xfId="4937"/>
    <cellStyle name="Normal 12 3 3 5" xfId="6689"/>
    <cellStyle name="Normal 12 3 3 6" xfId="8441"/>
    <cellStyle name="Normal 12 3 3 7" xfId="10194"/>
    <cellStyle name="Normal 12 3 3 8" xfId="11946"/>
    <cellStyle name="Normal 12 3 3 9" xfId="13698"/>
    <cellStyle name="Normal 12 3 30" xfId="44792"/>
    <cellStyle name="Normal 12 3 31" xfId="46544"/>
    <cellStyle name="Normal 12 3 32" xfId="48296"/>
    <cellStyle name="Normal 12 3 33" xfId="50048"/>
    <cellStyle name="Normal 12 3 34" xfId="51800"/>
    <cellStyle name="Normal 12 3 35" xfId="53552"/>
    <cellStyle name="Normal 12 3 36" xfId="55304"/>
    <cellStyle name="Normal 12 3 37" xfId="57057"/>
    <cellStyle name="Normal 12 3 38" xfId="58809"/>
    <cellStyle name="Normal 12 3 39" xfId="60561"/>
    <cellStyle name="Normal 12 3 4" xfId="504"/>
    <cellStyle name="Normal 12 3 4 10" xfId="17643"/>
    <cellStyle name="Normal 12 3 4 11" xfId="19395"/>
    <cellStyle name="Normal 12 3 4 12" xfId="21148"/>
    <cellStyle name="Normal 12 3 4 13" xfId="22900"/>
    <cellStyle name="Normal 12 3 4 14" xfId="24652"/>
    <cellStyle name="Normal 12 3 4 15" xfId="26404"/>
    <cellStyle name="Normal 12 3 4 16" xfId="28156"/>
    <cellStyle name="Normal 12 3 4 17" xfId="29909"/>
    <cellStyle name="Normal 12 3 4 18" xfId="31661"/>
    <cellStyle name="Normal 12 3 4 19" xfId="33414"/>
    <cellStyle name="Normal 12 3 4 2" xfId="3625"/>
    <cellStyle name="Normal 12 3 4 20" xfId="36050"/>
    <cellStyle name="Normal 12 3 4 21" xfId="37790"/>
    <cellStyle name="Normal 12 3 4 22" xfId="39543"/>
    <cellStyle name="Normal 12 3 4 23" xfId="41298"/>
    <cellStyle name="Normal 12 3 4 24" xfId="43050"/>
    <cellStyle name="Normal 12 3 4 25" xfId="45668"/>
    <cellStyle name="Normal 12 3 4 26" xfId="47420"/>
    <cellStyle name="Normal 12 3 4 27" xfId="49172"/>
    <cellStyle name="Normal 12 3 4 28" xfId="50924"/>
    <cellStyle name="Normal 12 3 4 29" xfId="52676"/>
    <cellStyle name="Normal 12 3 4 3" xfId="5377"/>
    <cellStyle name="Normal 12 3 4 30" xfId="54428"/>
    <cellStyle name="Normal 12 3 4 31" xfId="56180"/>
    <cellStyle name="Normal 12 3 4 32" xfId="57933"/>
    <cellStyle name="Normal 12 3 4 33" xfId="59685"/>
    <cellStyle name="Normal 12 3 4 34" xfId="61437"/>
    <cellStyle name="Normal 12 3 4 4" xfId="7129"/>
    <cellStyle name="Normal 12 3 4 5" xfId="8881"/>
    <cellStyle name="Normal 12 3 4 6" xfId="10634"/>
    <cellStyle name="Normal 12 3 4 7" xfId="12386"/>
    <cellStyle name="Normal 12 3 4 8" xfId="14138"/>
    <cellStyle name="Normal 12 3 4 9" xfId="15890"/>
    <cellStyle name="Normal 12 3 40" xfId="62237"/>
    <cellStyle name="Normal 12 3 41" xfId="63103"/>
    <cellStyle name="Normal 12 3 5" xfId="2749"/>
    <cellStyle name="Normal 12 3 6" xfId="4501"/>
    <cellStyle name="Normal 12 3 7" xfId="6253"/>
    <cellStyle name="Normal 12 3 8" xfId="8005"/>
    <cellStyle name="Normal 12 3 9" xfId="9758"/>
    <cellStyle name="Normal 12 30" xfId="42066"/>
    <cellStyle name="Normal 12 31" xfId="43841"/>
    <cellStyle name="Normal 12 32" xfId="44684"/>
    <cellStyle name="Normal 12 33" xfId="46436"/>
    <cellStyle name="Normal 12 34" xfId="48188"/>
    <cellStyle name="Normal 12 35" xfId="49940"/>
    <cellStyle name="Normal 12 36" xfId="51692"/>
    <cellStyle name="Normal 12 37" xfId="53444"/>
    <cellStyle name="Normal 12 38" xfId="55196"/>
    <cellStyle name="Normal 12 39" xfId="56949"/>
    <cellStyle name="Normal 12 4" xfId="505"/>
    <cellStyle name="Normal 12 4 10" xfId="13373"/>
    <cellStyle name="Normal 12 4 11" xfId="15125"/>
    <cellStyle name="Normal 12 4 12" xfId="16878"/>
    <cellStyle name="Normal 12 4 13" xfId="18630"/>
    <cellStyle name="Normal 12 4 14" xfId="20383"/>
    <cellStyle name="Normal 12 4 15" xfId="22135"/>
    <cellStyle name="Normal 12 4 16" xfId="23887"/>
    <cellStyle name="Normal 12 4 17" xfId="25639"/>
    <cellStyle name="Normal 12 4 18" xfId="27391"/>
    <cellStyle name="Normal 12 4 19" xfId="29144"/>
    <cellStyle name="Normal 12 4 2" xfId="506"/>
    <cellStyle name="Normal 12 4 2 10" xfId="15561"/>
    <cellStyle name="Normal 12 4 2 11" xfId="17314"/>
    <cellStyle name="Normal 12 4 2 12" xfId="19066"/>
    <cellStyle name="Normal 12 4 2 13" xfId="20819"/>
    <cellStyle name="Normal 12 4 2 14" xfId="22571"/>
    <cellStyle name="Normal 12 4 2 15" xfId="24323"/>
    <cellStyle name="Normal 12 4 2 16" xfId="26075"/>
    <cellStyle name="Normal 12 4 2 17" xfId="27827"/>
    <cellStyle name="Normal 12 4 2 18" xfId="29580"/>
    <cellStyle name="Normal 12 4 2 19" xfId="31332"/>
    <cellStyle name="Normal 12 4 2 2" xfId="507"/>
    <cellStyle name="Normal 12 4 2 2 10" xfId="18190"/>
    <cellStyle name="Normal 12 4 2 2 11" xfId="19942"/>
    <cellStyle name="Normal 12 4 2 2 12" xfId="21695"/>
    <cellStyle name="Normal 12 4 2 2 13" xfId="23447"/>
    <cellStyle name="Normal 12 4 2 2 14" xfId="25199"/>
    <cellStyle name="Normal 12 4 2 2 15" xfId="26951"/>
    <cellStyle name="Normal 12 4 2 2 16" xfId="28703"/>
    <cellStyle name="Normal 12 4 2 2 17" xfId="30456"/>
    <cellStyle name="Normal 12 4 2 2 18" xfId="32208"/>
    <cellStyle name="Normal 12 4 2 2 19" xfId="33961"/>
    <cellStyle name="Normal 12 4 2 2 2" xfId="4172"/>
    <cellStyle name="Normal 12 4 2 2 20" xfId="36597"/>
    <cellStyle name="Normal 12 4 2 2 21" xfId="38337"/>
    <cellStyle name="Normal 12 4 2 2 22" xfId="40090"/>
    <cellStyle name="Normal 12 4 2 2 23" xfId="41845"/>
    <cellStyle name="Normal 12 4 2 2 24" xfId="43597"/>
    <cellStyle name="Normal 12 4 2 2 25" xfId="46215"/>
    <cellStyle name="Normal 12 4 2 2 26" xfId="47967"/>
    <cellStyle name="Normal 12 4 2 2 27" xfId="49719"/>
    <cellStyle name="Normal 12 4 2 2 28" xfId="51471"/>
    <cellStyle name="Normal 12 4 2 2 29" xfId="53223"/>
    <cellStyle name="Normal 12 4 2 2 3" xfId="5924"/>
    <cellStyle name="Normal 12 4 2 2 30" xfId="54975"/>
    <cellStyle name="Normal 12 4 2 2 31" xfId="56727"/>
    <cellStyle name="Normal 12 4 2 2 32" xfId="58480"/>
    <cellStyle name="Normal 12 4 2 2 33" xfId="60232"/>
    <cellStyle name="Normal 12 4 2 2 34" xfId="61984"/>
    <cellStyle name="Normal 12 4 2 2 4" xfId="7676"/>
    <cellStyle name="Normal 12 4 2 2 5" xfId="9428"/>
    <cellStyle name="Normal 12 4 2 2 6" xfId="11181"/>
    <cellStyle name="Normal 12 4 2 2 7" xfId="12933"/>
    <cellStyle name="Normal 12 4 2 2 8" xfId="14685"/>
    <cellStyle name="Normal 12 4 2 2 9" xfId="16437"/>
    <cellStyle name="Normal 12 4 2 20" xfId="33085"/>
    <cellStyle name="Normal 12 4 2 21" xfId="34234"/>
    <cellStyle name="Normal 12 4 2 22" xfId="35721"/>
    <cellStyle name="Normal 12 4 2 23" xfId="36855"/>
    <cellStyle name="Normal 12 4 2 24" xfId="39214"/>
    <cellStyle name="Normal 12 4 2 25" xfId="40969"/>
    <cellStyle name="Normal 12 4 2 26" xfId="42721"/>
    <cellStyle name="Normal 12 4 2 27" xfId="43855"/>
    <cellStyle name="Normal 12 4 2 28" xfId="45339"/>
    <cellStyle name="Normal 12 4 2 29" xfId="47091"/>
    <cellStyle name="Normal 12 4 2 3" xfId="3296"/>
    <cellStyle name="Normal 12 4 2 30" xfId="48843"/>
    <cellStyle name="Normal 12 4 2 31" xfId="50595"/>
    <cellStyle name="Normal 12 4 2 32" xfId="52347"/>
    <cellStyle name="Normal 12 4 2 33" xfId="54099"/>
    <cellStyle name="Normal 12 4 2 34" xfId="55851"/>
    <cellStyle name="Normal 12 4 2 35" xfId="57604"/>
    <cellStyle name="Normal 12 4 2 36" xfId="59356"/>
    <cellStyle name="Normal 12 4 2 37" xfId="61108"/>
    <cellStyle name="Normal 12 4 2 38" xfId="62242"/>
    <cellStyle name="Normal 12 4 2 39" xfId="63108"/>
    <cellStyle name="Normal 12 4 2 4" xfId="5048"/>
    <cellStyle name="Normal 12 4 2 5" xfId="6800"/>
    <cellStyle name="Normal 12 4 2 6" xfId="8552"/>
    <cellStyle name="Normal 12 4 2 7" xfId="10305"/>
    <cellStyle name="Normal 12 4 2 8" xfId="12057"/>
    <cellStyle name="Normal 12 4 2 9" xfId="13809"/>
    <cellStyle name="Normal 12 4 20" xfId="30896"/>
    <cellStyle name="Normal 12 4 21" xfId="32649"/>
    <cellStyle name="Normal 12 4 22" xfId="34233"/>
    <cellStyle name="Normal 12 4 23" xfId="35285"/>
    <cellStyle name="Normal 12 4 24" xfId="36854"/>
    <cellStyle name="Normal 12 4 25" xfId="38778"/>
    <cellStyle name="Normal 12 4 26" xfId="40533"/>
    <cellStyle name="Normal 12 4 27" xfId="42285"/>
    <cellStyle name="Normal 12 4 28" xfId="43854"/>
    <cellStyle name="Normal 12 4 29" xfId="44903"/>
    <cellStyle name="Normal 12 4 3" xfId="508"/>
    <cellStyle name="Normal 12 4 3 10" xfId="17754"/>
    <cellStyle name="Normal 12 4 3 11" xfId="19506"/>
    <cellStyle name="Normal 12 4 3 12" xfId="21259"/>
    <cellStyle name="Normal 12 4 3 13" xfId="23011"/>
    <cellStyle name="Normal 12 4 3 14" xfId="24763"/>
    <cellStyle name="Normal 12 4 3 15" xfId="26515"/>
    <cellStyle name="Normal 12 4 3 16" xfId="28267"/>
    <cellStyle name="Normal 12 4 3 17" xfId="30020"/>
    <cellStyle name="Normal 12 4 3 18" xfId="31772"/>
    <cellStyle name="Normal 12 4 3 19" xfId="33525"/>
    <cellStyle name="Normal 12 4 3 2" xfId="3736"/>
    <cellStyle name="Normal 12 4 3 20" xfId="36161"/>
    <cellStyle name="Normal 12 4 3 21" xfId="37901"/>
    <cellStyle name="Normal 12 4 3 22" xfId="39654"/>
    <cellStyle name="Normal 12 4 3 23" xfId="41409"/>
    <cellStyle name="Normal 12 4 3 24" xfId="43161"/>
    <cellStyle name="Normal 12 4 3 25" xfId="45779"/>
    <cellStyle name="Normal 12 4 3 26" xfId="47531"/>
    <cellStyle name="Normal 12 4 3 27" xfId="49283"/>
    <cellStyle name="Normal 12 4 3 28" xfId="51035"/>
    <cellStyle name="Normal 12 4 3 29" xfId="52787"/>
    <cellStyle name="Normal 12 4 3 3" xfId="5488"/>
    <cellStyle name="Normal 12 4 3 30" xfId="54539"/>
    <cellStyle name="Normal 12 4 3 31" xfId="56291"/>
    <cellStyle name="Normal 12 4 3 32" xfId="58044"/>
    <cellStyle name="Normal 12 4 3 33" xfId="59796"/>
    <cellStyle name="Normal 12 4 3 34" xfId="61548"/>
    <cellStyle name="Normal 12 4 3 4" xfId="7240"/>
    <cellStyle name="Normal 12 4 3 5" xfId="8992"/>
    <cellStyle name="Normal 12 4 3 6" xfId="10745"/>
    <cellStyle name="Normal 12 4 3 7" xfId="12497"/>
    <cellStyle name="Normal 12 4 3 8" xfId="14249"/>
    <cellStyle name="Normal 12 4 3 9" xfId="16001"/>
    <cellStyle name="Normal 12 4 30" xfId="46655"/>
    <cellStyle name="Normal 12 4 31" xfId="48407"/>
    <cellStyle name="Normal 12 4 32" xfId="50159"/>
    <cellStyle name="Normal 12 4 33" xfId="51911"/>
    <cellStyle name="Normal 12 4 34" xfId="53663"/>
    <cellStyle name="Normal 12 4 35" xfId="55415"/>
    <cellStyle name="Normal 12 4 36" xfId="57168"/>
    <cellStyle name="Normal 12 4 37" xfId="58920"/>
    <cellStyle name="Normal 12 4 38" xfId="60672"/>
    <cellStyle name="Normal 12 4 39" xfId="62241"/>
    <cellStyle name="Normal 12 4 4" xfId="2860"/>
    <cellStyle name="Normal 12 4 40" xfId="63107"/>
    <cellStyle name="Normal 12 4 5" xfId="4612"/>
    <cellStyle name="Normal 12 4 6" xfId="6364"/>
    <cellStyle name="Normal 12 4 7" xfId="8116"/>
    <cellStyle name="Normal 12 4 8" xfId="9869"/>
    <cellStyle name="Normal 12 4 9" xfId="11621"/>
    <cellStyle name="Normal 12 40" xfId="58701"/>
    <cellStyle name="Normal 12 41" xfId="60453"/>
    <cellStyle name="Normal 12 42" xfId="62228"/>
    <cellStyle name="Normal 12 43" xfId="63094"/>
    <cellStyle name="Normal 12 5" xfId="509"/>
    <cellStyle name="Normal 12 5 10" xfId="15342"/>
    <cellStyle name="Normal 12 5 11" xfId="17095"/>
    <cellStyle name="Normal 12 5 12" xfId="18847"/>
    <cellStyle name="Normal 12 5 13" xfId="20600"/>
    <cellStyle name="Normal 12 5 14" xfId="22352"/>
    <cellStyle name="Normal 12 5 15" xfId="24104"/>
    <cellStyle name="Normal 12 5 16" xfId="25856"/>
    <cellStyle name="Normal 12 5 17" xfId="27608"/>
    <cellStyle name="Normal 12 5 18" xfId="29361"/>
    <cellStyle name="Normal 12 5 19" xfId="31113"/>
    <cellStyle name="Normal 12 5 2" xfId="510"/>
    <cellStyle name="Normal 12 5 2 10" xfId="17971"/>
    <cellStyle name="Normal 12 5 2 11" xfId="19723"/>
    <cellStyle name="Normal 12 5 2 12" xfId="21476"/>
    <cellStyle name="Normal 12 5 2 13" xfId="23228"/>
    <cellStyle name="Normal 12 5 2 14" xfId="24980"/>
    <cellStyle name="Normal 12 5 2 15" xfId="26732"/>
    <cellStyle name="Normal 12 5 2 16" xfId="28484"/>
    <cellStyle name="Normal 12 5 2 17" xfId="30237"/>
    <cellStyle name="Normal 12 5 2 18" xfId="31989"/>
    <cellStyle name="Normal 12 5 2 19" xfId="33742"/>
    <cellStyle name="Normal 12 5 2 2" xfId="3953"/>
    <cellStyle name="Normal 12 5 2 20" xfId="36378"/>
    <cellStyle name="Normal 12 5 2 21" xfId="38118"/>
    <cellStyle name="Normal 12 5 2 22" xfId="39871"/>
    <cellStyle name="Normal 12 5 2 23" xfId="41626"/>
    <cellStyle name="Normal 12 5 2 24" xfId="43378"/>
    <cellStyle name="Normal 12 5 2 25" xfId="45996"/>
    <cellStyle name="Normal 12 5 2 26" xfId="47748"/>
    <cellStyle name="Normal 12 5 2 27" xfId="49500"/>
    <cellStyle name="Normal 12 5 2 28" xfId="51252"/>
    <cellStyle name="Normal 12 5 2 29" xfId="53004"/>
    <cellStyle name="Normal 12 5 2 3" xfId="5705"/>
    <cellStyle name="Normal 12 5 2 30" xfId="54756"/>
    <cellStyle name="Normal 12 5 2 31" xfId="56508"/>
    <cellStyle name="Normal 12 5 2 32" xfId="58261"/>
    <cellStyle name="Normal 12 5 2 33" xfId="60013"/>
    <cellStyle name="Normal 12 5 2 34" xfId="61765"/>
    <cellStyle name="Normal 12 5 2 4" xfId="7457"/>
    <cellStyle name="Normal 12 5 2 5" xfId="9209"/>
    <cellStyle name="Normal 12 5 2 6" xfId="10962"/>
    <cellStyle name="Normal 12 5 2 7" xfId="12714"/>
    <cellStyle name="Normal 12 5 2 8" xfId="14466"/>
    <cellStyle name="Normal 12 5 2 9" xfId="16218"/>
    <cellStyle name="Normal 12 5 20" xfId="32866"/>
    <cellStyle name="Normal 12 5 21" xfId="34235"/>
    <cellStyle name="Normal 12 5 22" xfId="35502"/>
    <cellStyle name="Normal 12 5 23" xfId="36856"/>
    <cellStyle name="Normal 12 5 24" xfId="38995"/>
    <cellStyle name="Normal 12 5 25" xfId="40750"/>
    <cellStyle name="Normal 12 5 26" xfId="42502"/>
    <cellStyle name="Normal 12 5 27" xfId="43856"/>
    <cellStyle name="Normal 12 5 28" xfId="45120"/>
    <cellStyle name="Normal 12 5 29" xfId="46872"/>
    <cellStyle name="Normal 12 5 3" xfId="3077"/>
    <cellStyle name="Normal 12 5 30" xfId="48624"/>
    <cellStyle name="Normal 12 5 31" xfId="50376"/>
    <cellStyle name="Normal 12 5 32" xfId="52128"/>
    <cellStyle name="Normal 12 5 33" xfId="53880"/>
    <cellStyle name="Normal 12 5 34" xfId="55632"/>
    <cellStyle name="Normal 12 5 35" xfId="57385"/>
    <cellStyle name="Normal 12 5 36" xfId="59137"/>
    <cellStyle name="Normal 12 5 37" xfId="60889"/>
    <cellStyle name="Normal 12 5 38" xfId="62243"/>
    <cellStyle name="Normal 12 5 39" xfId="63109"/>
    <cellStyle name="Normal 12 5 4" xfId="4829"/>
    <cellStyle name="Normal 12 5 5" xfId="6581"/>
    <cellStyle name="Normal 12 5 6" xfId="8333"/>
    <cellStyle name="Normal 12 5 7" xfId="10086"/>
    <cellStyle name="Normal 12 5 8" xfId="11838"/>
    <cellStyle name="Normal 12 5 9" xfId="13590"/>
    <cellStyle name="Normal 12 6" xfId="511"/>
    <cellStyle name="Normal 12 6 10" xfId="17535"/>
    <cellStyle name="Normal 12 6 11" xfId="19287"/>
    <cellStyle name="Normal 12 6 12" xfId="21040"/>
    <cellStyle name="Normal 12 6 13" xfId="22792"/>
    <cellStyle name="Normal 12 6 14" xfId="24544"/>
    <cellStyle name="Normal 12 6 15" xfId="26296"/>
    <cellStyle name="Normal 12 6 16" xfId="28048"/>
    <cellStyle name="Normal 12 6 17" xfId="29801"/>
    <cellStyle name="Normal 12 6 18" xfId="31553"/>
    <cellStyle name="Normal 12 6 19" xfId="33306"/>
    <cellStyle name="Normal 12 6 2" xfId="3517"/>
    <cellStyle name="Normal 12 6 20" xfId="35942"/>
    <cellStyle name="Normal 12 6 21" xfId="37732"/>
    <cellStyle name="Normal 12 6 22" xfId="39435"/>
    <cellStyle name="Normal 12 6 23" xfId="41190"/>
    <cellStyle name="Normal 12 6 24" xfId="42942"/>
    <cellStyle name="Normal 12 6 25" xfId="45560"/>
    <cellStyle name="Normal 12 6 26" xfId="47312"/>
    <cellStyle name="Normal 12 6 27" xfId="49064"/>
    <cellStyle name="Normal 12 6 28" xfId="50816"/>
    <cellStyle name="Normal 12 6 29" xfId="52568"/>
    <cellStyle name="Normal 12 6 3" xfId="5269"/>
    <cellStyle name="Normal 12 6 30" xfId="54320"/>
    <cellStyle name="Normal 12 6 31" xfId="56072"/>
    <cellStyle name="Normal 12 6 32" xfId="57825"/>
    <cellStyle name="Normal 12 6 33" xfId="59577"/>
    <cellStyle name="Normal 12 6 34" xfId="61329"/>
    <cellStyle name="Normal 12 6 4" xfId="7021"/>
    <cellStyle name="Normal 12 6 5" xfId="8773"/>
    <cellStyle name="Normal 12 6 6" xfId="10526"/>
    <cellStyle name="Normal 12 6 7" xfId="12278"/>
    <cellStyle name="Normal 12 6 8" xfId="14030"/>
    <cellStyle name="Normal 12 6 9" xfId="15782"/>
    <cellStyle name="Normal 12 7" xfId="2469"/>
    <cellStyle name="Normal 12 8" xfId="4393"/>
    <cellStyle name="Normal 12 9" xfId="6145"/>
    <cellStyle name="Normal 120" xfId="512"/>
    <cellStyle name="Normal 120 2" xfId="513"/>
    <cellStyle name="Normal 121" xfId="514"/>
    <cellStyle name="Normal 121 2" xfId="515"/>
    <cellStyle name="Normal 122" xfId="516"/>
    <cellStyle name="Normal 122 2" xfId="517"/>
    <cellStyle name="Normal 123" xfId="518"/>
    <cellStyle name="Normal 123 2" xfId="519"/>
    <cellStyle name="Normal 124" xfId="520"/>
    <cellStyle name="Normal 124 2" xfId="521"/>
    <cellStyle name="Normal 125" xfId="522"/>
    <cellStyle name="Normal 125 2" xfId="523"/>
    <cellStyle name="Normal 126" xfId="524"/>
    <cellStyle name="Normal 126 2" xfId="525"/>
    <cellStyle name="Normal 127" xfId="526"/>
    <cellStyle name="Normal 127 2" xfId="527"/>
    <cellStyle name="Normal 128" xfId="528"/>
    <cellStyle name="Normal 128 2" xfId="529"/>
    <cellStyle name="Normal 129" xfId="530"/>
    <cellStyle name="Normal 129 2" xfId="531"/>
    <cellStyle name="Normal 13" xfId="532"/>
    <cellStyle name="Normal 13 10" xfId="7898"/>
    <cellStyle name="Normal 13 11" xfId="9651"/>
    <cellStyle name="Normal 13 12" xfId="11403"/>
    <cellStyle name="Normal 13 13" xfId="13155"/>
    <cellStyle name="Normal 13 14" xfId="14907"/>
    <cellStyle name="Normal 13 15" xfId="16660"/>
    <cellStyle name="Normal 13 16" xfId="18412"/>
    <cellStyle name="Normal 13 17" xfId="20165"/>
    <cellStyle name="Normal 13 18" xfId="21917"/>
    <cellStyle name="Normal 13 19" xfId="23669"/>
    <cellStyle name="Normal 13 2" xfId="533"/>
    <cellStyle name="Normal 13 2 10" xfId="9706"/>
    <cellStyle name="Normal 13 2 11" xfId="11458"/>
    <cellStyle name="Normal 13 2 12" xfId="13210"/>
    <cellStyle name="Normal 13 2 13" xfId="14962"/>
    <cellStyle name="Normal 13 2 14" xfId="16715"/>
    <cellStyle name="Normal 13 2 15" xfId="18467"/>
    <cellStyle name="Normal 13 2 16" xfId="20220"/>
    <cellStyle name="Normal 13 2 17" xfId="21972"/>
    <cellStyle name="Normal 13 2 18" xfId="23724"/>
    <cellStyle name="Normal 13 2 19" xfId="25476"/>
    <cellStyle name="Normal 13 2 2" xfId="534"/>
    <cellStyle name="Normal 13 2 2 10" xfId="11566"/>
    <cellStyle name="Normal 13 2 2 11" xfId="13318"/>
    <cellStyle name="Normal 13 2 2 12" xfId="15070"/>
    <cellStyle name="Normal 13 2 2 13" xfId="16823"/>
    <cellStyle name="Normal 13 2 2 14" xfId="18575"/>
    <cellStyle name="Normal 13 2 2 15" xfId="20328"/>
    <cellStyle name="Normal 13 2 2 16" xfId="22080"/>
    <cellStyle name="Normal 13 2 2 17" xfId="23832"/>
    <cellStyle name="Normal 13 2 2 18" xfId="25584"/>
    <cellStyle name="Normal 13 2 2 19" xfId="27336"/>
    <cellStyle name="Normal 13 2 2 2" xfId="535"/>
    <cellStyle name="Normal 13 2 2 2 10" xfId="13374"/>
    <cellStyle name="Normal 13 2 2 2 11" xfId="15126"/>
    <cellStyle name="Normal 13 2 2 2 12" xfId="16879"/>
    <cellStyle name="Normal 13 2 2 2 13" xfId="18631"/>
    <cellStyle name="Normal 13 2 2 2 14" xfId="20384"/>
    <cellStyle name="Normal 13 2 2 2 15" xfId="22136"/>
    <cellStyle name="Normal 13 2 2 2 16" xfId="23888"/>
    <cellStyle name="Normal 13 2 2 2 17" xfId="25640"/>
    <cellStyle name="Normal 13 2 2 2 18" xfId="27392"/>
    <cellStyle name="Normal 13 2 2 2 19" xfId="29145"/>
    <cellStyle name="Normal 13 2 2 2 2" xfId="536"/>
    <cellStyle name="Normal 13 2 2 2 2 10" xfId="15562"/>
    <cellStyle name="Normal 13 2 2 2 2 11" xfId="17315"/>
    <cellStyle name="Normal 13 2 2 2 2 12" xfId="19067"/>
    <cellStyle name="Normal 13 2 2 2 2 13" xfId="20820"/>
    <cellStyle name="Normal 13 2 2 2 2 14" xfId="22572"/>
    <cellStyle name="Normal 13 2 2 2 2 15" xfId="24324"/>
    <cellStyle name="Normal 13 2 2 2 2 16" xfId="26076"/>
    <cellStyle name="Normal 13 2 2 2 2 17" xfId="27828"/>
    <cellStyle name="Normal 13 2 2 2 2 18" xfId="29581"/>
    <cellStyle name="Normal 13 2 2 2 2 19" xfId="31333"/>
    <cellStyle name="Normal 13 2 2 2 2 2" xfId="537"/>
    <cellStyle name="Normal 13 2 2 2 2 2 10" xfId="18191"/>
    <cellStyle name="Normal 13 2 2 2 2 2 11" xfId="19943"/>
    <cellStyle name="Normal 13 2 2 2 2 2 12" xfId="21696"/>
    <cellStyle name="Normal 13 2 2 2 2 2 13" xfId="23448"/>
    <cellStyle name="Normal 13 2 2 2 2 2 14" xfId="25200"/>
    <cellStyle name="Normal 13 2 2 2 2 2 15" xfId="26952"/>
    <cellStyle name="Normal 13 2 2 2 2 2 16" xfId="28704"/>
    <cellStyle name="Normal 13 2 2 2 2 2 17" xfId="30457"/>
    <cellStyle name="Normal 13 2 2 2 2 2 18" xfId="32209"/>
    <cellStyle name="Normal 13 2 2 2 2 2 19" xfId="33962"/>
    <cellStyle name="Normal 13 2 2 2 2 2 2" xfId="4173"/>
    <cellStyle name="Normal 13 2 2 2 2 2 20" xfId="36598"/>
    <cellStyle name="Normal 13 2 2 2 2 2 21" xfId="38338"/>
    <cellStyle name="Normal 13 2 2 2 2 2 22" xfId="40091"/>
    <cellStyle name="Normal 13 2 2 2 2 2 23" xfId="41846"/>
    <cellStyle name="Normal 13 2 2 2 2 2 24" xfId="43598"/>
    <cellStyle name="Normal 13 2 2 2 2 2 25" xfId="46216"/>
    <cellStyle name="Normal 13 2 2 2 2 2 26" xfId="47968"/>
    <cellStyle name="Normal 13 2 2 2 2 2 27" xfId="49720"/>
    <cellStyle name="Normal 13 2 2 2 2 2 28" xfId="51472"/>
    <cellStyle name="Normal 13 2 2 2 2 2 29" xfId="53224"/>
    <cellStyle name="Normal 13 2 2 2 2 2 3" xfId="5925"/>
    <cellStyle name="Normal 13 2 2 2 2 2 30" xfId="54976"/>
    <cellStyle name="Normal 13 2 2 2 2 2 31" xfId="56728"/>
    <cellStyle name="Normal 13 2 2 2 2 2 32" xfId="58481"/>
    <cellStyle name="Normal 13 2 2 2 2 2 33" xfId="60233"/>
    <cellStyle name="Normal 13 2 2 2 2 2 34" xfId="61985"/>
    <cellStyle name="Normal 13 2 2 2 2 2 4" xfId="7677"/>
    <cellStyle name="Normal 13 2 2 2 2 2 5" xfId="9429"/>
    <cellStyle name="Normal 13 2 2 2 2 2 6" xfId="11182"/>
    <cellStyle name="Normal 13 2 2 2 2 2 7" xfId="12934"/>
    <cellStyle name="Normal 13 2 2 2 2 2 8" xfId="14686"/>
    <cellStyle name="Normal 13 2 2 2 2 2 9" xfId="16438"/>
    <cellStyle name="Normal 13 2 2 2 2 20" xfId="33086"/>
    <cellStyle name="Normal 13 2 2 2 2 21" xfId="34240"/>
    <cellStyle name="Normal 13 2 2 2 2 22" xfId="35722"/>
    <cellStyle name="Normal 13 2 2 2 2 23" xfId="36861"/>
    <cellStyle name="Normal 13 2 2 2 2 24" xfId="39215"/>
    <cellStyle name="Normal 13 2 2 2 2 25" xfId="40970"/>
    <cellStyle name="Normal 13 2 2 2 2 26" xfId="42722"/>
    <cellStyle name="Normal 13 2 2 2 2 27" xfId="43861"/>
    <cellStyle name="Normal 13 2 2 2 2 28" xfId="45340"/>
    <cellStyle name="Normal 13 2 2 2 2 29" xfId="47092"/>
    <cellStyle name="Normal 13 2 2 2 2 3" xfId="3297"/>
    <cellStyle name="Normal 13 2 2 2 2 30" xfId="48844"/>
    <cellStyle name="Normal 13 2 2 2 2 31" xfId="50596"/>
    <cellStyle name="Normal 13 2 2 2 2 32" xfId="52348"/>
    <cellStyle name="Normal 13 2 2 2 2 33" xfId="54100"/>
    <cellStyle name="Normal 13 2 2 2 2 34" xfId="55852"/>
    <cellStyle name="Normal 13 2 2 2 2 35" xfId="57605"/>
    <cellStyle name="Normal 13 2 2 2 2 36" xfId="59357"/>
    <cellStyle name="Normal 13 2 2 2 2 37" xfId="61109"/>
    <cellStyle name="Normal 13 2 2 2 2 38" xfId="62248"/>
    <cellStyle name="Normal 13 2 2 2 2 39" xfId="63114"/>
    <cellStyle name="Normal 13 2 2 2 2 4" xfId="5049"/>
    <cellStyle name="Normal 13 2 2 2 2 5" xfId="6801"/>
    <cellStyle name="Normal 13 2 2 2 2 6" xfId="8553"/>
    <cellStyle name="Normal 13 2 2 2 2 7" xfId="10306"/>
    <cellStyle name="Normal 13 2 2 2 2 8" xfId="12058"/>
    <cellStyle name="Normal 13 2 2 2 2 9" xfId="13810"/>
    <cellStyle name="Normal 13 2 2 2 20" xfId="30897"/>
    <cellStyle name="Normal 13 2 2 2 21" xfId="32650"/>
    <cellStyle name="Normal 13 2 2 2 22" xfId="34239"/>
    <cellStyle name="Normal 13 2 2 2 23" xfId="35286"/>
    <cellStyle name="Normal 13 2 2 2 24" xfId="36860"/>
    <cellStyle name="Normal 13 2 2 2 25" xfId="38779"/>
    <cellStyle name="Normal 13 2 2 2 26" xfId="40534"/>
    <cellStyle name="Normal 13 2 2 2 27" xfId="42286"/>
    <cellStyle name="Normal 13 2 2 2 28" xfId="43860"/>
    <cellStyle name="Normal 13 2 2 2 29" xfId="44904"/>
    <cellStyle name="Normal 13 2 2 2 3" xfId="538"/>
    <cellStyle name="Normal 13 2 2 2 3 10" xfId="17755"/>
    <cellStyle name="Normal 13 2 2 2 3 11" xfId="19507"/>
    <cellStyle name="Normal 13 2 2 2 3 12" xfId="21260"/>
    <cellStyle name="Normal 13 2 2 2 3 13" xfId="23012"/>
    <cellStyle name="Normal 13 2 2 2 3 14" xfId="24764"/>
    <cellStyle name="Normal 13 2 2 2 3 15" xfId="26516"/>
    <cellStyle name="Normal 13 2 2 2 3 16" xfId="28268"/>
    <cellStyle name="Normal 13 2 2 2 3 17" xfId="30021"/>
    <cellStyle name="Normal 13 2 2 2 3 18" xfId="31773"/>
    <cellStyle name="Normal 13 2 2 2 3 19" xfId="33526"/>
    <cellStyle name="Normal 13 2 2 2 3 2" xfId="3737"/>
    <cellStyle name="Normal 13 2 2 2 3 20" xfId="36162"/>
    <cellStyle name="Normal 13 2 2 2 3 21" xfId="37902"/>
    <cellStyle name="Normal 13 2 2 2 3 22" xfId="39655"/>
    <cellStyle name="Normal 13 2 2 2 3 23" xfId="41410"/>
    <cellStyle name="Normal 13 2 2 2 3 24" xfId="43162"/>
    <cellStyle name="Normal 13 2 2 2 3 25" xfId="45780"/>
    <cellStyle name="Normal 13 2 2 2 3 26" xfId="47532"/>
    <cellStyle name="Normal 13 2 2 2 3 27" xfId="49284"/>
    <cellStyle name="Normal 13 2 2 2 3 28" xfId="51036"/>
    <cellStyle name="Normal 13 2 2 2 3 29" xfId="52788"/>
    <cellStyle name="Normal 13 2 2 2 3 3" xfId="5489"/>
    <cellStyle name="Normal 13 2 2 2 3 30" xfId="54540"/>
    <cellStyle name="Normal 13 2 2 2 3 31" xfId="56292"/>
    <cellStyle name="Normal 13 2 2 2 3 32" xfId="58045"/>
    <cellStyle name="Normal 13 2 2 2 3 33" xfId="59797"/>
    <cellStyle name="Normal 13 2 2 2 3 34" xfId="61549"/>
    <cellStyle name="Normal 13 2 2 2 3 4" xfId="7241"/>
    <cellStyle name="Normal 13 2 2 2 3 5" xfId="8993"/>
    <cellStyle name="Normal 13 2 2 2 3 6" xfId="10746"/>
    <cellStyle name="Normal 13 2 2 2 3 7" xfId="12498"/>
    <cellStyle name="Normal 13 2 2 2 3 8" xfId="14250"/>
    <cellStyle name="Normal 13 2 2 2 3 9" xfId="16002"/>
    <cellStyle name="Normal 13 2 2 2 30" xfId="46656"/>
    <cellStyle name="Normal 13 2 2 2 31" xfId="48408"/>
    <cellStyle name="Normal 13 2 2 2 32" xfId="50160"/>
    <cellStyle name="Normal 13 2 2 2 33" xfId="51912"/>
    <cellStyle name="Normal 13 2 2 2 34" xfId="53664"/>
    <cellStyle name="Normal 13 2 2 2 35" xfId="55416"/>
    <cellStyle name="Normal 13 2 2 2 36" xfId="57169"/>
    <cellStyle name="Normal 13 2 2 2 37" xfId="58921"/>
    <cellStyle name="Normal 13 2 2 2 38" xfId="60673"/>
    <cellStyle name="Normal 13 2 2 2 39" xfId="62247"/>
    <cellStyle name="Normal 13 2 2 2 4" xfId="2861"/>
    <cellStyle name="Normal 13 2 2 2 40" xfId="63113"/>
    <cellStyle name="Normal 13 2 2 2 5" xfId="4613"/>
    <cellStyle name="Normal 13 2 2 2 6" xfId="6365"/>
    <cellStyle name="Normal 13 2 2 2 7" xfId="8117"/>
    <cellStyle name="Normal 13 2 2 2 8" xfId="9870"/>
    <cellStyle name="Normal 13 2 2 2 9" xfId="11622"/>
    <cellStyle name="Normal 13 2 2 20" xfId="29089"/>
    <cellStyle name="Normal 13 2 2 21" xfId="30841"/>
    <cellStyle name="Normal 13 2 2 22" xfId="32594"/>
    <cellStyle name="Normal 13 2 2 23" xfId="34238"/>
    <cellStyle name="Normal 13 2 2 24" xfId="35230"/>
    <cellStyle name="Normal 13 2 2 25" xfId="36859"/>
    <cellStyle name="Normal 13 2 2 26" xfId="38723"/>
    <cellStyle name="Normal 13 2 2 27" xfId="40478"/>
    <cellStyle name="Normal 13 2 2 28" xfId="42230"/>
    <cellStyle name="Normal 13 2 2 29" xfId="43859"/>
    <cellStyle name="Normal 13 2 2 3" xfId="539"/>
    <cellStyle name="Normal 13 2 2 3 10" xfId="15506"/>
    <cellStyle name="Normal 13 2 2 3 11" xfId="17259"/>
    <cellStyle name="Normal 13 2 2 3 12" xfId="19011"/>
    <cellStyle name="Normal 13 2 2 3 13" xfId="20764"/>
    <cellStyle name="Normal 13 2 2 3 14" xfId="22516"/>
    <cellStyle name="Normal 13 2 2 3 15" xfId="24268"/>
    <cellStyle name="Normal 13 2 2 3 16" xfId="26020"/>
    <cellStyle name="Normal 13 2 2 3 17" xfId="27772"/>
    <cellStyle name="Normal 13 2 2 3 18" xfId="29525"/>
    <cellStyle name="Normal 13 2 2 3 19" xfId="31277"/>
    <cellStyle name="Normal 13 2 2 3 2" xfId="540"/>
    <cellStyle name="Normal 13 2 2 3 2 10" xfId="18135"/>
    <cellStyle name="Normal 13 2 2 3 2 11" xfId="19887"/>
    <cellStyle name="Normal 13 2 2 3 2 12" xfId="21640"/>
    <cellStyle name="Normal 13 2 2 3 2 13" xfId="23392"/>
    <cellStyle name="Normal 13 2 2 3 2 14" xfId="25144"/>
    <cellStyle name="Normal 13 2 2 3 2 15" xfId="26896"/>
    <cellStyle name="Normal 13 2 2 3 2 16" xfId="28648"/>
    <cellStyle name="Normal 13 2 2 3 2 17" xfId="30401"/>
    <cellStyle name="Normal 13 2 2 3 2 18" xfId="32153"/>
    <cellStyle name="Normal 13 2 2 3 2 19" xfId="33906"/>
    <cellStyle name="Normal 13 2 2 3 2 2" xfId="4117"/>
    <cellStyle name="Normal 13 2 2 3 2 20" xfId="36542"/>
    <cellStyle name="Normal 13 2 2 3 2 21" xfId="38282"/>
    <cellStyle name="Normal 13 2 2 3 2 22" xfId="40035"/>
    <cellStyle name="Normal 13 2 2 3 2 23" xfId="41790"/>
    <cellStyle name="Normal 13 2 2 3 2 24" xfId="43542"/>
    <cellStyle name="Normal 13 2 2 3 2 25" xfId="46160"/>
    <cellStyle name="Normal 13 2 2 3 2 26" xfId="47912"/>
    <cellStyle name="Normal 13 2 2 3 2 27" xfId="49664"/>
    <cellStyle name="Normal 13 2 2 3 2 28" xfId="51416"/>
    <cellStyle name="Normal 13 2 2 3 2 29" xfId="53168"/>
    <cellStyle name="Normal 13 2 2 3 2 3" xfId="5869"/>
    <cellStyle name="Normal 13 2 2 3 2 30" xfId="54920"/>
    <cellStyle name="Normal 13 2 2 3 2 31" xfId="56672"/>
    <cellStyle name="Normal 13 2 2 3 2 32" xfId="58425"/>
    <cellStyle name="Normal 13 2 2 3 2 33" xfId="60177"/>
    <cellStyle name="Normal 13 2 2 3 2 34" xfId="61929"/>
    <cellStyle name="Normal 13 2 2 3 2 4" xfId="7621"/>
    <cellStyle name="Normal 13 2 2 3 2 5" xfId="9373"/>
    <cellStyle name="Normal 13 2 2 3 2 6" xfId="11126"/>
    <cellStyle name="Normal 13 2 2 3 2 7" xfId="12878"/>
    <cellStyle name="Normal 13 2 2 3 2 8" xfId="14630"/>
    <cellStyle name="Normal 13 2 2 3 2 9" xfId="16382"/>
    <cellStyle name="Normal 13 2 2 3 20" xfId="33030"/>
    <cellStyle name="Normal 13 2 2 3 21" xfId="34241"/>
    <cellStyle name="Normal 13 2 2 3 22" xfId="35666"/>
    <cellStyle name="Normal 13 2 2 3 23" xfId="36862"/>
    <cellStyle name="Normal 13 2 2 3 24" xfId="39159"/>
    <cellStyle name="Normal 13 2 2 3 25" xfId="40914"/>
    <cellStyle name="Normal 13 2 2 3 26" xfId="42666"/>
    <cellStyle name="Normal 13 2 2 3 27" xfId="43862"/>
    <cellStyle name="Normal 13 2 2 3 28" xfId="45284"/>
    <cellStyle name="Normal 13 2 2 3 29" xfId="47036"/>
    <cellStyle name="Normal 13 2 2 3 3" xfId="3241"/>
    <cellStyle name="Normal 13 2 2 3 30" xfId="48788"/>
    <cellStyle name="Normal 13 2 2 3 31" xfId="50540"/>
    <cellStyle name="Normal 13 2 2 3 32" xfId="52292"/>
    <cellStyle name="Normal 13 2 2 3 33" xfId="54044"/>
    <cellStyle name="Normal 13 2 2 3 34" xfId="55796"/>
    <cellStyle name="Normal 13 2 2 3 35" xfId="57549"/>
    <cellStyle name="Normal 13 2 2 3 36" xfId="59301"/>
    <cellStyle name="Normal 13 2 2 3 37" xfId="61053"/>
    <cellStyle name="Normal 13 2 2 3 38" xfId="62249"/>
    <cellStyle name="Normal 13 2 2 3 39" xfId="63115"/>
    <cellStyle name="Normal 13 2 2 3 4" xfId="4993"/>
    <cellStyle name="Normal 13 2 2 3 5" xfId="6745"/>
    <cellStyle name="Normal 13 2 2 3 6" xfId="8497"/>
    <cellStyle name="Normal 13 2 2 3 7" xfId="10250"/>
    <cellStyle name="Normal 13 2 2 3 8" xfId="12002"/>
    <cellStyle name="Normal 13 2 2 3 9" xfId="13754"/>
    <cellStyle name="Normal 13 2 2 30" xfId="44848"/>
    <cellStyle name="Normal 13 2 2 31" xfId="46600"/>
    <cellStyle name="Normal 13 2 2 32" xfId="48352"/>
    <cellStyle name="Normal 13 2 2 33" xfId="50104"/>
    <cellStyle name="Normal 13 2 2 34" xfId="51856"/>
    <cellStyle name="Normal 13 2 2 35" xfId="53608"/>
    <cellStyle name="Normal 13 2 2 36" xfId="55360"/>
    <cellStyle name="Normal 13 2 2 37" xfId="57113"/>
    <cellStyle name="Normal 13 2 2 38" xfId="58865"/>
    <cellStyle name="Normal 13 2 2 39" xfId="60617"/>
    <cellStyle name="Normal 13 2 2 4" xfId="541"/>
    <cellStyle name="Normal 13 2 2 4 10" xfId="17699"/>
    <cellStyle name="Normal 13 2 2 4 11" xfId="19451"/>
    <cellStyle name="Normal 13 2 2 4 12" xfId="21204"/>
    <cellStyle name="Normal 13 2 2 4 13" xfId="22956"/>
    <cellStyle name="Normal 13 2 2 4 14" xfId="24708"/>
    <cellStyle name="Normal 13 2 2 4 15" xfId="26460"/>
    <cellStyle name="Normal 13 2 2 4 16" xfId="28212"/>
    <cellStyle name="Normal 13 2 2 4 17" xfId="29965"/>
    <cellStyle name="Normal 13 2 2 4 18" xfId="31717"/>
    <cellStyle name="Normal 13 2 2 4 19" xfId="33470"/>
    <cellStyle name="Normal 13 2 2 4 2" xfId="3681"/>
    <cellStyle name="Normal 13 2 2 4 20" xfId="36106"/>
    <cellStyle name="Normal 13 2 2 4 21" xfId="37846"/>
    <cellStyle name="Normal 13 2 2 4 22" xfId="39599"/>
    <cellStyle name="Normal 13 2 2 4 23" xfId="41354"/>
    <cellStyle name="Normal 13 2 2 4 24" xfId="43106"/>
    <cellStyle name="Normal 13 2 2 4 25" xfId="45724"/>
    <cellStyle name="Normal 13 2 2 4 26" xfId="47476"/>
    <cellStyle name="Normal 13 2 2 4 27" xfId="49228"/>
    <cellStyle name="Normal 13 2 2 4 28" xfId="50980"/>
    <cellStyle name="Normal 13 2 2 4 29" xfId="52732"/>
    <cellStyle name="Normal 13 2 2 4 3" xfId="5433"/>
    <cellStyle name="Normal 13 2 2 4 30" xfId="54484"/>
    <cellStyle name="Normal 13 2 2 4 31" xfId="56236"/>
    <cellStyle name="Normal 13 2 2 4 32" xfId="57989"/>
    <cellStyle name="Normal 13 2 2 4 33" xfId="59741"/>
    <cellStyle name="Normal 13 2 2 4 34" xfId="61493"/>
    <cellStyle name="Normal 13 2 2 4 4" xfId="7185"/>
    <cellStyle name="Normal 13 2 2 4 5" xfId="8937"/>
    <cellStyle name="Normal 13 2 2 4 6" xfId="10690"/>
    <cellStyle name="Normal 13 2 2 4 7" xfId="12442"/>
    <cellStyle name="Normal 13 2 2 4 8" xfId="14194"/>
    <cellStyle name="Normal 13 2 2 4 9" xfId="15946"/>
    <cellStyle name="Normal 13 2 2 40" xfId="62246"/>
    <cellStyle name="Normal 13 2 2 41" xfId="63112"/>
    <cellStyle name="Normal 13 2 2 5" xfId="2805"/>
    <cellStyle name="Normal 13 2 2 6" xfId="4557"/>
    <cellStyle name="Normal 13 2 2 7" xfId="6309"/>
    <cellStyle name="Normal 13 2 2 8" xfId="8061"/>
    <cellStyle name="Normal 13 2 2 9" xfId="9814"/>
    <cellStyle name="Normal 13 2 20" xfId="27228"/>
    <cellStyle name="Normal 13 2 21" xfId="28981"/>
    <cellStyle name="Normal 13 2 22" xfId="30733"/>
    <cellStyle name="Normal 13 2 23" xfId="32486"/>
    <cellStyle name="Normal 13 2 24" xfId="34237"/>
    <cellStyle name="Normal 13 2 25" xfId="35122"/>
    <cellStyle name="Normal 13 2 26" xfId="36858"/>
    <cellStyle name="Normal 13 2 27" xfId="38615"/>
    <cellStyle name="Normal 13 2 28" xfId="40370"/>
    <cellStyle name="Normal 13 2 29" xfId="42122"/>
    <cellStyle name="Normal 13 2 3" xfId="542"/>
    <cellStyle name="Normal 13 2 3 10" xfId="13375"/>
    <cellStyle name="Normal 13 2 3 11" xfId="15127"/>
    <cellStyle name="Normal 13 2 3 12" xfId="16880"/>
    <cellStyle name="Normal 13 2 3 13" xfId="18632"/>
    <cellStyle name="Normal 13 2 3 14" xfId="20385"/>
    <cellStyle name="Normal 13 2 3 15" xfId="22137"/>
    <cellStyle name="Normal 13 2 3 16" xfId="23889"/>
    <cellStyle name="Normal 13 2 3 17" xfId="25641"/>
    <cellStyle name="Normal 13 2 3 18" xfId="27393"/>
    <cellStyle name="Normal 13 2 3 19" xfId="29146"/>
    <cellStyle name="Normal 13 2 3 2" xfId="543"/>
    <cellStyle name="Normal 13 2 3 2 10" xfId="15563"/>
    <cellStyle name="Normal 13 2 3 2 11" xfId="17316"/>
    <cellStyle name="Normal 13 2 3 2 12" xfId="19068"/>
    <cellStyle name="Normal 13 2 3 2 13" xfId="20821"/>
    <cellStyle name="Normal 13 2 3 2 14" xfId="22573"/>
    <cellStyle name="Normal 13 2 3 2 15" xfId="24325"/>
    <cellStyle name="Normal 13 2 3 2 16" xfId="26077"/>
    <cellStyle name="Normal 13 2 3 2 17" xfId="27829"/>
    <cellStyle name="Normal 13 2 3 2 18" xfId="29582"/>
    <cellStyle name="Normal 13 2 3 2 19" xfId="31334"/>
    <cellStyle name="Normal 13 2 3 2 2" xfId="544"/>
    <cellStyle name="Normal 13 2 3 2 2 10" xfId="18192"/>
    <cellStyle name="Normal 13 2 3 2 2 11" xfId="19944"/>
    <cellStyle name="Normal 13 2 3 2 2 12" xfId="21697"/>
    <cellStyle name="Normal 13 2 3 2 2 13" xfId="23449"/>
    <cellStyle name="Normal 13 2 3 2 2 14" xfId="25201"/>
    <cellStyle name="Normal 13 2 3 2 2 15" xfId="26953"/>
    <cellStyle name="Normal 13 2 3 2 2 16" xfId="28705"/>
    <cellStyle name="Normal 13 2 3 2 2 17" xfId="30458"/>
    <cellStyle name="Normal 13 2 3 2 2 18" xfId="32210"/>
    <cellStyle name="Normal 13 2 3 2 2 19" xfId="33963"/>
    <cellStyle name="Normal 13 2 3 2 2 2" xfId="4174"/>
    <cellStyle name="Normal 13 2 3 2 2 20" xfId="36599"/>
    <cellStyle name="Normal 13 2 3 2 2 21" xfId="38339"/>
    <cellStyle name="Normal 13 2 3 2 2 22" xfId="40092"/>
    <cellStyle name="Normal 13 2 3 2 2 23" xfId="41847"/>
    <cellStyle name="Normal 13 2 3 2 2 24" xfId="43599"/>
    <cellStyle name="Normal 13 2 3 2 2 25" xfId="46217"/>
    <cellStyle name="Normal 13 2 3 2 2 26" xfId="47969"/>
    <cellStyle name="Normal 13 2 3 2 2 27" xfId="49721"/>
    <cellStyle name="Normal 13 2 3 2 2 28" xfId="51473"/>
    <cellStyle name="Normal 13 2 3 2 2 29" xfId="53225"/>
    <cellStyle name="Normal 13 2 3 2 2 3" xfId="5926"/>
    <cellStyle name="Normal 13 2 3 2 2 30" xfId="54977"/>
    <cellStyle name="Normal 13 2 3 2 2 31" xfId="56729"/>
    <cellStyle name="Normal 13 2 3 2 2 32" xfId="58482"/>
    <cellStyle name="Normal 13 2 3 2 2 33" xfId="60234"/>
    <cellStyle name="Normal 13 2 3 2 2 34" xfId="61986"/>
    <cellStyle name="Normal 13 2 3 2 2 4" xfId="7678"/>
    <cellStyle name="Normal 13 2 3 2 2 5" xfId="9430"/>
    <cellStyle name="Normal 13 2 3 2 2 6" xfId="11183"/>
    <cellStyle name="Normal 13 2 3 2 2 7" xfId="12935"/>
    <cellStyle name="Normal 13 2 3 2 2 8" xfId="14687"/>
    <cellStyle name="Normal 13 2 3 2 2 9" xfId="16439"/>
    <cellStyle name="Normal 13 2 3 2 20" xfId="33087"/>
    <cellStyle name="Normal 13 2 3 2 21" xfId="34243"/>
    <cellStyle name="Normal 13 2 3 2 22" xfId="35723"/>
    <cellStyle name="Normal 13 2 3 2 23" xfId="36864"/>
    <cellStyle name="Normal 13 2 3 2 24" xfId="39216"/>
    <cellStyle name="Normal 13 2 3 2 25" xfId="40971"/>
    <cellStyle name="Normal 13 2 3 2 26" xfId="42723"/>
    <cellStyle name="Normal 13 2 3 2 27" xfId="43864"/>
    <cellStyle name="Normal 13 2 3 2 28" xfId="45341"/>
    <cellStyle name="Normal 13 2 3 2 29" xfId="47093"/>
    <cellStyle name="Normal 13 2 3 2 3" xfId="3298"/>
    <cellStyle name="Normal 13 2 3 2 30" xfId="48845"/>
    <cellStyle name="Normal 13 2 3 2 31" xfId="50597"/>
    <cellStyle name="Normal 13 2 3 2 32" xfId="52349"/>
    <cellStyle name="Normal 13 2 3 2 33" xfId="54101"/>
    <cellStyle name="Normal 13 2 3 2 34" xfId="55853"/>
    <cellStyle name="Normal 13 2 3 2 35" xfId="57606"/>
    <cellStyle name="Normal 13 2 3 2 36" xfId="59358"/>
    <cellStyle name="Normal 13 2 3 2 37" xfId="61110"/>
    <cellStyle name="Normal 13 2 3 2 38" xfId="62251"/>
    <cellStyle name="Normal 13 2 3 2 39" xfId="63117"/>
    <cellStyle name="Normal 13 2 3 2 4" xfId="5050"/>
    <cellStyle name="Normal 13 2 3 2 5" xfId="6802"/>
    <cellStyle name="Normal 13 2 3 2 6" xfId="8554"/>
    <cellStyle name="Normal 13 2 3 2 7" xfId="10307"/>
    <cellStyle name="Normal 13 2 3 2 8" xfId="12059"/>
    <cellStyle name="Normal 13 2 3 2 9" xfId="13811"/>
    <cellStyle name="Normal 13 2 3 20" xfId="30898"/>
    <cellStyle name="Normal 13 2 3 21" xfId="32651"/>
    <cellStyle name="Normal 13 2 3 22" xfId="34242"/>
    <cellStyle name="Normal 13 2 3 23" xfId="35287"/>
    <cellStyle name="Normal 13 2 3 24" xfId="36863"/>
    <cellStyle name="Normal 13 2 3 25" xfId="38780"/>
    <cellStyle name="Normal 13 2 3 26" xfId="40535"/>
    <cellStyle name="Normal 13 2 3 27" xfId="42287"/>
    <cellStyle name="Normal 13 2 3 28" xfId="43863"/>
    <cellStyle name="Normal 13 2 3 29" xfId="44905"/>
    <cellStyle name="Normal 13 2 3 3" xfId="545"/>
    <cellStyle name="Normal 13 2 3 3 10" xfId="17756"/>
    <cellStyle name="Normal 13 2 3 3 11" xfId="19508"/>
    <cellStyle name="Normal 13 2 3 3 12" xfId="21261"/>
    <cellStyle name="Normal 13 2 3 3 13" xfId="23013"/>
    <cellStyle name="Normal 13 2 3 3 14" xfId="24765"/>
    <cellStyle name="Normal 13 2 3 3 15" xfId="26517"/>
    <cellStyle name="Normal 13 2 3 3 16" xfId="28269"/>
    <cellStyle name="Normal 13 2 3 3 17" xfId="30022"/>
    <cellStyle name="Normal 13 2 3 3 18" xfId="31774"/>
    <cellStyle name="Normal 13 2 3 3 19" xfId="33527"/>
    <cellStyle name="Normal 13 2 3 3 2" xfId="3738"/>
    <cellStyle name="Normal 13 2 3 3 20" xfId="36163"/>
    <cellStyle name="Normal 13 2 3 3 21" xfId="37903"/>
    <cellStyle name="Normal 13 2 3 3 22" xfId="39656"/>
    <cellStyle name="Normal 13 2 3 3 23" xfId="41411"/>
    <cellStyle name="Normal 13 2 3 3 24" xfId="43163"/>
    <cellStyle name="Normal 13 2 3 3 25" xfId="45781"/>
    <cellStyle name="Normal 13 2 3 3 26" xfId="47533"/>
    <cellStyle name="Normal 13 2 3 3 27" xfId="49285"/>
    <cellStyle name="Normal 13 2 3 3 28" xfId="51037"/>
    <cellStyle name="Normal 13 2 3 3 29" xfId="52789"/>
    <cellStyle name="Normal 13 2 3 3 3" xfId="5490"/>
    <cellStyle name="Normal 13 2 3 3 30" xfId="54541"/>
    <cellStyle name="Normal 13 2 3 3 31" xfId="56293"/>
    <cellStyle name="Normal 13 2 3 3 32" xfId="58046"/>
    <cellStyle name="Normal 13 2 3 3 33" xfId="59798"/>
    <cellStyle name="Normal 13 2 3 3 34" xfId="61550"/>
    <cellStyle name="Normal 13 2 3 3 4" xfId="7242"/>
    <cellStyle name="Normal 13 2 3 3 5" xfId="8994"/>
    <cellStyle name="Normal 13 2 3 3 6" xfId="10747"/>
    <cellStyle name="Normal 13 2 3 3 7" xfId="12499"/>
    <cellStyle name="Normal 13 2 3 3 8" xfId="14251"/>
    <cellStyle name="Normal 13 2 3 3 9" xfId="16003"/>
    <cellStyle name="Normal 13 2 3 30" xfId="46657"/>
    <cellStyle name="Normal 13 2 3 31" xfId="48409"/>
    <cellStyle name="Normal 13 2 3 32" xfId="50161"/>
    <cellStyle name="Normal 13 2 3 33" xfId="51913"/>
    <cellStyle name="Normal 13 2 3 34" xfId="53665"/>
    <cellStyle name="Normal 13 2 3 35" xfId="55417"/>
    <cellStyle name="Normal 13 2 3 36" xfId="57170"/>
    <cellStyle name="Normal 13 2 3 37" xfId="58922"/>
    <cellStyle name="Normal 13 2 3 38" xfId="60674"/>
    <cellStyle name="Normal 13 2 3 39" xfId="62250"/>
    <cellStyle name="Normal 13 2 3 4" xfId="2862"/>
    <cellStyle name="Normal 13 2 3 40" xfId="63116"/>
    <cellStyle name="Normal 13 2 3 5" xfId="4614"/>
    <cellStyle name="Normal 13 2 3 6" xfId="6366"/>
    <cellStyle name="Normal 13 2 3 7" xfId="8118"/>
    <cellStyle name="Normal 13 2 3 8" xfId="9871"/>
    <cellStyle name="Normal 13 2 3 9" xfId="11623"/>
    <cellStyle name="Normal 13 2 30" xfId="43858"/>
    <cellStyle name="Normal 13 2 31" xfId="44740"/>
    <cellStyle name="Normal 13 2 32" xfId="46492"/>
    <cellStyle name="Normal 13 2 33" xfId="48244"/>
    <cellStyle name="Normal 13 2 34" xfId="49996"/>
    <cellStyle name="Normal 13 2 35" xfId="51748"/>
    <cellStyle name="Normal 13 2 36" xfId="53500"/>
    <cellStyle name="Normal 13 2 37" xfId="55252"/>
    <cellStyle name="Normal 13 2 38" xfId="57005"/>
    <cellStyle name="Normal 13 2 39" xfId="58757"/>
    <cellStyle name="Normal 13 2 4" xfId="546"/>
    <cellStyle name="Normal 13 2 4 10" xfId="15398"/>
    <cellStyle name="Normal 13 2 4 11" xfId="17151"/>
    <cellStyle name="Normal 13 2 4 12" xfId="18903"/>
    <cellStyle name="Normal 13 2 4 13" xfId="20656"/>
    <cellStyle name="Normal 13 2 4 14" xfId="22408"/>
    <cellStyle name="Normal 13 2 4 15" xfId="24160"/>
    <cellStyle name="Normal 13 2 4 16" xfId="25912"/>
    <cellStyle name="Normal 13 2 4 17" xfId="27664"/>
    <cellStyle name="Normal 13 2 4 18" xfId="29417"/>
    <cellStyle name="Normal 13 2 4 19" xfId="31169"/>
    <cellStyle name="Normal 13 2 4 2" xfId="547"/>
    <cellStyle name="Normal 13 2 4 2 10" xfId="18027"/>
    <cellStyle name="Normal 13 2 4 2 11" xfId="19779"/>
    <cellStyle name="Normal 13 2 4 2 12" xfId="21532"/>
    <cellStyle name="Normal 13 2 4 2 13" xfId="23284"/>
    <cellStyle name="Normal 13 2 4 2 14" xfId="25036"/>
    <cellStyle name="Normal 13 2 4 2 15" xfId="26788"/>
    <cellStyle name="Normal 13 2 4 2 16" xfId="28540"/>
    <cellStyle name="Normal 13 2 4 2 17" xfId="30293"/>
    <cellStyle name="Normal 13 2 4 2 18" xfId="32045"/>
    <cellStyle name="Normal 13 2 4 2 19" xfId="33798"/>
    <cellStyle name="Normal 13 2 4 2 2" xfId="4009"/>
    <cellStyle name="Normal 13 2 4 2 20" xfId="36434"/>
    <cellStyle name="Normal 13 2 4 2 21" xfId="38174"/>
    <cellStyle name="Normal 13 2 4 2 22" xfId="39927"/>
    <cellStyle name="Normal 13 2 4 2 23" xfId="41682"/>
    <cellStyle name="Normal 13 2 4 2 24" xfId="43434"/>
    <cellStyle name="Normal 13 2 4 2 25" xfId="46052"/>
    <cellStyle name="Normal 13 2 4 2 26" xfId="47804"/>
    <cellStyle name="Normal 13 2 4 2 27" xfId="49556"/>
    <cellStyle name="Normal 13 2 4 2 28" xfId="51308"/>
    <cellStyle name="Normal 13 2 4 2 29" xfId="53060"/>
    <cellStyle name="Normal 13 2 4 2 3" xfId="5761"/>
    <cellStyle name="Normal 13 2 4 2 30" xfId="54812"/>
    <cellStyle name="Normal 13 2 4 2 31" xfId="56564"/>
    <cellStyle name="Normal 13 2 4 2 32" xfId="58317"/>
    <cellStyle name="Normal 13 2 4 2 33" xfId="60069"/>
    <cellStyle name="Normal 13 2 4 2 34" xfId="61821"/>
    <cellStyle name="Normal 13 2 4 2 4" xfId="7513"/>
    <cellStyle name="Normal 13 2 4 2 5" xfId="9265"/>
    <cellStyle name="Normal 13 2 4 2 6" xfId="11018"/>
    <cellStyle name="Normal 13 2 4 2 7" xfId="12770"/>
    <cellStyle name="Normal 13 2 4 2 8" xfId="14522"/>
    <cellStyle name="Normal 13 2 4 2 9" xfId="16274"/>
    <cellStyle name="Normal 13 2 4 20" xfId="32922"/>
    <cellStyle name="Normal 13 2 4 21" xfId="34244"/>
    <cellStyle name="Normal 13 2 4 22" xfId="35558"/>
    <cellStyle name="Normal 13 2 4 23" xfId="36865"/>
    <cellStyle name="Normal 13 2 4 24" xfId="39051"/>
    <cellStyle name="Normal 13 2 4 25" xfId="40806"/>
    <cellStyle name="Normal 13 2 4 26" xfId="42558"/>
    <cellStyle name="Normal 13 2 4 27" xfId="43865"/>
    <cellStyle name="Normal 13 2 4 28" xfId="45176"/>
    <cellStyle name="Normal 13 2 4 29" xfId="46928"/>
    <cellStyle name="Normal 13 2 4 3" xfId="3133"/>
    <cellStyle name="Normal 13 2 4 30" xfId="48680"/>
    <cellStyle name="Normal 13 2 4 31" xfId="50432"/>
    <cellStyle name="Normal 13 2 4 32" xfId="52184"/>
    <cellStyle name="Normal 13 2 4 33" xfId="53936"/>
    <cellStyle name="Normal 13 2 4 34" xfId="55688"/>
    <cellStyle name="Normal 13 2 4 35" xfId="57441"/>
    <cellStyle name="Normal 13 2 4 36" xfId="59193"/>
    <cellStyle name="Normal 13 2 4 37" xfId="60945"/>
    <cellStyle name="Normal 13 2 4 38" xfId="62252"/>
    <cellStyle name="Normal 13 2 4 39" xfId="63118"/>
    <cellStyle name="Normal 13 2 4 4" xfId="4885"/>
    <cellStyle name="Normal 13 2 4 5" xfId="6637"/>
    <cellStyle name="Normal 13 2 4 6" xfId="8389"/>
    <cellStyle name="Normal 13 2 4 7" xfId="10142"/>
    <cellStyle name="Normal 13 2 4 8" xfId="11894"/>
    <cellStyle name="Normal 13 2 4 9" xfId="13646"/>
    <cellStyle name="Normal 13 2 40" xfId="60509"/>
    <cellStyle name="Normal 13 2 41" xfId="62245"/>
    <cellStyle name="Normal 13 2 42" xfId="63111"/>
    <cellStyle name="Normal 13 2 5" xfId="548"/>
    <cellStyle name="Normal 13 2 5 10" xfId="17591"/>
    <cellStyle name="Normal 13 2 5 11" xfId="19343"/>
    <cellStyle name="Normal 13 2 5 12" xfId="21096"/>
    <cellStyle name="Normal 13 2 5 13" xfId="22848"/>
    <cellStyle name="Normal 13 2 5 14" xfId="24600"/>
    <cellStyle name="Normal 13 2 5 15" xfId="26352"/>
    <cellStyle name="Normal 13 2 5 16" xfId="28104"/>
    <cellStyle name="Normal 13 2 5 17" xfId="29857"/>
    <cellStyle name="Normal 13 2 5 18" xfId="31609"/>
    <cellStyle name="Normal 13 2 5 19" xfId="33362"/>
    <cellStyle name="Normal 13 2 5 2" xfId="3573"/>
    <cellStyle name="Normal 13 2 5 20" xfId="35998"/>
    <cellStyle name="Normal 13 2 5 21" xfId="37752"/>
    <cellStyle name="Normal 13 2 5 22" xfId="39491"/>
    <cellStyle name="Normal 13 2 5 23" xfId="41246"/>
    <cellStyle name="Normal 13 2 5 24" xfId="42998"/>
    <cellStyle name="Normal 13 2 5 25" xfId="45616"/>
    <cellStyle name="Normal 13 2 5 26" xfId="47368"/>
    <cellStyle name="Normal 13 2 5 27" xfId="49120"/>
    <cellStyle name="Normal 13 2 5 28" xfId="50872"/>
    <cellStyle name="Normal 13 2 5 29" xfId="52624"/>
    <cellStyle name="Normal 13 2 5 3" xfId="5325"/>
    <cellStyle name="Normal 13 2 5 30" xfId="54376"/>
    <cellStyle name="Normal 13 2 5 31" xfId="56128"/>
    <cellStyle name="Normal 13 2 5 32" xfId="57881"/>
    <cellStyle name="Normal 13 2 5 33" xfId="59633"/>
    <cellStyle name="Normal 13 2 5 34" xfId="61385"/>
    <cellStyle name="Normal 13 2 5 4" xfId="7077"/>
    <cellStyle name="Normal 13 2 5 5" xfId="8829"/>
    <cellStyle name="Normal 13 2 5 6" xfId="10582"/>
    <cellStyle name="Normal 13 2 5 7" xfId="12334"/>
    <cellStyle name="Normal 13 2 5 8" xfId="14086"/>
    <cellStyle name="Normal 13 2 5 9" xfId="15838"/>
    <cellStyle name="Normal 13 2 6" xfId="2697"/>
    <cellStyle name="Normal 13 2 7" xfId="4449"/>
    <cellStyle name="Normal 13 2 8" xfId="6201"/>
    <cellStyle name="Normal 13 2 9" xfId="7953"/>
    <cellStyle name="Normal 13 20" xfId="25421"/>
    <cellStyle name="Normal 13 21" xfId="27173"/>
    <cellStyle name="Normal 13 22" xfId="28926"/>
    <cellStyle name="Normal 13 23" xfId="30678"/>
    <cellStyle name="Normal 13 24" xfId="32431"/>
    <cellStyle name="Normal 13 25" xfId="34236"/>
    <cellStyle name="Normal 13 26" xfId="35067"/>
    <cellStyle name="Normal 13 27" xfId="36857"/>
    <cellStyle name="Normal 13 28" xfId="38559"/>
    <cellStyle name="Normal 13 29" xfId="40315"/>
    <cellStyle name="Normal 13 3" xfId="549"/>
    <cellStyle name="Normal 13 3 10" xfId="11511"/>
    <cellStyle name="Normal 13 3 11" xfId="13263"/>
    <cellStyle name="Normal 13 3 12" xfId="15015"/>
    <cellStyle name="Normal 13 3 13" xfId="16768"/>
    <cellStyle name="Normal 13 3 14" xfId="18520"/>
    <cellStyle name="Normal 13 3 15" xfId="20273"/>
    <cellStyle name="Normal 13 3 16" xfId="22025"/>
    <cellStyle name="Normal 13 3 17" xfId="23777"/>
    <cellStyle name="Normal 13 3 18" xfId="25529"/>
    <cellStyle name="Normal 13 3 19" xfId="27281"/>
    <cellStyle name="Normal 13 3 2" xfId="550"/>
    <cellStyle name="Normal 13 3 2 10" xfId="13376"/>
    <cellStyle name="Normal 13 3 2 11" xfId="15128"/>
    <cellStyle name="Normal 13 3 2 12" xfId="16881"/>
    <cellStyle name="Normal 13 3 2 13" xfId="18633"/>
    <cellStyle name="Normal 13 3 2 14" xfId="20386"/>
    <cellStyle name="Normal 13 3 2 15" xfId="22138"/>
    <cellStyle name="Normal 13 3 2 16" xfId="23890"/>
    <cellStyle name="Normal 13 3 2 17" xfId="25642"/>
    <cellStyle name="Normal 13 3 2 18" xfId="27394"/>
    <cellStyle name="Normal 13 3 2 19" xfId="29147"/>
    <cellStyle name="Normal 13 3 2 2" xfId="551"/>
    <cellStyle name="Normal 13 3 2 2 10" xfId="15564"/>
    <cellStyle name="Normal 13 3 2 2 11" xfId="17317"/>
    <cellStyle name="Normal 13 3 2 2 12" xfId="19069"/>
    <cellStyle name="Normal 13 3 2 2 13" xfId="20822"/>
    <cellStyle name="Normal 13 3 2 2 14" xfId="22574"/>
    <cellStyle name="Normal 13 3 2 2 15" xfId="24326"/>
    <cellStyle name="Normal 13 3 2 2 16" xfId="26078"/>
    <cellStyle name="Normal 13 3 2 2 17" xfId="27830"/>
    <cellStyle name="Normal 13 3 2 2 18" xfId="29583"/>
    <cellStyle name="Normal 13 3 2 2 19" xfId="31335"/>
    <cellStyle name="Normal 13 3 2 2 2" xfId="552"/>
    <cellStyle name="Normal 13 3 2 2 2 10" xfId="18193"/>
    <cellStyle name="Normal 13 3 2 2 2 11" xfId="19945"/>
    <cellStyle name="Normal 13 3 2 2 2 12" xfId="21698"/>
    <cellStyle name="Normal 13 3 2 2 2 13" xfId="23450"/>
    <cellStyle name="Normal 13 3 2 2 2 14" xfId="25202"/>
    <cellStyle name="Normal 13 3 2 2 2 15" xfId="26954"/>
    <cellStyle name="Normal 13 3 2 2 2 16" xfId="28706"/>
    <cellStyle name="Normal 13 3 2 2 2 17" xfId="30459"/>
    <cellStyle name="Normal 13 3 2 2 2 18" xfId="32211"/>
    <cellStyle name="Normal 13 3 2 2 2 19" xfId="33964"/>
    <cellStyle name="Normal 13 3 2 2 2 2" xfId="4175"/>
    <cellStyle name="Normal 13 3 2 2 2 20" xfId="36600"/>
    <cellStyle name="Normal 13 3 2 2 2 21" xfId="38340"/>
    <cellStyle name="Normal 13 3 2 2 2 22" xfId="40093"/>
    <cellStyle name="Normal 13 3 2 2 2 23" xfId="41848"/>
    <cellStyle name="Normal 13 3 2 2 2 24" xfId="43600"/>
    <cellStyle name="Normal 13 3 2 2 2 25" xfId="46218"/>
    <cellStyle name="Normal 13 3 2 2 2 26" xfId="47970"/>
    <cellStyle name="Normal 13 3 2 2 2 27" xfId="49722"/>
    <cellStyle name="Normal 13 3 2 2 2 28" xfId="51474"/>
    <cellStyle name="Normal 13 3 2 2 2 29" xfId="53226"/>
    <cellStyle name="Normal 13 3 2 2 2 3" xfId="5927"/>
    <cellStyle name="Normal 13 3 2 2 2 30" xfId="54978"/>
    <cellStyle name="Normal 13 3 2 2 2 31" xfId="56730"/>
    <cellStyle name="Normal 13 3 2 2 2 32" xfId="58483"/>
    <cellStyle name="Normal 13 3 2 2 2 33" xfId="60235"/>
    <cellStyle name="Normal 13 3 2 2 2 34" xfId="61987"/>
    <cellStyle name="Normal 13 3 2 2 2 4" xfId="7679"/>
    <cellStyle name="Normal 13 3 2 2 2 5" xfId="9431"/>
    <cellStyle name="Normal 13 3 2 2 2 6" xfId="11184"/>
    <cellStyle name="Normal 13 3 2 2 2 7" xfId="12936"/>
    <cellStyle name="Normal 13 3 2 2 2 8" xfId="14688"/>
    <cellStyle name="Normal 13 3 2 2 2 9" xfId="16440"/>
    <cellStyle name="Normal 13 3 2 2 20" xfId="33088"/>
    <cellStyle name="Normal 13 3 2 2 21" xfId="34247"/>
    <cellStyle name="Normal 13 3 2 2 22" xfId="35724"/>
    <cellStyle name="Normal 13 3 2 2 23" xfId="36868"/>
    <cellStyle name="Normal 13 3 2 2 24" xfId="39217"/>
    <cellStyle name="Normal 13 3 2 2 25" xfId="40972"/>
    <cellStyle name="Normal 13 3 2 2 26" xfId="42724"/>
    <cellStyle name="Normal 13 3 2 2 27" xfId="43868"/>
    <cellStyle name="Normal 13 3 2 2 28" xfId="45342"/>
    <cellStyle name="Normal 13 3 2 2 29" xfId="47094"/>
    <cellStyle name="Normal 13 3 2 2 3" xfId="3299"/>
    <cellStyle name="Normal 13 3 2 2 30" xfId="48846"/>
    <cellStyle name="Normal 13 3 2 2 31" xfId="50598"/>
    <cellStyle name="Normal 13 3 2 2 32" xfId="52350"/>
    <cellStyle name="Normal 13 3 2 2 33" xfId="54102"/>
    <cellStyle name="Normal 13 3 2 2 34" xfId="55854"/>
    <cellStyle name="Normal 13 3 2 2 35" xfId="57607"/>
    <cellStyle name="Normal 13 3 2 2 36" xfId="59359"/>
    <cellStyle name="Normal 13 3 2 2 37" xfId="61111"/>
    <cellStyle name="Normal 13 3 2 2 38" xfId="62255"/>
    <cellStyle name="Normal 13 3 2 2 39" xfId="63121"/>
    <cellStyle name="Normal 13 3 2 2 4" xfId="5051"/>
    <cellStyle name="Normal 13 3 2 2 5" xfId="6803"/>
    <cellStyle name="Normal 13 3 2 2 6" xfId="8555"/>
    <cellStyle name="Normal 13 3 2 2 7" xfId="10308"/>
    <cellStyle name="Normal 13 3 2 2 8" xfId="12060"/>
    <cellStyle name="Normal 13 3 2 2 9" xfId="13812"/>
    <cellStyle name="Normal 13 3 2 20" xfId="30899"/>
    <cellStyle name="Normal 13 3 2 21" xfId="32652"/>
    <cellStyle name="Normal 13 3 2 22" xfId="34246"/>
    <cellStyle name="Normal 13 3 2 23" xfId="35288"/>
    <cellStyle name="Normal 13 3 2 24" xfId="36867"/>
    <cellStyle name="Normal 13 3 2 25" xfId="38781"/>
    <cellStyle name="Normal 13 3 2 26" xfId="40536"/>
    <cellStyle name="Normal 13 3 2 27" xfId="42288"/>
    <cellStyle name="Normal 13 3 2 28" xfId="43867"/>
    <cellStyle name="Normal 13 3 2 29" xfId="44906"/>
    <cellStyle name="Normal 13 3 2 3" xfId="553"/>
    <cellStyle name="Normal 13 3 2 3 10" xfId="17757"/>
    <cellStyle name="Normal 13 3 2 3 11" xfId="19509"/>
    <cellStyle name="Normal 13 3 2 3 12" xfId="21262"/>
    <cellStyle name="Normal 13 3 2 3 13" xfId="23014"/>
    <cellStyle name="Normal 13 3 2 3 14" xfId="24766"/>
    <cellStyle name="Normal 13 3 2 3 15" xfId="26518"/>
    <cellStyle name="Normal 13 3 2 3 16" xfId="28270"/>
    <cellStyle name="Normal 13 3 2 3 17" xfId="30023"/>
    <cellStyle name="Normal 13 3 2 3 18" xfId="31775"/>
    <cellStyle name="Normal 13 3 2 3 19" xfId="33528"/>
    <cellStyle name="Normal 13 3 2 3 2" xfId="3739"/>
    <cellStyle name="Normal 13 3 2 3 20" xfId="36164"/>
    <cellStyle name="Normal 13 3 2 3 21" xfId="37904"/>
    <cellStyle name="Normal 13 3 2 3 22" xfId="39657"/>
    <cellStyle name="Normal 13 3 2 3 23" xfId="41412"/>
    <cellStyle name="Normal 13 3 2 3 24" xfId="43164"/>
    <cellStyle name="Normal 13 3 2 3 25" xfId="45782"/>
    <cellStyle name="Normal 13 3 2 3 26" xfId="47534"/>
    <cellStyle name="Normal 13 3 2 3 27" xfId="49286"/>
    <cellStyle name="Normal 13 3 2 3 28" xfId="51038"/>
    <cellStyle name="Normal 13 3 2 3 29" xfId="52790"/>
    <cellStyle name="Normal 13 3 2 3 3" xfId="5491"/>
    <cellStyle name="Normal 13 3 2 3 30" xfId="54542"/>
    <cellStyle name="Normal 13 3 2 3 31" xfId="56294"/>
    <cellStyle name="Normal 13 3 2 3 32" xfId="58047"/>
    <cellStyle name="Normal 13 3 2 3 33" xfId="59799"/>
    <cellStyle name="Normal 13 3 2 3 34" xfId="61551"/>
    <cellStyle name="Normal 13 3 2 3 4" xfId="7243"/>
    <cellStyle name="Normal 13 3 2 3 5" xfId="8995"/>
    <cellStyle name="Normal 13 3 2 3 6" xfId="10748"/>
    <cellStyle name="Normal 13 3 2 3 7" xfId="12500"/>
    <cellStyle name="Normal 13 3 2 3 8" xfId="14252"/>
    <cellStyle name="Normal 13 3 2 3 9" xfId="16004"/>
    <cellStyle name="Normal 13 3 2 30" xfId="46658"/>
    <cellStyle name="Normal 13 3 2 31" xfId="48410"/>
    <cellStyle name="Normal 13 3 2 32" xfId="50162"/>
    <cellStyle name="Normal 13 3 2 33" xfId="51914"/>
    <cellStyle name="Normal 13 3 2 34" xfId="53666"/>
    <cellStyle name="Normal 13 3 2 35" xfId="55418"/>
    <cellStyle name="Normal 13 3 2 36" xfId="57171"/>
    <cellStyle name="Normal 13 3 2 37" xfId="58923"/>
    <cellStyle name="Normal 13 3 2 38" xfId="60675"/>
    <cellStyle name="Normal 13 3 2 39" xfId="62254"/>
    <cellStyle name="Normal 13 3 2 4" xfId="2863"/>
    <cellStyle name="Normal 13 3 2 40" xfId="63120"/>
    <cellStyle name="Normal 13 3 2 5" xfId="4615"/>
    <cellStyle name="Normal 13 3 2 6" xfId="6367"/>
    <cellStyle name="Normal 13 3 2 7" xfId="8119"/>
    <cellStyle name="Normal 13 3 2 8" xfId="9872"/>
    <cellStyle name="Normal 13 3 2 9" xfId="11624"/>
    <cellStyle name="Normal 13 3 20" xfId="29034"/>
    <cellStyle name="Normal 13 3 21" xfId="30786"/>
    <cellStyle name="Normal 13 3 22" xfId="32539"/>
    <cellStyle name="Normal 13 3 23" xfId="34245"/>
    <cellStyle name="Normal 13 3 24" xfId="35175"/>
    <cellStyle name="Normal 13 3 25" xfId="36866"/>
    <cellStyle name="Normal 13 3 26" xfId="38668"/>
    <cellStyle name="Normal 13 3 27" xfId="40423"/>
    <cellStyle name="Normal 13 3 28" xfId="42175"/>
    <cellStyle name="Normal 13 3 29" xfId="43866"/>
    <cellStyle name="Normal 13 3 3" xfId="554"/>
    <cellStyle name="Normal 13 3 3 10" xfId="15451"/>
    <cellStyle name="Normal 13 3 3 11" xfId="17204"/>
    <cellStyle name="Normal 13 3 3 12" xfId="18956"/>
    <cellStyle name="Normal 13 3 3 13" xfId="20709"/>
    <cellStyle name="Normal 13 3 3 14" xfId="22461"/>
    <cellStyle name="Normal 13 3 3 15" xfId="24213"/>
    <cellStyle name="Normal 13 3 3 16" xfId="25965"/>
    <cellStyle name="Normal 13 3 3 17" xfId="27717"/>
    <cellStyle name="Normal 13 3 3 18" xfId="29470"/>
    <cellStyle name="Normal 13 3 3 19" xfId="31222"/>
    <cellStyle name="Normal 13 3 3 2" xfId="555"/>
    <cellStyle name="Normal 13 3 3 2 10" xfId="18080"/>
    <cellStyle name="Normal 13 3 3 2 11" xfId="19832"/>
    <cellStyle name="Normal 13 3 3 2 12" xfId="21585"/>
    <cellStyle name="Normal 13 3 3 2 13" xfId="23337"/>
    <cellStyle name="Normal 13 3 3 2 14" xfId="25089"/>
    <cellStyle name="Normal 13 3 3 2 15" xfId="26841"/>
    <cellStyle name="Normal 13 3 3 2 16" xfId="28593"/>
    <cellStyle name="Normal 13 3 3 2 17" xfId="30346"/>
    <cellStyle name="Normal 13 3 3 2 18" xfId="32098"/>
    <cellStyle name="Normal 13 3 3 2 19" xfId="33851"/>
    <cellStyle name="Normal 13 3 3 2 2" xfId="4062"/>
    <cellStyle name="Normal 13 3 3 2 20" xfId="36487"/>
    <cellStyle name="Normal 13 3 3 2 21" xfId="38227"/>
    <cellStyle name="Normal 13 3 3 2 22" xfId="39980"/>
    <cellStyle name="Normal 13 3 3 2 23" xfId="41735"/>
    <cellStyle name="Normal 13 3 3 2 24" xfId="43487"/>
    <cellStyle name="Normal 13 3 3 2 25" xfId="46105"/>
    <cellStyle name="Normal 13 3 3 2 26" xfId="47857"/>
    <cellStyle name="Normal 13 3 3 2 27" xfId="49609"/>
    <cellStyle name="Normal 13 3 3 2 28" xfId="51361"/>
    <cellStyle name="Normal 13 3 3 2 29" xfId="53113"/>
    <cellStyle name="Normal 13 3 3 2 3" xfId="5814"/>
    <cellStyle name="Normal 13 3 3 2 30" xfId="54865"/>
    <cellStyle name="Normal 13 3 3 2 31" xfId="56617"/>
    <cellStyle name="Normal 13 3 3 2 32" xfId="58370"/>
    <cellStyle name="Normal 13 3 3 2 33" xfId="60122"/>
    <cellStyle name="Normal 13 3 3 2 34" xfId="61874"/>
    <cellStyle name="Normal 13 3 3 2 4" xfId="7566"/>
    <cellStyle name="Normal 13 3 3 2 5" xfId="9318"/>
    <cellStyle name="Normal 13 3 3 2 6" xfId="11071"/>
    <cellStyle name="Normal 13 3 3 2 7" xfId="12823"/>
    <cellStyle name="Normal 13 3 3 2 8" xfId="14575"/>
    <cellStyle name="Normal 13 3 3 2 9" xfId="16327"/>
    <cellStyle name="Normal 13 3 3 20" xfId="32975"/>
    <cellStyle name="Normal 13 3 3 21" xfId="34248"/>
    <cellStyle name="Normal 13 3 3 22" xfId="35611"/>
    <cellStyle name="Normal 13 3 3 23" xfId="36869"/>
    <cellStyle name="Normal 13 3 3 24" xfId="39104"/>
    <cellStyle name="Normal 13 3 3 25" xfId="40859"/>
    <cellStyle name="Normal 13 3 3 26" xfId="42611"/>
    <cellStyle name="Normal 13 3 3 27" xfId="43869"/>
    <cellStyle name="Normal 13 3 3 28" xfId="45229"/>
    <cellStyle name="Normal 13 3 3 29" xfId="46981"/>
    <cellStyle name="Normal 13 3 3 3" xfId="3186"/>
    <cellStyle name="Normal 13 3 3 30" xfId="48733"/>
    <cellStyle name="Normal 13 3 3 31" xfId="50485"/>
    <cellStyle name="Normal 13 3 3 32" xfId="52237"/>
    <cellStyle name="Normal 13 3 3 33" xfId="53989"/>
    <cellStyle name="Normal 13 3 3 34" xfId="55741"/>
    <cellStyle name="Normal 13 3 3 35" xfId="57494"/>
    <cellStyle name="Normal 13 3 3 36" xfId="59246"/>
    <cellStyle name="Normal 13 3 3 37" xfId="60998"/>
    <cellStyle name="Normal 13 3 3 38" xfId="62256"/>
    <cellStyle name="Normal 13 3 3 39" xfId="63122"/>
    <cellStyle name="Normal 13 3 3 4" xfId="4938"/>
    <cellStyle name="Normal 13 3 3 5" xfId="6690"/>
    <cellStyle name="Normal 13 3 3 6" xfId="8442"/>
    <cellStyle name="Normal 13 3 3 7" xfId="10195"/>
    <cellStyle name="Normal 13 3 3 8" xfId="11947"/>
    <cellStyle name="Normal 13 3 3 9" xfId="13699"/>
    <cellStyle name="Normal 13 3 30" xfId="44793"/>
    <cellStyle name="Normal 13 3 31" xfId="46545"/>
    <cellStyle name="Normal 13 3 32" xfId="48297"/>
    <cellStyle name="Normal 13 3 33" xfId="50049"/>
    <cellStyle name="Normal 13 3 34" xfId="51801"/>
    <cellStyle name="Normal 13 3 35" xfId="53553"/>
    <cellStyle name="Normal 13 3 36" xfId="55305"/>
    <cellStyle name="Normal 13 3 37" xfId="57058"/>
    <cellStyle name="Normal 13 3 38" xfId="58810"/>
    <cellStyle name="Normal 13 3 39" xfId="60562"/>
    <cellStyle name="Normal 13 3 4" xfId="556"/>
    <cellStyle name="Normal 13 3 4 10" xfId="17644"/>
    <cellStyle name="Normal 13 3 4 11" xfId="19396"/>
    <cellStyle name="Normal 13 3 4 12" xfId="21149"/>
    <cellStyle name="Normal 13 3 4 13" xfId="22901"/>
    <cellStyle name="Normal 13 3 4 14" xfId="24653"/>
    <cellStyle name="Normal 13 3 4 15" xfId="26405"/>
    <cellStyle name="Normal 13 3 4 16" xfId="28157"/>
    <cellStyle name="Normal 13 3 4 17" xfId="29910"/>
    <cellStyle name="Normal 13 3 4 18" xfId="31662"/>
    <cellStyle name="Normal 13 3 4 19" xfId="33415"/>
    <cellStyle name="Normal 13 3 4 2" xfId="3626"/>
    <cellStyle name="Normal 13 3 4 20" xfId="36051"/>
    <cellStyle name="Normal 13 3 4 21" xfId="37791"/>
    <cellStyle name="Normal 13 3 4 22" xfId="39544"/>
    <cellStyle name="Normal 13 3 4 23" xfId="41299"/>
    <cellStyle name="Normal 13 3 4 24" xfId="43051"/>
    <cellStyle name="Normal 13 3 4 25" xfId="45669"/>
    <cellStyle name="Normal 13 3 4 26" xfId="47421"/>
    <cellStyle name="Normal 13 3 4 27" xfId="49173"/>
    <cellStyle name="Normal 13 3 4 28" xfId="50925"/>
    <cellStyle name="Normal 13 3 4 29" xfId="52677"/>
    <cellStyle name="Normal 13 3 4 3" xfId="5378"/>
    <cellStyle name="Normal 13 3 4 30" xfId="54429"/>
    <cellStyle name="Normal 13 3 4 31" xfId="56181"/>
    <cellStyle name="Normal 13 3 4 32" xfId="57934"/>
    <cellStyle name="Normal 13 3 4 33" xfId="59686"/>
    <cellStyle name="Normal 13 3 4 34" xfId="61438"/>
    <cellStyle name="Normal 13 3 4 4" xfId="7130"/>
    <cellStyle name="Normal 13 3 4 5" xfId="8882"/>
    <cellStyle name="Normal 13 3 4 6" xfId="10635"/>
    <cellStyle name="Normal 13 3 4 7" xfId="12387"/>
    <cellStyle name="Normal 13 3 4 8" xfId="14139"/>
    <cellStyle name="Normal 13 3 4 9" xfId="15891"/>
    <cellStyle name="Normal 13 3 40" xfId="62253"/>
    <cellStyle name="Normal 13 3 41" xfId="63119"/>
    <cellStyle name="Normal 13 3 5" xfId="2750"/>
    <cellStyle name="Normal 13 3 6" xfId="4502"/>
    <cellStyle name="Normal 13 3 7" xfId="6254"/>
    <cellStyle name="Normal 13 3 8" xfId="8006"/>
    <cellStyle name="Normal 13 3 9" xfId="9759"/>
    <cellStyle name="Normal 13 30" xfId="42067"/>
    <cellStyle name="Normal 13 31" xfId="43857"/>
    <cellStyle name="Normal 13 32" xfId="44685"/>
    <cellStyle name="Normal 13 33" xfId="46437"/>
    <cellStyle name="Normal 13 34" xfId="48189"/>
    <cellStyle name="Normal 13 35" xfId="49941"/>
    <cellStyle name="Normal 13 36" xfId="51693"/>
    <cellStyle name="Normal 13 37" xfId="53445"/>
    <cellStyle name="Normal 13 38" xfId="55197"/>
    <cellStyle name="Normal 13 39" xfId="56950"/>
    <cellStyle name="Normal 13 4" xfId="557"/>
    <cellStyle name="Normal 13 4 10" xfId="13377"/>
    <cellStyle name="Normal 13 4 11" xfId="15129"/>
    <cellStyle name="Normal 13 4 12" xfId="16882"/>
    <cellStyle name="Normal 13 4 13" xfId="18634"/>
    <cellStyle name="Normal 13 4 14" xfId="20387"/>
    <cellStyle name="Normal 13 4 15" xfId="22139"/>
    <cellStyle name="Normal 13 4 16" xfId="23891"/>
    <cellStyle name="Normal 13 4 17" xfId="25643"/>
    <cellStyle name="Normal 13 4 18" xfId="27395"/>
    <cellStyle name="Normal 13 4 19" xfId="29148"/>
    <cellStyle name="Normal 13 4 2" xfId="558"/>
    <cellStyle name="Normal 13 4 2 10" xfId="15565"/>
    <cellStyle name="Normal 13 4 2 11" xfId="17318"/>
    <cellStyle name="Normal 13 4 2 12" xfId="19070"/>
    <cellStyle name="Normal 13 4 2 13" xfId="20823"/>
    <cellStyle name="Normal 13 4 2 14" xfId="22575"/>
    <cellStyle name="Normal 13 4 2 15" xfId="24327"/>
    <cellStyle name="Normal 13 4 2 16" xfId="26079"/>
    <cellStyle name="Normal 13 4 2 17" xfId="27831"/>
    <cellStyle name="Normal 13 4 2 18" xfId="29584"/>
    <cellStyle name="Normal 13 4 2 19" xfId="31336"/>
    <cellStyle name="Normal 13 4 2 2" xfId="559"/>
    <cellStyle name="Normal 13 4 2 2 10" xfId="18194"/>
    <cellStyle name="Normal 13 4 2 2 11" xfId="19946"/>
    <cellStyle name="Normal 13 4 2 2 12" xfId="21699"/>
    <cellStyle name="Normal 13 4 2 2 13" xfId="23451"/>
    <cellStyle name="Normal 13 4 2 2 14" xfId="25203"/>
    <cellStyle name="Normal 13 4 2 2 15" xfId="26955"/>
    <cellStyle name="Normal 13 4 2 2 16" xfId="28707"/>
    <cellStyle name="Normal 13 4 2 2 17" xfId="30460"/>
    <cellStyle name="Normal 13 4 2 2 18" xfId="32212"/>
    <cellStyle name="Normal 13 4 2 2 19" xfId="33965"/>
    <cellStyle name="Normal 13 4 2 2 2" xfId="4176"/>
    <cellStyle name="Normal 13 4 2 2 20" xfId="36601"/>
    <cellStyle name="Normal 13 4 2 2 21" xfId="38341"/>
    <cellStyle name="Normal 13 4 2 2 22" xfId="40094"/>
    <cellStyle name="Normal 13 4 2 2 23" xfId="41849"/>
    <cellStyle name="Normal 13 4 2 2 24" xfId="43601"/>
    <cellStyle name="Normal 13 4 2 2 25" xfId="46219"/>
    <cellStyle name="Normal 13 4 2 2 26" xfId="47971"/>
    <cellStyle name="Normal 13 4 2 2 27" xfId="49723"/>
    <cellStyle name="Normal 13 4 2 2 28" xfId="51475"/>
    <cellStyle name="Normal 13 4 2 2 29" xfId="53227"/>
    <cellStyle name="Normal 13 4 2 2 3" xfId="5928"/>
    <cellStyle name="Normal 13 4 2 2 30" xfId="54979"/>
    <cellStyle name="Normal 13 4 2 2 31" xfId="56731"/>
    <cellStyle name="Normal 13 4 2 2 32" xfId="58484"/>
    <cellStyle name="Normal 13 4 2 2 33" xfId="60236"/>
    <cellStyle name="Normal 13 4 2 2 34" xfId="61988"/>
    <cellStyle name="Normal 13 4 2 2 4" xfId="7680"/>
    <cellStyle name="Normal 13 4 2 2 5" xfId="9432"/>
    <cellStyle name="Normal 13 4 2 2 6" xfId="11185"/>
    <cellStyle name="Normal 13 4 2 2 7" xfId="12937"/>
    <cellStyle name="Normal 13 4 2 2 8" xfId="14689"/>
    <cellStyle name="Normal 13 4 2 2 9" xfId="16441"/>
    <cellStyle name="Normal 13 4 2 20" xfId="33089"/>
    <cellStyle name="Normal 13 4 2 21" xfId="34250"/>
    <cellStyle name="Normal 13 4 2 22" xfId="35725"/>
    <cellStyle name="Normal 13 4 2 23" xfId="36871"/>
    <cellStyle name="Normal 13 4 2 24" xfId="39218"/>
    <cellStyle name="Normal 13 4 2 25" xfId="40973"/>
    <cellStyle name="Normal 13 4 2 26" xfId="42725"/>
    <cellStyle name="Normal 13 4 2 27" xfId="43871"/>
    <cellStyle name="Normal 13 4 2 28" xfId="45343"/>
    <cellStyle name="Normal 13 4 2 29" xfId="47095"/>
    <cellStyle name="Normal 13 4 2 3" xfId="3300"/>
    <cellStyle name="Normal 13 4 2 30" xfId="48847"/>
    <cellStyle name="Normal 13 4 2 31" xfId="50599"/>
    <cellStyle name="Normal 13 4 2 32" xfId="52351"/>
    <cellStyle name="Normal 13 4 2 33" xfId="54103"/>
    <cellStyle name="Normal 13 4 2 34" xfId="55855"/>
    <cellStyle name="Normal 13 4 2 35" xfId="57608"/>
    <cellStyle name="Normal 13 4 2 36" xfId="59360"/>
    <cellStyle name="Normal 13 4 2 37" xfId="61112"/>
    <cellStyle name="Normal 13 4 2 38" xfId="62258"/>
    <cellStyle name="Normal 13 4 2 39" xfId="63124"/>
    <cellStyle name="Normal 13 4 2 4" xfId="5052"/>
    <cellStyle name="Normal 13 4 2 5" xfId="6804"/>
    <cellStyle name="Normal 13 4 2 6" xfId="8556"/>
    <cellStyle name="Normal 13 4 2 7" xfId="10309"/>
    <cellStyle name="Normal 13 4 2 8" xfId="12061"/>
    <cellStyle name="Normal 13 4 2 9" xfId="13813"/>
    <cellStyle name="Normal 13 4 20" xfId="30900"/>
    <cellStyle name="Normal 13 4 21" xfId="32653"/>
    <cellStyle name="Normal 13 4 22" xfId="34249"/>
    <cellStyle name="Normal 13 4 23" xfId="35289"/>
    <cellStyle name="Normal 13 4 24" xfId="36870"/>
    <cellStyle name="Normal 13 4 25" xfId="38782"/>
    <cellStyle name="Normal 13 4 26" xfId="40537"/>
    <cellStyle name="Normal 13 4 27" xfId="42289"/>
    <cellStyle name="Normal 13 4 28" xfId="43870"/>
    <cellStyle name="Normal 13 4 29" xfId="44907"/>
    <cellStyle name="Normal 13 4 3" xfId="560"/>
    <cellStyle name="Normal 13 4 3 10" xfId="17758"/>
    <cellStyle name="Normal 13 4 3 11" xfId="19510"/>
    <cellStyle name="Normal 13 4 3 12" xfId="21263"/>
    <cellStyle name="Normal 13 4 3 13" xfId="23015"/>
    <cellStyle name="Normal 13 4 3 14" xfId="24767"/>
    <cellStyle name="Normal 13 4 3 15" xfId="26519"/>
    <cellStyle name="Normal 13 4 3 16" xfId="28271"/>
    <cellStyle name="Normal 13 4 3 17" xfId="30024"/>
    <cellStyle name="Normal 13 4 3 18" xfId="31776"/>
    <cellStyle name="Normal 13 4 3 19" xfId="33529"/>
    <cellStyle name="Normal 13 4 3 2" xfId="3740"/>
    <cellStyle name="Normal 13 4 3 20" xfId="36165"/>
    <cellStyle name="Normal 13 4 3 21" xfId="37905"/>
    <cellStyle name="Normal 13 4 3 22" xfId="39658"/>
    <cellStyle name="Normal 13 4 3 23" xfId="41413"/>
    <cellStyle name="Normal 13 4 3 24" xfId="43165"/>
    <cellStyle name="Normal 13 4 3 25" xfId="45783"/>
    <cellStyle name="Normal 13 4 3 26" xfId="47535"/>
    <cellStyle name="Normal 13 4 3 27" xfId="49287"/>
    <cellStyle name="Normal 13 4 3 28" xfId="51039"/>
    <cellStyle name="Normal 13 4 3 29" xfId="52791"/>
    <cellStyle name="Normal 13 4 3 3" xfId="5492"/>
    <cellStyle name="Normal 13 4 3 30" xfId="54543"/>
    <cellStyle name="Normal 13 4 3 31" xfId="56295"/>
    <cellStyle name="Normal 13 4 3 32" xfId="58048"/>
    <cellStyle name="Normal 13 4 3 33" xfId="59800"/>
    <cellStyle name="Normal 13 4 3 34" xfId="61552"/>
    <cellStyle name="Normal 13 4 3 4" xfId="7244"/>
    <cellStyle name="Normal 13 4 3 5" xfId="8996"/>
    <cellStyle name="Normal 13 4 3 6" xfId="10749"/>
    <cellStyle name="Normal 13 4 3 7" xfId="12501"/>
    <cellStyle name="Normal 13 4 3 8" xfId="14253"/>
    <cellStyle name="Normal 13 4 3 9" xfId="16005"/>
    <cellStyle name="Normal 13 4 30" xfId="46659"/>
    <cellStyle name="Normal 13 4 31" xfId="48411"/>
    <cellStyle name="Normal 13 4 32" xfId="50163"/>
    <cellStyle name="Normal 13 4 33" xfId="51915"/>
    <cellStyle name="Normal 13 4 34" xfId="53667"/>
    <cellStyle name="Normal 13 4 35" xfId="55419"/>
    <cellStyle name="Normal 13 4 36" xfId="57172"/>
    <cellStyle name="Normal 13 4 37" xfId="58924"/>
    <cellStyle name="Normal 13 4 38" xfId="60676"/>
    <cellStyle name="Normal 13 4 39" xfId="62257"/>
    <cellStyle name="Normal 13 4 4" xfId="2864"/>
    <cellStyle name="Normal 13 4 40" xfId="63123"/>
    <cellStyle name="Normal 13 4 5" xfId="4616"/>
    <cellStyle name="Normal 13 4 6" xfId="6368"/>
    <cellStyle name="Normal 13 4 7" xfId="8120"/>
    <cellStyle name="Normal 13 4 8" xfId="9873"/>
    <cellStyle name="Normal 13 4 9" xfId="11625"/>
    <cellStyle name="Normal 13 40" xfId="58702"/>
    <cellStyle name="Normal 13 41" xfId="60454"/>
    <cellStyle name="Normal 13 42" xfId="62244"/>
    <cellStyle name="Normal 13 43" xfId="63110"/>
    <cellStyle name="Normal 13 5" xfId="561"/>
    <cellStyle name="Normal 13 5 10" xfId="15343"/>
    <cellStyle name="Normal 13 5 11" xfId="17096"/>
    <cellStyle name="Normal 13 5 12" xfId="18848"/>
    <cellStyle name="Normal 13 5 13" xfId="20601"/>
    <cellStyle name="Normal 13 5 14" xfId="22353"/>
    <cellStyle name="Normal 13 5 15" xfId="24105"/>
    <cellStyle name="Normal 13 5 16" xfId="25857"/>
    <cellStyle name="Normal 13 5 17" xfId="27609"/>
    <cellStyle name="Normal 13 5 18" xfId="29362"/>
    <cellStyle name="Normal 13 5 19" xfId="31114"/>
    <cellStyle name="Normal 13 5 2" xfId="562"/>
    <cellStyle name="Normal 13 5 2 10" xfId="17972"/>
    <cellStyle name="Normal 13 5 2 11" xfId="19724"/>
    <cellStyle name="Normal 13 5 2 12" xfId="21477"/>
    <cellStyle name="Normal 13 5 2 13" xfId="23229"/>
    <cellStyle name="Normal 13 5 2 14" xfId="24981"/>
    <cellStyle name="Normal 13 5 2 15" xfId="26733"/>
    <cellStyle name="Normal 13 5 2 16" xfId="28485"/>
    <cellStyle name="Normal 13 5 2 17" xfId="30238"/>
    <cellStyle name="Normal 13 5 2 18" xfId="31990"/>
    <cellStyle name="Normal 13 5 2 19" xfId="33743"/>
    <cellStyle name="Normal 13 5 2 2" xfId="3954"/>
    <cellStyle name="Normal 13 5 2 20" xfId="36379"/>
    <cellStyle name="Normal 13 5 2 21" xfId="38119"/>
    <cellStyle name="Normal 13 5 2 22" xfId="39872"/>
    <cellStyle name="Normal 13 5 2 23" xfId="41627"/>
    <cellStyle name="Normal 13 5 2 24" xfId="43379"/>
    <cellStyle name="Normal 13 5 2 25" xfId="45997"/>
    <cellStyle name="Normal 13 5 2 26" xfId="47749"/>
    <cellStyle name="Normal 13 5 2 27" xfId="49501"/>
    <cellStyle name="Normal 13 5 2 28" xfId="51253"/>
    <cellStyle name="Normal 13 5 2 29" xfId="53005"/>
    <cellStyle name="Normal 13 5 2 3" xfId="5706"/>
    <cellStyle name="Normal 13 5 2 30" xfId="54757"/>
    <cellStyle name="Normal 13 5 2 31" xfId="56509"/>
    <cellStyle name="Normal 13 5 2 32" xfId="58262"/>
    <cellStyle name="Normal 13 5 2 33" xfId="60014"/>
    <cellStyle name="Normal 13 5 2 34" xfId="61766"/>
    <cellStyle name="Normal 13 5 2 4" xfId="7458"/>
    <cellStyle name="Normal 13 5 2 5" xfId="9210"/>
    <cellStyle name="Normal 13 5 2 6" xfId="10963"/>
    <cellStyle name="Normal 13 5 2 7" xfId="12715"/>
    <cellStyle name="Normal 13 5 2 8" xfId="14467"/>
    <cellStyle name="Normal 13 5 2 9" xfId="16219"/>
    <cellStyle name="Normal 13 5 20" xfId="32867"/>
    <cellStyle name="Normal 13 5 21" xfId="34251"/>
    <cellStyle name="Normal 13 5 22" xfId="35503"/>
    <cellStyle name="Normal 13 5 23" xfId="36872"/>
    <cellStyle name="Normal 13 5 24" xfId="38996"/>
    <cellStyle name="Normal 13 5 25" xfId="40751"/>
    <cellStyle name="Normal 13 5 26" xfId="42503"/>
    <cellStyle name="Normal 13 5 27" xfId="43872"/>
    <cellStyle name="Normal 13 5 28" xfId="45121"/>
    <cellStyle name="Normal 13 5 29" xfId="46873"/>
    <cellStyle name="Normal 13 5 3" xfId="3078"/>
    <cellStyle name="Normal 13 5 30" xfId="48625"/>
    <cellStyle name="Normal 13 5 31" xfId="50377"/>
    <cellStyle name="Normal 13 5 32" xfId="52129"/>
    <cellStyle name="Normal 13 5 33" xfId="53881"/>
    <cellStyle name="Normal 13 5 34" xfId="55633"/>
    <cellStyle name="Normal 13 5 35" xfId="57386"/>
    <cellStyle name="Normal 13 5 36" xfId="59138"/>
    <cellStyle name="Normal 13 5 37" xfId="60890"/>
    <cellStyle name="Normal 13 5 38" xfId="62259"/>
    <cellStyle name="Normal 13 5 39" xfId="63125"/>
    <cellStyle name="Normal 13 5 4" xfId="4830"/>
    <cellStyle name="Normal 13 5 5" xfId="6582"/>
    <cellStyle name="Normal 13 5 6" xfId="8334"/>
    <cellStyle name="Normal 13 5 7" xfId="10087"/>
    <cellStyle name="Normal 13 5 8" xfId="11839"/>
    <cellStyle name="Normal 13 5 9" xfId="13591"/>
    <cellStyle name="Normal 13 6" xfId="563"/>
    <cellStyle name="Normal 13 6 10" xfId="17536"/>
    <cellStyle name="Normal 13 6 11" xfId="19288"/>
    <cellStyle name="Normal 13 6 12" xfId="21041"/>
    <cellStyle name="Normal 13 6 13" xfId="22793"/>
    <cellStyle name="Normal 13 6 14" xfId="24545"/>
    <cellStyle name="Normal 13 6 15" xfId="26297"/>
    <cellStyle name="Normal 13 6 16" xfId="28049"/>
    <cellStyle name="Normal 13 6 17" xfId="29802"/>
    <cellStyle name="Normal 13 6 18" xfId="31554"/>
    <cellStyle name="Normal 13 6 19" xfId="33307"/>
    <cellStyle name="Normal 13 6 2" xfId="3518"/>
    <cellStyle name="Normal 13 6 20" xfId="35943"/>
    <cellStyle name="Normal 13 6 21" xfId="37686"/>
    <cellStyle name="Normal 13 6 22" xfId="39436"/>
    <cellStyle name="Normal 13 6 23" xfId="41191"/>
    <cellStyle name="Normal 13 6 24" xfId="42943"/>
    <cellStyle name="Normal 13 6 25" xfId="45561"/>
    <cellStyle name="Normal 13 6 26" xfId="47313"/>
    <cellStyle name="Normal 13 6 27" xfId="49065"/>
    <cellStyle name="Normal 13 6 28" xfId="50817"/>
    <cellStyle name="Normal 13 6 29" xfId="52569"/>
    <cellStyle name="Normal 13 6 3" xfId="5270"/>
    <cellStyle name="Normal 13 6 30" xfId="54321"/>
    <cellStyle name="Normal 13 6 31" xfId="56073"/>
    <cellStyle name="Normal 13 6 32" xfId="57826"/>
    <cellStyle name="Normal 13 6 33" xfId="59578"/>
    <cellStyle name="Normal 13 6 34" xfId="61330"/>
    <cellStyle name="Normal 13 6 4" xfId="7022"/>
    <cellStyle name="Normal 13 6 5" xfId="8774"/>
    <cellStyle name="Normal 13 6 6" xfId="10527"/>
    <cellStyle name="Normal 13 6 7" xfId="12279"/>
    <cellStyle name="Normal 13 6 8" xfId="14031"/>
    <cellStyle name="Normal 13 6 9" xfId="15783"/>
    <cellStyle name="Normal 13 7" xfId="2470"/>
    <cellStyle name="Normal 13 8" xfId="4394"/>
    <cellStyle name="Normal 13 9" xfId="6146"/>
    <cellStyle name="Normal 130" xfId="564"/>
    <cellStyle name="Normal 130 2" xfId="565"/>
    <cellStyle name="Normal 131" xfId="566"/>
    <cellStyle name="Normal 131 2" xfId="567"/>
    <cellStyle name="Normal 132" xfId="568"/>
    <cellStyle name="Normal 132 2" xfId="569"/>
    <cellStyle name="Normal 133" xfId="570"/>
    <cellStyle name="Normal 133 2" xfId="571"/>
    <cellStyle name="Normal 134" xfId="572"/>
    <cellStyle name="Normal 134 2" xfId="573"/>
    <cellStyle name="Normal 135" xfId="574"/>
    <cellStyle name="Normal 135 2" xfId="575"/>
    <cellStyle name="Normal 136" xfId="576"/>
    <cellStyle name="Normal 136 2" xfId="577"/>
    <cellStyle name="Normal 137" xfId="578"/>
    <cellStyle name="Normal 137 2" xfId="579"/>
    <cellStyle name="Normal 138" xfId="580"/>
    <cellStyle name="Normal 139" xfId="581"/>
    <cellStyle name="Normal 14" xfId="582"/>
    <cellStyle name="Normal 14 10" xfId="6147"/>
    <cellStyle name="Normal 14 11" xfId="7899"/>
    <cellStyle name="Normal 14 12" xfId="9652"/>
    <cellStyle name="Normal 14 13" xfId="11404"/>
    <cellStyle name="Normal 14 14" xfId="13156"/>
    <cellStyle name="Normal 14 15" xfId="14908"/>
    <cellStyle name="Normal 14 16" xfId="16661"/>
    <cellStyle name="Normal 14 17" xfId="18413"/>
    <cellStyle name="Normal 14 18" xfId="20166"/>
    <cellStyle name="Normal 14 19" xfId="21918"/>
    <cellStyle name="Normal 14 2" xfId="583"/>
    <cellStyle name="Normal 14 20" xfId="23670"/>
    <cellStyle name="Normal 14 21" xfId="25422"/>
    <cellStyle name="Normal 14 22" xfId="27174"/>
    <cellStyle name="Normal 14 23" xfId="28927"/>
    <cellStyle name="Normal 14 24" xfId="30679"/>
    <cellStyle name="Normal 14 25" xfId="32432"/>
    <cellStyle name="Normal 14 26" xfId="34252"/>
    <cellStyle name="Normal 14 27" xfId="35068"/>
    <cellStyle name="Normal 14 28" xfId="36873"/>
    <cellStyle name="Normal 14 29" xfId="38560"/>
    <cellStyle name="Normal 14 3" xfId="584"/>
    <cellStyle name="Normal 14 3 10" xfId="9707"/>
    <cellStyle name="Normal 14 3 11" xfId="11459"/>
    <cellStyle name="Normal 14 3 12" xfId="13211"/>
    <cellStyle name="Normal 14 3 13" xfId="14963"/>
    <cellStyle name="Normal 14 3 14" xfId="16716"/>
    <cellStyle name="Normal 14 3 15" xfId="18468"/>
    <cellStyle name="Normal 14 3 16" xfId="20221"/>
    <cellStyle name="Normal 14 3 17" xfId="21973"/>
    <cellStyle name="Normal 14 3 18" xfId="23725"/>
    <cellStyle name="Normal 14 3 19" xfId="25477"/>
    <cellStyle name="Normal 14 3 2" xfId="585"/>
    <cellStyle name="Normal 14 3 2 10" xfId="11567"/>
    <cellStyle name="Normal 14 3 2 11" xfId="13319"/>
    <cellStyle name="Normal 14 3 2 12" xfId="15071"/>
    <cellStyle name="Normal 14 3 2 13" xfId="16824"/>
    <cellStyle name="Normal 14 3 2 14" xfId="18576"/>
    <cellStyle name="Normal 14 3 2 15" xfId="20329"/>
    <cellStyle name="Normal 14 3 2 16" xfId="22081"/>
    <cellStyle name="Normal 14 3 2 17" xfId="23833"/>
    <cellStyle name="Normal 14 3 2 18" xfId="25585"/>
    <cellStyle name="Normal 14 3 2 19" xfId="27337"/>
    <cellStyle name="Normal 14 3 2 2" xfId="586"/>
    <cellStyle name="Normal 14 3 2 2 10" xfId="13378"/>
    <cellStyle name="Normal 14 3 2 2 11" xfId="15130"/>
    <cellStyle name="Normal 14 3 2 2 12" xfId="16883"/>
    <cellStyle name="Normal 14 3 2 2 13" xfId="18635"/>
    <cellStyle name="Normal 14 3 2 2 14" xfId="20388"/>
    <cellStyle name="Normal 14 3 2 2 15" xfId="22140"/>
    <cellStyle name="Normal 14 3 2 2 16" xfId="23892"/>
    <cellStyle name="Normal 14 3 2 2 17" xfId="25644"/>
    <cellStyle name="Normal 14 3 2 2 18" xfId="27396"/>
    <cellStyle name="Normal 14 3 2 2 19" xfId="29149"/>
    <cellStyle name="Normal 14 3 2 2 2" xfId="587"/>
    <cellStyle name="Normal 14 3 2 2 2 10" xfId="15566"/>
    <cellStyle name="Normal 14 3 2 2 2 11" xfId="17319"/>
    <cellStyle name="Normal 14 3 2 2 2 12" xfId="19071"/>
    <cellStyle name="Normal 14 3 2 2 2 13" xfId="20824"/>
    <cellStyle name="Normal 14 3 2 2 2 14" xfId="22576"/>
    <cellStyle name="Normal 14 3 2 2 2 15" xfId="24328"/>
    <cellStyle name="Normal 14 3 2 2 2 16" xfId="26080"/>
    <cellStyle name="Normal 14 3 2 2 2 17" xfId="27832"/>
    <cellStyle name="Normal 14 3 2 2 2 18" xfId="29585"/>
    <cellStyle name="Normal 14 3 2 2 2 19" xfId="31337"/>
    <cellStyle name="Normal 14 3 2 2 2 2" xfId="588"/>
    <cellStyle name="Normal 14 3 2 2 2 2 10" xfId="18195"/>
    <cellStyle name="Normal 14 3 2 2 2 2 11" xfId="19947"/>
    <cellStyle name="Normal 14 3 2 2 2 2 12" xfId="21700"/>
    <cellStyle name="Normal 14 3 2 2 2 2 13" xfId="23452"/>
    <cellStyle name="Normal 14 3 2 2 2 2 14" xfId="25204"/>
    <cellStyle name="Normal 14 3 2 2 2 2 15" xfId="26956"/>
    <cellStyle name="Normal 14 3 2 2 2 2 16" xfId="28708"/>
    <cellStyle name="Normal 14 3 2 2 2 2 17" xfId="30461"/>
    <cellStyle name="Normal 14 3 2 2 2 2 18" xfId="32213"/>
    <cellStyle name="Normal 14 3 2 2 2 2 19" xfId="33966"/>
    <cellStyle name="Normal 14 3 2 2 2 2 2" xfId="4177"/>
    <cellStyle name="Normal 14 3 2 2 2 2 20" xfId="36602"/>
    <cellStyle name="Normal 14 3 2 2 2 2 21" xfId="38342"/>
    <cellStyle name="Normal 14 3 2 2 2 2 22" xfId="40095"/>
    <cellStyle name="Normal 14 3 2 2 2 2 23" xfId="41850"/>
    <cellStyle name="Normal 14 3 2 2 2 2 24" xfId="43602"/>
    <cellStyle name="Normal 14 3 2 2 2 2 25" xfId="46220"/>
    <cellStyle name="Normal 14 3 2 2 2 2 26" xfId="47972"/>
    <cellStyle name="Normal 14 3 2 2 2 2 27" xfId="49724"/>
    <cellStyle name="Normal 14 3 2 2 2 2 28" xfId="51476"/>
    <cellStyle name="Normal 14 3 2 2 2 2 29" xfId="53228"/>
    <cellStyle name="Normal 14 3 2 2 2 2 3" xfId="5929"/>
    <cellStyle name="Normal 14 3 2 2 2 2 30" xfId="54980"/>
    <cellStyle name="Normal 14 3 2 2 2 2 31" xfId="56732"/>
    <cellStyle name="Normal 14 3 2 2 2 2 32" xfId="58485"/>
    <cellStyle name="Normal 14 3 2 2 2 2 33" xfId="60237"/>
    <cellStyle name="Normal 14 3 2 2 2 2 34" xfId="61989"/>
    <cellStyle name="Normal 14 3 2 2 2 2 4" xfId="7681"/>
    <cellStyle name="Normal 14 3 2 2 2 2 5" xfId="9433"/>
    <cellStyle name="Normal 14 3 2 2 2 2 6" xfId="11186"/>
    <cellStyle name="Normal 14 3 2 2 2 2 7" xfId="12938"/>
    <cellStyle name="Normal 14 3 2 2 2 2 8" xfId="14690"/>
    <cellStyle name="Normal 14 3 2 2 2 2 9" xfId="16442"/>
    <cellStyle name="Normal 14 3 2 2 2 20" xfId="33090"/>
    <cellStyle name="Normal 14 3 2 2 2 21" xfId="34256"/>
    <cellStyle name="Normal 14 3 2 2 2 22" xfId="35726"/>
    <cellStyle name="Normal 14 3 2 2 2 23" xfId="36877"/>
    <cellStyle name="Normal 14 3 2 2 2 24" xfId="39219"/>
    <cellStyle name="Normal 14 3 2 2 2 25" xfId="40974"/>
    <cellStyle name="Normal 14 3 2 2 2 26" xfId="42726"/>
    <cellStyle name="Normal 14 3 2 2 2 27" xfId="43877"/>
    <cellStyle name="Normal 14 3 2 2 2 28" xfId="45344"/>
    <cellStyle name="Normal 14 3 2 2 2 29" xfId="47096"/>
    <cellStyle name="Normal 14 3 2 2 2 3" xfId="3301"/>
    <cellStyle name="Normal 14 3 2 2 2 30" xfId="48848"/>
    <cellStyle name="Normal 14 3 2 2 2 31" xfId="50600"/>
    <cellStyle name="Normal 14 3 2 2 2 32" xfId="52352"/>
    <cellStyle name="Normal 14 3 2 2 2 33" xfId="54104"/>
    <cellStyle name="Normal 14 3 2 2 2 34" xfId="55856"/>
    <cellStyle name="Normal 14 3 2 2 2 35" xfId="57609"/>
    <cellStyle name="Normal 14 3 2 2 2 36" xfId="59361"/>
    <cellStyle name="Normal 14 3 2 2 2 37" xfId="61113"/>
    <cellStyle name="Normal 14 3 2 2 2 38" xfId="62264"/>
    <cellStyle name="Normal 14 3 2 2 2 39" xfId="63130"/>
    <cellStyle name="Normal 14 3 2 2 2 4" xfId="5053"/>
    <cellStyle name="Normal 14 3 2 2 2 5" xfId="6805"/>
    <cellStyle name="Normal 14 3 2 2 2 6" xfId="8557"/>
    <cellStyle name="Normal 14 3 2 2 2 7" xfId="10310"/>
    <cellStyle name="Normal 14 3 2 2 2 8" xfId="12062"/>
    <cellStyle name="Normal 14 3 2 2 2 9" xfId="13814"/>
    <cellStyle name="Normal 14 3 2 2 20" xfId="30901"/>
    <cellStyle name="Normal 14 3 2 2 21" xfId="32654"/>
    <cellStyle name="Normal 14 3 2 2 22" xfId="34255"/>
    <cellStyle name="Normal 14 3 2 2 23" xfId="35290"/>
    <cellStyle name="Normal 14 3 2 2 24" xfId="36876"/>
    <cellStyle name="Normal 14 3 2 2 25" xfId="38783"/>
    <cellStyle name="Normal 14 3 2 2 26" xfId="40538"/>
    <cellStyle name="Normal 14 3 2 2 27" xfId="42290"/>
    <cellStyle name="Normal 14 3 2 2 28" xfId="43876"/>
    <cellStyle name="Normal 14 3 2 2 29" xfId="44908"/>
    <cellStyle name="Normal 14 3 2 2 3" xfId="589"/>
    <cellStyle name="Normal 14 3 2 2 3 10" xfId="17759"/>
    <cellStyle name="Normal 14 3 2 2 3 11" xfId="19511"/>
    <cellStyle name="Normal 14 3 2 2 3 12" xfId="21264"/>
    <cellStyle name="Normal 14 3 2 2 3 13" xfId="23016"/>
    <cellStyle name="Normal 14 3 2 2 3 14" xfId="24768"/>
    <cellStyle name="Normal 14 3 2 2 3 15" xfId="26520"/>
    <cellStyle name="Normal 14 3 2 2 3 16" xfId="28272"/>
    <cellStyle name="Normal 14 3 2 2 3 17" xfId="30025"/>
    <cellStyle name="Normal 14 3 2 2 3 18" xfId="31777"/>
    <cellStyle name="Normal 14 3 2 2 3 19" xfId="33530"/>
    <cellStyle name="Normal 14 3 2 2 3 2" xfId="3741"/>
    <cellStyle name="Normal 14 3 2 2 3 20" xfId="36166"/>
    <cellStyle name="Normal 14 3 2 2 3 21" xfId="37906"/>
    <cellStyle name="Normal 14 3 2 2 3 22" xfId="39659"/>
    <cellStyle name="Normal 14 3 2 2 3 23" xfId="41414"/>
    <cellStyle name="Normal 14 3 2 2 3 24" xfId="43166"/>
    <cellStyle name="Normal 14 3 2 2 3 25" xfId="45784"/>
    <cellStyle name="Normal 14 3 2 2 3 26" xfId="47536"/>
    <cellStyle name="Normal 14 3 2 2 3 27" xfId="49288"/>
    <cellStyle name="Normal 14 3 2 2 3 28" xfId="51040"/>
    <cellStyle name="Normal 14 3 2 2 3 29" xfId="52792"/>
    <cellStyle name="Normal 14 3 2 2 3 3" xfId="5493"/>
    <cellStyle name="Normal 14 3 2 2 3 30" xfId="54544"/>
    <cellStyle name="Normal 14 3 2 2 3 31" xfId="56296"/>
    <cellStyle name="Normal 14 3 2 2 3 32" xfId="58049"/>
    <cellStyle name="Normal 14 3 2 2 3 33" xfId="59801"/>
    <cellStyle name="Normal 14 3 2 2 3 34" xfId="61553"/>
    <cellStyle name="Normal 14 3 2 2 3 4" xfId="7245"/>
    <cellStyle name="Normal 14 3 2 2 3 5" xfId="8997"/>
    <cellStyle name="Normal 14 3 2 2 3 6" xfId="10750"/>
    <cellStyle name="Normal 14 3 2 2 3 7" xfId="12502"/>
    <cellStyle name="Normal 14 3 2 2 3 8" xfId="14254"/>
    <cellStyle name="Normal 14 3 2 2 3 9" xfId="16006"/>
    <cellStyle name="Normal 14 3 2 2 30" xfId="46660"/>
    <cellStyle name="Normal 14 3 2 2 31" xfId="48412"/>
    <cellStyle name="Normal 14 3 2 2 32" xfId="50164"/>
    <cellStyle name="Normal 14 3 2 2 33" xfId="51916"/>
    <cellStyle name="Normal 14 3 2 2 34" xfId="53668"/>
    <cellStyle name="Normal 14 3 2 2 35" xfId="55420"/>
    <cellStyle name="Normal 14 3 2 2 36" xfId="57173"/>
    <cellStyle name="Normal 14 3 2 2 37" xfId="58925"/>
    <cellStyle name="Normal 14 3 2 2 38" xfId="60677"/>
    <cellStyle name="Normal 14 3 2 2 39" xfId="62263"/>
    <cellStyle name="Normal 14 3 2 2 4" xfId="2865"/>
    <cellStyle name="Normal 14 3 2 2 40" xfId="63129"/>
    <cellStyle name="Normal 14 3 2 2 5" xfId="4617"/>
    <cellStyle name="Normal 14 3 2 2 6" xfId="6369"/>
    <cellStyle name="Normal 14 3 2 2 7" xfId="8121"/>
    <cellStyle name="Normal 14 3 2 2 8" xfId="9874"/>
    <cellStyle name="Normal 14 3 2 2 9" xfId="11626"/>
    <cellStyle name="Normal 14 3 2 20" xfId="29090"/>
    <cellStyle name="Normal 14 3 2 21" xfId="30842"/>
    <cellStyle name="Normal 14 3 2 22" xfId="32595"/>
    <cellStyle name="Normal 14 3 2 23" xfId="34254"/>
    <cellStyle name="Normal 14 3 2 24" xfId="35231"/>
    <cellStyle name="Normal 14 3 2 25" xfId="36875"/>
    <cellStyle name="Normal 14 3 2 26" xfId="38724"/>
    <cellStyle name="Normal 14 3 2 27" xfId="40479"/>
    <cellStyle name="Normal 14 3 2 28" xfId="42231"/>
    <cellStyle name="Normal 14 3 2 29" xfId="43875"/>
    <cellStyle name="Normal 14 3 2 3" xfId="590"/>
    <cellStyle name="Normal 14 3 2 3 10" xfId="15507"/>
    <cellStyle name="Normal 14 3 2 3 11" xfId="17260"/>
    <cellStyle name="Normal 14 3 2 3 12" xfId="19012"/>
    <cellStyle name="Normal 14 3 2 3 13" xfId="20765"/>
    <cellStyle name="Normal 14 3 2 3 14" xfId="22517"/>
    <cellStyle name="Normal 14 3 2 3 15" xfId="24269"/>
    <cellStyle name="Normal 14 3 2 3 16" xfId="26021"/>
    <cellStyle name="Normal 14 3 2 3 17" xfId="27773"/>
    <cellStyle name="Normal 14 3 2 3 18" xfId="29526"/>
    <cellStyle name="Normal 14 3 2 3 19" xfId="31278"/>
    <cellStyle name="Normal 14 3 2 3 2" xfId="591"/>
    <cellStyle name="Normal 14 3 2 3 2 10" xfId="18136"/>
    <cellStyle name="Normal 14 3 2 3 2 11" xfId="19888"/>
    <cellStyle name="Normal 14 3 2 3 2 12" xfId="21641"/>
    <cellStyle name="Normal 14 3 2 3 2 13" xfId="23393"/>
    <cellStyle name="Normal 14 3 2 3 2 14" xfId="25145"/>
    <cellStyle name="Normal 14 3 2 3 2 15" xfId="26897"/>
    <cellStyle name="Normal 14 3 2 3 2 16" xfId="28649"/>
    <cellStyle name="Normal 14 3 2 3 2 17" xfId="30402"/>
    <cellStyle name="Normal 14 3 2 3 2 18" xfId="32154"/>
    <cellStyle name="Normal 14 3 2 3 2 19" xfId="33907"/>
    <cellStyle name="Normal 14 3 2 3 2 2" xfId="4118"/>
    <cellStyle name="Normal 14 3 2 3 2 20" xfId="36543"/>
    <cellStyle name="Normal 14 3 2 3 2 21" xfId="38283"/>
    <cellStyle name="Normal 14 3 2 3 2 22" xfId="40036"/>
    <cellStyle name="Normal 14 3 2 3 2 23" xfId="41791"/>
    <cellStyle name="Normal 14 3 2 3 2 24" xfId="43543"/>
    <cellStyle name="Normal 14 3 2 3 2 25" xfId="46161"/>
    <cellStyle name="Normal 14 3 2 3 2 26" xfId="47913"/>
    <cellStyle name="Normal 14 3 2 3 2 27" xfId="49665"/>
    <cellStyle name="Normal 14 3 2 3 2 28" xfId="51417"/>
    <cellStyle name="Normal 14 3 2 3 2 29" xfId="53169"/>
    <cellStyle name="Normal 14 3 2 3 2 3" xfId="5870"/>
    <cellStyle name="Normal 14 3 2 3 2 30" xfId="54921"/>
    <cellStyle name="Normal 14 3 2 3 2 31" xfId="56673"/>
    <cellStyle name="Normal 14 3 2 3 2 32" xfId="58426"/>
    <cellStyle name="Normal 14 3 2 3 2 33" xfId="60178"/>
    <cellStyle name="Normal 14 3 2 3 2 34" xfId="61930"/>
    <cellStyle name="Normal 14 3 2 3 2 4" xfId="7622"/>
    <cellStyle name="Normal 14 3 2 3 2 5" xfId="9374"/>
    <cellStyle name="Normal 14 3 2 3 2 6" xfId="11127"/>
    <cellStyle name="Normal 14 3 2 3 2 7" xfId="12879"/>
    <cellStyle name="Normal 14 3 2 3 2 8" xfId="14631"/>
    <cellStyle name="Normal 14 3 2 3 2 9" xfId="16383"/>
    <cellStyle name="Normal 14 3 2 3 20" xfId="33031"/>
    <cellStyle name="Normal 14 3 2 3 21" xfId="34257"/>
    <cellStyle name="Normal 14 3 2 3 22" xfId="35667"/>
    <cellStyle name="Normal 14 3 2 3 23" xfId="36878"/>
    <cellStyle name="Normal 14 3 2 3 24" xfId="39160"/>
    <cellStyle name="Normal 14 3 2 3 25" xfId="40915"/>
    <cellStyle name="Normal 14 3 2 3 26" xfId="42667"/>
    <cellStyle name="Normal 14 3 2 3 27" xfId="43878"/>
    <cellStyle name="Normal 14 3 2 3 28" xfId="45285"/>
    <cellStyle name="Normal 14 3 2 3 29" xfId="47037"/>
    <cellStyle name="Normal 14 3 2 3 3" xfId="3242"/>
    <cellStyle name="Normal 14 3 2 3 30" xfId="48789"/>
    <cellStyle name="Normal 14 3 2 3 31" xfId="50541"/>
    <cellStyle name="Normal 14 3 2 3 32" xfId="52293"/>
    <cellStyle name="Normal 14 3 2 3 33" xfId="54045"/>
    <cellStyle name="Normal 14 3 2 3 34" xfId="55797"/>
    <cellStyle name="Normal 14 3 2 3 35" xfId="57550"/>
    <cellStyle name="Normal 14 3 2 3 36" xfId="59302"/>
    <cellStyle name="Normal 14 3 2 3 37" xfId="61054"/>
    <cellStyle name="Normal 14 3 2 3 38" xfId="62265"/>
    <cellStyle name="Normal 14 3 2 3 39" xfId="63131"/>
    <cellStyle name="Normal 14 3 2 3 4" xfId="4994"/>
    <cellStyle name="Normal 14 3 2 3 5" xfId="6746"/>
    <cellStyle name="Normal 14 3 2 3 6" xfId="8498"/>
    <cellStyle name="Normal 14 3 2 3 7" xfId="10251"/>
    <cellStyle name="Normal 14 3 2 3 8" xfId="12003"/>
    <cellStyle name="Normal 14 3 2 3 9" xfId="13755"/>
    <cellStyle name="Normal 14 3 2 30" xfId="44849"/>
    <cellStyle name="Normal 14 3 2 31" xfId="46601"/>
    <cellStyle name="Normal 14 3 2 32" xfId="48353"/>
    <cellStyle name="Normal 14 3 2 33" xfId="50105"/>
    <cellStyle name="Normal 14 3 2 34" xfId="51857"/>
    <cellStyle name="Normal 14 3 2 35" xfId="53609"/>
    <cellStyle name="Normal 14 3 2 36" xfId="55361"/>
    <cellStyle name="Normal 14 3 2 37" xfId="57114"/>
    <cellStyle name="Normal 14 3 2 38" xfId="58866"/>
    <cellStyle name="Normal 14 3 2 39" xfId="60618"/>
    <cellStyle name="Normal 14 3 2 4" xfId="592"/>
    <cellStyle name="Normal 14 3 2 4 10" xfId="17700"/>
    <cellStyle name="Normal 14 3 2 4 11" xfId="19452"/>
    <cellStyle name="Normal 14 3 2 4 12" xfId="21205"/>
    <cellStyle name="Normal 14 3 2 4 13" xfId="22957"/>
    <cellStyle name="Normal 14 3 2 4 14" xfId="24709"/>
    <cellStyle name="Normal 14 3 2 4 15" xfId="26461"/>
    <cellStyle name="Normal 14 3 2 4 16" xfId="28213"/>
    <cellStyle name="Normal 14 3 2 4 17" xfId="29966"/>
    <cellStyle name="Normal 14 3 2 4 18" xfId="31718"/>
    <cellStyle name="Normal 14 3 2 4 19" xfId="33471"/>
    <cellStyle name="Normal 14 3 2 4 2" xfId="3682"/>
    <cellStyle name="Normal 14 3 2 4 20" xfId="36107"/>
    <cellStyle name="Normal 14 3 2 4 21" xfId="37847"/>
    <cellStyle name="Normal 14 3 2 4 22" xfId="39600"/>
    <cellStyle name="Normal 14 3 2 4 23" xfId="41355"/>
    <cellStyle name="Normal 14 3 2 4 24" xfId="43107"/>
    <cellStyle name="Normal 14 3 2 4 25" xfId="45725"/>
    <cellStyle name="Normal 14 3 2 4 26" xfId="47477"/>
    <cellStyle name="Normal 14 3 2 4 27" xfId="49229"/>
    <cellStyle name="Normal 14 3 2 4 28" xfId="50981"/>
    <cellStyle name="Normal 14 3 2 4 29" xfId="52733"/>
    <cellStyle name="Normal 14 3 2 4 3" xfId="5434"/>
    <cellStyle name="Normal 14 3 2 4 30" xfId="54485"/>
    <cellStyle name="Normal 14 3 2 4 31" xfId="56237"/>
    <cellStyle name="Normal 14 3 2 4 32" xfId="57990"/>
    <cellStyle name="Normal 14 3 2 4 33" xfId="59742"/>
    <cellStyle name="Normal 14 3 2 4 34" xfId="61494"/>
    <cellStyle name="Normal 14 3 2 4 4" xfId="7186"/>
    <cellStyle name="Normal 14 3 2 4 5" xfId="8938"/>
    <cellStyle name="Normal 14 3 2 4 6" xfId="10691"/>
    <cellStyle name="Normal 14 3 2 4 7" xfId="12443"/>
    <cellStyle name="Normal 14 3 2 4 8" xfId="14195"/>
    <cellStyle name="Normal 14 3 2 4 9" xfId="15947"/>
    <cellStyle name="Normal 14 3 2 40" xfId="62262"/>
    <cellStyle name="Normal 14 3 2 41" xfId="63128"/>
    <cellStyle name="Normal 14 3 2 5" xfId="2806"/>
    <cellStyle name="Normal 14 3 2 6" xfId="4558"/>
    <cellStyle name="Normal 14 3 2 7" xfId="6310"/>
    <cellStyle name="Normal 14 3 2 8" xfId="8062"/>
    <cellStyle name="Normal 14 3 2 9" xfId="9815"/>
    <cellStyle name="Normal 14 3 20" xfId="27229"/>
    <cellStyle name="Normal 14 3 21" xfId="28982"/>
    <cellStyle name="Normal 14 3 22" xfId="30734"/>
    <cellStyle name="Normal 14 3 23" xfId="32487"/>
    <cellStyle name="Normal 14 3 24" xfId="34253"/>
    <cellStyle name="Normal 14 3 25" xfId="35123"/>
    <cellStyle name="Normal 14 3 26" xfId="36874"/>
    <cellStyle name="Normal 14 3 27" xfId="38616"/>
    <cellStyle name="Normal 14 3 28" xfId="40371"/>
    <cellStyle name="Normal 14 3 29" xfId="42123"/>
    <cellStyle name="Normal 14 3 3" xfId="593"/>
    <cellStyle name="Normal 14 3 3 10" xfId="13379"/>
    <cellStyle name="Normal 14 3 3 11" xfId="15131"/>
    <cellStyle name="Normal 14 3 3 12" xfId="16884"/>
    <cellStyle name="Normal 14 3 3 13" xfId="18636"/>
    <cellStyle name="Normal 14 3 3 14" xfId="20389"/>
    <cellStyle name="Normal 14 3 3 15" xfId="22141"/>
    <cellStyle name="Normal 14 3 3 16" xfId="23893"/>
    <cellStyle name="Normal 14 3 3 17" xfId="25645"/>
    <cellStyle name="Normal 14 3 3 18" xfId="27397"/>
    <cellStyle name="Normal 14 3 3 19" xfId="29150"/>
    <cellStyle name="Normal 14 3 3 2" xfId="594"/>
    <cellStyle name="Normal 14 3 3 2 10" xfId="15567"/>
    <cellStyle name="Normal 14 3 3 2 11" xfId="17320"/>
    <cellStyle name="Normal 14 3 3 2 12" xfId="19072"/>
    <cellStyle name="Normal 14 3 3 2 13" xfId="20825"/>
    <cellStyle name="Normal 14 3 3 2 14" xfId="22577"/>
    <cellStyle name="Normal 14 3 3 2 15" xfId="24329"/>
    <cellStyle name="Normal 14 3 3 2 16" xfId="26081"/>
    <cellStyle name="Normal 14 3 3 2 17" xfId="27833"/>
    <cellStyle name="Normal 14 3 3 2 18" xfId="29586"/>
    <cellStyle name="Normal 14 3 3 2 19" xfId="31338"/>
    <cellStyle name="Normal 14 3 3 2 2" xfId="595"/>
    <cellStyle name="Normal 14 3 3 2 2 10" xfId="18196"/>
    <cellStyle name="Normal 14 3 3 2 2 11" xfId="19948"/>
    <cellStyle name="Normal 14 3 3 2 2 12" xfId="21701"/>
    <cellStyle name="Normal 14 3 3 2 2 13" xfId="23453"/>
    <cellStyle name="Normal 14 3 3 2 2 14" xfId="25205"/>
    <cellStyle name="Normal 14 3 3 2 2 15" xfId="26957"/>
    <cellStyle name="Normal 14 3 3 2 2 16" xfId="28709"/>
    <cellStyle name="Normal 14 3 3 2 2 17" xfId="30462"/>
    <cellStyle name="Normal 14 3 3 2 2 18" xfId="32214"/>
    <cellStyle name="Normal 14 3 3 2 2 19" xfId="33967"/>
    <cellStyle name="Normal 14 3 3 2 2 2" xfId="4178"/>
    <cellStyle name="Normal 14 3 3 2 2 20" xfId="36603"/>
    <cellStyle name="Normal 14 3 3 2 2 21" xfId="38343"/>
    <cellStyle name="Normal 14 3 3 2 2 22" xfId="40096"/>
    <cellStyle name="Normal 14 3 3 2 2 23" xfId="41851"/>
    <cellStyle name="Normal 14 3 3 2 2 24" xfId="43603"/>
    <cellStyle name="Normal 14 3 3 2 2 25" xfId="46221"/>
    <cellStyle name="Normal 14 3 3 2 2 26" xfId="47973"/>
    <cellStyle name="Normal 14 3 3 2 2 27" xfId="49725"/>
    <cellStyle name="Normal 14 3 3 2 2 28" xfId="51477"/>
    <cellStyle name="Normal 14 3 3 2 2 29" xfId="53229"/>
    <cellStyle name="Normal 14 3 3 2 2 3" xfId="5930"/>
    <cellStyle name="Normal 14 3 3 2 2 30" xfId="54981"/>
    <cellStyle name="Normal 14 3 3 2 2 31" xfId="56733"/>
    <cellStyle name="Normal 14 3 3 2 2 32" xfId="58486"/>
    <cellStyle name="Normal 14 3 3 2 2 33" xfId="60238"/>
    <cellStyle name="Normal 14 3 3 2 2 34" xfId="61990"/>
    <cellStyle name="Normal 14 3 3 2 2 4" xfId="7682"/>
    <cellStyle name="Normal 14 3 3 2 2 5" xfId="9434"/>
    <cellStyle name="Normal 14 3 3 2 2 6" xfId="11187"/>
    <cellStyle name="Normal 14 3 3 2 2 7" xfId="12939"/>
    <cellStyle name="Normal 14 3 3 2 2 8" xfId="14691"/>
    <cellStyle name="Normal 14 3 3 2 2 9" xfId="16443"/>
    <cellStyle name="Normal 14 3 3 2 20" xfId="33091"/>
    <cellStyle name="Normal 14 3 3 2 21" xfId="34259"/>
    <cellStyle name="Normal 14 3 3 2 22" xfId="35727"/>
    <cellStyle name="Normal 14 3 3 2 23" xfId="36880"/>
    <cellStyle name="Normal 14 3 3 2 24" xfId="39220"/>
    <cellStyle name="Normal 14 3 3 2 25" xfId="40975"/>
    <cellStyle name="Normal 14 3 3 2 26" xfId="42727"/>
    <cellStyle name="Normal 14 3 3 2 27" xfId="43880"/>
    <cellStyle name="Normal 14 3 3 2 28" xfId="45345"/>
    <cellStyle name="Normal 14 3 3 2 29" xfId="47097"/>
    <cellStyle name="Normal 14 3 3 2 3" xfId="3302"/>
    <cellStyle name="Normal 14 3 3 2 30" xfId="48849"/>
    <cellStyle name="Normal 14 3 3 2 31" xfId="50601"/>
    <cellStyle name="Normal 14 3 3 2 32" xfId="52353"/>
    <cellStyle name="Normal 14 3 3 2 33" xfId="54105"/>
    <cellStyle name="Normal 14 3 3 2 34" xfId="55857"/>
    <cellStyle name="Normal 14 3 3 2 35" xfId="57610"/>
    <cellStyle name="Normal 14 3 3 2 36" xfId="59362"/>
    <cellStyle name="Normal 14 3 3 2 37" xfId="61114"/>
    <cellStyle name="Normal 14 3 3 2 38" xfId="62267"/>
    <cellStyle name="Normal 14 3 3 2 39" xfId="63133"/>
    <cellStyle name="Normal 14 3 3 2 4" xfId="5054"/>
    <cellStyle name="Normal 14 3 3 2 5" xfId="6806"/>
    <cellStyle name="Normal 14 3 3 2 6" xfId="8558"/>
    <cellStyle name="Normal 14 3 3 2 7" xfId="10311"/>
    <cellStyle name="Normal 14 3 3 2 8" xfId="12063"/>
    <cellStyle name="Normal 14 3 3 2 9" xfId="13815"/>
    <cellStyle name="Normal 14 3 3 20" xfId="30902"/>
    <cellStyle name="Normal 14 3 3 21" xfId="32655"/>
    <cellStyle name="Normal 14 3 3 22" xfId="34258"/>
    <cellStyle name="Normal 14 3 3 23" xfId="35291"/>
    <cellStyle name="Normal 14 3 3 24" xfId="36879"/>
    <cellStyle name="Normal 14 3 3 25" xfId="38784"/>
    <cellStyle name="Normal 14 3 3 26" xfId="40539"/>
    <cellStyle name="Normal 14 3 3 27" xfId="42291"/>
    <cellStyle name="Normal 14 3 3 28" xfId="43879"/>
    <cellStyle name="Normal 14 3 3 29" xfId="44909"/>
    <cellStyle name="Normal 14 3 3 3" xfId="596"/>
    <cellStyle name="Normal 14 3 3 3 10" xfId="17760"/>
    <cellStyle name="Normal 14 3 3 3 11" xfId="19512"/>
    <cellStyle name="Normal 14 3 3 3 12" xfId="21265"/>
    <cellStyle name="Normal 14 3 3 3 13" xfId="23017"/>
    <cellStyle name="Normal 14 3 3 3 14" xfId="24769"/>
    <cellStyle name="Normal 14 3 3 3 15" xfId="26521"/>
    <cellStyle name="Normal 14 3 3 3 16" xfId="28273"/>
    <cellStyle name="Normal 14 3 3 3 17" xfId="30026"/>
    <cellStyle name="Normal 14 3 3 3 18" xfId="31778"/>
    <cellStyle name="Normal 14 3 3 3 19" xfId="33531"/>
    <cellStyle name="Normal 14 3 3 3 2" xfId="3742"/>
    <cellStyle name="Normal 14 3 3 3 20" xfId="36167"/>
    <cellStyle name="Normal 14 3 3 3 21" xfId="37907"/>
    <cellStyle name="Normal 14 3 3 3 22" xfId="39660"/>
    <cellStyle name="Normal 14 3 3 3 23" xfId="41415"/>
    <cellStyle name="Normal 14 3 3 3 24" xfId="43167"/>
    <cellStyle name="Normal 14 3 3 3 25" xfId="45785"/>
    <cellStyle name="Normal 14 3 3 3 26" xfId="47537"/>
    <cellStyle name="Normal 14 3 3 3 27" xfId="49289"/>
    <cellStyle name="Normal 14 3 3 3 28" xfId="51041"/>
    <cellStyle name="Normal 14 3 3 3 29" xfId="52793"/>
    <cellStyle name="Normal 14 3 3 3 3" xfId="5494"/>
    <cellStyle name="Normal 14 3 3 3 30" xfId="54545"/>
    <cellStyle name="Normal 14 3 3 3 31" xfId="56297"/>
    <cellStyle name="Normal 14 3 3 3 32" xfId="58050"/>
    <cellStyle name="Normal 14 3 3 3 33" xfId="59802"/>
    <cellStyle name="Normal 14 3 3 3 34" xfId="61554"/>
    <cellStyle name="Normal 14 3 3 3 4" xfId="7246"/>
    <cellStyle name="Normal 14 3 3 3 5" xfId="8998"/>
    <cellStyle name="Normal 14 3 3 3 6" xfId="10751"/>
    <cellStyle name="Normal 14 3 3 3 7" xfId="12503"/>
    <cellStyle name="Normal 14 3 3 3 8" xfId="14255"/>
    <cellStyle name="Normal 14 3 3 3 9" xfId="16007"/>
    <cellStyle name="Normal 14 3 3 30" xfId="46661"/>
    <cellStyle name="Normal 14 3 3 31" xfId="48413"/>
    <cellStyle name="Normal 14 3 3 32" xfId="50165"/>
    <cellStyle name="Normal 14 3 3 33" xfId="51917"/>
    <cellStyle name="Normal 14 3 3 34" xfId="53669"/>
    <cellStyle name="Normal 14 3 3 35" xfId="55421"/>
    <cellStyle name="Normal 14 3 3 36" xfId="57174"/>
    <cellStyle name="Normal 14 3 3 37" xfId="58926"/>
    <cellStyle name="Normal 14 3 3 38" xfId="60678"/>
    <cellStyle name="Normal 14 3 3 39" xfId="62266"/>
    <cellStyle name="Normal 14 3 3 4" xfId="2866"/>
    <cellStyle name="Normal 14 3 3 40" xfId="63132"/>
    <cellStyle name="Normal 14 3 3 5" xfId="4618"/>
    <cellStyle name="Normal 14 3 3 6" xfId="6370"/>
    <cellStyle name="Normal 14 3 3 7" xfId="8122"/>
    <cellStyle name="Normal 14 3 3 8" xfId="9875"/>
    <cellStyle name="Normal 14 3 3 9" xfId="11627"/>
    <cellStyle name="Normal 14 3 30" xfId="43874"/>
    <cellStyle name="Normal 14 3 31" xfId="44741"/>
    <cellStyle name="Normal 14 3 32" xfId="46493"/>
    <cellStyle name="Normal 14 3 33" xfId="48245"/>
    <cellStyle name="Normal 14 3 34" xfId="49997"/>
    <cellStyle name="Normal 14 3 35" xfId="51749"/>
    <cellStyle name="Normal 14 3 36" xfId="53501"/>
    <cellStyle name="Normal 14 3 37" xfId="55253"/>
    <cellStyle name="Normal 14 3 38" xfId="57006"/>
    <cellStyle name="Normal 14 3 39" xfId="58758"/>
    <cellStyle name="Normal 14 3 4" xfId="597"/>
    <cellStyle name="Normal 14 3 4 10" xfId="15399"/>
    <cellStyle name="Normal 14 3 4 11" xfId="17152"/>
    <cellStyle name="Normal 14 3 4 12" xfId="18904"/>
    <cellStyle name="Normal 14 3 4 13" xfId="20657"/>
    <cellStyle name="Normal 14 3 4 14" xfId="22409"/>
    <cellStyle name="Normal 14 3 4 15" xfId="24161"/>
    <cellStyle name="Normal 14 3 4 16" xfId="25913"/>
    <cellStyle name="Normal 14 3 4 17" xfId="27665"/>
    <cellStyle name="Normal 14 3 4 18" xfId="29418"/>
    <cellStyle name="Normal 14 3 4 19" xfId="31170"/>
    <cellStyle name="Normal 14 3 4 2" xfId="598"/>
    <cellStyle name="Normal 14 3 4 2 10" xfId="18028"/>
    <cellStyle name="Normal 14 3 4 2 11" xfId="19780"/>
    <cellStyle name="Normal 14 3 4 2 12" xfId="21533"/>
    <cellStyle name="Normal 14 3 4 2 13" xfId="23285"/>
    <cellStyle name="Normal 14 3 4 2 14" xfId="25037"/>
    <cellStyle name="Normal 14 3 4 2 15" xfId="26789"/>
    <cellStyle name="Normal 14 3 4 2 16" xfId="28541"/>
    <cellStyle name="Normal 14 3 4 2 17" xfId="30294"/>
    <cellStyle name="Normal 14 3 4 2 18" xfId="32046"/>
    <cellStyle name="Normal 14 3 4 2 19" xfId="33799"/>
    <cellStyle name="Normal 14 3 4 2 2" xfId="4010"/>
    <cellStyle name="Normal 14 3 4 2 20" xfId="36435"/>
    <cellStyle name="Normal 14 3 4 2 21" xfId="38175"/>
    <cellStyle name="Normal 14 3 4 2 22" xfId="39928"/>
    <cellStyle name="Normal 14 3 4 2 23" xfId="41683"/>
    <cellStyle name="Normal 14 3 4 2 24" xfId="43435"/>
    <cellStyle name="Normal 14 3 4 2 25" xfId="46053"/>
    <cellStyle name="Normal 14 3 4 2 26" xfId="47805"/>
    <cellStyle name="Normal 14 3 4 2 27" xfId="49557"/>
    <cellStyle name="Normal 14 3 4 2 28" xfId="51309"/>
    <cellStyle name="Normal 14 3 4 2 29" xfId="53061"/>
    <cellStyle name="Normal 14 3 4 2 3" xfId="5762"/>
    <cellStyle name="Normal 14 3 4 2 30" xfId="54813"/>
    <cellStyle name="Normal 14 3 4 2 31" xfId="56565"/>
    <cellStyle name="Normal 14 3 4 2 32" xfId="58318"/>
    <cellStyle name="Normal 14 3 4 2 33" xfId="60070"/>
    <cellStyle name="Normal 14 3 4 2 34" xfId="61822"/>
    <cellStyle name="Normal 14 3 4 2 4" xfId="7514"/>
    <cellStyle name="Normal 14 3 4 2 5" xfId="9266"/>
    <cellStyle name="Normal 14 3 4 2 6" xfId="11019"/>
    <cellStyle name="Normal 14 3 4 2 7" xfId="12771"/>
    <cellStyle name="Normal 14 3 4 2 8" xfId="14523"/>
    <cellStyle name="Normal 14 3 4 2 9" xfId="16275"/>
    <cellStyle name="Normal 14 3 4 20" xfId="32923"/>
    <cellStyle name="Normal 14 3 4 21" xfId="34260"/>
    <cellStyle name="Normal 14 3 4 22" xfId="35559"/>
    <cellStyle name="Normal 14 3 4 23" xfId="36881"/>
    <cellStyle name="Normal 14 3 4 24" xfId="39052"/>
    <cellStyle name="Normal 14 3 4 25" xfId="40807"/>
    <cellStyle name="Normal 14 3 4 26" xfId="42559"/>
    <cellStyle name="Normal 14 3 4 27" xfId="43881"/>
    <cellStyle name="Normal 14 3 4 28" xfId="45177"/>
    <cellStyle name="Normal 14 3 4 29" xfId="46929"/>
    <cellStyle name="Normal 14 3 4 3" xfId="3134"/>
    <cellStyle name="Normal 14 3 4 30" xfId="48681"/>
    <cellStyle name="Normal 14 3 4 31" xfId="50433"/>
    <cellStyle name="Normal 14 3 4 32" xfId="52185"/>
    <cellStyle name="Normal 14 3 4 33" xfId="53937"/>
    <cellStyle name="Normal 14 3 4 34" xfId="55689"/>
    <cellStyle name="Normal 14 3 4 35" xfId="57442"/>
    <cellStyle name="Normal 14 3 4 36" xfId="59194"/>
    <cellStyle name="Normal 14 3 4 37" xfId="60946"/>
    <cellStyle name="Normal 14 3 4 38" xfId="62268"/>
    <cellStyle name="Normal 14 3 4 39" xfId="63134"/>
    <cellStyle name="Normal 14 3 4 4" xfId="4886"/>
    <cellStyle name="Normal 14 3 4 5" xfId="6638"/>
    <cellStyle name="Normal 14 3 4 6" xfId="8390"/>
    <cellStyle name="Normal 14 3 4 7" xfId="10143"/>
    <cellStyle name="Normal 14 3 4 8" xfId="11895"/>
    <cellStyle name="Normal 14 3 4 9" xfId="13647"/>
    <cellStyle name="Normal 14 3 40" xfId="60510"/>
    <cellStyle name="Normal 14 3 41" xfId="62261"/>
    <cellStyle name="Normal 14 3 42" xfId="63127"/>
    <cellStyle name="Normal 14 3 5" xfId="599"/>
    <cellStyle name="Normal 14 3 5 10" xfId="17592"/>
    <cellStyle name="Normal 14 3 5 11" xfId="19344"/>
    <cellStyle name="Normal 14 3 5 12" xfId="21097"/>
    <cellStyle name="Normal 14 3 5 13" xfId="22849"/>
    <cellStyle name="Normal 14 3 5 14" xfId="24601"/>
    <cellStyle name="Normal 14 3 5 15" xfId="26353"/>
    <cellStyle name="Normal 14 3 5 16" xfId="28105"/>
    <cellStyle name="Normal 14 3 5 17" xfId="29858"/>
    <cellStyle name="Normal 14 3 5 18" xfId="31610"/>
    <cellStyle name="Normal 14 3 5 19" xfId="33363"/>
    <cellStyle name="Normal 14 3 5 2" xfId="3574"/>
    <cellStyle name="Normal 14 3 5 20" xfId="35999"/>
    <cellStyle name="Normal 14 3 5 21" xfId="37724"/>
    <cellStyle name="Normal 14 3 5 22" xfId="39492"/>
    <cellStyle name="Normal 14 3 5 23" xfId="41247"/>
    <cellStyle name="Normal 14 3 5 24" xfId="42999"/>
    <cellStyle name="Normal 14 3 5 25" xfId="45617"/>
    <cellStyle name="Normal 14 3 5 26" xfId="47369"/>
    <cellStyle name="Normal 14 3 5 27" xfId="49121"/>
    <cellStyle name="Normal 14 3 5 28" xfId="50873"/>
    <cellStyle name="Normal 14 3 5 29" xfId="52625"/>
    <cellStyle name="Normal 14 3 5 3" xfId="5326"/>
    <cellStyle name="Normal 14 3 5 30" xfId="54377"/>
    <cellStyle name="Normal 14 3 5 31" xfId="56129"/>
    <cellStyle name="Normal 14 3 5 32" xfId="57882"/>
    <cellStyle name="Normal 14 3 5 33" xfId="59634"/>
    <cellStyle name="Normal 14 3 5 34" xfId="61386"/>
    <cellStyle name="Normal 14 3 5 4" xfId="7078"/>
    <cellStyle name="Normal 14 3 5 5" xfId="8830"/>
    <cellStyle name="Normal 14 3 5 6" xfId="10583"/>
    <cellStyle name="Normal 14 3 5 7" xfId="12335"/>
    <cellStyle name="Normal 14 3 5 8" xfId="14087"/>
    <cellStyle name="Normal 14 3 5 9" xfId="15839"/>
    <cellStyle name="Normal 14 3 6" xfId="2698"/>
    <cellStyle name="Normal 14 3 7" xfId="4450"/>
    <cellStyle name="Normal 14 3 8" xfId="6202"/>
    <cellStyle name="Normal 14 3 9" xfId="7954"/>
    <cellStyle name="Normal 14 30" xfId="40316"/>
    <cellStyle name="Normal 14 31" xfId="42068"/>
    <cellStyle name="Normal 14 32" xfId="43873"/>
    <cellStyle name="Normal 14 33" xfId="44686"/>
    <cellStyle name="Normal 14 34" xfId="46438"/>
    <cellStyle name="Normal 14 35" xfId="48190"/>
    <cellStyle name="Normal 14 36" xfId="49942"/>
    <cellStyle name="Normal 14 37" xfId="51694"/>
    <cellStyle name="Normal 14 38" xfId="53446"/>
    <cellStyle name="Normal 14 39" xfId="55198"/>
    <cellStyle name="Normal 14 4" xfId="600"/>
    <cellStyle name="Normal 14 4 10" xfId="11512"/>
    <cellStyle name="Normal 14 4 11" xfId="13264"/>
    <cellStyle name="Normal 14 4 12" xfId="15016"/>
    <cellStyle name="Normal 14 4 13" xfId="16769"/>
    <cellStyle name="Normal 14 4 14" xfId="18521"/>
    <cellStyle name="Normal 14 4 15" xfId="20274"/>
    <cellStyle name="Normal 14 4 16" xfId="22026"/>
    <cellStyle name="Normal 14 4 17" xfId="23778"/>
    <cellStyle name="Normal 14 4 18" xfId="25530"/>
    <cellStyle name="Normal 14 4 19" xfId="27282"/>
    <cellStyle name="Normal 14 4 2" xfId="601"/>
    <cellStyle name="Normal 14 4 2 10" xfId="13380"/>
    <cellStyle name="Normal 14 4 2 11" xfId="15132"/>
    <cellStyle name="Normal 14 4 2 12" xfId="16885"/>
    <cellStyle name="Normal 14 4 2 13" xfId="18637"/>
    <cellStyle name="Normal 14 4 2 14" xfId="20390"/>
    <cellStyle name="Normal 14 4 2 15" xfId="22142"/>
    <cellStyle name="Normal 14 4 2 16" xfId="23894"/>
    <cellStyle name="Normal 14 4 2 17" xfId="25646"/>
    <cellStyle name="Normal 14 4 2 18" xfId="27398"/>
    <cellStyle name="Normal 14 4 2 19" xfId="29151"/>
    <cellStyle name="Normal 14 4 2 2" xfId="602"/>
    <cellStyle name="Normal 14 4 2 2 10" xfId="15568"/>
    <cellStyle name="Normal 14 4 2 2 11" xfId="17321"/>
    <cellStyle name="Normal 14 4 2 2 12" xfId="19073"/>
    <cellStyle name="Normal 14 4 2 2 13" xfId="20826"/>
    <cellStyle name="Normal 14 4 2 2 14" xfId="22578"/>
    <cellStyle name="Normal 14 4 2 2 15" xfId="24330"/>
    <cellStyle name="Normal 14 4 2 2 16" xfId="26082"/>
    <cellStyle name="Normal 14 4 2 2 17" xfId="27834"/>
    <cellStyle name="Normal 14 4 2 2 18" xfId="29587"/>
    <cellStyle name="Normal 14 4 2 2 19" xfId="31339"/>
    <cellStyle name="Normal 14 4 2 2 2" xfId="603"/>
    <cellStyle name="Normal 14 4 2 2 2 10" xfId="18197"/>
    <cellStyle name="Normal 14 4 2 2 2 11" xfId="19949"/>
    <cellStyle name="Normal 14 4 2 2 2 12" xfId="21702"/>
    <cellStyle name="Normal 14 4 2 2 2 13" xfId="23454"/>
    <cellStyle name="Normal 14 4 2 2 2 14" xfId="25206"/>
    <cellStyle name="Normal 14 4 2 2 2 15" xfId="26958"/>
    <cellStyle name="Normal 14 4 2 2 2 16" xfId="28710"/>
    <cellStyle name="Normal 14 4 2 2 2 17" xfId="30463"/>
    <cellStyle name="Normal 14 4 2 2 2 18" xfId="32215"/>
    <cellStyle name="Normal 14 4 2 2 2 19" xfId="33968"/>
    <cellStyle name="Normal 14 4 2 2 2 2" xfId="4179"/>
    <cellStyle name="Normal 14 4 2 2 2 20" xfId="36604"/>
    <cellStyle name="Normal 14 4 2 2 2 21" xfId="38344"/>
    <cellStyle name="Normal 14 4 2 2 2 22" xfId="40097"/>
    <cellStyle name="Normal 14 4 2 2 2 23" xfId="41852"/>
    <cellStyle name="Normal 14 4 2 2 2 24" xfId="43604"/>
    <cellStyle name="Normal 14 4 2 2 2 25" xfId="46222"/>
    <cellStyle name="Normal 14 4 2 2 2 26" xfId="47974"/>
    <cellStyle name="Normal 14 4 2 2 2 27" xfId="49726"/>
    <cellStyle name="Normal 14 4 2 2 2 28" xfId="51478"/>
    <cellStyle name="Normal 14 4 2 2 2 29" xfId="53230"/>
    <cellStyle name="Normal 14 4 2 2 2 3" xfId="5931"/>
    <cellStyle name="Normal 14 4 2 2 2 30" xfId="54982"/>
    <cellStyle name="Normal 14 4 2 2 2 31" xfId="56734"/>
    <cellStyle name="Normal 14 4 2 2 2 32" xfId="58487"/>
    <cellStyle name="Normal 14 4 2 2 2 33" xfId="60239"/>
    <cellStyle name="Normal 14 4 2 2 2 34" xfId="61991"/>
    <cellStyle name="Normal 14 4 2 2 2 4" xfId="7683"/>
    <cellStyle name="Normal 14 4 2 2 2 5" xfId="9435"/>
    <cellStyle name="Normal 14 4 2 2 2 6" xfId="11188"/>
    <cellStyle name="Normal 14 4 2 2 2 7" xfId="12940"/>
    <cellStyle name="Normal 14 4 2 2 2 8" xfId="14692"/>
    <cellStyle name="Normal 14 4 2 2 2 9" xfId="16444"/>
    <cellStyle name="Normal 14 4 2 2 20" xfId="33092"/>
    <cellStyle name="Normal 14 4 2 2 21" xfId="34263"/>
    <cellStyle name="Normal 14 4 2 2 22" xfId="35728"/>
    <cellStyle name="Normal 14 4 2 2 23" xfId="36884"/>
    <cellStyle name="Normal 14 4 2 2 24" xfId="39221"/>
    <cellStyle name="Normal 14 4 2 2 25" xfId="40976"/>
    <cellStyle name="Normal 14 4 2 2 26" xfId="42728"/>
    <cellStyle name="Normal 14 4 2 2 27" xfId="43884"/>
    <cellStyle name="Normal 14 4 2 2 28" xfId="45346"/>
    <cellStyle name="Normal 14 4 2 2 29" xfId="47098"/>
    <cellStyle name="Normal 14 4 2 2 3" xfId="3303"/>
    <cellStyle name="Normal 14 4 2 2 30" xfId="48850"/>
    <cellStyle name="Normal 14 4 2 2 31" xfId="50602"/>
    <cellStyle name="Normal 14 4 2 2 32" xfId="52354"/>
    <cellStyle name="Normal 14 4 2 2 33" xfId="54106"/>
    <cellStyle name="Normal 14 4 2 2 34" xfId="55858"/>
    <cellStyle name="Normal 14 4 2 2 35" xfId="57611"/>
    <cellStyle name="Normal 14 4 2 2 36" xfId="59363"/>
    <cellStyle name="Normal 14 4 2 2 37" xfId="61115"/>
    <cellStyle name="Normal 14 4 2 2 38" xfId="62271"/>
    <cellStyle name="Normal 14 4 2 2 39" xfId="63137"/>
    <cellStyle name="Normal 14 4 2 2 4" xfId="5055"/>
    <cellStyle name="Normal 14 4 2 2 5" xfId="6807"/>
    <cellStyle name="Normal 14 4 2 2 6" xfId="8559"/>
    <cellStyle name="Normal 14 4 2 2 7" xfId="10312"/>
    <cellStyle name="Normal 14 4 2 2 8" xfId="12064"/>
    <cellStyle name="Normal 14 4 2 2 9" xfId="13816"/>
    <cellStyle name="Normal 14 4 2 20" xfId="30903"/>
    <cellStyle name="Normal 14 4 2 21" xfId="32656"/>
    <cellStyle name="Normal 14 4 2 22" xfId="34262"/>
    <cellStyle name="Normal 14 4 2 23" xfId="35292"/>
    <cellStyle name="Normal 14 4 2 24" xfId="36883"/>
    <cellStyle name="Normal 14 4 2 25" xfId="38785"/>
    <cellStyle name="Normal 14 4 2 26" xfId="40540"/>
    <cellStyle name="Normal 14 4 2 27" xfId="42292"/>
    <cellStyle name="Normal 14 4 2 28" xfId="43883"/>
    <cellStyle name="Normal 14 4 2 29" xfId="44910"/>
    <cellStyle name="Normal 14 4 2 3" xfId="604"/>
    <cellStyle name="Normal 14 4 2 3 10" xfId="17761"/>
    <cellStyle name="Normal 14 4 2 3 11" xfId="19513"/>
    <cellStyle name="Normal 14 4 2 3 12" xfId="21266"/>
    <cellStyle name="Normal 14 4 2 3 13" xfId="23018"/>
    <cellStyle name="Normal 14 4 2 3 14" xfId="24770"/>
    <cellStyle name="Normal 14 4 2 3 15" xfId="26522"/>
    <cellStyle name="Normal 14 4 2 3 16" xfId="28274"/>
    <cellStyle name="Normal 14 4 2 3 17" xfId="30027"/>
    <cellStyle name="Normal 14 4 2 3 18" xfId="31779"/>
    <cellStyle name="Normal 14 4 2 3 19" xfId="33532"/>
    <cellStyle name="Normal 14 4 2 3 2" xfId="3743"/>
    <cellStyle name="Normal 14 4 2 3 20" xfId="36168"/>
    <cellStyle name="Normal 14 4 2 3 21" xfId="37908"/>
    <cellStyle name="Normal 14 4 2 3 22" xfId="39661"/>
    <cellStyle name="Normal 14 4 2 3 23" xfId="41416"/>
    <cellStyle name="Normal 14 4 2 3 24" xfId="43168"/>
    <cellStyle name="Normal 14 4 2 3 25" xfId="45786"/>
    <cellStyle name="Normal 14 4 2 3 26" xfId="47538"/>
    <cellStyle name="Normal 14 4 2 3 27" xfId="49290"/>
    <cellStyle name="Normal 14 4 2 3 28" xfId="51042"/>
    <cellStyle name="Normal 14 4 2 3 29" xfId="52794"/>
    <cellStyle name="Normal 14 4 2 3 3" xfId="5495"/>
    <cellStyle name="Normal 14 4 2 3 30" xfId="54546"/>
    <cellStyle name="Normal 14 4 2 3 31" xfId="56298"/>
    <cellStyle name="Normal 14 4 2 3 32" xfId="58051"/>
    <cellStyle name="Normal 14 4 2 3 33" xfId="59803"/>
    <cellStyle name="Normal 14 4 2 3 34" xfId="61555"/>
    <cellStyle name="Normal 14 4 2 3 4" xfId="7247"/>
    <cellStyle name="Normal 14 4 2 3 5" xfId="8999"/>
    <cellStyle name="Normal 14 4 2 3 6" xfId="10752"/>
    <cellStyle name="Normal 14 4 2 3 7" xfId="12504"/>
    <cellStyle name="Normal 14 4 2 3 8" xfId="14256"/>
    <cellStyle name="Normal 14 4 2 3 9" xfId="16008"/>
    <cellStyle name="Normal 14 4 2 30" xfId="46662"/>
    <cellStyle name="Normal 14 4 2 31" xfId="48414"/>
    <cellStyle name="Normal 14 4 2 32" xfId="50166"/>
    <cellStyle name="Normal 14 4 2 33" xfId="51918"/>
    <cellStyle name="Normal 14 4 2 34" xfId="53670"/>
    <cellStyle name="Normal 14 4 2 35" xfId="55422"/>
    <cellStyle name="Normal 14 4 2 36" xfId="57175"/>
    <cellStyle name="Normal 14 4 2 37" xfId="58927"/>
    <cellStyle name="Normal 14 4 2 38" xfId="60679"/>
    <cellStyle name="Normal 14 4 2 39" xfId="62270"/>
    <cellStyle name="Normal 14 4 2 4" xfId="2867"/>
    <cellStyle name="Normal 14 4 2 40" xfId="63136"/>
    <cellStyle name="Normal 14 4 2 5" xfId="4619"/>
    <cellStyle name="Normal 14 4 2 6" xfId="6371"/>
    <cellStyle name="Normal 14 4 2 7" xfId="8123"/>
    <cellStyle name="Normal 14 4 2 8" xfId="9876"/>
    <cellStyle name="Normal 14 4 2 9" xfId="11628"/>
    <cellStyle name="Normal 14 4 20" xfId="29035"/>
    <cellStyle name="Normal 14 4 21" xfId="30787"/>
    <cellStyle name="Normal 14 4 22" xfId="32540"/>
    <cellStyle name="Normal 14 4 23" xfId="34261"/>
    <cellStyle name="Normal 14 4 24" xfId="35176"/>
    <cellStyle name="Normal 14 4 25" xfId="36882"/>
    <cellStyle name="Normal 14 4 26" xfId="38669"/>
    <cellStyle name="Normal 14 4 27" xfId="40424"/>
    <cellStyle name="Normal 14 4 28" xfId="42176"/>
    <cellStyle name="Normal 14 4 29" xfId="43882"/>
    <cellStyle name="Normal 14 4 3" xfId="605"/>
    <cellStyle name="Normal 14 4 3 10" xfId="15452"/>
    <cellStyle name="Normal 14 4 3 11" xfId="17205"/>
    <cellStyle name="Normal 14 4 3 12" xfId="18957"/>
    <cellStyle name="Normal 14 4 3 13" xfId="20710"/>
    <cellStyle name="Normal 14 4 3 14" xfId="22462"/>
    <cellStyle name="Normal 14 4 3 15" xfId="24214"/>
    <cellStyle name="Normal 14 4 3 16" xfId="25966"/>
    <cellStyle name="Normal 14 4 3 17" xfId="27718"/>
    <cellStyle name="Normal 14 4 3 18" xfId="29471"/>
    <cellStyle name="Normal 14 4 3 19" xfId="31223"/>
    <cellStyle name="Normal 14 4 3 2" xfId="606"/>
    <cellStyle name="Normal 14 4 3 2 10" xfId="18081"/>
    <cellStyle name="Normal 14 4 3 2 11" xfId="19833"/>
    <cellStyle name="Normal 14 4 3 2 12" xfId="21586"/>
    <cellStyle name="Normal 14 4 3 2 13" xfId="23338"/>
    <cellStyle name="Normal 14 4 3 2 14" xfId="25090"/>
    <cellStyle name="Normal 14 4 3 2 15" xfId="26842"/>
    <cellStyle name="Normal 14 4 3 2 16" xfId="28594"/>
    <cellStyle name="Normal 14 4 3 2 17" xfId="30347"/>
    <cellStyle name="Normal 14 4 3 2 18" xfId="32099"/>
    <cellStyle name="Normal 14 4 3 2 19" xfId="33852"/>
    <cellStyle name="Normal 14 4 3 2 2" xfId="4063"/>
    <cellStyle name="Normal 14 4 3 2 20" xfId="36488"/>
    <cellStyle name="Normal 14 4 3 2 21" xfId="38228"/>
    <cellStyle name="Normal 14 4 3 2 22" xfId="39981"/>
    <cellStyle name="Normal 14 4 3 2 23" xfId="41736"/>
    <cellStyle name="Normal 14 4 3 2 24" xfId="43488"/>
    <cellStyle name="Normal 14 4 3 2 25" xfId="46106"/>
    <cellStyle name="Normal 14 4 3 2 26" xfId="47858"/>
    <cellStyle name="Normal 14 4 3 2 27" xfId="49610"/>
    <cellStyle name="Normal 14 4 3 2 28" xfId="51362"/>
    <cellStyle name="Normal 14 4 3 2 29" xfId="53114"/>
    <cellStyle name="Normal 14 4 3 2 3" xfId="5815"/>
    <cellStyle name="Normal 14 4 3 2 30" xfId="54866"/>
    <cellStyle name="Normal 14 4 3 2 31" xfId="56618"/>
    <cellStyle name="Normal 14 4 3 2 32" xfId="58371"/>
    <cellStyle name="Normal 14 4 3 2 33" xfId="60123"/>
    <cellStyle name="Normal 14 4 3 2 34" xfId="61875"/>
    <cellStyle name="Normal 14 4 3 2 4" xfId="7567"/>
    <cellStyle name="Normal 14 4 3 2 5" xfId="9319"/>
    <cellStyle name="Normal 14 4 3 2 6" xfId="11072"/>
    <cellStyle name="Normal 14 4 3 2 7" xfId="12824"/>
    <cellStyle name="Normal 14 4 3 2 8" xfId="14576"/>
    <cellStyle name="Normal 14 4 3 2 9" xfId="16328"/>
    <cellStyle name="Normal 14 4 3 20" xfId="32976"/>
    <cellStyle name="Normal 14 4 3 21" xfId="34264"/>
    <cellStyle name="Normal 14 4 3 22" xfId="35612"/>
    <cellStyle name="Normal 14 4 3 23" xfId="36885"/>
    <cellStyle name="Normal 14 4 3 24" xfId="39105"/>
    <cellStyle name="Normal 14 4 3 25" xfId="40860"/>
    <cellStyle name="Normal 14 4 3 26" xfId="42612"/>
    <cellStyle name="Normal 14 4 3 27" xfId="43885"/>
    <cellStyle name="Normal 14 4 3 28" xfId="45230"/>
    <cellStyle name="Normal 14 4 3 29" xfId="46982"/>
    <cellStyle name="Normal 14 4 3 3" xfId="3187"/>
    <cellStyle name="Normal 14 4 3 30" xfId="48734"/>
    <cellStyle name="Normal 14 4 3 31" xfId="50486"/>
    <cellStyle name="Normal 14 4 3 32" xfId="52238"/>
    <cellStyle name="Normal 14 4 3 33" xfId="53990"/>
    <cellStyle name="Normal 14 4 3 34" xfId="55742"/>
    <cellStyle name="Normal 14 4 3 35" xfId="57495"/>
    <cellStyle name="Normal 14 4 3 36" xfId="59247"/>
    <cellStyle name="Normal 14 4 3 37" xfId="60999"/>
    <cellStyle name="Normal 14 4 3 38" xfId="62272"/>
    <cellStyle name="Normal 14 4 3 39" xfId="63138"/>
    <cellStyle name="Normal 14 4 3 4" xfId="4939"/>
    <cellStyle name="Normal 14 4 3 5" xfId="6691"/>
    <cellStyle name="Normal 14 4 3 6" xfId="8443"/>
    <cellStyle name="Normal 14 4 3 7" xfId="10196"/>
    <cellStyle name="Normal 14 4 3 8" xfId="11948"/>
    <cellStyle name="Normal 14 4 3 9" xfId="13700"/>
    <cellStyle name="Normal 14 4 30" xfId="44794"/>
    <cellStyle name="Normal 14 4 31" xfId="46546"/>
    <cellStyle name="Normal 14 4 32" xfId="48298"/>
    <cellStyle name="Normal 14 4 33" xfId="50050"/>
    <cellStyle name="Normal 14 4 34" xfId="51802"/>
    <cellStyle name="Normal 14 4 35" xfId="53554"/>
    <cellStyle name="Normal 14 4 36" xfId="55306"/>
    <cellStyle name="Normal 14 4 37" xfId="57059"/>
    <cellStyle name="Normal 14 4 38" xfId="58811"/>
    <cellStyle name="Normal 14 4 39" xfId="60563"/>
    <cellStyle name="Normal 14 4 4" xfId="607"/>
    <cellStyle name="Normal 14 4 4 10" xfId="17645"/>
    <cellStyle name="Normal 14 4 4 11" xfId="19397"/>
    <cellStyle name="Normal 14 4 4 12" xfId="21150"/>
    <cellStyle name="Normal 14 4 4 13" xfId="22902"/>
    <cellStyle name="Normal 14 4 4 14" xfId="24654"/>
    <cellStyle name="Normal 14 4 4 15" xfId="26406"/>
    <cellStyle name="Normal 14 4 4 16" xfId="28158"/>
    <cellStyle name="Normal 14 4 4 17" xfId="29911"/>
    <cellStyle name="Normal 14 4 4 18" xfId="31663"/>
    <cellStyle name="Normal 14 4 4 19" xfId="33416"/>
    <cellStyle name="Normal 14 4 4 2" xfId="3627"/>
    <cellStyle name="Normal 14 4 4 20" xfId="36052"/>
    <cellStyle name="Normal 14 4 4 21" xfId="37792"/>
    <cellStyle name="Normal 14 4 4 22" xfId="39545"/>
    <cellStyle name="Normal 14 4 4 23" xfId="41300"/>
    <cellStyle name="Normal 14 4 4 24" xfId="43052"/>
    <cellStyle name="Normal 14 4 4 25" xfId="45670"/>
    <cellStyle name="Normal 14 4 4 26" xfId="47422"/>
    <cellStyle name="Normal 14 4 4 27" xfId="49174"/>
    <cellStyle name="Normal 14 4 4 28" xfId="50926"/>
    <cellStyle name="Normal 14 4 4 29" xfId="52678"/>
    <cellStyle name="Normal 14 4 4 3" xfId="5379"/>
    <cellStyle name="Normal 14 4 4 30" xfId="54430"/>
    <cellStyle name="Normal 14 4 4 31" xfId="56182"/>
    <cellStyle name="Normal 14 4 4 32" xfId="57935"/>
    <cellStyle name="Normal 14 4 4 33" xfId="59687"/>
    <cellStyle name="Normal 14 4 4 34" xfId="61439"/>
    <cellStyle name="Normal 14 4 4 4" xfId="7131"/>
    <cellStyle name="Normal 14 4 4 5" xfId="8883"/>
    <cellStyle name="Normal 14 4 4 6" xfId="10636"/>
    <cellStyle name="Normal 14 4 4 7" xfId="12388"/>
    <cellStyle name="Normal 14 4 4 8" xfId="14140"/>
    <cellStyle name="Normal 14 4 4 9" xfId="15892"/>
    <cellStyle name="Normal 14 4 40" xfId="62269"/>
    <cellStyle name="Normal 14 4 41" xfId="63135"/>
    <cellStyle name="Normal 14 4 5" xfId="2751"/>
    <cellStyle name="Normal 14 4 6" xfId="4503"/>
    <cellStyle name="Normal 14 4 7" xfId="6255"/>
    <cellStyle name="Normal 14 4 8" xfId="8007"/>
    <cellStyle name="Normal 14 4 9" xfId="9760"/>
    <cellStyle name="Normal 14 40" xfId="56951"/>
    <cellStyle name="Normal 14 41" xfId="58703"/>
    <cellStyle name="Normal 14 42" xfId="60455"/>
    <cellStyle name="Normal 14 43" xfId="62260"/>
    <cellStyle name="Normal 14 44" xfId="63126"/>
    <cellStyle name="Normal 14 5" xfId="608"/>
    <cellStyle name="Normal 14 5 10" xfId="13381"/>
    <cellStyle name="Normal 14 5 11" xfId="15133"/>
    <cellStyle name="Normal 14 5 12" xfId="16886"/>
    <cellStyle name="Normal 14 5 13" xfId="18638"/>
    <cellStyle name="Normal 14 5 14" xfId="20391"/>
    <cellStyle name="Normal 14 5 15" xfId="22143"/>
    <cellStyle name="Normal 14 5 16" xfId="23895"/>
    <cellStyle name="Normal 14 5 17" xfId="25647"/>
    <cellStyle name="Normal 14 5 18" xfId="27399"/>
    <cellStyle name="Normal 14 5 19" xfId="29152"/>
    <cellStyle name="Normal 14 5 2" xfId="609"/>
    <cellStyle name="Normal 14 5 2 10" xfId="15569"/>
    <cellStyle name="Normal 14 5 2 11" xfId="17322"/>
    <cellStyle name="Normal 14 5 2 12" xfId="19074"/>
    <cellStyle name="Normal 14 5 2 13" xfId="20827"/>
    <cellStyle name="Normal 14 5 2 14" xfId="22579"/>
    <cellStyle name="Normal 14 5 2 15" xfId="24331"/>
    <cellStyle name="Normal 14 5 2 16" xfId="26083"/>
    <cellStyle name="Normal 14 5 2 17" xfId="27835"/>
    <cellStyle name="Normal 14 5 2 18" xfId="29588"/>
    <cellStyle name="Normal 14 5 2 19" xfId="31340"/>
    <cellStyle name="Normal 14 5 2 2" xfId="610"/>
    <cellStyle name="Normal 14 5 2 2 10" xfId="18198"/>
    <cellStyle name="Normal 14 5 2 2 11" xfId="19950"/>
    <cellStyle name="Normal 14 5 2 2 12" xfId="21703"/>
    <cellStyle name="Normal 14 5 2 2 13" xfId="23455"/>
    <cellStyle name="Normal 14 5 2 2 14" xfId="25207"/>
    <cellStyle name="Normal 14 5 2 2 15" xfId="26959"/>
    <cellStyle name="Normal 14 5 2 2 16" xfId="28711"/>
    <cellStyle name="Normal 14 5 2 2 17" xfId="30464"/>
    <cellStyle name="Normal 14 5 2 2 18" xfId="32216"/>
    <cellStyle name="Normal 14 5 2 2 19" xfId="33969"/>
    <cellStyle name="Normal 14 5 2 2 2" xfId="4180"/>
    <cellStyle name="Normal 14 5 2 2 20" xfId="36605"/>
    <cellStyle name="Normal 14 5 2 2 21" xfId="38345"/>
    <cellStyle name="Normal 14 5 2 2 22" xfId="40098"/>
    <cellStyle name="Normal 14 5 2 2 23" xfId="41853"/>
    <cellStyle name="Normal 14 5 2 2 24" xfId="43605"/>
    <cellStyle name="Normal 14 5 2 2 25" xfId="46223"/>
    <cellStyle name="Normal 14 5 2 2 26" xfId="47975"/>
    <cellStyle name="Normal 14 5 2 2 27" xfId="49727"/>
    <cellStyle name="Normal 14 5 2 2 28" xfId="51479"/>
    <cellStyle name="Normal 14 5 2 2 29" xfId="53231"/>
    <cellStyle name="Normal 14 5 2 2 3" xfId="5932"/>
    <cellStyle name="Normal 14 5 2 2 30" xfId="54983"/>
    <cellStyle name="Normal 14 5 2 2 31" xfId="56735"/>
    <cellStyle name="Normal 14 5 2 2 32" xfId="58488"/>
    <cellStyle name="Normal 14 5 2 2 33" xfId="60240"/>
    <cellStyle name="Normal 14 5 2 2 34" xfId="61992"/>
    <cellStyle name="Normal 14 5 2 2 4" xfId="7684"/>
    <cellStyle name="Normal 14 5 2 2 5" xfId="9436"/>
    <cellStyle name="Normal 14 5 2 2 6" xfId="11189"/>
    <cellStyle name="Normal 14 5 2 2 7" xfId="12941"/>
    <cellStyle name="Normal 14 5 2 2 8" xfId="14693"/>
    <cellStyle name="Normal 14 5 2 2 9" xfId="16445"/>
    <cellStyle name="Normal 14 5 2 20" xfId="33093"/>
    <cellStyle name="Normal 14 5 2 21" xfId="34266"/>
    <cellStyle name="Normal 14 5 2 22" xfId="35729"/>
    <cellStyle name="Normal 14 5 2 23" xfId="36887"/>
    <cellStyle name="Normal 14 5 2 24" xfId="39222"/>
    <cellStyle name="Normal 14 5 2 25" xfId="40977"/>
    <cellStyle name="Normal 14 5 2 26" xfId="42729"/>
    <cellStyle name="Normal 14 5 2 27" xfId="43887"/>
    <cellStyle name="Normal 14 5 2 28" xfId="45347"/>
    <cellStyle name="Normal 14 5 2 29" xfId="47099"/>
    <cellStyle name="Normal 14 5 2 3" xfId="3304"/>
    <cellStyle name="Normal 14 5 2 30" xfId="48851"/>
    <cellStyle name="Normal 14 5 2 31" xfId="50603"/>
    <cellStyle name="Normal 14 5 2 32" xfId="52355"/>
    <cellStyle name="Normal 14 5 2 33" xfId="54107"/>
    <cellStyle name="Normal 14 5 2 34" xfId="55859"/>
    <cellStyle name="Normal 14 5 2 35" xfId="57612"/>
    <cellStyle name="Normal 14 5 2 36" xfId="59364"/>
    <cellStyle name="Normal 14 5 2 37" xfId="61116"/>
    <cellStyle name="Normal 14 5 2 38" xfId="62274"/>
    <cellStyle name="Normal 14 5 2 39" xfId="63140"/>
    <cellStyle name="Normal 14 5 2 4" xfId="5056"/>
    <cellStyle name="Normal 14 5 2 5" xfId="6808"/>
    <cellStyle name="Normal 14 5 2 6" xfId="8560"/>
    <cellStyle name="Normal 14 5 2 7" xfId="10313"/>
    <cellStyle name="Normal 14 5 2 8" xfId="12065"/>
    <cellStyle name="Normal 14 5 2 9" xfId="13817"/>
    <cellStyle name="Normal 14 5 20" xfId="30904"/>
    <cellStyle name="Normal 14 5 21" xfId="32657"/>
    <cellStyle name="Normal 14 5 22" xfId="34265"/>
    <cellStyle name="Normal 14 5 23" xfId="35293"/>
    <cellStyle name="Normal 14 5 24" xfId="36886"/>
    <cellStyle name="Normal 14 5 25" xfId="38786"/>
    <cellStyle name="Normal 14 5 26" xfId="40541"/>
    <cellStyle name="Normal 14 5 27" xfId="42293"/>
    <cellStyle name="Normal 14 5 28" xfId="43886"/>
    <cellStyle name="Normal 14 5 29" xfId="44911"/>
    <cellStyle name="Normal 14 5 3" xfId="611"/>
    <cellStyle name="Normal 14 5 3 10" xfId="17762"/>
    <cellStyle name="Normal 14 5 3 11" xfId="19514"/>
    <cellStyle name="Normal 14 5 3 12" xfId="21267"/>
    <cellStyle name="Normal 14 5 3 13" xfId="23019"/>
    <cellStyle name="Normal 14 5 3 14" xfId="24771"/>
    <cellStyle name="Normal 14 5 3 15" xfId="26523"/>
    <cellStyle name="Normal 14 5 3 16" xfId="28275"/>
    <cellStyle name="Normal 14 5 3 17" xfId="30028"/>
    <cellStyle name="Normal 14 5 3 18" xfId="31780"/>
    <cellStyle name="Normal 14 5 3 19" xfId="33533"/>
    <cellStyle name="Normal 14 5 3 2" xfId="3744"/>
    <cellStyle name="Normal 14 5 3 20" xfId="36169"/>
    <cellStyle name="Normal 14 5 3 21" xfId="37909"/>
    <cellStyle name="Normal 14 5 3 22" xfId="39662"/>
    <cellStyle name="Normal 14 5 3 23" xfId="41417"/>
    <cellStyle name="Normal 14 5 3 24" xfId="43169"/>
    <cellStyle name="Normal 14 5 3 25" xfId="45787"/>
    <cellStyle name="Normal 14 5 3 26" xfId="47539"/>
    <cellStyle name="Normal 14 5 3 27" xfId="49291"/>
    <cellStyle name="Normal 14 5 3 28" xfId="51043"/>
    <cellStyle name="Normal 14 5 3 29" xfId="52795"/>
    <cellStyle name="Normal 14 5 3 3" xfId="5496"/>
    <cellStyle name="Normal 14 5 3 30" xfId="54547"/>
    <cellStyle name="Normal 14 5 3 31" xfId="56299"/>
    <cellStyle name="Normal 14 5 3 32" xfId="58052"/>
    <cellStyle name="Normal 14 5 3 33" xfId="59804"/>
    <cellStyle name="Normal 14 5 3 34" xfId="61556"/>
    <cellStyle name="Normal 14 5 3 4" xfId="7248"/>
    <cellStyle name="Normal 14 5 3 5" xfId="9000"/>
    <cellStyle name="Normal 14 5 3 6" xfId="10753"/>
    <cellStyle name="Normal 14 5 3 7" xfId="12505"/>
    <cellStyle name="Normal 14 5 3 8" xfId="14257"/>
    <cellStyle name="Normal 14 5 3 9" xfId="16009"/>
    <cellStyle name="Normal 14 5 30" xfId="46663"/>
    <cellStyle name="Normal 14 5 31" xfId="48415"/>
    <cellStyle name="Normal 14 5 32" xfId="50167"/>
    <cellStyle name="Normal 14 5 33" xfId="51919"/>
    <cellStyle name="Normal 14 5 34" xfId="53671"/>
    <cellStyle name="Normal 14 5 35" xfId="55423"/>
    <cellStyle name="Normal 14 5 36" xfId="57176"/>
    <cellStyle name="Normal 14 5 37" xfId="58928"/>
    <cellStyle name="Normal 14 5 38" xfId="60680"/>
    <cellStyle name="Normal 14 5 39" xfId="62273"/>
    <cellStyle name="Normal 14 5 4" xfId="2868"/>
    <cellStyle name="Normal 14 5 40" xfId="63139"/>
    <cellStyle name="Normal 14 5 5" xfId="4620"/>
    <cellStyle name="Normal 14 5 6" xfId="6372"/>
    <cellStyle name="Normal 14 5 7" xfId="8124"/>
    <cellStyle name="Normal 14 5 8" xfId="9877"/>
    <cellStyle name="Normal 14 5 9" xfId="11629"/>
    <cellStyle name="Normal 14 6" xfId="612"/>
    <cellStyle name="Normal 14 6 10" xfId="15344"/>
    <cellStyle name="Normal 14 6 11" xfId="17097"/>
    <cellStyle name="Normal 14 6 12" xfId="18849"/>
    <cellStyle name="Normal 14 6 13" xfId="20602"/>
    <cellStyle name="Normal 14 6 14" xfId="22354"/>
    <cellStyle name="Normal 14 6 15" xfId="24106"/>
    <cellStyle name="Normal 14 6 16" xfId="25858"/>
    <cellStyle name="Normal 14 6 17" xfId="27610"/>
    <cellStyle name="Normal 14 6 18" xfId="29363"/>
    <cellStyle name="Normal 14 6 19" xfId="31115"/>
    <cellStyle name="Normal 14 6 2" xfId="613"/>
    <cellStyle name="Normal 14 6 2 10" xfId="17973"/>
    <cellStyle name="Normal 14 6 2 11" xfId="19725"/>
    <cellStyle name="Normal 14 6 2 12" xfId="21478"/>
    <cellStyle name="Normal 14 6 2 13" xfId="23230"/>
    <cellStyle name="Normal 14 6 2 14" xfId="24982"/>
    <cellStyle name="Normal 14 6 2 15" xfId="26734"/>
    <cellStyle name="Normal 14 6 2 16" xfId="28486"/>
    <cellStyle name="Normal 14 6 2 17" xfId="30239"/>
    <cellStyle name="Normal 14 6 2 18" xfId="31991"/>
    <cellStyle name="Normal 14 6 2 19" xfId="33744"/>
    <cellStyle name="Normal 14 6 2 2" xfId="3955"/>
    <cellStyle name="Normal 14 6 2 20" xfId="36380"/>
    <cellStyle name="Normal 14 6 2 21" xfId="38120"/>
    <cellStyle name="Normal 14 6 2 22" xfId="39873"/>
    <cellStyle name="Normal 14 6 2 23" xfId="41628"/>
    <cellStyle name="Normal 14 6 2 24" xfId="43380"/>
    <cellStyle name="Normal 14 6 2 25" xfId="45998"/>
    <cellStyle name="Normal 14 6 2 26" xfId="47750"/>
    <cellStyle name="Normal 14 6 2 27" xfId="49502"/>
    <cellStyle name="Normal 14 6 2 28" xfId="51254"/>
    <cellStyle name="Normal 14 6 2 29" xfId="53006"/>
    <cellStyle name="Normal 14 6 2 3" xfId="5707"/>
    <cellStyle name="Normal 14 6 2 30" xfId="54758"/>
    <cellStyle name="Normal 14 6 2 31" xfId="56510"/>
    <cellStyle name="Normal 14 6 2 32" xfId="58263"/>
    <cellStyle name="Normal 14 6 2 33" xfId="60015"/>
    <cellStyle name="Normal 14 6 2 34" xfId="61767"/>
    <cellStyle name="Normal 14 6 2 4" xfId="7459"/>
    <cellStyle name="Normal 14 6 2 5" xfId="9211"/>
    <cellStyle name="Normal 14 6 2 6" xfId="10964"/>
    <cellStyle name="Normal 14 6 2 7" xfId="12716"/>
    <cellStyle name="Normal 14 6 2 8" xfId="14468"/>
    <cellStyle name="Normal 14 6 2 9" xfId="16220"/>
    <cellStyle name="Normal 14 6 20" xfId="32868"/>
    <cellStyle name="Normal 14 6 21" xfId="34267"/>
    <cellStyle name="Normal 14 6 22" xfId="35504"/>
    <cellStyle name="Normal 14 6 23" xfId="36888"/>
    <cellStyle name="Normal 14 6 24" xfId="38997"/>
    <cellStyle name="Normal 14 6 25" xfId="40752"/>
    <cellStyle name="Normal 14 6 26" xfId="42504"/>
    <cellStyle name="Normal 14 6 27" xfId="43888"/>
    <cellStyle name="Normal 14 6 28" xfId="45122"/>
    <cellStyle name="Normal 14 6 29" xfId="46874"/>
    <cellStyle name="Normal 14 6 3" xfId="3079"/>
    <cellStyle name="Normal 14 6 30" xfId="48626"/>
    <cellStyle name="Normal 14 6 31" xfId="50378"/>
    <cellStyle name="Normal 14 6 32" xfId="52130"/>
    <cellStyle name="Normal 14 6 33" xfId="53882"/>
    <cellStyle name="Normal 14 6 34" xfId="55634"/>
    <cellStyle name="Normal 14 6 35" xfId="57387"/>
    <cellStyle name="Normal 14 6 36" xfId="59139"/>
    <cellStyle name="Normal 14 6 37" xfId="60891"/>
    <cellStyle name="Normal 14 6 38" xfId="62275"/>
    <cellStyle name="Normal 14 6 39" xfId="63141"/>
    <cellStyle name="Normal 14 6 4" xfId="4831"/>
    <cellStyle name="Normal 14 6 5" xfId="6583"/>
    <cellStyle name="Normal 14 6 6" xfId="8335"/>
    <cellStyle name="Normal 14 6 7" xfId="10088"/>
    <cellStyle name="Normal 14 6 8" xfId="11840"/>
    <cellStyle name="Normal 14 6 9" xfId="13592"/>
    <cellStyle name="Normal 14 7" xfId="614"/>
    <cellStyle name="Normal 14 7 10" xfId="17537"/>
    <cellStyle name="Normal 14 7 11" xfId="19289"/>
    <cellStyle name="Normal 14 7 12" xfId="21042"/>
    <cellStyle name="Normal 14 7 13" xfId="22794"/>
    <cellStyle name="Normal 14 7 14" xfId="24546"/>
    <cellStyle name="Normal 14 7 15" xfId="26298"/>
    <cellStyle name="Normal 14 7 16" xfId="28050"/>
    <cellStyle name="Normal 14 7 17" xfId="29803"/>
    <cellStyle name="Normal 14 7 18" xfId="31555"/>
    <cellStyle name="Normal 14 7 19" xfId="33308"/>
    <cellStyle name="Normal 14 7 2" xfId="3519"/>
    <cellStyle name="Normal 14 7 20" xfId="35944"/>
    <cellStyle name="Normal 14 7 21" xfId="37687"/>
    <cellStyle name="Normal 14 7 22" xfId="39437"/>
    <cellStyle name="Normal 14 7 23" xfId="41192"/>
    <cellStyle name="Normal 14 7 24" xfId="42944"/>
    <cellStyle name="Normal 14 7 25" xfId="45562"/>
    <cellStyle name="Normal 14 7 26" xfId="47314"/>
    <cellStyle name="Normal 14 7 27" xfId="49066"/>
    <cellStyle name="Normal 14 7 28" xfId="50818"/>
    <cellStyle name="Normal 14 7 29" xfId="52570"/>
    <cellStyle name="Normal 14 7 3" xfId="5271"/>
    <cellStyle name="Normal 14 7 30" xfId="54322"/>
    <cellStyle name="Normal 14 7 31" xfId="56074"/>
    <cellStyle name="Normal 14 7 32" xfId="57827"/>
    <cellStyle name="Normal 14 7 33" xfId="59579"/>
    <cellStyle name="Normal 14 7 34" xfId="61331"/>
    <cellStyle name="Normal 14 7 4" xfId="7023"/>
    <cellStyle name="Normal 14 7 5" xfId="8775"/>
    <cellStyle name="Normal 14 7 6" xfId="10528"/>
    <cellStyle name="Normal 14 7 7" xfId="12280"/>
    <cellStyle name="Normal 14 7 8" xfId="14032"/>
    <cellStyle name="Normal 14 7 9" xfId="15784"/>
    <cellStyle name="Normal 14 8" xfId="2471"/>
    <cellStyle name="Normal 14 9" xfId="4395"/>
    <cellStyle name="Normal 140" xfId="615"/>
    <cellStyle name="Normal 141" xfId="616"/>
    <cellStyle name="Normal 142" xfId="617"/>
    <cellStyle name="Normal 143" xfId="618"/>
    <cellStyle name="Normal 144" xfId="619"/>
    <cellStyle name="Normal 145" xfId="620"/>
    <cellStyle name="Normal 146" xfId="621"/>
    <cellStyle name="Normal 147" xfId="622"/>
    <cellStyle name="Normal 148" xfId="623"/>
    <cellStyle name="Normal 149" xfId="624"/>
    <cellStyle name="Normal 15" xfId="625"/>
    <cellStyle name="Normal 15 10" xfId="7900"/>
    <cellStyle name="Normal 15 11" xfId="9653"/>
    <cellStyle name="Normal 15 12" xfId="11405"/>
    <cellStyle name="Normal 15 13" xfId="13157"/>
    <cellStyle name="Normal 15 14" xfId="14909"/>
    <cellStyle name="Normal 15 15" xfId="16662"/>
    <cellStyle name="Normal 15 16" xfId="18414"/>
    <cellStyle name="Normal 15 17" xfId="20167"/>
    <cellStyle name="Normal 15 18" xfId="21919"/>
    <cellStyle name="Normal 15 19" xfId="23671"/>
    <cellStyle name="Normal 15 2" xfId="626"/>
    <cellStyle name="Normal 15 2 10" xfId="9708"/>
    <cellStyle name="Normal 15 2 11" xfId="11460"/>
    <cellStyle name="Normal 15 2 12" xfId="13212"/>
    <cellStyle name="Normal 15 2 13" xfId="14964"/>
    <cellStyle name="Normal 15 2 14" xfId="16717"/>
    <cellStyle name="Normal 15 2 15" xfId="18469"/>
    <cellStyle name="Normal 15 2 16" xfId="20222"/>
    <cellStyle name="Normal 15 2 17" xfId="21974"/>
    <cellStyle name="Normal 15 2 18" xfId="23726"/>
    <cellStyle name="Normal 15 2 19" xfId="25478"/>
    <cellStyle name="Normal 15 2 2" xfId="627"/>
    <cellStyle name="Normal 15 2 2 10" xfId="11568"/>
    <cellStyle name="Normal 15 2 2 11" xfId="13320"/>
    <cellStyle name="Normal 15 2 2 12" xfId="15072"/>
    <cellStyle name="Normal 15 2 2 13" xfId="16825"/>
    <cellStyle name="Normal 15 2 2 14" xfId="18577"/>
    <cellStyle name="Normal 15 2 2 15" xfId="20330"/>
    <cellStyle name="Normal 15 2 2 16" xfId="22082"/>
    <cellStyle name="Normal 15 2 2 17" xfId="23834"/>
    <cellStyle name="Normal 15 2 2 18" xfId="25586"/>
    <cellStyle name="Normal 15 2 2 19" xfId="27338"/>
    <cellStyle name="Normal 15 2 2 2" xfId="628"/>
    <cellStyle name="Normal 15 2 2 2 10" xfId="13382"/>
    <cellStyle name="Normal 15 2 2 2 11" xfId="15134"/>
    <cellStyle name="Normal 15 2 2 2 12" xfId="16887"/>
    <cellStyle name="Normal 15 2 2 2 13" xfId="18639"/>
    <cellStyle name="Normal 15 2 2 2 14" xfId="20392"/>
    <cellStyle name="Normal 15 2 2 2 15" xfId="22144"/>
    <cellStyle name="Normal 15 2 2 2 16" xfId="23896"/>
    <cellStyle name="Normal 15 2 2 2 17" xfId="25648"/>
    <cellStyle name="Normal 15 2 2 2 18" xfId="27400"/>
    <cellStyle name="Normal 15 2 2 2 19" xfId="29153"/>
    <cellStyle name="Normal 15 2 2 2 2" xfId="629"/>
    <cellStyle name="Normal 15 2 2 2 2 10" xfId="15570"/>
    <cellStyle name="Normal 15 2 2 2 2 11" xfId="17323"/>
    <cellStyle name="Normal 15 2 2 2 2 12" xfId="19075"/>
    <cellStyle name="Normal 15 2 2 2 2 13" xfId="20828"/>
    <cellStyle name="Normal 15 2 2 2 2 14" xfId="22580"/>
    <cellStyle name="Normal 15 2 2 2 2 15" xfId="24332"/>
    <cellStyle name="Normal 15 2 2 2 2 16" xfId="26084"/>
    <cellStyle name="Normal 15 2 2 2 2 17" xfId="27836"/>
    <cellStyle name="Normal 15 2 2 2 2 18" xfId="29589"/>
    <cellStyle name="Normal 15 2 2 2 2 19" xfId="31341"/>
    <cellStyle name="Normal 15 2 2 2 2 2" xfId="630"/>
    <cellStyle name="Normal 15 2 2 2 2 2 10" xfId="18199"/>
    <cellStyle name="Normal 15 2 2 2 2 2 11" xfId="19951"/>
    <cellStyle name="Normal 15 2 2 2 2 2 12" xfId="21704"/>
    <cellStyle name="Normal 15 2 2 2 2 2 13" xfId="23456"/>
    <cellStyle name="Normal 15 2 2 2 2 2 14" xfId="25208"/>
    <cellStyle name="Normal 15 2 2 2 2 2 15" xfId="26960"/>
    <cellStyle name="Normal 15 2 2 2 2 2 16" xfId="28712"/>
    <cellStyle name="Normal 15 2 2 2 2 2 17" xfId="30465"/>
    <cellStyle name="Normal 15 2 2 2 2 2 18" xfId="32217"/>
    <cellStyle name="Normal 15 2 2 2 2 2 19" xfId="33970"/>
    <cellStyle name="Normal 15 2 2 2 2 2 2" xfId="4181"/>
    <cellStyle name="Normal 15 2 2 2 2 2 20" xfId="36606"/>
    <cellStyle name="Normal 15 2 2 2 2 2 21" xfId="38346"/>
    <cellStyle name="Normal 15 2 2 2 2 2 22" xfId="40099"/>
    <cellStyle name="Normal 15 2 2 2 2 2 23" xfId="41854"/>
    <cellStyle name="Normal 15 2 2 2 2 2 24" xfId="43606"/>
    <cellStyle name="Normal 15 2 2 2 2 2 25" xfId="46224"/>
    <cellStyle name="Normal 15 2 2 2 2 2 26" xfId="47976"/>
    <cellStyle name="Normal 15 2 2 2 2 2 27" xfId="49728"/>
    <cellStyle name="Normal 15 2 2 2 2 2 28" xfId="51480"/>
    <cellStyle name="Normal 15 2 2 2 2 2 29" xfId="53232"/>
    <cellStyle name="Normal 15 2 2 2 2 2 3" xfId="5933"/>
    <cellStyle name="Normal 15 2 2 2 2 2 30" xfId="54984"/>
    <cellStyle name="Normal 15 2 2 2 2 2 31" xfId="56736"/>
    <cellStyle name="Normal 15 2 2 2 2 2 32" xfId="58489"/>
    <cellStyle name="Normal 15 2 2 2 2 2 33" xfId="60241"/>
    <cellStyle name="Normal 15 2 2 2 2 2 34" xfId="61993"/>
    <cellStyle name="Normal 15 2 2 2 2 2 4" xfId="7685"/>
    <cellStyle name="Normal 15 2 2 2 2 2 5" xfId="9437"/>
    <cellStyle name="Normal 15 2 2 2 2 2 6" xfId="11190"/>
    <cellStyle name="Normal 15 2 2 2 2 2 7" xfId="12942"/>
    <cellStyle name="Normal 15 2 2 2 2 2 8" xfId="14694"/>
    <cellStyle name="Normal 15 2 2 2 2 2 9" xfId="16446"/>
    <cellStyle name="Normal 15 2 2 2 2 20" xfId="33094"/>
    <cellStyle name="Normal 15 2 2 2 2 21" xfId="34272"/>
    <cellStyle name="Normal 15 2 2 2 2 22" xfId="35730"/>
    <cellStyle name="Normal 15 2 2 2 2 23" xfId="36893"/>
    <cellStyle name="Normal 15 2 2 2 2 24" xfId="39223"/>
    <cellStyle name="Normal 15 2 2 2 2 25" xfId="40978"/>
    <cellStyle name="Normal 15 2 2 2 2 26" xfId="42730"/>
    <cellStyle name="Normal 15 2 2 2 2 27" xfId="43893"/>
    <cellStyle name="Normal 15 2 2 2 2 28" xfId="45348"/>
    <cellStyle name="Normal 15 2 2 2 2 29" xfId="47100"/>
    <cellStyle name="Normal 15 2 2 2 2 3" xfId="3305"/>
    <cellStyle name="Normal 15 2 2 2 2 30" xfId="48852"/>
    <cellStyle name="Normal 15 2 2 2 2 31" xfId="50604"/>
    <cellStyle name="Normal 15 2 2 2 2 32" xfId="52356"/>
    <cellStyle name="Normal 15 2 2 2 2 33" xfId="54108"/>
    <cellStyle name="Normal 15 2 2 2 2 34" xfId="55860"/>
    <cellStyle name="Normal 15 2 2 2 2 35" xfId="57613"/>
    <cellStyle name="Normal 15 2 2 2 2 36" xfId="59365"/>
    <cellStyle name="Normal 15 2 2 2 2 37" xfId="61117"/>
    <cellStyle name="Normal 15 2 2 2 2 38" xfId="62280"/>
    <cellStyle name="Normal 15 2 2 2 2 39" xfId="63146"/>
    <cellStyle name="Normal 15 2 2 2 2 4" xfId="5057"/>
    <cellStyle name="Normal 15 2 2 2 2 5" xfId="6809"/>
    <cellStyle name="Normal 15 2 2 2 2 6" xfId="8561"/>
    <cellStyle name="Normal 15 2 2 2 2 7" xfId="10314"/>
    <cellStyle name="Normal 15 2 2 2 2 8" xfId="12066"/>
    <cellStyle name="Normal 15 2 2 2 2 9" xfId="13818"/>
    <cellStyle name="Normal 15 2 2 2 20" xfId="30905"/>
    <cellStyle name="Normal 15 2 2 2 21" xfId="32658"/>
    <cellStyle name="Normal 15 2 2 2 22" xfId="34271"/>
    <cellStyle name="Normal 15 2 2 2 23" xfId="35294"/>
    <cellStyle name="Normal 15 2 2 2 24" xfId="36892"/>
    <cellStyle name="Normal 15 2 2 2 25" xfId="38787"/>
    <cellStyle name="Normal 15 2 2 2 26" xfId="40542"/>
    <cellStyle name="Normal 15 2 2 2 27" xfId="42294"/>
    <cellStyle name="Normal 15 2 2 2 28" xfId="43892"/>
    <cellStyle name="Normal 15 2 2 2 29" xfId="44912"/>
    <cellStyle name="Normal 15 2 2 2 3" xfId="631"/>
    <cellStyle name="Normal 15 2 2 2 3 10" xfId="17763"/>
    <cellStyle name="Normal 15 2 2 2 3 11" xfId="19515"/>
    <cellStyle name="Normal 15 2 2 2 3 12" xfId="21268"/>
    <cellStyle name="Normal 15 2 2 2 3 13" xfId="23020"/>
    <cellStyle name="Normal 15 2 2 2 3 14" xfId="24772"/>
    <cellStyle name="Normal 15 2 2 2 3 15" xfId="26524"/>
    <cellStyle name="Normal 15 2 2 2 3 16" xfId="28276"/>
    <cellStyle name="Normal 15 2 2 2 3 17" xfId="30029"/>
    <cellStyle name="Normal 15 2 2 2 3 18" xfId="31781"/>
    <cellStyle name="Normal 15 2 2 2 3 19" xfId="33534"/>
    <cellStyle name="Normal 15 2 2 2 3 2" xfId="3745"/>
    <cellStyle name="Normal 15 2 2 2 3 20" xfId="36170"/>
    <cellStyle name="Normal 15 2 2 2 3 21" xfId="37910"/>
    <cellStyle name="Normal 15 2 2 2 3 22" xfId="39663"/>
    <cellStyle name="Normal 15 2 2 2 3 23" xfId="41418"/>
    <cellStyle name="Normal 15 2 2 2 3 24" xfId="43170"/>
    <cellStyle name="Normal 15 2 2 2 3 25" xfId="45788"/>
    <cellStyle name="Normal 15 2 2 2 3 26" xfId="47540"/>
    <cellStyle name="Normal 15 2 2 2 3 27" xfId="49292"/>
    <cellStyle name="Normal 15 2 2 2 3 28" xfId="51044"/>
    <cellStyle name="Normal 15 2 2 2 3 29" xfId="52796"/>
    <cellStyle name="Normal 15 2 2 2 3 3" xfId="5497"/>
    <cellStyle name="Normal 15 2 2 2 3 30" xfId="54548"/>
    <cellStyle name="Normal 15 2 2 2 3 31" xfId="56300"/>
    <cellStyle name="Normal 15 2 2 2 3 32" xfId="58053"/>
    <cellStyle name="Normal 15 2 2 2 3 33" xfId="59805"/>
    <cellStyle name="Normal 15 2 2 2 3 34" xfId="61557"/>
    <cellStyle name="Normal 15 2 2 2 3 4" xfId="7249"/>
    <cellStyle name="Normal 15 2 2 2 3 5" xfId="9001"/>
    <cellStyle name="Normal 15 2 2 2 3 6" xfId="10754"/>
    <cellStyle name="Normal 15 2 2 2 3 7" xfId="12506"/>
    <cellStyle name="Normal 15 2 2 2 3 8" xfId="14258"/>
    <cellStyle name="Normal 15 2 2 2 3 9" xfId="16010"/>
    <cellStyle name="Normal 15 2 2 2 30" xfId="46664"/>
    <cellStyle name="Normal 15 2 2 2 31" xfId="48416"/>
    <cellStyle name="Normal 15 2 2 2 32" xfId="50168"/>
    <cellStyle name="Normal 15 2 2 2 33" xfId="51920"/>
    <cellStyle name="Normal 15 2 2 2 34" xfId="53672"/>
    <cellStyle name="Normal 15 2 2 2 35" xfId="55424"/>
    <cellStyle name="Normal 15 2 2 2 36" xfId="57177"/>
    <cellStyle name="Normal 15 2 2 2 37" xfId="58929"/>
    <cellStyle name="Normal 15 2 2 2 38" xfId="60681"/>
    <cellStyle name="Normal 15 2 2 2 39" xfId="62279"/>
    <cellStyle name="Normal 15 2 2 2 4" xfId="2869"/>
    <cellStyle name="Normal 15 2 2 2 40" xfId="63145"/>
    <cellStyle name="Normal 15 2 2 2 5" xfId="4621"/>
    <cellStyle name="Normal 15 2 2 2 6" xfId="6373"/>
    <cellStyle name="Normal 15 2 2 2 7" xfId="8125"/>
    <cellStyle name="Normal 15 2 2 2 8" xfId="9878"/>
    <cellStyle name="Normal 15 2 2 2 9" xfId="11630"/>
    <cellStyle name="Normal 15 2 2 20" xfId="29091"/>
    <cellStyle name="Normal 15 2 2 21" xfId="30843"/>
    <cellStyle name="Normal 15 2 2 22" xfId="32596"/>
    <cellStyle name="Normal 15 2 2 23" xfId="34270"/>
    <cellStyle name="Normal 15 2 2 24" xfId="35232"/>
    <cellStyle name="Normal 15 2 2 25" xfId="36891"/>
    <cellStyle name="Normal 15 2 2 26" xfId="38725"/>
    <cellStyle name="Normal 15 2 2 27" xfId="40480"/>
    <cellStyle name="Normal 15 2 2 28" xfId="42232"/>
    <cellStyle name="Normal 15 2 2 29" xfId="43891"/>
    <cellStyle name="Normal 15 2 2 3" xfId="632"/>
    <cellStyle name="Normal 15 2 2 3 10" xfId="15508"/>
    <cellStyle name="Normal 15 2 2 3 11" xfId="17261"/>
    <cellStyle name="Normal 15 2 2 3 12" xfId="19013"/>
    <cellStyle name="Normal 15 2 2 3 13" xfId="20766"/>
    <cellStyle name="Normal 15 2 2 3 14" xfId="22518"/>
    <cellStyle name="Normal 15 2 2 3 15" xfId="24270"/>
    <cellStyle name="Normal 15 2 2 3 16" xfId="26022"/>
    <cellStyle name="Normal 15 2 2 3 17" xfId="27774"/>
    <cellStyle name="Normal 15 2 2 3 18" xfId="29527"/>
    <cellStyle name="Normal 15 2 2 3 19" xfId="31279"/>
    <cellStyle name="Normal 15 2 2 3 2" xfId="633"/>
    <cellStyle name="Normal 15 2 2 3 2 10" xfId="18137"/>
    <cellStyle name="Normal 15 2 2 3 2 11" xfId="19889"/>
    <cellStyle name="Normal 15 2 2 3 2 12" xfId="21642"/>
    <cellStyle name="Normal 15 2 2 3 2 13" xfId="23394"/>
    <cellStyle name="Normal 15 2 2 3 2 14" xfId="25146"/>
    <cellStyle name="Normal 15 2 2 3 2 15" xfId="26898"/>
    <cellStyle name="Normal 15 2 2 3 2 16" xfId="28650"/>
    <cellStyle name="Normal 15 2 2 3 2 17" xfId="30403"/>
    <cellStyle name="Normal 15 2 2 3 2 18" xfId="32155"/>
    <cellStyle name="Normal 15 2 2 3 2 19" xfId="33908"/>
    <cellStyle name="Normal 15 2 2 3 2 2" xfId="4119"/>
    <cellStyle name="Normal 15 2 2 3 2 20" xfId="36544"/>
    <cellStyle name="Normal 15 2 2 3 2 21" xfId="38284"/>
    <cellStyle name="Normal 15 2 2 3 2 22" xfId="40037"/>
    <cellStyle name="Normal 15 2 2 3 2 23" xfId="41792"/>
    <cellStyle name="Normal 15 2 2 3 2 24" xfId="43544"/>
    <cellStyle name="Normal 15 2 2 3 2 25" xfId="46162"/>
    <cellStyle name="Normal 15 2 2 3 2 26" xfId="47914"/>
    <cellStyle name="Normal 15 2 2 3 2 27" xfId="49666"/>
    <cellStyle name="Normal 15 2 2 3 2 28" xfId="51418"/>
    <cellStyle name="Normal 15 2 2 3 2 29" xfId="53170"/>
    <cellStyle name="Normal 15 2 2 3 2 3" xfId="5871"/>
    <cellStyle name="Normal 15 2 2 3 2 30" xfId="54922"/>
    <cellStyle name="Normal 15 2 2 3 2 31" xfId="56674"/>
    <cellStyle name="Normal 15 2 2 3 2 32" xfId="58427"/>
    <cellStyle name="Normal 15 2 2 3 2 33" xfId="60179"/>
    <cellStyle name="Normal 15 2 2 3 2 34" xfId="61931"/>
    <cellStyle name="Normal 15 2 2 3 2 4" xfId="7623"/>
    <cellStyle name="Normal 15 2 2 3 2 5" xfId="9375"/>
    <cellStyle name="Normal 15 2 2 3 2 6" xfId="11128"/>
    <cellStyle name="Normal 15 2 2 3 2 7" xfId="12880"/>
    <cellStyle name="Normal 15 2 2 3 2 8" xfId="14632"/>
    <cellStyle name="Normal 15 2 2 3 2 9" xfId="16384"/>
    <cellStyle name="Normal 15 2 2 3 20" xfId="33032"/>
    <cellStyle name="Normal 15 2 2 3 21" xfId="34273"/>
    <cellStyle name="Normal 15 2 2 3 22" xfId="35668"/>
    <cellStyle name="Normal 15 2 2 3 23" xfId="36894"/>
    <cellStyle name="Normal 15 2 2 3 24" xfId="39161"/>
    <cellStyle name="Normal 15 2 2 3 25" xfId="40916"/>
    <cellStyle name="Normal 15 2 2 3 26" xfId="42668"/>
    <cellStyle name="Normal 15 2 2 3 27" xfId="43894"/>
    <cellStyle name="Normal 15 2 2 3 28" xfId="45286"/>
    <cellStyle name="Normal 15 2 2 3 29" xfId="47038"/>
    <cellStyle name="Normal 15 2 2 3 3" xfId="3243"/>
    <cellStyle name="Normal 15 2 2 3 30" xfId="48790"/>
    <cellStyle name="Normal 15 2 2 3 31" xfId="50542"/>
    <cellStyle name="Normal 15 2 2 3 32" xfId="52294"/>
    <cellStyle name="Normal 15 2 2 3 33" xfId="54046"/>
    <cellStyle name="Normal 15 2 2 3 34" xfId="55798"/>
    <cellStyle name="Normal 15 2 2 3 35" xfId="57551"/>
    <cellStyle name="Normal 15 2 2 3 36" xfId="59303"/>
    <cellStyle name="Normal 15 2 2 3 37" xfId="61055"/>
    <cellStyle name="Normal 15 2 2 3 38" xfId="62281"/>
    <cellStyle name="Normal 15 2 2 3 39" xfId="63147"/>
    <cellStyle name="Normal 15 2 2 3 4" xfId="4995"/>
    <cellStyle name="Normal 15 2 2 3 5" xfId="6747"/>
    <cellStyle name="Normal 15 2 2 3 6" xfId="8499"/>
    <cellStyle name="Normal 15 2 2 3 7" xfId="10252"/>
    <cellStyle name="Normal 15 2 2 3 8" xfId="12004"/>
    <cellStyle name="Normal 15 2 2 3 9" xfId="13756"/>
    <cellStyle name="Normal 15 2 2 30" xfId="44850"/>
    <cellStyle name="Normal 15 2 2 31" xfId="46602"/>
    <cellStyle name="Normal 15 2 2 32" xfId="48354"/>
    <cellStyle name="Normal 15 2 2 33" xfId="50106"/>
    <cellStyle name="Normal 15 2 2 34" xfId="51858"/>
    <cellStyle name="Normal 15 2 2 35" xfId="53610"/>
    <cellStyle name="Normal 15 2 2 36" xfId="55362"/>
    <cellStyle name="Normal 15 2 2 37" xfId="57115"/>
    <cellStyle name="Normal 15 2 2 38" xfId="58867"/>
    <cellStyle name="Normal 15 2 2 39" xfId="60619"/>
    <cellStyle name="Normal 15 2 2 4" xfId="634"/>
    <cellStyle name="Normal 15 2 2 4 10" xfId="17701"/>
    <cellStyle name="Normal 15 2 2 4 11" xfId="19453"/>
    <cellStyle name="Normal 15 2 2 4 12" xfId="21206"/>
    <cellStyle name="Normal 15 2 2 4 13" xfId="22958"/>
    <cellStyle name="Normal 15 2 2 4 14" xfId="24710"/>
    <cellStyle name="Normal 15 2 2 4 15" xfId="26462"/>
    <cellStyle name="Normal 15 2 2 4 16" xfId="28214"/>
    <cellStyle name="Normal 15 2 2 4 17" xfId="29967"/>
    <cellStyle name="Normal 15 2 2 4 18" xfId="31719"/>
    <cellStyle name="Normal 15 2 2 4 19" xfId="33472"/>
    <cellStyle name="Normal 15 2 2 4 2" xfId="3683"/>
    <cellStyle name="Normal 15 2 2 4 20" xfId="36108"/>
    <cellStyle name="Normal 15 2 2 4 21" xfId="37848"/>
    <cellStyle name="Normal 15 2 2 4 22" xfId="39601"/>
    <cellStyle name="Normal 15 2 2 4 23" xfId="41356"/>
    <cellStyle name="Normal 15 2 2 4 24" xfId="43108"/>
    <cellStyle name="Normal 15 2 2 4 25" xfId="45726"/>
    <cellStyle name="Normal 15 2 2 4 26" xfId="47478"/>
    <cellStyle name="Normal 15 2 2 4 27" xfId="49230"/>
    <cellStyle name="Normal 15 2 2 4 28" xfId="50982"/>
    <cellStyle name="Normal 15 2 2 4 29" xfId="52734"/>
    <cellStyle name="Normal 15 2 2 4 3" xfId="5435"/>
    <cellStyle name="Normal 15 2 2 4 30" xfId="54486"/>
    <cellStyle name="Normal 15 2 2 4 31" xfId="56238"/>
    <cellStyle name="Normal 15 2 2 4 32" xfId="57991"/>
    <cellStyle name="Normal 15 2 2 4 33" xfId="59743"/>
    <cellStyle name="Normal 15 2 2 4 34" xfId="61495"/>
    <cellStyle name="Normal 15 2 2 4 4" xfId="7187"/>
    <cellStyle name="Normal 15 2 2 4 5" xfId="8939"/>
    <cellStyle name="Normal 15 2 2 4 6" xfId="10692"/>
    <cellStyle name="Normal 15 2 2 4 7" xfId="12444"/>
    <cellStyle name="Normal 15 2 2 4 8" xfId="14196"/>
    <cellStyle name="Normal 15 2 2 4 9" xfId="15948"/>
    <cellStyle name="Normal 15 2 2 40" xfId="62278"/>
    <cellStyle name="Normal 15 2 2 41" xfId="63144"/>
    <cellStyle name="Normal 15 2 2 5" xfId="2807"/>
    <cellStyle name="Normal 15 2 2 6" xfId="4559"/>
    <cellStyle name="Normal 15 2 2 7" xfId="6311"/>
    <cellStyle name="Normal 15 2 2 8" xfId="8063"/>
    <cellStyle name="Normal 15 2 2 9" xfId="9816"/>
    <cellStyle name="Normal 15 2 20" xfId="27230"/>
    <cellStyle name="Normal 15 2 21" xfId="28983"/>
    <cellStyle name="Normal 15 2 22" xfId="30735"/>
    <cellStyle name="Normal 15 2 23" xfId="32488"/>
    <cellStyle name="Normal 15 2 24" xfId="34269"/>
    <cellStyle name="Normal 15 2 25" xfId="35124"/>
    <cellStyle name="Normal 15 2 26" xfId="36890"/>
    <cellStyle name="Normal 15 2 27" xfId="38617"/>
    <cellStyle name="Normal 15 2 28" xfId="40372"/>
    <cellStyle name="Normal 15 2 29" xfId="42124"/>
    <cellStyle name="Normal 15 2 3" xfId="635"/>
    <cellStyle name="Normal 15 2 3 10" xfId="13383"/>
    <cellStyle name="Normal 15 2 3 11" xfId="15135"/>
    <cellStyle name="Normal 15 2 3 12" xfId="16888"/>
    <cellStyle name="Normal 15 2 3 13" xfId="18640"/>
    <cellStyle name="Normal 15 2 3 14" xfId="20393"/>
    <cellStyle name="Normal 15 2 3 15" xfId="22145"/>
    <cellStyle name="Normal 15 2 3 16" xfId="23897"/>
    <cellStyle name="Normal 15 2 3 17" xfId="25649"/>
    <cellStyle name="Normal 15 2 3 18" xfId="27401"/>
    <cellStyle name="Normal 15 2 3 19" xfId="29154"/>
    <cellStyle name="Normal 15 2 3 2" xfId="636"/>
    <cellStyle name="Normal 15 2 3 2 10" xfId="15571"/>
    <cellStyle name="Normal 15 2 3 2 11" xfId="17324"/>
    <cellStyle name="Normal 15 2 3 2 12" xfId="19076"/>
    <cellStyle name="Normal 15 2 3 2 13" xfId="20829"/>
    <cellStyle name="Normal 15 2 3 2 14" xfId="22581"/>
    <cellStyle name="Normal 15 2 3 2 15" xfId="24333"/>
    <cellStyle name="Normal 15 2 3 2 16" xfId="26085"/>
    <cellStyle name="Normal 15 2 3 2 17" xfId="27837"/>
    <cellStyle name="Normal 15 2 3 2 18" xfId="29590"/>
    <cellStyle name="Normal 15 2 3 2 19" xfId="31342"/>
    <cellStyle name="Normal 15 2 3 2 2" xfId="637"/>
    <cellStyle name="Normal 15 2 3 2 2 10" xfId="18200"/>
    <cellStyle name="Normal 15 2 3 2 2 11" xfId="19952"/>
    <cellStyle name="Normal 15 2 3 2 2 12" xfId="21705"/>
    <cellStyle name="Normal 15 2 3 2 2 13" xfId="23457"/>
    <cellStyle name="Normal 15 2 3 2 2 14" xfId="25209"/>
    <cellStyle name="Normal 15 2 3 2 2 15" xfId="26961"/>
    <cellStyle name="Normal 15 2 3 2 2 16" xfId="28713"/>
    <cellStyle name="Normal 15 2 3 2 2 17" xfId="30466"/>
    <cellStyle name="Normal 15 2 3 2 2 18" xfId="32218"/>
    <cellStyle name="Normal 15 2 3 2 2 19" xfId="33971"/>
    <cellStyle name="Normal 15 2 3 2 2 2" xfId="4182"/>
    <cellStyle name="Normal 15 2 3 2 2 20" xfId="36607"/>
    <cellStyle name="Normal 15 2 3 2 2 21" xfId="38347"/>
    <cellStyle name="Normal 15 2 3 2 2 22" xfId="40100"/>
    <cellStyle name="Normal 15 2 3 2 2 23" xfId="41855"/>
    <cellStyle name="Normal 15 2 3 2 2 24" xfId="43607"/>
    <cellStyle name="Normal 15 2 3 2 2 25" xfId="46225"/>
    <cellStyle name="Normal 15 2 3 2 2 26" xfId="47977"/>
    <cellStyle name="Normal 15 2 3 2 2 27" xfId="49729"/>
    <cellStyle name="Normal 15 2 3 2 2 28" xfId="51481"/>
    <cellStyle name="Normal 15 2 3 2 2 29" xfId="53233"/>
    <cellStyle name="Normal 15 2 3 2 2 3" xfId="5934"/>
    <cellStyle name="Normal 15 2 3 2 2 30" xfId="54985"/>
    <cellStyle name="Normal 15 2 3 2 2 31" xfId="56737"/>
    <cellStyle name="Normal 15 2 3 2 2 32" xfId="58490"/>
    <cellStyle name="Normal 15 2 3 2 2 33" xfId="60242"/>
    <cellStyle name="Normal 15 2 3 2 2 34" xfId="61994"/>
    <cellStyle name="Normal 15 2 3 2 2 4" xfId="7686"/>
    <cellStyle name="Normal 15 2 3 2 2 5" xfId="9438"/>
    <cellStyle name="Normal 15 2 3 2 2 6" xfId="11191"/>
    <cellStyle name="Normal 15 2 3 2 2 7" xfId="12943"/>
    <cellStyle name="Normal 15 2 3 2 2 8" xfId="14695"/>
    <cellStyle name="Normal 15 2 3 2 2 9" xfId="16447"/>
    <cellStyle name="Normal 15 2 3 2 20" xfId="33095"/>
    <cellStyle name="Normal 15 2 3 2 21" xfId="34275"/>
    <cellStyle name="Normal 15 2 3 2 22" xfId="35731"/>
    <cellStyle name="Normal 15 2 3 2 23" xfId="36896"/>
    <cellStyle name="Normal 15 2 3 2 24" xfId="39224"/>
    <cellStyle name="Normal 15 2 3 2 25" xfId="40979"/>
    <cellStyle name="Normal 15 2 3 2 26" xfId="42731"/>
    <cellStyle name="Normal 15 2 3 2 27" xfId="43896"/>
    <cellStyle name="Normal 15 2 3 2 28" xfId="45349"/>
    <cellStyle name="Normal 15 2 3 2 29" xfId="47101"/>
    <cellStyle name="Normal 15 2 3 2 3" xfId="3306"/>
    <cellStyle name="Normal 15 2 3 2 30" xfId="48853"/>
    <cellStyle name="Normal 15 2 3 2 31" xfId="50605"/>
    <cellStyle name="Normal 15 2 3 2 32" xfId="52357"/>
    <cellStyle name="Normal 15 2 3 2 33" xfId="54109"/>
    <cellStyle name="Normal 15 2 3 2 34" xfId="55861"/>
    <cellStyle name="Normal 15 2 3 2 35" xfId="57614"/>
    <cellStyle name="Normal 15 2 3 2 36" xfId="59366"/>
    <cellStyle name="Normal 15 2 3 2 37" xfId="61118"/>
    <cellStyle name="Normal 15 2 3 2 38" xfId="62283"/>
    <cellStyle name="Normal 15 2 3 2 39" xfId="63149"/>
    <cellStyle name="Normal 15 2 3 2 4" xfId="5058"/>
    <cellStyle name="Normal 15 2 3 2 5" xfId="6810"/>
    <cellStyle name="Normal 15 2 3 2 6" xfId="8562"/>
    <cellStyle name="Normal 15 2 3 2 7" xfId="10315"/>
    <cellStyle name="Normal 15 2 3 2 8" xfId="12067"/>
    <cellStyle name="Normal 15 2 3 2 9" xfId="13819"/>
    <cellStyle name="Normal 15 2 3 20" xfId="30906"/>
    <cellStyle name="Normal 15 2 3 21" xfId="32659"/>
    <cellStyle name="Normal 15 2 3 22" xfId="34274"/>
    <cellStyle name="Normal 15 2 3 23" xfId="35295"/>
    <cellStyle name="Normal 15 2 3 24" xfId="36895"/>
    <cellStyle name="Normal 15 2 3 25" xfId="38788"/>
    <cellStyle name="Normal 15 2 3 26" xfId="40543"/>
    <cellStyle name="Normal 15 2 3 27" xfId="42295"/>
    <cellStyle name="Normal 15 2 3 28" xfId="43895"/>
    <cellStyle name="Normal 15 2 3 29" xfId="44913"/>
    <cellStyle name="Normal 15 2 3 3" xfId="638"/>
    <cellStyle name="Normal 15 2 3 3 10" xfId="17764"/>
    <cellStyle name="Normal 15 2 3 3 11" xfId="19516"/>
    <cellStyle name="Normal 15 2 3 3 12" xfId="21269"/>
    <cellStyle name="Normal 15 2 3 3 13" xfId="23021"/>
    <cellStyle name="Normal 15 2 3 3 14" xfId="24773"/>
    <cellStyle name="Normal 15 2 3 3 15" xfId="26525"/>
    <cellStyle name="Normal 15 2 3 3 16" xfId="28277"/>
    <cellStyle name="Normal 15 2 3 3 17" xfId="30030"/>
    <cellStyle name="Normal 15 2 3 3 18" xfId="31782"/>
    <cellStyle name="Normal 15 2 3 3 19" xfId="33535"/>
    <cellStyle name="Normal 15 2 3 3 2" xfId="3746"/>
    <cellStyle name="Normal 15 2 3 3 20" xfId="36171"/>
    <cellStyle name="Normal 15 2 3 3 21" xfId="37911"/>
    <cellStyle name="Normal 15 2 3 3 22" xfId="39664"/>
    <cellStyle name="Normal 15 2 3 3 23" xfId="41419"/>
    <cellStyle name="Normal 15 2 3 3 24" xfId="43171"/>
    <cellStyle name="Normal 15 2 3 3 25" xfId="45789"/>
    <cellStyle name="Normal 15 2 3 3 26" xfId="47541"/>
    <cellStyle name="Normal 15 2 3 3 27" xfId="49293"/>
    <cellStyle name="Normal 15 2 3 3 28" xfId="51045"/>
    <cellStyle name="Normal 15 2 3 3 29" xfId="52797"/>
    <cellStyle name="Normal 15 2 3 3 3" xfId="5498"/>
    <cellStyle name="Normal 15 2 3 3 30" xfId="54549"/>
    <cellStyle name="Normal 15 2 3 3 31" xfId="56301"/>
    <cellStyle name="Normal 15 2 3 3 32" xfId="58054"/>
    <cellStyle name="Normal 15 2 3 3 33" xfId="59806"/>
    <cellStyle name="Normal 15 2 3 3 34" xfId="61558"/>
    <cellStyle name="Normal 15 2 3 3 4" xfId="7250"/>
    <cellStyle name="Normal 15 2 3 3 5" xfId="9002"/>
    <cellStyle name="Normal 15 2 3 3 6" xfId="10755"/>
    <cellStyle name="Normal 15 2 3 3 7" xfId="12507"/>
    <cellStyle name="Normal 15 2 3 3 8" xfId="14259"/>
    <cellStyle name="Normal 15 2 3 3 9" xfId="16011"/>
    <cellStyle name="Normal 15 2 3 30" xfId="46665"/>
    <cellStyle name="Normal 15 2 3 31" xfId="48417"/>
    <cellStyle name="Normal 15 2 3 32" xfId="50169"/>
    <cellStyle name="Normal 15 2 3 33" xfId="51921"/>
    <cellStyle name="Normal 15 2 3 34" xfId="53673"/>
    <cellStyle name="Normal 15 2 3 35" xfId="55425"/>
    <cellStyle name="Normal 15 2 3 36" xfId="57178"/>
    <cellStyle name="Normal 15 2 3 37" xfId="58930"/>
    <cellStyle name="Normal 15 2 3 38" xfId="60682"/>
    <cellStyle name="Normal 15 2 3 39" xfId="62282"/>
    <cellStyle name="Normal 15 2 3 4" xfId="2870"/>
    <cellStyle name="Normal 15 2 3 40" xfId="63148"/>
    <cellStyle name="Normal 15 2 3 5" xfId="4622"/>
    <cellStyle name="Normal 15 2 3 6" xfId="6374"/>
    <cellStyle name="Normal 15 2 3 7" xfId="8126"/>
    <cellStyle name="Normal 15 2 3 8" xfId="9879"/>
    <cellStyle name="Normal 15 2 3 9" xfId="11631"/>
    <cellStyle name="Normal 15 2 30" xfId="43890"/>
    <cellStyle name="Normal 15 2 31" xfId="44742"/>
    <cellStyle name="Normal 15 2 32" xfId="46494"/>
    <cellStyle name="Normal 15 2 33" xfId="48246"/>
    <cellStyle name="Normal 15 2 34" xfId="49998"/>
    <cellStyle name="Normal 15 2 35" xfId="51750"/>
    <cellStyle name="Normal 15 2 36" xfId="53502"/>
    <cellStyle name="Normal 15 2 37" xfId="55254"/>
    <cellStyle name="Normal 15 2 38" xfId="57007"/>
    <cellStyle name="Normal 15 2 39" xfId="58759"/>
    <cellStyle name="Normal 15 2 4" xfId="639"/>
    <cellStyle name="Normal 15 2 4 10" xfId="15400"/>
    <cellStyle name="Normal 15 2 4 11" xfId="17153"/>
    <cellStyle name="Normal 15 2 4 12" xfId="18905"/>
    <cellStyle name="Normal 15 2 4 13" xfId="20658"/>
    <cellStyle name="Normal 15 2 4 14" xfId="22410"/>
    <cellStyle name="Normal 15 2 4 15" xfId="24162"/>
    <cellStyle name="Normal 15 2 4 16" xfId="25914"/>
    <cellStyle name="Normal 15 2 4 17" xfId="27666"/>
    <cellStyle name="Normal 15 2 4 18" xfId="29419"/>
    <cellStyle name="Normal 15 2 4 19" xfId="31171"/>
    <cellStyle name="Normal 15 2 4 2" xfId="640"/>
    <cellStyle name="Normal 15 2 4 2 10" xfId="18029"/>
    <cellStyle name="Normal 15 2 4 2 11" xfId="19781"/>
    <cellStyle name="Normal 15 2 4 2 12" xfId="21534"/>
    <cellStyle name="Normal 15 2 4 2 13" xfId="23286"/>
    <cellStyle name="Normal 15 2 4 2 14" xfId="25038"/>
    <cellStyle name="Normal 15 2 4 2 15" xfId="26790"/>
    <cellStyle name="Normal 15 2 4 2 16" xfId="28542"/>
    <cellStyle name="Normal 15 2 4 2 17" xfId="30295"/>
    <cellStyle name="Normal 15 2 4 2 18" xfId="32047"/>
    <cellStyle name="Normal 15 2 4 2 19" xfId="33800"/>
    <cellStyle name="Normal 15 2 4 2 2" xfId="4011"/>
    <cellStyle name="Normal 15 2 4 2 20" xfId="36436"/>
    <cellStyle name="Normal 15 2 4 2 21" xfId="38176"/>
    <cellStyle name="Normal 15 2 4 2 22" xfId="39929"/>
    <cellStyle name="Normal 15 2 4 2 23" xfId="41684"/>
    <cellStyle name="Normal 15 2 4 2 24" xfId="43436"/>
    <cellStyle name="Normal 15 2 4 2 25" xfId="46054"/>
    <cellStyle name="Normal 15 2 4 2 26" xfId="47806"/>
    <cellStyle name="Normal 15 2 4 2 27" xfId="49558"/>
    <cellStyle name="Normal 15 2 4 2 28" xfId="51310"/>
    <cellStyle name="Normal 15 2 4 2 29" xfId="53062"/>
    <cellStyle name="Normal 15 2 4 2 3" xfId="5763"/>
    <cellStyle name="Normal 15 2 4 2 30" xfId="54814"/>
    <cellStyle name="Normal 15 2 4 2 31" xfId="56566"/>
    <cellStyle name="Normal 15 2 4 2 32" xfId="58319"/>
    <cellStyle name="Normal 15 2 4 2 33" xfId="60071"/>
    <cellStyle name="Normal 15 2 4 2 34" xfId="61823"/>
    <cellStyle name="Normal 15 2 4 2 4" xfId="7515"/>
    <cellStyle name="Normal 15 2 4 2 5" xfId="9267"/>
    <cellStyle name="Normal 15 2 4 2 6" xfId="11020"/>
    <cellStyle name="Normal 15 2 4 2 7" xfId="12772"/>
    <cellStyle name="Normal 15 2 4 2 8" xfId="14524"/>
    <cellStyle name="Normal 15 2 4 2 9" xfId="16276"/>
    <cellStyle name="Normal 15 2 4 20" xfId="32924"/>
    <cellStyle name="Normal 15 2 4 21" xfId="34276"/>
    <cellStyle name="Normal 15 2 4 22" xfId="35560"/>
    <cellStyle name="Normal 15 2 4 23" xfId="36897"/>
    <cellStyle name="Normal 15 2 4 24" xfId="39053"/>
    <cellStyle name="Normal 15 2 4 25" xfId="40808"/>
    <cellStyle name="Normal 15 2 4 26" xfId="42560"/>
    <cellStyle name="Normal 15 2 4 27" xfId="43897"/>
    <cellStyle name="Normal 15 2 4 28" xfId="45178"/>
    <cellStyle name="Normal 15 2 4 29" xfId="46930"/>
    <cellStyle name="Normal 15 2 4 3" xfId="3135"/>
    <cellStyle name="Normal 15 2 4 30" xfId="48682"/>
    <cellStyle name="Normal 15 2 4 31" xfId="50434"/>
    <cellStyle name="Normal 15 2 4 32" xfId="52186"/>
    <cellStyle name="Normal 15 2 4 33" xfId="53938"/>
    <cellStyle name="Normal 15 2 4 34" xfId="55690"/>
    <cellStyle name="Normal 15 2 4 35" xfId="57443"/>
    <cellStyle name="Normal 15 2 4 36" xfId="59195"/>
    <cellStyle name="Normal 15 2 4 37" xfId="60947"/>
    <cellStyle name="Normal 15 2 4 38" xfId="62284"/>
    <cellStyle name="Normal 15 2 4 39" xfId="63150"/>
    <cellStyle name="Normal 15 2 4 4" xfId="4887"/>
    <cellStyle name="Normal 15 2 4 5" xfId="6639"/>
    <cellStyle name="Normal 15 2 4 6" xfId="8391"/>
    <cellStyle name="Normal 15 2 4 7" xfId="10144"/>
    <cellStyle name="Normal 15 2 4 8" xfId="11896"/>
    <cellStyle name="Normal 15 2 4 9" xfId="13648"/>
    <cellStyle name="Normal 15 2 40" xfId="60511"/>
    <cellStyle name="Normal 15 2 41" xfId="62277"/>
    <cellStyle name="Normal 15 2 42" xfId="63143"/>
    <cellStyle name="Normal 15 2 5" xfId="641"/>
    <cellStyle name="Normal 15 2 5 10" xfId="17593"/>
    <cellStyle name="Normal 15 2 5 11" xfId="19345"/>
    <cellStyle name="Normal 15 2 5 12" xfId="21098"/>
    <cellStyle name="Normal 15 2 5 13" xfId="22850"/>
    <cellStyle name="Normal 15 2 5 14" xfId="24602"/>
    <cellStyle name="Normal 15 2 5 15" xfId="26354"/>
    <cellStyle name="Normal 15 2 5 16" xfId="28106"/>
    <cellStyle name="Normal 15 2 5 17" xfId="29859"/>
    <cellStyle name="Normal 15 2 5 18" xfId="31611"/>
    <cellStyle name="Normal 15 2 5 19" xfId="33364"/>
    <cellStyle name="Normal 15 2 5 2" xfId="3575"/>
    <cellStyle name="Normal 15 2 5 20" xfId="36000"/>
    <cellStyle name="Normal 15 2 5 21" xfId="37737"/>
    <cellStyle name="Normal 15 2 5 22" xfId="39493"/>
    <cellStyle name="Normal 15 2 5 23" xfId="41248"/>
    <cellStyle name="Normal 15 2 5 24" xfId="43000"/>
    <cellStyle name="Normal 15 2 5 25" xfId="45618"/>
    <cellStyle name="Normal 15 2 5 26" xfId="47370"/>
    <cellStyle name="Normal 15 2 5 27" xfId="49122"/>
    <cellStyle name="Normal 15 2 5 28" xfId="50874"/>
    <cellStyle name="Normal 15 2 5 29" xfId="52626"/>
    <cellStyle name="Normal 15 2 5 3" xfId="5327"/>
    <cellStyle name="Normal 15 2 5 30" xfId="54378"/>
    <cellStyle name="Normal 15 2 5 31" xfId="56130"/>
    <cellStyle name="Normal 15 2 5 32" xfId="57883"/>
    <cellStyle name="Normal 15 2 5 33" xfId="59635"/>
    <cellStyle name="Normal 15 2 5 34" xfId="61387"/>
    <cellStyle name="Normal 15 2 5 4" xfId="7079"/>
    <cellStyle name="Normal 15 2 5 5" xfId="8831"/>
    <cellStyle name="Normal 15 2 5 6" xfId="10584"/>
    <cellStyle name="Normal 15 2 5 7" xfId="12336"/>
    <cellStyle name="Normal 15 2 5 8" xfId="14088"/>
    <cellStyle name="Normal 15 2 5 9" xfId="15840"/>
    <cellStyle name="Normal 15 2 6" xfId="2699"/>
    <cellStyle name="Normal 15 2 7" xfId="4451"/>
    <cellStyle name="Normal 15 2 8" xfId="6203"/>
    <cellStyle name="Normal 15 2 9" xfId="7955"/>
    <cellStyle name="Normal 15 20" xfId="25423"/>
    <cellStyle name="Normal 15 21" xfId="27175"/>
    <cellStyle name="Normal 15 22" xfId="28928"/>
    <cellStyle name="Normal 15 23" xfId="30680"/>
    <cellStyle name="Normal 15 24" xfId="32433"/>
    <cellStyle name="Normal 15 25" xfId="34268"/>
    <cellStyle name="Normal 15 26" xfId="35069"/>
    <cellStyle name="Normal 15 27" xfId="36889"/>
    <cellStyle name="Normal 15 28" xfId="38561"/>
    <cellStyle name="Normal 15 29" xfId="40317"/>
    <cellStyle name="Normal 15 3" xfId="642"/>
    <cellStyle name="Normal 15 3 10" xfId="11513"/>
    <cellStyle name="Normal 15 3 11" xfId="13265"/>
    <cellStyle name="Normal 15 3 12" xfId="15017"/>
    <cellStyle name="Normal 15 3 13" xfId="16770"/>
    <cellStyle name="Normal 15 3 14" xfId="18522"/>
    <cellStyle name="Normal 15 3 15" xfId="20275"/>
    <cellStyle name="Normal 15 3 16" xfId="22027"/>
    <cellStyle name="Normal 15 3 17" xfId="23779"/>
    <cellStyle name="Normal 15 3 18" xfId="25531"/>
    <cellStyle name="Normal 15 3 19" xfId="27283"/>
    <cellStyle name="Normal 15 3 2" xfId="643"/>
    <cellStyle name="Normal 15 3 2 10" xfId="13384"/>
    <cellStyle name="Normal 15 3 2 11" xfId="15136"/>
    <cellStyle name="Normal 15 3 2 12" xfId="16889"/>
    <cellStyle name="Normal 15 3 2 13" xfId="18641"/>
    <cellStyle name="Normal 15 3 2 14" xfId="20394"/>
    <cellStyle name="Normal 15 3 2 15" xfId="22146"/>
    <cellStyle name="Normal 15 3 2 16" xfId="23898"/>
    <cellStyle name="Normal 15 3 2 17" xfId="25650"/>
    <cellStyle name="Normal 15 3 2 18" xfId="27402"/>
    <cellStyle name="Normal 15 3 2 19" xfId="29155"/>
    <cellStyle name="Normal 15 3 2 2" xfId="644"/>
    <cellStyle name="Normal 15 3 2 2 10" xfId="15572"/>
    <cellStyle name="Normal 15 3 2 2 11" xfId="17325"/>
    <cellStyle name="Normal 15 3 2 2 12" xfId="19077"/>
    <cellStyle name="Normal 15 3 2 2 13" xfId="20830"/>
    <cellStyle name="Normal 15 3 2 2 14" xfId="22582"/>
    <cellStyle name="Normal 15 3 2 2 15" xfId="24334"/>
    <cellStyle name="Normal 15 3 2 2 16" xfId="26086"/>
    <cellStyle name="Normal 15 3 2 2 17" xfId="27838"/>
    <cellStyle name="Normal 15 3 2 2 18" xfId="29591"/>
    <cellStyle name="Normal 15 3 2 2 19" xfId="31343"/>
    <cellStyle name="Normal 15 3 2 2 2" xfId="645"/>
    <cellStyle name="Normal 15 3 2 2 2 10" xfId="18201"/>
    <cellStyle name="Normal 15 3 2 2 2 11" xfId="19953"/>
    <cellStyle name="Normal 15 3 2 2 2 12" xfId="21706"/>
    <cellStyle name="Normal 15 3 2 2 2 13" xfId="23458"/>
    <cellStyle name="Normal 15 3 2 2 2 14" xfId="25210"/>
    <cellStyle name="Normal 15 3 2 2 2 15" xfId="26962"/>
    <cellStyle name="Normal 15 3 2 2 2 16" xfId="28714"/>
    <cellStyle name="Normal 15 3 2 2 2 17" xfId="30467"/>
    <cellStyle name="Normal 15 3 2 2 2 18" xfId="32219"/>
    <cellStyle name="Normal 15 3 2 2 2 19" xfId="33972"/>
    <cellStyle name="Normal 15 3 2 2 2 2" xfId="4183"/>
    <cellStyle name="Normal 15 3 2 2 2 20" xfId="36608"/>
    <cellStyle name="Normal 15 3 2 2 2 21" xfId="38348"/>
    <cellStyle name="Normal 15 3 2 2 2 22" xfId="40101"/>
    <cellStyle name="Normal 15 3 2 2 2 23" xfId="41856"/>
    <cellStyle name="Normal 15 3 2 2 2 24" xfId="43608"/>
    <cellStyle name="Normal 15 3 2 2 2 25" xfId="46226"/>
    <cellStyle name="Normal 15 3 2 2 2 26" xfId="47978"/>
    <cellStyle name="Normal 15 3 2 2 2 27" xfId="49730"/>
    <cellStyle name="Normal 15 3 2 2 2 28" xfId="51482"/>
    <cellStyle name="Normal 15 3 2 2 2 29" xfId="53234"/>
    <cellStyle name="Normal 15 3 2 2 2 3" xfId="5935"/>
    <cellStyle name="Normal 15 3 2 2 2 30" xfId="54986"/>
    <cellStyle name="Normal 15 3 2 2 2 31" xfId="56738"/>
    <cellStyle name="Normal 15 3 2 2 2 32" xfId="58491"/>
    <cellStyle name="Normal 15 3 2 2 2 33" xfId="60243"/>
    <cellStyle name="Normal 15 3 2 2 2 34" xfId="61995"/>
    <cellStyle name="Normal 15 3 2 2 2 4" xfId="7687"/>
    <cellStyle name="Normal 15 3 2 2 2 5" xfId="9439"/>
    <cellStyle name="Normal 15 3 2 2 2 6" xfId="11192"/>
    <cellStyle name="Normal 15 3 2 2 2 7" xfId="12944"/>
    <cellStyle name="Normal 15 3 2 2 2 8" xfId="14696"/>
    <cellStyle name="Normal 15 3 2 2 2 9" xfId="16448"/>
    <cellStyle name="Normal 15 3 2 2 20" xfId="33096"/>
    <cellStyle name="Normal 15 3 2 2 21" xfId="34279"/>
    <cellStyle name="Normal 15 3 2 2 22" xfId="35732"/>
    <cellStyle name="Normal 15 3 2 2 23" xfId="36900"/>
    <cellStyle name="Normal 15 3 2 2 24" xfId="39225"/>
    <cellStyle name="Normal 15 3 2 2 25" xfId="40980"/>
    <cellStyle name="Normal 15 3 2 2 26" xfId="42732"/>
    <cellStyle name="Normal 15 3 2 2 27" xfId="43900"/>
    <cellStyle name="Normal 15 3 2 2 28" xfId="45350"/>
    <cellStyle name="Normal 15 3 2 2 29" xfId="47102"/>
    <cellStyle name="Normal 15 3 2 2 3" xfId="3307"/>
    <cellStyle name="Normal 15 3 2 2 30" xfId="48854"/>
    <cellStyle name="Normal 15 3 2 2 31" xfId="50606"/>
    <cellStyle name="Normal 15 3 2 2 32" xfId="52358"/>
    <cellStyle name="Normal 15 3 2 2 33" xfId="54110"/>
    <cellStyle name="Normal 15 3 2 2 34" xfId="55862"/>
    <cellStyle name="Normal 15 3 2 2 35" xfId="57615"/>
    <cellStyle name="Normal 15 3 2 2 36" xfId="59367"/>
    <cellStyle name="Normal 15 3 2 2 37" xfId="61119"/>
    <cellStyle name="Normal 15 3 2 2 38" xfId="62287"/>
    <cellStyle name="Normal 15 3 2 2 39" xfId="63153"/>
    <cellStyle name="Normal 15 3 2 2 4" xfId="5059"/>
    <cellStyle name="Normal 15 3 2 2 5" xfId="6811"/>
    <cellStyle name="Normal 15 3 2 2 6" xfId="8563"/>
    <cellStyle name="Normal 15 3 2 2 7" xfId="10316"/>
    <cellStyle name="Normal 15 3 2 2 8" xfId="12068"/>
    <cellStyle name="Normal 15 3 2 2 9" xfId="13820"/>
    <cellStyle name="Normal 15 3 2 20" xfId="30907"/>
    <cellStyle name="Normal 15 3 2 21" xfId="32660"/>
    <cellStyle name="Normal 15 3 2 22" xfId="34278"/>
    <cellStyle name="Normal 15 3 2 23" xfId="35296"/>
    <cellStyle name="Normal 15 3 2 24" xfId="36899"/>
    <cellStyle name="Normal 15 3 2 25" xfId="38789"/>
    <cellStyle name="Normal 15 3 2 26" xfId="40544"/>
    <cellStyle name="Normal 15 3 2 27" xfId="42296"/>
    <cellStyle name="Normal 15 3 2 28" xfId="43899"/>
    <cellStyle name="Normal 15 3 2 29" xfId="44914"/>
    <cellStyle name="Normal 15 3 2 3" xfId="646"/>
    <cellStyle name="Normal 15 3 2 3 10" xfId="17765"/>
    <cellStyle name="Normal 15 3 2 3 11" xfId="19517"/>
    <cellStyle name="Normal 15 3 2 3 12" xfId="21270"/>
    <cellStyle name="Normal 15 3 2 3 13" xfId="23022"/>
    <cellStyle name="Normal 15 3 2 3 14" xfId="24774"/>
    <cellStyle name="Normal 15 3 2 3 15" xfId="26526"/>
    <cellStyle name="Normal 15 3 2 3 16" xfId="28278"/>
    <cellStyle name="Normal 15 3 2 3 17" xfId="30031"/>
    <cellStyle name="Normal 15 3 2 3 18" xfId="31783"/>
    <cellStyle name="Normal 15 3 2 3 19" xfId="33536"/>
    <cellStyle name="Normal 15 3 2 3 2" xfId="3747"/>
    <cellStyle name="Normal 15 3 2 3 20" xfId="36172"/>
    <cellStyle name="Normal 15 3 2 3 21" xfId="37912"/>
    <cellStyle name="Normal 15 3 2 3 22" xfId="39665"/>
    <cellStyle name="Normal 15 3 2 3 23" xfId="41420"/>
    <cellStyle name="Normal 15 3 2 3 24" xfId="43172"/>
    <cellStyle name="Normal 15 3 2 3 25" xfId="45790"/>
    <cellStyle name="Normal 15 3 2 3 26" xfId="47542"/>
    <cellStyle name="Normal 15 3 2 3 27" xfId="49294"/>
    <cellStyle name="Normal 15 3 2 3 28" xfId="51046"/>
    <cellStyle name="Normal 15 3 2 3 29" xfId="52798"/>
    <cellStyle name="Normal 15 3 2 3 3" xfId="5499"/>
    <cellStyle name="Normal 15 3 2 3 30" xfId="54550"/>
    <cellStyle name="Normal 15 3 2 3 31" xfId="56302"/>
    <cellStyle name="Normal 15 3 2 3 32" xfId="58055"/>
    <cellStyle name="Normal 15 3 2 3 33" xfId="59807"/>
    <cellStyle name="Normal 15 3 2 3 34" xfId="61559"/>
    <cellStyle name="Normal 15 3 2 3 4" xfId="7251"/>
    <cellStyle name="Normal 15 3 2 3 5" xfId="9003"/>
    <cellStyle name="Normal 15 3 2 3 6" xfId="10756"/>
    <cellStyle name="Normal 15 3 2 3 7" xfId="12508"/>
    <cellStyle name="Normal 15 3 2 3 8" xfId="14260"/>
    <cellStyle name="Normal 15 3 2 3 9" xfId="16012"/>
    <cellStyle name="Normal 15 3 2 30" xfId="46666"/>
    <cellStyle name="Normal 15 3 2 31" xfId="48418"/>
    <cellStyle name="Normal 15 3 2 32" xfId="50170"/>
    <cellStyle name="Normal 15 3 2 33" xfId="51922"/>
    <cellStyle name="Normal 15 3 2 34" xfId="53674"/>
    <cellStyle name="Normal 15 3 2 35" xfId="55426"/>
    <cellStyle name="Normal 15 3 2 36" xfId="57179"/>
    <cellStyle name="Normal 15 3 2 37" xfId="58931"/>
    <cellStyle name="Normal 15 3 2 38" xfId="60683"/>
    <cellStyle name="Normal 15 3 2 39" xfId="62286"/>
    <cellStyle name="Normal 15 3 2 4" xfId="2871"/>
    <cellStyle name="Normal 15 3 2 40" xfId="63152"/>
    <cellStyle name="Normal 15 3 2 5" xfId="4623"/>
    <cellStyle name="Normal 15 3 2 6" xfId="6375"/>
    <cellStyle name="Normal 15 3 2 7" xfId="8127"/>
    <cellStyle name="Normal 15 3 2 8" xfId="9880"/>
    <cellStyle name="Normal 15 3 2 9" xfId="11632"/>
    <cellStyle name="Normal 15 3 20" xfId="29036"/>
    <cellStyle name="Normal 15 3 21" xfId="30788"/>
    <cellStyle name="Normal 15 3 22" xfId="32541"/>
    <cellStyle name="Normal 15 3 23" xfId="34277"/>
    <cellStyle name="Normal 15 3 24" xfId="35177"/>
    <cellStyle name="Normal 15 3 25" xfId="36898"/>
    <cellStyle name="Normal 15 3 26" xfId="38670"/>
    <cellStyle name="Normal 15 3 27" xfId="40425"/>
    <cellStyle name="Normal 15 3 28" xfId="42177"/>
    <cellStyle name="Normal 15 3 29" xfId="43898"/>
    <cellStyle name="Normal 15 3 3" xfId="647"/>
    <cellStyle name="Normal 15 3 3 10" xfId="15453"/>
    <cellStyle name="Normal 15 3 3 11" xfId="17206"/>
    <cellStyle name="Normal 15 3 3 12" xfId="18958"/>
    <cellStyle name="Normal 15 3 3 13" xfId="20711"/>
    <cellStyle name="Normal 15 3 3 14" xfId="22463"/>
    <cellStyle name="Normal 15 3 3 15" xfId="24215"/>
    <cellStyle name="Normal 15 3 3 16" xfId="25967"/>
    <cellStyle name="Normal 15 3 3 17" xfId="27719"/>
    <cellStyle name="Normal 15 3 3 18" xfId="29472"/>
    <cellStyle name="Normal 15 3 3 19" xfId="31224"/>
    <cellStyle name="Normal 15 3 3 2" xfId="648"/>
    <cellStyle name="Normal 15 3 3 2 10" xfId="18082"/>
    <cellStyle name="Normal 15 3 3 2 11" xfId="19834"/>
    <cellStyle name="Normal 15 3 3 2 12" xfId="21587"/>
    <cellStyle name="Normal 15 3 3 2 13" xfId="23339"/>
    <cellStyle name="Normal 15 3 3 2 14" xfId="25091"/>
    <cellStyle name="Normal 15 3 3 2 15" xfId="26843"/>
    <cellStyle name="Normal 15 3 3 2 16" xfId="28595"/>
    <cellStyle name="Normal 15 3 3 2 17" xfId="30348"/>
    <cellStyle name="Normal 15 3 3 2 18" xfId="32100"/>
    <cellStyle name="Normal 15 3 3 2 19" xfId="33853"/>
    <cellStyle name="Normal 15 3 3 2 2" xfId="4064"/>
    <cellStyle name="Normal 15 3 3 2 20" xfId="36489"/>
    <cellStyle name="Normal 15 3 3 2 21" xfId="38229"/>
    <cellStyle name="Normal 15 3 3 2 22" xfId="39982"/>
    <cellStyle name="Normal 15 3 3 2 23" xfId="41737"/>
    <cellStyle name="Normal 15 3 3 2 24" xfId="43489"/>
    <cellStyle name="Normal 15 3 3 2 25" xfId="46107"/>
    <cellStyle name="Normal 15 3 3 2 26" xfId="47859"/>
    <cellStyle name="Normal 15 3 3 2 27" xfId="49611"/>
    <cellStyle name="Normal 15 3 3 2 28" xfId="51363"/>
    <cellStyle name="Normal 15 3 3 2 29" xfId="53115"/>
    <cellStyle name="Normal 15 3 3 2 3" xfId="5816"/>
    <cellStyle name="Normal 15 3 3 2 30" xfId="54867"/>
    <cellStyle name="Normal 15 3 3 2 31" xfId="56619"/>
    <cellStyle name="Normal 15 3 3 2 32" xfId="58372"/>
    <cellStyle name="Normal 15 3 3 2 33" xfId="60124"/>
    <cellStyle name="Normal 15 3 3 2 34" xfId="61876"/>
    <cellStyle name="Normal 15 3 3 2 4" xfId="7568"/>
    <cellStyle name="Normal 15 3 3 2 5" xfId="9320"/>
    <cellStyle name="Normal 15 3 3 2 6" xfId="11073"/>
    <cellStyle name="Normal 15 3 3 2 7" xfId="12825"/>
    <cellStyle name="Normal 15 3 3 2 8" xfId="14577"/>
    <cellStyle name="Normal 15 3 3 2 9" xfId="16329"/>
    <cellStyle name="Normal 15 3 3 20" xfId="32977"/>
    <cellStyle name="Normal 15 3 3 21" xfId="34280"/>
    <cellStyle name="Normal 15 3 3 22" xfId="35613"/>
    <cellStyle name="Normal 15 3 3 23" xfId="36901"/>
    <cellStyle name="Normal 15 3 3 24" xfId="39106"/>
    <cellStyle name="Normal 15 3 3 25" xfId="40861"/>
    <cellStyle name="Normal 15 3 3 26" xfId="42613"/>
    <cellStyle name="Normal 15 3 3 27" xfId="43901"/>
    <cellStyle name="Normal 15 3 3 28" xfId="45231"/>
    <cellStyle name="Normal 15 3 3 29" xfId="46983"/>
    <cellStyle name="Normal 15 3 3 3" xfId="3188"/>
    <cellStyle name="Normal 15 3 3 30" xfId="48735"/>
    <cellStyle name="Normal 15 3 3 31" xfId="50487"/>
    <cellStyle name="Normal 15 3 3 32" xfId="52239"/>
    <cellStyle name="Normal 15 3 3 33" xfId="53991"/>
    <cellStyle name="Normal 15 3 3 34" xfId="55743"/>
    <cellStyle name="Normal 15 3 3 35" xfId="57496"/>
    <cellStyle name="Normal 15 3 3 36" xfId="59248"/>
    <cellStyle name="Normal 15 3 3 37" xfId="61000"/>
    <cellStyle name="Normal 15 3 3 38" xfId="62288"/>
    <cellStyle name="Normal 15 3 3 39" xfId="63154"/>
    <cellStyle name="Normal 15 3 3 4" xfId="4940"/>
    <cellStyle name="Normal 15 3 3 5" xfId="6692"/>
    <cellStyle name="Normal 15 3 3 6" xfId="8444"/>
    <cellStyle name="Normal 15 3 3 7" xfId="10197"/>
    <cellStyle name="Normal 15 3 3 8" xfId="11949"/>
    <cellStyle name="Normal 15 3 3 9" xfId="13701"/>
    <cellStyle name="Normal 15 3 30" xfId="44795"/>
    <cellStyle name="Normal 15 3 31" xfId="46547"/>
    <cellStyle name="Normal 15 3 32" xfId="48299"/>
    <cellStyle name="Normal 15 3 33" xfId="50051"/>
    <cellStyle name="Normal 15 3 34" xfId="51803"/>
    <cellStyle name="Normal 15 3 35" xfId="53555"/>
    <cellStyle name="Normal 15 3 36" xfId="55307"/>
    <cellStyle name="Normal 15 3 37" xfId="57060"/>
    <cellStyle name="Normal 15 3 38" xfId="58812"/>
    <cellStyle name="Normal 15 3 39" xfId="60564"/>
    <cellStyle name="Normal 15 3 4" xfId="649"/>
    <cellStyle name="Normal 15 3 4 10" xfId="17646"/>
    <cellStyle name="Normal 15 3 4 11" xfId="19398"/>
    <cellStyle name="Normal 15 3 4 12" xfId="21151"/>
    <cellStyle name="Normal 15 3 4 13" xfId="22903"/>
    <cellStyle name="Normal 15 3 4 14" xfId="24655"/>
    <cellStyle name="Normal 15 3 4 15" xfId="26407"/>
    <cellStyle name="Normal 15 3 4 16" xfId="28159"/>
    <cellStyle name="Normal 15 3 4 17" xfId="29912"/>
    <cellStyle name="Normal 15 3 4 18" xfId="31664"/>
    <cellStyle name="Normal 15 3 4 19" xfId="33417"/>
    <cellStyle name="Normal 15 3 4 2" xfId="3628"/>
    <cellStyle name="Normal 15 3 4 20" xfId="36053"/>
    <cellStyle name="Normal 15 3 4 21" xfId="37793"/>
    <cellStyle name="Normal 15 3 4 22" xfId="39546"/>
    <cellStyle name="Normal 15 3 4 23" xfId="41301"/>
    <cellStyle name="Normal 15 3 4 24" xfId="43053"/>
    <cellStyle name="Normal 15 3 4 25" xfId="45671"/>
    <cellStyle name="Normal 15 3 4 26" xfId="47423"/>
    <cellStyle name="Normal 15 3 4 27" xfId="49175"/>
    <cellStyle name="Normal 15 3 4 28" xfId="50927"/>
    <cellStyle name="Normal 15 3 4 29" xfId="52679"/>
    <cellStyle name="Normal 15 3 4 3" xfId="5380"/>
    <cellStyle name="Normal 15 3 4 30" xfId="54431"/>
    <cellStyle name="Normal 15 3 4 31" xfId="56183"/>
    <cellStyle name="Normal 15 3 4 32" xfId="57936"/>
    <cellStyle name="Normal 15 3 4 33" xfId="59688"/>
    <cellStyle name="Normal 15 3 4 34" xfId="61440"/>
    <cellStyle name="Normal 15 3 4 4" xfId="7132"/>
    <cellStyle name="Normal 15 3 4 5" xfId="8884"/>
    <cellStyle name="Normal 15 3 4 6" xfId="10637"/>
    <cellStyle name="Normal 15 3 4 7" xfId="12389"/>
    <cellStyle name="Normal 15 3 4 8" xfId="14141"/>
    <cellStyle name="Normal 15 3 4 9" xfId="15893"/>
    <cellStyle name="Normal 15 3 40" xfId="62285"/>
    <cellStyle name="Normal 15 3 41" xfId="63151"/>
    <cellStyle name="Normal 15 3 5" xfId="2752"/>
    <cellStyle name="Normal 15 3 6" xfId="4504"/>
    <cellStyle name="Normal 15 3 7" xfId="6256"/>
    <cellStyle name="Normal 15 3 8" xfId="8008"/>
    <cellStyle name="Normal 15 3 9" xfId="9761"/>
    <cellStyle name="Normal 15 30" xfId="42069"/>
    <cellStyle name="Normal 15 31" xfId="43889"/>
    <cellStyle name="Normal 15 32" xfId="44687"/>
    <cellStyle name="Normal 15 33" xfId="46439"/>
    <cellStyle name="Normal 15 34" xfId="48191"/>
    <cellStyle name="Normal 15 35" xfId="49943"/>
    <cellStyle name="Normal 15 36" xfId="51695"/>
    <cellStyle name="Normal 15 37" xfId="53447"/>
    <cellStyle name="Normal 15 38" xfId="55199"/>
    <cellStyle name="Normal 15 39" xfId="56952"/>
    <cellStyle name="Normal 15 4" xfId="650"/>
    <cellStyle name="Normal 15 4 10" xfId="13385"/>
    <cellStyle name="Normal 15 4 11" xfId="15137"/>
    <cellStyle name="Normal 15 4 12" xfId="16890"/>
    <cellStyle name="Normal 15 4 13" xfId="18642"/>
    <cellStyle name="Normal 15 4 14" xfId="20395"/>
    <cellStyle name="Normal 15 4 15" xfId="22147"/>
    <cellStyle name="Normal 15 4 16" xfId="23899"/>
    <cellStyle name="Normal 15 4 17" xfId="25651"/>
    <cellStyle name="Normal 15 4 18" xfId="27403"/>
    <cellStyle name="Normal 15 4 19" xfId="29156"/>
    <cellStyle name="Normal 15 4 2" xfId="651"/>
    <cellStyle name="Normal 15 4 2 10" xfId="15573"/>
    <cellStyle name="Normal 15 4 2 11" xfId="17326"/>
    <cellStyle name="Normal 15 4 2 12" xfId="19078"/>
    <cellStyle name="Normal 15 4 2 13" xfId="20831"/>
    <cellStyle name="Normal 15 4 2 14" xfId="22583"/>
    <cellStyle name="Normal 15 4 2 15" xfId="24335"/>
    <cellStyle name="Normal 15 4 2 16" xfId="26087"/>
    <cellStyle name="Normal 15 4 2 17" xfId="27839"/>
    <cellStyle name="Normal 15 4 2 18" xfId="29592"/>
    <cellStyle name="Normal 15 4 2 19" xfId="31344"/>
    <cellStyle name="Normal 15 4 2 2" xfId="652"/>
    <cellStyle name="Normal 15 4 2 2 10" xfId="18202"/>
    <cellStyle name="Normal 15 4 2 2 11" xfId="19954"/>
    <cellStyle name="Normal 15 4 2 2 12" xfId="21707"/>
    <cellStyle name="Normal 15 4 2 2 13" xfId="23459"/>
    <cellStyle name="Normal 15 4 2 2 14" xfId="25211"/>
    <cellStyle name="Normal 15 4 2 2 15" xfId="26963"/>
    <cellStyle name="Normal 15 4 2 2 16" xfId="28715"/>
    <cellStyle name="Normal 15 4 2 2 17" xfId="30468"/>
    <cellStyle name="Normal 15 4 2 2 18" xfId="32220"/>
    <cellStyle name="Normal 15 4 2 2 19" xfId="33973"/>
    <cellStyle name="Normal 15 4 2 2 2" xfId="4184"/>
    <cellStyle name="Normal 15 4 2 2 20" xfId="36609"/>
    <cellStyle name="Normal 15 4 2 2 21" xfId="38349"/>
    <cellStyle name="Normal 15 4 2 2 22" xfId="40102"/>
    <cellStyle name="Normal 15 4 2 2 23" xfId="41857"/>
    <cellStyle name="Normal 15 4 2 2 24" xfId="43609"/>
    <cellStyle name="Normal 15 4 2 2 25" xfId="46227"/>
    <cellStyle name="Normal 15 4 2 2 26" xfId="47979"/>
    <cellStyle name="Normal 15 4 2 2 27" xfId="49731"/>
    <cellStyle name="Normal 15 4 2 2 28" xfId="51483"/>
    <cellStyle name="Normal 15 4 2 2 29" xfId="53235"/>
    <cellStyle name="Normal 15 4 2 2 3" xfId="5936"/>
    <cellStyle name="Normal 15 4 2 2 30" xfId="54987"/>
    <cellStyle name="Normal 15 4 2 2 31" xfId="56739"/>
    <cellStyle name="Normal 15 4 2 2 32" xfId="58492"/>
    <cellStyle name="Normal 15 4 2 2 33" xfId="60244"/>
    <cellStyle name="Normal 15 4 2 2 34" xfId="61996"/>
    <cellStyle name="Normal 15 4 2 2 4" xfId="7688"/>
    <cellStyle name="Normal 15 4 2 2 5" xfId="9440"/>
    <cellStyle name="Normal 15 4 2 2 6" xfId="11193"/>
    <cellStyle name="Normal 15 4 2 2 7" xfId="12945"/>
    <cellStyle name="Normal 15 4 2 2 8" xfId="14697"/>
    <cellStyle name="Normal 15 4 2 2 9" xfId="16449"/>
    <cellStyle name="Normal 15 4 2 20" xfId="33097"/>
    <cellStyle name="Normal 15 4 2 21" xfId="34282"/>
    <cellStyle name="Normal 15 4 2 22" xfId="35733"/>
    <cellStyle name="Normal 15 4 2 23" xfId="36903"/>
    <cellStyle name="Normal 15 4 2 24" xfId="39226"/>
    <cellStyle name="Normal 15 4 2 25" xfId="40981"/>
    <cellStyle name="Normal 15 4 2 26" xfId="42733"/>
    <cellStyle name="Normal 15 4 2 27" xfId="43903"/>
    <cellStyle name="Normal 15 4 2 28" xfId="45351"/>
    <cellStyle name="Normal 15 4 2 29" xfId="47103"/>
    <cellStyle name="Normal 15 4 2 3" xfId="3308"/>
    <cellStyle name="Normal 15 4 2 30" xfId="48855"/>
    <cellStyle name="Normal 15 4 2 31" xfId="50607"/>
    <cellStyle name="Normal 15 4 2 32" xfId="52359"/>
    <cellStyle name="Normal 15 4 2 33" xfId="54111"/>
    <cellStyle name="Normal 15 4 2 34" xfId="55863"/>
    <cellStyle name="Normal 15 4 2 35" xfId="57616"/>
    <cellStyle name="Normal 15 4 2 36" xfId="59368"/>
    <cellStyle name="Normal 15 4 2 37" xfId="61120"/>
    <cellStyle name="Normal 15 4 2 38" xfId="62290"/>
    <cellStyle name="Normal 15 4 2 39" xfId="63156"/>
    <cellStyle name="Normal 15 4 2 4" xfId="5060"/>
    <cellStyle name="Normal 15 4 2 5" xfId="6812"/>
    <cellStyle name="Normal 15 4 2 6" xfId="8564"/>
    <cellStyle name="Normal 15 4 2 7" xfId="10317"/>
    <cellStyle name="Normal 15 4 2 8" xfId="12069"/>
    <cellStyle name="Normal 15 4 2 9" xfId="13821"/>
    <cellStyle name="Normal 15 4 20" xfId="30908"/>
    <cellStyle name="Normal 15 4 21" xfId="32661"/>
    <cellStyle name="Normal 15 4 22" xfId="34281"/>
    <cellStyle name="Normal 15 4 23" xfId="35297"/>
    <cellStyle name="Normal 15 4 24" xfId="36902"/>
    <cellStyle name="Normal 15 4 25" xfId="38790"/>
    <cellStyle name="Normal 15 4 26" xfId="40545"/>
    <cellStyle name="Normal 15 4 27" xfId="42297"/>
    <cellStyle name="Normal 15 4 28" xfId="43902"/>
    <cellStyle name="Normal 15 4 29" xfId="44915"/>
    <cellStyle name="Normal 15 4 3" xfId="653"/>
    <cellStyle name="Normal 15 4 3 10" xfId="17766"/>
    <cellStyle name="Normal 15 4 3 11" xfId="19518"/>
    <cellStyle name="Normal 15 4 3 12" xfId="21271"/>
    <cellStyle name="Normal 15 4 3 13" xfId="23023"/>
    <cellStyle name="Normal 15 4 3 14" xfId="24775"/>
    <cellStyle name="Normal 15 4 3 15" xfId="26527"/>
    <cellStyle name="Normal 15 4 3 16" xfId="28279"/>
    <cellStyle name="Normal 15 4 3 17" xfId="30032"/>
    <cellStyle name="Normal 15 4 3 18" xfId="31784"/>
    <cellStyle name="Normal 15 4 3 19" xfId="33537"/>
    <cellStyle name="Normal 15 4 3 2" xfId="3748"/>
    <cellStyle name="Normal 15 4 3 20" xfId="36173"/>
    <cellStyle name="Normal 15 4 3 21" xfId="37913"/>
    <cellStyle name="Normal 15 4 3 22" xfId="39666"/>
    <cellStyle name="Normal 15 4 3 23" xfId="41421"/>
    <cellStyle name="Normal 15 4 3 24" xfId="43173"/>
    <cellStyle name="Normal 15 4 3 25" xfId="45791"/>
    <cellStyle name="Normal 15 4 3 26" xfId="47543"/>
    <cellStyle name="Normal 15 4 3 27" xfId="49295"/>
    <cellStyle name="Normal 15 4 3 28" xfId="51047"/>
    <cellStyle name="Normal 15 4 3 29" xfId="52799"/>
    <cellStyle name="Normal 15 4 3 3" xfId="5500"/>
    <cellStyle name="Normal 15 4 3 30" xfId="54551"/>
    <cellStyle name="Normal 15 4 3 31" xfId="56303"/>
    <cellStyle name="Normal 15 4 3 32" xfId="58056"/>
    <cellStyle name="Normal 15 4 3 33" xfId="59808"/>
    <cellStyle name="Normal 15 4 3 34" xfId="61560"/>
    <cellStyle name="Normal 15 4 3 4" xfId="7252"/>
    <cellStyle name="Normal 15 4 3 5" xfId="9004"/>
    <cellStyle name="Normal 15 4 3 6" xfId="10757"/>
    <cellStyle name="Normal 15 4 3 7" xfId="12509"/>
    <cellStyle name="Normal 15 4 3 8" xfId="14261"/>
    <cellStyle name="Normal 15 4 3 9" xfId="16013"/>
    <cellStyle name="Normal 15 4 30" xfId="46667"/>
    <cellStyle name="Normal 15 4 31" xfId="48419"/>
    <cellStyle name="Normal 15 4 32" xfId="50171"/>
    <cellStyle name="Normal 15 4 33" xfId="51923"/>
    <cellStyle name="Normal 15 4 34" xfId="53675"/>
    <cellStyle name="Normal 15 4 35" xfId="55427"/>
    <cellStyle name="Normal 15 4 36" xfId="57180"/>
    <cellStyle name="Normal 15 4 37" xfId="58932"/>
    <cellStyle name="Normal 15 4 38" xfId="60684"/>
    <cellStyle name="Normal 15 4 39" xfId="62289"/>
    <cellStyle name="Normal 15 4 4" xfId="2872"/>
    <cellStyle name="Normal 15 4 40" xfId="63155"/>
    <cellStyle name="Normal 15 4 5" xfId="4624"/>
    <cellStyle name="Normal 15 4 6" xfId="6376"/>
    <cellStyle name="Normal 15 4 7" xfId="8128"/>
    <cellStyle name="Normal 15 4 8" xfId="9881"/>
    <cellStyle name="Normal 15 4 9" xfId="11633"/>
    <cellStyle name="Normal 15 40" xfId="58704"/>
    <cellStyle name="Normal 15 41" xfId="60456"/>
    <cellStyle name="Normal 15 42" xfId="62276"/>
    <cellStyle name="Normal 15 43" xfId="63142"/>
    <cellStyle name="Normal 15 5" xfId="654"/>
    <cellStyle name="Normal 15 5 10" xfId="15345"/>
    <cellStyle name="Normal 15 5 11" xfId="17098"/>
    <cellStyle name="Normal 15 5 12" xfId="18850"/>
    <cellStyle name="Normal 15 5 13" xfId="20603"/>
    <cellStyle name="Normal 15 5 14" xfId="22355"/>
    <cellStyle name="Normal 15 5 15" xfId="24107"/>
    <cellStyle name="Normal 15 5 16" xfId="25859"/>
    <cellStyle name="Normal 15 5 17" xfId="27611"/>
    <cellStyle name="Normal 15 5 18" xfId="29364"/>
    <cellStyle name="Normal 15 5 19" xfId="31116"/>
    <cellStyle name="Normal 15 5 2" xfId="655"/>
    <cellStyle name="Normal 15 5 2 10" xfId="17974"/>
    <cellStyle name="Normal 15 5 2 11" xfId="19726"/>
    <cellStyle name="Normal 15 5 2 12" xfId="21479"/>
    <cellStyle name="Normal 15 5 2 13" xfId="23231"/>
    <cellStyle name="Normal 15 5 2 14" xfId="24983"/>
    <cellStyle name="Normal 15 5 2 15" xfId="26735"/>
    <cellStyle name="Normal 15 5 2 16" xfId="28487"/>
    <cellStyle name="Normal 15 5 2 17" xfId="30240"/>
    <cellStyle name="Normal 15 5 2 18" xfId="31992"/>
    <cellStyle name="Normal 15 5 2 19" xfId="33745"/>
    <cellStyle name="Normal 15 5 2 2" xfId="3956"/>
    <cellStyle name="Normal 15 5 2 20" xfId="36381"/>
    <cellStyle name="Normal 15 5 2 21" xfId="38121"/>
    <cellStyle name="Normal 15 5 2 22" xfId="39874"/>
    <cellStyle name="Normal 15 5 2 23" xfId="41629"/>
    <cellStyle name="Normal 15 5 2 24" xfId="43381"/>
    <cellStyle name="Normal 15 5 2 25" xfId="45999"/>
    <cellStyle name="Normal 15 5 2 26" xfId="47751"/>
    <cellStyle name="Normal 15 5 2 27" xfId="49503"/>
    <cellStyle name="Normal 15 5 2 28" xfId="51255"/>
    <cellStyle name="Normal 15 5 2 29" xfId="53007"/>
    <cellStyle name="Normal 15 5 2 3" xfId="5708"/>
    <cellStyle name="Normal 15 5 2 30" xfId="54759"/>
    <cellStyle name="Normal 15 5 2 31" xfId="56511"/>
    <cellStyle name="Normal 15 5 2 32" xfId="58264"/>
    <cellStyle name="Normal 15 5 2 33" xfId="60016"/>
    <cellStyle name="Normal 15 5 2 34" xfId="61768"/>
    <cellStyle name="Normal 15 5 2 4" xfId="7460"/>
    <cellStyle name="Normal 15 5 2 5" xfId="9212"/>
    <cellStyle name="Normal 15 5 2 6" xfId="10965"/>
    <cellStyle name="Normal 15 5 2 7" xfId="12717"/>
    <cellStyle name="Normal 15 5 2 8" xfId="14469"/>
    <cellStyle name="Normal 15 5 2 9" xfId="16221"/>
    <cellStyle name="Normal 15 5 20" xfId="32869"/>
    <cellStyle name="Normal 15 5 21" xfId="34283"/>
    <cellStyle name="Normal 15 5 22" xfId="35505"/>
    <cellStyle name="Normal 15 5 23" xfId="36904"/>
    <cellStyle name="Normal 15 5 24" xfId="38998"/>
    <cellStyle name="Normal 15 5 25" xfId="40753"/>
    <cellStyle name="Normal 15 5 26" xfId="42505"/>
    <cellStyle name="Normal 15 5 27" xfId="43904"/>
    <cellStyle name="Normal 15 5 28" xfId="45123"/>
    <cellStyle name="Normal 15 5 29" xfId="46875"/>
    <cellStyle name="Normal 15 5 3" xfId="3080"/>
    <cellStyle name="Normal 15 5 30" xfId="48627"/>
    <cellStyle name="Normal 15 5 31" xfId="50379"/>
    <cellStyle name="Normal 15 5 32" xfId="52131"/>
    <cellStyle name="Normal 15 5 33" xfId="53883"/>
    <cellStyle name="Normal 15 5 34" xfId="55635"/>
    <cellStyle name="Normal 15 5 35" xfId="57388"/>
    <cellStyle name="Normal 15 5 36" xfId="59140"/>
    <cellStyle name="Normal 15 5 37" xfId="60892"/>
    <cellStyle name="Normal 15 5 38" xfId="62291"/>
    <cellStyle name="Normal 15 5 39" xfId="63157"/>
    <cellStyle name="Normal 15 5 4" xfId="4832"/>
    <cellStyle name="Normal 15 5 5" xfId="6584"/>
    <cellStyle name="Normal 15 5 6" xfId="8336"/>
    <cellStyle name="Normal 15 5 7" xfId="10089"/>
    <cellStyle name="Normal 15 5 8" xfId="11841"/>
    <cellStyle name="Normal 15 5 9" xfId="13593"/>
    <cellStyle name="Normal 15 6" xfId="656"/>
    <cellStyle name="Normal 15 6 10" xfId="17538"/>
    <cellStyle name="Normal 15 6 11" xfId="19290"/>
    <cellStyle name="Normal 15 6 12" xfId="21043"/>
    <cellStyle name="Normal 15 6 13" xfId="22795"/>
    <cellStyle name="Normal 15 6 14" xfId="24547"/>
    <cellStyle name="Normal 15 6 15" xfId="26299"/>
    <cellStyle name="Normal 15 6 16" xfId="28051"/>
    <cellStyle name="Normal 15 6 17" xfId="29804"/>
    <cellStyle name="Normal 15 6 18" xfId="31556"/>
    <cellStyle name="Normal 15 6 19" xfId="33309"/>
    <cellStyle name="Normal 15 6 2" xfId="3520"/>
    <cellStyle name="Normal 15 6 20" xfId="35945"/>
    <cellStyle name="Normal 15 6 21" xfId="37688"/>
    <cellStyle name="Normal 15 6 22" xfId="39438"/>
    <cellStyle name="Normal 15 6 23" xfId="41193"/>
    <cellStyle name="Normal 15 6 24" xfId="42945"/>
    <cellStyle name="Normal 15 6 25" xfId="45563"/>
    <cellStyle name="Normal 15 6 26" xfId="47315"/>
    <cellStyle name="Normal 15 6 27" xfId="49067"/>
    <cellStyle name="Normal 15 6 28" xfId="50819"/>
    <cellStyle name="Normal 15 6 29" xfId="52571"/>
    <cellStyle name="Normal 15 6 3" xfId="5272"/>
    <cellStyle name="Normal 15 6 30" xfId="54323"/>
    <cellStyle name="Normal 15 6 31" xfId="56075"/>
    <cellStyle name="Normal 15 6 32" xfId="57828"/>
    <cellStyle name="Normal 15 6 33" xfId="59580"/>
    <cellStyle name="Normal 15 6 34" xfId="61332"/>
    <cellStyle name="Normal 15 6 4" xfId="7024"/>
    <cellStyle name="Normal 15 6 5" xfId="8776"/>
    <cellStyle name="Normal 15 6 6" xfId="10529"/>
    <cellStyle name="Normal 15 6 7" xfId="12281"/>
    <cellStyle name="Normal 15 6 8" xfId="14033"/>
    <cellStyle name="Normal 15 6 9" xfId="15785"/>
    <cellStyle name="Normal 15 7" xfId="2472"/>
    <cellStyle name="Normal 15 8" xfId="4396"/>
    <cellStyle name="Normal 15 9" xfId="6148"/>
    <cellStyle name="Normal 150" xfId="657"/>
    <cellStyle name="Normal 151" xfId="658"/>
    <cellStyle name="Normal 152" xfId="659"/>
    <cellStyle name="Normal 153" xfId="9639"/>
    <cellStyle name="Normal 154" xfId="16648"/>
    <cellStyle name="Normal 155" xfId="20153"/>
    <cellStyle name="Normal 156" xfId="28914"/>
    <cellStyle name="Normal 157" xfId="32419"/>
    <cellStyle name="Normal 158" xfId="34172"/>
    <cellStyle name="Normal 159" xfId="36808"/>
    <cellStyle name="Normal 16" xfId="660"/>
    <cellStyle name="Normal 16 10" xfId="7901"/>
    <cellStyle name="Normal 16 11" xfId="9654"/>
    <cellStyle name="Normal 16 12" xfId="11406"/>
    <cellStyle name="Normal 16 13" xfId="13158"/>
    <cellStyle name="Normal 16 14" xfId="14910"/>
    <cellStyle name="Normal 16 15" xfId="16663"/>
    <cellStyle name="Normal 16 16" xfId="18415"/>
    <cellStyle name="Normal 16 17" xfId="20168"/>
    <cellStyle name="Normal 16 18" xfId="21920"/>
    <cellStyle name="Normal 16 19" xfId="23672"/>
    <cellStyle name="Normal 16 2" xfId="661"/>
    <cellStyle name="Normal 16 2 10" xfId="9709"/>
    <cellStyle name="Normal 16 2 11" xfId="11461"/>
    <cellStyle name="Normal 16 2 12" xfId="13213"/>
    <cellStyle name="Normal 16 2 13" xfId="14965"/>
    <cellStyle name="Normal 16 2 14" xfId="16718"/>
    <cellStyle name="Normal 16 2 15" xfId="18470"/>
    <cellStyle name="Normal 16 2 16" xfId="20223"/>
    <cellStyle name="Normal 16 2 17" xfId="21975"/>
    <cellStyle name="Normal 16 2 18" xfId="23727"/>
    <cellStyle name="Normal 16 2 19" xfId="25479"/>
    <cellStyle name="Normal 16 2 2" xfId="662"/>
    <cellStyle name="Normal 16 2 2 10" xfId="11569"/>
    <cellStyle name="Normal 16 2 2 11" xfId="13321"/>
    <cellStyle name="Normal 16 2 2 12" xfId="15073"/>
    <cellStyle name="Normal 16 2 2 13" xfId="16826"/>
    <cellStyle name="Normal 16 2 2 14" xfId="18578"/>
    <cellStyle name="Normal 16 2 2 15" xfId="20331"/>
    <cellStyle name="Normal 16 2 2 16" xfId="22083"/>
    <cellStyle name="Normal 16 2 2 17" xfId="23835"/>
    <cellStyle name="Normal 16 2 2 18" xfId="25587"/>
    <cellStyle name="Normal 16 2 2 19" xfId="27339"/>
    <cellStyle name="Normal 16 2 2 2" xfId="663"/>
    <cellStyle name="Normal 16 2 2 2 10" xfId="13386"/>
    <cellStyle name="Normal 16 2 2 2 11" xfId="15138"/>
    <cellStyle name="Normal 16 2 2 2 12" xfId="16891"/>
    <cellStyle name="Normal 16 2 2 2 13" xfId="18643"/>
    <cellStyle name="Normal 16 2 2 2 14" xfId="20396"/>
    <cellStyle name="Normal 16 2 2 2 15" xfId="22148"/>
    <cellStyle name="Normal 16 2 2 2 16" xfId="23900"/>
    <cellStyle name="Normal 16 2 2 2 17" xfId="25652"/>
    <cellStyle name="Normal 16 2 2 2 18" xfId="27404"/>
    <cellStyle name="Normal 16 2 2 2 19" xfId="29157"/>
    <cellStyle name="Normal 16 2 2 2 2" xfId="664"/>
    <cellStyle name="Normal 16 2 2 2 2 10" xfId="15574"/>
    <cellStyle name="Normal 16 2 2 2 2 11" xfId="17327"/>
    <cellStyle name="Normal 16 2 2 2 2 12" xfId="19079"/>
    <cellStyle name="Normal 16 2 2 2 2 13" xfId="20832"/>
    <cellStyle name="Normal 16 2 2 2 2 14" xfId="22584"/>
    <cellStyle name="Normal 16 2 2 2 2 15" xfId="24336"/>
    <cellStyle name="Normal 16 2 2 2 2 16" xfId="26088"/>
    <cellStyle name="Normal 16 2 2 2 2 17" xfId="27840"/>
    <cellStyle name="Normal 16 2 2 2 2 18" xfId="29593"/>
    <cellStyle name="Normal 16 2 2 2 2 19" xfId="31345"/>
    <cellStyle name="Normal 16 2 2 2 2 2" xfId="665"/>
    <cellStyle name="Normal 16 2 2 2 2 2 10" xfId="18203"/>
    <cellStyle name="Normal 16 2 2 2 2 2 11" xfId="19955"/>
    <cellStyle name="Normal 16 2 2 2 2 2 12" xfId="21708"/>
    <cellStyle name="Normal 16 2 2 2 2 2 13" xfId="23460"/>
    <cellStyle name="Normal 16 2 2 2 2 2 14" xfId="25212"/>
    <cellStyle name="Normal 16 2 2 2 2 2 15" xfId="26964"/>
    <cellStyle name="Normal 16 2 2 2 2 2 16" xfId="28716"/>
    <cellStyle name="Normal 16 2 2 2 2 2 17" xfId="30469"/>
    <cellStyle name="Normal 16 2 2 2 2 2 18" xfId="32221"/>
    <cellStyle name="Normal 16 2 2 2 2 2 19" xfId="33974"/>
    <cellStyle name="Normal 16 2 2 2 2 2 2" xfId="4185"/>
    <cellStyle name="Normal 16 2 2 2 2 2 20" xfId="36610"/>
    <cellStyle name="Normal 16 2 2 2 2 2 21" xfId="38350"/>
    <cellStyle name="Normal 16 2 2 2 2 2 22" xfId="40103"/>
    <cellStyle name="Normal 16 2 2 2 2 2 23" xfId="41858"/>
    <cellStyle name="Normal 16 2 2 2 2 2 24" xfId="43610"/>
    <cellStyle name="Normal 16 2 2 2 2 2 25" xfId="46228"/>
    <cellStyle name="Normal 16 2 2 2 2 2 26" xfId="47980"/>
    <cellStyle name="Normal 16 2 2 2 2 2 27" xfId="49732"/>
    <cellStyle name="Normal 16 2 2 2 2 2 28" xfId="51484"/>
    <cellStyle name="Normal 16 2 2 2 2 2 29" xfId="53236"/>
    <cellStyle name="Normal 16 2 2 2 2 2 3" xfId="5937"/>
    <cellStyle name="Normal 16 2 2 2 2 2 30" xfId="54988"/>
    <cellStyle name="Normal 16 2 2 2 2 2 31" xfId="56740"/>
    <cellStyle name="Normal 16 2 2 2 2 2 32" xfId="58493"/>
    <cellStyle name="Normal 16 2 2 2 2 2 33" xfId="60245"/>
    <cellStyle name="Normal 16 2 2 2 2 2 34" xfId="61997"/>
    <cellStyle name="Normal 16 2 2 2 2 2 4" xfId="7689"/>
    <cellStyle name="Normal 16 2 2 2 2 2 5" xfId="9441"/>
    <cellStyle name="Normal 16 2 2 2 2 2 6" xfId="11194"/>
    <cellStyle name="Normal 16 2 2 2 2 2 7" xfId="12946"/>
    <cellStyle name="Normal 16 2 2 2 2 2 8" xfId="14698"/>
    <cellStyle name="Normal 16 2 2 2 2 2 9" xfId="16450"/>
    <cellStyle name="Normal 16 2 2 2 2 20" xfId="33098"/>
    <cellStyle name="Normal 16 2 2 2 2 21" xfId="34288"/>
    <cellStyle name="Normal 16 2 2 2 2 22" xfId="35734"/>
    <cellStyle name="Normal 16 2 2 2 2 23" xfId="36909"/>
    <cellStyle name="Normal 16 2 2 2 2 24" xfId="39227"/>
    <cellStyle name="Normal 16 2 2 2 2 25" xfId="40982"/>
    <cellStyle name="Normal 16 2 2 2 2 26" xfId="42734"/>
    <cellStyle name="Normal 16 2 2 2 2 27" xfId="43909"/>
    <cellStyle name="Normal 16 2 2 2 2 28" xfId="45352"/>
    <cellStyle name="Normal 16 2 2 2 2 29" xfId="47104"/>
    <cellStyle name="Normal 16 2 2 2 2 3" xfId="3309"/>
    <cellStyle name="Normal 16 2 2 2 2 30" xfId="48856"/>
    <cellStyle name="Normal 16 2 2 2 2 31" xfId="50608"/>
    <cellStyle name="Normal 16 2 2 2 2 32" xfId="52360"/>
    <cellStyle name="Normal 16 2 2 2 2 33" xfId="54112"/>
    <cellStyle name="Normal 16 2 2 2 2 34" xfId="55864"/>
    <cellStyle name="Normal 16 2 2 2 2 35" xfId="57617"/>
    <cellStyle name="Normal 16 2 2 2 2 36" xfId="59369"/>
    <cellStyle name="Normal 16 2 2 2 2 37" xfId="61121"/>
    <cellStyle name="Normal 16 2 2 2 2 38" xfId="62296"/>
    <cellStyle name="Normal 16 2 2 2 2 39" xfId="63162"/>
    <cellStyle name="Normal 16 2 2 2 2 4" xfId="5061"/>
    <cellStyle name="Normal 16 2 2 2 2 5" xfId="6813"/>
    <cellStyle name="Normal 16 2 2 2 2 6" xfId="8565"/>
    <cellStyle name="Normal 16 2 2 2 2 7" xfId="10318"/>
    <cellStyle name="Normal 16 2 2 2 2 8" xfId="12070"/>
    <cellStyle name="Normal 16 2 2 2 2 9" xfId="13822"/>
    <cellStyle name="Normal 16 2 2 2 20" xfId="30909"/>
    <cellStyle name="Normal 16 2 2 2 21" xfId="32662"/>
    <cellStyle name="Normal 16 2 2 2 22" xfId="34287"/>
    <cellStyle name="Normal 16 2 2 2 23" xfId="35298"/>
    <cellStyle name="Normal 16 2 2 2 24" xfId="36908"/>
    <cellStyle name="Normal 16 2 2 2 25" xfId="38791"/>
    <cellStyle name="Normal 16 2 2 2 26" xfId="40546"/>
    <cellStyle name="Normal 16 2 2 2 27" xfId="42298"/>
    <cellStyle name="Normal 16 2 2 2 28" xfId="43908"/>
    <cellStyle name="Normal 16 2 2 2 29" xfId="44916"/>
    <cellStyle name="Normal 16 2 2 2 3" xfId="666"/>
    <cellStyle name="Normal 16 2 2 2 3 10" xfId="17767"/>
    <cellStyle name="Normal 16 2 2 2 3 11" xfId="19519"/>
    <cellStyle name="Normal 16 2 2 2 3 12" xfId="21272"/>
    <cellStyle name="Normal 16 2 2 2 3 13" xfId="23024"/>
    <cellStyle name="Normal 16 2 2 2 3 14" xfId="24776"/>
    <cellStyle name="Normal 16 2 2 2 3 15" xfId="26528"/>
    <cellStyle name="Normal 16 2 2 2 3 16" xfId="28280"/>
    <cellStyle name="Normal 16 2 2 2 3 17" xfId="30033"/>
    <cellStyle name="Normal 16 2 2 2 3 18" xfId="31785"/>
    <cellStyle name="Normal 16 2 2 2 3 19" xfId="33538"/>
    <cellStyle name="Normal 16 2 2 2 3 2" xfId="3749"/>
    <cellStyle name="Normal 16 2 2 2 3 20" xfId="36174"/>
    <cellStyle name="Normal 16 2 2 2 3 21" xfId="37914"/>
    <cellStyle name="Normal 16 2 2 2 3 22" xfId="39667"/>
    <cellStyle name="Normal 16 2 2 2 3 23" xfId="41422"/>
    <cellStyle name="Normal 16 2 2 2 3 24" xfId="43174"/>
    <cellStyle name="Normal 16 2 2 2 3 25" xfId="45792"/>
    <cellStyle name="Normal 16 2 2 2 3 26" xfId="47544"/>
    <cellStyle name="Normal 16 2 2 2 3 27" xfId="49296"/>
    <cellStyle name="Normal 16 2 2 2 3 28" xfId="51048"/>
    <cellStyle name="Normal 16 2 2 2 3 29" xfId="52800"/>
    <cellStyle name="Normal 16 2 2 2 3 3" xfId="5501"/>
    <cellStyle name="Normal 16 2 2 2 3 30" xfId="54552"/>
    <cellStyle name="Normal 16 2 2 2 3 31" xfId="56304"/>
    <cellStyle name="Normal 16 2 2 2 3 32" xfId="58057"/>
    <cellStyle name="Normal 16 2 2 2 3 33" xfId="59809"/>
    <cellStyle name="Normal 16 2 2 2 3 34" xfId="61561"/>
    <cellStyle name="Normal 16 2 2 2 3 4" xfId="7253"/>
    <cellStyle name="Normal 16 2 2 2 3 5" xfId="9005"/>
    <cellStyle name="Normal 16 2 2 2 3 6" xfId="10758"/>
    <cellStyle name="Normal 16 2 2 2 3 7" xfId="12510"/>
    <cellStyle name="Normal 16 2 2 2 3 8" xfId="14262"/>
    <cellStyle name="Normal 16 2 2 2 3 9" xfId="16014"/>
    <cellStyle name="Normal 16 2 2 2 30" xfId="46668"/>
    <cellStyle name="Normal 16 2 2 2 31" xfId="48420"/>
    <cellStyle name="Normal 16 2 2 2 32" xfId="50172"/>
    <cellStyle name="Normal 16 2 2 2 33" xfId="51924"/>
    <cellStyle name="Normal 16 2 2 2 34" xfId="53676"/>
    <cellStyle name="Normal 16 2 2 2 35" xfId="55428"/>
    <cellStyle name="Normal 16 2 2 2 36" xfId="57181"/>
    <cellStyle name="Normal 16 2 2 2 37" xfId="58933"/>
    <cellStyle name="Normal 16 2 2 2 38" xfId="60685"/>
    <cellStyle name="Normal 16 2 2 2 39" xfId="62295"/>
    <cellStyle name="Normal 16 2 2 2 4" xfId="2873"/>
    <cellStyle name="Normal 16 2 2 2 40" xfId="63161"/>
    <cellStyle name="Normal 16 2 2 2 5" xfId="4625"/>
    <cellStyle name="Normal 16 2 2 2 6" xfId="6377"/>
    <cellStyle name="Normal 16 2 2 2 7" xfId="8129"/>
    <cellStyle name="Normal 16 2 2 2 8" xfId="9882"/>
    <cellStyle name="Normal 16 2 2 2 9" xfId="11634"/>
    <cellStyle name="Normal 16 2 2 20" xfId="29092"/>
    <cellStyle name="Normal 16 2 2 21" xfId="30844"/>
    <cellStyle name="Normal 16 2 2 22" xfId="32597"/>
    <cellStyle name="Normal 16 2 2 23" xfId="34286"/>
    <cellStyle name="Normal 16 2 2 24" xfId="35233"/>
    <cellStyle name="Normal 16 2 2 25" xfId="36907"/>
    <cellStyle name="Normal 16 2 2 26" xfId="38726"/>
    <cellStyle name="Normal 16 2 2 27" xfId="40481"/>
    <cellStyle name="Normal 16 2 2 28" xfId="42233"/>
    <cellStyle name="Normal 16 2 2 29" xfId="43907"/>
    <cellStyle name="Normal 16 2 2 3" xfId="667"/>
    <cellStyle name="Normal 16 2 2 3 10" xfId="15509"/>
    <cellStyle name="Normal 16 2 2 3 11" xfId="17262"/>
    <cellStyle name="Normal 16 2 2 3 12" xfId="19014"/>
    <cellStyle name="Normal 16 2 2 3 13" xfId="20767"/>
    <cellStyle name="Normal 16 2 2 3 14" xfId="22519"/>
    <cellStyle name="Normal 16 2 2 3 15" xfId="24271"/>
    <cellStyle name="Normal 16 2 2 3 16" xfId="26023"/>
    <cellStyle name="Normal 16 2 2 3 17" xfId="27775"/>
    <cellStyle name="Normal 16 2 2 3 18" xfId="29528"/>
    <cellStyle name="Normal 16 2 2 3 19" xfId="31280"/>
    <cellStyle name="Normal 16 2 2 3 2" xfId="668"/>
    <cellStyle name="Normal 16 2 2 3 2 10" xfId="18138"/>
    <cellStyle name="Normal 16 2 2 3 2 11" xfId="19890"/>
    <cellStyle name="Normal 16 2 2 3 2 12" xfId="21643"/>
    <cellStyle name="Normal 16 2 2 3 2 13" xfId="23395"/>
    <cellStyle name="Normal 16 2 2 3 2 14" xfId="25147"/>
    <cellStyle name="Normal 16 2 2 3 2 15" xfId="26899"/>
    <cellStyle name="Normal 16 2 2 3 2 16" xfId="28651"/>
    <cellStyle name="Normal 16 2 2 3 2 17" xfId="30404"/>
    <cellStyle name="Normal 16 2 2 3 2 18" xfId="32156"/>
    <cellStyle name="Normal 16 2 2 3 2 19" xfId="33909"/>
    <cellStyle name="Normal 16 2 2 3 2 2" xfId="4120"/>
    <cellStyle name="Normal 16 2 2 3 2 20" xfId="36545"/>
    <cellStyle name="Normal 16 2 2 3 2 21" xfId="38285"/>
    <cellStyle name="Normal 16 2 2 3 2 22" xfId="40038"/>
    <cellStyle name="Normal 16 2 2 3 2 23" xfId="41793"/>
    <cellStyle name="Normal 16 2 2 3 2 24" xfId="43545"/>
    <cellStyle name="Normal 16 2 2 3 2 25" xfId="46163"/>
    <cellStyle name="Normal 16 2 2 3 2 26" xfId="47915"/>
    <cellStyle name="Normal 16 2 2 3 2 27" xfId="49667"/>
    <cellStyle name="Normal 16 2 2 3 2 28" xfId="51419"/>
    <cellStyle name="Normal 16 2 2 3 2 29" xfId="53171"/>
    <cellStyle name="Normal 16 2 2 3 2 3" xfId="5872"/>
    <cellStyle name="Normal 16 2 2 3 2 30" xfId="54923"/>
    <cellStyle name="Normal 16 2 2 3 2 31" xfId="56675"/>
    <cellStyle name="Normal 16 2 2 3 2 32" xfId="58428"/>
    <cellStyle name="Normal 16 2 2 3 2 33" xfId="60180"/>
    <cellStyle name="Normal 16 2 2 3 2 34" xfId="61932"/>
    <cellStyle name="Normal 16 2 2 3 2 4" xfId="7624"/>
    <cellStyle name="Normal 16 2 2 3 2 5" xfId="9376"/>
    <cellStyle name="Normal 16 2 2 3 2 6" xfId="11129"/>
    <cellStyle name="Normal 16 2 2 3 2 7" xfId="12881"/>
    <cellStyle name="Normal 16 2 2 3 2 8" xfId="14633"/>
    <cellStyle name="Normal 16 2 2 3 2 9" xfId="16385"/>
    <cellStyle name="Normal 16 2 2 3 20" xfId="33033"/>
    <cellStyle name="Normal 16 2 2 3 21" xfId="34289"/>
    <cellStyle name="Normal 16 2 2 3 22" xfId="35669"/>
    <cellStyle name="Normal 16 2 2 3 23" xfId="36910"/>
    <cellStyle name="Normal 16 2 2 3 24" xfId="39162"/>
    <cellStyle name="Normal 16 2 2 3 25" xfId="40917"/>
    <cellStyle name="Normal 16 2 2 3 26" xfId="42669"/>
    <cellStyle name="Normal 16 2 2 3 27" xfId="43910"/>
    <cellStyle name="Normal 16 2 2 3 28" xfId="45287"/>
    <cellStyle name="Normal 16 2 2 3 29" xfId="47039"/>
    <cellStyle name="Normal 16 2 2 3 3" xfId="3244"/>
    <cellStyle name="Normal 16 2 2 3 30" xfId="48791"/>
    <cellStyle name="Normal 16 2 2 3 31" xfId="50543"/>
    <cellStyle name="Normal 16 2 2 3 32" xfId="52295"/>
    <cellStyle name="Normal 16 2 2 3 33" xfId="54047"/>
    <cellStyle name="Normal 16 2 2 3 34" xfId="55799"/>
    <cellStyle name="Normal 16 2 2 3 35" xfId="57552"/>
    <cellStyle name="Normal 16 2 2 3 36" xfId="59304"/>
    <cellStyle name="Normal 16 2 2 3 37" xfId="61056"/>
    <cellStyle name="Normal 16 2 2 3 38" xfId="62297"/>
    <cellStyle name="Normal 16 2 2 3 39" xfId="63163"/>
    <cellStyle name="Normal 16 2 2 3 4" xfId="4996"/>
    <cellStyle name="Normal 16 2 2 3 5" xfId="6748"/>
    <cellStyle name="Normal 16 2 2 3 6" xfId="8500"/>
    <cellStyle name="Normal 16 2 2 3 7" xfId="10253"/>
    <cellStyle name="Normal 16 2 2 3 8" xfId="12005"/>
    <cellStyle name="Normal 16 2 2 3 9" xfId="13757"/>
    <cellStyle name="Normal 16 2 2 30" xfId="44851"/>
    <cellStyle name="Normal 16 2 2 31" xfId="46603"/>
    <cellStyle name="Normal 16 2 2 32" xfId="48355"/>
    <cellStyle name="Normal 16 2 2 33" xfId="50107"/>
    <cellStyle name="Normal 16 2 2 34" xfId="51859"/>
    <cellStyle name="Normal 16 2 2 35" xfId="53611"/>
    <cellStyle name="Normal 16 2 2 36" xfId="55363"/>
    <cellStyle name="Normal 16 2 2 37" xfId="57116"/>
    <cellStyle name="Normal 16 2 2 38" xfId="58868"/>
    <cellStyle name="Normal 16 2 2 39" xfId="60620"/>
    <cellStyle name="Normal 16 2 2 4" xfId="669"/>
    <cellStyle name="Normal 16 2 2 4 10" xfId="17702"/>
    <cellStyle name="Normal 16 2 2 4 11" xfId="19454"/>
    <cellStyle name="Normal 16 2 2 4 12" xfId="21207"/>
    <cellStyle name="Normal 16 2 2 4 13" xfId="22959"/>
    <cellStyle name="Normal 16 2 2 4 14" xfId="24711"/>
    <cellStyle name="Normal 16 2 2 4 15" xfId="26463"/>
    <cellStyle name="Normal 16 2 2 4 16" xfId="28215"/>
    <cellStyle name="Normal 16 2 2 4 17" xfId="29968"/>
    <cellStyle name="Normal 16 2 2 4 18" xfId="31720"/>
    <cellStyle name="Normal 16 2 2 4 19" xfId="33473"/>
    <cellStyle name="Normal 16 2 2 4 2" xfId="3684"/>
    <cellStyle name="Normal 16 2 2 4 20" xfId="36109"/>
    <cellStyle name="Normal 16 2 2 4 21" xfId="37849"/>
    <cellStyle name="Normal 16 2 2 4 22" xfId="39602"/>
    <cellStyle name="Normal 16 2 2 4 23" xfId="41357"/>
    <cellStyle name="Normal 16 2 2 4 24" xfId="43109"/>
    <cellStyle name="Normal 16 2 2 4 25" xfId="45727"/>
    <cellStyle name="Normal 16 2 2 4 26" xfId="47479"/>
    <cellStyle name="Normal 16 2 2 4 27" xfId="49231"/>
    <cellStyle name="Normal 16 2 2 4 28" xfId="50983"/>
    <cellStyle name="Normal 16 2 2 4 29" xfId="52735"/>
    <cellStyle name="Normal 16 2 2 4 3" xfId="5436"/>
    <cellStyle name="Normal 16 2 2 4 30" xfId="54487"/>
    <cellStyle name="Normal 16 2 2 4 31" xfId="56239"/>
    <cellStyle name="Normal 16 2 2 4 32" xfId="57992"/>
    <cellStyle name="Normal 16 2 2 4 33" xfId="59744"/>
    <cellStyle name="Normal 16 2 2 4 34" xfId="61496"/>
    <cellStyle name="Normal 16 2 2 4 4" xfId="7188"/>
    <cellStyle name="Normal 16 2 2 4 5" xfId="8940"/>
    <cellStyle name="Normal 16 2 2 4 6" xfId="10693"/>
    <cellStyle name="Normal 16 2 2 4 7" xfId="12445"/>
    <cellStyle name="Normal 16 2 2 4 8" xfId="14197"/>
    <cellStyle name="Normal 16 2 2 4 9" xfId="15949"/>
    <cellStyle name="Normal 16 2 2 40" xfId="62294"/>
    <cellStyle name="Normal 16 2 2 41" xfId="63160"/>
    <cellStyle name="Normal 16 2 2 5" xfId="2808"/>
    <cellStyle name="Normal 16 2 2 6" xfId="4560"/>
    <cellStyle name="Normal 16 2 2 7" xfId="6312"/>
    <cellStyle name="Normal 16 2 2 8" xfId="8064"/>
    <cellStyle name="Normal 16 2 2 9" xfId="9817"/>
    <cellStyle name="Normal 16 2 20" xfId="27231"/>
    <cellStyle name="Normal 16 2 21" xfId="28984"/>
    <cellStyle name="Normal 16 2 22" xfId="30736"/>
    <cellStyle name="Normal 16 2 23" xfId="32489"/>
    <cellStyle name="Normal 16 2 24" xfId="34285"/>
    <cellStyle name="Normal 16 2 25" xfId="35125"/>
    <cellStyle name="Normal 16 2 26" xfId="36906"/>
    <cellStyle name="Normal 16 2 27" xfId="38618"/>
    <cellStyle name="Normal 16 2 28" xfId="40373"/>
    <cellStyle name="Normal 16 2 29" xfId="42125"/>
    <cellStyle name="Normal 16 2 3" xfId="670"/>
    <cellStyle name="Normal 16 2 3 10" xfId="13387"/>
    <cellStyle name="Normal 16 2 3 11" xfId="15139"/>
    <cellStyle name="Normal 16 2 3 12" xfId="16892"/>
    <cellStyle name="Normal 16 2 3 13" xfId="18644"/>
    <cellStyle name="Normal 16 2 3 14" xfId="20397"/>
    <cellStyle name="Normal 16 2 3 15" xfId="22149"/>
    <cellStyle name="Normal 16 2 3 16" xfId="23901"/>
    <cellStyle name="Normal 16 2 3 17" xfId="25653"/>
    <cellStyle name="Normal 16 2 3 18" xfId="27405"/>
    <cellStyle name="Normal 16 2 3 19" xfId="29158"/>
    <cellStyle name="Normal 16 2 3 2" xfId="671"/>
    <cellStyle name="Normal 16 2 3 2 10" xfId="15575"/>
    <cellStyle name="Normal 16 2 3 2 11" xfId="17328"/>
    <cellStyle name="Normal 16 2 3 2 12" xfId="19080"/>
    <cellStyle name="Normal 16 2 3 2 13" xfId="20833"/>
    <cellStyle name="Normal 16 2 3 2 14" xfId="22585"/>
    <cellStyle name="Normal 16 2 3 2 15" xfId="24337"/>
    <cellStyle name="Normal 16 2 3 2 16" xfId="26089"/>
    <cellStyle name="Normal 16 2 3 2 17" xfId="27841"/>
    <cellStyle name="Normal 16 2 3 2 18" xfId="29594"/>
    <cellStyle name="Normal 16 2 3 2 19" xfId="31346"/>
    <cellStyle name="Normal 16 2 3 2 2" xfId="672"/>
    <cellStyle name="Normal 16 2 3 2 2 10" xfId="18204"/>
    <cellStyle name="Normal 16 2 3 2 2 11" xfId="19956"/>
    <cellStyle name="Normal 16 2 3 2 2 12" xfId="21709"/>
    <cellStyle name="Normal 16 2 3 2 2 13" xfId="23461"/>
    <cellStyle name="Normal 16 2 3 2 2 14" xfId="25213"/>
    <cellStyle name="Normal 16 2 3 2 2 15" xfId="26965"/>
    <cellStyle name="Normal 16 2 3 2 2 16" xfId="28717"/>
    <cellStyle name="Normal 16 2 3 2 2 17" xfId="30470"/>
    <cellStyle name="Normal 16 2 3 2 2 18" xfId="32222"/>
    <cellStyle name="Normal 16 2 3 2 2 19" xfId="33975"/>
    <cellStyle name="Normal 16 2 3 2 2 2" xfId="4186"/>
    <cellStyle name="Normal 16 2 3 2 2 20" xfId="36611"/>
    <cellStyle name="Normal 16 2 3 2 2 21" xfId="38351"/>
    <cellStyle name="Normal 16 2 3 2 2 22" xfId="40104"/>
    <cellStyle name="Normal 16 2 3 2 2 23" xfId="41859"/>
    <cellStyle name="Normal 16 2 3 2 2 24" xfId="43611"/>
    <cellStyle name="Normal 16 2 3 2 2 25" xfId="46229"/>
    <cellStyle name="Normal 16 2 3 2 2 26" xfId="47981"/>
    <cellStyle name="Normal 16 2 3 2 2 27" xfId="49733"/>
    <cellStyle name="Normal 16 2 3 2 2 28" xfId="51485"/>
    <cellStyle name="Normal 16 2 3 2 2 29" xfId="53237"/>
    <cellStyle name="Normal 16 2 3 2 2 3" xfId="5938"/>
    <cellStyle name="Normal 16 2 3 2 2 30" xfId="54989"/>
    <cellStyle name="Normal 16 2 3 2 2 31" xfId="56741"/>
    <cellStyle name="Normal 16 2 3 2 2 32" xfId="58494"/>
    <cellStyle name="Normal 16 2 3 2 2 33" xfId="60246"/>
    <cellStyle name="Normal 16 2 3 2 2 34" xfId="61998"/>
    <cellStyle name="Normal 16 2 3 2 2 4" xfId="7690"/>
    <cellStyle name="Normal 16 2 3 2 2 5" xfId="9442"/>
    <cellStyle name="Normal 16 2 3 2 2 6" xfId="11195"/>
    <cellStyle name="Normal 16 2 3 2 2 7" xfId="12947"/>
    <cellStyle name="Normal 16 2 3 2 2 8" xfId="14699"/>
    <cellStyle name="Normal 16 2 3 2 2 9" xfId="16451"/>
    <cellStyle name="Normal 16 2 3 2 20" xfId="33099"/>
    <cellStyle name="Normal 16 2 3 2 21" xfId="34291"/>
    <cellStyle name="Normal 16 2 3 2 22" xfId="35735"/>
    <cellStyle name="Normal 16 2 3 2 23" xfId="36912"/>
    <cellStyle name="Normal 16 2 3 2 24" xfId="39228"/>
    <cellStyle name="Normal 16 2 3 2 25" xfId="40983"/>
    <cellStyle name="Normal 16 2 3 2 26" xfId="42735"/>
    <cellStyle name="Normal 16 2 3 2 27" xfId="43912"/>
    <cellStyle name="Normal 16 2 3 2 28" xfId="45353"/>
    <cellStyle name="Normal 16 2 3 2 29" xfId="47105"/>
    <cellStyle name="Normal 16 2 3 2 3" xfId="3310"/>
    <cellStyle name="Normal 16 2 3 2 30" xfId="48857"/>
    <cellStyle name="Normal 16 2 3 2 31" xfId="50609"/>
    <cellStyle name="Normal 16 2 3 2 32" xfId="52361"/>
    <cellStyle name="Normal 16 2 3 2 33" xfId="54113"/>
    <cellStyle name="Normal 16 2 3 2 34" xfId="55865"/>
    <cellStyle name="Normal 16 2 3 2 35" xfId="57618"/>
    <cellStyle name="Normal 16 2 3 2 36" xfId="59370"/>
    <cellStyle name="Normal 16 2 3 2 37" xfId="61122"/>
    <cellStyle name="Normal 16 2 3 2 38" xfId="62299"/>
    <cellStyle name="Normal 16 2 3 2 39" xfId="63165"/>
    <cellStyle name="Normal 16 2 3 2 4" xfId="5062"/>
    <cellStyle name="Normal 16 2 3 2 5" xfId="6814"/>
    <cellStyle name="Normal 16 2 3 2 6" xfId="8566"/>
    <cellStyle name="Normal 16 2 3 2 7" xfId="10319"/>
    <cellStyle name="Normal 16 2 3 2 8" xfId="12071"/>
    <cellStyle name="Normal 16 2 3 2 9" xfId="13823"/>
    <cellStyle name="Normal 16 2 3 20" xfId="30910"/>
    <cellStyle name="Normal 16 2 3 21" xfId="32663"/>
    <cellStyle name="Normal 16 2 3 22" xfId="34290"/>
    <cellStyle name="Normal 16 2 3 23" xfId="35299"/>
    <cellStyle name="Normal 16 2 3 24" xfId="36911"/>
    <cellStyle name="Normal 16 2 3 25" xfId="38792"/>
    <cellStyle name="Normal 16 2 3 26" xfId="40547"/>
    <cellStyle name="Normal 16 2 3 27" xfId="42299"/>
    <cellStyle name="Normal 16 2 3 28" xfId="43911"/>
    <cellStyle name="Normal 16 2 3 29" xfId="44917"/>
    <cellStyle name="Normal 16 2 3 3" xfId="673"/>
    <cellStyle name="Normal 16 2 3 3 10" xfId="17768"/>
    <cellStyle name="Normal 16 2 3 3 11" xfId="19520"/>
    <cellStyle name="Normal 16 2 3 3 12" xfId="21273"/>
    <cellStyle name="Normal 16 2 3 3 13" xfId="23025"/>
    <cellStyle name="Normal 16 2 3 3 14" xfId="24777"/>
    <cellStyle name="Normal 16 2 3 3 15" xfId="26529"/>
    <cellStyle name="Normal 16 2 3 3 16" xfId="28281"/>
    <cellStyle name="Normal 16 2 3 3 17" xfId="30034"/>
    <cellStyle name="Normal 16 2 3 3 18" xfId="31786"/>
    <cellStyle name="Normal 16 2 3 3 19" xfId="33539"/>
    <cellStyle name="Normal 16 2 3 3 2" xfId="3750"/>
    <cellStyle name="Normal 16 2 3 3 20" xfId="36175"/>
    <cellStyle name="Normal 16 2 3 3 21" xfId="37915"/>
    <cellStyle name="Normal 16 2 3 3 22" xfId="39668"/>
    <cellStyle name="Normal 16 2 3 3 23" xfId="41423"/>
    <cellStyle name="Normal 16 2 3 3 24" xfId="43175"/>
    <cellStyle name="Normal 16 2 3 3 25" xfId="45793"/>
    <cellStyle name="Normal 16 2 3 3 26" xfId="47545"/>
    <cellStyle name="Normal 16 2 3 3 27" xfId="49297"/>
    <cellStyle name="Normal 16 2 3 3 28" xfId="51049"/>
    <cellStyle name="Normal 16 2 3 3 29" xfId="52801"/>
    <cellStyle name="Normal 16 2 3 3 3" xfId="5502"/>
    <cellStyle name="Normal 16 2 3 3 30" xfId="54553"/>
    <cellStyle name="Normal 16 2 3 3 31" xfId="56305"/>
    <cellStyle name="Normal 16 2 3 3 32" xfId="58058"/>
    <cellStyle name="Normal 16 2 3 3 33" xfId="59810"/>
    <cellStyle name="Normal 16 2 3 3 34" xfId="61562"/>
    <cellStyle name="Normal 16 2 3 3 4" xfId="7254"/>
    <cellStyle name="Normal 16 2 3 3 5" xfId="9006"/>
    <cellStyle name="Normal 16 2 3 3 6" xfId="10759"/>
    <cellStyle name="Normal 16 2 3 3 7" xfId="12511"/>
    <cellStyle name="Normal 16 2 3 3 8" xfId="14263"/>
    <cellStyle name="Normal 16 2 3 3 9" xfId="16015"/>
    <cellStyle name="Normal 16 2 3 30" xfId="46669"/>
    <cellStyle name="Normal 16 2 3 31" xfId="48421"/>
    <cellStyle name="Normal 16 2 3 32" xfId="50173"/>
    <cellStyle name="Normal 16 2 3 33" xfId="51925"/>
    <cellStyle name="Normal 16 2 3 34" xfId="53677"/>
    <cellStyle name="Normal 16 2 3 35" xfId="55429"/>
    <cellStyle name="Normal 16 2 3 36" xfId="57182"/>
    <cellStyle name="Normal 16 2 3 37" xfId="58934"/>
    <cellStyle name="Normal 16 2 3 38" xfId="60686"/>
    <cellStyle name="Normal 16 2 3 39" xfId="62298"/>
    <cellStyle name="Normal 16 2 3 4" xfId="2874"/>
    <cellStyle name="Normal 16 2 3 40" xfId="63164"/>
    <cellStyle name="Normal 16 2 3 5" xfId="4626"/>
    <cellStyle name="Normal 16 2 3 6" xfId="6378"/>
    <cellStyle name="Normal 16 2 3 7" xfId="8130"/>
    <cellStyle name="Normal 16 2 3 8" xfId="9883"/>
    <cellStyle name="Normal 16 2 3 9" xfId="11635"/>
    <cellStyle name="Normal 16 2 30" xfId="43906"/>
    <cellStyle name="Normal 16 2 31" xfId="44743"/>
    <cellStyle name="Normal 16 2 32" xfId="46495"/>
    <cellStyle name="Normal 16 2 33" xfId="48247"/>
    <cellStyle name="Normal 16 2 34" xfId="49999"/>
    <cellStyle name="Normal 16 2 35" xfId="51751"/>
    <cellStyle name="Normal 16 2 36" xfId="53503"/>
    <cellStyle name="Normal 16 2 37" xfId="55255"/>
    <cellStyle name="Normal 16 2 38" xfId="57008"/>
    <cellStyle name="Normal 16 2 39" xfId="58760"/>
    <cellStyle name="Normal 16 2 4" xfId="674"/>
    <cellStyle name="Normal 16 2 4 10" xfId="15401"/>
    <cellStyle name="Normal 16 2 4 11" xfId="17154"/>
    <cellStyle name="Normal 16 2 4 12" xfId="18906"/>
    <cellStyle name="Normal 16 2 4 13" xfId="20659"/>
    <cellStyle name="Normal 16 2 4 14" xfId="22411"/>
    <cellStyle name="Normal 16 2 4 15" xfId="24163"/>
    <cellStyle name="Normal 16 2 4 16" xfId="25915"/>
    <cellStyle name="Normal 16 2 4 17" xfId="27667"/>
    <cellStyle name="Normal 16 2 4 18" xfId="29420"/>
    <cellStyle name="Normal 16 2 4 19" xfId="31172"/>
    <cellStyle name="Normal 16 2 4 2" xfId="675"/>
    <cellStyle name="Normal 16 2 4 2 10" xfId="18030"/>
    <cellStyle name="Normal 16 2 4 2 11" xfId="19782"/>
    <cellStyle name="Normal 16 2 4 2 12" xfId="21535"/>
    <cellStyle name="Normal 16 2 4 2 13" xfId="23287"/>
    <cellStyle name="Normal 16 2 4 2 14" xfId="25039"/>
    <cellStyle name="Normal 16 2 4 2 15" xfId="26791"/>
    <cellStyle name="Normal 16 2 4 2 16" xfId="28543"/>
    <cellStyle name="Normal 16 2 4 2 17" xfId="30296"/>
    <cellStyle name="Normal 16 2 4 2 18" xfId="32048"/>
    <cellStyle name="Normal 16 2 4 2 19" xfId="33801"/>
    <cellStyle name="Normal 16 2 4 2 2" xfId="4012"/>
    <cellStyle name="Normal 16 2 4 2 20" xfId="36437"/>
    <cellStyle name="Normal 16 2 4 2 21" xfId="38177"/>
    <cellStyle name="Normal 16 2 4 2 22" xfId="39930"/>
    <cellStyle name="Normal 16 2 4 2 23" xfId="41685"/>
    <cellStyle name="Normal 16 2 4 2 24" xfId="43437"/>
    <cellStyle name="Normal 16 2 4 2 25" xfId="46055"/>
    <cellStyle name="Normal 16 2 4 2 26" xfId="47807"/>
    <cellStyle name="Normal 16 2 4 2 27" xfId="49559"/>
    <cellStyle name="Normal 16 2 4 2 28" xfId="51311"/>
    <cellStyle name="Normal 16 2 4 2 29" xfId="53063"/>
    <cellStyle name="Normal 16 2 4 2 3" xfId="5764"/>
    <cellStyle name="Normal 16 2 4 2 30" xfId="54815"/>
    <cellStyle name="Normal 16 2 4 2 31" xfId="56567"/>
    <cellStyle name="Normal 16 2 4 2 32" xfId="58320"/>
    <cellStyle name="Normal 16 2 4 2 33" xfId="60072"/>
    <cellStyle name="Normal 16 2 4 2 34" xfId="61824"/>
    <cellStyle name="Normal 16 2 4 2 4" xfId="7516"/>
    <cellStyle name="Normal 16 2 4 2 5" xfId="9268"/>
    <cellStyle name="Normal 16 2 4 2 6" xfId="11021"/>
    <cellStyle name="Normal 16 2 4 2 7" xfId="12773"/>
    <cellStyle name="Normal 16 2 4 2 8" xfId="14525"/>
    <cellStyle name="Normal 16 2 4 2 9" xfId="16277"/>
    <cellStyle name="Normal 16 2 4 20" xfId="32925"/>
    <cellStyle name="Normal 16 2 4 21" xfId="34292"/>
    <cellStyle name="Normal 16 2 4 22" xfId="35561"/>
    <cellStyle name="Normal 16 2 4 23" xfId="36913"/>
    <cellStyle name="Normal 16 2 4 24" xfId="39054"/>
    <cellStyle name="Normal 16 2 4 25" xfId="40809"/>
    <cellStyle name="Normal 16 2 4 26" xfId="42561"/>
    <cellStyle name="Normal 16 2 4 27" xfId="43913"/>
    <cellStyle name="Normal 16 2 4 28" xfId="45179"/>
    <cellStyle name="Normal 16 2 4 29" xfId="46931"/>
    <cellStyle name="Normal 16 2 4 3" xfId="3136"/>
    <cellStyle name="Normal 16 2 4 30" xfId="48683"/>
    <cellStyle name="Normal 16 2 4 31" xfId="50435"/>
    <cellStyle name="Normal 16 2 4 32" xfId="52187"/>
    <cellStyle name="Normal 16 2 4 33" xfId="53939"/>
    <cellStyle name="Normal 16 2 4 34" xfId="55691"/>
    <cellStyle name="Normal 16 2 4 35" xfId="57444"/>
    <cellStyle name="Normal 16 2 4 36" xfId="59196"/>
    <cellStyle name="Normal 16 2 4 37" xfId="60948"/>
    <cellStyle name="Normal 16 2 4 38" xfId="62300"/>
    <cellStyle name="Normal 16 2 4 39" xfId="63166"/>
    <cellStyle name="Normal 16 2 4 4" xfId="4888"/>
    <cellStyle name="Normal 16 2 4 5" xfId="6640"/>
    <cellStyle name="Normal 16 2 4 6" xfId="8392"/>
    <cellStyle name="Normal 16 2 4 7" xfId="10145"/>
    <cellStyle name="Normal 16 2 4 8" xfId="11897"/>
    <cellStyle name="Normal 16 2 4 9" xfId="13649"/>
    <cellStyle name="Normal 16 2 40" xfId="60512"/>
    <cellStyle name="Normal 16 2 41" xfId="62293"/>
    <cellStyle name="Normal 16 2 42" xfId="63159"/>
    <cellStyle name="Normal 16 2 5" xfId="676"/>
    <cellStyle name="Normal 16 2 5 10" xfId="17594"/>
    <cellStyle name="Normal 16 2 5 11" xfId="19346"/>
    <cellStyle name="Normal 16 2 5 12" xfId="21099"/>
    <cellStyle name="Normal 16 2 5 13" xfId="22851"/>
    <cellStyle name="Normal 16 2 5 14" xfId="24603"/>
    <cellStyle name="Normal 16 2 5 15" xfId="26355"/>
    <cellStyle name="Normal 16 2 5 16" xfId="28107"/>
    <cellStyle name="Normal 16 2 5 17" xfId="29860"/>
    <cellStyle name="Normal 16 2 5 18" xfId="31612"/>
    <cellStyle name="Normal 16 2 5 19" xfId="33365"/>
    <cellStyle name="Normal 16 2 5 2" xfId="3576"/>
    <cellStyle name="Normal 16 2 5 20" xfId="36001"/>
    <cellStyle name="Normal 16 2 5 21" xfId="37725"/>
    <cellStyle name="Normal 16 2 5 22" xfId="39494"/>
    <cellStyle name="Normal 16 2 5 23" xfId="41249"/>
    <cellStyle name="Normal 16 2 5 24" xfId="43001"/>
    <cellStyle name="Normal 16 2 5 25" xfId="45619"/>
    <cellStyle name="Normal 16 2 5 26" xfId="47371"/>
    <cellStyle name="Normal 16 2 5 27" xfId="49123"/>
    <cellStyle name="Normal 16 2 5 28" xfId="50875"/>
    <cellStyle name="Normal 16 2 5 29" xfId="52627"/>
    <cellStyle name="Normal 16 2 5 3" xfId="5328"/>
    <cellStyle name="Normal 16 2 5 30" xfId="54379"/>
    <cellStyle name="Normal 16 2 5 31" xfId="56131"/>
    <cellStyle name="Normal 16 2 5 32" xfId="57884"/>
    <cellStyle name="Normal 16 2 5 33" xfId="59636"/>
    <cellStyle name="Normal 16 2 5 34" xfId="61388"/>
    <cellStyle name="Normal 16 2 5 4" xfId="7080"/>
    <cellStyle name="Normal 16 2 5 5" xfId="8832"/>
    <cellStyle name="Normal 16 2 5 6" xfId="10585"/>
    <cellStyle name="Normal 16 2 5 7" xfId="12337"/>
    <cellStyle name="Normal 16 2 5 8" xfId="14089"/>
    <cellStyle name="Normal 16 2 5 9" xfId="15841"/>
    <cellStyle name="Normal 16 2 6" xfId="2700"/>
    <cellStyle name="Normal 16 2 7" xfId="4452"/>
    <cellStyle name="Normal 16 2 8" xfId="6204"/>
    <cellStyle name="Normal 16 2 9" xfId="7956"/>
    <cellStyle name="Normal 16 20" xfId="25424"/>
    <cellStyle name="Normal 16 21" xfId="27176"/>
    <cellStyle name="Normal 16 22" xfId="28929"/>
    <cellStyle name="Normal 16 23" xfId="30681"/>
    <cellStyle name="Normal 16 24" xfId="32434"/>
    <cellStyle name="Normal 16 25" xfId="34284"/>
    <cellStyle name="Normal 16 26" xfId="35070"/>
    <cellStyle name="Normal 16 27" xfId="36905"/>
    <cellStyle name="Normal 16 28" xfId="38562"/>
    <cellStyle name="Normal 16 29" xfId="40318"/>
    <cellStyle name="Normal 16 3" xfId="677"/>
    <cellStyle name="Normal 16 3 10" xfId="11514"/>
    <cellStyle name="Normal 16 3 11" xfId="13266"/>
    <cellStyle name="Normal 16 3 12" xfId="15018"/>
    <cellStyle name="Normal 16 3 13" xfId="16771"/>
    <cellStyle name="Normal 16 3 14" xfId="18523"/>
    <cellStyle name="Normal 16 3 15" xfId="20276"/>
    <cellStyle name="Normal 16 3 16" xfId="22028"/>
    <cellStyle name="Normal 16 3 17" xfId="23780"/>
    <cellStyle name="Normal 16 3 18" xfId="25532"/>
    <cellStyle name="Normal 16 3 19" xfId="27284"/>
    <cellStyle name="Normal 16 3 2" xfId="678"/>
    <cellStyle name="Normal 16 3 2 10" xfId="13388"/>
    <cellStyle name="Normal 16 3 2 11" xfId="15140"/>
    <cellStyle name="Normal 16 3 2 12" xfId="16893"/>
    <cellStyle name="Normal 16 3 2 13" xfId="18645"/>
    <cellStyle name="Normal 16 3 2 14" xfId="20398"/>
    <cellStyle name="Normal 16 3 2 15" xfId="22150"/>
    <cellStyle name="Normal 16 3 2 16" xfId="23902"/>
    <cellStyle name="Normal 16 3 2 17" xfId="25654"/>
    <cellStyle name="Normal 16 3 2 18" xfId="27406"/>
    <cellStyle name="Normal 16 3 2 19" xfId="29159"/>
    <cellStyle name="Normal 16 3 2 2" xfId="679"/>
    <cellStyle name="Normal 16 3 2 2 10" xfId="15576"/>
    <cellStyle name="Normal 16 3 2 2 11" xfId="17329"/>
    <cellStyle name="Normal 16 3 2 2 12" xfId="19081"/>
    <cellStyle name="Normal 16 3 2 2 13" xfId="20834"/>
    <cellStyle name="Normal 16 3 2 2 14" xfId="22586"/>
    <cellStyle name="Normal 16 3 2 2 15" xfId="24338"/>
    <cellStyle name="Normal 16 3 2 2 16" xfId="26090"/>
    <cellStyle name="Normal 16 3 2 2 17" xfId="27842"/>
    <cellStyle name="Normal 16 3 2 2 18" xfId="29595"/>
    <cellStyle name="Normal 16 3 2 2 19" xfId="31347"/>
    <cellStyle name="Normal 16 3 2 2 2" xfId="680"/>
    <cellStyle name="Normal 16 3 2 2 2 10" xfId="18205"/>
    <cellStyle name="Normal 16 3 2 2 2 11" xfId="19957"/>
    <cellStyle name="Normal 16 3 2 2 2 12" xfId="21710"/>
    <cellStyle name="Normal 16 3 2 2 2 13" xfId="23462"/>
    <cellStyle name="Normal 16 3 2 2 2 14" xfId="25214"/>
    <cellStyle name="Normal 16 3 2 2 2 15" xfId="26966"/>
    <cellStyle name="Normal 16 3 2 2 2 16" xfId="28718"/>
    <cellStyle name="Normal 16 3 2 2 2 17" xfId="30471"/>
    <cellStyle name="Normal 16 3 2 2 2 18" xfId="32223"/>
    <cellStyle name="Normal 16 3 2 2 2 19" xfId="33976"/>
    <cellStyle name="Normal 16 3 2 2 2 2" xfId="4187"/>
    <cellStyle name="Normal 16 3 2 2 2 20" xfId="36612"/>
    <cellStyle name="Normal 16 3 2 2 2 21" xfId="38352"/>
    <cellStyle name="Normal 16 3 2 2 2 22" xfId="40105"/>
    <cellStyle name="Normal 16 3 2 2 2 23" xfId="41860"/>
    <cellStyle name="Normal 16 3 2 2 2 24" xfId="43612"/>
    <cellStyle name="Normal 16 3 2 2 2 25" xfId="46230"/>
    <cellStyle name="Normal 16 3 2 2 2 26" xfId="47982"/>
    <cellStyle name="Normal 16 3 2 2 2 27" xfId="49734"/>
    <cellStyle name="Normal 16 3 2 2 2 28" xfId="51486"/>
    <cellStyle name="Normal 16 3 2 2 2 29" xfId="53238"/>
    <cellStyle name="Normal 16 3 2 2 2 3" xfId="5939"/>
    <cellStyle name="Normal 16 3 2 2 2 30" xfId="54990"/>
    <cellStyle name="Normal 16 3 2 2 2 31" xfId="56742"/>
    <cellStyle name="Normal 16 3 2 2 2 32" xfId="58495"/>
    <cellStyle name="Normal 16 3 2 2 2 33" xfId="60247"/>
    <cellStyle name="Normal 16 3 2 2 2 34" xfId="61999"/>
    <cellStyle name="Normal 16 3 2 2 2 4" xfId="7691"/>
    <cellStyle name="Normal 16 3 2 2 2 5" xfId="9443"/>
    <cellStyle name="Normal 16 3 2 2 2 6" xfId="11196"/>
    <cellStyle name="Normal 16 3 2 2 2 7" xfId="12948"/>
    <cellStyle name="Normal 16 3 2 2 2 8" xfId="14700"/>
    <cellStyle name="Normal 16 3 2 2 2 9" xfId="16452"/>
    <cellStyle name="Normal 16 3 2 2 20" xfId="33100"/>
    <cellStyle name="Normal 16 3 2 2 21" xfId="34295"/>
    <cellStyle name="Normal 16 3 2 2 22" xfId="35736"/>
    <cellStyle name="Normal 16 3 2 2 23" xfId="36916"/>
    <cellStyle name="Normal 16 3 2 2 24" xfId="39229"/>
    <cellStyle name="Normal 16 3 2 2 25" xfId="40984"/>
    <cellStyle name="Normal 16 3 2 2 26" xfId="42736"/>
    <cellStyle name="Normal 16 3 2 2 27" xfId="43916"/>
    <cellStyle name="Normal 16 3 2 2 28" xfId="45354"/>
    <cellStyle name="Normal 16 3 2 2 29" xfId="47106"/>
    <cellStyle name="Normal 16 3 2 2 3" xfId="3311"/>
    <cellStyle name="Normal 16 3 2 2 30" xfId="48858"/>
    <cellStyle name="Normal 16 3 2 2 31" xfId="50610"/>
    <cellStyle name="Normal 16 3 2 2 32" xfId="52362"/>
    <cellStyle name="Normal 16 3 2 2 33" xfId="54114"/>
    <cellStyle name="Normal 16 3 2 2 34" xfId="55866"/>
    <cellStyle name="Normal 16 3 2 2 35" xfId="57619"/>
    <cellStyle name="Normal 16 3 2 2 36" xfId="59371"/>
    <cellStyle name="Normal 16 3 2 2 37" xfId="61123"/>
    <cellStyle name="Normal 16 3 2 2 38" xfId="62303"/>
    <cellStyle name="Normal 16 3 2 2 39" xfId="63169"/>
    <cellStyle name="Normal 16 3 2 2 4" xfId="5063"/>
    <cellStyle name="Normal 16 3 2 2 5" xfId="6815"/>
    <cellStyle name="Normal 16 3 2 2 6" xfId="8567"/>
    <cellStyle name="Normal 16 3 2 2 7" xfId="10320"/>
    <cellStyle name="Normal 16 3 2 2 8" xfId="12072"/>
    <cellStyle name="Normal 16 3 2 2 9" xfId="13824"/>
    <cellStyle name="Normal 16 3 2 20" xfId="30911"/>
    <cellStyle name="Normal 16 3 2 21" xfId="32664"/>
    <cellStyle name="Normal 16 3 2 22" xfId="34294"/>
    <cellStyle name="Normal 16 3 2 23" xfId="35300"/>
    <cellStyle name="Normal 16 3 2 24" xfId="36915"/>
    <cellStyle name="Normal 16 3 2 25" xfId="38793"/>
    <cellStyle name="Normal 16 3 2 26" xfId="40548"/>
    <cellStyle name="Normal 16 3 2 27" xfId="42300"/>
    <cellStyle name="Normal 16 3 2 28" xfId="43915"/>
    <cellStyle name="Normal 16 3 2 29" xfId="44918"/>
    <cellStyle name="Normal 16 3 2 3" xfId="681"/>
    <cellStyle name="Normal 16 3 2 3 10" xfId="17769"/>
    <cellStyle name="Normal 16 3 2 3 11" xfId="19521"/>
    <cellStyle name="Normal 16 3 2 3 12" xfId="21274"/>
    <cellStyle name="Normal 16 3 2 3 13" xfId="23026"/>
    <cellStyle name="Normal 16 3 2 3 14" xfId="24778"/>
    <cellStyle name="Normal 16 3 2 3 15" xfId="26530"/>
    <cellStyle name="Normal 16 3 2 3 16" xfId="28282"/>
    <cellStyle name="Normal 16 3 2 3 17" xfId="30035"/>
    <cellStyle name="Normal 16 3 2 3 18" xfId="31787"/>
    <cellStyle name="Normal 16 3 2 3 19" xfId="33540"/>
    <cellStyle name="Normal 16 3 2 3 2" xfId="3751"/>
    <cellStyle name="Normal 16 3 2 3 20" xfId="36176"/>
    <cellStyle name="Normal 16 3 2 3 21" xfId="37916"/>
    <cellStyle name="Normal 16 3 2 3 22" xfId="39669"/>
    <cellStyle name="Normal 16 3 2 3 23" xfId="41424"/>
    <cellStyle name="Normal 16 3 2 3 24" xfId="43176"/>
    <cellStyle name="Normal 16 3 2 3 25" xfId="45794"/>
    <cellStyle name="Normal 16 3 2 3 26" xfId="47546"/>
    <cellStyle name="Normal 16 3 2 3 27" xfId="49298"/>
    <cellStyle name="Normal 16 3 2 3 28" xfId="51050"/>
    <cellStyle name="Normal 16 3 2 3 29" xfId="52802"/>
    <cellStyle name="Normal 16 3 2 3 3" xfId="5503"/>
    <cellStyle name="Normal 16 3 2 3 30" xfId="54554"/>
    <cellStyle name="Normal 16 3 2 3 31" xfId="56306"/>
    <cellStyle name="Normal 16 3 2 3 32" xfId="58059"/>
    <cellStyle name="Normal 16 3 2 3 33" xfId="59811"/>
    <cellStyle name="Normal 16 3 2 3 34" xfId="61563"/>
    <cellStyle name="Normal 16 3 2 3 4" xfId="7255"/>
    <cellStyle name="Normal 16 3 2 3 5" xfId="9007"/>
    <cellStyle name="Normal 16 3 2 3 6" xfId="10760"/>
    <cellStyle name="Normal 16 3 2 3 7" xfId="12512"/>
    <cellStyle name="Normal 16 3 2 3 8" xfId="14264"/>
    <cellStyle name="Normal 16 3 2 3 9" xfId="16016"/>
    <cellStyle name="Normal 16 3 2 30" xfId="46670"/>
    <cellStyle name="Normal 16 3 2 31" xfId="48422"/>
    <cellStyle name="Normal 16 3 2 32" xfId="50174"/>
    <cellStyle name="Normal 16 3 2 33" xfId="51926"/>
    <cellStyle name="Normal 16 3 2 34" xfId="53678"/>
    <cellStyle name="Normal 16 3 2 35" xfId="55430"/>
    <cellStyle name="Normal 16 3 2 36" xfId="57183"/>
    <cellStyle name="Normal 16 3 2 37" xfId="58935"/>
    <cellStyle name="Normal 16 3 2 38" xfId="60687"/>
    <cellStyle name="Normal 16 3 2 39" xfId="62302"/>
    <cellStyle name="Normal 16 3 2 4" xfId="2875"/>
    <cellStyle name="Normal 16 3 2 40" xfId="63168"/>
    <cellStyle name="Normal 16 3 2 5" xfId="4627"/>
    <cellStyle name="Normal 16 3 2 6" xfId="6379"/>
    <cellStyle name="Normal 16 3 2 7" xfId="8131"/>
    <cellStyle name="Normal 16 3 2 8" xfId="9884"/>
    <cellStyle name="Normal 16 3 2 9" xfId="11636"/>
    <cellStyle name="Normal 16 3 20" xfId="29037"/>
    <cellStyle name="Normal 16 3 21" xfId="30789"/>
    <cellStyle name="Normal 16 3 22" xfId="32542"/>
    <cellStyle name="Normal 16 3 23" xfId="34293"/>
    <cellStyle name="Normal 16 3 24" xfId="35178"/>
    <cellStyle name="Normal 16 3 25" xfId="36914"/>
    <cellStyle name="Normal 16 3 26" xfId="38671"/>
    <cellStyle name="Normal 16 3 27" xfId="40426"/>
    <cellStyle name="Normal 16 3 28" xfId="42178"/>
    <cellStyle name="Normal 16 3 29" xfId="43914"/>
    <cellStyle name="Normal 16 3 3" xfId="682"/>
    <cellStyle name="Normal 16 3 3 10" xfId="15454"/>
    <cellStyle name="Normal 16 3 3 11" xfId="17207"/>
    <cellStyle name="Normal 16 3 3 12" xfId="18959"/>
    <cellStyle name="Normal 16 3 3 13" xfId="20712"/>
    <cellStyle name="Normal 16 3 3 14" xfId="22464"/>
    <cellStyle name="Normal 16 3 3 15" xfId="24216"/>
    <cellStyle name="Normal 16 3 3 16" xfId="25968"/>
    <cellStyle name="Normal 16 3 3 17" xfId="27720"/>
    <cellStyle name="Normal 16 3 3 18" xfId="29473"/>
    <cellStyle name="Normal 16 3 3 19" xfId="31225"/>
    <cellStyle name="Normal 16 3 3 2" xfId="683"/>
    <cellStyle name="Normal 16 3 3 2 10" xfId="18083"/>
    <cellStyle name="Normal 16 3 3 2 11" xfId="19835"/>
    <cellStyle name="Normal 16 3 3 2 12" xfId="21588"/>
    <cellStyle name="Normal 16 3 3 2 13" xfId="23340"/>
    <cellStyle name="Normal 16 3 3 2 14" xfId="25092"/>
    <cellStyle name="Normal 16 3 3 2 15" xfId="26844"/>
    <cellStyle name="Normal 16 3 3 2 16" xfId="28596"/>
    <cellStyle name="Normal 16 3 3 2 17" xfId="30349"/>
    <cellStyle name="Normal 16 3 3 2 18" xfId="32101"/>
    <cellStyle name="Normal 16 3 3 2 19" xfId="33854"/>
    <cellStyle name="Normal 16 3 3 2 2" xfId="4065"/>
    <cellStyle name="Normal 16 3 3 2 20" xfId="36490"/>
    <cellStyle name="Normal 16 3 3 2 21" xfId="38230"/>
    <cellStyle name="Normal 16 3 3 2 22" xfId="39983"/>
    <cellStyle name="Normal 16 3 3 2 23" xfId="41738"/>
    <cellStyle name="Normal 16 3 3 2 24" xfId="43490"/>
    <cellStyle name="Normal 16 3 3 2 25" xfId="46108"/>
    <cellStyle name="Normal 16 3 3 2 26" xfId="47860"/>
    <cellStyle name="Normal 16 3 3 2 27" xfId="49612"/>
    <cellStyle name="Normal 16 3 3 2 28" xfId="51364"/>
    <cellStyle name="Normal 16 3 3 2 29" xfId="53116"/>
    <cellStyle name="Normal 16 3 3 2 3" xfId="5817"/>
    <cellStyle name="Normal 16 3 3 2 30" xfId="54868"/>
    <cellStyle name="Normal 16 3 3 2 31" xfId="56620"/>
    <cellStyle name="Normal 16 3 3 2 32" xfId="58373"/>
    <cellStyle name="Normal 16 3 3 2 33" xfId="60125"/>
    <cellStyle name="Normal 16 3 3 2 34" xfId="61877"/>
    <cellStyle name="Normal 16 3 3 2 4" xfId="7569"/>
    <cellStyle name="Normal 16 3 3 2 5" xfId="9321"/>
    <cellStyle name="Normal 16 3 3 2 6" xfId="11074"/>
    <cellStyle name="Normal 16 3 3 2 7" xfId="12826"/>
    <cellStyle name="Normal 16 3 3 2 8" xfId="14578"/>
    <cellStyle name="Normal 16 3 3 2 9" xfId="16330"/>
    <cellStyle name="Normal 16 3 3 20" xfId="32978"/>
    <cellStyle name="Normal 16 3 3 21" xfId="34296"/>
    <cellStyle name="Normal 16 3 3 22" xfId="35614"/>
    <cellStyle name="Normal 16 3 3 23" xfId="36917"/>
    <cellStyle name="Normal 16 3 3 24" xfId="39107"/>
    <cellStyle name="Normal 16 3 3 25" xfId="40862"/>
    <cellStyle name="Normal 16 3 3 26" xfId="42614"/>
    <cellStyle name="Normal 16 3 3 27" xfId="43917"/>
    <cellStyle name="Normal 16 3 3 28" xfId="45232"/>
    <cellStyle name="Normal 16 3 3 29" xfId="46984"/>
    <cellStyle name="Normal 16 3 3 3" xfId="3189"/>
    <cellStyle name="Normal 16 3 3 30" xfId="48736"/>
    <cellStyle name="Normal 16 3 3 31" xfId="50488"/>
    <cellStyle name="Normal 16 3 3 32" xfId="52240"/>
    <cellStyle name="Normal 16 3 3 33" xfId="53992"/>
    <cellStyle name="Normal 16 3 3 34" xfId="55744"/>
    <cellStyle name="Normal 16 3 3 35" xfId="57497"/>
    <cellStyle name="Normal 16 3 3 36" xfId="59249"/>
    <cellStyle name="Normal 16 3 3 37" xfId="61001"/>
    <cellStyle name="Normal 16 3 3 38" xfId="62304"/>
    <cellStyle name="Normal 16 3 3 39" xfId="63170"/>
    <cellStyle name="Normal 16 3 3 4" xfId="4941"/>
    <cellStyle name="Normal 16 3 3 5" xfId="6693"/>
    <cellStyle name="Normal 16 3 3 6" xfId="8445"/>
    <cellStyle name="Normal 16 3 3 7" xfId="10198"/>
    <cellStyle name="Normal 16 3 3 8" xfId="11950"/>
    <cellStyle name="Normal 16 3 3 9" xfId="13702"/>
    <cellStyle name="Normal 16 3 30" xfId="44796"/>
    <cellStyle name="Normal 16 3 31" xfId="46548"/>
    <cellStyle name="Normal 16 3 32" xfId="48300"/>
    <cellStyle name="Normal 16 3 33" xfId="50052"/>
    <cellStyle name="Normal 16 3 34" xfId="51804"/>
    <cellStyle name="Normal 16 3 35" xfId="53556"/>
    <cellStyle name="Normal 16 3 36" xfId="55308"/>
    <cellStyle name="Normal 16 3 37" xfId="57061"/>
    <cellStyle name="Normal 16 3 38" xfId="58813"/>
    <cellStyle name="Normal 16 3 39" xfId="60565"/>
    <cellStyle name="Normal 16 3 4" xfId="684"/>
    <cellStyle name="Normal 16 3 4 10" xfId="17647"/>
    <cellStyle name="Normal 16 3 4 11" xfId="19399"/>
    <cellStyle name="Normal 16 3 4 12" xfId="21152"/>
    <cellStyle name="Normal 16 3 4 13" xfId="22904"/>
    <cellStyle name="Normal 16 3 4 14" xfId="24656"/>
    <cellStyle name="Normal 16 3 4 15" xfId="26408"/>
    <cellStyle name="Normal 16 3 4 16" xfId="28160"/>
    <cellStyle name="Normal 16 3 4 17" xfId="29913"/>
    <cellStyle name="Normal 16 3 4 18" xfId="31665"/>
    <cellStyle name="Normal 16 3 4 19" xfId="33418"/>
    <cellStyle name="Normal 16 3 4 2" xfId="3629"/>
    <cellStyle name="Normal 16 3 4 20" xfId="36054"/>
    <cellStyle name="Normal 16 3 4 21" xfId="37794"/>
    <cellStyle name="Normal 16 3 4 22" xfId="39547"/>
    <cellStyle name="Normal 16 3 4 23" xfId="41302"/>
    <cellStyle name="Normal 16 3 4 24" xfId="43054"/>
    <cellStyle name="Normal 16 3 4 25" xfId="45672"/>
    <cellStyle name="Normal 16 3 4 26" xfId="47424"/>
    <cellStyle name="Normal 16 3 4 27" xfId="49176"/>
    <cellStyle name="Normal 16 3 4 28" xfId="50928"/>
    <cellStyle name="Normal 16 3 4 29" xfId="52680"/>
    <cellStyle name="Normal 16 3 4 3" xfId="5381"/>
    <cellStyle name="Normal 16 3 4 30" xfId="54432"/>
    <cellStyle name="Normal 16 3 4 31" xfId="56184"/>
    <cellStyle name="Normal 16 3 4 32" xfId="57937"/>
    <cellStyle name="Normal 16 3 4 33" xfId="59689"/>
    <cellStyle name="Normal 16 3 4 34" xfId="61441"/>
    <cellStyle name="Normal 16 3 4 4" xfId="7133"/>
    <cellStyle name="Normal 16 3 4 5" xfId="8885"/>
    <cellStyle name="Normal 16 3 4 6" xfId="10638"/>
    <cellStyle name="Normal 16 3 4 7" xfId="12390"/>
    <cellStyle name="Normal 16 3 4 8" xfId="14142"/>
    <cellStyle name="Normal 16 3 4 9" xfId="15894"/>
    <cellStyle name="Normal 16 3 40" xfId="62301"/>
    <cellStyle name="Normal 16 3 41" xfId="63167"/>
    <cellStyle name="Normal 16 3 5" xfId="2753"/>
    <cellStyle name="Normal 16 3 6" xfId="4505"/>
    <cellStyle name="Normal 16 3 7" xfId="6257"/>
    <cellStyle name="Normal 16 3 8" xfId="8009"/>
    <cellStyle name="Normal 16 3 9" xfId="9762"/>
    <cellStyle name="Normal 16 30" xfId="42070"/>
    <cellStyle name="Normal 16 31" xfId="43905"/>
    <cellStyle name="Normal 16 32" xfId="44688"/>
    <cellStyle name="Normal 16 33" xfId="46440"/>
    <cellStyle name="Normal 16 34" xfId="48192"/>
    <cellStyle name="Normal 16 35" xfId="49944"/>
    <cellStyle name="Normal 16 36" xfId="51696"/>
    <cellStyle name="Normal 16 37" xfId="53448"/>
    <cellStyle name="Normal 16 38" xfId="55200"/>
    <cellStyle name="Normal 16 39" xfId="56953"/>
    <cellStyle name="Normal 16 4" xfId="685"/>
    <cellStyle name="Normal 16 4 10" xfId="13389"/>
    <cellStyle name="Normal 16 4 11" xfId="15141"/>
    <cellStyle name="Normal 16 4 12" xfId="16894"/>
    <cellStyle name="Normal 16 4 13" xfId="18646"/>
    <cellStyle name="Normal 16 4 14" xfId="20399"/>
    <cellStyle name="Normal 16 4 15" xfId="22151"/>
    <cellStyle name="Normal 16 4 16" xfId="23903"/>
    <cellStyle name="Normal 16 4 17" xfId="25655"/>
    <cellStyle name="Normal 16 4 18" xfId="27407"/>
    <cellStyle name="Normal 16 4 19" xfId="29160"/>
    <cellStyle name="Normal 16 4 2" xfId="686"/>
    <cellStyle name="Normal 16 4 2 10" xfId="15577"/>
    <cellStyle name="Normal 16 4 2 11" xfId="17330"/>
    <cellStyle name="Normal 16 4 2 12" xfId="19082"/>
    <cellStyle name="Normal 16 4 2 13" xfId="20835"/>
    <cellStyle name="Normal 16 4 2 14" xfId="22587"/>
    <cellStyle name="Normal 16 4 2 15" xfId="24339"/>
    <cellStyle name="Normal 16 4 2 16" xfId="26091"/>
    <cellStyle name="Normal 16 4 2 17" xfId="27843"/>
    <cellStyle name="Normal 16 4 2 18" xfId="29596"/>
    <cellStyle name="Normal 16 4 2 19" xfId="31348"/>
    <cellStyle name="Normal 16 4 2 2" xfId="687"/>
    <cellStyle name="Normal 16 4 2 2 10" xfId="18206"/>
    <cellStyle name="Normal 16 4 2 2 11" xfId="19958"/>
    <cellStyle name="Normal 16 4 2 2 12" xfId="21711"/>
    <cellStyle name="Normal 16 4 2 2 13" xfId="23463"/>
    <cellStyle name="Normal 16 4 2 2 14" xfId="25215"/>
    <cellStyle name="Normal 16 4 2 2 15" xfId="26967"/>
    <cellStyle name="Normal 16 4 2 2 16" xfId="28719"/>
    <cellStyle name="Normal 16 4 2 2 17" xfId="30472"/>
    <cellStyle name="Normal 16 4 2 2 18" xfId="32224"/>
    <cellStyle name="Normal 16 4 2 2 19" xfId="33977"/>
    <cellStyle name="Normal 16 4 2 2 2" xfId="4188"/>
    <cellStyle name="Normal 16 4 2 2 20" xfId="36613"/>
    <cellStyle name="Normal 16 4 2 2 21" xfId="38353"/>
    <cellStyle name="Normal 16 4 2 2 22" xfId="40106"/>
    <cellStyle name="Normal 16 4 2 2 23" xfId="41861"/>
    <cellStyle name="Normal 16 4 2 2 24" xfId="43613"/>
    <cellStyle name="Normal 16 4 2 2 25" xfId="46231"/>
    <cellStyle name="Normal 16 4 2 2 26" xfId="47983"/>
    <cellStyle name="Normal 16 4 2 2 27" xfId="49735"/>
    <cellStyle name="Normal 16 4 2 2 28" xfId="51487"/>
    <cellStyle name="Normal 16 4 2 2 29" xfId="53239"/>
    <cellStyle name="Normal 16 4 2 2 3" xfId="5940"/>
    <cellStyle name="Normal 16 4 2 2 30" xfId="54991"/>
    <cellStyle name="Normal 16 4 2 2 31" xfId="56743"/>
    <cellStyle name="Normal 16 4 2 2 32" xfId="58496"/>
    <cellStyle name="Normal 16 4 2 2 33" xfId="60248"/>
    <cellStyle name="Normal 16 4 2 2 34" xfId="62000"/>
    <cellStyle name="Normal 16 4 2 2 4" xfId="7692"/>
    <cellStyle name="Normal 16 4 2 2 5" xfId="9444"/>
    <cellStyle name="Normal 16 4 2 2 6" xfId="11197"/>
    <cellStyle name="Normal 16 4 2 2 7" xfId="12949"/>
    <cellStyle name="Normal 16 4 2 2 8" xfId="14701"/>
    <cellStyle name="Normal 16 4 2 2 9" xfId="16453"/>
    <cellStyle name="Normal 16 4 2 20" xfId="33101"/>
    <cellStyle name="Normal 16 4 2 21" xfId="34298"/>
    <cellStyle name="Normal 16 4 2 22" xfId="35737"/>
    <cellStyle name="Normal 16 4 2 23" xfId="36919"/>
    <cellStyle name="Normal 16 4 2 24" xfId="39230"/>
    <cellStyle name="Normal 16 4 2 25" xfId="40985"/>
    <cellStyle name="Normal 16 4 2 26" xfId="42737"/>
    <cellStyle name="Normal 16 4 2 27" xfId="43919"/>
    <cellStyle name="Normal 16 4 2 28" xfId="45355"/>
    <cellStyle name="Normal 16 4 2 29" xfId="47107"/>
    <cellStyle name="Normal 16 4 2 3" xfId="3312"/>
    <cellStyle name="Normal 16 4 2 30" xfId="48859"/>
    <cellStyle name="Normal 16 4 2 31" xfId="50611"/>
    <cellStyle name="Normal 16 4 2 32" xfId="52363"/>
    <cellStyle name="Normal 16 4 2 33" xfId="54115"/>
    <cellStyle name="Normal 16 4 2 34" xfId="55867"/>
    <cellStyle name="Normal 16 4 2 35" xfId="57620"/>
    <cellStyle name="Normal 16 4 2 36" xfId="59372"/>
    <cellStyle name="Normal 16 4 2 37" xfId="61124"/>
    <cellStyle name="Normal 16 4 2 38" xfId="62306"/>
    <cellStyle name="Normal 16 4 2 39" xfId="63172"/>
    <cellStyle name="Normal 16 4 2 4" xfId="5064"/>
    <cellStyle name="Normal 16 4 2 5" xfId="6816"/>
    <cellStyle name="Normal 16 4 2 6" xfId="8568"/>
    <cellStyle name="Normal 16 4 2 7" xfId="10321"/>
    <cellStyle name="Normal 16 4 2 8" xfId="12073"/>
    <cellStyle name="Normal 16 4 2 9" xfId="13825"/>
    <cellStyle name="Normal 16 4 20" xfId="30912"/>
    <cellStyle name="Normal 16 4 21" xfId="32665"/>
    <cellStyle name="Normal 16 4 22" xfId="34297"/>
    <cellStyle name="Normal 16 4 23" xfId="35301"/>
    <cellStyle name="Normal 16 4 24" xfId="36918"/>
    <cellStyle name="Normal 16 4 25" xfId="38794"/>
    <cellStyle name="Normal 16 4 26" xfId="40549"/>
    <cellStyle name="Normal 16 4 27" xfId="42301"/>
    <cellStyle name="Normal 16 4 28" xfId="43918"/>
    <cellStyle name="Normal 16 4 29" xfId="44919"/>
    <cellStyle name="Normal 16 4 3" xfId="688"/>
    <cellStyle name="Normal 16 4 3 10" xfId="17770"/>
    <cellStyle name="Normal 16 4 3 11" xfId="19522"/>
    <cellStyle name="Normal 16 4 3 12" xfId="21275"/>
    <cellStyle name="Normal 16 4 3 13" xfId="23027"/>
    <cellStyle name="Normal 16 4 3 14" xfId="24779"/>
    <cellStyle name="Normal 16 4 3 15" xfId="26531"/>
    <cellStyle name="Normal 16 4 3 16" xfId="28283"/>
    <cellStyle name="Normal 16 4 3 17" xfId="30036"/>
    <cellStyle name="Normal 16 4 3 18" xfId="31788"/>
    <cellStyle name="Normal 16 4 3 19" xfId="33541"/>
    <cellStyle name="Normal 16 4 3 2" xfId="3752"/>
    <cellStyle name="Normal 16 4 3 20" xfId="36177"/>
    <cellStyle name="Normal 16 4 3 21" xfId="37917"/>
    <cellStyle name="Normal 16 4 3 22" xfId="39670"/>
    <cellStyle name="Normal 16 4 3 23" xfId="41425"/>
    <cellStyle name="Normal 16 4 3 24" xfId="43177"/>
    <cellStyle name="Normal 16 4 3 25" xfId="45795"/>
    <cellStyle name="Normal 16 4 3 26" xfId="47547"/>
    <cellStyle name="Normal 16 4 3 27" xfId="49299"/>
    <cellStyle name="Normal 16 4 3 28" xfId="51051"/>
    <cellStyle name="Normal 16 4 3 29" xfId="52803"/>
    <cellStyle name="Normal 16 4 3 3" xfId="5504"/>
    <cellStyle name="Normal 16 4 3 30" xfId="54555"/>
    <cellStyle name="Normal 16 4 3 31" xfId="56307"/>
    <cellStyle name="Normal 16 4 3 32" xfId="58060"/>
    <cellStyle name="Normal 16 4 3 33" xfId="59812"/>
    <cellStyle name="Normal 16 4 3 34" xfId="61564"/>
    <cellStyle name="Normal 16 4 3 4" xfId="7256"/>
    <cellStyle name="Normal 16 4 3 5" xfId="9008"/>
    <cellStyle name="Normal 16 4 3 6" xfId="10761"/>
    <cellStyle name="Normal 16 4 3 7" xfId="12513"/>
    <cellStyle name="Normal 16 4 3 8" xfId="14265"/>
    <cellStyle name="Normal 16 4 3 9" xfId="16017"/>
    <cellStyle name="Normal 16 4 30" xfId="46671"/>
    <cellStyle name="Normal 16 4 31" xfId="48423"/>
    <cellStyle name="Normal 16 4 32" xfId="50175"/>
    <cellStyle name="Normal 16 4 33" xfId="51927"/>
    <cellStyle name="Normal 16 4 34" xfId="53679"/>
    <cellStyle name="Normal 16 4 35" xfId="55431"/>
    <cellStyle name="Normal 16 4 36" xfId="57184"/>
    <cellStyle name="Normal 16 4 37" xfId="58936"/>
    <cellStyle name="Normal 16 4 38" xfId="60688"/>
    <cellStyle name="Normal 16 4 39" xfId="62305"/>
    <cellStyle name="Normal 16 4 4" xfId="2876"/>
    <cellStyle name="Normal 16 4 40" xfId="63171"/>
    <cellStyle name="Normal 16 4 5" xfId="4628"/>
    <cellStyle name="Normal 16 4 6" xfId="6380"/>
    <cellStyle name="Normal 16 4 7" xfId="8132"/>
    <cellStyle name="Normal 16 4 8" xfId="9885"/>
    <cellStyle name="Normal 16 4 9" xfId="11637"/>
    <cellStyle name="Normal 16 40" xfId="58705"/>
    <cellStyle name="Normal 16 41" xfId="60457"/>
    <cellStyle name="Normal 16 42" xfId="62292"/>
    <cellStyle name="Normal 16 43" xfId="63158"/>
    <cellStyle name="Normal 16 5" xfId="689"/>
    <cellStyle name="Normal 16 5 10" xfId="15346"/>
    <cellStyle name="Normal 16 5 11" xfId="17099"/>
    <cellStyle name="Normal 16 5 12" xfId="18851"/>
    <cellStyle name="Normal 16 5 13" xfId="20604"/>
    <cellStyle name="Normal 16 5 14" xfId="22356"/>
    <cellStyle name="Normal 16 5 15" xfId="24108"/>
    <cellStyle name="Normal 16 5 16" xfId="25860"/>
    <cellStyle name="Normal 16 5 17" xfId="27612"/>
    <cellStyle name="Normal 16 5 18" xfId="29365"/>
    <cellStyle name="Normal 16 5 19" xfId="31117"/>
    <cellStyle name="Normal 16 5 2" xfId="690"/>
    <cellStyle name="Normal 16 5 2 10" xfId="17975"/>
    <cellStyle name="Normal 16 5 2 11" xfId="19727"/>
    <cellStyle name="Normal 16 5 2 12" xfId="21480"/>
    <cellStyle name="Normal 16 5 2 13" xfId="23232"/>
    <cellStyle name="Normal 16 5 2 14" xfId="24984"/>
    <cellStyle name="Normal 16 5 2 15" xfId="26736"/>
    <cellStyle name="Normal 16 5 2 16" xfId="28488"/>
    <cellStyle name="Normal 16 5 2 17" xfId="30241"/>
    <cellStyle name="Normal 16 5 2 18" xfId="31993"/>
    <cellStyle name="Normal 16 5 2 19" xfId="33746"/>
    <cellStyle name="Normal 16 5 2 2" xfId="3957"/>
    <cellStyle name="Normal 16 5 2 20" xfId="36382"/>
    <cellStyle name="Normal 16 5 2 21" xfId="38122"/>
    <cellStyle name="Normal 16 5 2 22" xfId="39875"/>
    <cellStyle name="Normal 16 5 2 23" xfId="41630"/>
    <cellStyle name="Normal 16 5 2 24" xfId="43382"/>
    <cellStyle name="Normal 16 5 2 25" xfId="46000"/>
    <cellStyle name="Normal 16 5 2 26" xfId="47752"/>
    <cellStyle name="Normal 16 5 2 27" xfId="49504"/>
    <cellStyle name="Normal 16 5 2 28" xfId="51256"/>
    <cellStyle name="Normal 16 5 2 29" xfId="53008"/>
    <cellStyle name="Normal 16 5 2 3" xfId="5709"/>
    <cellStyle name="Normal 16 5 2 30" xfId="54760"/>
    <cellStyle name="Normal 16 5 2 31" xfId="56512"/>
    <cellStyle name="Normal 16 5 2 32" xfId="58265"/>
    <cellStyle name="Normal 16 5 2 33" xfId="60017"/>
    <cellStyle name="Normal 16 5 2 34" xfId="61769"/>
    <cellStyle name="Normal 16 5 2 4" xfId="7461"/>
    <cellStyle name="Normal 16 5 2 5" xfId="9213"/>
    <cellStyle name="Normal 16 5 2 6" xfId="10966"/>
    <cellStyle name="Normal 16 5 2 7" xfId="12718"/>
    <cellStyle name="Normal 16 5 2 8" xfId="14470"/>
    <cellStyle name="Normal 16 5 2 9" xfId="16222"/>
    <cellStyle name="Normal 16 5 20" xfId="32870"/>
    <cellStyle name="Normal 16 5 21" xfId="34299"/>
    <cellStyle name="Normal 16 5 22" xfId="35506"/>
    <cellStyle name="Normal 16 5 23" xfId="36920"/>
    <cellStyle name="Normal 16 5 24" xfId="38999"/>
    <cellStyle name="Normal 16 5 25" xfId="40754"/>
    <cellStyle name="Normal 16 5 26" xfId="42506"/>
    <cellStyle name="Normal 16 5 27" xfId="43920"/>
    <cellStyle name="Normal 16 5 28" xfId="45124"/>
    <cellStyle name="Normal 16 5 29" xfId="46876"/>
    <cellStyle name="Normal 16 5 3" xfId="3081"/>
    <cellStyle name="Normal 16 5 30" xfId="48628"/>
    <cellStyle name="Normal 16 5 31" xfId="50380"/>
    <cellStyle name="Normal 16 5 32" xfId="52132"/>
    <cellStyle name="Normal 16 5 33" xfId="53884"/>
    <cellStyle name="Normal 16 5 34" xfId="55636"/>
    <cellStyle name="Normal 16 5 35" xfId="57389"/>
    <cellStyle name="Normal 16 5 36" xfId="59141"/>
    <cellStyle name="Normal 16 5 37" xfId="60893"/>
    <cellStyle name="Normal 16 5 38" xfId="62307"/>
    <cellStyle name="Normal 16 5 39" xfId="63173"/>
    <cellStyle name="Normal 16 5 4" xfId="4833"/>
    <cellStyle name="Normal 16 5 5" xfId="6585"/>
    <cellStyle name="Normal 16 5 6" xfId="8337"/>
    <cellStyle name="Normal 16 5 7" xfId="10090"/>
    <cellStyle name="Normal 16 5 8" xfId="11842"/>
    <cellStyle name="Normal 16 5 9" xfId="13594"/>
    <cellStyle name="Normal 16 6" xfId="691"/>
    <cellStyle name="Normal 16 6 10" xfId="17539"/>
    <cellStyle name="Normal 16 6 11" xfId="19291"/>
    <cellStyle name="Normal 16 6 12" xfId="21044"/>
    <cellStyle name="Normal 16 6 13" xfId="22796"/>
    <cellStyle name="Normal 16 6 14" xfId="24548"/>
    <cellStyle name="Normal 16 6 15" xfId="26300"/>
    <cellStyle name="Normal 16 6 16" xfId="28052"/>
    <cellStyle name="Normal 16 6 17" xfId="29805"/>
    <cellStyle name="Normal 16 6 18" xfId="31557"/>
    <cellStyle name="Normal 16 6 19" xfId="33310"/>
    <cellStyle name="Normal 16 6 2" xfId="3521"/>
    <cellStyle name="Normal 16 6 20" xfId="35946"/>
    <cellStyle name="Normal 16 6 21" xfId="37689"/>
    <cellStyle name="Normal 16 6 22" xfId="39439"/>
    <cellStyle name="Normal 16 6 23" xfId="41194"/>
    <cellStyle name="Normal 16 6 24" xfId="42946"/>
    <cellStyle name="Normal 16 6 25" xfId="45564"/>
    <cellStyle name="Normal 16 6 26" xfId="47316"/>
    <cellStyle name="Normal 16 6 27" xfId="49068"/>
    <cellStyle name="Normal 16 6 28" xfId="50820"/>
    <cellStyle name="Normal 16 6 29" xfId="52572"/>
    <cellStyle name="Normal 16 6 3" xfId="5273"/>
    <cellStyle name="Normal 16 6 30" xfId="54324"/>
    <cellStyle name="Normal 16 6 31" xfId="56076"/>
    <cellStyle name="Normal 16 6 32" xfId="57829"/>
    <cellStyle name="Normal 16 6 33" xfId="59581"/>
    <cellStyle name="Normal 16 6 34" xfId="61333"/>
    <cellStyle name="Normal 16 6 4" xfId="7025"/>
    <cellStyle name="Normal 16 6 5" xfId="8777"/>
    <cellStyle name="Normal 16 6 6" xfId="10530"/>
    <cellStyle name="Normal 16 6 7" xfId="12282"/>
    <cellStyle name="Normal 16 6 8" xfId="14034"/>
    <cellStyle name="Normal 16 6 9" xfId="15786"/>
    <cellStyle name="Normal 16 7" xfId="2473"/>
    <cellStyle name="Normal 16 8" xfId="4397"/>
    <cellStyle name="Normal 16 9" xfId="6149"/>
    <cellStyle name="Normal 160" xfId="40303"/>
    <cellStyle name="Normal 161" xfId="43808"/>
    <cellStyle name="Normal 162" xfId="56938"/>
    <cellStyle name="Normal 163" xfId="62195"/>
    <cellStyle name="Normal 164" xfId="63061"/>
    <cellStyle name="Normal 17" xfId="692"/>
    <cellStyle name="Normal 17 10" xfId="6150"/>
    <cellStyle name="Normal 17 11" xfId="7902"/>
    <cellStyle name="Normal 17 12" xfId="9655"/>
    <cellStyle name="Normal 17 13" xfId="11407"/>
    <cellStyle name="Normal 17 14" xfId="13159"/>
    <cellStyle name="Normal 17 15" xfId="14911"/>
    <cellStyle name="Normal 17 16" xfId="16664"/>
    <cellStyle name="Normal 17 17" xfId="18416"/>
    <cellStyle name="Normal 17 18" xfId="20169"/>
    <cellStyle name="Normal 17 19" xfId="21921"/>
    <cellStyle name="Normal 17 2" xfId="693"/>
    <cellStyle name="Normal 17 20" xfId="23673"/>
    <cellStyle name="Normal 17 21" xfId="25425"/>
    <cellStyle name="Normal 17 22" xfId="27177"/>
    <cellStyle name="Normal 17 23" xfId="28930"/>
    <cellStyle name="Normal 17 24" xfId="30682"/>
    <cellStyle name="Normal 17 25" xfId="32435"/>
    <cellStyle name="Normal 17 26" xfId="34300"/>
    <cellStyle name="Normal 17 27" xfId="35071"/>
    <cellStyle name="Normal 17 28" xfId="36921"/>
    <cellStyle name="Normal 17 29" xfId="38563"/>
    <cellStyle name="Normal 17 3" xfId="694"/>
    <cellStyle name="Normal 17 3 10" xfId="9710"/>
    <cellStyle name="Normal 17 3 11" xfId="11462"/>
    <cellStyle name="Normal 17 3 12" xfId="13214"/>
    <cellStyle name="Normal 17 3 13" xfId="14966"/>
    <cellStyle name="Normal 17 3 14" xfId="16719"/>
    <cellStyle name="Normal 17 3 15" xfId="18471"/>
    <cellStyle name="Normal 17 3 16" xfId="20224"/>
    <cellStyle name="Normal 17 3 17" xfId="21976"/>
    <cellStyle name="Normal 17 3 18" xfId="23728"/>
    <cellStyle name="Normal 17 3 19" xfId="25480"/>
    <cellStyle name="Normal 17 3 2" xfId="695"/>
    <cellStyle name="Normal 17 3 2 10" xfId="11570"/>
    <cellStyle name="Normal 17 3 2 11" xfId="13322"/>
    <cellStyle name="Normal 17 3 2 12" xfId="15074"/>
    <cellStyle name="Normal 17 3 2 13" xfId="16827"/>
    <cellStyle name="Normal 17 3 2 14" xfId="18579"/>
    <cellStyle name="Normal 17 3 2 15" xfId="20332"/>
    <cellStyle name="Normal 17 3 2 16" xfId="22084"/>
    <cellStyle name="Normal 17 3 2 17" xfId="23836"/>
    <cellStyle name="Normal 17 3 2 18" xfId="25588"/>
    <cellStyle name="Normal 17 3 2 19" xfId="27340"/>
    <cellStyle name="Normal 17 3 2 2" xfId="696"/>
    <cellStyle name="Normal 17 3 2 2 10" xfId="13390"/>
    <cellStyle name="Normal 17 3 2 2 11" xfId="15142"/>
    <cellStyle name="Normal 17 3 2 2 12" xfId="16895"/>
    <cellStyle name="Normal 17 3 2 2 13" xfId="18647"/>
    <cellStyle name="Normal 17 3 2 2 14" xfId="20400"/>
    <cellStyle name="Normal 17 3 2 2 15" xfId="22152"/>
    <cellStyle name="Normal 17 3 2 2 16" xfId="23904"/>
    <cellStyle name="Normal 17 3 2 2 17" xfId="25656"/>
    <cellStyle name="Normal 17 3 2 2 18" xfId="27408"/>
    <cellStyle name="Normal 17 3 2 2 19" xfId="29161"/>
    <cellStyle name="Normal 17 3 2 2 2" xfId="697"/>
    <cellStyle name="Normal 17 3 2 2 2 10" xfId="15578"/>
    <cellStyle name="Normal 17 3 2 2 2 11" xfId="17331"/>
    <cellStyle name="Normal 17 3 2 2 2 12" xfId="19083"/>
    <cellStyle name="Normal 17 3 2 2 2 13" xfId="20836"/>
    <cellStyle name="Normal 17 3 2 2 2 14" xfId="22588"/>
    <cellStyle name="Normal 17 3 2 2 2 15" xfId="24340"/>
    <cellStyle name="Normal 17 3 2 2 2 16" xfId="26092"/>
    <cellStyle name="Normal 17 3 2 2 2 17" xfId="27844"/>
    <cellStyle name="Normal 17 3 2 2 2 18" xfId="29597"/>
    <cellStyle name="Normal 17 3 2 2 2 19" xfId="31349"/>
    <cellStyle name="Normal 17 3 2 2 2 2" xfId="698"/>
    <cellStyle name="Normal 17 3 2 2 2 2 10" xfId="18207"/>
    <cellStyle name="Normal 17 3 2 2 2 2 11" xfId="19959"/>
    <cellStyle name="Normal 17 3 2 2 2 2 12" xfId="21712"/>
    <cellStyle name="Normal 17 3 2 2 2 2 13" xfId="23464"/>
    <cellStyle name="Normal 17 3 2 2 2 2 14" xfId="25216"/>
    <cellStyle name="Normal 17 3 2 2 2 2 15" xfId="26968"/>
    <cellStyle name="Normal 17 3 2 2 2 2 16" xfId="28720"/>
    <cellStyle name="Normal 17 3 2 2 2 2 17" xfId="30473"/>
    <cellStyle name="Normal 17 3 2 2 2 2 18" xfId="32225"/>
    <cellStyle name="Normal 17 3 2 2 2 2 19" xfId="33978"/>
    <cellStyle name="Normal 17 3 2 2 2 2 2" xfId="4189"/>
    <cellStyle name="Normal 17 3 2 2 2 2 20" xfId="36614"/>
    <cellStyle name="Normal 17 3 2 2 2 2 21" xfId="38354"/>
    <cellStyle name="Normal 17 3 2 2 2 2 22" xfId="40107"/>
    <cellStyle name="Normal 17 3 2 2 2 2 23" xfId="41862"/>
    <cellStyle name="Normal 17 3 2 2 2 2 24" xfId="43614"/>
    <cellStyle name="Normal 17 3 2 2 2 2 25" xfId="46232"/>
    <cellStyle name="Normal 17 3 2 2 2 2 26" xfId="47984"/>
    <cellStyle name="Normal 17 3 2 2 2 2 27" xfId="49736"/>
    <cellStyle name="Normal 17 3 2 2 2 2 28" xfId="51488"/>
    <cellStyle name="Normal 17 3 2 2 2 2 29" xfId="53240"/>
    <cellStyle name="Normal 17 3 2 2 2 2 3" xfId="5941"/>
    <cellStyle name="Normal 17 3 2 2 2 2 30" xfId="54992"/>
    <cellStyle name="Normal 17 3 2 2 2 2 31" xfId="56744"/>
    <cellStyle name="Normal 17 3 2 2 2 2 32" xfId="58497"/>
    <cellStyle name="Normal 17 3 2 2 2 2 33" xfId="60249"/>
    <cellStyle name="Normal 17 3 2 2 2 2 34" xfId="62001"/>
    <cellStyle name="Normal 17 3 2 2 2 2 4" xfId="7693"/>
    <cellStyle name="Normal 17 3 2 2 2 2 5" xfId="9445"/>
    <cellStyle name="Normal 17 3 2 2 2 2 6" xfId="11198"/>
    <cellStyle name="Normal 17 3 2 2 2 2 7" xfId="12950"/>
    <cellStyle name="Normal 17 3 2 2 2 2 8" xfId="14702"/>
    <cellStyle name="Normal 17 3 2 2 2 2 9" xfId="16454"/>
    <cellStyle name="Normal 17 3 2 2 2 20" xfId="33102"/>
    <cellStyle name="Normal 17 3 2 2 2 21" xfId="34304"/>
    <cellStyle name="Normal 17 3 2 2 2 22" xfId="35738"/>
    <cellStyle name="Normal 17 3 2 2 2 23" xfId="36925"/>
    <cellStyle name="Normal 17 3 2 2 2 24" xfId="39231"/>
    <cellStyle name="Normal 17 3 2 2 2 25" xfId="40986"/>
    <cellStyle name="Normal 17 3 2 2 2 26" xfId="42738"/>
    <cellStyle name="Normal 17 3 2 2 2 27" xfId="43925"/>
    <cellStyle name="Normal 17 3 2 2 2 28" xfId="45356"/>
    <cellStyle name="Normal 17 3 2 2 2 29" xfId="47108"/>
    <cellStyle name="Normal 17 3 2 2 2 3" xfId="3313"/>
    <cellStyle name="Normal 17 3 2 2 2 30" xfId="48860"/>
    <cellStyle name="Normal 17 3 2 2 2 31" xfId="50612"/>
    <cellStyle name="Normal 17 3 2 2 2 32" xfId="52364"/>
    <cellStyle name="Normal 17 3 2 2 2 33" xfId="54116"/>
    <cellStyle name="Normal 17 3 2 2 2 34" xfId="55868"/>
    <cellStyle name="Normal 17 3 2 2 2 35" xfId="57621"/>
    <cellStyle name="Normal 17 3 2 2 2 36" xfId="59373"/>
    <cellStyle name="Normal 17 3 2 2 2 37" xfId="61125"/>
    <cellStyle name="Normal 17 3 2 2 2 38" xfId="62312"/>
    <cellStyle name="Normal 17 3 2 2 2 39" xfId="63178"/>
    <cellStyle name="Normal 17 3 2 2 2 4" xfId="5065"/>
    <cellStyle name="Normal 17 3 2 2 2 5" xfId="6817"/>
    <cellStyle name="Normal 17 3 2 2 2 6" xfId="8569"/>
    <cellStyle name="Normal 17 3 2 2 2 7" xfId="10322"/>
    <cellStyle name="Normal 17 3 2 2 2 8" xfId="12074"/>
    <cellStyle name="Normal 17 3 2 2 2 9" xfId="13826"/>
    <cellStyle name="Normal 17 3 2 2 20" xfId="30913"/>
    <cellStyle name="Normal 17 3 2 2 21" xfId="32666"/>
    <cellStyle name="Normal 17 3 2 2 22" xfId="34303"/>
    <cellStyle name="Normal 17 3 2 2 23" xfId="35302"/>
    <cellStyle name="Normal 17 3 2 2 24" xfId="36924"/>
    <cellStyle name="Normal 17 3 2 2 25" xfId="38795"/>
    <cellStyle name="Normal 17 3 2 2 26" xfId="40550"/>
    <cellStyle name="Normal 17 3 2 2 27" xfId="42302"/>
    <cellStyle name="Normal 17 3 2 2 28" xfId="43924"/>
    <cellStyle name="Normal 17 3 2 2 29" xfId="44920"/>
    <cellStyle name="Normal 17 3 2 2 3" xfId="699"/>
    <cellStyle name="Normal 17 3 2 2 3 10" xfId="17771"/>
    <cellStyle name="Normal 17 3 2 2 3 11" xfId="19523"/>
    <cellStyle name="Normal 17 3 2 2 3 12" xfId="21276"/>
    <cellStyle name="Normal 17 3 2 2 3 13" xfId="23028"/>
    <cellStyle name="Normal 17 3 2 2 3 14" xfId="24780"/>
    <cellStyle name="Normal 17 3 2 2 3 15" xfId="26532"/>
    <cellStyle name="Normal 17 3 2 2 3 16" xfId="28284"/>
    <cellStyle name="Normal 17 3 2 2 3 17" xfId="30037"/>
    <cellStyle name="Normal 17 3 2 2 3 18" xfId="31789"/>
    <cellStyle name="Normal 17 3 2 2 3 19" xfId="33542"/>
    <cellStyle name="Normal 17 3 2 2 3 2" xfId="3753"/>
    <cellStyle name="Normal 17 3 2 2 3 20" xfId="36178"/>
    <cellStyle name="Normal 17 3 2 2 3 21" xfId="37918"/>
    <cellStyle name="Normal 17 3 2 2 3 22" xfId="39671"/>
    <cellStyle name="Normal 17 3 2 2 3 23" xfId="41426"/>
    <cellStyle name="Normal 17 3 2 2 3 24" xfId="43178"/>
    <cellStyle name="Normal 17 3 2 2 3 25" xfId="45796"/>
    <cellStyle name="Normal 17 3 2 2 3 26" xfId="47548"/>
    <cellStyle name="Normal 17 3 2 2 3 27" xfId="49300"/>
    <cellStyle name="Normal 17 3 2 2 3 28" xfId="51052"/>
    <cellStyle name="Normal 17 3 2 2 3 29" xfId="52804"/>
    <cellStyle name="Normal 17 3 2 2 3 3" xfId="5505"/>
    <cellStyle name="Normal 17 3 2 2 3 30" xfId="54556"/>
    <cellStyle name="Normal 17 3 2 2 3 31" xfId="56308"/>
    <cellStyle name="Normal 17 3 2 2 3 32" xfId="58061"/>
    <cellStyle name="Normal 17 3 2 2 3 33" xfId="59813"/>
    <cellStyle name="Normal 17 3 2 2 3 34" xfId="61565"/>
    <cellStyle name="Normal 17 3 2 2 3 4" xfId="7257"/>
    <cellStyle name="Normal 17 3 2 2 3 5" xfId="9009"/>
    <cellStyle name="Normal 17 3 2 2 3 6" xfId="10762"/>
    <cellStyle name="Normal 17 3 2 2 3 7" xfId="12514"/>
    <cellStyle name="Normal 17 3 2 2 3 8" xfId="14266"/>
    <cellStyle name="Normal 17 3 2 2 3 9" xfId="16018"/>
    <cellStyle name="Normal 17 3 2 2 30" xfId="46672"/>
    <cellStyle name="Normal 17 3 2 2 31" xfId="48424"/>
    <cellStyle name="Normal 17 3 2 2 32" xfId="50176"/>
    <cellStyle name="Normal 17 3 2 2 33" xfId="51928"/>
    <cellStyle name="Normal 17 3 2 2 34" xfId="53680"/>
    <cellStyle name="Normal 17 3 2 2 35" xfId="55432"/>
    <cellStyle name="Normal 17 3 2 2 36" xfId="57185"/>
    <cellStyle name="Normal 17 3 2 2 37" xfId="58937"/>
    <cellStyle name="Normal 17 3 2 2 38" xfId="60689"/>
    <cellStyle name="Normal 17 3 2 2 39" xfId="62311"/>
    <cellStyle name="Normal 17 3 2 2 4" xfId="2877"/>
    <cellStyle name="Normal 17 3 2 2 40" xfId="63177"/>
    <cellStyle name="Normal 17 3 2 2 5" xfId="4629"/>
    <cellStyle name="Normal 17 3 2 2 6" xfId="6381"/>
    <cellStyle name="Normal 17 3 2 2 7" xfId="8133"/>
    <cellStyle name="Normal 17 3 2 2 8" xfId="9886"/>
    <cellStyle name="Normal 17 3 2 2 9" xfId="11638"/>
    <cellStyle name="Normal 17 3 2 20" xfId="29093"/>
    <cellStyle name="Normal 17 3 2 21" xfId="30845"/>
    <cellStyle name="Normal 17 3 2 22" xfId="32598"/>
    <cellStyle name="Normal 17 3 2 23" xfId="34302"/>
    <cellStyle name="Normal 17 3 2 24" xfId="35234"/>
    <cellStyle name="Normal 17 3 2 25" xfId="36923"/>
    <cellStyle name="Normal 17 3 2 26" xfId="38727"/>
    <cellStyle name="Normal 17 3 2 27" xfId="40482"/>
    <cellStyle name="Normal 17 3 2 28" xfId="42234"/>
    <cellStyle name="Normal 17 3 2 29" xfId="43923"/>
    <cellStyle name="Normal 17 3 2 3" xfId="700"/>
    <cellStyle name="Normal 17 3 2 3 10" xfId="15510"/>
    <cellStyle name="Normal 17 3 2 3 11" xfId="17263"/>
    <cellStyle name="Normal 17 3 2 3 12" xfId="19015"/>
    <cellStyle name="Normal 17 3 2 3 13" xfId="20768"/>
    <cellStyle name="Normal 17 3 2 3 14" xfId="22520"/>
    <cellStyle name="Normal 17 3 2 3 15" xfId="24272"/>
    <cellStyle name="Normal 17 3 2 3 16" xfId="26024"/>
    <cellStyle name="Normal 17 3 2 3 17" xfId="27776"/>
    <cellStyle name="Normal 17 3 2 3 18" xfId="29529"/>
    <cellStyle name="Normal 17 3 2 3 19" xfId="31281"/>
    <cellStyle name="Normal 17 3 2 3 2" xfId="701"/>
    <cellStyle name="Normal 17 3 2 3 2 10" xfId="18139"/>
    <cellStyle name="Normal 17 3 2 3 2 11" xfId="19891"/>
    <cellStyle name="Normal 17 3 2 3 2 12" xfId="21644"/>
    <cellStyle name="Normal 17 3 2 3 2 13" xfId="23396"/>
    <cellStyle name="Normal 17 3 2 3 2 14" xfId="25148"/>
    <cellStyle name="Normal 17 3 2 3 2 15" xfId="26900"/>
    <cellStyle name="Normal 17 3 2 3 2 16" xfId="28652"/>
    <cellStyle name="Normal 17 3 2 3 2 17" xfId="30405"/>
    <cellStyle name="Normal 17 3 2 3 2 18" xfId="32157"/>
    <cellStyle name="Normal 17 3 2 3 2 19" xfId="33910"/>
    <cellStyle name="Normal 17 3 2 3 2 2" xfId="4121"/>
    <cellStyle name="Normal 17 3 2 3 2 20" xfId="36546"/>
    <cellStyle name="Normal 17 3 2 3 2 21" xfId="38286"/>
    <cellStyle name="Normal 17 3 2 3 2 22" xfId="40039"/>
    <cellStyle name="Normal 17 3 2 3 2 23" xfId="41794"/>
    <cellStyle name="Normal 17 3 2 3 2 24" xfId="43546"/>
    <cellStyle name="Normal 17 3 2 3 2 25" xfId="46164"/>
    <cellStyle name="Normal 17 3 2 3 2 26" xfId="47916"/>
    <cellStyle name="Normal 17 3 2 3 2 27" xfId="49668"/>
    <cellStyle name="Normal 17 3 2 3 2 28" xfId="51420"/>
    <cellStyle name="Normal 17 3 2 3 2 29" xfId="53172"/>
    <cellStyle name="Normal 17 3 2 3 2 3" xfId="5873"/>
    <cellStyle name="Normal 17 3 2 3 2 30" xfId="54924"/>
    <cellStyle name="Normal 17 3 2 3 2 31" xfId="56676"/>
    <cellStyle name="Normal 17 3 2 3 2 32" xfId="58429"/>
    <cellStyle name="Normal 17 3 2 3 2 33" xfId="60181"/>
    <cellStyle name="Normal 17 3 2 3 2 34" xfId="61933"/>
    <cellStyle name="Normal 17 3 2 3 2 4" xfId="7625"/>
    <cellStyle name="Normal 17 3 2 3 2 5" xfId="9377"/>
    <cellStyle name="Normal 17 3 2 3 2 6" xfId="11130"/>
    <cellStyle name="Normal 17 3 2 3 2 7" xfId="12882"/>
    <cellStyle name="Normal 17 3 2 3 2 8" xfId="14634"/>
    <cellStyle name="Normal 17 3 2 3 2 9" xfId="16386"/>
    <cellStyle name="Normal 17 3 2 3 20" xfId="33034"/>
    <cellStyle name="Normal 17 3 2 3 21" xfId="34305"/>
    <cellStyle name="Normal 17 3 2 3 22" xfId="35670"/>
    <cellStyle name="Normal 17 3 2 3 23" xfId="36926"/>
    <cellStyle name="Normal 17 3 2 3 24" xfId="39163"/>
    <cellStyle name="Normal 17 3 2 3 25" xfId="40918"/>
    <cellStyle name="Normal 17 3 2 3 26" xfId="42670"/>
    <cellStyle name="Normal 17 3 2 3 27" xfId="43926"/>
    <cellStyle name="Normal 17 3 2 3 28" xfId="45288"/>
    <cellStyle name="Normal 17 3 2 3 29" xfId="47040"/>
    <cellStyle name="Normal 17 3 2 3 3" xfId="3245"/>
    <cellStyle name="Normal 17 3 2 3 30" xfId="48792"/>
    <cellStyle name="Normal 17 3 2 3 31" xfId="50544"/>
    <cellStyle name="Normal 17 3 2 3 32" xfId="52296"/>
    <cellStyle name="Normal 17 3 2 3 33" xfId="54048"/>
    <cellStyle name="Normal 17 3 2 3 34" xfId="55800"/>
    <cellStyle name="Normal 17 3 2 3 35" xfId="57553"/>
    <cellStyle name="Normal 17 3 2 3 36" xfId="59305"/>
    <cellStyle name="Normal 17 3 2 3 37" xfId="61057"/>
    <cellStyle name="Normal 17 3 2 3 38" xfId="62313"/>
    <cellStyle name="Normal 17 3 2 3 39" xfId="63179"/>
    <cellStyle name="Normal 17 3 2 3 4" xfId="4997"/>
    <cellStyle name="Normal 17 3 2 3 5" xfId="6749"/>
    <cellStyle name="Normal 17 3 2 3 6" xfId="8501"/>
    <cellStyle name="Normal 17 3 2 3 7" xfId="10254"/>
    <cellStyle name="Normal 17 3 2 3 8" xfId="12006"/>
    <cellStyle name="Normal 17 3 2 3 9" xfId="13758"/>
    <cellStyle name="Normal 17 3 2 30" xfId="44852"/>
    <cellStyle name="Normal 17 3 2 31" xfId="46604"/>
    <cellStyle name="Normal 17 3 2 32" xfId="48356"/>
    <cellStyle name="Normal 17 3 2 33" xfId="50108"/>
    <cellStyle name="Normal 17 3 2 34" xfId="51860"/>
    <cellStyle name="Normal 17 3 2 35" xfId="53612"/>
    <cellStyle name="Normal 17 3 2 36" xfId="55364"/>
    <cellStyle name="Normal 17 3 2 37" xfId="57117"/>
    <cellStyle name="Normal 17 3 2 38" xfId="58869"/>
    <cellStyle name="Normal 17 3 2 39" xfId="60621"/>
    <cellStyle name="Normal 17 3 2 4" xfId="702"/>
    <cellStyle name="Normal 17 3 2 4 10" xfId="17703"/>
    <cellStyle name="Normal 17 3 2 4 11" xfId="19455"/>
    <cellStyle name="Normal 17 3 2 4 12" xfId="21208"/>
    <cellStyle name="Normal 17 3 2 4 13" xfId="22960"/>
    <cellStyle name="Normal 17 3 2 4 14" xfId="24712"/>
    <cellStyle name="Normal 17 3 2 4 15" xfId="26464"/>
    <cellStyle name="Normal 17 3 2 4 16" xfId="28216"/>
    <cellStyle name="Normal 17 3 2 4 17" xfId="29969"/>
    <cellStyle name="Normal 17 3 2 4 18" xfId="31721"/>
    <cellStyle name="Normal 17 3 2 4 19" xfId="33474"/>
    <cellStyle name="Normal 17 3 2 4 2" xfId="3685"/>
    <cellStyle name="Normal 17 3 2 4 20" xfId="36110"/>
    <cellStyle name="Normal 17 3 2 4 21" xfId="37850"/>
    <cellStyle name="Normal 17 3 2 4 22" xfId="39603"/>
    <cellStyle name="Normal 17 3 2 4 23" xfId="41358"/>
    <cellStyle name="Normal 17 3 2 4 24" xfId="43110"/>
    <cellStyle name="Normal 17 3 2 4 25" xfId="45728"/>
    <cellStyle name="Normal 17 3 2 4 26" xfId="47480"/>
    <cellStyle name="Normal 17 3 2 4 27" xfId="49232"/>
    <cellStyle name="Normal 17 3 2 4 28" xfId="50984"/>
    <cellStyle name="Normal 17 3 2 4 29" xfId="52736"/>
    <cellStyle name="Normal 17 3 2 4 3" xfId="5437"/>
    <cellStyle name="Normal 17 3 2 4 30" xfId="54488"/>
    <cellStyle name="Normal 17 3 2 4 31" xfId="56240"/>
    <cellStyle name="Normal 17 3 2 4 32" xfId="57993"/>
    <cellStyle name="Normal 17 3 2 4 33" xfId="59745"/>
    <cellStyle name="Normal 17 3 2 4 34" xfId="61497"/>
    <cellStyle name="Normal 17 3 2 4 4" xfId="7189"/>
    <cellStyle name="Normal 17 3 2 4 5" xfId="8941"/>
    <cellStyle name="Normal 17 3 2 4 6" xfId="10694"/>
    <cellStyle name="Normal 17 3 2 4 7" xfId="12446"/>
    <cellStyle name="Normal 17 3 2 4 8" xfId="14198"/>
    <cellStyle name="Normal 17 3 2 4 9" xfId="15950"/>
    <cellStyle name="Normal 17 3 2 40" xfId="62310"/>
    <cellStyle name="Normal 17 3 2 41" xfId="63176"/>
    <cellStyle name="Normal 17 3 2 5" xfId="2809"/>
    <cellStyle name="Normal 17 3 2 6" xfId="4561"/>
    <cellStyle name="Normal 17 3 2 7" xfId="6313"/>
    <cellStyle name="Normal 17 3 2 8" xfId="8065"/>
    <cellStyle name="Normal 17 3 2 9" xfId="9818"/>
    <cellStyle name="Normal 17 3 20" xfId="27232"/>
    <cellStyle name="Normal 17 3 21" xfId="28985"/>
    <cellStyle name="Normal 17 3 22" xfId="30737"/>
    <cellStyle name="Normal 17 3 23" xfId="32490"/>
    <cellStyle name="Normal 17 3 24" xfId="34301"/>
    <cellStyle name="Normal 17 3 25" xfId="35126"/>
    <cellStyle name="Normal 17 3 26" xfId="36922"/>
    <cellStyle name="Normal 17 3 27" xfId="38619"/>
    <cellStyle name="Normal 17 3 28" xfId="40374"/>
    <cellStyle name="Normal 17 3 29" xfId="42126"/>
    <cellStyle name="Normal 17 3 3" xfId="703"/>
    <cellStyle name="Normal 17 3 3 10" xfId="13391"/>
    <cellStyle name="Normal 17 3 3 11" xfId="15143"/>
    <cellStyle name="Normal 17 3 3 12" xfId="16896"/>
    <cellStyle name="Normal 17 3 3 13" xfId="18648"/>
    <cellStyle name="Normal 17 3 3 14" xfId="20401"/>
    <cellStyle name="Normal 17 3 3 15" xfId="22153"/>
    <cellStyle name="Normal 17 3 3 16" xfId="23905"/>
    <cellStyle name="Normal 17 3 3 17" xfId="25657"/>
    <cellStyle name="Normal 17 3 3 18" xfId="27409"/>
    <cellStyle name="Normal 17 3 3 19" xfId="29162"/>
    <cellStyle name="Normal 17 3 3 2" xfId="704"/>
    <cellStyle name="Normal 17 3 3 2 10" xfId="15579"/>
    <cellStyle name="Normal 17 3 3 2 11" xfId="17332"/>
    <cellStyle name="Normal 17 3 3 2 12" xfId="19084"/>
    <cellStyle name="Normal 17 3 3 2 13" xfId="20837"/>
    <cellStyle name="Normal 17 3 3 2 14" xfId="22589"/>
    <cellStyle name="Normal 17 3 3 2 15" xfId="24341"/>
    <cellStyle name="Normal 17 3 3 2 16" xfId="26093"/>
    <cellStyle name="Normal 17 3 3 2 17" xfId="27845"/>
    <cellStyle name="Normal 17 3 3 2 18" xfId="29598"/>
    <cellStyle name="Normal 17 3 3 2 19" xfId="31350"/>
    <cellStyle name="Normal 17 3 3 2 2" xfId="705"/>
    <cellStyle name="Normal 17 3 3 2 2 10" xfId="18208"/>
    <cellStyle name="Normal 17 3 3 2 2 11" xfId="19960"/>
    <cellStyle name="Normal 17 3 3 2 2 12" xfId="21713"/>
    <cellStyle name="Normal 17 3 3 2 2 13" xfId="23465"/>
    <cellStyle name="Normal 17 3 3 2 2 14" xfId="25217"/>
    <cellStyle name="Normal 17 3 3 2 2 15" xfId="26969"/>
    <cellStyle name="Normal 17 3 3 2 2 16" xfId="28721"/>
    <cellStyle name="Normal 17 3 3 2 2 17" xfId="30474"/>
    <cellStyle name="Normal 17 3 3 2 2 18" xfId="32226"/>
    <cellStyle name="Normal 17 3 3 2 2 19" xfId="33979"/>
    <cellStyle name="Normal 17 3 3 2 2 2" xfId="4190"/>
    <cellStyle name="Normal 17 3 3 2 2 20" xfId="36615"/>
    <cellStyle name="Normal 17 3 3 2 2 21" xfId="38355"/>
    <cellStyle name="Normal 17 3 3 2 2 22" xfId="40108"/>
    <cellStyle name="Normal 17 3 3 2 2 23" xfId="41863"/>
    <cellStyle name="Normal 17 3 3 2 2 24" xfId="43615"/>
    <cellStyle name="Normal 17 3 3 2 2 25" xfId="46233"/>
    <cellStyle name="Normal 17 3 3 2 2 26" xfId="47985"/>
    <cellStyle name="Normal 17 3 3 2 2 27" xfId="49737"/>
    <cellStyle name="Normal 17 3 3 2 2 28" xfId="51489"/>
    <cellStyle name="Normal 17 3 3 2 2 29" xfId="53241"/>
    <cellStyle name="Normal 17 3 3 2 2 3" xfId="5942"/>
    <cellStyle name="Normal 17 3 3 2 2 30" xfId="54993"/>
    <cellStyle name="Normal 17 3 3 2 2 31" xfId="56745"/>
    <cellStyle name="Normal 17 3 3 2 2 32" xfId="58498"/>
    <cellStyle name="Normal 17 3 3 2 2 33" xfId="60250"/>
    <cellStyle name="Normal 17 3 3 2 2 34" xfId="62002"/>
    <cellStyle name="Normal 17 3 3 2 2 4" xfId="7694"/>
    <cellStyle name="Normal 17 3 3 2 2 5" xfId="9446"/>
    <cellStyle name="Normal 17 3 3 2 2 6" xfId="11199"/>
    <cellStyle name="Normal 17 3 3 2 2 7" xfId="12951"/>
    <cellStyle name="Normal 17 3 3 2 2 8" xfId="14703"/>
    <cellStyle name="Normal 17 3 3 2 2 9" xfId="16455"/>
    <cellStyle name="Normal 17 3 3 2 20" xfId="33103"/>
    <cellStyle name="Normal 17 3 3 2 21" xfId="34307"/>
    <cellStyle name="Normal 17 3 3 2 22" xfId="35739"/>
    <cellStyle name="Normal 17 3 3 2 23" xfId="36928"/>
    <cellStyle name="Normal 17 3 3 2 24" xfId="39232"/>
    <cellStyle name="Normal 17 3 3 2 25" xfId="40987"/>
    <cellStyle name="Normal 17 3 3 2 26" xfId="42739"/>
    <cellStyle name="Normal 17 3 3 2 27" xfId="43928"/>
    <cellStyle name="Normal 17 3 3 2 28" xfId="45357"/>
    <cellStyle name="Normal 17 3 3 2 29" xfId="47109"/>
    <cellStyle name="Normal 17 3 3 2 3" xfId="3314"/>
    <cellStyle name="Normal 17 3 3 2 30" xfId="48861"/>
    <cellStyle name="Normal 17 3 3 2 31" xfId="50613"/>
    <cellStyle name="Normal 17 3 3 2 32" xfId="52365"/>
    <cellStyle name="Normal 17 3 3 2 33" xfId="54117"/>
    <cellStyle name="Normal 17 3 3 2 34" xfId="55869"/>
    <cellStyle name="Normal 17 3 3 2 35" xfId="57622"/>
    <cellStyle name="Normal 17 3 3 2 36" xfId="59374"/>
    <cellStyle name="Normal 17 3 3 2 37" xfId="61126"/>
    <cellStyle name="Normal 17 3 3 2 38" xfId="62315"/>
    <cellStyle name="Normal 17 3 3 2 39" xfId="63181"/>
    <cellStyle name="Normal 17 3 3 2 4" xfId="5066"/>
    <cellStyle name="Normal 17 3 3 2 5" xfId="6818"/>
    <cellStyle name="Normal 17 3 3 2 6" xfId="8570"/>
    <cellStyle name="Normal 17 3 3 2 7" xfId="10323"/>
    <cellStyle name="Normal 17 3 3 2 8" xfId="12075"/>
    <cellStyle name="Normal 17 3 3 2 9" xfId="13827"/>
    <cellStyle name="Normal 17 3 3 20" xfId="30914"/>
    <cellStyle name="Normal 17 3 3 21" xfId="32667"/>
    <cellStyle name="Normal 17 3 3 22" xfId="34306"/>
    <cellStyle name="Normal 17 3 3 23" xfId="35303"/>
    <cellStyle name="Normal 17 3 3 24" xfId="36927"/>
    <cellStyle name="Normal 17 3 3 25" xfId="38796"/>
    <cellStyle name="Normal 17 3 3 26" xfId="40551"/>
    <cellStyle name="Normal 17 3 3 27" xfId="42303"/>
    <cellStyle name="Normal 17 3 3 28" xfId="43927"/>
    <cellStyle name="Normal 17 3 3 29" xfId="44921"/>
    <cellStyle name="Normal 17 3 3 3" xfId="706"/>
    <cellStyle name="Normal 17 3 3 3 10" xfId="17772"/>
    <cellStyle name="Normal 17 3 3 3 11" xfId="19524"/>
    <cellStyle name="Normal 17 3 3 3 12" xfId="21277"/>
    <cellStyle name="Normal 17 3 3 3 13" xfId="23029"/>
    <cellStyle name="Normal 17 3 3 3 14" xfId="24781"/>
    <cellStyle name="Normal 17 3 3 3 15" xfId="26533"/>
    <cellStyle name="Normal 17 3 3 3 16" xfId="28285"/>
    <cellStyle name="Normal 17 3 3 3 17" xfId="30038"/>
    <cellStyle name="Normal 17 3 3 3 18" xfId="31790"/>
    <cellStyle name="Normal 17 3 3 3 19" xfId="33543"/>
    <cellStyle name="Normal 17 3 3 3 2" xfId="3754"/>
    <cellStyle name="Normal 17 3 3 3 20" xfId="36179"/>
    <cellStyle name="Normal 17 3 3 3 21" xfId="37919"/>
    <cellStyle name="Normal 17 3 3 3 22" xfId="39672"/>
    <cellStyle name="Normal 17 3 3 3 23" xfId="41427"/>
    <cellStyle name="Normal 17 3 3 3 24" xfId="43179"/>
    <cellStyle name="Normal 17 3 3 3 25" xfId="45797"/>
    <cellStyle name="Normal 17 3 3 3 26" xfId="47549"/>
    <cellStyle name="Normal 17 3 3 3 27" xfId="49301"/>
    <cellStyle name="Normal 17 3 3 3 28" xfId="51053"/>
    <cellStyle name="Normal 17 3 3 3 29" xfId="52805"/>
    <cellStyle name="Normal 17 3 3 3 3" xfId="5506"/>
    <cellStyle name="Normal 17 3 3 3 30" xfId="54557"/>
    <cellStyle name="Normal 17 3 3 3 31" xfId="56309"/>
    <cellStyle name="Normal 17 3 3 3 32" xfId="58062"/>
    <cellStyle name="Normal 17 3 3 3 33" xfId="59814"/>
    <cellStyle name="Normal 17 3 3 3 34" xfId="61566"/>
    <cellStyle name="Normal 17 3 3 3 4" xfId="7258"/>
    <cellStyle name="Normal 17 3 3 3 5" xfId="9010"/>
    <cellStyle name="Normal 17 3 3 3 6" xfId="10763"/>
    <cellStyle name="Normal 17 3 3 3 7" xfId="12515"/>
    <cellStyle name="Normal 17 3 3 3 8" xfId="14267"/>
    <cellStyle name="Normal 17 3 3 3 9" xfId="16019"/>
    <cellStyle name="Normal 17 3 3 30" xfId="46673"/>
    <cellStyle name="Normal 17 3 3 31" xfId="48425"/>
    <cellStyle name="Normal 17 3 3 32" xfId="50177"/>
    <cellStyle name="Normal 17 3 3 33" xfId="51929"/>
    <cellStyle name="Normal 17 3 3 34" xfId="53681"/>
    <cellStyle name="Normal 17 3 3 35" xfId="55433"/>
    <cellStyle name="Normal 17 3 3 36" xfId="57186"/>
    <cellStyle name="Normal 17 3 3 37" xfId="58938"/>
    <cellStyle name="Normal 17 3 3 38" xfId="60690"/>
    <cellStyle name="Normal 17 3 3 39" xfId="62314"/>
    <cellStyle name="Normal 17 3 3 4" xfId="2878"/>
    <cellStyle name="Normal 17 3 3 40" xfId="63180"/>
    <cellStyle name="Normal 17 3 3 5" xfId="4630"/>
    <cellStyle name="Normal 17 3 3 6" xfId="6382"/>
    <cellStyle name="Normal 17 3 3 7" xfId="8134"/>
    <cellStyle name="Normal 17 3 3 8" xfId="9887"/>
    <cellStyle name="Normal 17 3 3 9" xfId="11639"/>
    <cellStyle name="Normal 17 3 30" xfId="43922"/>
    <cellStyle name="Normal 17 3 31" xfId="44744"/>
    <cellStyle name="Normal 17 3 32" xfId="46496"/>
    <cellStyle name="Normal 17 3 33" xfId="48248"/>
    <cellStyle name="Normal 17 3 34" xfId="50000"/>
    <cellStyle name="Normal 17 3 35" xfId="51752"/>
    <cellStyle name="Normal 17 3 36" xfId="53504"/>
    <cellStyle name="Normal 17 3 37" xfId="55256"/>
    <cellStyle name="Normal 17 3 38" xfId="57009"/>
    <cellStyle name="Normal 17 3 39" xfId="58761"/>
    <cellStyle name="Normal 17 3 4" xfId="707"/>
    <cellStyle name="Normal 17 3 4 10" xfId="15402"/>
    <cellStyle name="Normal 17 3 4 11" xfId="17155"/>
    <cellStyle name="Normal 17 3 4 12" xfId="18907"/>
    <cellStyle name="Normal 17 3 4 13" xfId="20660"/>
    <cellStyle name="Normal 17 3 4 14" xfId="22412"/>
    <cellStyle name="Normal 17 3 4 15" xfId="24164"/>
    <cellStyle name="Normal 17 3 4 16" xfId="25916"/>
    <cellStyle name="Normal 17 3 4 17" xfId="27668"/>
    <cellStyle name="Normal 17 3 4 18" xfId="29421"/>
    <cellStyle name="Normal 17 3 4 19" xfId="31173"/>
    <cellStyle name="Normal 17 3 4 2" xfId="708"/>
    <cellStyle name="Normal 17 3 4 2 10" xfId="18031"/>
    <cellStyle name="Normal 17 3 4 2 11" xfId="19783"/>
    <cellStyle name="Normal 17 3 4 2 12" xfId="21536"/>
    <cellStyle name="Normal 17 3 4 2 13" xfId="23288"/>
    <cellStyle name="Normal 17 3 4 2 14" xfId="25040"/>
    <cellStyle name="Normal 17 3 4 2 15" xfId="26792"/>
    <cellStyle name="Normal 17 3 4 2 16" xfId="28544"/>
    <cellStyle name="Normal 17 3 4 2 17" xfId="30297"/>
    <cellStyle name="Normal 17 3 4 2 18" xfId="32049"/>
    <cellStyle name="Normal 17 3 4 2 19" xfId="33802"/>
    <cellStyle name="Normal 17 3 4 2 2" xfId="4013"/>
    <cellStyle name="Normal 17 3 4 2 20" xfId="36438"/>
    <cellStyle name="Normal 17 3 4 2 21" xfId="38178"/>
    <cellStyle name="Normal 17 3 4 2 22" xfId="39931"/>
    <cellStyle name="Normal 17 3 4 2 23" xfId="41686"/>
    <cellStyle name="Normal 17 3 4 2 24" xfId="43438"/>
    <cellStyle name="Normal 17 3 4 2 25" xfId="46056"/>
    <cellStyle name="Normal 17 3 4 2 26" xfId="47808"/>
    <cellStyle name="Normal 17 3 4 2 27" xfId="49560"/>
    <cellStyle name="Normal 17 3 4 2 28" xfId="51312"/>
    <cellStyle name="Normal 17 3 4 2 29" xfId="53064"/>
    <cellStyle name="Normal 17 3 4 2 3" xfId="5765"/>
    <cellStyle name="Normal 17 3 4 2 30" xfId="54816"/>
    <cellStyle name="Normal 17 3 4 2 31" xfId="56568"/>
    <cellStyle name="Normal 17 3 4 2 32" xfId="58321"/>
    <cellStyle name="Normal 17 3 4 2 33" xfId="60073"/>
    <cellStyle name="Normal 17 3 4 2 34" xfId="61825"/>
    <cellStyle name="Normal 17 3 4 2 4" xfId="7517"/>
    <cellStyle name="Normal 17 3 4 2 5" xfId="9269"/>
    <cellStyle name="Normal 17 3 4 2 6" xfId="11022"/>
    <cellStyle name="Normal 17 3 4 2 7" xfId="12774"/>
    <cellStyle name="Normal 17 3 4 2 8" xfId="14526"/>
    <cellStyle name="Normal 17 3 4 2 9" xfId="16278"/>
    <cellStyle name="Normal 17 3 4 20" xfId="32926"/>
    <cellStyle name="Normal 17 3 4 21" xfId="34308"/>
    <cellStyle name="Normal 17 3 4 22" xfId="35562"/>
    <cellStyle name="Normal 17 3 4 23" xfId="36929"/>
    <cellStyle name="Normal 17 3 4 24" xfId="39055"/>
    <cellStyle name="Normal 17 3 4 25" xfId="40810"/>
    <cellStyle name="Normal 17 3 4 26" xfId="42562"/>
    <cellStyle name="Normal 17 3 4 27" xfId="43929"/>
    <cellStyle name="Normal 17 3 4 28" xfId="45180"/>
    <cellStyle name="Normal 17 3 4 29" xfId="46932"/>
    <cellStyle name="Normal 17 3 4 3" xfId="3137"/>
    <cellStyle name="Normal 17 3 4 30" xfId="48684"/>
    <cellStyle name="Normal 17 3 4 31" xfId="50436"/>
    <cellStyle name="Normal 17 3 4 32" xfId="52188"/>
    <cellStyle name="Normal 17 3 4 33" xfId="53940"/>
    <cellStyle name="Normal 17 3 4 34" xfId="55692"/>
    <cellStyle name="Normal 17 3 4 35" xfId="57445"/>
    <cellStyle name="Normal 17 3 4 36" xfId="59197"/>
    <cellStyle name="Normal 17 3 4 37" xfId="60949"/>
    <cellStyle name="Normal 17 3 4 38" xfId="62316"/>
    <cellStyle name="Normal 17 3 4 39" xfId="63182"/>
    <cellStyle name="Normal 17 3 4 4" xfId="4889"/>
    <cellStyle name="Normal 17 3 4 5" xfId="6641"/>
    <cellStyle name="Normal 17 3 4 6" xfId="8393"/>
    <cellStyle name="Normal 17 3 4 7" xfId="10146"/>
    <cellStyle name="Normal 17 3 4 8" xfId="11898"/>
    <cellStyle name="Normal 17 3 4 9" xfId="13650"/>
    <cellStyle name="Normal 17 3 40" xfId="60513"/>
    <cellStyle name="Normal 17 3 41" xfId="62309"/>
    <cellStyle name="Normal 17 3 42" xfId="63175"/>
    <cellStyle name="Normal 17 3 5" xfId="709"/>
    <cellStyle name="Normal 17 3 5 10" xfId="17595"/>
    <cellStyle name="Normal 17 3 5 11" xfId="19347"/>
    <cellStyle name="Normal 17 3 5 12" xfId="21100"/>
    <cellStyle name="Normal 17 3 5 13" xfId="22852"/>
    <cellStyle name="Normal 17 3 5 14" xfId="24604"/>
    <cellStyle name="Normal 17 3 5 15" xfId="26356"/>
    <cellStyle name="Normal 17 3 5 16" xfId="28108"/>
    <cellStyle name="Normal 17 3 5 17" xfId="29861"/>
    <cellStyle name="Normal 17 3 5 18" xfId="31613"/>
    <cellStyle name="Normal 17 3 5 19" xfId="33366"/>
    <cellStyle name="Normal 17 3 5 2" xfId="3577"/>
    <cellStyle name="Normal 17 3 5 20" xfId="36002"/>
    <cellStyle name="Normal 17 3 5 21" xfId="37738"/>
    <cellStyle name="Normal 17 3 5 22" xfId="39495"/>
    <cellStyle name="Normal 17 3 5 23" xfId="41250"/>
    <cellStyle name="Normal 17 3 5 24" xfId="43002"/>
    <cellStyle name="Normal 17 3 5 25" xfId="45620"/>
    <cellStyle name="Normal 17 3 5 26" xfId="47372"/>
    <cellStyle name="Normal 17 3 5 27" xfId="49124"/>
    <cellStyle name="Normal 17 3 5 28" xfId="50876"/>
    <cellStyle name="Normal 17 3 5 29" xfId="52628"/>
    <cellStyle name="Normal 17 3 5 3" xfId="5329"/>
    <cellStyle name="Normal 17 3 5 30" xfId="54380"/>
    <cellStyle name="Normal 17 3 5 31" xfId="56132"/>
    <cellStyle name="Normal 17 3 5 32" xfId="57885"/>
    <cellStyle name="Normal 17 3 5 33" xfId="59637"/>
    <cellStyle name="Normal 17 3 5 34" xfId="61389"/>
    <cellStyle name="Normal 17 3 5 4" xfId="7081"/>
    <cellStyle name="Normal 17 3 5 5" xfId="8833"/>
    <cellStyle name="Normal 17 3 5 6" xfId="10586"/>
    <cellStyle name="Normal 17 3 5 7" xfId="12338"/>
    <cellStyle name="Normal 17 3 5 8" xfId="14090"/>
    <cellStyle name="Normal 17 3 5 9" xfId="15842"/>
    <cellStyle name="Normal 17 3 6" xfId="2701"/>
    <cellStyle name="Normal 17 3 7" xfId="4453"/>
    <cellStyle name="Normal 17 3 8" xfId="6205"/>
    <cellStyle name="Normal 17 3 9" xfId="7957"/>
    <cellStyle name="Normal 17 30" xfId="40319"/>
    <cellStyle name="Normal 17 31" xfId="42071"/>
    <cellStyle name="Normal 17 32" xfId="43921"/>
    <cellStyle name="Normal 17 33" xfId="44689"/>
    <cellStyle name="Normal 17 34" xfId="46441"/>
    <cellStyle name="Normal 17 35" xfId="48193"/>
    <cellStyle name="Normal 17 36" xfId="49945"/>
    <cellStyle name="Normal 17 37" xfId="51697"/>
    <cellStyle name="Normal 17 38" xfId="53449"/>
    <cellStyle name="Normal 17 39" xfId="55201"/>
    <cellStyle name="Normal 17 4" xfId="710"/>
    <cellStyle name="Normal 17 4 10" xfId="11515"/>
    <cellStyle name="Normal 17 4 11" xfId="13267"/>
    <cellStyle name="Normal 17 4 12" xfId="15019"/>
    <cellStyle name="Normal 17 4 13" xfId="16772"/>
    <cellStyle name="Normal 17 4 14" xfId="18524"/>
    <cellStyle name="Normal 17 4 15" xfId="20277"/>
    <cellStyle name="Normal 17 4 16" xfId="22029"/>
    <cellStyle name="Normal 17 4 17" xfId="23781"/>
    <cellStyle name="Normal 17 4 18" xfId="25533"/>
    <cellStyle name="Normal 17 4 19" xfId="27285"/>
    <cellStyle name="Normal 17 4 2" xfId="711"/>
    <cellStyle name="Normal 17 4 2 10" xfId="13392"/>
    <cellStyle name="Normal 17 4 2 11" xfId="15144"/>
    <cellStyle name="Normal 17 4 2 12" xfId="16897"/>
    <cellStyle name="Normal 17 4 2 13" xfId="18649"/>
    <cellStyle name="Normal 17 4 2 14" xfId="20402"/>
    <cellStyle name="Normal 17 4 2 15" xfId="22154"/>
    <cellStyle name="Normal 17 4 2 16" xfId="23906"/>
    <cellStyle name="Normal 17 4 2 17" xfId="25658"/>
    <cellStyle name="Normal 17 4 2 18" xfId="27410"/>
    <cellStyle name="Normal 17 4 2 19" xfId="29163"/>
    <cellStyle name="Normal 17 4 2 2" xfId="712"/>
    <cellStyle name="Normal 17 4 2 2 10" xfId="15580"/>
    <cellStyle name="Normal 17 4 2 2 11" xfId="17333"/>
    <cellStyle name="Normal 17 4 2 2 12" xfId="19085"/>
    <cellStyle name="Normal 17 4 2 2 13" xfId="20838"/>
    <cellStyle name="Normal 17 4 2 2 14" xfId="22590"/>
    <cellStyle name="Normal 17 4 2 2 15" xfId="24342"/>
    <cellStyle name="Normal 17 4 2 2 16" xfId="26094"/>
    <cellStyle name="Normal 17 4 2 2 17" xfId="27846"/>
    <cellStyle name="Normal 17 4 2 2 18" xfId="29599"/>
    <cellStyle name="Normal 17 4 2 2 19" xfId="31351"/>
    <cellStyle name="Normal 17 4 2 2 2" xfId="713"/>
    <cellStyle name="Normal 17 4 2 2 2 10" xfId="18209"/>
    <cellStyle name="Normal 17 4 2 2 2 11" xfId="19961"/>
    <cellStyle name="Normal 17 4 2 2 2 12" xfId="21714"/>
    <cellStyle name="Normal 17 4 2 2 2 13" xfId="23466"/>
    <cellStyle name="Normal 17 4 2 2 2 14" xfId="25218"/>
    <cellStyle name="Normal 17 4 2 2 2 15" xfId="26970"/>
    <cellStyle name="Normal 17 4 2 2 2 16" xfId="28722"/>
    <cellStyle name="Normal 17 4 2 2 2 17" xfId="30475"/>
    <cellStyle name="Normal 17 4 2 2 2 18" xfId="32227"/>
    <cellStyle name="Normal 17 4 2 2 2 19" xfId="33980"/>
    <cellStyle name="Normal 17 4 2 2 2 2" xfId="4191"/>
    <cellStyle name="Normal 17 4 2 2 2 20" xfId="36616"/>
    <cellStyle name="Normal 17 4 2 2 2 21" xfId="38356"/>
    <cellStyle name="Normal 17 4 2 2 2 22" xfId="40109"/>
    <cellStyle name="Normal 17 4 2 2 2 23" xfId="41864"/>
    <cellStyle name="Normal 17 4 2 2 2 24" xfId="43616"/>
    <cellStyle name="Normal 17 4 2 2 2 25" xfId="46234"/>
    <cellStyle name="Normal 17 4 2 2 2 26" xfId="47986"/>
    <cellStyle name="Normal 17 4 2 2 2 27" xfId="49738"/>
    <cellStyle name="Normal 17 4 2 2 2 28" xfId="51490"/>
    <cellStyle name="Normal 17 4 2 2 2 29" xfId="53242"/>
    <cellStyle name="Normal 17 4 2 2 2 3" xfId="5943"/>
    <cellStyle name="Normal 17 4 2 2 2 30" xfId="54994"/>
    <cellStyle name="Normal 17 4 2 2 2 31" xfId="56746"/>
    <cellStyle name="Normal 17 4 2 2 2 32" xfId="58499"/>
    <cellStyle name="Normal 17 4 2 2 2 33" xfId="60251"/>
    <cellStyle name="Normal 17 4 2 2 2 34" xfId="62003"/>
    <cellStyle name="Normal 17 4 2 2 2 4" xfId="7695"/>
    <cellStyle name="Normal 17 4 2 2 2 5" xfId="9447"/>
    <cellStyle name="Normal 17 4 2 2 2 6" xfId="11200"/>
    <cellStyle name="Normal 17 4 2 2 2 7" xfId="12952"/>
    <cellStyle name="Normal 17 4 2 2 2 8" xfId="14704"/>
    <cellStyle name="Normal 17 4 2 2 2 9" xfId="16456"/>
    <cellStyle name="Normal 17 4 2 2 20" xfId="33104"/>
    <cellStyle name="Normal 17 4 2 2 21" xfId="34311"/>
    <cellStyle name="Normal 17 4 2 2 22" xfId="35740"/>
    <cellStyle name="Normal 17 4 2 2 23" xfId="36932"/>
    <cellStyle name="Normal 17 4 2 2 24" xfId="39233"/>
    <cellStyle name="Normal 17 4 2 2 25" xfId="40988"/>
    <cellStyle name="Normal 17 4 2 2 26" xfId="42740"/>
    <cellStyle name="Normal 17 4 2 2 27" xfId="43932"/>
    <cellStyle name="Normal 17 4 2 2 28" xfId="45358"/>
    <cellStyle name="Normal 17 4 2 2 29" xfId="47110"/>
    <cellStyle name="Normal 17 4 2 2 3" xfId="3315"/>
    <cellStyle name="Normal 17 4 2 2 30" xfId="48862"/>
    <cellStyle name="Normal 17 4 2 2 31" xfId="50614"/>
    <cellStyle name="Normal 17 4 2 2 32" xfId="52366"/>
    <cellStyle name="Normal 17 4 2 2 33" xfId="54118"/>
    <cellStyle name="Normal 17 4 2 2 34" xfId="55870"/>
    <cellStyle name="Normal 17 4 2 2 35" xfId="57623"/>
    <cellStyle name="Normal 17 4 2 2 36" xfId="59375"/>
    <cellStyle name="Normal 17 4 2 2 37" xfId="61127"/>
    <cellStyle name="Normal 17 4 2 2 38" xfId="62319"/>
    <cellStyle name="Normal 17 4 2 2 39" xfId="63185"/>
    <cellStyle name="Normal 17 4 2 2 4" xfId="5067"/>
    <cellStyle name="Normal 17 4 2 2 5" xfId="6819"/>
    <cellStyle name="Normal 17 4 2 2 6" xfId="8571"/>
    <cellStyle name="Normal 17 4 2 2 7" xfId="10324"/>
    <cellStyle name="Normal 17 4 2 2 8" xfId="12076"/>
    <cellStyle name="Normal 17 4 2 2 9" xfId="13828"/>
    <cellStyle name="Normal 17 4 2 20" xfId="30915"/>
    <cellStyle name="Normal 17 4 2 21" xfId="32668"/>
    <cellStyle name="Normal 17 4 2 22" xfId="34310"/>
    <cellStyle name="Normal 17 4 2 23" xfId="35304"/>
    <cellStyle name="Normal 17 4 2 24" xfId="36931"/>
    <cellStyle name="Normal 17 4 2 25" xfId="38797"/>
    <cellStyle name="Normal 17 4 2 26" xfId="40552"/>
    <cellStyle name="Normal 17 4 2 27" xfId="42304"/>
    <cellStyle name="Normal 17 4 2 28" xfId="43931"/>
    <cellStyle name="Normal 17 4 2 29" xfId="44922"/>
    <cellStyle name="Normal 17 4 2 3" xfId="714"/>
    <cellStyle name="Normal 17 4 2 3 10" xfId="17773"/>
    <cellStyle name="Normal 17 4 2 3 11" xfId="19525"/>
    <cellStyle name="Normal 17 4 2 3 12" xfId="21278"/>
    <cellStyle name="Normal 17 4 2 3 13" xfId="23030"/>
    <cellStyle name="Normal 17 4 2 3 14" xfId="24782"/>
    <cellStyle name="Normal 17 4 2 3 15" xfId="26534"/>
    <cellStyle name="Normal 17 4 2 3 16" xfId="28286"/>
    <cellStyle name="Normal 17 4 2 3 17" xfId="30039"/>
    <cellStyle name="Normal 17 4 2 3 18" xfId="31791"/>
    <cellStyle name="Normal 17 4 2 3 19" xfId="33544"/>
    <cellStyle name="Normal 17 4 2 3 2" xfId="3755"/>
    <cellStyle name="Normal 17 4 2 3 20" xfId="36180"/>
    <cellStyle name="Normal 17 4 2 3 21" xfId="37920"/>
    <cellStyle name="Normal 17 4 2 3 22" xfId="39673"/>
    <cellStyle name="Normal 17 4 2 3 23" xfId="41428"/>
    <cellStyle name="Normal 17 4 2 3 24" xfId="43180"/>
    <cellStyle name="Normal 17 4 2 3 25" xfId="45798"/>
    <cellStyle name="Normal 17 4 2 3 26" xfId="47550"/>
    <cellStyle name="Normal 17 4 2 3 27" xfId="49302"/>
    <cellStyle name="Normal 17 4 2 3 28" xfId="51054"/>
    <cellStyle name="Normal 17 4 2 3 29" xfId="52806"/>
    <cellStyle name="Normal 17 4 2 3 3" xfId="5507"/>
    <cellStyle name="Normal 17 4 2 3 30" xfId="54558"/>
    <cellStyle name="Normal 17 4 2 3 31" xfId="56310"/>
    <cellStyle name="Normal 17 4 2 3 32" xfId="58063"/>
    <cellStyle name="Normal 17 4 2 3 33" xfId="59815"/>
    <cellStyle name="Normal 17 4 2 3 34" xfId="61567"/>
    <cellStyle name="Normal 17 4 2 3 4" xfId="7259"/>
    <cellStyle name="Normal 17 4 2 3 5" xfId="9011"/>
    <cellStyle name="Normal 17 4 2 3 6" xfId="10764"/>
    <cellStyle name="Normal 17 4 2 3 7" xfId="12516"/>
    <cellStyle name="Normal 17 4 2 3 8" xfId="14268"/>
    <cellStyle name="Normal 17 4 2 3 9" xfId="16020"/>
    <cellStyle name="Normal 17 4 2 30" xfId="46674"/>
    <cellStyle name="Normal 17 4 2 31" xfId="48426"/>
    <cellStyle name="Normal 17 4 2 32" xfId="50178"/>
    <cellStyle name="Normal 17 4 2 33" xfId="51930"/>
    <cellStyle name="Normal 17 4 2 34" xfId="53682"/>
    <cellStyle name="Normal 17 4 2 35" xfId="55434"/>
    <cellStyle name="Normal 17 4 2 36" xfId="57187"/>
    <cellStyle name="Normal 17 4 2 37" xfId="58939"/>
    <cellStyle name="Normal 17 4 2 38" xfId="60691"/>
    <cellStyle name="Normal 17 4 2 39" xfId="62318"/>
    <cellStyle name="Normal 17 4 2 4" xfId="2879"/>
    <cellStyle name="Normal 17 4 2 40" xfId="63184"/>
    <cellStyle name="Normal 17 4 2 5" xfId="4631"/>
    <cellStyle name="Normal 17 4 2 6" xfId="6383"/>
    <cellStyle name="Normal 17 4 2 7" xfId="8135"/>
    <cellStyle name="Normal 17 4 2 8" xfId="9888"/>
    <cellStyle name="Normal 17 4 2 9" xfId="11640"/>
    <cellStyle name="Normal 17 4 20" xfId="29038"/>
    <cellStyle name="Normal 17 4 21" xfId="30790"/>
    <cellStyle name="Normal 17 4 22" xfId="32543"/>
    <cellStyle name="Normal 17 4 23" xfId="34309"/>
    <cellStyle name="Normal 17 4 24" xfId="35179"/>
    <cellStyle name="Normal 17 4 25" xfId="36930"/>
    <cellStyle name="Normal 17 4 26" xfId="38672"/>
    <cellStyle name="Normal 17 4 27" xfId="40427"/>
    <cellStyle name="Normal 17 4 28" xfId="42179"/>
    <cellStyle name="Normal 17 4 29" xfId="43930"/>
    <cellStyle name="Normal 17 4 3" xfId="715"/>
    <cellStyle name="Normal 17 4 3 10" xfId="15455"/>
    <cellStyle name="Normal 17 4 3 11" xfId="17208"/>
    <cellStyle name="Normal 17 4 3 12" xfId="18960"/>
    <cellStyle name="Normal 17 4 3 13" xfId="20713"/>
    <cellStyle name="Normal 17 4 3 14" xfId="22465"/>
    <cellStyle name="Normal 17 4 3 15" xfId="24217"/>
    <cellStyle name="Normal 17 4 3 16" xfId="25969"/>
    <cellStyle name="Normal 17 4 3 17" xfId="27721"/>
    <cellStyle name="Normal 17 4 3 18" xfId="29474"/>
    <cellStyle name="Normal 17 4 3 19" xfId="31226"/>
    <cellStyle name="Normal 17 4 3 2" xfId="716"/>
    <cellStyle name="Normal 17 4 3 2 10" xfId="18084"/>
    <cellStyle name="Normal 17 4 3 2 11" xfId="19836"/>
    <cellStyle name="Normal 17 4 3 2 12" xfId="21589"/>
    <cellStyle name="Normal 17 4 3 2 13" xfId="23341"/>
    <cellStyle name="Normal 17 4 3 2 14" xfId="25093"/>
    <cellStyle name="Normal 17 4 3 2 15" xfId="26845"/>
    <cellStyle name="Normal 17 4 3 2 16" xfId="28597"/>
    <cellStyle name="Normal 17 4 3 2 17" xfId="30350"/>
    <cellStyle name="Normal 17 4 3 2 18" xfId="32102"/>
    <cellStyle name="Normal 17 4 3 2 19" xfId="33855"/>
    <cellStyle name="Normal 17 4 3 2 2" xfId="4066"/>
    <cellStyle name="Normal 17 4 3 2 20" xfId="36491"/>
    <cellStyle name="Normal 17 4 3 2 21" xfId="38231"/>
    <cellStyle name="Normal 17 4 3 2 22" xfId="39984"/>
    <cellStyle name="Normal 17 4 3 2 23" xfId="41739"/>
    <cellStyle name="Normal 17 4 3 2 24" xfId="43491"/>
    <cellStyle name="Normal 17 4 3 2 25" xfId="46109"/>
    <cellStyle name="Normal 17 4 3 2 26" xfId="47861"/>
    <cellStyle name="Normal 17 4 3 2 27" xfId="49613"/>
    <cellStyle name="Normal 17 4 3 2 28" xfId="51365"/>
    <cellStyle name="Normal 17 4 3 2 29" xfId="53117"/>
    <cellStyle name="Normal 17 4 3 2 3" xfId="5818"/>
    <cellStyle name="Normal 17 4 3 2 30" xfId="54869"/>
    <cellStyle name="Normal 17 4 3 2 31" xfId="56621"/>
    <cellStyle name="Normal 17 4 3 2 32" xfId="58374"/>
    <cellStyle name="Normal 17 4 3 2 33" xfId="60126"/>
    <cellStyle name="Normal 17 4 3 2 34" xfId="61878"/>
    <cellStyle name="Normal 17 4 3 2 4" xfId="7570"/>
    <cellStyle name="Normal 17 4 3 2 5" xfId="9322"/>
    <cellStyle name="Normal 17 4 3 2 6" xfId="11075"/>
    <cellStyle name="Normal 17 4 3 2 7" xfId="12827"/>
    <cellStyle name="Normal 17 4 3 2 8" xfId="14579"/>
    <cellStyle name="Normal 17 4 3 2 9" xfId="16331"/>
    <cellStyle name="Normal 17 4 3 20" xfId="32979"/>
    <cellStyle name="Normal 17 4 3 21" xfId="34312"/>
    <cellStyle name="Normal 17 4 3 22" xfId="35615"/>
    <cellStyle name="Normal 17 4 3 23" xfId="36933"/>
    <cellStyle name="Normal 17 4 3 24" xfId="39108"/>
    <cellStyle name="Normal 17 4 3 25" xfId="40863"/>
    <cellStyle name="Normal 17 4 3 26" xfId="42615"/>
    <cellStyle name="Normal 17 4 3 27" xfId="43933"/>
    <cellStyle name="Normal 17 4 3 28" xfId="45233"/>
    <cellStyle name="Normal 17 4 3 29" xfId="46985"/>
    <cellStyle name="Normal 17 4 3 3" xfId="3190"/>
    <cellStyle name="Normal 17 4 3 30" xfId="48737"/>
    <cellStyle name="Normal 17 4 3 31" xfId="50489"/>
    <cellStyle name="Normal 17 4 3 32" xfId="52241"/>
    <cellStyle name="Normal 17 4 3 33" xfId="53993"/>
    <cellStyle name="Normal 17 4 3 34" xfId="55745"/>
    <cellStyle name="Normal 17 4 3 35" xfId="57498"/>
    <cellStyle name="Normal 17 4 3 36" xfId="59250"/>
    <cellStyle name="Normal 17 4 3 37" xfId="61002"/>
    <cellStyle name="Normal 17 4 3 38" xfId="62320"/>
    <cellStyle name="Normal 17 4 3 39" xfId="63186"/>
    <cellStyle name="Normal 17 4 3 4" xfId="4942"/>
    <cellStyle name="Normal 17 4 3 5" xfId="6694"/>
    <cellStyle name="Normal 17 4 3 6" xfId="8446"/>
    <cellStyle name="Normal 17 4 3 7" xfId="10199"/>
    <cellStyle name="Normal 17 4 3 8" xfId="11951"/>
    <cellStyle name="Normal 17 4 3 9" xfId="13703"/>
    <cellStyle name="Normal 17 4 30" xfId="44797"/>
    <cellStyle name="Normal 17 4 31" xfId="46549"/>
    <cellStyle name="Normal 17 4 32" xfId="48301"/>
    <cellStyle name="Normal 17 4 33" xfId="50053"/>
    <cellStyle name="Normal 17 4 34" xfId="51805"/>
    <cellStyle name="Normal 17 4 35" xfId="53557"/>
    <cellStyle name="Normal 17 4 36" xfId="55309"/>
    <cellStyle name="Normal 17 4 37" xfId="57062"/>
    <cellStyle name="Normal 17 4 38" xfId="58814"/>
    <cellStyle name="Normal 17 4 39" xfId="60566"/>
    <cellStyle name="Normal 17 4 4" xfId="717"/>
    <cellStyle name="Normal 17 4 4 10" xfId="17648"/>
    <cellStyle name="Normal 17 4 4 11" xfId="19400"/>
    <cellStyle name="Normal 17 4 4 12" xfId="21153"/>
    <cellStyle name="Normal 17 4 4 13" xfId="22905"/>
    <cellStyle name="Normal 17 4 4 14" xfId="24657"/>
    <cellStyle name="Normal 17 4 4 15" xfId="26409"/>
    <cellStyle name="Normal 17 4 4 16" xfId="28161"/>
    <cellStyle name="Normal 17 4 4 17" xfId="29914"/>
    <cellStyle name="Normal 17 4 4 18" xfId="31666"/>
    <cellStyle name="Normal 17 4 4 19" xfId="33419"/>
    <cellStyle name="Normal 17 4 4 2" xfId="3630"/>
    <cellStyle name="Normal 17 4 4 20" xfId="36055"/>
    <cellStyle name="Normal 17 4 4 21" xfId="37795"/>
    <cellStyle name="Normal 17 4 4 22" xfId="39548"/>
    <cellStyle name="Normal 17 4 4 23" xfId="41303"/>
    <cellStyle name="Normal 17 4 4 24" xfId="43055"/>
    <cellStyle name="Normal 17 4 4 25" xfId="45673"/>
    <cellStyle name="Normal 17 4 4 26" xfId="47425"/>
    <cellStyle name="Normal 17 4 4 27" xfId="49177"/>
    <cellStyle name="Normal 17 4 4 28" xfId="50929"/>
    <cellStyle name="Normal 17 4 4 29" xfId="52681"/>
    <cellStyle name="Normal 17 4 4 3" xfId="5382"/>
    <cellStyle name="Normal 17 4 4 30" xfId="54433"/>
    <cellStyle name="Normal 17 4 4 31" xfId="56185"/>
    <cellStyle name="Normal 17 4 4 32" xfId="57938"/>
    <cellStyle name="Normal 17 4 4 33" xfId="59690"/>
    <cellStyle name="Normal 17 4 4 34" xfId="61442"/>
    <cellStyle name="Normal 17 4 4 4" xfId="7134"/>
    <cellStyle name="Normal 17 4 4 5" xfId="8886"/>
    <cellStyle name="Normal 17 4 4 6" xfId="10639"/>
    <cellStyle name="Normal 17 4 4 7" xfId="12391"/>
    <cellStyle name="Normal 17 4 4 8" xfId="14143"/>
    <cellStyle name="Normal 17 4 4 9" xfId="15895"/>
    <cellStyle name="Normal 17 4 40" xfId="62317"/>
    <cellStyle name="Normal 17 4 41" xfId="63183"/>
    <cellStyle name="Normal 17 4 5" xfId="2754"/>
    <cellStyle name="Normal 17 4 6" xfId="4506"/>
    <cellStyle name="Normal 17 4 7" xfId="6258"/>
    <cellStyle name="Normal 17 4 8" xfId="8010"/>
    <cellStyle name="Normal 17 4 9" xfId="9763"/>
    <cellStyle name="Normal 17 40" xfId="56954"/>
    <cellStyle name="Normal 17 41" xfId="58706"/>
    <cellStyle name="Normal 17 42" xfId="60458"/>
    <cellStyle name="Normal 17 43" xfId="62308"/>
    <cellStyle name="Normal 17 44" xfId="63174"/>
    <cellStyle name="Normal 17 5" xfId="718"/>
    <cellStyle name="Normal 17 5 10" xfId="13393"/>
    <cellStyle name="Normal 17 5 11" xfId="15145"/>
    <cellStyle name="Normal 17 5 12" xfId="16898"/>
    <cellStyle name="Normal 17 5 13" xfId="18650"/>
    <cellStyle name="Normal 17 5 14" xfId="20403"/>
    <cellStyle name="Normal 17 5 15" xfId="22155"/>
    <cellStyle name="Normal 17 5 16" xfId="23907"/>
    <cellStyle name="Normal 17 5 17" xfId="25659"/>
    <cellStyle name="Normal 17 5 18" xfId="27411"/>
    <cellStyle name="Normal 17 5 19" xfId="29164"/>
    <cellStyle name="Normal 17 5 2" xfId="719"/>
    <cellStyle name="Normal 17 5 2 10" xfId="15581"/>
    <cellStyle name="Normal 17 5 2 11" xfId="17334"/>
    <cellStyle name="Normal 17 5 2 12" xfId="19086"/>
    <cellStyle name="Normal 17 5 2 13" xfId="20839"/>
    <cellStyle name="Normal 17 5 2 14" xfId="22591"/>
    <cellStyle name="Normal 17 5 2 15" xfId="24343"/>
    <cellStyle name="Normal 17 5 2 16" xfId="26095"/>
    <cellStyle name="Normal 17 5 2 17" xfId="27847"/>
    <cellStyle name="Normal 17 5 2 18" xfId="29600"/>
    <cellStyle name="Normal 17 5 2 19" xfId="31352"/>
    <cellStyle name="Normal 17 5 2 2" xfId="720"/>
    <cellStyle name="Normal 17 5 2 2 10" xfId="18210"/>
    <cellStyle name="Normal 17 5 2 2 11" xfId="19962"/>
    <cellStyle name="Normal 17 5 2 2 12" xfId="21715"/>
    <cellStyle name="Normal 17 5 2 2 13" xfId="23467"/>
    <cellStyle name="Normal 17 5 2 2 14" xfId="25219"/>
    <cellStyle name="Normal 17 5 2 2 15" xfId="26971"/>
    <cellStyle name="Normal 17 5 2 2 16" xfId="28723"/>
    <cellStyle name="Normal 17 5 2 2 17" xfId="30476"/>
    <cellStyle name="Normal 17 5 2 2 18" xfId="32228"/>
    <cellStyle name="Normal 17 5 2 2 19" xfId="33981"/>
    <cellStyle name="Normal 17 5 2 2 2" xfId="4192"/>
    <cellStyle name="Normal 17 5 2 2 20" xfId="36617"/>
    <cellStyle name="Normal 17 5 2 2 21" xfId="38357"/>
    <cellStyle name="Normal 17 5 2 2 22" xfId="40110"/>
    <cellStyle name="Normal 17 5 2 2 23" xfId="41865"/>
    <cellStyle name="Normal 17 5 2 2 24" xfId="43617"/>
    <cellStyle name="Normal 17 5 2 2 25" xfId="46235"/>
    <cellStyle name="Normal 17 5 2 2 26" xfId="47987"/>
    <cellStyle name="Normal 17 5 2 2 27" xfId="49739"/>
    <cellStyle name="Normal 17 5 2 2 28" xfId="51491"/>
    <cellStyle name="Normal 17 5 2 2 29" xfId="53243"/>
    <cellStyle name="Normal 17 5 2 2 3" xfId="5944"/>
    <cellStyle name="Normal 17 5 2 2 30" xfId="54995"/>
    <cellStyle name="Normal 17 5 2 2 31" xfId="56747"/>
    <cellStyle name="Normal 17 5 2 2 32" xfId="58500"/>
    <cellStyle name="Normal 17 5 2 2 33" xfId="60252"/>
    <cellStyle name="Normal 17 5 2 2 34" xfId="62004"/>
    <cellStyle name="Normal 17 5 2 2 4" xfId="7696"/>
    <cellStyle name="Normal 17 5 2 2 5" xfId="9448"/>
    <cellStyle name="Normal 17 5 2 2 6" xfId="11201"/>
    <cellStyle name="Normal 17 5 2 2 7" xfId="12953"/>
    <cellStyle name="Normal 17 5 2 2 8" xfId="14705"/>
    <cellStyle name="Normal 17 5 2 2 9" xfId="16457"/>
    <cellStyle name="Normal 17 5 2 20" xfId="33105"/>
    <cellStyle name="Normal 17 5 2 21" xfId="34314"/>
    <cellStyle name="Normal 17 5 2 22" xfId="35741"/>
    <cellStyle name="Normal 17 5 2 23" xfId="36935"/>
    <cellStyle name="Normal 17 5 2 24" xfId="39234"/>
    <cellStyle name="Normal 17 5 2 25" xfId="40989"/>
    <cellStyle name="Normal 17 5 2 26" xfId="42741"/>
    <cellStyle name="Normal 17 5 2 27" xfId="43935"/>
    <cellStyle name="Normal 17 5 2 28" xfId="45359"/>
    <cellStyle name="Normal 17 5 2 29" xfId="47111"/>
    <cellStyle name="Normal 17 5 2 3" xfId="3316"/>
    <cellStyle name="Normal 17 5 2 30" xfId="48863"/>
    <cellStyle name="Normal 17 5 2 31" xfId="50615"/>
    <cellStyle name="Normal 17 5 2 32" xfId="52367"/>
    <cellStyle name="Normal 17 5 2 33" xfId="54119"/>
    <cellStyle name="Normal 17 5 2 34" xfId="55871"/>
    <cellStyle name="Normal 17 5 2 35" xfId="57624"/>
    <cellStyle name="Normal 17 5 2 36" xfId="59376"/>
    <cellStyle name="Normal 17 5 2 37" xfId="61128"/>
    <cellStyle name="Normal 17 5 2 38" xfId="62322"/>
    <cellStyle name="Normal 17 5 2 39" xfId="63188"/>
    <cellStyle name="Normal 17 5 2 4" xfId="5068"/>
    <cellStyle name="Normal 17 5 2 5" xfId="6820"/>
    <cellStyle name="Normal 17 5 2 6" xfId="8572"/>
    <cellStyle name="Normal 17 5 2 7" xfId="10325"/>
    <cellStyle name="Normal 17 5 2 8" xfId="12077"/>
    <cellStyle name="Normal 17 5 2 9" xfId="13829"/>
    <cellStyle name="Normal 17 5 20" xfId="30916"/>
    <cellStyle name="Normal 17 5 21" xfId="32669"/>
    <cellStyle name="Normal 17 5 22" xfId="34313"/>
    <cellStyle name="Normal 17 5 23" xfId="35305"/>
    <cellStyle name="Normal 17 5 24" xfId="36934"/>
    <cellStyle name="Normal 17 5 25" xfId="38798"/>
    <cellStyle name="Normal 17 5 26" xfId="40553"/>
    <cellStyle name="Normal 17 5 27" xfId="42305"/>
    <cellStyle name="Normal 17 5 28" xfId="43934"/>
    <cellStyle name="Normal 17 5 29" xfId="44923"/>
    <cellStyle name="Normal 17 5 3" xfId="721"/>
    <cellStyle name="Normal 17 5 3 10" xfId="17774"/>
    <cellStyle name="Normal 17 5 3 11" xfId="19526"/>
    <cellStyle name="Normal 17 5 3 12" xfId="21279"/>
    <cellStyle name="Normal 17 5 3 13" xfId="23031"/>
    <cellStyle name="Normal 17 5 3 14" xfId="24783"/>
    <cellStyle name="Normal 17 5 3 15" xfId="26535"/>
    <cellStyle name="Normal 17 5 3 16" xfId="28287"/>
    <cellStyle name="Normal 17 5 3 17" xfId="30040"/>
    <cellStyle name="Normal 17 5 3 18" xfId="31792"/>
    <cellStyle name="Normal 17 5 3 19" xfId="33545"/>
    <cellStyle name="Normal 17 5 3 2" xfId="3756"/>
    <cellStyle name="Normal 17 5 3 20" xfId="36181"/>
    <cellStyle name="Normal 17 5 3 21" xfId="37921"/>
    <cellStyle name="Normal 17 5 3 22" xfId="39674"/>
    <cellStyle name="Normal 17 5 3 23" xfId="41429"/>
    <cellStyle name="Normal 17 5 3 24" xfId="43181"/>
    <cellStyle name="Normal 17 5 3 25" xfId="45799"/>
    <cellStyle name="Normal 17 5 3 26" xfId="47551"/>
    <cellStyle name="Normal 17 5 3 27" xfId="49303"/>
    <cellStyle name="Normal 17 5 3 28" xfId="51055"/>
    <cellStyle name="Normal 17 5 3 29" xfId="52807"/>
    <cellStyle name="Normal 17 5 3 3" xfId="5508"/>
    <cellStyle name="Normal 17 5 3 30" xfId="54559"/>
    <cellStyle name="Normal 17 5 3 31" xfId="56311"/>
    <cellStyle name="Normal 17 5 3 32" xfId="58064"/>
    <cellStyle name="Normal 17 5 3 33" xfId="59816"/>
    <cellStyle name="Normal 17 5 3 34" xfId="61568"/>
    <cellStyle name="Normal 17 5 3 4" xfId="7260"/>
    <cellStyle name="Normal 17 5 3 5" xfId="9012"/>
    <cellStyle name="Normal 17 5 3 6" xfId="10765"/>
    <cellStyle name="Normal 17 5 3 7" xfId="12517"/>
    <cellStyle name="Normal 17 5 3 8" xfId="14269"/>
    <cellStyle name="Normal 17 5 3 9" xfId="16021"/>
    <cellStyle name="Normal 17 5 30" xfId="46675"/>
    <cellStyle name="Normal 17 5 31" xfId="48427"/>
    <cellStyle name="Normal 17 5 32" xfId="50179"/>
    <cellStyle name="Normal 17 5 33" xfId="51931"/>
    <cellStyle name="Normal 17 5 34" xfId="53683"/>
    <cellStyle name="Normal 17 5 35" xfId="55435"/>
    <cellStyle name="Normal 17 5 36" xfId="57188"/>
    <cellStyle name="Normal 17 5 37" xfId="58940"/>
    <cellStyle name="Normal 17 5 38" xfId="60692"/>
    <cellStyle name="Normal 17 5 39" xfId="62321"/>
    <cellStyle name="Normal 17 5 4" xfId="2880"/>
    <cellStyle name="Normal 17 5 40" xfId="63187"/>
    <cellStyle name="Normal 17 5 5" xfId="4632"/>
    <cellStyle name="Normal 17 5 6" xfId="6384"/>
    <cellStyle name="Normal 17 5 7" xfId="8136"/>
    <cellStyle name="Normal 17 5 8" xfId="9889"/>
    <cellStyle name="Normal 17 5 9" xfId="11641"/>
    <cellStyle name="Normal 17 6" xfId="722"/>
    <cellStyle name="Normal 17 6 10" xfId="15347"/>
    <cellStyle name="Normal 17 6 11" xfId="17100"/>
    <cellStyle name="Normal 17 6 12" xfId="18852"/>
    <cellStyle name="Normal 17 6 13" xfId="20605"/>
    <cellStyle name="Normal 17 6 14" xfId="22357"/>
    <cellStyle name="Normal 17 6 15" xfId="24109"/>
    <cellStyle name="Normal 17 6 16" xfId="25861"/>
    <cellStyle name="Normal 17 6 17" xfId="27613"/>
    <cellStyle name="Normal 17 6 18" xfId="29366"/>
    <cellStyle name="Normal 17 6 19" xfId="31118"/>
    <cellStyle name="Normal 17 6 2" xfId="723"/>
    <cellStyle name="Normal 17 6 2 10" xfId="17976"/>
    <cellStyle name="Normal 17 6 2 11" xfId="19728"/>
    <cellStyle name="Normal 17 6 2 12" xfId="21481"/>
    <cellStyle name="Normal 17 6 2 13" xfId="23233"/>
    <cellStyle name="Normal 17 6 2 14" xfId="24985"/>
    <cellStyle name="Normal 17 6 2 15" xfId="26737"/>
    <cellStyle name="Normal 17 6 2 16" xfId="28489"/>
    <cellStyle name="Normal 17 6 2 17" xfId="30242"/>
    <cellStyle name="Normal 17 6 2 18" xfId="31994"/>
    <cellStyle name="Normal 17 6 2 19" xfId="33747"/>
    <cellStyle name="Normal 17 6 2 2" xfId="3958"/>
    <cellStyle name="Normal 17 6 2 20" xfId="36383"/>
    <cellStyle name="Normal 17 6 2 21" xfId="38123"/>
    <cellStyle name="Normal 17 6 2 22" xfId="39876"/>
    <cellStyle name="Normal 17 6 2 23" xfId="41631"/>
    <cellStyle name="Normal 17 6 2 24" xfId="43383"/>
    <cellStyle name="Normal 17 6 2 25" xfId="46001"/>
    <cellStyle name="Normal 17 6 2 26" xfId="47753"/>
    <cellStyle name="Normal 17 6 2 27" xfId="49505"/>
    <cellStyle name="Normal 17 6 2 28" xfId="51257"/>
    <cellStyle name="Normal 17 6 2 29" xfId="53009"/>
    <cellStyle name="Normal 17 6 2 3" xfId="5710"/>
    <cellStyle name="Normal 17 6 2 30" xfId="54761"/>
    <cellStyle name="Normal 17 6 2 31" xfId="56513"/>
    <cellStyle name="Normal 17 6 2 32" xfId="58266"/>
    <cellStyle name="Normal 17 6 2 33" xfId="60018"/>
    <cellStyle name="Normal 17 6 2 34" xfId="61770"/>
    <cellStyle name="Normal 17 6 2 4" xfId="7462"/>
    <cellStyle name="Normal 17 6 2 5" xfId="9214"/>
    <cellStyle name="Normal 17 6 2 6" xfId="10967"/>
    <cellStyle name="Normal 17 6 2 7" xfId="12719"/>
    <cellStyle name="Normal 17 6 2 8" xfId="14471"/>
    <cellStyle name="Normal 17 6 2 9" xfId="16223"/>
    <cellStyle name="Normal 17 6 20" xfId="32871"/>
    <cellStyle name="Normal 17 6 21" xfId="34315"/>
    <cellStyle name="Normal 17 6 22" xfId="35507"/>
    <cellStyle name="Normal 17 6 23" xfId="36936"/>
    <cellStyle name="Normal 17 6 24" xfId="39000"/>
    <cellStyle name="Normal 17 6 25" xfId="40755"/>
    <cellStyle name="Normal 17 6 26" xfId="42507"/>
    <cellStyle name="Normal 17 6 27" xfId="43936"/>
    <cellStyle name="Normal 17 6 28" xfId="45125"/>
    <cellStyle name="Normal 17 6 29" xfId="46877"/>
    <cellStyle name="Normal 17 6 3" xfId="3082"/>
    <cellStyle name="Normal 17 6 30" xfId="48629"/>
    <cellStyle name="Normal 17 6 31" xfId="50381"/>
    <cellStyle name="Normal 17 6 32" xfId="52133"/>
    <cellStyle name="Normal 17 6 33" xfId="53885"/>
    <cellStyle name="Normal 17 6 34" xfId="55637"/>
    <cellStyle name="Normal 17 6 35" xfId="57390"/>
    <cellStyle name="Normal 17 6 36" xfId="59142"/>
    <cellStyle name="Normal 17 6 37" xfId="60894"/>
    <cellStyle name="Normal 17 6 38" xfId="62323"/>
    <cellStyle name="Normal 17 6 39" xfId="63189"/>
    <cellStyle name="Normal 17 6 4" xfId="4834"/>
    <cellStyle name="Normal 17 6 5" xfId="6586"/>
    <cellStyle name="Normal 17 6 6" xfId="8338"/>
    <cellStyle name="Normal 17 6 7" xfId="10091"/>
    <cellStyle name="Normal 17 6 8" xfId="11843"/>
    <cellStyle name="Normal 17 6 9" xfId="13595"/>
    <cellStyle name="Normal 17 7" xfId="724"/>
    <cellStyle name="Normal 17 7 10" xfId="17540"/>
    <cellStyle name="Normal 17 7 11" xfId="19292"/>
    <cellStyle name="Normal 17 7 12" xfId="21045"/>
    <cellStyle name="Normal 17 7 13" xfId="22797"/>
    <cellStyle name="Normal 17 7 14" xfId="24549"/>
    <cellStyle name="Normal 17 7 15" xfId="26301"/>
    <cellStyle name="Normal 17 7 16" xfId="28053"/>
    <cellStyle name="Normal 17 7 17" xfId="29806"/>
    <cellStyle name="Normal 17 7 18" xfId="31558"/>
    <cellStyle name="Normal 17 7 19" xfId="33311"/>
    <cellStyle name="Normal 17 7 2" xfId="3522"/>
    <cellStyle name="Normal 17 7 20" xfId="35947"/>
    <cellStyle name="Normal 17 7 21" xfId="37690"/>
    <cellStyle name="Normal 17 7 22" xfId="39440"/>
    <cellStyle name="Normal 17 7 23" xfId="41195"/>
    <cellStyle name="Normal 17 7 24" xfId="42947"/>
    <cellStyle name="Normal 17 7 25" xfId="45565"/>
    <cellStyle name="Normal 17 7 26" xfId="47317"/>
    <cellStyle name="Normal 17 7 27" xfId="49069"/>
    <cellStyle name="Normal 17 7 28" xfId="50821"/>
    <cellStyle name="Normal 17 7 29" xfId="52573"/>
    <cellStyle name="Normal 17 7 3" xfId="5274"/>
    <cellStyle name="Normal 17 7 30" xfId="54325"/>
    <cellStyle name="Normal 17 7 31" xfId="56077"/>
    <cellStyle name="Normal 17 7 32" xfId="57830"/>
    <cellStyle name="Normal 17 7 33" xfId="59582"/>
    <cellStyle name="Normal 17 7 34" xfId="61334"/>
    <cellStyle name="Normal 17 7 4" xfId="7026"/>
    <cellStyle name="Normal 17 7 5" xfId="8778"/>
    <cellStyle name="Normal 17 7 6" xfId="10531"/>
    <cellStyle name="Normal 17 7 7" xfId="12283"/>
    <cellStyle name="Normal 17 7 8" xfId="14035"/>
    <cellStyle name="Normal 17 7 9" xfId="15787"/>
    <cellStyle name="Normal 17 8" xfId="2474"/>
    <cellStyle name="Normal 17 9" xfId="4398"/>
    <cellStyle name="Normal 18" xfId="725"/>
    <cellStyle name="Normal 19" xfId="726"/>
    <cellStyle name="Normal 2" xfId="727"/>
    <cellStyle name="Normal 2 10" xfId="728"/>
    <cellStyle name="Normal 2 10 10" xfId="7903"/>
    <cellStyle name="Normal 2 10 11" xfId="9656"/>
    <cellStyle name="Normal 2 10 12" xfId="11408"/>
    <cellStyle name="Normal 2 10 13" xfId="13160"/>
    <cellStyle name="Normal 2 10 14" xfId="14912"/>
    <cellStyle name="Normal 2 10 15" xfId="16665"/>
    <cellStyle name="Normal 2 10 16" xfId="18417"/>
    <cellStyle name="Normal 2 10 17" xfId="20170"/>
    <cellStyle name="Normal 2 10 18" xfId="21922"/>
    <cellStyle name="Normal 2 10 19" xfId="23674"/>
    <cellStyle name="Normal 2 10 2" xfId="729"/>
    <cellStyle name="Normal 2 10 2 10" xfId="9711"/>
    <cellStyle name="Normal 2 10 2 11" xfId="11463"/>
    <cellStyle name="Normal 2 10 2 12" xfId="13215"/>
    <cellStyle name="Normal 2 10 2 13" xfId="14967"/>
    <cellStyle name="Normal 2 10 2 14" xfId="16720"/>
    <cellStyle name="Normal 2 10 2 15" xfId="18472"/>
    <cellStyle name="Normal 2 10 2 16" xfId="20225"/>
    <cellStyle name="Normal 2 10 2 17" xfId="21977"/>
    <cellStyle name="Normal 2 10 2 18" xfId="23729"/>
    <cellStyle name="Normal 2 10 2 19" xfId="25481"/>
    <cellStyle name="Normal 2 10 2 2" xfId="730"/>
    <cellStyle name="Normal 2 10 2 2 10" xfId="11571"/>
    <cellStyle name="Normal 2 10 2 2 11" xfId="13323"/>
    <cellStyle name="Normal 2 10 2 2 12" xfId="15075"/>
    <cellStyle name="Normal 2 10 2 2 13" xfId="16828"/>
    <cellStyle name="Normal 2 10 2 2 14" xfId="18580"/>
    <cellStyle name="Normal 2 10 2 2 15" xfId="20333"/>
    <cellStyle name="Normal 2 10 2 2 16" xfId="22085"/>
    <cellStyle name="Normal 2 10 2 2 17" xfId="23837"/>
    <cellStyle name="Normal 2 10 2 2 18" xfId="25589"/>
    <cellStyle name="Normal 2 10 2 2 19" xfId="27341"/>
    <cellStyle name="Normal 2 10 2 2 2" xfId="731"/>
    <cellStyle name="Normal 2 10 2 2 2 10" xfId="13394"/>
    <cellStyle name="Normal 2 10 2 2 2 11" xfId="15146"/>
    <cellStyle name="Normal 2 10 2 2 2 12" xfId="16899"/>
    <cellStyle name="Normal 2 10 2 2 2 13" xfId="18651"/>
    <cellStyle name="Normal 2 10 2 2 2 14" xfId="20404"/>
    <cellStyle name="Normal 2 10 2 2 2 15" xfId="22156"/>
    <cellStyle name="Normal 2 10 2 2 2 16" xfId="23908"/>
    <cellStyle name="Normal 2 10 2 2 2 17" xfId="25660"/>
    <cellStyle name="Normal 2 10 2 2 2 18" xfId="27412"/>
    <cellStyle name="Normal 2 10 2 2 2 19" xfId="29165"/>
    <cellStyle name="Normal 2 10 2 2 2 2" xfId="732"/>
    <cellStyle name="Normal 2 10 2 2 2 2 10" xfId="15582"/>
    <cellStyle name="Normal 2 10 2 2 2 2 11" xfId="17335"/>
    <cellStyle name="Normal 2 10 2 2 2 2 12" xfId="19087"/>
    <cellStyle name="Normal 2 10 2 2 2 2 13" xfId="20840"/>
    <cellStyle name="Normal 2 10 2 2 2 2 14" xfId="22592"/>
    <cellStyle name="Normal 2 10 2 2 2 2 15" xfId="24344"/>
    <cellStyle name="Normal 2 10 2 2 2 2 16" xfId="26096"/>
    <cellStyle name="Normal 2 10 2 2 2 2 17" xfId="27848"/>
    <cellStyle name="Normal 2 10 2 2 2 2 18" xfId="29601"/>
    <cellStyle name="Normal 2 10 2 2 2 2 19" xfId="31353"/>
    <cellStyle name="Normal 2 10 2 2 2 2 2" xfId="733"/>
    <cellStyle name="Normal 2 10 2 2 2 2 2 10" xfId="18211"/>
    <cellStyle name="Normal 2 10 2 2 2 2 2 11" xfId="19963"/>
    <cellStyle name="Normal 2 10 2 2 2 2 2 12" xfId="21716"/>
    <cellStyle name="Normal 2 10 2 2 2 2 2 13" xfId="23468"/>
    <cellStyle name="Normal 2 10 2 2 2 2 2 14" xfId="25220"/>
    <cellStyle name="Normal 2 10 2 2 2 2 2 15" xfId="26972"/>
    <cellStyle name="Normal 2 10 2 2 2 2 2 16" xfId="28724"/>
    <cellStyle name="Normal 2 10 2 2 2 2 2 17" xfId="30477"/>
    <cellStyle name="Normal 2 10 2 2 2 2 2 18" xfId="32229"/>
    <cellStyle name="Normal 2 10 2 2 2 2 2 19" xfId="33982"/>
    <cellStyle name="Normal 2 10 2 2 2 2 2 2" xfId="4193"/>
    <cellStyle name="Normal 2 10 2 2 2 2 2 20" xfId="36618"/>
    <cellStyle name="Normal 2 10 2 2 2 2 2 21" xfId="38358"/>
    <cellStyle name="Normal 2 10 2 2 2 2 2 22" xfId="40111"/>
    <cellStyle name="Normal 2 10 2 2 2 2 2 23" xfId="41866"/>
    <cellStyle name="Normal 2 10 2 2 2 2 2 24" xfId="43618"/>
    <cellStyle name="Normal 2 10 2 2 2 2 2 25" xfId="46236"/>
    <cellStyle name="Normal 2 10 2 2 2 2 2 26" xfId="47988"/>
    <cellStyle name="Normal 2 10 2 2 2 2 2 27" xfId="49740"/>
    <cellStyle name="Normal 2 10 2 2 2 2 2 28" xfId="51492"/>
    <cellStyle name="Normal 2 10 2 2 2 2 2 29" xfId="53244"/>
    <cellStyle name="Normal 2 10 2 2 2 2 2 3" xfId="5945"/>
    <cellStyle name="Normal 2 10 2 2 2 2 2 30" xfId="54996"/>
    <cellStyle name="Normal 2 10 2 2 2 2 2 31" xfId="56748"/>
    <cellStyle name="Normal 2 10 2 2 2 2 2 32" xfId="58501"/>
    <cellStyle name="Normal 2 10 2 2 2 2 2 33" xfId="60253"/>
    <cellStyle name="Normal 2 10 2 2 2 2 2 34" xfId="62005"/>
    <cellStyle name="Normal 2 10 2 2 2 2 2 4" xfId="7697"/>
    <cellStyle name="Normal 2 10 2 2 2 2 2 5" xfId="9449"/>
    <cellStyle name="Normal 2 10 2 2 2 2 2 6" xfId="11202"/>
    <cellStyle name="Normal 2 10 2 2 2 2 2 7" xfId="12954"/>
    <cellStyle name="Normal 2 10 2 2 2 2 2 8" xfId="14706"/>
    <cellStyle name="Normal 2 10 2 2 2 2 2 9" xfId="16458"/>
    <cellStyle name="Normal 2 10 2 2 2 2 20" xfId="33106"/>
    <cellStyle name="Normal 2 10 2 2 2 2 21" xfId="34320"/>
    <cellStyle name="Normal 2 10 2 2 2 2 22" xfId="35742"/>
    <cellStyle name="Normal 2 10 2 2 2 2 23" xfId="36941"/>
    <cellStyle name="Normal 2 10 2 2 2 2 24" xfId="39235"/>
    <cellStyle name="Normal 2 10 2 2 2 2 25" xfId="40990"/>
    <cellStyle name="Normal 2 10 2 2 2 2 26" xfId="42742"/>
    <cellStyle name="Normal 2 10 2 2 2 2 27" xfId="43941"/>
    <cellStyle name="Normal 2 10 2 2 2 2 28" xfId="45360"/>
    <cellStyle name="Normal 2 10 2 2 2 2 29" xfId="47112"/>
    <cellStyle name="Normal 2 10 2 2 2 2 3" xfId="3317"/>
    <cellStyle name="Normal 2 10 2 2 2 2 30" xfId="48864"/>
    <cellStyle name="Normal 2 10 2 2 2 2 31" xfId="50616"/>
    <cellStyle name="Normal 2 10 2 2 2 2 32" xfId="52368"/>
    <cellStyle name="Normal 2 10 2 2 2 2 33" xfId="54120"/>
    <cellStyle name="Normal 2 10 2 2 2 2 34" xfId="55872"/>
    <cellStyle name="Normal 2 10 2 2 2 2 35" xfId="57625"/>
    <cellStyle name="Normal 2 10 2 2 2 2 36" xfId="59377"/>
    <cellStyle name="Normal 2 10 2 2 2 2 37" xfId="61129"/>
    <cellStyle name="Normal 2 10 2 2 2 2 38" xfId="62328"/>
    <cellStyle name="Normal 2 10 2 2 2 2 39" xfId="63194"/>
    <cellStyle name="Normal 2 10 2 2 2 2 4" xfId="5069"/>
    <cellStyle name="Normal 2 10 2 2 2 2 5" xfId="6821"/>
    <cellStyle name="Normal 2 10 2 2 2 2 6" xfId="8573"/>
    <cellStyle name="Normal 2 10 2 2 2 2 7" xfId="10326"/>
    <cellStyle name="Normal 2 10 2 2 2 2 8" xfId="12078"/>
    <cellStyle name="Normal 2 10 2 2 2 2 9" xfId="13830"/>
    <cellStyle name="Normal 2 10 2 2 2 20" xfId="30917"/>
    <cellStyle name="Normal 2 10 2 2 2 21" xfId="32670"/>
    <cellStyle name="Normal 2 10 2 2 2 22" xfId="34319"/>
    <cellStyle name="Normal 2 10 2 2 2 23" xfId="35306"/>
    <cellStyle name="Normal 2 10 2 2 2 24" xfId="36940"/>
    <cellStyle name="Normal 2 10 2 2 2 25" xfId="38799"/>
    <cellStyle name="Normal 2 10 2 2 2 26" xfId="40554"/>
    <cellStyle name="Normal 2 10 2 2 2 27" xfId="42306"/>
    <cellStyle name="Normal 2 10 2 2 2 28" xfId="43940"/>
    <cellStyle name="Normal 2 10 2 2 2 29" xfId="44924"/>
    <cellStyle name="Normal 2 10 2 2 2 3" xfId="734"/>
    <cellStyle name="Normal 2 10 2 2 2 3 10" xfId="17775"/>
    <cellStyle name="Normal 2 10 2 2 2 3 11" xfId="19527"/>
    <cellStyle name="Normal 2 10 2 2 2 3 12" xfId="21280"/>
    <cellStyle name="Normal 2 10 2 2 2 3 13" xfId="23032"/>
    <cellStyle name="Normal 2 10 2 2 2 3 14" xfId="24784"/>
    <cellStyle name="Normal 2 10 2 2 2 3 15" xfId="26536"/>
    <cellStyle name="Normal 2 10 2 2 2 3 16" xfId="28288"/>
    <cellStyle name="Normal 2 10 2 2 2 3 17" xfId="30041"/>
    <cellStyle name="Normal 2 10 2 2 2 3 18" xfId="31793"/>
    <cellStyle name="Normal 2 10 2 2 2 3 19" xfId="33546"/>
    <cellStyle name="Normal 2 10 2 2 2 3 2" xfId="3757"/>
    <cellStyle name="Normal 2 10 2 2 2 3 20" xfId="36182"/>
    <cellStyle name="Normal 2 10 2 2 2 3 21" xfId="37922"/>
    <cellStyle name="Normal 2 10 2 2 2 3 22" xfId="39675"/>
    <cellStyle name="Normal 2 10 2 2 2 3 23" xfId="41430"/>
    <cellStyle name="Normal 2 10 2 2 2 3 24" xfId="43182"/>
    <cellStyle name="Normal 2 10 2 2 2 3 25" xfId="45800"/>
    <cellStyle name="Normal 2 10 2 2 2 3 26" xfId="47552"/>
    <cellStyle name="Normal 2 10 2 2 2 3 27" xfId="49304"/>
    <cellStyle name="Normal 2 10 2 2 2 3 28" xfId="51056"/>
    <cellStyle name="Normal 2 10 2 2 2 3 29" xfId="52808"/>
    <cellStyle name="Normal 2 10 2 2 2 3 3" xfId="5509"/>
    <cellStyle name="Normal 2 10 2 2 2 3 30" xfId="54560"/>
    <cellStyle name="Normal 2 10 2 2 2 3 31" xfId="56312"/>
    <cellStyle name="Normal 2 10 2 2 2 3 32" xfId="58065"/>
    <cellStyle name="Normal 2 10 2 2 2 3 33" xfId="59817"/>
    <cellStyle name="Normal 2 10 2 2 2 3 34" xfId="61569"/>
    <cellStyle name="Normal 2 10 2 2 2 3 4" xfId="7261"/>
    <cellStyle name="Normal 2 10 2 2 2 3 5" xfId="9013"/>
    <cellStyle name="Normal 2 10 2 2 2 3 6" xfId="10766"/>
    <cellStyle name="Normal 2 10 2 2 2 3 7" xfId="12518"/>
    <cellStyle name="Normal 2 10 2 2 2 3 8" xfId="14270"/>
    <cellStyle name="Normal 2 10 2 2 2 3 9" xfId="16022"/>
    <cellStyle name="Normal 2 10 2 2 2 30" xfId="46676"/>
    <cellStyle name="Normal 2 10 2 2 2 31" xfId="48428"/>
    <cellStyle name="Normal 2 10 2 2 2 32" xfId="50180"/>
    <cellStyle name="Normal 2 10 2 2 2 33" xfId="51932"/>
    <cellStyle name="Normal 2 10 2 2 2 34" xfId="53684"/>
    <cellStyle name="Normal 2 10 2 2 2 35" xfId="55436"/>
    <cellStyle name="Normal 2 10 2 2 2 36" xfId="57189"/>
    <cellStyle name="Normal 2 10 2 2 2 37" xfId="58941"/>
    <cellStyle name="Normal 2 10 2 2 2 38" xfId="60693"/>
    <cellStyle name="Normal 2 10 2 2 2 39" xfId="62327"/>
    <cellStyle name="Normal 2 10 2 2 2 4" xfId="2881"/>
    <cellStyle name="Normal 2 10 2 2 2 40" xfId="63193"/>
    <cellStyle name="Normal 2 10 2 2 2 5" xfId="4633"/>
    <cellStyle name="Normal 2 10 2 2 2 6" xfId="6385"/>
    <cellStyle name="Normal 2 10 2 2 2 7" xfId="8137"/>
    <cellStyle name="Normal 2 10 2 2 2 8" xfId="9890"/>
    <cellStyle name="Normal 2 10 2 2 2 9" xfId="11642"/>
    <cellStyle name="Normal 2 10 2 2 20" xfId="29094"/>
    <cellStyle name="Normal 2 10 2 2 21" xfId="30846"/>
    <cellStyle name="Normal 2 10 2 2 22" xfId="32599"/>
    <cellStyle name="Normal 2 10 2 2 23" xfId="34318"/>
    <cellStyle name="Normal 2 10 2 2 24" xfId="35235"/>
    <cellStyle name="Normal 2 10 2 2 25" xfId="36939"/>
    <cellStyle name="Normal 2 10 2 2 26" xfId="38728"/>
    <cellStyle name="Normal 2 10 2 2 27" xfId="40483"/>
    <cellStyle name="Normal 2 10 2 2 28" xfId="42235"/>
    <cellStyle name="Normal 2 10 2 2 29" xfId="43939"/>
    <cellStyle name="Normal 2 10 2 2 3" xfId="735"/>
    <cellStyle name="Normal 2 10 2 2 3 10" xfId="15511"/>
    <cellStyle name="Normal 2 10 2 2 3 11" xfId="17264"/>
    <cellStyle name="Normal 2 10 2 2 3 12" xfId="19016"/>
    <cellStyle name="Normal 2 10 2 2 3 13" xfId="20769"/>
    <cellStyle name="Normal 2 10 2 2 3 14" xfId="22521"/>
    <cellStyle name="Normal 2 10 2 2 3 15" xfId="24273"/>
    <cellStyle name="Normal 2 10 2 2 3 16" xfId="26025"/>
    <cellStyle name="Normal 2 10 2 2 3 17" xfId="27777"/>
    <cellStyle name="Normal 2 10 2 2 3 18" xfId="29530"/>
    <cellStyle name="Normal 2 10 2 2 3 19" xfId="31282"/>
    <cellStyle name="Normal 2 10 2 2 3 2" xfId="736"/>
    <cellStyle name="Normal 2 10 2 2 3 2 10" xfId="18140"/>
    <cellStyle name="Normal 2 10 2 2 3 2 11" xfId="19892"/>
    <cellStyle name="Normal 2 10 2 2 3 2 12" xfId="21645"/>
    <cellStyle name="Normal 2 10 2 2 3 2 13" xfId="23397"/>
    <cellStyle name="Normal 2 10 2 2 3 2 14" xfId="25149"/>
    <cellStyle name="Normal 2 10 2 2 3 2 15" xfId="26901"/>
    <cellStyle name="Normal 2 10 2 2 3 2 16" xfId="28653"/>
    <cellStyle name="Normal 2 10 2 2 3 2 17" xfId="30406"/>
    <cellStyle name="Normal 2 10 2 2 3 2 18" xfId="32158"/>
    <cellStyle name="Normal 2 10 2 2 3 2 19" xfId="33911"/>
    <cellStyle name="Normal 2 10 2 2 3 2 2" xfId="4122"/>
    <cellStyle name="Normal 2 10 2 2 3 2 20" xfId="36547"/>
    <cellStyle name="Normal 2 10 2 2 3 2 21" xfId="38287"/>
    <cellStyle name="Normal 2 10 2 2 3 2 22" xfId="40040"/>
    <cellStyle name="Normal 2 10 2 2 3 2 23" xfId="41795"/>
    <cellStyle name="Normal 2 10 2 2 3 2 24" xfId="43547"/>
    <cellStyle name="Normal 2 10 2 2 3 2 25" xfId="46165"/>
    <cellStyle name="Normal 2 10 2 2 3 2 26" xfId="47917"/>
    <cellStyle name="Normal 2 10 2 2 3 2 27" xfId="49669"/>
    <cellStyle name="Normal 2 10 2 2 3 2 28" xfId="51421"/>
    <cellStyle name="Normal 2 10 2 2 3 2 29" xfId="53173"/>
    <cellStyle name="Normal 2 10 2 2 3 2 3" xfId="5874"/>
    <cellStyle name="Normal 2 10 2 2 3 2 30" xfId="54925"/>
    <cellStyle name="Normal 2 10 2 2 3 2 31" xfId="56677"/>
    <cellStyle name="Normal 2 10 2 2 3 2 32" xfId="58430"/>
    <cellStyle name="Normal 2 10 2 2 3 2 33" xfId="60182"/>
    <cellStyle name="Normal 2 10 2 2 3 2 34" xfId="61934"/>
    <cellStyle name="Normal 2 10 2 2 3 2 4" xfId="7626"/>
    <cellStyle name="Normal 2 10 2 2 3 2 5" xfId="9378"/>
    <cellStyle name="Normal 2 10 2 2 3 2 6" xfId="11131"/>
    <cellStyle name="Normal 2 10 2 2 3 2 7" xfId="12883"/>
    <cellStyle name="Normal 2 10 2 2 3 2 8" xfId="14635"/>
    <cellStyle name="Normal 2 10 2 2 3 2 9" xfId="16387"/>
    <cellStyle name="Normal 2 10 2 2 3 20" xfId="33035"/>
    <cellStyle name="Normal 2 10 2 2 3 21" xfId="34321"/>
    <cellStyle name="Normal 2 10 2 2 3 22" xfId="35671"/>
    <cellStyle name="Normal 2 10 2 2 3 23" xfId="36942"/>
    <cellStyle name="Normal 2 10 2 2 3 24" xfId="39164"/>
    <cellStyle name="Normal 2 10 2 2 3 25" xfId="40919"/>
    <cellStyle name="Normal 2 10 2 2 3 26" xfId="42671"/>
    <cellStyle name="Normal 2 10 2 2 3 27" xfId="43942"/>
    <cellStyle name="Normal 2 10 2 2 3 28" xfId="45289"/>
    <cellStyle name="Normal 2 10 2 2 3 29" xfId="47041"/>
    <cellStyle name="Normal 2 10 2 2 3 3" xfId="3246"/>
    <cellStyle name="Normal 2 10 2 2 3 30" xfId="48793"/>
    <cellStyle name="Normal 2 10 2 2 3 31" xfId="50545"/>
    <cellStyle name="Normal 2 10 2 2 3 32" xfId="52297"/>
    <cellStyle name="Normal 2 10 2 2 3 33" xfId="54049"/>
    <cellStyle name="Normal 2 10 2 2 3 34" xfId="55801"/>
    <cellStyle name="Normal 2 10 2 2 3 35" xfId="57554"/>
    <cellStyle name="Normal 2 10 2 2 3 36" xfId="59306"/>
    <cellStyle name="Normal 2 10 2 2 3 37" xfId="61058"/>
    <cellStyle name="Normal 2 10 2 2 3 38" xfId="62329"/>
    <cellStyle name="Normal 2 10 2 2 3 39" xfId="63195"/>
    <cellStyle name="Normal 2 10 2 2 3 4" xfId="4998"/>
    <cellStyle name="Normal 2 10 2 2 3 5" xfId="6750"/>
    <cellStyle name="Normal 2 10 2 2 3 6" xfId="8502"/>
    <cellStyle name="Normal 2 10 2 2 3 7" xfId="10255"/>
    <cellStyle name="Normal 2 10 2 2 3 8" xfId="12007"/>
    <cellStyle name="Normal 2 10 2 2 3 9" xfId="13759"/>
    <cellStyle name="Normal 2 10 2 2 30" xfId="44853"/>
    <cellStyle name="Normal 2 10 2 2 31" xfId="46605"/>
    <cellStyle name="Normal 2 10 2 2 32" xfId="48357"/>
    <cellStyle name="Normal 2 10 2 2 33" xfId="50109"/>
    <cellStyle name="Normal 2 10 2 2 34" xfId="51861"/>
    <cellStyle name="Normal 2 10 2 2 35" xfId="53613"/>
    <cellStyle name="Normal 2 10 2 2 36" xfId="55365"/>
    <cellStyle name="Normal 2 10 2 2 37" xfId="57118"/>
    <cellStyle name="Normal 2 10 2 2 38" xfId="58870"/>
    <cellStyle name="Normal 2 10 2 2 39" xfId="60622"/>
    <cellStyle name="Normal 2 10 2 2 4" xfId="737"/>
    <cellStyle name="Normal 2 10 2 2 4 10" xfId="17704"/>
    <cellStyle name="Normal 2 10 2 2 4 11" xfId="19456"/>
    <cellStyle name="Normal 2 10 2 2 4 12" xfId="21209"/>
    <cellStyle name="Normal 2 10 2 2 4 13" xfId="22961"/>
    <cellStyle name="Normal 2 10 2 2 4 14" xfId="24713"/>
    <cellStyle name="Normal 2 10 2 2 4 15" xfId="26465"/>
    <cellStyle name="Normal 2 10 2 2 4 16" xfId="28217"/>
    <cellStyle name="Normal 2 10 2 2 4 17" xfId="29970"/>
    <cellStyle name="Normal 2 10 2 2 4 18" xfId="31722"/>
    <cellStyle name="Normal 2 10 2 2 4 19" xfId="33475"/>
    <cellStyle name="Normal 2 10 2 2 4 2" xfId="3686"/>
    <cellStyle name="Normal 2 10 2 2 4 20" xfId="36111"/>
    <cellStyle name="Normal 2 10 2 2 4 21" xfId="37851"/>
    <cellStyle name="Normal 2 10 2 2 4 22" xfId="39604"/>
    <cellStyle name="Normal 2 10 2 2 4 23" xfId="41359"/>
    <cellStyle name="Normal 2 10 2 2 4 24" xfId="43111"/>
    <cellStyle name="Normal 2 10 2 2 4 25" xfId="45729"/>
    <cellStyle name="Normal 2 10 2 2 4 26" xfId="47481"/>
    <cellStyle name="Normal 2 10 2 2 4 27" xfId="49233"/>
    <cellStyle name="Normal 2 10 2 2 4 28" xfId="50985"/>
    <cellStyle name="Normal 2 10 2 2 4 29" xfId="52737"/>
    <cellStyle name="Normal 2 10 2 2 4 3" xfId="5438"/>
    <cellStyle name="Normal 2 10 2 2 4 30" xfId="54489"/>
    <cellStyle name="Normal 2 10 2 2 4 31" xfId="56241"/>
    <cellStyle name="Normal 2 10 2 2 4 32" xfId="57994"/>
    <cellStyle name="Normal 2 10 2 2 4 33" xfId="59746"/>
    <cellStyle name="Normal 2 10 2 2 4 34" xfId="61498"/>
    <cellStyle name="Normal 2 10 2 2 4 4" xfId="7190"/>
    <cellStyle name="Normal 2 10 2 2 4 5" xfId="8942"/>
    <cellStyle name="Normal 2 10 2 2 4 6" xfId="10695"/>
    <cellStyle name="Normal 2 10 2 2 4 7" xfId="12447"/>
    <cellStyle name="Normal 2 10 2 2 4 8" xfId="14199"/>
    <cellStyle name="Normal 2 10 2 2 4 9" xfId="15951"/>
    <cellStyle name="Normal 2 10 2 2 40" xfId="62326"/>
    <cellStyle name="Normal 2 10 2 2 41" xfId="63192"/>
    <cellStyle name="Normal 2 10 2 2 5" xfId="2810"/>
    <cellStyle name="Normal 2 10 2 2 6" xfId="4562"/>
    <cellStyle name="Normal 2 10 2 2 7" xfId="6314"/>
    <cellStyle name="Normal 2 10 2 2 8" xfId="8066"/>
    <cellStyle name="Normal 2 10 2 2 9" xfId="9819"/>
    <cellStyle name="Normal 2 10 2 20" xfId="27233"/>
    <cellStyle name="Normal 2 10 2 21" xfId="28986"/>
    <cellStyle name="Normal 2 10 2 22" xfId="30738"/>
    <cellStyle name="Normal 2 10 2 23" xfId="32491"/>
    <cellStyle name="Normal 2 10 2 24" xfId="34317"/>
    <cellStyle name="Normal 2 10 2 25" xfId="35127"/>
    <cellStyle name="Normal 2 10 2 26" xfId="36938"/>
    <cellStyle name="Normal 2 10 2 27" xfId="38620"/>
    <cellStyle name="Normal 2 10 2 28" xfId="40375"/>
    <cellStyle name="Normal 2 10 2 29" xfId="42127"/>
    <cellStyle name="Normal 2 10 2 3" xfId="738"/>
    <cellStyle name="Normal 2 10 2 3 10" xfId="13395"/>
    <cellStyle name="Normal 2 10 2 3 11" xfId="15147"/>
    <cellStyle name="Normal 2 10 2 3 12" xfId="16900"/>
    <cellStyle name="Normal 2 10 2 3 13" xfId="18652"/>
    <cellStyle name="Normal 2 10 2 3 14" xfId="20405"/>
    <cellStyle name="Normal 2 10 2 3 15" xfId="22157"/>
    <cellStyle name="Normal 2 10 2 3 16" xfId="23909"/>
    <cellStyle name="Normal 2 10 2 3 17" xfId="25661"/>
    <cellStyle name="Normal 2 10 2 3 18" xfId="27413"/>
    <cellStyle name="Normal 2 10 2 3 19" xfId="29166"/>
    <cellStyle name="Normal 2 10 2 3 2" xfId="739"/>
    <cellStyle name="Normal 2 10 2 3 2 10" xfId="15583"/>
    <cellStyle name="Normal 2 10 2 3 2 11" xfId="17336"/>
    <cellStyle name="Normal 2 10 2 3 2 12" xfId="19088"/>
    <cellStyle name="Normal 2 10 2 3 2 13" xfId="20841"/>
    <cellStyle name="Normal 2 10 2 3 2 14" xfId="22593"/>
    <cellStyle name="Normal 2 10 2 3 2 15" xfId="24345"/>
    <cellStyle name="Normal 2 10 2 3 2 16" xfId="26097"/>
    <cellStyle name="Normal 2 10 2 3 2 17" xfId="27849"/>
    <cellStyle name="Normal 2 10 2 3 2 18" xfId="29602"/>
    <cellStyle name="Normal 2 10 2 3 2 19" xfId="31354"/>
    <cellStyle name="Normal 2 10 2 3 2 2" xfId="740"/>
    <cellStyle name="Normal 2 10 2 3 2 2 10" xfId="18212"/>
    <cellStyle name="Normal 2 10 2 3 2 2 11" xfId="19964"/>
    <cellStyle name="Normal 2 10 2 3 2 2 12" xfId="21717"/>
    <cellStyle name="Normal 2 10 2 3 2 2 13" xfId="23469"/>
    <cellStyle name="Normal 2 10 2 3 2 2 14" xfId="25221"/>
    <cellStyle name="Normal 2 10 2 3 2 2 15" xfId="26973"/>
    <cellStyle name="Normal 2 10 2 3 2 2 16" xfId="28725"/>
    <cellStyle name="Normal 2 10 2 3 2 2 17" xfId="30478"/>
    <cellStyle name="Normal 2 10 2 3 2 2 18" xfId="32230"/>
    <cellStyle name="Normal 2 10 2 3 2 2 19" xfId="33983"/>
    <cellStyle name="Normal 2 10 2 3 2 2 2" xfId="4194"/>
    <cellStyle name="Normal 2 10 2 3 2 2 20" xfId="36619"/>
    <cellStyle name="Normal 2 10 2 3 2 2 21" xfId="38359"/>
    <cellStyle name="Normal 2 10 2 3 2 2 22" xfId="40112"/>
    <cellStyle name="Normal 2 10 2 3 2 2 23" xfId="41867"/>
    <cellStyle name="Normal 2 10 2 3 2 2 24" xfId="43619"/>
    <cellStyle name="Normal 2 10 2 3 2 2 25" xfId="46237"/>
    <cellStyle name="Normal 2 10 2 3 2 2 26" xfId="47989"/>
    <cellStyle name="Normal 2 10 2 3 2 2 27" xfId="49741"/>
    <cellStyle name="Normal 2 10 2 3 2 2 28" xfId="51493"/>
    <cellStyle name="Normal 2 10 2 3 2 2 29" xfId="53245"/>
    <cellStyle name="Normal 2 10 2 3 2 2 3" xfId="5946"/>
    <cellStyle name="Normal 2 10 2 3 2 2 30" xfId="54997"/>
    <cellStyle name="Normal 2 10 2 3 2 2 31" xfId="56749"/>
    <cellStyle name="Normal 2 10 2 3 2 2 32" xfId="58502"/>
    <cellStyle name="Normal 2 10 2 3 2 2 33" xfId="60254"/>
    <cellStyle name="Normal 2 10 2 3 2 2 34" xfId="62006"/>
    <cellStyle name="Normal 2 10 2 3 2 2 4" xfId="7698"/>
    <cellStyle name="Normal 2 10 2 3 2 2 5" xfId="9450"/>
    <cellStyle name="Normal 2 10 2 3 2 2 6" xfId="11203"/>
    <cellStyle name="Normal 2 10 2 3 2 2 7" xfId="12955"/>
    <cellStyle name="Normal 2 10 2 3 2 2 8" xfId="14707"/>
    <cellStyle name="Normal 2 10 2 3 2 2 9" xfId="16459"/>
    <cellStyle name="Normal 2 10 2 3 2 20" xfId="33107"/>
    <cellStyle name="Normal 2 10 2 3 2 21" xfId="34323"/>
    <cellStyle name="Normal 2 10 2 3 2 22" xfId="35743"/>
    <cellStyle name="Normal 2 10 2 3 2 23" xfId="36944"/>
    <cellStyle name="Normal 2 10 2 3 2 24" xfId="39236"/>
    <cellStyle name="Normal 2 10 2 3 2 25" xfId="40991"/>
    <cellStyle name="Normal 2 10 2 3 2 26" xfId="42743"/>
    <cellStyle name="Normal 2 10 2 3 2 27" xfId="43944"/>
    <cellStyle name="Normal 2 10 2 3 2 28" xfId="45361"/>
    <cellStyle name="Normal 2 10 2 3 2 29" xfId="47113"/>
    <cellStyle name="Normal 2 10 2 3 2 3" xfId="3318"/>
    <cellStyle name="Normal 2 10 2 3 2 30" xfId="48865"/>
    <cellStyle name="Normal 2 10 2 3 2 31" xfId="50617"/>
    <cellStyle name="Normal 2 10 2 3 2 32" xfId="52369"/>
    <cellStyle name="Normal 2 10 2 3 2 33" xfId="54121"/>
    <cellStyle name="Normal 2 10 2 3 2 34" xfId="55873"/>
    <cellStyle name="Normal 2 10 2 3 2 35" xfId="57626"/>
    <cellStyle name="Normal 2 10 2 3 2 36" xfId="59378"/>
    <cellStyle name="Normal 2 10 2 3 2 37" xfId="61130"/>
    <cellStyle name="Normal 2 10 2 3 2 38" xfId="62331"/>
    <cellStyle name="Normal 2 10 2 3 2 39" xfId="63197"/>
    <cellStyle name="Normal 2 10 2 3 2 4" xfId="5070"/>
    <cellStyle name="Normal 2 10 2 3 2 5" xfId="6822"/>
    <cellStyle name="Normal 2 10 2 3 2 6" xfId="8574"/>
    <cellStyle name="Normal 2 10 2 3 2 7" xfId="10327"/>
    <cellStyle name="Normal 2 10 2 3 2 8" xfId="12079"/>
    <cellStyle name="Normal 2 10 2 3 2 9" xfId="13831"/>
    <cellStyle name="Normal 2 10 2 3 20" xfId="30918"/>
    <cellStyle name="Normal 2 10 2 3 21" xfId="32671"/>
    <cellStyle name="Normal 2 10 2 3 22" xfId="34322"/>
    <cellStyle name="Normal 2 10 2 3 23" xfId="35307"/>
    <cellStyle name="Normal 2 10 2 3 24" xfId="36943"/>
    <cellStyle name="Normal 2 10 2 3 25" xfId="38800"/>
    <cellStyle name="Normal 2 10 2 3 26" xfId="40555"/>
    <cellStyle name="Normal 2 10 2 3 27" xfId="42307"/>
    <cellStyle name="Normal 2 10 2 3 28" xfId="43943"/>
    <cellStyle name="Normal 2 10 2 3 29" xfId="44925"/>
    <cellStyle name="Normal 2 10 2 3 3" xfId="741"/>
    <cellStyle name="Normal 2 10 2 3 3 10" xfId="17776"/>
    <cellStyle name="Normal 2 10 2 3 3 11" xfId="19528"/>
    <cellStyle name="Normal 2 10 2 3 3 12" xfId="21281"/>
    <cellStyle name="Normal 2 10 2 3 3 13" xfId="23033"/>
    <cellStyle name="Normal 2 10 2 3 3 14" xfId="24785"/>
    <cellStyle name="Normal 2 10 2 3 3 15" xfId="26537"/>
    <cellStyle name="Normal 2 10 2 3 3 16" xfId="28289"/>
    <cellStyle name="Normal 2 10 2 3 3 17" xfId="30042"/>
    <cellStyle name="Normal 2 10 2 3 3 18" xfId="31794"/>
    <cellStyle name="Normal 2 10 2 3 3 19" xfId="33547"/>
    <cellStyle name="Normal 2 10 2 3 3 2" xfId="3758"/>
    <cellStyle name="Normal 2 10 2 3 3 20" xfId="36183"/>
    <cellStyle name="Normal 2 10 2 3 3 21" xfId="37923"/>
    <cellStyle name="Normal 2 10 2 3 3 22" xfId="39676"/>
    <cellStyle name="Normal 2 10 2 3 3 23" xfId="41431"/>
    <cellStyle name="Normal 2 10 2 3 3 24" xfId="43183"/>
    <cellStyle name="Normal 2 10 2 3 3 25" xfId="45801"/>
    <cellStyle name="Normal 2 10 2 3 3 26" xfId="47553"/>
    <cellStyle name="Normal 2 10 2 3 3 27" xfId="49305"/>
    <cellStyle name="Normal 2 10 2 3 3 28" xfId="51057"/>
    <cellStyle name="Normal 2 10 2 3 3 29" xfId="52809"/>
    <cellStyle name="Normal 2 10 2 3 3 3" xfId="5510"/>
    <cellStyle name="Normal 2 10 2 3 3 30" xfId="54561"/>
    <cellStyle name="Normal 2 10 2 3 3 31" xfId="56313"/>
    <cellStyle name="Normal 2 10 2 3 3 32" xfId="58066"/>
    <cellStyle name="Normal 2 10 2 3 3 33" xfId="59818"/>
    <cellStyle name="Normal 2 10 2 3 3 34" xfId="61570"/>
    <cellStyle name="Normal 2 10 2 3 3 4" xfId="7262"/>
    <cellStyle name="Normal 2 10 2 3 3 5" xfId="9014"/>
    <cellStyle name="Normal 2 10 2 3 3 6" xfId="10767"/>
    <cellStyle name="Normal 2 10 2 3 3 7" xfId="12519"/>
    <cellStyle name="Normal 2 10 2 3 3 8" xfId="14271"/>
    <cellStyle name="Normal 2 10 2 3 3 9" xfId="16023"/>
    <cellStyle name="Normal 2 10 2 3 30" xfId="46677"/>
    <cellStyle name="Normal 2 10 2 3 31" xfId="48429"/>
    <cellStyle name="Normal 2 10 2 3 32" xfId="50181"/>
    <cellStyle name="Normal 2 10 2 3 33" xfId="51933"/>
    <cellStyle name="Normal 2 10 2 3 34" xfId="53685"/>
    <cellStyle name="Normal 2 10 2 3 35" xfId="55437"/>
    <cellStyle name="Normal 2 10 2 3 36" xfId="57190"/>
    <cellStyle name="Normal 2 10 2 3 37" xfId="58942"/>
    <cellStyle name="Normal 2 10 2 3 38" xfId="60694"/>
    <cellStyle name="Normal 2 10 2 3 39" xfId="62330"/>
    <cellStyle name="Normal 2 10 2 3 4" xfId="2882"/>
    <cellStyle name="Normal 2 10 2 3 40" xfId="63196"/>
    <cellStyle name="Normal 2 10 2 3 5" xfId="4634"/>
    <cellStyle name="Normal 2 10 2 3 6" xfId="6386"/>
    <cellStyle name="Normal 2 10 2 3 7" xfId="8138"/>
    <cellStyle name="Normal 2 10 2 3 8" xfId="9891"/>
    <cellStyle name="Normal 2 10 2 3 9" xfId="11643"/>
    <cellStyle name="Normal 2 10 2 30" xfId="43938"/>
    <cellStyle name="Normal 2 10 2 31" xfId="44745"/>
    <cellStyle name="Normal 2 10 2 32" xfId="46497"/>
    <cellStyle name="Normal 2 10 2 33" xfId="48249"/>
    <cellStyle name="Normal 2 10 2 34" xfId="50001"/>
    <cellStyle name="Normal 2 10 2 35" xfId="51753"/>
    <cellStyle name="Normal 2 10 2 36" xfId="53505"/>
    <cellStyle name="Normal 2 10 2 37" xfId="55257"/>
    <cellStyle name="Normal 2 10 2 38" xfId="57010"/>
    <cellStyle name="Normal 2 10 2 39" xfId="58762"/>
    <cellStyle name="Normal 2 10 2 4" xfId="742"/>
    <cellStyle name="Normal 2 10 2 4 10" xfId="15403"/>
    <cellStyle name="Normal 2 10 2 4 11" xfId="17156"/>
    <cellStyle name="Normal 2 10 2 4 12" xfId="18908"/>
    <cellStyle name="Normal 2 10 2 4 13" xfId="20661"/>
    <cellStyle name="Normal 2 10 2 4 14" xfId="22413"/>
    <cellStyle name="Normal 2 10 2 4 15" xfId="24165"/>
    <cellStyle name="Normal 2 10 2 4 16" xfId="25917"/>
    <cellStyle name="Normal 2 10 2 4 17" xfId="27669"/>
    <cellStyle name="Normal 2 10 2 4 18" xfId="29422"/>
    <cellStyle name="Normal 2 10 2 4 19" xfId="31174"/>
    <cellStyle name="Normal 2 10 2 4 2" xfId="743"/>
    <cellStyle name="Normal 2 10 2 4 2 10" xfId="18032"/>
    <cellStyle name="Normal 2 10 2 4 2 11" xfId="19784"/>
    <cellStyle name="Normal 2 10 2 4 2 12" xfId="21537"/>
    <cellStyle name="Normal 2 10 2 4 2 13" xfId="23289"/>
    <cellStyle name="Normal 2 10 2 4 2 14" xfId="25041"/>
    <cellStyle name="Normal 2 10 2 4 2 15" xfId="26793"/>
    <cellStyle name="Normal 2 10 2 4 2 16" xfId="28545"/>
    <cellStyle name="Normal 2 10 2 4 2 17" xfId="30298"/>
    <cellStyle name="Normal 2 10 2 4 2 18" xfId="32050"/>
    <cellStyle name="Normal 2 10 2 4 2 19" xfId="33803"/>
    <cellStyle name="Normal 2 10 2 4 2 2" xfId="4014"/>
    <cellStyle name="Normal 2 10 2 4 2 20" xfId="36439"/>
    <cellStyle name="Normal 2 10 2 4 2 21" xfId="38179"/>
    <cellStyle name="Normal 2 10 2 4 2 22" xfId="39932"/>
    <cellStyle name="Normal 2 10 2 4 2 23" xfId="41687"/>
    <cellStyle name="Normal 2 10 2 4 2 24" xfId="43439"/>
    <cellStyle name="Normal 2 10 2 4 2 25" xfId="46057"/>
    <cellStyle name="Normal 2 10 2 4 2 26" xfId="47809"/>
    <cellStyle name="Normal 2 10 2 4 2 27" xfId="49561"/>
    <cellStyle name="Normal 2 10 2 4 2 28" xfId="51313"/>
    <cellStyle name="Normal 2 10 2 4 2 29" xfId="53065"/>
    <cellStyle name="Normal 2 10 2 4 2 3" xfId="5766"/>
    <cellStyle name="Normal 2 10 2 4 2 30" xfId="54817"/>
    <cellStyle name="Normal 2 10 2 4 2 31" xfId="56569"/>
    <cellStyle name="Normal 2 10 2 4 2 32" xfId="58322"/>
    <cellStyle name="Normal 2 10 2 4 2 33" xfId="60074"/>
    <cellStyle name="Normal 2 10 2 4 2 34" xfId="61826"/>
    <cellStyle name="Normal 2 10 2 4 2 4" xfId="7518"/>
    <cellStyle name="Normal 2 10 2 4 2 5" xfId="9270"/>
    <cellStyle name="Normal 2 10 2 4 2 6" xfId="11023"/>
    <cellStyle name="Normal 2 10 2 4 2 7" xfId="12775"/>
    <cellStyle name="Normal 2 10 2 4 2 8" xfId="14527"/>
    <cellStyle name="Normal 2 10 2 4 2 9" xfId="16279"/>
    <cellStyle name="Normal 2 10 2 4 20" xfId="32927"/>
    <cellStyle name="Normal 2 10 2 4 21" xfId="34324"/>
    <cellStyle name="Normal 2 10 2 4 22" xfId="35563"/>
    <cellStyle name="Normal 2 10 2 4 23" xfId="36945"/>
    <cellStyle name="Normal 2 10 2 4 24" xfId="39056"/>
    <cellStyle name="Normal 2 10 2 4 25" xfId="40811"/>
    <cellStyle name="Normal 2 10 2 4 26" xfId="42563"/>
    <cellStyle name="Normal 2 10 2 4 27" xfId="43945"/>
    <cellStyle name="Normal 2 10 2 4 28" xfId="45181"/>
    <cellStyle name="Normal 2 10 2 4 29" xfId="46933"/>
    <cellStyle name="Normal 2 10 2 4 3" xfId="3138"/>
    <cellStyle name="Normal 2 10 2 4 30" xfId="48685"/>
    <cellStyle name="Normal 2 10 2 4 31" xfId="50437"/>
    <cellStyle name="Normal 2 10 2 4 32" xfId="52189"/>
    <cellStyle name="Normal 2 10 2 4 33" xfId="53941"/>
    <cellStyle name="Normal 2 10 2 4 34" xfId="55693"/>
    <cellStyle name="Normal 2 10 2 4 35" xfId="57446"/>
    <cellStyle name="Normal 2 10 2 4 36" xfId="59198"/>
    <cellStyle name="Normal 2 10 2 4 37" xfId="60950"/>
    <cellStyle name="Normal 2 10 2 4 38" xfId="62332"/>
    <cellStyle name="Normal 2 10 2 4 39" xfId="63198"/>
    <cellStyle name="Normal 2 10 2 4 4" xfId="4890"/>
    <cellStyle name="Normal 2 10 2 4 5" xfId="6642"/>
    <cellStyle name="Normal 2 10 2 4 6" xfId="8394"/>
    <cellStyle name="Normal 2 10 2 4 7" xfId="10147"/>
    <cellStyle name="Normal 2 10 2 4 8" xfId="11899"/>
    <cellStyle name="Normal 2 10 2 4 9" xfId="13651"/>
    <cellStyle name="Normal 2 10 2 40" xfId="60514"/>
    <cellStyle name="Normal 2 10 2 41" xfId="62325"/>
    <cellStyle name="Normal 2 10 2 42" xfId="63191"/>
    <cellStyle name="Normal 2 10 2 5" xfId="744"/>
    <cellStyle name="Normal 2 10 2 5 10" xfId="17596"/>
    <cellStyle name="Normal 2 10 2 5 11" xfId="19348"/>
    <cellStyle name="Normal 2 10 2 5 12" xfId="21101"/>
    <cellStyle name="Normal 2 10 2 5 13" xfId="22853"/>
    <cellStyle name="Normal 2 10 2 5 14" xfId="24605"/>
    <cellStyle name="Normal 2 10 2 5 15" xfId="26357"/>
    <cellStyle name="Normal 2 10 2 5 16" xfId="28109"/>
    <cellStyle name="Normal 2 10 2 5 17" xfId="29862"/>
    <cellStyle name="Normal 2 10 2 5 18" xfId="31614"/>
    <cellStyle name="Normal 2 10 2 5 19" xfId="33367"/>
    <cellStyle name="Normal 2 10 2 5 2" xfId="3578"/>
    <cellStyle name="Normal 2 10 2 5 20" xfId="36003"/>
    <cellStyle name="Normal 2 10 2 5 21" xfId="37726"/>
    <cellStyle name="Normal 2 10 2 5 22" xfId="39496"/>
    <cellStyle name="Normal 2 10 2 5 23" xfId="41251"/>
    <cellStyle name="Normal 2 10 2 5 24" xfId="43003"/>
    <cellStyle name="Normal 2 10 2 5 25" xfId="45621"/>
    <cellStyle name="Normal 2 10 2 5 26" xfId="47373"/>
    <cellStyle name="Normal 2 10 2 5 27" xfId="49125"/>
    <cellStyle name="Normal 2 10 2 5 28" xfId="50877"/>
    <cellStyle name="Normal 2 10 2 5 29" xfId="52629"/>
    <cellStyle name="Normal 2 10 2 5 3" xfId="5330"/>
    <cellStyle name="Normal 2 10 2 5 30" xfId="54381"/>
    <cellStyle name="Normal 2 10 2 5 31" xfId="56133"/>
    <cellStyle name="Normal 2 10 2 5 32" xfId="57886"/>
    <cellStyle name="Normal 2 10 2 5 33" xfId="59638"/>
    <cellStyle name="Normal 2 10 2 5 34" xfId="61390"/>
    <cellStyle name="Normal 2 10 2 5 4" xfId="7082"/>
    <cellStyle name="Normal 2 10 2 5 5" xfId="8834"/>
    <cellStyle name="Normal 2 10 2 5 6" xfId="10587"/>
    <cellStyle name="Normal 2 10 2 5 7" xfId="12339"/>
    <cellStyle name="Normal 2 10 2 5 8" xfId="14091"/>
    <cellStyle name="Normal 2 10 2 5 9" xfId="15843"/>
    <cellStyle name="Normal 2 10 2 6" xfId="2702"/>
    <cellStyle name="Normal 2 10 2 7" xfId="4454"/>
    <cellStyle name="Normal 2 10 2 8" xfId="6206"/>
    <cellStyle name="Normal 2 10 2 9" xfId="7958"/>
    <cellStyle name="Normal 2 10 20" xfId="25426"/>
    <cellStyle name="Normal 2 10 21" xfId="27178"/>
    <cellStyle name="Normal 2 10 22" xfId="28931"/>
    <cellStyle name="Normal 2 10 23" xfId="30683"/>
    <cellStyle name="Normal 2 10 24" xfId="32436"/>
    <cellStyle name="Normal 2 10 25" xfId="34316"/>
    <cellStyle name="Normal 2 10 26" xfId="35072"/>
    <cellStyle name="Normal 2 10 27" xfId="36937"/>
    <cellStyle name="Normal 2 10 28" xfId="38565"/>
    <cellStyle name="Normal 2 10 29" xfId="40320"/>
    <cellStyle name="Normal 2 10 3" xfId="745"/>
    <cellStyle name="Normal 2 10 3 10" xfId="11516"/>
    <cellStyle name="Normal 2 10 3 11" xfId="13268"/>
    <cellStyle name="Normal 2 10 3 12" xfId="15020"/>
    <cellStyle name="Normal 2 10 3 13" xfId="16773"/>
    <cellStyle name="Normal 2 10 3 14" xfId="18525"/>
    <cellStyle name="Normal 2 10 3 15" xfId="20278"/>
    <cellStyle name="Normal 2 10 3 16" xfId="22030"/>
    <cellStyle name="Normal 2 10 3 17" xfId="23782"/>
    <cellStyle name="Normal 2 10 3 18" xfId="25534"/>
    <cellStyle name="Normal 2 10 3 19" xfId="27286"/>
    <cellStyle name="Normal 2 10 3 2" xfId="746"/>
    <cellStyle name="Normal 2 10 3 2 10" xfId="13396"/>
    <cellStyle name="Normal 2 10 3 2 11" xfId="15148"/>
    <cellStyle name="Normal 2 10 3 2 12" xfId="16901"/>
    <cellStyle name="Normal 2 10 3 2 13" xfId="18653"/>
    <cellStyle name="Normal 2 10 3 2 14" xfId="20406"/>
    <cellStyle name="Normal 2 10 3 2 15" xfId="22158"/>
    <cellStyle name="Normal 2 10 3 2 16" xfId="23910"/>
    <cellStyle name="Normal 2 10 3 2 17" xfId="25662"/>
    <cellStyle name="Normal 2 10 3 2 18" xfId="27414"/>
    <cellStyle name="Normal 2 10 3 2 19" xfId="29167"/>
    <cellStyle name="Normal 2 10 3 2 2" xfId="747"/>
    <cellStyle name="Normal 2 10 3 2 2 10" xfId="15584"/>
    <cellStyle name="Normal 2 10 3 2 2 11" xfId="17337"/>
    <cellStyle name="Normal 2 10 3 2 2 12" xfId="19089"/>
    <cellStyle name="Normal 2 10 3 2 2 13" xfId="20842"/>
    <cellStyle name="Normal 2 10 3 2 2 14" xfId="22594"/>
    <cellStyle name="Normal 2 10 3 2 2 15" xfId="24346"/>
    <cellStyle name="Normal 2 10 3 2 2 16" xfId="26098"/>
    <cellStyle name="Normal 2 10 3 2 2 17" xfId="27850"/>
    <cellStyle name="Normal 2 10 3 2 2 18" xfId="29603"/>
    <cellStyle name="Normal 2 10 3 2 2 19" xfId="31355"/>
    <cellStyle name="Normal 2 10 3 2 2 2" xfId="748"/>
    <cellStyle name="Normal 2 10 3 2 2 2 10" xfId="18213"/>
    <cellStyle name="Normal 2 10 3 2 2 2 11" xfId="19965"/>
    <cellStyle name="Normal 2 10 3 2 2 2 12" xfId="21718"/>
    <cellStyle name="Normal 2 10 3 2 2 2 13" xfId="23470"/>
    <cellStyle name="Normal 2 10 3 2 2 2 14" xfId="25222"/>
    <cellStyle name="Normal 2 10 3 2 2 2 15" xfId="26974"/>
    <cellStyle name="Normal 2 10 3 2 2 2 16" xfId="28726"/>
    <cellStyle name="Normal 2 10 3 2 2 2 17" xfId="30479"/>
    <cellStyle name="Normal 2 10 3 2 2 2 18" xfId="32231"/>
    <cellStyle name="Normal 2 10 3 2 2 2 19" xfId="33984"/>
    <cellStyle name="Normal 2 10 3 2 2 2 2" xfId="4195"/>
    <cellStyle name="Normal 2 10 3 2 2 2 20" xfId="36620"/>
    <cellStyle name="Normal 2 10 3 2 2 2 21" xfId="38360"/>
    <cellStyle name="Normal 2 10 3 2 2 2 22" xfId="40113"/>
    <cellStyle name="Normal 2 10 3 2 2 2 23" xfId="41868"/>
    <cellStyle name="Normal 2 10 3 2 2 2 24" xfId="43620"/>
    <cellStyle name="Normal 2 10 3 2 2 2 25" xfId="46238"/>
    <cellStyle name="Normal 2 10 3 2 2 2 26" xfId="47990"/>
    <cellStyle name="Normal 2 10 3 2 2 2 27" xfId="49742"/>
    <cellStyle name="Normal 2 10 3 2 2 2 28" xfId="51494"/>
    <cellStyle name="Normal 2 10 3 2 2 2 29" xfId="53246"/>
    <cellStyle name="Normal 2 10 3 2 2 2 3" xfId="5947"/>
    <cellStyle name="Normal 2 10 3 2 2 2 30" xfId="54998"/>
    <cellStyle name="Normal 2 10 3 2 2 2 31" xfId="56750"/>
    <cellStyle name="Normal 2 10 3 2 2 2 32" xfId="58503"/>
    <cellStyle name="Normal 2 10 3 2 2 2 33" xfId="60255"/>
    <cellStyle name="Normal 2 10 3 2 2 2 34" xfId="62007"/>
    <cellStyle name="Normal 2 10 3 2 2 2 4" xfId="7699"/>
    <cellStyle name="Normal 2 10 3 2 2 2 5" xfId="9451"/>
    <cellStyle name="Normal 2 10 3 2 2 2 6" xfId="11204"/>
    <cellStyle name="Normal 2 10 3 2 2 2 7" xfId="12956"/>
    <cellStyle name="Normal 2 10 3 2 2 2 8" xfId="14708"/>
    <cellStyle name="Normal 2 10 3 2 2 2 9" xfId="16460"/>
    <cellStyle name="Normal 2 10 3 2 2 20" xfId="33108"/>
    <cellStyle name="Normal 2 10 3 2 2 21" xfId="34327"/>
    <cellStyle name="Normal 2 10 3 2 2 22" xfId="35744"/>
    <cellStyle name="Normal 2 10 3 2 2 23" xfId="36948"/>
    <cellStyle name="Normal 2 10 3 2 2 24" xfId="39237"/>
    <cellStyle name="Normal 2 10 3 2 2 25" xfId="40992"/>
    <cellStyle name="Normal 2 10 3 2 2 26" xfId="42744"/>
    <cellStyle name="Normal 2 10 3 2 2 27" xfId="43948"/>
    <cellStyle name="Normal 2 10 3 2 2 28" xfId="45362"/>
    <cellStyle name="Normal 2 10 3 2 2 29" xfId="47114"/>
    <cellStyle name="Normal 2 10 3 2 2 3" xfId="3319"/>
    <cellStyle name="Normal 2 10 3 2 2 30" xfId="48866"/>
    <cellStyle name="Normal 2 10 3 2 2 31" xfId="50618"/>
    <cellStyle name="Normal 2 10 3 2 2 32" xfId="52370"/>
    <cellStyle name="Normal 2 10 3 2 2 33" xfId="54122"/>
    <cellStyle name="Normal 2 10 3 2 2 34" xfId="55874"/>
    <cellStyle name="Normal 2 10 3 2 2 35" xfId="57627"/>
    <cellStyle name="Normal 2 10 3 2 2 36" xfId="59379"/>
    <cellStyle name="Normal 2 10 3 2 2 37" xfId="61131"/>
    <cellStyle name="Normal 2 10 3 2 2 38" xfId="62335"/>
    <cellStyle name="Normal 2 10 3 2 2 39" xfId="63201"/>
    <cellStyle name="Normal 2 10 3 2 2 4" xfId="5071"/>
    <cellStyle name="Normal 2 10 3 2 2 5" xfId="6823"/>
    <cellStyle name="Normal 2 10 3 2 2 6" xfId="8575"/>
    <cellStyle name="Normal 2 10 3 2 2 7" xfId="10328"/>
    <cellStyle name="Normal 2 10 3 2 2 8" xfId="12080"/>
    <cellStyle name="Normal 2 10 3 2 2 9" xfId="13832"/>
    <cellStyle name="Normal 2 10 3 2 20" xfId="30919"/>
    <cellStyle name="Normal 2 10 3 2 21" xfId="32672"/>
    <cellStyle name="Normal 2 10 3 2 22" xfId="34326"/>
    <cellStyle name="Normal 2 10 3 2 23" xfId="35308"/>
    <cellStyle name="Normal 2 10 3 2 24" xfId="36947"/>
    <cellStyle name="Normal 2 10 3 2 25" xfId="38801"/>
    <cellStyle name="Normal 2 10 3 2 26" xfId="40556"/>
    <cellStyle name="Normal 2 10 3 2 27" xfId="42308"/>
    <cellStyle name="Normal 2 10 3 2 28" xfId="43947"/>
    <cellStyle name="Normal 2 10 3 2 29" xfId="44926"/>
    <cellStyle name="Normal 2 10 3 2 3" xfId="749"/>
    <cellStyle name="Normal 2 10 3 2 3 10" xfId="17777"/>
    <cellStyle name="Normal 2 10 3 2 3 11" xfId="19529"/>
    <cellStyle name="Normal 2 10 3 2 3 12" xfId="21282"/>
    <cellStyle name="Normal 2 10 3 2 3 13" xfId="23034"/>
    <cellStyle name="Normal 2 10 3 2 3 14" xfId="24786"/>
    <cellStyle name="Normal 2 10 3 2 3 15" xfId="26538"/>
    <cellStyle name="Normal 2 10 3 2 3 16" xfId="28290"/>
    <cellStyle name="Normal 2 10 3 2 3 17" xfId="30043"/>
    <cellStyle name="Normal 2 10 3 2 3 18" xfId="31795"/>
    <cellStyle name="Normal 2 10 3 2 3 19" xfId="33548"/>
    <cellStyle name="Normal 2 10 3 2 3 2" xfId="3759"/>
    <cellStyle name="Normal 2 10 3 2 3 20" xfId="36184"/>
    <cellStyle name="Normal 2 10 3 2 3 21" xfId="37924"/>
    <cellStyle name="Normal 2 10 3 2 3 22" xfId="39677"/>
    <cellStyle name="Normal 2 10 3 2 3 23" xfId="41432"/>
    <cellStyle name="Normal 2 10 3 2 3 24" xfId="43184"/>
    <cellStyle name="Normal 2 10 3 2 3 25" xfId="45802"/>
    <cellStyle name="Normal 2 10 3 2 3 26" xfId="47554"/>
    <cellStyle name="Normal 2 10 3 2 3 27" xfId="49306"/>
    <cellStyle name="Normal 2 10 3 2 3 28" xfId="51058"/>
    <cellStyle name="Normal 2 10 3 2 3 29" xfId="52810"/>
    <cellStyle name="Normal 2 10 3 2 3 3" xfId="5511"/>
    <cellStyle name="Normal 2 10 3 2 3 30" xfId="54562"/>
    <cellStyle name="Normal 2 10 3 2 3 31" xfId="56314"/>
    <cellStyle name="Normal 2 10 3 2 3 32" xfId="58067"/>
    <cellStyle name="Normal 2 10 3 2 3 33" xfId="59819"/>
    <cellStyle name="Normal 2 10 3 2 3 34" xfId="61571"/>
    <cellStyle name="Normal 2 10 3 2 3 4" xfId="7263"/>
    <cellStyle name="Normal 2 10 3 2 3 5" xfId="9015"/>
    <cellStyle name="Normal 2 10 3 2 3 6" xfId="10768"/>
    <cellStyle name="Normal 2 10 3 2 3 7" xfId="12520"/>
    <cellStyle name="Normal 2 10 3 2 3 8" xfId="14272"/>
    <cellStyle name="Normal 2 10 3 2 3 9" xfId="16024"/>
    <cellStyle name="Normal 2 10 3 2 30" xfId="46678"/>
    <cellStyle name="Normal 2 10 3 2 31" xfId="48430"/>
    <cellStyle name="Normal 2 10 3 2 32" xfId="50182"/>
    <cellStyle name="Normal 2 10 3 2 33" xfId="51934"/>
    <cellStyle name="Normal 2 10 3 2 34" xfId="53686"/>
    <cellStyle name="Normal 2 10 3 2 35" xfId="55438"/>
    <cellStyle name="Normal 2 10 3 2 36" xfId="57191"/>
    <cellStyle name="Normal 2 10 3 2 37" xfId="58943"/>
    <cellStyle name="Normal 2 10 3 2 38" xfId="60695"/>
    <cellStyle name="Normal 2 10 3 2 39" xfId="62334"/>
    <cellStyle name="Normal 2 10 3 2 4" xfId="2883"/>
    <cellStyle name="Normal 2 10 3 2 40" xfId="63200"/>
    <cellStyle name="Normal 2 10 3 2 5" xfId="4635"/>
    <cellStyle name="Normal 2 10 3 2 6" xfId="6387"/>
    <cellStyle name="Normal 2 10 3 2 7" xfId="8139"/>
    <cellStyle name="Normal 2 10 3 2 8" xfId="9892"/>
    <cellStyle name="Normal 2 10 3 2 9" xfId="11644"/>
    <cellStyle name="Normal 2 10 3 20" xfId="29039"/>
    <cellStyle name="Normal 2 10 3 21" xfId="30791"/>
    <cellStyle name="Normal 2 10 3 22" xfId="32544"/>
    <cellStyle name="Normal 2 10 3 23" xfId="34325"/>
    <cellStyle name="Normal 2 10 3 24" xfId="35180"/>
    <cellStyle name="Normal 2 10 3 25" xfId="36946"/>
    <cellStyle name="Normal 2 10 3 26" xfId="38673"/>
    <cellStyle name="Normal 2 10 3 27" xfId="40428"/>
    <cellStyle name="Normal 2 10 3 28" xfId="42180"/>
    <cellStyle name="Normal 2 10 3 29" xfId="43946"/>
    <cellStyle name="Normal 2 10 3 3" xfId="750"/>
    <cellStyle name="Normal 2 10 3 3 10" xfId="15456"/>
    <cellStyle name="Normal 2 10 3 3 11" xfId="17209"/>
    <cellStyle name="Normal 2 10 3 3 12" xfId="18961"/>
    <cellStyle name="Normal 2 10 3 3 13" xfId="20714"/>
    <cellStyle name="Normal 2 10 3 3 14" xfId="22466"/>
    <cellStyle name="Normal 2 10 3 3 15" xfId="24218"/>
    <cellStyle name="Normal 2 10 3 3 16" xfId="25970"/>
    <cellStyle name="Normal 2 10 3 3 17" xfId="27722"/>
    <cellStyle name="Normal 2 10 3 3 18" xfId="29475"/>
    <cellStyle name="Normal 2 10 3 3 19" xfId="31227"/>
    <cellStyle name="Normal 2 10 3 3 2" xfId="751"/>
    <cellStyle name="Normal 2 10 3 3 2 10" xfId="18085"/>
    <cellStyle name="Normal 2 10 3 3 2 11" xfId="19837"/>
    <cellStyle name="Normal 2 10 3 3 2 12" xfId="21590"/>
    <cellStyle name="Normal 2 10 3 3 2 13" xfId="23342"/>
    <cellStyle name="Normal 2 10 3 3 2 14" xfId="25094"/>
    <cellStyle name="Normal 2 10 3 3 2 15" xfId="26846"/>
    <cellStyle name="Normal 2 10 3 3 2 16" xfId="28598"/>
    <cellStyle name="Normal 2 10 3 3 2 17" xfId="30351"/>
    <cellStyle name="Normal 2 10 3 3 2 18" xfId="32103"/>
    <cellStyle name="Normal 2 10 3 3 2 19" xfId="33856"/>
    <cellStyle name="Normal 2 10 3 3 2 2" xfId="4067"/>
    <cellStyle name="Normal 2 10 3 3 2 20" xfId="36492"/>
    <cellStyle name="Normal 2 10 3 3 2 21" xfId="38232"/>
    <cellStyle name="Normal 2 10 3 3 2 22" xfId="39985"/>
    <cellStyle name="Normal 2 10 3 3 2 23" xfId="41740"/>
    <cellStyle name="Normal 2 10 3 3 2 24" xfId="43492"/>
    <cellStyle name="Normal 2 10 3 3 2 25" xfId="46110"/>
    <cellStyle name="Normal 2 10 3 3 2 26" xfId="47862"/>
    <cellStyle name="Normal 2 10 3 3 2 27" xfId="49614"/>
    <cellStyle name="Normal 2 10 3 3 2 28" xfId="51366"/>
    <cellStyle name="Normal 2 10 3 3 2 29" xfId="53118"/>
    <cellStyle name="Normal 2 10 3 3 2 3" xfId="5819"/>
    <cellStyle name="Normal 2 10 3 3 2 30" xfId="54870"/>
    <cellStyle name="Normal 2 10 3 3 2 31" xfId="56622"/>
    <cellStyle name="Normal 2 10 3 3 2 32" xfId="58375"/>
    <cellStyle name="Normal 2 10 3 3 2 33" xfId="60127"/>
    <cellStyle name="Normal 2 10 3 3 2 34" xfId="61879"/>
    <cellStyle name="Normal 2 10 3 3 2 4" xfId="7571"/>
    <cellStyle name="Normal 2 10 3 3 2 5" xfId="9323"/>
    <cellStyle name="Normal 2 10 3 3 2 6" xfId="11076"/>
    <cellStyle name="Normal 2 10 3 3 2 7" xfId="12828"/>
    <cellStyle name="Normal 2 10 3 3 2 8" xfId="14580"/>
    <cellStyle name="Normal 2 10 3 3 2 9" xfId="16332"/>
    <cellStyle name="Normal 2 10 3 3 20" xfId="32980"/>
    <cellStyle name="Normal 2 10 3 3 21" xfId="34328"/>
    <cellStyle name="Normal 2 10 3 3 22" xfId="35616"/>
    <cellStyle name="Normal 2 10 3 3 23" xfId="36949"/>
    <cellStyle name="Normal 2 10 3 3 24" xfId="39109"/>
    <cellStyle name="Normal 2 10 3 3 25" xfId="40864"/>
    <cellStyle name="Normal 2 10 3 3 26" xfId="42616"/>
    <cellStyle name="Normal 2 10 3 3 27" xfId="43949"/>
    <cellStyle name="Normal 2 10 3 3 28" xfId="45234"/>
    <cellStyle name="Normal 2 10 3 3 29" xfId="46986"/>
    <cellStyle name="Normal 2 10 3 3 3" xfId="3191"/>
    <cellStyle name="Normal 2 10 3 3 30" xfId="48738"/>
    <cellStyle name="Normal 2 10 3 3 31" xfId="50490"/>
    <cellStyle name="Normal 2 10 3 3 32" xfId="52242"/>
    <cellStyle name="Normal 2 10 3 3 33" xfId="53994"/>
    <cellStyle name="Normal 2 10 3 3 34" xfId="55746"/>
    <cellStyle name="Normal 2 10 3 3 35" xfId="57499"/>
    <cellStyle name="Normal 2 10 3 3 36" xfId="59251"/>
    <cellStyle name="Normal 2 10 3 3 37" xfId="61003"/>
    <cellStyle name="Normal 2 10 3 3 38" xfId="62336"/>
    <cellStyle name="Normal 2 10 3 3 39" xfId="63202"/>
    <cellStyle name="Normal 2 10 3 3 4" xfId="4943"/>
    <cellStyle name="Normal 2 10 3 3 5" xfId="6695"/>
    <cellStyle name="Normal 2 10 3 3 6" xfId="8447"/>
    <cellStyle name="Normal 2 10 3 3 7" xfId="10200"/>
    <cellStyle name="Normal 2 10 3 3 8" xfId="11952"/>
    <cellStyle name="Normal 2 10 3 3 9" xfId="13704"/>
    <cellStyle name="Normal 2 10 3 30" xfId="44798"/>
    <cellStyle name="Normal 2 10 3 31" xfId="46550"/>
    <cellStyle name="Normal 2 10 3 32" xfId="48302"/>
    <cellStyle name="Normal 2 10 3 33" xfId="50054"/>
    <cellStyle name="Normal 2 10 3 34" xfId="51806"/>
    <cellStyle name="Normal 2 10 3 35" xfId="53558"/>
    <cellStyle name="Normal 2 10 3 36" xfId="55310"/>
    <cellStyle name="Normal 2 10 3 37" xfId="57063"/>
    <cellStyle name="Normal 2 10 3 38" xfId="58815"/>
    <cellStyle name="Normal 2 10 3 39" xfId="60567"/>
    <cellStyle name="Normal 2 10 3 4" xfId="752"/>
    <cellStyle name="Normal 2 10 3 4 10" xfId="17649"/>
    <cellStyle name="Normal 2 10 3 4 11" xfId="19401"/>
    <cellStyle name="Normal 2 10 3 4 12" xfId="21154"/>
    <cellStyle name="Normal 2 10 3 4 13" xfId="22906"/>
    <cellStyle name="Normal 2 10 3 4 14" xfId="24658"/>
    <cellStyle name="Normal 2 10 3 4 15" xfId="26410"/>
    <cellStyle name="Normal 2 10 3 4 16" xfId="28162"/>
    <cellStyle name="Normal 2 10 3 4 17" xfId="29915"/>
    <cellStyle name="Normal 2 10 3 4 18" xfId="31667"/>
    <cellStyle name="Normal 2 10 3 4 19" xfId="33420"/>
    <cellStyle name="Normal 2 10 3 4 2" xfId="3631"/>
    <cellStyle name="Normal 2 10 3 4 20" xfId="36056"/>
    <cellStyle name="Normal 2 10 3 4 21" xfId="37796"/>
    <cellStyle name="Normal 2 10 3 4 22" xfId="39549"/>
    <cellStyle name="Normal 2 10 3 4 23" xfId="41304"/>
    <cellStyle name="Normal 2 10 3 4 24" xfId="43056"/>
    <cellStyle name="Normal 2 10 3 4 25" xfId="45674"/>
    <cellStyle name="Normal 2 10 3 4 26" xfId="47426"/>
    <cellStyle name="Normal 2 10 3 4 27" xfId="49178"/>
    <cellStyle name="Normal 2 10 3 4 28" xfId="50930"/>
    <cellStyle name="Normal 2 10 3 4 29" xfId="52682"/>
    <cellStyle name="Normal 2 10 3 4 3" xfId="5383"/>
    <cellStyle name="Normal 2 10 3 4 30" xfId="54434"/>
    <cellStyle name="Normal 2 10 3 4 31" xfId="56186"/>
    <cellStyle name="Normal 2 10 3 4 32" xfId="57939"/>
    <cellStyle name="Normal 2 10 3 4 33" xfId="59691"/>
    <cellStyle name="Normal 2 10 3 4 34" xfId="61443"/>
    <cellStyle name="Normal 2 10 3 4 4" xfId="7135"/>
    <cellStyle name="Normal 2 10 3 4 5" xfId="8887"/>
    <cellStyle name="Normal 2 10 3 4 6" xfId="10640"/>
    <cellStyle name="Normal 2 10 3 4 7" xfId="12392"/>
    <cellStyle name="Normal 2 10 3 4 8" xfId="14144"/>
    <cellStyle name="Normal 2 10 3 4 9" xfId="15896"/>
    <cellStyle name="Normal 2 10 3 40" xfId="62333"/>
    <cellStyle name="Normal 2 10 3 41" xfId="63199"/>
    <cellStyle name="Normal 2 10 3 5" xfId="2755"/>
    <cellStyle name="Normal 2 10 3 6" xfId="4507"/>
    <cellStyle name="Normal 2 10 3 7" xfId="6259"/>
    <cellStyle name="Normal 2 10 3 8" xfId="8011"/>
    <cellStyle name="Normal 2 10 3 9" xfId="9764"/>
    <cellStyle name="Normal 2 10 30" xfId="42072"/>
    <cellStyle name="Normal 2 10 31" xfId="43937"/>
    <cellStyle name="Normal 2 10 32" xfId="44690"/>
    <cellStyle name="Normal 2 10 33" xfId="46442"/>
    <cellStyle name="Normal 2 10 34" xfId="48194"/>
    <cellStyle name="Normal 2 10 35" xfId="49946"/>
    <cellStyle name="Normal 2 10 36" xfId="51698"/>
    <cellStyle name="Normal 2 10 37" xfId="53450"/>
    <cellStyle name="Normal 2 10 38" xfId="55202"/>
    <cellStyle name="Normal 2 10 39" xfId="56955"/>
    <cellStyle name="Normal 2 10 4" xfId="753"/>
    <cellStyle name="Normal 2 10 4 10" xfId="13397"/>
    <cellStyle name="Normal 2 10 4 11" xfId="15149"/>
    <cellStyle name="Normal 2 10 4 12" xfId="16902"/>
    <cellStyle name="Normal 2 10 4 13" xfId="18654"/>
    <cellStyle name="Normal 2 10 4 14" xfId="20407"/>
    <cellStyle name="Normal 2 10 4 15" xfId="22159"/>
    <cellStyle name="Normal 2 10 4 16" xfId="23911"/>
    <cellStyle name="Normal 2 10 4 17" xfId="25663"/>
    <cellStyle name="Normal 2 10 4 18" xfId="27415"/>
    <cellStyle name="Normal 2 10 4 19" xfId="29168"/>
    <cellStyle name="Normal 2 10 4 2" xfId="754"/>
    <cellStyle name="Normal 2 10 4 2 10" xfId="15585"/>
    <cellStyle name="Normal 2 10 4 2 11" xfId="17338"/>
    <cellStyle name="Normal 2 10 4 2 12" xfId="19090"/>
    <cellStyle name="Normal 2 10 4 2 13" xfId="20843"/>
    <cellStyle name="Normal 2 10 4 2 14" xfId="22595"/>
    <cellStyle name="Normal 2 10 4 2 15" xfId="24347"/>
    <cellStyle name="Normal 2 10 4 2 16" xfId="26099"/>
    <cellStyle name="Normal 2 10 4 2 17" xfId="27851"/>
    <cellStyle name="Normal 2 10 4 2 18" xfId="29604"/>
    <cellStyle name="Normal 2 10 4 2 19" xfId="31356"/>
    <cellStyle name="Normal 2 10 4 2 2" xfId="755"/>
    <cellStyle name="Normal 2 10 4 2 2 10" xfId="18214"/>
    <cellStyle name="Normal 2 10 4 2 2 11" xfId="19966"/>
    <cellStyle name="Normal 2 10 4 2 2 12" xfId="21719"/>
    <cellStyle name="Normal 2 10 4 2 2 13" xfId="23471"/>
    <cellStyle name="Normal 2 10 4 2 2 14" xfId="25223"/>
    <cellStyle name="Normal 2 10 4 2 2 15" xfId="26975"/>
    <cellStyle name="Normal 2 10 4 2 2 16" xfId="28727"/>
    <cellStyle name="Normal 2 10 4 2 2 17" xfId="30480"/>
    <cellStyle name="Normal 2 10 4 2 2 18" xfId="32232"/>
    <cellStyle name="Normal 2 10 4 2 2 19" xfId="33985"/>
    <cellStyle name="Normal 2 10 4 2 2 2" xfId="4196"/>
    <cellStyle name="Normal 2 10 4 2 2 20" xfId="36621"/>
    <cellStyle name="Normal 2 10 4 2 2 21" xfId="38361"/>
    <cellStyle name="Normal 2 10 4 2 2 22" xfId="40114"/>
    <cellStyle name="Normal 2 10 4 2 2 23" xfId="41869"/>
    <cellStyle name="Normal 2 10 4 2 2 24" xfId="43621"/>
    <cellStyle name="Normal 2 10 4 2 2 25" xfId="46239"/>
    <cellStyle name="Normal 2 10 4 2 2 26" xfId="47991"/>
    <cellStyle name="Normal 2 10 4 2 2 27" xfId="49743"/>
    <cellStyle name="Normal 2 10 4 2 2 28" xfId="51495"/>
    <cellStyle name="Normal 2 10 4 2 2 29" xfId="53247"/>
    <cellStyle name="Normal 2 10 4 2 2 3" xfId="5948"/>
    <cellStyle name="Normal 2 10 4 2 2 30" xfId="54999"/>
    <cellStyle name="Normal 2 10 4 2 2 31" xfId="56751"/>
    <cellStyle name="Normal 2 10 4 2 2 32" xfId="58504"/>
    <cellStyle name="Normal 2 10 4 2 2 33" xfId="60256"/>
    <cellStyle name="Normal 2 10 4 2 2 34" xfId="62008"/>
    <cellStyle name="Normal 2 10 4 2 2 4" xfId="7700"/>
    <cellStyle name="Normal 2 10 4 2 2 5" xfId="9452"/>
    <cellStyle name="Normal 2 10 4 2 2 6" xfId="11205"/>
    <cellStyle name="Normal 2 10 4 2 2 7" xfId="12957"/>
    <cellStyle name="Normal 2 10 4 2 2 8" xfId="14709"/>
    <cellStyle name="Normal 2 10 4 2 2 9" xfId="16461"/>
    <cellStyle name="Normal 2 10 4 2 20" xfId="33109"/>
    <cellStyle name="Normal 2 10 4 2 21" xfId="34330"/>
    <cellStyle name="Normal 2 10 4 2 22" xfId="35745"/>
    <cellStyle name="Normal 2 10 4 2 23" xfId="36951"/>
    <cellStyle name="Normal 2 10 4 2 24" xfId="39238"/>
    <cellStyle name="Normal 2 10 4 2 25" xfId="40993"/>
    <cellStyle name="Normal 2 10 4 2 26" xfId="42745"/>
    <cellStyle name="Normal 2 10 4 2 27" xfId="43951"/>
    <cellStyle name="Normal 2 10 4 2 28" xfId="45363"/>
    <cellStyle name="Normal 2 10 4 2 29" xfId="47115"/>
    <cellStyle name="Normal 2 10 4 2 3" xfId="3320"/>
    <cellStyle name="Normal 2 10 4 2 30" xfId="48867"/>
    <cellStyle name="Normal 2 10 4 2 31" xfId="50619"/>
    <cellStyle name="Normal 2 10 4 2 32" xfId="52371"/>
    <cellStyle name="Normal 2 10 4 2 33" xfId="54123"/>
    <cellStyle name="Normal 2 10 4 2 34" xfId="55875"/>
    <cellStyle name="Normal 2 10 4 2 35" xfId="57628"/>
    <cellStyle name="Normal 2 10 4 2 36" xfId="59380"/>
    <cellStyle name="Normal 2 10 4 2 37" xfId="61132"/>
    <cellStyle name="Normal 2 10 4 2 38" xfId="62338"/>
    <cellStyle name="Normal 2 10 4 2 39" xfId="63204"/>
    <cellStyle name="Normal 2 10 4 2 4" xfId="5072"/>
    <cellStyle name="Normal 2 10 4 2 5" xfId="6824"/>
    <cellStyle name="Normal 2 10 4 2 6" xfId="8576"/>
    <cellStyle name="Normal 2 10 4 2 7" xfId="10329"/>
    <cellStyle name="Normal 2 10 4 2 8" xfId="12081"/>
    <cellStyle name="Normal 2 10 4 2 9" xfId="13833"/>
    <cellStyle name="Normal 2 10 4 20" xfId="30920"/>
    <cellStyle name="Normal 2 10 4 21" xfId="32673"/>
    <cellStyle name="Normal 2 10 4 22" xfId="34329"/>
    <cellStyle name="Normal 2 10 4 23" xfId="35309"/>
    <cellStyle name="Normal 2 10 4 24" xfId="36950"/>
    <cellStyle name="Normal 2 10 4 25" xfId="38802"/>
    <cellStyle name="Normal 2 10 4 26" xfId="40557"/>
    <cellStyle name="Normal 2 10 4 27" xfId="42309"/>
    <cellStyle name="Normal 2 10 4 28" xfId="43950"/>
    <cellStyle name="Normal 2 10 4 29" xfId="44927"/>
    <cellStyle name="Normal 2 10 4 3" xfId="756"/>
    <cellStyle name="Normal 2 10 4 3 10" xfId="17778"/>
    <cellStyle name="Normal 2 10 4 3 11" xfId="19530"/>
    <cellStyle name="Normal 2 10 4 3 12" xfId="21283"/>
    <cellStyle name="Normal 2 10 4 3 13" xfId="23035"/>
    <cellStyle name="Normal 2 10 4 3 14" xfId="24787"/>
    <cellStyle name="Normal 2 10 4 3 15" xfId="26539"/>
    <cellStyle name="Normal 2 10 4 3 16" xfId="28291"/>
    <cellStyle name="Normal 2 10 4 3 17" xfId="30044"/>
    <cellStyle name="Normal 2 10 4 3 18" xfId="31796"/>
    <cellStyle name="Normal 2 10 4 3 19" xfId="33549"/>
    <cellStyle name="Normal 2 10 4 3 2" xfId="3760"/>
    <cellStyle name="Normal 2 10 4 3 20" xfId="36185"/>
    <cellStyle name="Normal 2 10 4 3 21" xfId="37925"/>
    <cellStyle name="Normal 2 10 4 3 22" xfId="39678"/>
    <cellStyle name="Normal 2 10 4 3 23" xfId="41433"/>
    <cellStyle name="Normal 2 10 4 3 24" xfId="43185"/>
    <cellStyle name="Normal 2 10 4 3 25" xfId="45803"/>
    <cellStyle name="Normal 2 10 4 3 26" xfId="47555"/>
    <cellStyle name="Normal 2 10 4 3 27" xfId="49307"/>
    <cellStyle name="Normal 2 10 4 3 28" xfId="51059"/>
    <cellStyle name="Normal 2 10 4 3 29" xfId="52811"/>
    <cellStyle name="Normal 2 10 4 3 3" xfId="5512"/>
    <cellStyle name="Normal 2 10 4 3 30" xfId="54563"/>
    <cellStyle name="Normal 2 10 4 3 31" xfId="56315"/>
    <cellStyle name="Normal 2 10 4 3 32" xfId="58068"/>
    <cellStyle name="Normal 2 10 4 3 33" xfId="59820"/>
    <cellStyle name="Normal 2 10 4 3 34" xfId="61572"/>
    <cellStyle name="Normal 2 10 4 3 4" xfId="7264"/>
    <cellStyle name="Normal 2 10 4 3 5" xfId="9016"/>
    <cellStyle name="Normal 2 10 4 3 6" xfId="10769"/>
    <cellStyle name="Normal 2 10 4 3 7" xfId="12521"/>
    <cellStyle name="Normal 2 10 4 3 8" xfId="14273"/>
    <cellStyle name="Normal 2 10 4 3 9" xfId="16025"/>
    <cellStyle name="Normal 2 10 4 30" xfId="46679"/>
    <cellStyle name="Normal 2 10 4 31" xfId="48431"/>
    <cellStyle name="Normal 2 10 4 32" xfId="50183"/>
    <cellStyle name="Normal 2 10 4 33" xfId="51935"/>
    <cellStyle name="Normal 2 10 4 34" xfId="53687"/>
    <cellStyle name="Normal 2 10 4 35" xfId="55439"/>
    <cellStyle name="Normal 2 10 4 36" xfId="57192"/>
    <cellStyle name="Normal 2 10 4 37" xfId="58944"/>
    <cellStyle name="Normal 2 10 4 38" xfId="60696"/>
    <cellStyle name="Normal 2 10 4 39" xfId="62337"/>
    <cellStyle name="Normal 2 10 4 4" xfId="2884"/>
    <cellStyle name="Normal 2 10 4 40" xfId="63203"/>
    <cellStyle name="Normal 2 10 4 5" xfId="4636"/>
    <cellStyle name="Normal 2 10 4 6" xfId="6388"/>
    <cellStyle name="Normal 2 10 4 7" xfId="8140"/>
    <cellStyle name="Normal 2 10 4 8" xfId="9893"/>
    <cellStyle name="Normal 2 10 4 9" xfId="11645"/>
    <cellStyle name="Normal 2 10 40" xfId="58707"/>
    <cellStyle name="Normal 2 10 41" xfId="60459"/>
    <cellStyle name="Normal 2 10 42" xfId="62324"/>
    <cellStyle name="Normal 2 10 43" xfId="63190"/>
    <cellStyle name="Normal 2 10 5" xfId="757"/>
    <cellStyle name="Normal 2 10 5 10" xfId="15348"/>
    <cellStyle name="Normal 2 10 5 11" xfId="17101"/>
    <cellStyle name="Normal 2 10 5 12" xfId="18853"/>
    <cellStyle name="Normal 2 10 5 13" xfId="20606"/>
    <cellStyle name="Normal 2 10 5 14" xfId="22358"/>
    <cellStyle name="Normal 2 10 5 15" xfId="24110"/>
    <cellStyle name="Normal 2 10 5 16" xfId="25862"/>
    <cellStyle name="Normal 2 10 5 17" xfId="27614"/>
    <cellStyle name="Normal 2 10 5 18" xfId="29367"/>
    <cellStyle name="Normal 2 10 5 19" xfId="31119"/>
    <cellStyle name="Normal 2 10 5 2" xfId="758"/>
    <cellStyle name="Normal 2 10 5 2 10" xfId="17977"/>
    <cellStyle name="Normal 2 10 5 2 11" xfId="19729"/>
    <cellStyle name="Normal 2 10 5 2 12" xfId="21482"/>
    <cellStyle name="Normal 2 10 5 2 13" xfId="23234"/>
    <cellStyle name="Normal 2 10 5 2 14" xfId="24986"/>
    <cellStyle name="Normal 2 10 5 2 15" xfId="26738"/>
    <cellStyle name="Normal 2 10 5 2 16" xfId="28490"/>
    <cellStyle name="Normal 2 10 5 2 17" xfId="30243"/>
    <cellStyle name="Normal 2 10 5 2 18" xfId="31995"/>
    <cellStyle name="Normal 2 10 5 2 19" xfId="33748"/>
    <cellStyle name="Normal 2 10 5 2 2" xfId="3959"/>
    <cellStyle name="Normal 2 10 5 2 20" xfId="36384"/>
    <cellStyle name="Normal 2 10 5 2 21" xfId="38124"/>
    <cellStyle name="Normal 2 10 5 2 22" xfId="39877"/>
    <cellStyle name="Normal 2 10 5 2 23" xfId="41632"/>
    <cellStyle name="Normal 2 10 5 2 24" xfId="43384"/>
    <cellStyle name="Normal 2 10 5 2 25" xfId="46002"/>
    <cellStyle name="Normal 2 10 5 2 26" xfId="47754"/>
    <cellStyle name="Normal 2 10 5 2 27" xfId="49506"/>
    <cellStyle name="Normal 2 10 5 2 28" xfId="51258"/>
    <cellStyle name="Normal 2 10 5 2 29" xfId="53010"/>
    <cellStyle name="Normal 2 10 5 2 3" xfId="5711"/>
    <cellStyle name="Normal 2 10 5 2 30" xfId="54762"/>
    <cellStyle name="Normal 2 10 5 2 31" xfId="56514"/>
    <cellStyle name="Normal 2 10 5 2 32" xfId="58267"/>
    <cellStyle name="Normal 2 10 5 2 33" xfId="60019"/>
    <cellStyle name="Normal 2 10 5 2 34" xfId="61771"/>
    <cellStyle name="Normal 2 10 5 2 4" xfId="7463"/>
    <cellStyle name="Normal 2 10 5 2 5" xfId="9215"/>
    <cellStyle name="Normal 2 10 5 2 6" xfId="10968"/>
    <cellStyle name="Normal 2 10 5 2 7" xfId="12720"/>
    <cellStyle name="Normal 2 10 5 2 8" xfId="14472"/>
    <cellStyle name="Normal 2 10 5 2 9" xfId="16224"/>
    <cellStyle name="Normal 2 10 5 20" xfId="32872"/>
    <cellStyle name="Normal 2 10 5 21" xfId="34331"/>
    <cellStyle name="Normal 2 10 5 22" xfId="35508"/>
    <cellStyle name="Normal 2 10 5 23" xfId="36952"/>
    <cellStyle name="Normal 2 10 5 24" xfId="39001"/>
    <cellStyle name="Normal 2 10 5 25" xfId="40756"/>
    <cellStyle name="Normal 2 10 5 26" xfId="42508"/>
    <cellStyle name="Normal 2 10 5 27" xfId="43952"/>
    <cellStyle name="Normal 2 10 5 28" xfId="45126"/>
    <cellStyle name="Normal 2 10 5 29" xfId="46878"/>
    <cellStyle name="Normal 2 10 5 3" xfId="3083"/>
    <cellStyle name="Normal 2 10 5 30" xfId="48630"/>
    <cellStyle name="Normal 2 10 5 31" xfId="50382"/>
    <cellStyle name="Normal 2 10 5 32" xfId="52134"/>
    <cellStyle name="Normal 2 10 5 33" xfId="53886"/>
    <cellStyle name="Normal 2 10 5 34" xfId="55638"/>
    <cellStyle name="Normal 2 10 5 35" xfId="57391"/>
    <cellStyle name="Normal 2 10 5 36" xfId="59143"/>
    <cellStyle name="Normal 2 10 5 37" xfId="60895"/>
    <cellStyle name="Normal 2 10 5 38" xfId="62339"/>
    <cellStyle name="Normal 2 10 5 39" xfId="63205"/>
    <cellStyle name="Normal 2 10 5 4" xfId="4835"/>
    <cellStyle name="Normal 2 10 5 5" xfId="6587"/>
    <cellStyle name="Normal 2 10 5 6" xfId="8339"/>
    <cellStyle name="Normal 2 10 5 7" xfId="10092"/>
    <cellStyle name="Normal 2 10 5 8" xfId="11844"/>
    <cellStyle name="Normal 2 10 5 9" xfId="13596"/>
    <cellStyle name="Normal 2 10 6" xfId="759"/>
    <cellStyle name="Normal 2 10 6 10" xfId="17541"/>
    <cellStyle name="Normal 2 10 6 11" xfId="19293"/>
    <cellStyle name="Normal 2 10 6 12" xfId="21046"/>
    <cellStyle name="Normal 2 10 6 13" xfId="22798"/>
    <cellStyle name="Normal 2 10 6 14" xfId="24550"/>
    <cellStyle name="Normal 2 10 6 15" xfId="26302"/>
    <cellStyle name="Normal 2 10 6 16" xfId="28054"/>
    <cellStyle name="Normal 2 10 6 17" xfId="29807"/>
    <cellStyle name="Normal 2 10 6 18" xfId="31559"/>
    <cellStyle name="Normal 2 10 6 19" xfId="33312"/>
    <cellStyle name="Normal 2 10 6 2" xfId="3523"/>
    <cellStyle name="Normal 2 10 6 20" xfId="35948"/>
    <cellStyle name="Normal 2 10 6 21" xfId="37691"/>
    <cellStyle name="Normal 2 10 6 22" xfId="39441"/>
    <cellStyle name="Normal 2 10 6 23" xfId="41196"/>
    <cellStyle name="Normal 2 10 6 24" xfId="42948"/>
    <cellStyle name="Normal 2 10 6 25" xfId="45566"/>
    <cellStyle name="Normal 2 10 6 26" xfId="47318"/>
    <cellStyle name="Normal 2 10 6 27" xfId="49070"/>
    <cellStyle name="Normal 2 10 6 28" xfId="50822"/>
    <cellStyle name="Normal 2 10 6 29" xfId="52574"/>
    <cellStyle name="Normal 2 10 6 3" xfId="5275"/>
    <cellStyle name="Normal 2 10 6 30" xfId="54326"/>
    <cellStyle name="Normal 2 10 6 31" xfId="56078"/>
    <cellStyle name="Normal 2 10 6 32" xfId="57831"/>
    <cellStyle name="Normal 2 10 6 33" xfId="59583"/>
    <cellStyle name="Normal 2 10 6 34" xfId="61335"/>
    <cellStyle name="Normal 2 10 6 4" xfId="7027"/>
    <cellStyle name="Normal 2 10 6 5" xfId="8779"/>
    <cellStyle name="Normal 2 10 6 6" xfId="10532"/>
    <cellStyle name="Normal 2 10 6 7" xfId="12284"/>
    <cellStyle name="Normal 2 10 6 8" xfId="14036"/>
    <cellStyle name="Normal 2 10 6 9" xfId="15788"/>
    <cellStyle name="Normal 2 10 7" xfId="2610"/>
    <cellStyle name="Normal 2 10 8" xfId="4399"/>
    <cellStyle name="Normal 2 10 9" xfId="6151"/>
    <cellStyle name="Normal 2 11" xfId="760"/>
    <cellStyle name="Normal 2 11 10" xfId="7904"/>
    <cellStyle name="Normal 2 11 11" xfId="9657"/>
    <cellStyle name="Normal 2 11 12" xfId="11409"/>
    <cellStyle name="Normal 2 11 13" xfId="13161"/>
    <cellStyle name="Normal 2 11 14" xfId="14913"/>
    <cellStyle name="Normal 2 11 15" xfId="16666"/>
    <cellStyle name="Normal 2 11 16" xfId="18418"/>
    <cellStyle name="Normal 2 11 17" xfId="20171"/>
    <cellStyle name="Normal 2 11 18" xfId="21923"/>
    <cellStyle name="Normal 2 11 19" xfId="23675"/>
    <cellStyle name="Normal 2 11 2" xfId="761"/>
    <cellStyle name="Normal 2 11 2 10" xfId="9712"/>
    <cellStyle name="Normal 2 11 2 11" xfId="11464"/>
    <cellStyle name="Normal 2 11 2 12" xfId="13216"/>
    <cellStyle name="Normal 2 11 2 13" xfId="14968"/>
    <cellStyle name="Normal 2 11 2 14" xfId="16721"/>
    <cellStyle name="Normal 2 11 2 15" xfId="18473"/>
    <cellStyle name="Normal 2 11 2 16" xfId="20226"/>
    <cellStyle name="Normal 2 11 2 17" xfId="21978"/>
    <cellStyle name="Normal 2 11 2 18" xfId="23730"/>
    <cellStyle name="Normal 2 11 2 19" xfId="25482"/>
    <cellStyle name="Normal 2 11 2 2" xfId="762"/>
    <cellStyle name="Normal 2 11 2 2 10" xfId="11572"/>
    <cellStyle name="Normal 2 11 2 2 11" xfId="13324"/>
    <cellStyle name="Normal 2 11 2 2 12" xfId="15076"/>
    <cellStyle name="Normal 2 11 2 2 13" xfId="16829"/>
    <cellStyle name="Normal 2 11 2 2 14" xfId="18581"/>
    <cellStyle name="Normal 2 11 2 2 15" xfId="20334"/>
    <cellStyle name="Normal 2 11 2 2 16" xfId="22086"/>
    <cellStyle name="Normal 2 11 2 2 17" xfId="23838"/>
    <cellStyle name="Normal 2 11 2 2 18" xfId="25590"/>
    <cellStyle name="Normal 2 11 2 2 19" xfId="27342"/>
    <cellStyle name="Normal 2 11 2 2 2" xfId="763"/>
    <cellStyle name="Normal 2 11 2 2 2 10" xfId="13398"/>
    <cellStyle name="Normal 2 11 2 2 2 11" xfId="15150"/>
    <cellStyle name="Normal 2 11 2 2 2 12" xfId="16903"/>
    <cellStyle name="Normal 2 11 2 2 2 13" xfId="18655"/>
    <cellStyle name="Normal 2 11 2 2 2 14" xfId="20408"/>
    <cellStyle name="Normal 2 11 2 2 2 15" xfId="22160"/>
    <cellStyle name="Normal 2 11 2 2 2 16" xfId="23912"/>
    <cellStyle name="Normal 2 11 2 2 2 17" xfId="25664"/>
    <cellStyle name="Normal 2 11 2 2 2 18" xfId="27416"/>
    <cellStyle name="Normal 2 11 2 2 2 19" xfId="29169"/>
    <cellStyle name="Normal 2 11 2 2 2 2" xfId="764"/>
    <cellStyle name="Normal 2 11 2 2 2 2 10" xfId="15586"/>
    <cellStyle name="Normal 2 11 2 2 2 2 11" xfId="17339"/>
    <cellStyle name="Normal 2 11 2 2 2 2 12" xfId="19091"/>
    <cellStyle name="Normal 2 11 2 2 2 2 13" xfId="20844"/>
    <cellStyle name="Normal 2 11 2 2 2 2 14" xfId="22596"/>
    <cellStyle name="Normal 2 11 2 2 2 2 15" xfId="24348"/>
    <cellStyle name="Normal 2 11 2 2 2 2 16" xfId="26100"/>
    <cellStyle name="Normal 2 11 2 2 2 2 17" xfId="27852"/>
    <cellStyle name="Normal 2 11 2 2 2 2 18" xfId="29605"/>
    <cellStyle name="Normal 2 11 2 2 2 2 19" xfId="31357"/>
    <cellStyle name="Normal 2 11 2 2 2 2 2" xfId="765"/>
    <cellStyle name="Normal 2 11 2 2 2 2 2 10" xfId="18215"/>
    <cellStyle name="Normal 2 11 2 2 2 2 2 11" xfId="19967"/>
    <cellStyle name="Normal 2 11 2 2 2 2 2 12" xfId="21720"/>
    <cellStyle name="Normal 2 11 2 2 2 2 2 13" xfId="23472"/>
    <cellStyle name="Normal 2 11 2 2 2 2 2 14" xfId="25224"/>
    <cellStyle name="Normal 2 11 2 2 2 2 2 15" xfId="26976"/>
    <cellStyle name="Normal 2 11 2 2 2 2 2 16" xfId="28728"/>
    <cellStyle name="Normal 2 11 2 2 2 2 2 17" xfId="30481"/>
    <cellStyle name="Normal 2 11 2 2 2 2 2 18" xfId="32233"/>
    <cellStyle name="Normal 2 11 2 2 2 2 2 19" xfId="33986"/>
    <cellStyle name="Normal 2 11 2 2 2 2 2 2" xfId="4197"/>
    <cellStyle name="Normal 2 11 2 2 2 2 2 20" xfId="36622"/>
    <cellStyle name="Normal 2 11 2 2 2 2 2 21" xfId="38362"/>
    <cellStyle name="Normal 2 11 2 2 2 2 2 22" xfId="40115"/>
    <cellStyle name="Normal 2 11 2 2 2 2 2 23" xfId="41870"/>
    <cellStyle name="Normal 2 11 2 2 2 2 2 24" xfId="43622"/>
    <cellStyle name="Normal 2 11 2 2 2 2 2 25" xfId="46240"/>
    <cellStyle name="Normal 2 11 2 2 2 2 2 26" xfId="47992"/>
    <cellStyle name="Normal 2 11 2 2 2 2 2 27" xfId="49744"/>
    <cellStyle name="Normal 2 11 2 2 2 2 2 28" xfId="51496"/>
    <cellStyle name="Normal 2 11 2 2 2 2 2 29" xfId="53248"/>
    <cellStyle name="Normal 2 11 2 2 2 2 2 3" xfId="5949"/>
    <cellStyle name="Normal 2 11 2 2 2 2 2 30" xfId="55000"/>
    <cellStyle name="Normal 2 11 2 2 2 2 2 31" xfId="56752"/>
    <cellStyle name="Normal 2 11 2 2 2 2 2 32" xfId="58505"/>
    <cellStyle name="Normal 2 11 2 2 2 2 2 33" xfId="60257"/>
    <cellStyle name="Normal 2 11 2 2 2 2 2 34" xfId="62009"/>
    <cellStyle name="Normal 2 11 2 2 2 2 2 4" xfId="7701"/>
    <cellStyle name="Normal 2 11 2 2 2 2 2 5" xfId="9453"/>
    <cellStyle name="Normal 2 11 2 2 2 2 2 6" xfId="11206"/>
    <cellStyle name="Normal 2 11 2 2 2 2 2 7" xfId="12958"/>
    <cellStyle name="Normal 2 11 2 2 2 2 2 8" xfId="14710"/>
    <cellStyle name="Normal 2 11 2 2 2 2 2 9" xfId="16462"/>
    <cellStyle name="Normal 2 11 2 2 2 2 20" xfId="33110"/>
    <cellStyle name="Normal 2 11 2 2 2 2 21" xfId="34336"/>
    <cellStyle name="Normal 2 11 2 2 2 2 22" xfId="35746"/>
    <cellStyle name="Normal 2 11 2 2 2 2 23" xfId="36957"/>
    <cellStyle name="Normal 2 11 2 2 2 2 24" xfId="39239"/>
    <cellStyle name="Normal 2 11 2 2 2 2 25" xfId="40994"/>
    <cellStyle name="Normal 2 11 2 2 2 2 26" xfId="42746"/>
    <cellStyle name="Normal 2 11 2 2 2 2 27" xfId="43957"/>
    <cellStyle name="Normal 2 11 2 2 2 2 28" xfId="45364"/>
    <cellStyle name="Normal 2 11 2 2 2 2 29" xfId="47116"/>
    <cellStyle name="Normal 2 11 2 2 2 2 3" xfId="3321"/>
    <cellStyle name="Normal 2 11 2 2 2 2 30" xfId="48868"/>
    <cellStyle name="Normal 2 11 2 2 2 2 31" xfId="50620"/>
    <cellStyle name="Normal 2 11 2 2 2 2 32" xfId="52372"/>
    <cellStyle name="Normal 2 11 2 2 2 2 33" xfId="54124"/>
    <cellStyle name="Normal 2 11 2 2 2 2 34" xfId="55876"/>
    <cellStyle name="Normal 2 11 2 2 2 2 35" xfId="57629"/>
    <cellStyle name="Normal 2 11 2 2 2 2 36" xfId="59381"/>
    <cellStyle name="Normal 2 11 2 2 2 2 37" xfId="61133"/>
    <cellStyle name="Normal 2 11 2 2 2 2 38" xfId="62344"/>
    <cellStyle name="Normal 2 11 2 2 2 2 39" xfId="63210"/>
    <cellStyle name="Normal 2 11 2 2 2 2 4" xfId="5073"/>
    <cellStyle name="Normal 2 11 2 2 2 2 5" xfId="6825"/>
    <cellStyle name="Normal 2 11 2 2 2 2 6" xfId="8577"/>
    <cellStyle name="Normal 2 11 2 2 2 2 7" xfId="10330"/>
    <cellStyle name="Normal 2 11 2 2 2 2 8" xfId="12082"/>
    <cellStyle name="Normal 2 11 2 2 2 2 9" xfId="13834"/>
    <cellStyle name="Normal 2 11 2 2 2 20" xfId="30921"/>
    <cellStyle name="Normal 2 11 2 2 2 21" xfId="32674"/>
    <cellStyle name="Normal 2 11 2 2 2 22" xfId="34335"/>
    <cellStyle name="Normal 2 11 2 2 2 23" xfId="35310"/>
    <cellStyle name="Normal 2 11 2 2 2 24" xfId="36956"/>
    <cellStyle name="Normal 2 11 2 2 2 25" xfId="38803"/>
    <cellStyle name="Normal 2 11 2 2 2 26" xfId="40558"/>
    <cellStyle name="Normal 2 11 2 2 2 27" xfId="42310"/>
    <cellStyle name="Normal 2 11 2 2 2 28" xfId="43956"/>
    <cellStyle name="Normal 2 11 2 2 2 29" xfId="44928"/>
    <cellStyle name="Normal 2 11 2 2 2 3" xfId="766"/>
    <cellStyle name="Normal 2 11 2 2 2 3 10" xfId="17779"/>
    <cellStyle name="Normal 2 11 2 2 2 3 11" xfId="19531"/>
    <cellStyle name="Normal 2 11 2 2 2 3 12" xfId="21284"/>
    <cellStyle name="Normal 2 11 2 2 2 3 13" xfId="23036"/>
    <cellStyle name="Normal 2 11 2 2 2 3 14" xfId="24788"/>
    <cellStyle name="Normal 2 11 2 2 2 3 15" xfId="26540"/>
    <cellStyle name="Normal 2 11 2 2 2 3 16" xfId="28292"/>
    <cellStyle name="Normal 2 11 2 2 2 3 17" xfId="30045"/>
    <cellStyle name="Normal 2 11 2 2 2 3 18" xfId="31797"/>
    <cellStyle name="Normal 2 11 2 2 2 3 19" xfId="33550"/>
    <cellStyle name="Normal 2 11 2 2 2 3 2" xfId="3761"/>
    <cellStyle name="Normal 2 11 2 2 2 3 20" xfId="36186"/>
    <cellStyle name="Normal 2 11 2 2 2 3 21" xfId="37926"/>
    <cellStyle name="Normal 2 11 2 2 2 3 22" xfId="39679"/>
    <cellStyle name="Normal 2 11 2 2 2 3 23" xfId="41434"/>
    <cellStyle name="Normal 2 11 2 2 2 3 24" xfId="43186"/>
    <cellStyle name="Normal 2 11 2 2 2 3 25" xfId="45804"/>
    <cellStyle name="Normal 2 11 2 2 2 3 26" xfId="47556"/>
    <cellStyle name="Normal 2 11 2 2 2 3 27" xfId="49308"/>
    <cellStyle name="Normal 2 11 2 2 2 3 28" xfId="51060"/>
    <cellStyle name="Normal 2 11 2 2 2 3 29" xfId="52812"/>
    <cellStyle name="Normal 2 11 2 2 2 3 3" xfId="5513"/>
    <cellStyle name="Normal 2 11 2 2 2 3 30" xfId="54564"/>
    <cellStyle name="Normal 2 11 2 2 2 3 31" xfId="56316"/>
    <cellStyle name="Normal 2 11 2 2 2 3 32" xfId="58069"/>
    <cellStyle name="Normal 2 11 2 2 2 3 33" xfId="59821"/>
    <cellStyle name="Normal 2 11 2 2 2 3 34" xfId="61573"/>
    <cellStyle name="Normal 2 11 2 2 2 3 4" xfId="7265"/>
    <cellStyle name="Normal 2 11 2 2 2 3 5" xfId="9017"/>
    <cellStyle name="Normal 2 11 2 2 2 3 6" xfId="10770"/>
    <cellStyle name="Normal 2 11 2 2 2 3 7" xfId="12522"/>
    <cellStyle name="Normal 2 11 2 2 2 3 8" xfId="14274"/>
    <cellStyle name="Normal 2 11 2 2 2 3 9" xfId="16026"/>
    <cellStyle name="Normal 2 11 2 2 2 30" xfId="46680"/>
    <cellStyle name="Normal 2 11 2 2 2 31" xfId="48432"/>
    <cellStyle name="Normal 2 11 2 2 2 32" xfId="50184"/>
    <cellStyle name="Normal 2 11 2 2 2 33" xfId="51936"/>
    <cellStyle name="Normal 2 11 2 2 2 34" xfId="53688"/>
    <cellStyle name="Normal 2 11 2 2 2 35" xfId="55440"/>
    <cellStyle name="Normal 2 11 2 2 2 36" xfId="57193"/>
    <cellStyle name="Normal 2 11 2 2 2 37" xfId="58945"/>
    <cellStyle name="Normal 2 11 2 2 2 38" xfId="60697"/>
    <cellStyle name="Normal 2 11 2 2 2 39" xfId="62343"/>
    <cellStyle name="Normal 2 11 2 2 2 4" xfId="2885"/>
    <cellStyle name="Normal 2 11 2 2 2 40" xfId="63209"/>
    <cellStyle name="Normal 2 11 2 2 2 5" xfId="4637"/>
    <cellStyle name="Normal 2 11 2 2 2 6" xfId="6389"/>
    <cellStyle name="Normal 2 11 2 2 2 7" xfId="8141"/>
    <cellStyle name="Normal 2 11 2 2 2 8" xfId="9894"/>
    <cellStyle name="Normal 2 11 2 2 2 9" xfId="11646"/>
    <cellStyle name="Normal 2 11 2 2 20" xfId="29095"/>
    <cellStyle name="Normal 2 11 2 2 21" xfId="30847"/>
    <cellStyle name="Normal 2 11 2 2 22" xfId="32600"/>
    <cellStyle name="Normal 2 11 2 2 23" xfId="34334"/>
    <cellStyle name="Normal 2 11 2 2 24" xfId="35236"/>
    <cellStyle name="Normal 2 11 2 2 25" xfId="36955"/>
    <cellStyle name="Normal 2 11 2 2 26" xfId="38729"/>
    <cellStyle name="Normal 2 11 2 2 27" xfId="40484"/>
    <cellStyle name="Normal 2 11 2 2 28" xfId="42236"/>
    <cellStyle name="Normal 2 11 2 2 29" xfId="43955"/>
    <cellStyle name="Normal 2 11 2 2 3" xfId="767"/>
    <cellStyle name="Normal 2 11 2 2 3 10" xfId="15512"/>
    <cellStyle name="Normal 2 11 2 2 3 11" xfId="17265"/>
    <cellStyle name="Normal 2 11 2 2 3 12" xfId="19017"/>
    <cellStyle name="Normal 2 11 2 2 3 13" xfId="20770"/>
    <cellStyle name="Normal 2 11 2 2 3 14" xfId="22522"/>
    <cellStyle name="Normal 2 11 2 2 3 15" xfId="24274"/>
    <cellStyle name="Normal 2 11 2 2 3 16" xfId="26026"/>
    <cellStyle name="Normal 2 11 2 2 3 17" xfId="27778"/>
    <cellStyle name="Normal 2 11 2 2 3 18" xfId="29531"/>
    <cellStyle name="Normal 2 11 2 2 3 19" xfId="31283"/>
    <cellStyle name="Normal 2 11 2 2 3 2" xfId="768"/>
    <cellStyle name="Normal 2 11 2 2 3 2 10" xfId="18141"/>
    <cellStyle name="Normal 2 11 2 2 3 2 11" xfId="19893"/>
    <cellStyle name="Normal 2 11 2 2 3 2 12" xfId="21646"/>
    <cellStyle name="Normal 2 11 2 2 3 2 13" xfId="23398"/>
    <cellStyle name="Normal 2 11 2 2 3 2 14" xfId="25150"/>
    <cellStyle name="Normal 2 11 2 2 3 2 15" xfId="26902"/>
    <cellStyle name="Normal 2 11 2 2 3 2 16" xfId="28654"/>
    <cellStyle name="Normal 2 11 2 2 3 2 17" xfId="30407"/>
    <cellStyle name="Normal 2 11 2 2 3 2 18" xfId="32159"/>
    <cellStyle name="Normal 2 11 2 2 3 2 19" xfId="33912"/>
    <cellStyle name="Normal 2 11 2 2 3 2 2" xfId="4123"/>
    <cellStyle name="Normal 2 11 2 2 3 2 20" xfId="36548"/>
    <cellStyle name="Normal 2 11 2 2 3 2 21" xfId="38288"/>
    <cellStyle name="Normal 2 11 2 2 3 2 22" xfId="40041"/>
    <cellStyle name="Normal 2 11 2 2 3 2 23" xfId="41796"/>
    <cellStyle name="Normal 2 11 2 2 3 2 24" xfId="43548"/>
    <cellStyle name="Normal 2 11 2 2 3 2 25" xfId="46166"/>
    <cellStyle name="Normal 2 11 2 2 3 2 26" xfId="47918"/>
    <cellStyle name="Normal 2 11 2 2 3 2 27" xfId="49670"/>
    <cellStyle name="Normal 2 11 2 2 3 2 28" xfId="51422"/>
    <cellStyle name="Normal 2 11 2 2 3 2 29" xfId="53174"/>
    <cellStyle name="Normal 2 11 2 2 3 2 3" xfId="5875"/>
    <cellStyle name="Normal 2 11 2 2 3 2 30" xfId="54926"/>
    <cellStyle name="Normal 2 11 2 2 3 2 31" xfId="56678"/>
    <cellStyle name="Normal 2 11 2 2 3 2 32" xfId="58431"/>
    <cellStyle name="Normal 2 11 2 2 3 2 33" xfId="60183"/>
    <cellStyle name="Normal 2 11 2 2 3 2 34" xfId="61935"/>
    <cellStyle name="Normal 2 11 2 2 3 2 4" xfId="7627"/>
    <cellStyle name="Normal 2 11 2 2 3 2 5" xfId="9379"/>
    <cellStyle name="Normal 2 11 2 2 3 2 6" xfId="11132"/>
    <cellStyle name="Normal 2 11 2 2 3 2 7" xfId="12884"/>
    <cellStyle name="Normal 2 11 2 2 3 2 8" xfId="14636"/>
    <cellStyle name="Normal 2 11 2 2 3 2 9" xfId="16388"/>
    <cellStyle name="Normal 2 11 2 2 3 20" xfId="33036"/>
    <cellStyle name="Normal 2 11 2 2 3 21" xfId="34337"/>
    <cellStyle name="Normal 2 11 2 2 3 22" xfId="35672"/>
    <cellStyle name="Normal 2 11 2 2 3 23" xfId="36958"/>
    <cellStyle name="Normal 2 11 2 2 3 24" xfId="39165"/>
    <cellStyle name="Normal 2 11 2 2 3 25" xfId="40920"/>
    <cellStyle name="Normal 2 11 2 2 3 26" xfId="42672"/>
    <cellStyle name="Normal 2 11 2 2 3 27" xfId="43958"/>
    <cellStyle name="Normal 2 11 2 2 3 28" xfId="45290"/>
    <cellStyle name="Normal 2 11 2 2 3 29" xfId="47042"/>
    <cellStyle name="Normal 2 11 2 2 3 3" xfId="3247"/>
    <cellStyle name="Normal 2 11 2 2 3 30" xfId="48794"/>
    <cellStyle name="Normal 2 11 2 2 3 31" xfId="50546"/>
    <cellStyle name="Normal 2 11 2 2 3 32" xfId="52298"/>
    <cellStyle name="Normal 2 11 2 2 3 33" xfId="54050"/>
    <cellStyle name="Normal 2 11 2 2 3 34" xfId="55802"/>
    <cellStyle name="Normal 2 11 2 2 3 35" xfId="57555"/>
    <cellStyle name="Normal 2 11 2 2 3 36" xfId="59307"/>
    <cellStyle name="Normal 2 11 2 2 3 37" xfId="61059"/>
    <cellStyle name="Normal 2 11 2 2 3 38" xfId="62345"/>
    <cellStyle name="Normal 2 11 2 2 3 39" xfId="63211"/>
    <cellStyle name="Normal 2 11 2 2 3 4" xfId="4999"/>
    <cellStyle name="Normal 2 11 2 2 3 5" xfId="6751"/>
    <cellStyle name="Normal 2 11 2 2 3 6" xfId="8503"/>
    <cellStyle name="Normal 2 11 2 2 3 7" xfId="10256"/>
    <cellStyle name="Normal 2 11 2 2 3 8" xfId="12008"/>
    <cellStyle name="Normal 2 11 2 2 3 9" xfId="13760"/>
    <cellStyle name="Normal 2 11 2 2 30" xfId="44854"/>
    <cellStyle name="Normal 2 11 2 2 31" xfId="46606"/>
    <cellStyle name="Normal 2 11 2 2 32" xfId="48358"/>
    <cellStyle name="Normal 2 11 2 2 33" xfId="50110"/>
    <cellStyle name="Normal 2 11 2 2 34" xfId="51862"/>
    <cellStyle name="Normal 2 11 2 2 35" xfId="53614"/>
    <cellStyle name="Normal 2 11 2 2 36" xfId="55366"/>
    <cellStyle name="Normal 2 11 2 2 37" xfId="57119"/>
    <cellStyle name="Normal 2 11 2 2 38" xfId="58871"/>
    <cellStyle name="Normal 2 11 2 2 39" xfId="60623"/>
    <cellStyle name="Normal 2 11 2 2 4" xfId="769"/>
    <cellStyle name="Normal 2 11 2 2 4 10" xfId="17705"/>
    <cellStyle name="Normal 2 11 2 2 4 11" xfId="19457"/>
    <cellStyle name="Normal 2 11 2 2 4 12" xfId="21210"/>
    <cellStyle name="Normal 2 11 2 2 4 13" xfId="22962"/>
    <cellStyle name="Normal 2 11 2 2 4 14" xfId="24714"/>
    <cellStyle name="Normal 2 11 2 2 4 15" xfId="26466"/>
    <cellStyle name="Normal 2 11 2 2 4 16" xfId="28218"/>
    <cellStyle name="Normal 2 11 2 2 4 17" xfId="29971"/>
    <cellStyle name="Normal 2 11 2 2 4 18" xfId="31723"/>
    <cellStyle name="Normal 2 11 2 2 4 19" xfId="33476"/>
    <cellStyle name="Normal 2 11 2 2 4 2" xfId="3687"/>
    <cellStyle name="Normal 2 11 2 2 4 20" xfId="36112"/>
    <cellStyle name="Normal 2 11 2 2 4 21" xfId="37852"/>
    <cellStyle name="Normal 2 11 2 2 4 22" xfId="39605"/>
    <cellStyle name="Normal 2 11 2 2 4 23" xfId="41360"/>
    <cellStyle name="Normal 2 11 2 2 4 24" xfId="43112"/>
    <cellStyle name="Normal 2 11 2 2 4 25" xfId="45730"/>
    <cellStyle name="Normal 2 11 2 2 4 26" xfId="47482"/>
    <cellStyle name="Normal 2 11 2 2 4 27" xfId="49234"/>
    <cellStyle name="Normal 2 11 2 2 4 28" xfId="50986"/>
    <cellStyle name="Normal 2 11 2 2 4 29" xfId="52738"/>
    <cellStyle name="Normal 2 11 2 2 4 3" xfId="5439"/>
    <cellStyle name="Normal 2 11 2 2 4 30" xfId="54490"/>
    <cellStyle name="Normal 2 11 2 2 4 31" xfId="56242"/>
    <cellStyle name="Normal 2 11 2 2 4 32" xfId="57995"/>
    <cellStyle name="Normal 2 11 2 2 4 33" xfId="59747"/>
    <cellStyle name="Normal 2 11 2 2 4 34" xfId="61499"/>
    <cellStyle name="Normal 2 11 2 2 4 4" xfId="7191"/>
    <cellStyle name="Normal 2 11 2 2 4 5" xfId="8943"/>
    <cellStyle name="Normal 2 11 2 2 4 6" xfId="10696"/>
    <cellStyle name="Normal 2 11 2 2 4 7" xfId="12448"/>
    <cellStyle name="Normal 2 11 2 2 4 8" xfId="14200"/>
    <cellStyle name="Normal 2 11 2 2 4 9" xfId="15952"/>
    <cellStyle name="Normal 2 11 2 2 40" xfId="62342"/>
    <cellStyle name="Normal 2 11 2 2 41" xfId="63208"/>
    <cellStyle name="Normal 2 11 2 2 5" xfId="2811"/>
    <cellStyle name="Normal 2 11 2 2 6" xfId="4563"/>
    <cellStyle name="Normal 2 11 2 2 7" xfId="6315"/>
    <cellStyle name="Normal 2 11 2 2 8" xfId="8067"/>
    <cellStyle name="Normal 2 11 2 2 9" xfId="9820"/>
    <cellStyle name="Normal 2 11 2 20" xfId="27234"/>
    <cellStyle name="Normal 2 11 2 21" xfId="28987"/>
    <cellStyle name="Normal 2 11 2 22" xfId="30739"/>
    <cellStyle name="Normal 2 11 2 23" xfId="32492"/>
    <cellStyle name="Normal 2 11 2 24" xfId="34333"/>
    <cellStyle name="Normal 2 11 2 25" xfId="35128"/>
    <cellStyle name="Normal 2 11 2 26" xfId="36954"/>
    <cellStyle name="Normal 2 11 2 27" xfId="38621"/>
    <cellStyle name="Normal 2 11 2 28" xfId="40376"/>
    <cellStyle name="Normal 2 11 2 29" xfId="42128"/>
    <cellStyle name="Normal 2 11 2 3" xfId="770"/>
    <cellStyle name="Normal 2 11 2 3 10" xfId="13399"/>
    <cellStyle name="Normal 2 11 2 3 11" xfId="15151"/>
    <cellStyle name="Normal 2 11 2 3 12" xfId="16904"/>
    <cellStyle name="Normal 2 11 2 3 13" xfId="18656"/>
    <cellStyle name="Normal 2 11 2 3 14" xfId="20409"/>
    <cellStyle name="Normal 2 11 2 3 15" xfId="22161"/>
    <cellStyle name="Normal 2 11 2 3 16" xfId="23913"/>
    <cellStyle name="Normal 2 11 2 3 17" xfId="25665"/>
    <cellStyle name="Normal 2 11 2 3 18" xfId="27417"/>
    <cellStyle name="Normal 2 11 2 3 19" xfId="29170"/>
    <cellStyle name="Normal 2 11 2 3 2" xfId="771"/>
    <cellStyle name="Normal 2 11 2 3 2 10" xfId="15587"/>
    <cellStyle name="Normal 2 11 2 3 2 11" xfId="17340"/>
    <cellStyle name="Normal 2 11 2 3 2 12" xfId="19092"/>
    <cellStyle name="Normal 2 11 2 3 2 13" xfId="20845"/>
    <cellStyle name="Normal 2 11 2 3 2 14" xfId="22597"/>
    <cellStyle name="Normal 2 11 2 3 2 15" xfId="24349"/>
    <cellStyle name="Normal 2 11 2 3 2 16" xfId="26101"/>
    <cellStyle name="Normal 2 11 2 3 2 17" xfId="27853"/>
    <cellStyle name="Normal 2 11 2 3 2 18" xfId="29606"/>
    <cellStyle name="Normal 2 11 2 3 2 19" xfId="31358"/>
    <cellStyle name="Normal 2 11 2 3 2 2" xfId="772"/>
    <cellStyle name="Normal 2 11 2 3 2 2 10" xfId="18216"/>
    <cellStyle name="Normal 2 11 2 3 2 2 11" xfId="19968"/>
    <cellStyle name="Normal 2 11 2 3 2 2 12" xfId="21721"/>
    <cellStyle name="Normal 2 11 2 3 2 2 13" xfId="23473"/>
    <cellStyle name="Normal 2 11 2 3 2 2 14" xfId="25225"/>
    <cellStyle name="Normal 2 11 2 3 2 2 15" xfId="26977"/>
    <cellStyle name="Normal 2 11 2 3 2 2 16" xfId="28729"/>
    <cellStyle name="Normal 2 11 2 3 2 2 17" xfId="30482"/>
    <cellStyle name="Normal 2 11 2 3 2 2 18" xfId="32234"/>
    <cellStyle name="Normal 2 11 2 3 2 2 19" xfId="33987"/>
    <cellStyle name="Normal 2 11 2 3 2 2 2" xfId="4198"/>
    <cellStyle name="Normal 2 11 2 3 2 2 20" xfId="36623"/>
    <cellStyle name="Normal 2 11 2 3 2 2 21" xfId="38363"/>
    <cellStyle name="Normal 2 11 2 3 2 2 22" xfId="40116"/>
    <cellStyle name="Normal 2 11 2 3 2 2 23" xfId="41871"/>
    <cellStyle name="Normal 2 11 2 3 2 2 24" xfId="43623"/>
    <cellStyle name="Normal 2 11 2 3 2 2 25" xfId="46241"/>
    <cellStyle name="Normal 2 11 2 3 2 2 26" xfId="47993"/>
    <cellStyle name="Normal 2 11 2 3 2 2 27" xfId="49745"/>
    <cellStyle name="Normal 2 11 2 3 2 2 28" xfId="51497"/>
    <cellStyle name="Normal 2 11 2 3 2 2 29" xfId="53249"/>
    <cellStyle name="Normal 2 11 2 3 2 2 3" xfId="5950"/>
    <cellStyle name="Normal 2 11 2 3 2 2 30" xfId="55001"/>
    <cellStyle name="Normal 2 11 2 3 2 2 31" xfId="56753"/>
    <cellStyle name="Normal 2 11 2 3 2 2 32" xfId="58506"/>
    <cellStyle name="Normal 2 11 2 3 2 2 33" xfId="60258"/>
    <cellStyle name="Normal 2 11 2 3 2 2 34" xfId="62010"/>
    <cellStyle name="Normal 2 11 2 3 2 2 4" xfId="7702"/>
    <cellStyle name="Normal 2 11 2 3 2 2 5" xfId="9454"/>
    <cellStyle name="Normal 2 11 2 3 2 2 6" xfId="11207"/>
    <cellStyle name="Normal 2 11 2 3 2 2 7" xfId="12959"/>
    <cellStyle name="Normal 2 11 2 3 2 2 8" xfId="14711"/>
    <cellStyle name="Normal 2 11 2 3 2 2 9" xfId="16463"/>
    <cellStyle name="Normal 2 11 2 3 2 20" xfId="33111"/>
    <cellStyle name="Normal 2 11 2 3 2 21" xfId="34339"/>
    <cellStyle name="Normal 2 11 2 3 2 22" xfId="35747"/>
    <cellStyle name="Normal 2 11 2 3 2 23" xfId="36960"/>
    <cellStyle name="Normal 2 11 2 3 2 24" xfId="39240"/>
    <cellStyle name="Normal 2 11 2 3 2 25" xfId="40995"/>
    <cellStyle name="Normal 2 11 2 3 2 26" xfId="42747"/>
    <cellStyle name="Normal 2 11 2 3 2 27" xfId="43960"/>
    <cellStyle name="Normal 2 11 2 3 2 28" xfId="45365"/>
    <cellStyle name="Normal 2 11 2 3 2 29" xfId="47117"/>
    <cellStyle name="Normal 2 11 2 3 2 3" xfId="3322"/>
    <cellStyle name="Normal 2 11 2 3 2 30" xfId="48869"/>
    <cellStyle name="Normal 2 11 2 3 2 31" xfId="50621"/>
    <cellStyle name="Normal 2 11 2 3 2 32" xfId="52373"/>
    <cellStyle name="Normal 2 11 2 3 2 33" xfId="54125"/>
    <cellStyle name="Normal 2 11 2 3 2 34" xfId="55877"/>
    <cellStyle name="Normal 2 11 2 3 2 35" xfId="57630"/>
    <cellStyle name="Normal 2 11 2 3 2 36" xfId="59382"/>
    <cellStyle name="Normal 2 11 2 3 2 37" xfId="61134"/>
    <cellStyle name="Normal 2 11 2 3 2 38" xfId="62347"/>
    <cellStyle name="Normal 2 11 2 3 2 39" xfId="63213"/>
    <cellStyle name="Normal 2 11 2 3 2 4" xfId="5074"/>
    <cellStyle name="Normal 2 11 2 3 2 5" xfId="6826"/>
    <cellStyle name="Normal 2 11 2 3 2 6" xfId="8578"/>
    <cellStyle name="Normal 2 11 2 3 2 7" xfId="10331"/>
    <cellStyle name="Normal 2 11 2 3 2 8" xfId="12083"/>
    <cellStyle name="Normal 2 11 2 3 2 9" xfId="13835"/>
    <cellStyle name="Normal 2 11 2 3 20" xfId="30922"/>
    <cellStyle name="Normal 2 11 2 3 21" xfId="32675"/>
    <cellStyle name="Normal 2 11 2 3 22" xfId="34338"/>
    <cellStyle name="Normal 2 11 2 3 23" xfId="35311"/>
    <cellStyle name="Normal 2 11 2 3 24" xfId="36959"/>
    <cellStyle name="Normal 2 11 2 3 25" xfId="38804"/>
    <cellStyle name="Normal 2 11 2 3 26" xfId="40559"/>
    <cellStyle name="Normal 2 11 2 3 27" xfId="42311"/>
    <cellStyle name="Normal 2 11 2 3 28" xfId="43959"/>
    <cellStyle name="Normal 2 11 2 3 29" xfId="44929"/>
    <cellStyle name="Normal 2 11 2 3 3" xfId="773"/>
    <cellStyle name="Normal 2 11 2 3 3 10" xfId="17780"/>
    <cellStyle name="Normal 2 11 2 3 3 11" xfId="19532"/>
    <cellStyle name="Normal 2 11 2 3 3 12" xfId="21285"/>
    <cellStyle name="Normal 2 11 2 3 3 13" xfId="23037"/>
    <cellStyle name="Normal 2 11 2 3 3 14" xfId="24789"/>
    <cellStyle name="Normal 2 11 2 3 3 15" xfId="26541"/>
    <cellStyle name="Normal 2 11 2 3 3 16" xfId="28293"/>
    <cellStyle name="Normal 2 11 2 3 3 17" xfId="30046"/>
    <cellStyle name="Normal 2 11 2 3 3 18" xfId="31798"/>
    <cellStyle name="Normal 2 11 2 3 3 19" xfId="33551"/>
    <cellStyle name="Normal 2 11 2 3 3 2" xfId="3762"/>
    <cellStyle name="Normal 2 11 2 3 3 20" xfId="36187"/>
    <cellStyle name="Normal 2 11 2 3 3 21" xfId="37927"/>
    <cellStyle name="Normal 2 11 2 3 3 22" xfId="39680"/>
    <cellStyle name="Normal 2 11 2 3 3 23" xfId="41435"/>
    <cellStyle name="Normal 2 11 2 3 3 24" xfId="43187"/>
    <cellStyle name="Normal 2 11 2 3 3 25" xfId="45805"/>
    <cellStyle name="Normal 2 11 2 3 3 26" xfId="47557"/>
    <cellStyle name="Normal 2 11 2 3 3 27" xfId="49309"/>
    <cellStyle name="Normal 2 11 2 3 3 28" xfId="51061"/>
    <cellStyle name="Normal 2 11 2 3 3 29" xfId="52813"/>
    <cellStyle name="Normal 2 11 2 3 3 3" xfId="5514"/>
    <cellStyle name="Normal 2 11 2 3 3 30" xfId="54565"/>
    <cellStyle name="Normal 2 11 2 3 3 31" xfId="56317"/>
    <cellStyle name="Normal 2 11 2 3 3 32" xfId="58070"/>
    <cellStyle name="Normal 2 11 2 3 3 33" xfId="59822"/>
    <cellStyle name="Normal 2 11 2 3 3 34" xfId="61574"/>
    <cellStyle name="Normal 2 11 2 3 3 4" xfId="7266"/>
    <cellStyle name="Normal 2 11 2 3 3 5" xfId="9018"/>
    <cellStyle name="Normal 2 11 2 3 3 6" xfId="10771"/>
    <cellStyle name="Normal 2 11 2 3 3 7" xfId="12523"/>
    <cellStyle name="Normal 2 11 2 3 3 8" xfId="14275"/>
    <cellStyle name="Normal 2 11 2 3 3 9" xfId="16027"/>
    <cellStyle name="Normal 2 11 2 3 30" xfId="46681"/>
    <cellStyle name="Normal 2 11 2 3 31" xfId="48433"/>
    <cellStyle name="Normal 2 11 2 3 32" xfId="50185"/>
    <cellStyle name="Normal 2 11 2 3 33" xfId="51937"/>
    <cellStyle name="Normal 2 11 2 3 34" xfId="53689"/>
    <cellStyle name="Normal 2 11 2 3 35" xfId="55441"/>
    <cellStyle name="Normal 2 11 2 3 36" xfId="57194"/>
    <cellStyle name="Normal 2 11 2 3 37" xfId="58946"/>
    <cellStyle name="Normal 2 11 2 3 38" xfId="60698"/>
    <cellStyle name="Normal 2 11 2 3 39" xfId="62346"/>
    <cellStyle name="Normal 2 11 2 3 4" xfId="2886"/>
    <cellStyle name="Normal 2 11 2 3 40" xfId="63212"/>
    <cellStyle name="Normal 2 11 2 3 5" xfId="4638"/>
    <cellStyle name="Normal 2 11 2 3 6" xfId="6390"/>
    <cellStyle name="Normal 2 11 2 3 7" xfId="8142"/>
    <cellStyle name="Normal 2 11 2 3 8" xfId="9895"/>
    <cellStyle name="Normal 2 11 2 3 9" xfId="11647"/>
    <cellStyle name="Normal 2 11 2 30" xfId="43954"/>
    <cellStyle name="Normal 2 11 2 31" xfId="44746"/>
    <cellStyle name="Normal 2 11 2 32" xfId="46498"/>
    <cellStyle name="Normal 2 11 2 33" xfId="48250"/>
    <cellStyle name="Normal 2 11 2 34" xfId="50002"/>
    <cellStyle name="Normal 2 11 2 35" xfId="51754"/>
    <cellStyle name="Normal 2 11 2 36" xfId="53506"/>
    <cellStyle name="Normal 2 11 2 37" xfId="55258"/>
    <cellStyle name="Normal 2 11 2 38" xfId="57011"/>
    <cellStyle name="Normal 2 11 2 39" xfId="58763"/>
    <cellStyle name="Normal 2 11 2 4" xfId="774"/>
    <cellStyle name="Normal 2 11 2 4 10" xfId="15404"/>
    <cellStyle name="Normal 2 11 2 4 11" xfId="17157"/>
    <cellStyle name="Normal 2 11 2 4 12" xfId="18909"/>
    <cellStyle name="Normal 2 11 2 4 13" xfId="20662"/>
    <cellStyle name="Normal 2 11 2 4 14" xfId="22414"/>
    <cellStyle name="Normal 2 11 2 4 15" xfId="24166"/>
    <cellStyle name="Normal 2 11 2 4 16" xfId="25918"/>
    <cellStyle name="Normal 2 11 2 4 17" xfId="27670"/>
    <cellStyle name="Normal 2 11 2 4 18" xfId="29423"/>
    <cellStyle name="Normal 2 11 2 4 19" xfId="31175"/>
    <cellStyle name="Normal 2 11 2 4 2" xfId="775"/>
    <cellStyle name="Normal 2 11 2 4 2 10" xfId="18033"/>
    <cellStyle name="Normal 2 11 2 4 2 11" xfId="19785"/>
    <cellStyle name="Normal 2 11 2 4 2 12" xfId="21538"/>
    <cellStyle name="Normal 2 11 2 4 2 13" xfId="23290"/>
    <cellStyle name="Normal 2 11 2 4 2 14" xfId="25042"/>
    <cellStyle name="Normal 2 11 2 4 2 15" xfId="26794"/>
    <cellStyle name="Normal 2 11 2 4 2 16" xfId="28546"/>
    <cellStyle name="Normal 2 11 2 4 2 17" xfId="30299"/>
    <cellStyle name="Normal 2 11 2 4 2 18" xfId="32051"/>
    <cellStyle name="Normal 2 11 2 4 2 19" xfId="33804"/>
    <cellStyle name="Normal 2 11 2 4 2 2" xfId="4015"/>
    <cellStyle name="Normal 2 11 2 4 2 20" xfId="36440"/>
    <cellStyle name="Normal 2 11 2 4 2 21" xfId="38180"/>
    <cellStyle name="Normal 2 11 2 4 2 22" xfId="39933"/>
    <cellStyle name="Normal 2 11 2 4 2 23" xfId="41688"/>
    <cellStyle name="Normal 2 11 2 4 2 24" xfId="43440"/>
    <cellStyle name="Normal 2 11 2 4 2 25" xfId="46058"/>
    <cellStyle name="Normal 2 11 2 4 2 26" xfId="47810"/>
    <cellStyle name="Normal 2 11 2 4 2 27" xfId="49562"/>
    <cellStyle name="Normal 2 11 2 4 2 28" xfId="51314"/>
    <cellStyle name="Normal 2 11 2 4 2 29" xfId="53066"/>
    <cellStyle name="Normal 2 11 2 4 2 3" xfId="5767"/>
    <cellStyle name="Normal 2 11 2 4 2 30" xfId="54818"/>
    <cellStyle name="Normal 2 11 2 4 2 31" xfId="56570"/>
    <cellStyle name="Normal 2 11 2 4 2 32" xfId="58323"/>
    <cellStyle name="Normal 2 11 2 4 2 33" xfId="60075"/>
    <cellStyle name="Normal 2 11 2 4 2 34" xfId="61827"/>
    <cellStyle name="Normal 2 11 2 4 2 4" xfId="7519"/>
    <cellStyle name="Normal 2 11 2 4 2 5" xfId="9271"/>
    <cellStyle name="Normal 2 11 2 4 2 6" xfId="11024"/>
    <cellStyle name="Normal 2 11 2 4 2 7" xfId="12776"/>
    <cellStyle name="Normal 2 11 2 4 2 8" xfId="14528"/>
    <cellStyle name="Normal 2 11 2 4 2 9" xfId="16280"/>
    <cellStyle name="Normal 2 11 2 4 20" xfId="32928"/>
    <cellStyle name="Normal 2 11 2 4 21" xfId="34340"/>
    <cellStyle name="Normal 2 11 2 4 22" xfId="35564"/>
    <cellStyle name="Normal 2 11 2 4 23" xfId="36961"/>
    <cellStyle name="Normal 2 11 2 4 24" xfId="39057"/>
    <cellStyle name="Normal 2 11 2 4 25" xfId="40812"/>
    <cellStyle name="Normal 2 11 2 4 26" xfId="42564"/>
    <cellStyle name="Normal 2 11 2 4 27" xfId="43961"/>
    <cellStyle name="Normal 2 11 2 4 28" xfId="45182"/>
    <cellStyle name="Normal 2 11 2 4 29" xfId="46934"/>
    <cellStyle name="Normal 2 11 2 4 3" xfId="3139"/>
    <cellStyle name="Normal 2 11 2 4 30" xfId="48686"/>
    <cellStyle name="Normal 2 11 2 4 31" xfId="50438"/>
    <cellStyle name="Normal 2 11 2 4 32" xfId="52190"/>
    <cellStyle name="Normal 2 11 2 4 33" xfId="53942"/>
    <cellStyle name="Normal 2 11 2 4 34" xfId="55694"/>
    <cellStyle name="Normal 2 11 2 4 35" xfId="57447"/>
    <cellStyle name="Normal 2 11 2 4 36" xfId="59199"/>
    <cellStyle name="Normal 2 11 2 4 37" xfId="60951"/>
    <cellStyle name="Normal 2 11 2 4 38" xfId="62348"/>
    <cellStyle name="Normal 2 11 2 4 39" xfId="63214"/>
    <cellStyle name="Normal 2 11 2 4 4" xfId="4891"/>
    <cellStyle name="Normal 2 11 2 4 5" xfId="6643"/>
    <cellStyle name="Normal 2 11 2 4 6" xfId="8395"/>
    <cellStyle name="Normal 2 11 2 4 7" xfId="10148"/>
    <cellStyle name="Normal 2 11 2 4 8" xfId="11900"/>
    <cellStyle name="Normal 2 11 2 4 9" xfId="13652"/>
    <cellStyle name="Normal 2 11 2 40" xfId="60515"/>
    <cellStyle name="Normal 2 11 2 41" xfId="62341"/>
    <cellStyle name="Normal 2 11 2 42" xfId="63207"/>
    <cellStyle name="Normal 2 11 2 5" xfId="776"/>
    <cellStyle name="Normal 2 11 2 5 10" xfId="17597"/>
    <cellStyle name="Normal 2 11 2 5 11" xfId="19349"/>
    <cellStyle name="Normal 2 11 2 5 12" xfId="21102"/>
    <cellStyle name="Normal 2 11 2 5 13" xfId="22854"/>
    <cellStyle name="Normal 2 11 2 5 14" xfId="24606"/>
    <cellStyle name="Normal 2 11 2 5 15" xfId="26358"/>
    <cellStyle name="Normal 2 11 2 5 16" xfId="28110"/>
    <cellStyle name="Normal 2 11 2 5 17" xfId="29863"/>
    <cellStyle name="Normal 2 11 2 5 18" xfId="31615"/>
    <cellStyle name="Normal 2 11 2 5 19" xfId="33368"/>
    <cellStyle name="Normal 2 11 2 5 2" xfId="3579"/>
    <cellStyle name="Normal 2 11 2 5 20" xfId="36004"/>
    <cellStyle name="Normal 2 11 2 5 21" xfId="37739"/>
    <cellStyle name="Normal 2 11 2 5 22" xfId="39497"/>
    <cellStyle name="Normal 2 11 2 5 23" xfId="41252"/>
    <cellStyle name="Normal 2 11 2 5 24" xfId="43004"/>
    <cellStyle name="Normal 2 11 2 5 25" xfId="45622"/>
    <cellStyle name="Normal 2 11 2 5 26" xfId="47374"/>
    <cellStyle name="Normal 2 11 2 5 27" xfId="49126"/>
    <cellStyle name="Normal 2 11 2 5 28" xfId="50878"/>
    <cellStyle name="Normal 2 11 2 5 29" xfId="52630"/>
    <cellStyle name="Normal 2 11 2 5 3" xfId="5331"/>
    <cellStyle name="Normal 2 11 2 5 30" xfId="54382"/>
    <cellStyle name="Normal 2 11 2 5 31" xfId="56134"/>
    <cellStyle name="Normal 2 11 2 5 32" xfId="57887"/>
    <cellStyle name="Normal 2 11 2 5 33" xfId="59639"/>
    <cellStyle name="Normal 2 11 2 5 34" xfId="61391"/>
    <cellStyle name="Normal 2 11 2 5 4" xfId="7083"/>
    <cellStyle name="Normal 2 11 2 5 5" xfId="8835"/>
    <cellStyle name="Normal 2 11 2 5 6" xfId="10588"/>
    <cellStyle name="Normal 2 11 2 5 7" xfId="12340"/>
    <cellStyle name="Normal 2 11 2 5 8" xfId="14092"/>
    <cellStyle name="Normal 2 11 2 5 9" xfId="15844"/>
    <cellStyle name="Normal 2 11 2 6" xfId="2703"/>
    <cellStyle name="Normal 2 11 2 7" xfId="4455"/>
    <cellStyle name="Normal 2 11 2 8" xfId="6207"/>
    <cellStyle name="Normal 2 11 2 9" xfId="7959"/>
    <cellStyle name="Normal 2 11 20" xfId="25427"/>
    <cellStyle name="Normal 2 11 21" xfId="27179"/>
    <cellStyle name="Normal 2 11 22" xfId="28932"/>
    <cellStyle name="Normal 2 11 23" xfId="30684"/>
    <cellStyle name="Normal 2 11 24" xfId="32437"/>
    <cellStyle name="Normal 2 11 25" xfId="34332"/>
    <cellStyle name="Normal 2 11 26" xfId="35073"/>
    <cellStyle name="Normal 2 11 27" xfId="36953"/>
    <cellStyle name="Normal 2 11 28" xfId="38566"/>
    <cellStyle name="Normal 2 11 29" xfId="40321"/>
    <cellStyle name="Normal 2 11 3" xfId="777"/>
    <cellStyle name="Normal 2 11 3 10" xfId="11517"/>
    <cellStyle name="Normal 2 11 3 11" xfId="13269"/>
    <cellStyle name="Normal 2 11 3 12" xfId="15021"/>
    <cellStyle name="Normal 2 11 3 13" xfId="16774"/>
    <cellStyle name="Normal 2 11 3 14" xfId="18526"/>
    <cellStyle name="Normal 2 11 3 15" xfId="20279"/>
    <cellStyle name="Normal 2 11 3 16" xfId="22031"/>
    <cellStyle name="Normal 2 11 3 17" xfId="23783"/>
    <cellStyle name="Normal 2 11 3 18" xfId="25535"/>
    <cellStyle name="Normal 2 11 3 19" xfId="27287"/>
    <cellStyle name="Normal 2 11 3 2" xfId="778"/>
    <cellStyle name="Normal 2 11 3 2 10" xfId="13400"/>
    <cellStyle name="Normal 2 11 3 2 11" xfId="15152"/>
    <cellStyle name="Normal 2 11 3 2 12" xfId="16905"/>
    <cellStyle name="Normal 2 11 3 2 13" xfId="18657"/>
    <cellStyle name="Normal 2 11 3 2 14" xfId="20410"/>
    <cellStyle name="Normal 2 11 3 2 15" xfId="22162"/>
    <cellStyle name="Normal 2 11 3 2 16" xfId="23914"/>
    <cellStyle name="Normal 2 11 3 2 17" xfId="25666"/>
    <cellStyle name="Normal 2 11 3 2 18" xfId="27418"/>
    <cellStyle name="Normal 2 11 3 2 19" xfId="29171"/>
    <cellStyle name="Normal 2 11 3 2 2" xfId="779"/>
    <cellStyle name="Normal 2 11 3 2 2 10" xfId="15588"/>
    <cellStyle name="Normal 2 11 3 2 2 11" xfId="17341"/>
    <cellStyle name="Normal 2 11 3 2 2 12" xfId="19093"/>
    <cellStyle name="Normal 2 11 3 2 2 13" xfId="20846"/>
    <cellStyle name="Normal 2 11 3 2 2 14" xfId="22598"/>
    <cellStyle name="Normal 2 11 3 2 2 15" xfId="24350"/>
    <cellStyle name="Normal 2 11 3 2 2 16" xfId="26102"/>
    <cellStyle name="Normal 2 11 3 2 2 17" xfId="27854"/>
    <cellStyle name="Normal 2 11 3 2 2 18" xfId="29607"/>
    <cellStyle name="Normal 2 11 3 2 2 19" xfId="31359"/>
    <cellStyle name="Normal 2 11 3 2 2 2" xfId="780"/>
    <cellStyle name="Normal 2 11 3 2 2 2 10" xfId="18217"/>
    <cellStyle name="Normal 2 11 3 2 2 2 11" xfId="19969"/>
    <cellStyle name="Normal 2 11 3 2 2 2 12" xfId="21722"/>
    <cellStyle name="Normal 2 11 3 2 2 2 13" xfId="23474"/>
    <cellStyle name="Normal 2 11 3 2 2 2 14" xfId="25226"/>
    <cellStyle name="Normal 2 11 3 2 2 2 15" xfId="26978"/>
    <cellStyle name="Normal 2 11 3 2 2 2 16" xfId="28730"/>
    <cellStyle name="Normal 2 11 3 2 2 2 17" xfId="30483"/>
    <cellStyle name="Normal 2 11 3 2 2 2 18" xfId="32235"/>
    <cellStyle name="Normal 2 11 3 2 2 2 19" xfId="33988"/>
    <cellStyle name="Normal 2 11 3 2 2 2 2" xfId="4199"/>
    <cellStyle name="Normal 2 11 3 2 2 2 20" xfId="36624"/>
    <cellStyle name="Normal 2 11 3 2 2 2 21" xfId="38364"/>
    <cellStyle name="Normal 2 11 3 2 2 2 22" xfId="40117"/>
    <cellStyle name="Normal 2 11 3 2 2 2 23" xfId="41872"/>
    <cellStyle name="Normal 2 11 3 2 2 2 24" xfId="43624"/>
    <cellStyle name="Normal 2 11 3 2 2 2 25" xfId="46242"/>
    <cellStyle name="Normal 2 11 3 2 2 2 26" xfId="47994"/>
    <cellStyle name="Normal 2 11 3 2 2 2 27" xfId="49746"/>
    <cellStyle name="Normal 2 11 3 2 2 2 28" xfId="51498"/>
    <cellStyle name="Normal 2 11 3 2 2 2 29" xfId="53250"/>
    <cellStyle name="Normal 2 11 3 2 2 2 3" xfId="5951"/>
    <cellStyle name="Normal 2 11 3 2 2 2 30" xfId="55002"/>
    <cellStyle name="Normal 2 11 3 2 2 2 31" xfId="56754"/>
    <cellStyle name="Normal 2 11 3 2 2 2 32" xfId="58507"/>
    <cellStyle name="Normal 2 11 3 2 2 2 33" xfId="60259"/>
    <cellStyle name="Normal 2 11 3 2 2 2 34" xfId="62011"/>
    <cellStyle name="Normal 2 11 3 2 2 2 4" xfId="7703"/>
    <cellStyle name="Normal 2 11 3 2 2 2 5" xfId="9455"/>
    <cellStyle name="Normal 2 11 3 2 2 2 6" xfId="11208"/>
    <cellStyle name="Normal 2 11 3 2 2 2 7" xfId="12960"/>
    <cellStyle name="Normal 2 11 3 2 2 2 8" xfId="14712"/>
    <cellStyle name="Normal 2 11 3 2 2 2 9" xfId="16464"/>
    <cellStyle name="Normal 2 11 3 2 2 20" xfId="33112"/>
    <cellStyle name="Normal 2 11 3 2 2 21" xfId="34343"/>
    <cellStyle name="Normal 2 11 3 2 2 22" xfId="35748"/>
    <cellStyle name="Normal 2 11 3 2 2 23" xfId="36964"/>
    <cellStyle name="Normal 2 11 3 2 2 24" xfId="39241"/>
    <cellStyle name="Normal 2 11 3 2 2 25" xfId="40996"/>
    <cellStyle name="Normal 2 11 3 2 2 26" xfId="42748"/>
    <cellStyle name="Normal 2 11 3 2 2 27" xfId="43964"/>
    <cellStyle name="Normal 2 11 3 2 2 28" xfId="45366"/>
    <cellStyle name="Normal 2 11 3 2 2 29" xfId="47118"/>
    <cellStyle name="Normal 2 11 3 2 2 3" xfId="3323"/>
    <cellStyle name="Normal 2 11 3 2 2 30" xfId="48870"/>
    <cellStyle name="Normal 2 11 3 2 2 31" xfId="50622"/>
    <cellStyle name="Normal 2 11 3 2 2 32" xfId="52374"/>
    <cellStyle name="Normal 2 11 3 2 2 33" xfId="54126"/>
    <cellStyle name="Normal 2 11 3 2 2 34" xfId="55878"/>
    <cellStyle name="Normal 2 11 3 2 2 35" xfId="57631"/>
    <cellStyle name="Normal 2 11 3 2 2 36" xfId="59383"/>
    <cellStyle name="Normal 2 11 3 2 2 37" xfId="61135"/>
    <cellStyle name="Normal 2 11 3 2 2 38" xfId="62351"/>
    <cellStyle name="Normal 2 11 3 2 2 39" xfId="63217"/>
    <cellStyle name="Normal 2 11 3 2 2 4" xfId="5075"/>
    <cellStyle name="Normal 2 11 3 2 2 5" xfId="6827"/>
    <cellStyle name="Normal 2 11 3 2 2 6" xfId="8579"/>
    <cellStyle name="Normal 2 11 3 2 2 7" xfId="10332"/>
    <cellStyle name="Normal 2 11 3 2 2 8" xfId="12084"/>
    <cellStyle name="Normal 2 11 3 2 2 9" xfId="13836"/>
    <cellStyle name="Normal 2 11 3 2 20" xfId="30923"/>
    <cellStyle name="Normal 2 11 3 2 21" xfId="32676"/>
    <cellStyle name="Normal 2 11 3 2 22" xfId="34342"/>
    <cellStyle name="Normal 2 11 3 2 23" xfId="35312"/>
    <cellStyle name="Normal 2 11 3 2 24" xfId="36963"/>
    <cellStyle name="Normal 2 11 3 2 25" xfId="38805"/>
    <cellStyle name="Normal 2 11 3 2 26" xfId="40560"/>
    <cellStyle name="Normal 2 11 3 2 27" xfId="42312"/>
    <cellStyle name="Normal 2 11 3 2 28" xfId="43963"/>
    <cellStyle name="Normal 2 11 3 2 29" xfId="44930"/>
    <cellStyle name="Normal 2 11 3 2 3" xfId="781"/>
    <cellStyle name="Normal 2 11 3 2 3 10" xfId="17781"/>
    <cellStyle name="Normal 2 11 3 2 3 11" xfId="19533"/>
    <cellStyle name="Normal 2 11 3 2 3 12" xfId="21286"/>
    <cellStyle name="Normal 2 11 3 2 3 13" xfId="23038"/>
    <cellStyle name="Normal 2 11 3 2 3 14" xfId="24790"/>
    <cellStyle name="Normal 2 11 3 2 3 15" xfId="26542"/>
    <cellStyle name="Normal 2 11 3 2 3 16" xfId="28294"/>
    <cellStyle name="Normal 2 11 3 2 3 17" xfId="30047"/>
    <cellStyle name="Normal 2 11 3 2 3 18" xfId="31799"/>
    <cellStyle name="Normal 2 11 3 2 3 19" xfId="33552"/>
    <cellStyle name="Normal 2 11 3 2 3 2" xfId="3763"/>
    <cellStyle name="Normal 2 11 3 2 3 20" xfId="36188"/>
    <cellStyle name="Normal 2 11 3 2 3 21" xfId="37928"/>
    <cellStyle name="Normal 2 11 3 2 3 22" xfId="39681"/>
    <cellStyle name="Normal 2 11 3 2 3 23" xfId="41436"/>
    <cellStyle name="Normal 2 11 3 2 3 24" xfId="43188"/>
    <cellStyle name="Normal 2 11 3 2 3 25" xfId="45806"/>
    <cellStyle name="Normal 2 11 3 2 3 26" xfId="47558"/>
    <cellStyle name="Normal 2 11 3 2 3 27" xfId="49310"/>
    <cellStyle name="Normal 2 11 3 2 3 28" xfId="51062"/>
    <cellStyle name="Normal 2 11 3 2 3 29" xfId="52814"/>
    <cellStyle name="Normal 2 11 3 2 3 3" xfId="5515"/>
    <cellStyle name="Normal 2 11 3 2 3 30" xfId="54566"/>
    <cellStyle name="Normal 2 11 3 2 3 31" xfId="56318"/>
    <cellStyle name="Normal 2 11 3 2 3 32" xfId="58071"/>
    <cellStyle name="Normal 2 11 3 2 3 33" xfId="59823"/>
    <cellStyle name="Normal 2 11 3 2 3 34" xfId="61575"/>
    <cellStyle name="Normal 2 11 3 2 3 4" xfId="7267"/>
    <cellStyle name="Normal 2 11 3 2 3 5" xfId="9019"/>
    <cellStyle name="Normal 2 11 3 2 3 6" xfId="10772"/>
    <cellStyle name="Normal 2 11 3 2 3 7" xfId="12524"/>
    <cellStyle name="Normal 2 11 3 2 3 8" xfId="14276"/>
    <cellStyle name="Normal 2 11 3 2 3 9" xfId="16028"/>
    <cellStyle name="Normal 2 11 3 2 30" xfId="46682"/>
    <cellStyle name="Normal 2 11 3 2 31" xfId="48434"/>
    <cellStyle name="Normal 2 11 3 2 32" xfId="50186"/>
    <cellStyle name="Normal 2 11 3 2 33" xfId="51938"/>
    <cellStyle name="Normal 2 11 3 2 34" xfId="53690"/>
    <cellStyle name="Normal 2 11 3 2 35" xfId="55442"/>
    <cellStyle name="Normal 2 11 3 2 36" xfId="57195"/>
    <cellStyle name="Normal 2 11 3 2 37" xfId="58947"/>
    <cellStyle name="Normal 2 11 3 2 38" xfId="60699"/>
    <cellStyle name="Normal 2 11 3 2 39" xfId="62350"/>
    <cellStyle name="Normal 2 11 3 2 4" xfId="2887"/>
    <cellStyle name="Normal 2 11 3 2 40" xfId="63216"/>
    <cellStyle name="Normal 2 11 3 2 5" xfId="4639"/>
    <cellStyle name="Normal 2 11 3 2 6" xfId="6391"/>
    <cellStyle name="Normal 2 11 3 2 7" xfId="8143"/>
    <cellStyle name="Normal 2 11 3 2 8" xfId="9896"/>
    <cellStyle name="Normal 2 11 3 2 9" xfId="11648"/>
    <cellStyle name="Normal 2 11 3 20" xfId="29040"/>
    <cellStyle name="Normal 2 11 3 21" xfId="30792"/>
    <cellStyle name="Normal 2 11 3 22" xfId="32545"/>
    <cellStyle name="Normal 2 11 3 23" xfId="34341"/>
    <cellStyle name="Normal 2 11 3 24" xfId="35181"/>
    <cellStyle name="Normal 2 11 3 25" xfId="36962"/>
    <cellStyle name="Normal 2 11 3 26" xfId="38674"/>
    <cellStyle name="Normal 2 11 3 27" xfId="40429"/>
    <cellStyle name="Normal 2 11 3 28" xfId="42181"/>
    <cellStyle name="Normal 2 11 3 29" xfId="43962"/>
    <cellStyle name="Normal 2 11 3 3" xfId="782"/>
    <cellStyle name="Normal 2 11 3 3 10" xfId="15457"/>
    <cellStyle name="Normal 2 11 3 3 11" xfId="17210"/>
    <cellStyle name="Normal 2 11 3 3 12" xfId="18962"/>
    <cellStyle name="Normal 2 11 3 3 13" xfId="20715"/>
    <cellStyle name="Normal 2 11 3 3 14" xfId="22467"/>
    <cellStyle name="Normal 2 11 3 3 15" xfId="24219"/>
    <cellStyle name="Normal 2 11 3 3 16" xfId="25971"/>
    <cellStyle name="Normal 2 11 3 3 17" xfId="27723"/>
    <cellStyle name="Normal 2 11 3 3 18" xfId="29476"/>
    <cellStyle name="Normal 2 11 3 3 19" xfId="31228"/>
    <cellStyle name="Normal 2 11 3 3 2" xfId="783"/>
    <cellStyle name="Normal 2 11 3 3 2 10" xfId="18086"/>
    <cellStyle name="Normal 2 11 3 3 2 11" xfId="19838"/>
    <cellStyle name="Normal 2 11 3 3 2 12" xfId="21591"/>
    <cellStyle name="Normal 2 11 3 3 2 13" xfId="23343"/>
    <cellStyle name="Normal 2 11 3 3 2 14" xfId="25095"/>
    <cellStyle name="Normal 2 11 3 3 2 15" xfId="26847"/>
    <cellStyle name="Normal 2 11 3 3 2 16" xfId="28599"/>
    <cellStyle name="Normal 2 11 3 3 2 17" xfId="30352"/>
    <cellStyle name="Normal 2 11 3 3 2 18" xfId="32104"/>
    <cellStyle name="Normal 2 11 3 3 2 19" xfId="33857"/>
    <cellStyle name="Normal 2 11 3 3 2 2" xfId="4068"/>
    <cellStyle name="Normal 2 11 3 3 2 20" xfId="36493"/>
    <cellStyle name="Normal 2 11 3 3 2 21" xfId="38233"/>
    <cellStyle name="Normal 2 11 3 3 2 22" xfId="39986"/>
    <cellStyle name="Normal 2 11 3 3 2 23" xfId="41741"/>
    <cellStyle name="Normal 2 11 3 3 2 24" xfId="43493"/>
    <cellStyle name="Normal 2 11 3 3 2 25" xfId="46111"/>
    <cellStyle name="Normal 2 11 3 3 2 26" xfId="47863"/>
    <cellStyle name="Normal 2 11 3 3 2 27" xfId="49615"/>
    <cellStyle name="Normal 2 11 3 3 2 28" xfId="51367"/>
    <cellStyle name="Normal 2 11 3 3 2 29" xfId="53119"/>
    <cellStyle name="Normal 2 11 3 3 2 3" xfId="5820"/>
    <cellStyle name="Normal 2 11 3 3 2 30" xfId="54871"/>
    <cellStyle name="Normal 2 11 3 3 2 31" xfId="56623"/>
    <cellStyle name="Normal 2 11 3 3 2 32" xfId="58376"/>
    <cellStyle name="Normal 2 11 3 3 2 33" xfId="60128"/>
    <cellStyle name="Normal 2 11 3 3 2 34" xfId="61880"/>
    <cellStyle name="Normal 2 11 3 3 2 4" xfId="7572"/>
    <cellStyle name="Normal 2 11 3 3 2 5" xfId="9324"/>
    <cellStyle name="Normal 2 11 3 3 2 6" xfId="11077"/>
    <cellStyle name="Normal 2 11 3 3 2 7" xfId="12829"/>
    <cellStyle name="Normal 2 11 3 3 2 8" xfId="14581"/>
    <cellStyle name="Normal 2 11 3 3 2 9" xfId="16333"/>
    <cellStyle name="Normal 2 11 3 3 20" xfId="32981"/>
    <cellStyle name="Normal 2 11 3 3 21" xfId="34344"/>
    <cellStyle name="Normal 2 11 3 3 22" xfId="35617"/>
    <cellStyle name="Normal 2 11 3 3 23" xfId="36965"/>
    <cellStyle name="Normal 2 11 3 3 24" xfId="39110"/>
    <cellStyle name="Normal 2 11 3 3 25" xfId="40865"/>
    <cellStyle name="Normal 2 11 3 3 26" xfId="42617"/>
    <cellStyle name="Normal 2 11 3 3 27" xfId="43965"/>
    <cellStyle name="Normal 2 11 3 3 28" xfId="45235"/>
    <cellStyle name="Normal 2 11 3 3 29" xfId="46987"/>
    <cellStyle name="Normal 2 11 3 3 3" xfId="3192"/>
    <cellStyle name="Normal 2 11 3 3 30" xfId="48739"/>
    <cellStyle name="Normal 2 11 3 3 31" xfId="50491"/>
    <cellStyle name="Normal 2 11 3 3 32" xfId="52243"/>
    <cellStyle name="Normal 2 11 3 3 33" xfId="53995"/>
    <cellStyle name="Normal 2 11 3 3 34" xfId="55747"/>
    <cellStyle name="Normal 2 11 3 3 35" xfId="57500"/>
    <cellStyle name="Normal 2 11 3 3 36" xfId="59252"/>
    <cellStyle name="Normal 2 11 3 3 37" xfId="61004"/>
    <cellStyle name="Normal 2 11 3 3 38" xfId="62352"/>
    <cellStyle name="Normal 2 11 3 3 39" xfId="63218"/>
    <cellStyle name="Normal 2 11 3 3 4" xfId="4944"/>
    <cellStyle name="Normal 2 11 3 3 5" xfId="6696"/>
    <cellStyle name="Normal 2 11 3 3 6" xfId="8448"/>
    <cellStyle name="Normal 2 11 3 3 7" xfId="10201"/>
    <cellStyle name="Normal 2 11 3 3 8" xfId="11953"/>
    <cellStyle name="Normal 2 11 3 3 9" xfId="13705"/>
    <cellStyle name="Normal 2 11 3 30" xfId="44799"/>
    <cellStyle name="Normal 2 11 3 31" xfId="46551"/>
    <cellStyle name="Normal 2 11 3 32" xfId="48303"/>
    <cellStyle name="Normal 2 11 3 33" xfId="50055"/>
    <cellStyle name="Normal 2 11 3 34" xfId="51807"/>
    <cellStyle name="Normal 2 11 3 35" xfId="53559"/>
    <cellStyle name="Normal 2 11 3 36" xfId="55311"/>
    <cellStyle name="Normal 2 11 3 37" xfId="57064"/>
    <cellStyle name="Normal 2 11 3 38" xfId="58816"/>
    <cellStyle name="Normal 2 11 3 39" xfId="60568"/>
    <cellStyle name="Normal 2 11 3 4" xfId="784"/>
    <cellStyle name="Normal 2 11 3 4 10" xfId="17650"/>
    <cellStyle name="Normal 2 11 3 4 11" xfId="19402"/>
    <cellStyle name="Normal 2 11 3 4 12" xfId="21155"/>
    <cellStyle name="Normal 2 11 3 4 13" xfId="22907"/>
    <cellStyle name="Normal 2 11 3 4 14" xfId="24659"/>
    <cellStyle name="Normal 2 11 3 4 15" xfId="26411"/>
    <cellStyle name="Normal 2 11 3 4 16" xfId="28163"/>
    <cellStyle name="Normal 2 11 3 4 17" xfId="29916"/>
    <cellStyle name="Normal 2 11 3 4 18" xfId="31668"/>
    <cellStyle name="Normal 2 11 3 4 19" xfId="33421"/>
    <cellStyle name="Normal 2 11 3 4 2" xfId="3632"/>
    <cellStyle name="Normal 2 11 3 4 20" xfId="36057"/>
    <cellStyle name="Normal 2 11 3 4 21" xfId="37797"/>
    <cellStyle name="Normal 2 11 3 4 22" xfId="39550"/>
    <cellStyle name="Normal 2 11 3 4 23" xfId="41305"/>
    <cellStyle name="Normal 2 11 3 4 24" xfId="43057"/>
    <cellStyle name="Normal 2 11 3 4 25" xfId="45675"/>
    <cellStyle name="Normal 2 11 3 4 26" xfId="47427"/>
    <cellStyle name="Normal 2 11 3 4 27" xfId="49179"/>
    <cellStyle name="Normal 2 11 3 4 28" xfId="50931"/>
    <cellStyle name="Normal 2 11 3 4 29" xfId="52683"/>
    <cellStyle name="Normal 2 11 3 4 3" xfId="5384"/>
    <cellStyle name="Normal 2 11 3 4 30" xfId="54435"/>
    <cellStyle name="Normal 2 11 3 4 31" xfId="56187"/>
    <cellStyle name="Normal 2 11 3 4 32" xfId="57940"/>
    <cellStyle name="Normal 2 11 3 4 33" xfId="59692"/>
    <cellStyle name="Normal 2 11 3 4 34" xfId="61444"/>
    <cellStyle name="Normal 2 11 3 4 4" xfId="7136"/>
    <cellStyle name="Normal 2 11 3 4 5" xfId="8888"/>
    <cellStyle name="Normal 2 11 3 4 6" xfId="10641"/>
    <cellStyle name="Normal 2 11 3 4 7" xfId="12393"/>
    <cellStyle name="Normal 2 11 3 4 8" xfId="14145"/>
    <cellStyle name="Normal 2 11 3 4 9" xfId="15897"/>
    <cellStyle name="Normal 2 11 3 40" xfId="62349"/>
    <cellStyle name="Normal 2 11 3 41" xfId="63215"/>
    <cellStyle name="Normal 2 11 3 5" xfId="2756"/>
    <cellStyle name="Normal 2 11 3 6" xfId="4508"/>
    <cellStyle name="Normal 2 11 3 7" xfId="6260"/>
    <cellStyle name="Normal 2 11 3 8" xfId="8012"/>
    <cellStyle name="Normal 2 11 3 9" xfId="9765"/>
    <cellStyle name="Normal 2 11 30" xfId="42073"/>
    <cellStyle name="Normal 2 11 31" xfId="43953"/>
    <cellStyle name="Normal 2 11 32" xfId="44691"/>
    <cellStyle name="Normal 2 11 33" xfId="46443"/>
    <cellStyle name="Normal 2 11 34" xfId="48195"/>
    <cellStyle name="Normal 2 11 35" xfId="49947"/>
    <cellStyle name="Normal 2 11 36" xfId="51699"/>
    <cellStyle name="Normal 2 11 37" xfId="53451"/>
    <cellStyle name="Normal 2 11 38" xfId="55203"/>
    <cellStyle name="Normal 2 11 39" xfId="56956"/>
    <cellStyle name="Normal 2 11 4" xfId="785"/>
    <cellStyle name="Normal 2 11 4 10" xfId="13401"/>
    <cellStyle name="Normal 2 11 4 11" xfId="15153"/>
    <cellStyle name="Normal 2 11 4 12" xfId="16906"/>
    <cellStyle name="Normal 2 11 4 13" xfId="18658"/>
    <cellStyle name="Normal 2 11 4 14" xfId="20411"/>
    <cellStyle name="Normal 2 11 4 15" xfId="22163"/>
    <cellStyle name="Normal 2 11 4 16" xfId="23915"/>
    <cellStyle name="Normal 2 11 4 17" xfId="25667"/>
    <cellStyle name="Normal 2 11 4 18" xfId="27419"/>
    <cellStyle name="Normal 2 11 4 19" xfId="29172"/>
    <cellStyle name="Normal 2 11 4 2" xfId="786"/>
    <cellStyle name="Normal 2 11 4 2 10" xfId="15589"/>
    <cellStyle name="Normal 2 11 4 2 11" xfId="17342"/>
    <cellStyle name="Normal 2 11 4 2 12" xfId="19094"/>
    <cellStyle name="Normal 2 11 4 2 13" xfId="20847"/>
    <cellStyle name="Normal 2 11 4 2 14" xfId="22599"/>
    <cellStyle name="Normal 2 11 4 2 15" xfId="24351"/>
    <cellStyle name="Normal 2 11 4 2 16" xfId="26103"/>
    <cellStyle name="Normal 2 11 4 2 17" xfId="27855"/>
    <cellStyle name="Normal 2 11 4 2 18" xfId="29608"/>
    <cellStyle name="Normal 2 11 4 2 19" xfId="31360"/>
    <cellStyle name="Normal 2 11 4 2 2" xfId="787"/>
    <cellStyle name="Normal 2 11 4 2 2 10" xfId="18218"/>
    <cellStyle name="Normal 2 11 4 2 2 11" xfId="19970"/>
    <cellStyle name="Normal 2 11 4 2 2 12" xfId="21723"/>
    <cellStyle name="Normal 2 11 4 2 2 13" xfId="23475"/>
    <cellStyle name="Normal 2 11 4 2 2 14" xfId="25227"/>
    <cellStyle name="Normal 2 11 4 2 2 15" xfId="26979"/>
    <cellStyle name="Normal 2 11 4 2 2 16" xfId="28731"/>
    <cellStyle name="Normal 2 11 4 2 2 17" xfId="30484"/>
    <cellStyle name="Normal 2 11 4 2 2 18" xfId="32236"/>
    <cellStyle name="Normal 2 11 4 2 2 19" xfId="33989"/>
    <cellStyle name="Normal 2 11 4 2 2 2" xfId="4200"/>
    <cellStyle name="Normal 2 11 4 2 2 20" xfId="36625"/>
    <cellStyle name="Normal 2 11 4 2 2 21" xfId="38365"/>
    <cellStyle name="Normal 2 11 4 2 2 22" xfId="40118"/>
    <cellStyle name="Normal 2 11 4 2 2 23" xfId="41873"/>
    <cellStyle name="Normal 2 11 4 2 2 24" xfId="43625"/>
    <cellStyle name="Normal 2 11 4 2 2 25" xfId="46243"/>
    <cellStyle name="Normal 2 11 4 2 2 26" xfId="47995"/>
    <cellStyle name="Normal 2 11 4 2 2 27" xfId="49747"/>
    <cellStyle name="Normal 2 11 4 2 2 28" xfId="51499"/>
    <cellStyle name="Normal 2 11 4 2 2 29" xfId="53251"/>
    <cellStyle name="Normal 2 11 4 2 2 3" xfId="5952"/>
    <cellStyle name="Normal 2 11 4 2 2 30" xfId="55003"/>
    <cellStyle name="Normal 2 11 4 2 2 31" xfId="56755"/>
    <cellStyle name="Normal 2 11 4 2 2 32" xfId="58508"/>
    <cellStyle name="Normal 2 11 4 2 2 33" xfId="60260"/>
    <cellStyle name="Normal 2 11 4 2 2 34" xfId="62012"/>
    <cellStyle name="Normal 2 11 4 2 2 4" xfId="7704"/>
    <cellStyle name="Normal 2 11 4 2 2 5" xfId="9456"/>
    <cellStyle name="Normal 2 11 4 2 2 6" xfId="11209"/>
    <cellStyle name="Normal 2 11 4 2 2 7" xfId="12961"/>
    <cellStyle name="Normal 2 11 4 2 2 8" xfId="14713"/>
    <cellStyle name="Normal 2 11 4 2 2 9" xfId="16465"/>
    <cellStyle name="Normal 2 11 4 2 20" xfId="33113"/>
    <cellStyle name="Normal 2 11 4 2 21" xfId="34346"/>
    <cellStyle name="Normal 2 11 4 2 22" xfId="35749"/>
    <cellStyle name="Normal 2 11 4 2 23" xfId="36967"/>
    <cellStyle name="Normal 2 11 4 2 24" xfId="39242"/>
    <cellStyle name="Normal 2 11 4 2 25" xfId="40997"/>
    <cellStyle name="Normal 2 11 4 2 26" xfId="42749"/>
    <cellStyle name="Normal 2 11 4 2 27" xfId="43967"/>
    <cellStyle name="Normal 2 11 4 2 28" xfId="45367"/>
    <cellStyle name="Normal 2 11 4 2 29" xfId="47119"/>
    <cellStyle name="Normal 2 11 4 2 3" xfId="3324"/>
    <cellStyle name="Normal 2 11 4 2 30" xfId="48871"/>
    <cellStyle name="Normal 2 11 4 2 31" xfId="50623"/>
    <cellStyle name="Normal 2 11 4 2 32" xfId="52375"/>
    <cellStyle name="Normal 2 11 4 2 33" xfId="54127"/>
    <cellStyle name="Normal 2 11 4 2 34" xfId="55879"/>
    <cellStyle name="Normal 2 11 4 2 35" xfId="57632"/>
    <cellStyle name="Normal 2 11 4 2 36" xfId="59384"/>
    <cellStyle name="Normal 2 11 4 2 37" xfId="61136"/>
    <cellStyle name="Normal 2 11 4 2 38" xfId="62354"/>
    <cellStyle name="Normal 2 11 4 2 39" xfId="63220"/>
    <cellStyle name="Normal 2 11 4 2 4" xfId="5076"/>
    <cellStyle name="Normal 2 11 4 2 5" xfId="6828"/>
    <cellStyle name="Normal 2 11 4 2 6" xfId="8580"/>
    <cellStyle name="Normal 2 11 4 2 7" xfId="10333"/>
    <cellStyle name="Normal 2 11 4 2 8" xfId="12085"/>
    <cellStyle name="Normal 2 11 4 2 9" xfId="13837"/>
    <cellStyle name="Normal 2 11 4 20" xfId="30924"/>
    <cellStyle name="Normal 2 11 4 21" xfId="32677"/>
    <cellStyle name="Normal 2 11 4 22" xfId="34345"/>
    <cellStyle name="Normal 2 11 4 23" xfId="35313"/>
    <cellStyle name="Normal 2 11 4 24" xfId="36966"/>
    <cellStyle name="Normal 2 11 4 25" xfId="38806"/>
    <cellStyle name="Normal 2 11 4 26" xfId="40561"/>
    <cellStyle name="Normal 2 11 4 27" xfId="42313"/>
    <cellStyle name="Normal 2 11 4 28" xfId="43966"/>
    <cellStyle name="Normal 2 11 4 29" xfId="44931"/>
    <cellStyle name="Normal 2 11 4 3" xfId="788"/>
    <cellStyle name="Normal 2 11 4 3 10" xfId="17782"/>
    <cellStyle name="Normal 2 11 4 3 11" xfId="19534"/>
    <cellStyle name="Normal 2 11 4 3 12" xfId="21287"/>
    <cellStyle name="Normal 2 11 4 3 13" xfId="23039"/>
    <cellStyle name="Normal 2 11 4 3 14" xfId="24791"/>
    <cellStyle name="Normal 2 11 4 3 15" xfId="26543"/>
    <cellStyle name="Normal 2 11 4 3 16" xfId="28295"/>
    <cellStyle name="Normal 2 11 4 3 17" xfId="30048"/>
    <cellStyle name="Normal 2 11 4 3 18" xfId="31800"/>
    <cellStyle name="Normal 2 11 4 3 19" xfId="33553"/>
    <cellStyle name="Normal 2 11 4 3 2" xfId="3764"/>
    <cellStyle name="Normal 2 11 4 3 20" xfId="36189"/>
    <cellStyle name="Normal 2 11 4 3 21" xfId="37929"/>
    <cellStyle name="Normal 2 11 4 3 22" xfId="39682"/>
    <cellStyle name="Normal 2 11 4 3 23" xfId="41437"/>
    <cellStyle name="Normal 2 11 4 3 24" xfId="43189"/>
    <cellStyle name="Normal 2 11 4 3 25" xfId="45807"/>
    <cellStyle name="Normal 2 11 4 3 26" xfId="47559"/>
    <cellStyle name="Normal 2 11 4 3 27" xfId="49311"/>
    <cellStyle name="Normal 2 11 4 3 28" xfId="51063"/>
    <cellStyle name="Normal 2 11 4 3 29" xfId="52815"/>
    <cellStyle name="Normal 2 11 4 3 3" xfId="5516"/>
    <cellStyle name="Normal 2 11 4 3 30" xfId="54567"/>
    <cellStyle name="Normal 2 11 4 3 31" xfId="56319"/>
    <cellStyle name="Normal 2 11 4 3 32" xfId="58072"/>
    <cellStyle name="Normal 2 11 4 3 33" xfId="59824"/>
    <cellStyle name="Normal 2 11 4 3 34" xfId="61576"/>
    <cellStyle name="Normal 2 11 4 3 4" xfId="7268"/>
    <cellStyle name="Normal 2 11 4 3 5" xfId="9020"/>
    <cellStyle name="Normal 2 11 4 3 6" xfId="10773"/>
    <cellStyle name="Normal 2 11 4 3 7" xfId="12525"/>
    <cellStyle name="Normal 2 11 4 3 8" xfId="14277"/>
    <cellStyle name="Normal 2 11 4 3 9" xfId="16029"/>
    <cellStyle name="Normal 2 11 4 30" xfId="46683"/>
    <cellStyle name="Normal 2 11 4 31" xfId="48435"/>
    <cellStyle name="Normal 2 11 4 32" xfId="50187"/>
    <cellStyle name="Normal 2 11 4 33" xfId="51939"/>
    <cellStyle name="Normal 2 11 4 34" xfId="53691"/>
    <cellStyle name="Normal 2 11 4 35" xfId="55443"/>
    <cellStyle name="Normal 2 11 4 36" xfId="57196"/>
    <cellStyle name="Normal 2 11 4 37" xfId="58948"/>
    <cellStyle name="Normal 2 11 4 38" xfId="60700"/>
    <cellStyle name="Normal 2 11 4 39" xfId="62353"/>
    <cellStyle name="Normal 2 11 4 4" xfId="2888"/>
    <cellStyle name="Normal 2 11 4 40" xfId="63219"/>
    <cellStyle name="Normal 2 11 4 5" xfId="4640"/>
    <cellStyle name="Normal 2 11 4 6" xfId="6392"/>
    <cellStyle name="Normal 2 11 4 7" xfId="8144"/>
    <cellStyle name="Normal 2 11 4 8" xfId="9897"/>
    <cellStyle name="Normal 2 11 4 9" xfId="11649"/>
    <cellStyle name="Normal 2 11 40" xfId="58708"/>
    <cellStyle name="Normal 2 11 41" xfId="60460"/>
    <cellStyle name="Normal 2 11 42" xfId="62340"/>
    <cellStyle name="Normal 2 11 43" xfId="63206"/>
    <cellStyle name="Normal 2 11 5" xfId="789"/>
    <cellStyle name="Normal 2 11 5 10" xfId="15349"/>
    <cellStyle name="Normal 2 11 5 11" xfId="17102"/>
    <cellStyle name="Normal 2 11 5 12" xfId="18854"/>
    <cellStyle name="Normal 2 11 5 13" xfId="20607"/>
    <cellStyle name="Normal 2 11 5 14" xfId="22359"/>
    <cellStyle name="Normal 2 11 5 15" xfId="24111"/>
    <cellStyle name="Normal 2 11 5 16" xfId="25863"/>
    <cellStyle name="Normal 2 11 5 17" xfId="27615"/>
    <cellStyle name="Normal 2 11 5 18" xfId="29368"/>
    <cellStyle name="Normal 2 11 5 19" xfId="31120"/>
    <cellStyle name="Normal 2 11 5 2" xfId="790"/>
    <cellStyle name="Normal 2 11 5 2 10" xfId="17978"/>
    <cellStyle name="Normal 2 11 5 2 11" xfId="19730"/>
    <cellStyle name="Normal 2 11 5 2 12" xfId="21483"/>
    <cellStyle name="Normal 2 11 5 2 13" xfId="23235"/>
    <cellStyle name="Normal 2 11 5 2 14" xfId="24987"/>
    <cellStyle name="Normal 2 11 5 2 15" xfId="26739"/>
    <cellStyle name="Normal 2 11 5 2 16" xfId="28491"/>
    <cellStyle name="Normal 2 11 5 2 17" xfId="30244"/>
    <cellStyle name="Normal 2 11 5 2 18" xfId="31996"/>
    <cellStyle name="Normal 2 11 5 2 19" xfId="33749"/>
    <cellStyle name="Normal 2 11 5 2 2" xfId="3960"/>
    <cellStyle name="Normal 2 11 5 2 20" xfId="36385"/>
    <cellStyle name="Normal 2 11 5 2 21" xfId="38125"/>
    <cellStyle name="Normal 2 11 5 2 22" xfId="39878"/>
    <cellStyle name="Normal 2 11 5 2 23" xfId="41633"/>
    <cellStyle name="Normal 2 11 5 2 24" xfId="43385"/>
    <cellStyle name="Normal 2 11 5 2 25" xfId="46003"/>
    <cellStyle name="Normal 2 11 5 2 26" xfId="47755"/>
    <cellStyle name="Normal 2 11 5 2 27" xfId="49507"/>
    <cellStyle name="Normal 2 11 5 2 28" xfId="51259"/>
    <cellStyle name="Normal 2 11 5 2 29" xfId="53011"/>
    <cellStyle name="Normal 2 11 5 2 3" xfId="5712"/>
    <cellStyle name="Normal 2 11 5 2 30" xfId="54763"/>
    <cellStyle name="Normal 2 11 5 2 31" xfId="56515"/>
    <cellStyle name="Normal 2 11 5 2 32" xfId="58268"/>
    <cellStyle name="Normal 2 11 5 2 33" xfId="60020"/>
    <cellStyle name="Normal 2 11 5 2 34" xfId="61772"/>
    <cellStyle name="Normal 2 11 5 2 4" xfId="7464"/>
    <cellStyle name="Normal 2 11 5 2 5" xfId="9216"/>
    <cellStyle name="Normal 2 11 5 2 6" xfId="10969"/>
    <cellStyle name="Normal 2 11 5 2 7" xfId="12721"/>
    <cellStyle name="Normal 2 11 5 2 8" xfId="14473"/>
    <cellStyle name="Normal 2 11 5 2 9" xfId="16225"/>
    <cellStyle name="Normal 2 11 5 20" xfId="32873"/>
    <cellStyle name="Normal 2 11 5 21" xfId="34347"/>
    <cellStyle name="Normal 2 11 5 22" xfId="35509"/>
    <cellStyle name="Normal 2 11 5 23" xfId="36968"/>
    <cellStyle name="Normal 2 11 5 24" xfId="39002"/>
    <cellStyle name="Normal 2 11 5 25" xfId="40757"/>
    <cellStyle name="Normal 2 11 5 26" xfId="42509"/>
    <cellStyle name="Normal 2 11 5 27" xfId="43968"/>
    <cellStyle name="Normal 2 11 5 28" xfId="45127"/>
    <cellStyle name="Normal 2 11 5 29" xfId="46879"/>
    <cellStyle name="Normal 2 11 5 3" xfId="3084"/>
    <cellStyle name="Normal 2 11 5 30" xfId="48631"/>
    <cellStyle name="Normal 2 11 5 31" xfId="50383"/>
    <cellStyle name="Normal 2 11 5 32" xfId="52135"/>
    <cellStyle name="Normal 2 11 5 33" xfId="53887"/>
    <cellStyle name="Normal 2 11 5 34" xfId="55639"/>
    <cellStyle name="Normal 2 11 5 35" xfId="57392"/>
    <cellStyle name="Normal 2 11 5 36" xfId="59144"/>
    <cellStyle name="Normal 2 11 5 37" xfId="60896"/>
    <cellStyle name="Normal 2 11 5 38" xfId="62355"/>
    <cellStyle name="Normal 2 11 5 39" xfId="63221"/>
    <cellStyle name="Normal 2 11 5 4" xfId="4836"/>
    <cellStyle name="Normal 2 11 5 5" xfId="6588"/>
    <cellStyle name="Normal 2 11 5 6" xfId="8340"/>
    <cellStyle name="Normal 2 11 5 7" xfId="10093"/>
    <cellStyle name="Normal 2 11 5 8" xfId="11845"/>
    <cellStyle name="Normal 2 11 5 9" xfId="13597"/>
    <cellStyle name="Normal 2 11 6" xfId="791"/>
    <cellStyle name="Normal 2 11 6 10" xfId="17542"/>
    <cellStyle name="Normal 2 11 6 11" xfId="19294"/>
    <cellStyle name="Normal 2 11 6 12" xfId="21047"/>
    <cellStyle name="Normal 2 11 6 13" xfId="22799"/>
    <cellStyle name="Normal 2 11 6 14" xfId="24551"/>
    <cellStyle name="Normal 2 11 6 15" xfId="26303"/>
    <cellStyle name="Normal 2 11 6 16" xfId="28055"/>
    <cellStyle name="Normal 2 11 6 17" xfId="29808"/>
    <cellStyle name="Normal 2 11 6 18" xfId="31560"/>
    <cellStyle name="Normal 2 11 6 19" xfId="33313"/>
    <cellStyle name="Normal 2 11 6 2" xfId="3524"/>
    <cellStyle name="Normal 2 11 6 20" xfId="35949"/>
    <cellStyle name="Normal 2 11 6 21" xfId="37692"/>
    <cellStyle name="Normal 2 11 6 22" xfId="39442"/>
    <cellStyle name="Normal 2 11 6 23" xfId="41197"/>
    <cellStyle name="Normal 2 11 6 24" xfId="42949"/>
    <cellStyle name="Normal 2 11 6 25" xfId="45567"/>
    <cellStyle name="Normal 2 11 6 26" xfId="47319"/>
    <cellStyle name="Normal 2 11 6 27" xfId="49071"/>
    <cellStyle name="Normal 2 11 6 28" xfId="50823"/>
    <cellStyle name="Normal 2 11 6 29" xfId="52575"/>
    <cellStyle name="Normal 2 11 6 3" xfId="5276"/>
    <cellStyle name="Normal 2 11 6 30" xfId="54327"/>
    <cellStyle name="Normal 2 11 6 31" xfId="56079"/>
    <cellStyle name="Normal 2 11 6 32" xfId="57832"/>
    <cellStyle name="Normal 2 11 6 33" xfId="59584"/>
    <cellStyle name="Normal 2 11 6 34" xfId="61336"/>
    <cellStyle name="Normal 2 11 6 4" xfId="7028"/>
    <cellStyle name="Normal 2 11 6 5" xfId="8780"/>
    <cellStyle name="Normal 2 11 6 6" xfId="10533"/>
    <cellStyle name="Normal 2 11 6 7" xfId="12285"/>
    <cellStyle name="Normal 2 11 6 8" xfId="14037"/>
    <cellStyle name="Normal 2 11 6 9" xfId="15789"/>
    <cellStyle name="Normal 2 11 7" xfId="2611"/>
    <cellStyle name="Normal 2 11 8" xfId="4400"/>
    <cellStyle name="Normal 2 11 9" xfId="6152"/>
    <cellStyle name="Normal 2 12" xfId="792"/>
    <cellStyle name="Normal 2 12 10" xfId="7905"/>
    <cellStyle name="Normal 2 12 11" xfId="9658"/>
    <cellStyle name="Normal 2 12 12" xfId="11410"/>
    <cellStyle name="Normal 2 12 13" xfId="13162"/>
    <cellStyle name="Normal 2 12 14" xfId="14914"/>
    <cellStyle name="Normal 2 12 15" xfId="16667"/>
    <cellStyle name="Normal 2 12 16" xfId="18419"/>
    <cellStyle name="Normal 2 12 17" xfId="20172"/>
    <cellStyle name="Normal 2 12 18" xfId="21924"/>
    <cellStyle name="Normal 2 12 19" xfId="23676"/>
    <cellStyle name="Normal 2 12 2" xfId="793"/>
    <cellStyle name="Normal 2 12 2 10" xfId="9713"/>
    <cellStyle name="Normal 2 12 2 11" xfId="11465"/>
    <cellStyle name="Normal 2 12 2 12" xfId="13217"/>
    <cellStyle name="Normal 2 12 2 13" xfId="14969"/>
    <cellStyle name="Normal 2 12 2 14" xfId="16722"/>
    <cellStyle name="Normal 2 12 2 15" xfId="18474"/>
    <cellStyle name="Normal 2 12 2 16" xfId="20227"/>
    <cellStyle name="Normal 2 12 2 17" xfId="21979"/>
    <cellStyle name="Normal 2 12 2 18" xfId="23731"/>
    <cellStyle name="Normal 2 12 2 19" xfId="25483"/>
    <cellStyle name="Normal 2 12 2 2" xfId="794"/>
    <cellStyle name="Normal 2 12 2 2 10" xfId="11573"/>
    <cellStyle name="Normal 2 12 2 2 11" xfId="13325"/>
    <cellStyle name="Normal 2 12 2 2 12" xfId="15077"/>
    <cellStyle name="Normal 2 12 2 2 13" xfId="16830"/>
    <cellStyle name="Normal 2 12 2 2 14" xfId="18582"/>
    <cellStyle name="Normal 2 12 2 2 15" xfId="20335"/>
    <cellStyle name="Normal 2 12 2 2 16" xfId="22087"/>
    <cellStyle name="Normal 2 12 2 2 17" xfId="23839"/>
    <cellStyle name="Normal 2 12 2 2 18" xfId="25591"/>
    <cellStyle name="Normal 2 12 2 2 19" xfId="27343"/>
    <cellStyle name="Normal 2 12 2 2 2" xfId="795"/>
    <cellStyle name="Normal 2 12 2 2 2 10" xfId="13402"/>
    <cellStyle name="Normal 2 12 2 2 2 11" xfId="15154"/>
    <cellStyle name="Normal 2 12 2 2 2 12" xfId="16907"/>
    <cellStyle name="Normal 2 12 2 2 2 13" xfId="18659"/>
    <cellStyle name="Normal 2 12 2 2 2 14" xfId="20412"/>
    <cellStyle name="Normal 2 12 2 2 2 15" xfId="22164"/>
    <cellStyle name="Normal 2 12 2 2 2 16" xfId="23916"/>
    <cellStyle name="Normal 2 12 2 2 2 17" xfId="25668"/>
    <cellStyle name="Normal 2 12 2 2 2 18" xfId="27420"/>
    <cellStyle name="Normal 2 12 2 2 2 19" xfId="29173"/>
    <cellStyle name="Normal 2 12 2 2 2 2" xfId="796"/>
    <cellStyle name="Normal 2 12 2 2 2 2 10" xfId="15590"/>
    <cellStyle name="Normal 2 12 2 2 2 2 11" xfId="17343"/>
    <cellStyle name="Normal 2 12 2 2 2 2 12" xfId="19095"/>
    <cellStyle name="Normal 2 12 2 2 2 2 13" xfId="20848"/>
    <cellStyle name="Normal 2 12 2 2 2 2 14" xfId="22600"/>
    <cellStyle name="Normal 2 12 2 2 2 2 15" xfId="24352"/>
    <cellStyle name="Normal 2 12 2 2 2 2 16" xfId="26104"/>
    <cellStyle name="Normal 2 12 2 2 2 2 17" xfId="27856"/>
    <cellStyle name="Normal 2 12 2 2 2 2 18" xfId="29609"/>
    <cellStyle name="Normal 2 12 2 2 2 2 19" xfId="31361"/>
    <cellStyle name="Normal 2 12 2 2 2 2 2" xfId="797"/>
    <cellStyle name="Normal 2 12 2 2 2 2 2 10" xfId="18219"/>
    <cellStyle name="Normal 2 12 2 2 2 2 2 11" xfId="19971"/>
    <cellStyle name="Normal 2 12 2 2 2 2 2 12" xfId="21724"/>
    <cellStyle name="Normal 2 12 2 2 2 2 2 13" xfId="23476"/>
    <cellStyle name="Normal 2 12 2 2 2 2 2 14" xfId="25228"/>
    <cellStyle name="Normal 2 12 2 2 2 2 2 15" xfId="26980"/>
    <cellStyle name="Normal 2 12 2 2 2 2 2 16" xfId="28732"/>
    <cellStyle name="Normal 2 12 2 2 2 2 2 17" xfId="30485"/>
    <cellStyle name="Normal 2 12 2 2 2 2 2 18" xfId="32237"/>
    <cellStyle name="Normal 2 12 2 2 2 2 2 19" xfId="33990"/>
    <cellStyle name="Normal 2 12 2 2 2 2 2 2" xfId="4201"/>
    <cellStyle name="Normal 2 12 2 2 2 2 2 20" xfId="36626"/>
    <cellStyle name="Normal 2 12 2 2 2 2 2 21" xfId="38366"/>
    <cellStyle name="Normal 2 12 2 2 2 2 2 22" xfId="40119"/>
    <cellStyle name="Normal 2 12 2 2 2 2 2 23" xfId="41874"/>
    <cellStyle name="Normal 2 12 2 2 2 2 2 24" xfId="43626"/>
    <cellStyle name="Normal 2 12 2 2 2 2 2 25" xfId="46244"/>
    <cellStyle name="Normal 2 12 2 2 2 2 2 26" xfId="47996"/>
    <cellStyle name="Normal 2 12 2 2 2 2 2 27" xfId="49748"/>
    <cellStyle name="Normal 2 12 2 2 2 2 2 28" xfId="51500"/>
    <cellStyle name="Normal 2 12 2 2 2 2 2 29" xfId="53252"/>
    <cellStyle name="Normal 2 12 2 2 2 2 2 3" xfId="5953"/>
    <cellStyle name="Normal 2 12 2 2 2 2 2 30" xfId="55004"/>
    <cellStyle name="Normal 2 12 2 2 2 2 2 31" xfId="56756"/>
    <cellStyle name="Normal 2 12 2 2 2 2 2 32" xfId="58509"/>
    <cellStyle name="Normal 2 12 2 2 2 2 2 33" xfId="60261"/>
    <cellStyle name="Normal 2 12 2 2 2 2 2 34" xfId="62013"/>
    <cellStyle name="Normal 2 12 2 2 2 2 2 4" xfId="7705"/>
    <cellStyle name="Normal 2 12 2 2 2 2 2 5" xfId="9457"/>
    <cellStyle name="Normal 2 12 2 2 2 2 2 6" xfId="11210"/>
    <cellStyle name="Normal 2 12 2 2 2 2 2 7" xfId="12962"/>
    <cellStyle name="Normal 2 12 2 2 2 2 2 8" xfId="14714"/>
    <cellStyle name="Normal 2 12 2 2 2 2 2 9" xfId="16466"/>
    <cellStyle name="Normal 2 12 2 2 2 2 20" xfId="33114"/>
    <cellStyle name="Normal 2 12 2 2 2 2 21" xfId="34352"/>
    <cellStyle name="Normal 2 12 2 2 2 2 22" xfId="35750"/>
    <cellStyle name="Normal 2 12 2 2 2 2 23" xfId="36973"/>
    <cellStyle name="Normal 2 12 2 2 2 2 24" xfId="39243"/>
    <cellStyle name="Normal 2 12 2 2 2 2 25" xfId="40998"/>
    <cellStyle name="Normal 2 12 2 2 2 2 26" xfId="42750"/>
    <cellStyle name="Normal 2 12 2 2 2 2 27" xfId="43973"/>
    <cellStyle name="Normal 2 12 2 2 2 2 28" xfId="45368"/>
    <cellStyle name="Normal 2 12 2 2 2 2 29" xfId="47120"/>
    <cellStyle name="Normal 2 12 2 2 2 2 3" xfId="3325"/>
    <cellStyle name="Normal 2 12 2 2 2 2 30" xfId="48872"/>
    <cellStyle name="Normal 2 12 2 2 2 2 31" xfId="50624"/>
    <cellStyle name="Normal 2 12 2 2 2 2 32" xfId="52376"/>
    <cellStyle name="Normal 2 12 2 2 2 2 33" xfId="54128"/>
    <cellStyle name="Normal 2 12 2 2 2 2 34" xfId="55880"/>
    <cellStyle name="Normal 2 12 2 2 2 2 35" xfId="57633"/>
    <cellStyle name="Normal 2 12 2 2 2 2 36" xfId="59385"/>
    <cellStyle name="Normal 2 12 2 2 2 2 37" xfId="61137"/>
    <cellStyle name="Normal 2 12 2 2 2 2 38" xfId="62360"/>
    <cellStyle name="Normal 2 12 2 2 2 2 39" xfId="63226"/>
    <cellStyle name="Normal 2 12 2 2 2 2 4" xfId="5077"/>
    <cellStyle name="Normal 2 12 2 2 2 2 5" xfId="6829"/>
    <cellStyle name="Normal 2 12 2 2 2 2 6" xfId="8581"/>
    <cellStyle name="Normal 2 12 2 2 2 2 7" xfId="10334"/>
    <cellStyle name="Normal 2 12 2 2 2 2 8" xfId="12086"/>
    <cellStyle name="Normal 2 12 2 2 2 2 9" xfId="13838"/>
    <cellStyle name="Normal 2 12 2 2 2 20" xfId="30925"/>
    <cellStyle name="Normal 2 12 2 2 2 21" xfId="32678"/>
    <cellStyle name="Normal 2 12 2 2 2 22" xfId="34351"/>
    <cellStyle name="Normal 2 12 2 2 2 23" xfId="35314"/>
    <cellStyle name="Normal 2 12 2 2 2 24" xfId="36972"/>
    <cellStyle name="Normal 2 12 2 2 2 25" xfId="38807"/>
    <cellStyle name="Normal 2 12 2 2 2 26" xfId="40562"/>
    <cellStyle name="Normal 2 12 2 2 2 27" xfId="42314"/>
    <cellStyle name="Normal 2 12 2 2 2 28" xfId="43972"/>
    <cellStyle name="Normal 2 12 2 2 2 29" xfId="44932"/>
    <cellStyle name="Normal 2 12 2 2 2 3" xfId="798"/>
    <cellStyle name="Normal 2 12 2 2 2 3 10" xfId="17783"/>
    <cellStyle name="Normal 2 12 2 2 2 3 11" xfId="19535"/>
    <cellStyle name="Normal 2 12 2 2 2 3 12" xfId="21288"/>
    <cellStyle name="Normal 2 12 2 2 2 3 13" xfId="23040"/>
    <cellStyle name="Normal 2 12 2 2 2 3 14" xfId="24792"/>
    <cellStyle name="Normal 2 12 2 2 2 3 15" xfId="26544"/>
    <cellStyle name="Normal 2 12 2 2 2 3 16" xfId="28296"/>
    <cellStyle name="Normal 2 12 2 2 2 3 17" xfId="30049"/>
    <cellStyle name="Normal 2 12 2 2 2 3 18" xfId="31801"/>
    <cellStyle name="Normal 2 12 2 2 2 3 19" xfId="33554"/>
    <cellStyle name="Normal 2 12 2 2 2 3 2" xfId="3765"/>
    <cellStyle name="Normal 2 12 2 2 2 3 20" xfId="36190"/>
    <cellStyle name="Normal 2 12 2 2 2 3 21" xfId="37930"/>
    <cellStyle name="Normal 2 12 2 2 2 3 22" xfId="39683"/>
    <cellStyle name="Normal 2 12 2 2 2 3 23" xfId="41438"/>
    <cellStyle name="Normal 2 12 2 2 2 3 24" xfId="43190"/>
    <cellStyle name="Normal 2 12 2 2 2 3 25" xfId="45808"/>
    <cellStyle name="Normal 2 12 2 2 2 3 26" xfId="47560"/>
    <cellStyle name="Normal 2 12 2 2 2 3 27" xfId="49312"/>
    <cellStyle name="Normal 2 12 2 2 2 3 28" xfId="51064"/>
    <cellStyle name="Normal 2 12 2 2 2 3 29" xfId="52816"/>
    <cellStyle name="Normal 2 12 2 2 2 3 3" xfId="5517"/>
    <cellStyle name="Normal 2 12 2 2 2 3 30" xfId="54568"/>
    <cellStyle name="Normal 2 12 2 2 2 3 31" xfId="56320"/>
    <cellStyle name="Normal 2 12 2 2 2 3 32" xfId="58073"/>
    <cellStyle name="Normal 2 12 2 2 2 3 33" xfId="59825"/>
    <cellStyle name="Normal 2 12 2 2 2 3 34" xfId="61577"/>
    <cellStyle name="Normal 2 12 2 2 2 3 4" xfId="7269"/>
    <cellStyle name="Normal 2 12 2 2 2 3 5" xfId="9021"/>
    <cellStyle name="Normal 2 12 2 2 2 3 6" xfId="10774"/>
    <cellStyle name="Normal 2 12 2 2 2 3 7" xfId="12526"/>
    <cellStyle name="Normal 2 12 2 2 2 3 8" xfId="14278"/>
    <cellStyle name="Normal 2 12 2 2 2 3 9" xfId="16030"/>
    <cellStyle name="Normal 2 12 2 2 2 30" xfId="46684"/>
    <cellStyle name="Normal 2 12 2 2 2 31" xfId="48436"/>
    <cellStyle name="Normal 2 12 2 2 2 32" xfId="50188"/>
    <cellStyle name="Normal 2 12 2 2 2 33" xfId="51940"/>
    <cellStyle name="Normal 2 12 2 2 2 34" xfId="53692"/>
    <cellStyle name="Normal 2 12 2 2 2 35" xfId="55444"/>
    <cellStyle name="Normal 2 12 2 2 2 36" xfId="57197"/>
    <cellStyle name="Normal 2 12 2 2 2 37" xfId="58949"/>
    <cellStyle name="Normal 2 12 2 2 2 38" xfId="60701"/>
    <cellStyle name="Normal 2 12 2 2 2 39" xfId="62359"/>
    <cellStyle name="Normal 2 12 2 2 2 4" xfId="2889"/>
    <cellStyle name="Normal 2 12 2 2 2 40" xfId="63225"/>
    <cellStyle name="Normal 2 12 2 2 2 5" xfId="4641"/>
    <cellStyle name="Normal 2 12 2 2 2 6" xfId="6393"/>
    <cellStyle name="Normal 2 12 2 2 2 7" xfId="8145"/>
    <cellStyle name="Normal 2 12 2 2 2 8" xfId="9898"/>
    <cellStyle name="Normal 2 12 2 2 2 9" xfId="11650"/>
    <cellStyle name="Normal 2 12 2 2 20" xfId="29096"/>
    <cellStyle name="Normal 2 12 2 2 21" xfId="30848"/>
    <cellStyle name="Normal 2 12 2 2 22" xfId="32601"/>
    <cellStyle name="Normal 2 12 2 2 23" xfId="34350"/>
    <cellStyle name="Normal 2 12 2 2 24" xfId="35237"/>
    <cellStyle name="Normal 2 12 2 2 25" xfId="36971"/>
    <cellStyle name="Normal 2 12 2 2 26" xfId="38730"/>
    <cellStyle name="Normal 2 12 2 2 27" xfId="40485"/>
    <cellStyle name="Normal 2 12 2 2 28" xfId="42237"/>
    <cellStyle name="Normal 2 12 2 2 29" xfId="43971"/>
    <cellStyle name="Normal 2 12 2 2 3" xfId="799"/>
    <cellStyle name="Normal 2 12 2 2 3 10" xfId="15513"/>
    <cellStyle name="Normal 2 12 2 2 3 11" xfId="17266"/>
    <cellStyle name="Normal 2 12 2 2 3 12" xfId="19018"/>
    <cellStyle name="Normal 2 12 2 2 3 13" xfId="20771"/>
    <cellStyle name="Normal 2 12 2 2 3 14" xfId="22523"/>
    <cellStyle name="Normal 2 12 2 2 3 15" xfId="24275"/>
    <cellStyle name="Normal 2 12 2 2 3 16" xfId="26027"/>
    <cellStyle name="Normal 2 12 2 2 3 17" xfId="27779"/>
    <cellStyle name="Normal 2 12 2 2 3 18" xfId="29532"/>
    <cellStyle name="Normal 2 12 2 2 3 19" xfId="31284"/>
    <cellStyle name="Normal 2 12 2 2 3 2" xfId="800"/>
    <cellStyle name="Normal 2 12 2 2 3 2 10" xfId="18142"/>
    <cellStyle name="Normal 2 12 2 2 3 2 11" xfId="19894"/>
    <cellStyle name="Normal 2 12 2 2 3 2 12" xfId="21647"/>
    <cellStyle name="Normal 2 12 2 2 3 2 13" xfId="23399"/>
    <cellStyle name="Normal 2 12 2 2 3 2 14" xfId="25151"/>
    <cellStyle name="Normal 2 12 2 2 3 2 15" xfId="26903"/>
    <cellStyle name="Normal 2 12 2 2 3 2 16" xfId="28655"/>
    <cellStyle name="Normal 2 12 2 2 3 2 17" xfId="30408"/>
    <cellStyle name="Normal 2 12 2 2 3 2 18" xfId="32160"/>
    <cellStyle name="Normal 2 12 2 2 3 2 19" xfId="33913"/>
    <cellStyle name="Normal 2 12 2 2 3 2 2" xfId="4124"/>
    <cellStyle name="Normal 2 12 2 2 3 2 20" xfId="36549"/>
    <cellStyle name="Normal 2 12 2 2 3 2 21" xfId="38289"/>
    <cellStyle name="Normal 2 12 2 2 3 2 22" xfId="40042"/>
    <cellStyle name="Normal 2 12 2 2 3 2 23" xfId="41797"/>
    <cellStyle name="Normal 2 12 2 2 3 2 24" xfId="43549"/>
    <cellStyle name="Normal 2 12 2 2 3 2 25" xfId="46167"/>
    <cellStyle name="Normal 2 12 2 2 3 2 26" xfId="47919"/>
    <cellStyle name="Normal 2 12 2 2 3 2 27" xfId="49671"/>
    <cellStyle name="Normal 2 12 2 2 3 2 28" xfId="51423"/>
    <cellStyle name="Normal 2 12 2 2 3 2 29" xfId="53175"/>
    <cellStyle name="Normal 2 12 2 2 3 2 3" xfId="5876"/>
    <cellStyle name="Normal 2 12 2 2 3 2 30" xfId="54927"/>
    <cellStyle name="Normal 2 12 2 2 3 2 31" xfId="56679"/>
    <cellStyle name="Normal 2 12 2 2 3 2 32" xfId="58432"/>
    <cellStyle name="Normal 2 12 2 2 3 2 33" xfId="60184"/>
    <cellStyle name="Normal 2 12 2 2 3 2 34" xfId="61936"/>
    <cellStyle name="Normal 2 12 2 2 3 2 4" xfId="7628"/>
    <cellStyle name="Normal 2 12 2 2 3 2 5" xfId="9380"/>
    <cellStyle name="Normal 2 12 2 2 3 2 6" xfId="11133"/>
    <cellStyle name="Normal 2 12 2 2 3 2 7" xfId="12885"/>
    <cellStyle name="Normal 2 12 2 2 3 2 8" xfId="14637"/>
    <cellStyle name="Normal 2 12 2 2 3 2 9" xfId="16389"/>
    <cellStyle name="Normal 2 12 2 2 3 20" xfId="33037"/>
    <cellStyle name="Normal 2 12 2 2 3 21" xfId="34353"/>
    <cellStyle name="Normal 2 12 2 2 3 22" xfId="35673"/>
    <cellStyle name="Normal 2 12 2 2 3 23" xfId="36974"/>
    <cellStyle name="Normal 2 12 2 2 3 24" xfId="39166"/>
    <cellStyle name="Normal 2 12 2 2 3 25" xfId="40921"/>
    <cellStyle name="Normal 2 12 2 2 3 26" xfId="42673"/>
    <cellStyle name="Normal 2 12 2 2 3 27" xfId="43974"/>
    <cellStyle name="Normal 2 12 2 2 3 28" xfId="45291"/>
    <cellStyle name="Normal 2 12 2 2 3 29" xfId="47043"/>
    <cellStyle name="Normal 2 12 2 2 3 3" xfId="3248"/>
    <cellStyle name="Normal 2 12 2 2 3 30" xfId="48795"/>
    <cellStyle name="Normal 2 12 2 2 3 31" xfId="50547"/>
    <cellStyle name="Normal 2 12 2 2 3 32" xfId="52299"/>
    <cellStyle name="Normal 2 12 2 2 3 33" xfId="54051"/>
    <cellStyle name="Normal 2 12 2 2 3 34" xfId="55803"/>
    <cellStyle name="Normal 2 12 2 2 3 35" xfId="57556"/>
    <cellStyle name="Normal 2 12 2 2 3 36" xfId="59308"/>
    <cellStyle name="Normal 2 12 2 2 3 37" xfId="61060"/>
    <cellStyle name="Normal 2 12 2 2 3 38" xfId="62361"/>
    <cellStyle name="Normal 2 12 2 2 3 39" xfId="63227"/>
    <cellStyle name="Normal 2 12 2 2 3 4" xfId="5000"/>
    <cellStyle name="Normal 2 12 2 2 3 5" xfId="6752"/>
    <cellStyle name="Normal 2 12 2 2 3 6" xfId="8504"/>
    <cellStyle name="Normal 2 12 2 2 3 7" xfId="10257"/>
    <cellStyle name="Normal 2 12 2 2 3 8" xfId="12009"/>
    <cellStyle name="Normal 2 12 2 2 3 9" xfId="13761"/>
    <cellStyle name="Normal 2 12 2 2 30" xfId="44855"/>
    <cellStyle name="Normal 2 12 2 2 31" xfId="46607"/>
    <cellStyle name="Normal 2 12 2 2 32" xfId="48359"/>
    <cellStyle name="Normal 2 12 2 2 33" xfId="50111"/>
    <cellStyle name="Normal 2 12 2 2 34" xfId="51863"/>
    <cellStyle name="Normal 2 12 2 2 35" xfId="53615"/>
    <cellStyle name="Normal 2 12 2 2 36" xfId="55367"/>
    <cellStyle name="Normal 2 12 2 2 37" xfId="57120"/>
    <cellStyle name="Normal 2 12 2 2 38" xfId="58872"/>
    <cellStyle name="Normal 2 12 2 2 39" xfId="60624"/>
    <cellStyle name="Normal 2 12 2 2 4" xfId="801"/>
    <cellStyle name="Normal 2 12 2 2 4 10" xfId="17706"/>
    <cellStyle name="Normal 2 12 2 2 4 11" xfId="19458"/>
    <cellStyle name="Normal 2 12 2 2 4 12" xfId="21211"/>
    <cellStyle name="Normal 2 12 2 2 4 13" xfId="22963"/>
    <cellStyle name="Normal 2 12 2 2 4 14" xfId="24715"/>
    <cellStyle name="Normal 2 12 2 2 4 15" xfId="26467"/>
    <cellStyle name="Normal 2 12 2 2 4 16" xfId="28219"/>
    <cellStyle name="Normal 2 12 2 2 4 17" xfId="29972"/>
    <cellStyle name="Normal 2 12 2 2 4 18" xfId="31724"/>
    <cellStyle name="Normal 2 12 2 2 4 19" xfId="33477"/>
    <cellStyle name="Normal 2 12 2 2 4 2" xfId="3688"/>
    <cellStyle name="Normal 2 12 2 2 4 20" xfId="36113"/>
    <cellStyle name="Normal 2 12 2 2 4 21" xfId="37853"/>
    <cellStyle name="Normal 2 12 2 2 4 22" xfId="39606"/>
    <cellStyle name="Normal 2 12 2 2 4 23" xfId="41361"/>
    <cellStyle name="Normal 2 12 2 2 4 24" xfId="43113"/>
    <cellStyle name="Normal 2 12 2 2 4 25" xfId="45731"/>
    <cellStyle name="Normal 2 12 2 2 4 26" xfId="47483"/>
    <cellStyle name="Normal 2 12 2 2 4 27" xfId="49235"/>
    <cellStyle name="Normal 2 12 2 2 4 28" xfId="50987"/>
    <cellStyle name="Normal 2 12 2 2 4 29" xfId="52739"/>
    <cellStyle name="Normal 2 12 2 2 4 3" xfId="5440"/>
    <cellStyle name="Normal 2 12 2 2 4 30" xfId="54491"/>
    <cellStyle name="Normal 2 12 2 2 4 31" xfId="56243"/>
    <cellStyle name="Normal 2 12 2 2 4 32" xfId="57996"/>
    <cellStyle name="Normal 2 12 2 2 4 33" xfId="59748"/>
    <cellStyle name="Normal 2 12 2 2 4 34" xfId="61500"/>
    <cellStyle name="Normal 2 12 2 2 4 4" xfId="7192"/>
    <cellStyle name="Normal 2 12 2 2 4 5" xfId="8944"/>
    <cellStyle name="Normal 2 12 2 2 4 6" xfId="10697"/>
    <cellStyle name="Normal 2 12 2 2 4 7" xfId="12449"/>
    <cellStyle name="Normal 2 12 2 2 4 8" xfId="14201"/>
    <cellStyle name="Normal 2 12 2 2 4 9" xfId="15953"/>
    <cellStyle name="Normal 2 12 2 2 40" xfId="62358"/>
    <cellStyle name="Normal 2 12 2 2 41" xfId="63224"/>
    <cellStyle name="Normal 2 12 2 2 5" xfId="2812"/>
    <cellStyle name="Normal 2 12 2 2 6" xfId="4564"/>
    <cellStyle name="Normal 2 12 2 2 7" xfId="6316"/>
    <cellStyle name="Normal 2 12 2 2 8" xfId="8068"/>
    <cellStyle name="Normal 2 12 2 2 9" xfId="9821"/>
    <cellStyle name="Normal 2 12 2 20" xfId="27235"/>
    <cellStyle name="Normal 2 12 2 21" xfId="28988"/>
    <cellStyle name="Normal 2 12 2 22" xfId="30740"/>
    <cellStyle name="Normal 2 12 2 23" xfId="32493"/>
    <cellStyle name="Normal 2 12 2 24" xfId="34349"/>
    <cellStyle name="Normal 2 12 2 25" xfId="35129"/>
    <cellStyle name="Normal 2 12 2 26" xfId="36970"/>
    <cellStyle name="Normal 2 12 2 27" xfId="38622"/>
    <cellStyle name="Normal 2 12 2 28" xfId="40377"/>
    <cellStyle name="Normal 2 12 2 29" xfId="42129"/>
    <cellStyle name="Normal 2 12 2 3" xfId="802"/>
    <cellStyle name="Normal 2 12 2 3 10" xfId="13403"/>
    <cellStyle name="Normal 2 12 2 3 11" xfId="15155"/>
    <cellStyle name="Normal 2 12 2 3 12" xfId="16908"/>
    <cellStyle name="Normal 2 12 2 3 13" xfId="18660"/>
    <cellStyle name="Normal 2 12 2 3 14" xfId="20413"/>
    <cellStyle name="Normal 2 12 2 3 15" xfId="22165"/>
    <cellStyle name="Normal 2 12 2 3 16" xfId="23917"/>
    <cellStyle name="Normal 2 12 2 3 17" xfId="25669"/>
    <cellStyle name="Normal 2 12 2 3 18" xfId="27421"/>
    <cellStyle name="Normal 2 12 2 3 19" xfId="29174"/>
    <cellStyle name="Normal 2 12 2 3 2" xfId="803"/>
    <cellStyle name="Normal 2 12 2 3 2 10" xfId="15591"/>
    <cellStyle name="Normal 2 12 2 3 2 11" xfId="17344"/>
    <cellStyle name="Normal 2 12 2 3 2 12" xfId="19096"/>
    <cellStyle name="Normal 2 12 2 3 2 13" xfId="20849"/>
    <cellStyle name="Normal 2 12 2 3 2 14" xfId="22601"/>
    <cellStyle name="Normal 2 12 2 3 2 15" xfId="24353"/>
    <cellStyle name="Normal 2 12 2 3 2 16" xfId="26105"/>
    <cellStyle name="Normal 2 12 2 3 2 17" xfId="27857"/>
    <cellStyle name="Normal 2 12 2 3 2 18" xfId="29610"/>
    <cellStyle name="Normal 2 12 2 3 2 19" xfId="31362"/>
    <cellStyle name="Normal 2 12 2 3 2 2" xfId="804"/>
    <cellStyle name="Normal 2 12 2 3 2 2 10" xfId="18220"/>
    <cellStyle name="Normal 2 12 2 3 2 2 11" xfId="19972"/>
    <cellStyle name="Normal 2 12 2 3 2 2 12" xfId="21725"/>
    <cellStyle name="Normal 2 12 2 3 2 2 13" xfId="23477"/>
    <cellStyle name="Normal 2 12 2 3 2 2 14" xfId="25229"/>
    <cellStyle name="Normal 2 12 2 3 2 2 15" xfId="26981"/>
    <cellStyle name="Normal 2 12 2 3 2 2 16" xfId="28733"/>
    <cellStyle name="Normal 2 12 2 3 2 2 17" xfId="30486"/>
    <cellStyle name="Normal 2 12 2 3 2 2 18" xfId="32238"/>
    <cellStyle name="Normal 2 12 2 3 2 2 19" xfId="33991"/>
    <cellStyle name="Normal 2 12 2 3 2 2 2" xfId="4202"/>
    <cellStyle name="Normal 2 12 2 3 2 2 20" xfId="36627"/>
    <cellStyle name="Normal 2 12 2 3 2 2 21" xfId="38367"/>
    <cellStyle name="Normal 2 12 2 3 2 2 22" xfId="40120"/>
    <cellStyle name="Normal 2 12 2 3 2 2 23" xfId="41875"/>
    <cellStyle name="Normal 2 12 2 3 2 2 24" xfId="43627"/>
    <cellStyle name="Normal 2 12 2 3 2 2 25" xfId="46245"/>
    <cellStyle name="Normal 2 12 2 3 2 2 26" xfId="47997"/>
    <cellStyle name="Normal 2 12 2 3 2 2 27" xfId="49749"/>
    <cellStyle name="Normal 2 12 2 3 2 2 28" xfId="51501"/>
    <cellStyle name="Normal 2 12 2 3 2 2 29" xfId="53253"/>
    <cellStyle name="Normal 2 12 2 3 2 2 3" xfId="5954"/>
    <cellStyle name="Normal 2 12 2 3 2 2 30" xfId="55005"/>
    <cellStyle name="Normal 2 12 2 3 2 2 31" xfId="56757"/>
    <cellStyle name="Normal 2 12 2 3 2 2 32" xfId="58510"/>
    <cellStyle name="Normal 2 12 2 3 2 2 33" xfId="60262"/>
    <cellStyle name="Normal 2 12 2 3 2 2 34" xfId="62014"/>
    <cellStyle name="Normal 2 12 2 3 2 2 4" xfId="7706"/>
    <cellStyle name="Normal 2 12 2 3 2 2 5" xfId="9458"/>
    <cellStyle name="Normal 2 12 2 3 2 2 6" xfId="11211"/>
    <cellStyle name="Normal 2 12 2 3 2 2 7" xfId="12963"/>
    <cellStyle name="Normal 2 12 2 3 2 2 8" xfId="14715"/>
    <cellStyle name="Normal 2 12 2 3 2 2 9" xfId="16467"/>
    <cellStyle name="Normal 2 12 2 3 2 20" xfId="33115"/>
    <cellStyle name="Normal 2 12 2 3 2 21" xfId="34355"/>
    <cellStyle name="Normal 2 12 2 3 2 22" xfId="35751"/>
    <cellStyle name="Normal 2 12 2 3 2 23" xfId="36976"/>
    <cellStyle name="Normal 2 12 2 3 2 24" xfId="39244"/>
    <cellStyle name="Normal 2 12 2 3 2 25" xfId="40999"/>
    <cellStyle name="Normal 2 12 2 3 2 26" xfId="42751"/>
    <cellStyle name="Normal 2 12 2 3 2 27" xfId="43976"/>
    <cellStyle name="Normal 2 12 2 3 2 28" xfId="45369"/>
    <cellStyle name="Normal 2 12 2 3 2 29" xfId="47121"/>
    <cellStyle name="Normal 2 12 2 3 2 3" xfId="3326"/>
    <cellStyle name="Normal 2 12 2 3 2 30" xfId="48873"/>
    <cellStyle name="Normal 2 12 2 3 2 31" xfId="50625"/>
    <cellStyle name="Normal 2 12 2 3 2 32" xfId="52377"/>
    <cellStyle name="Normal 2 12 2 3 2 33" xfId="54129"/>
    <cellStyle name="Normal 2 12 2 3 2 34" xfId="55881"/>
    <cellStyle name="Normal 2 12 2 3 2 35" xfId="57634"/>
    <cellStyle name="Normal 2 12 2 3 2 36" xfId="59386"/>
    <cellStyle name="Normal 2 12 2 3 2 37" xfId="61138"/>
    <cellStyle name="Normal 2 12 2 3 2 38" xfId="62363"/>
    <cellStyle name="Normal 2 12 2 3 2 39" xfId="63229"/>
    <cellStyle name="Normal 2 12 2 3 2 4" xfId="5078"/>
    <cellStyle name="Normal 2 12 2 3 2 5" xfId="6830"/>
    <cellStyle name="Normal 2 12 2 3 2 6" xfId="8582"/>
    <cellStyle name="Normal 2 12 2 3 2 7" xfId="10335"/>
    <cellStyle name="Normal 2 12 2 3 2 8" xfId="12087"/>
    <cellStyle name="Normal 2 12 2 3 2 9" xfId="13839"/>
    <cellStyle name="Normal 2 12 2 3 20" xfId="30926"/>
    <cellStyle name="Normal 2 12 2 3 21" xfId="32679"/>
    <cellStyle name="Normal 2 12 2 3 22" xfId="34354"/>
    <cellStyle name="Normal 2 12 2 3 23" xfId="35315"/>
    <cellStyle name="Normal 2 12 2 3 24" xfId="36975"/>
    <cellStyle name="Normal 2 12 2 3 25" xfId="38808"/>
    <cellStyle name="Normal 2 12 2 3 26" xfId="40563"/>
    <cellStyle name="Normal 2 12 2 3 27" xfId="42315"/>
    <cellStyle name="Normal 2 12 2 3 28" xfId="43975"/>
    <cellStyle name="Normal 2 12 2 3 29" xfId="44933"/>
    <cellStyle name="Normal 2 12 2 3 3" xfId="805"/>
    <cellStyle name="Normal 2 12 2 3 3 10" xfId="17784"/>
    <cellStyle name="Normal 2 12 2 3 3 11" xfId="19536"/>
    <cellStyle name="Normal 2 12 2 3 3 12" xfId="21289"/>
    <cellStyle name="Normal 2 12 2 3 3 13" xfId="23041"/>
    <cellStyle name="Normal 2 12 2 3 3 14" xfId="24793"/>
    <cellStyle name="Normal 2 12 2 3 3 15" xfId="26545"/>
    <cellStyle name="Normal 2 12 2 3 3 16" xfId="28297"/>
    <cellStyle name="Normal 2 12 2 3 3 17" xfId="30050"/>
    <cellStyle name="Normal 2 12 2 3 3 18" xfId="31802"/>
    <cellStyle name="Normal 2 12 2 3 3 19" xfId="33555"/>
    <cellStyle name="Normal 2 12 2 3 3 2" xfId="3766"/>
    <cellStyle name="Normal 2 12 2 3 3 20" xfId="36191"/>
    <cellStyle name="Normal 2 12 2 3 3 21" xfId="37931"/>
    <cellStyle name="Normal 2 12 2 3 3 22" xfId="39684"/>
    <cellStyle name="Normal 2 12 2 3 3 23" xfId="41439"/>
    <cellStyle name="Normal 2 12 2 3 3 24" xfId="43191"/>
    <cellStyle name="Normal 2 12 2 3 3 25" xfId="45809"/>
    <cellStyle name="Normal 2 12 2 3 3 26" xfId="47561"/>
    <cellStyle name="Normal 2 12 2 3 3 27" xfId="49313"/>
    <cellStyle name="Normal 2 12 2 3 3 28" xfId="51065"/>
    <cellStyle name="Normal 2 12 2 3 3 29" xfId="52817"/>
    <cellStyle name="Normal 2 12 2 3 3 3" xfId="5518"/>
    <cellStyle name="Normal 2 12 2 3 3 30" xfId="54569"/>
    <cellStyle name="Normal 2 12 2 3 3 31" xfId="56321"/>
    <cellStyle name="Normal 2 12 2 3 3 32" xfId="58074"/>
    <cellStyle name="Normal 2 12 2 3 3 33" xfId="59826"/>
    <cellStyle name="Normal 2 12 2 3 3 34" xfId="61578"/>
    <cellStyle name="Normal 2 12 2 3 3 4" xfId="7270"/>
    <cellStyle name="Normal 2 12 2 3 3 5" xfId="9022"/>
    <cellStyle name="Normal 2 12 2 3 3 6" xfId="10775"/>
    <cellStyle name="Normal 2 12 2 3 3 7" xfId="12527"/>
    <cellStyle name="Normal 2 12 2 3 3 8" xfId="14279"/>
    <cellStyle name="Normal 2 12 2 3 3 9" xfId="16031"/>
    <cellStyle name="Normal 2 12 2 3 30" xfId="46685"/>
    <cellStyle name="Normal 2 12 2 3 31" xfId="48437"/>
    <cellStyle name="Normal 2 12 2 3 32" xfId="50189"/>
    <cellStyle name="Normal 2 12 2 3 33" xfId="51941"/>
    <cellStyle name="Normal 2 12 2 3 34" xfId="53693"/>
    <cellStyle name="Normal 2 12 2 3 35" xfId="55445"/>
    <cellStyle name="Normal 2 12 2 3 36" xfId="57198"/>
    <cellStyle name="Normal 2 12 2 3 37" xfId="58950"/>
    <cellStyle name="Normal 2 12 2 3 38" xfId="60702"/>
    <cellStyle name="Normal 2 12 2 3 39" xfId="62362"/>
    <cellStyle name="Normal 2 12 2 3 4" xfId="2890"/>
    <cellStyle name="Normal 2 12 2 3 40" xfId="63228"/>
    <cellStyle name="Normal 2 12 2 3 5" xfId="4642"/>
    <cellStyle name="Normal 2 12 2 3 6" xfId="6394"/>
    <cellStyle name="Normal 2 12 2 3 7" xfId="8146"/>
    <cellStyle name="Normal 2 12 2 3 8" xfId="9899"/>
    <cellStyle name="Normal 2 12 2 3 9" xfId="11651"/>
    <cellStyle name="Normal 2 12 2 30" xfId="43970"/>
    <cellStyle name="Normal 2 12 2 31" xfId="44747"/>
    <cellStyle name="Normal 2 12 2 32" xfId="46499"/>
    <cellStyle name="Normal 2 12 2 33" xfId="48251"/>
    <cellStyle name="Normal 2 12 2 34" xfId="50003"/>
    <cellStyle name="Normal 2 12 2 35" xfId="51755"/>
    <cellStyle name="Normal 2 12 2 36" xfId="53507"/>
    <cellStyle name="Normal 2 12 2 37" xfId="55259"/>
    <cellStyle name="Normal 2 12 2 38" xfId="57012"/>
    <cellStyle name="Normal 2 12 2 39" xfId="58764"/>
    <cellStyle name="Normal 2 12 2 4" xfId="806"/>
    <cellStyle name="Normal 2 12 2 4 10" xfId="15405"/>
    <cellStyle name="Normal 2 12 2 4 11" xfId="17158"/>
    <cellStyle name="Normal 2 12 2 4 12" xfId="18910"/>
    <cellStyle name="Normal 2 12 2 4 13" xfId="20663"/>
    <cellStyle name="Normal 2 12 2 4 14" xfId="22415"/>
    <cellStyle name="Normal 2 12 2 4 15" xfId="24167"/>
    <cellStyle name="Normal 2 12 2 4 16" xfId="25919"/>
    <cellStyle name="Normal 2 12 2 4 17" xfId="27671"/>
    <cellStyle name="Normal 2 12 2 4 18" xfId="29424"/>
    <cellStyle name="Normal 2 12 2 4 19" xfId="31176"/>
    <cellStyle name="Normal 2 12 2 4 2" xfId="807"/>
    <cellStyle name="Normal 2 12 2 4 2 10" xfId="18034"/>
    <cellStyle name="Normal 2 12 2 4 2 11" xfId="19786"/>
    <cellStyle name="Normal 2 12 2 4 2 12" xfId="21539"/>
    <cellStyle name="Normal 2 12 2 4 2 13" xfId="23291"/>
    <cellStyle name="Normal 2 12 2 4 2 14" xfId="25043"/>
    <cellStyle name="Normal 2 12 2 4 2 15" xfId="26795"/>
    <cellStyle name="Normal 2 12 2 4 2 16" xfId="28547"/>
    <cellStyle name="Normal 2 12 2 4 2 17" xfId="30300"/>
    <cellStyle name="Normal 2 12 2 4 2 18" xfId="32052"/>
    <cellStyle name="Normal 2 12 2 4 2 19" xfId="33805"/>
    <cellStyle name="Normal 2 12 2 4 2 2" xfId="4016"/>
    <cellStyle name="Normal 2 12 2 4 2 20" xfId="36441"/>
    <cellStyle name="Normal 2 12 2 4 2 21" xfId="38181"/>
    <cellStyle name="Normal 2 12 2 4 2 22" xfId="39934"/>
    <cellStyle name="Normal 2 12 2 4 2 23" xfId="41689"/>
    <cellStyle name="Normal 2 12 2 4 2 24" xfId="43441"/>
    <cellStyle name="Normal 2 12 2 4 2 25" xfId="46059"/>
    <cellStyle name="Normal 2 12 2 4 2 26" xfId="47811"/>
    <cellStyle name="Normal 2 12 2 4 2 27" xfId="49563"/>
    <cellStyle name="Normal 2 12 2 4 2 28" xfId="51315"/>
    <cellStyle name="Normal 2 12 2 4 2 29" xfId="53067"/>
    <cellStyle name="Normal 2 12 2 4 2 3" xfId="5768"/>
    <cellStyle name="Normal 2 12 2 4 2 30" xfId="54819"/>
    <cellStyle name="Normal 2 12 2 4 2 31" xfId="56571"/>
    <cellStyle name="Normal 2 12 2 4 2 32" xfId="58324"/>
    <cellStyle name="Normal 2 12 2 4 2 33" xfId="60076"/>
    <cellStyle name="Normal 2 12 2 4 2 34" xfId="61828"/>
    <cellStyle name="Normal 2 12 2 4 2 4" xfId="7520"/>
    <cellStyle name="Normal 2 12 2 4 2 5" xfId="9272"/>
    <cellStyle name="Normal 2 12 2 4 2 6" xfId="11025"/>
    <cellStyle name="Normal 2 12 2 4 2 7" xfId="12777"/>
    <cellStyle name="Normal 2 12 2 4 2 8" xfId="14529"/>
    <cellStyle name="Normal 2 12 2 4 2 9" xfId="16281"/>
    <cellStyle name="Normal 2 12 2 4 20" xfId="32929"/>
    <cellStyle name="Normal 2 12 2 4 21" xfId="34356"/>
    <cellStyle name="Normal 2 12 2 4 22" xfId="35565"/>
    <cellStyle name="Normal 2 12 2 4 23" xfId="36977"/>
    <cellStyle name="Normal 2 12 2 4 24" xfId="39058"/>
    <cellStyle name="Normal 2 12 2 4 25" xfId="40813"/>
    <cellStyle name="Normal 2 12 2 4 26" xfId="42565"/>
    <cellStyle name="Normal 2 12 2 4 27" xfId="43977"/>
    <cellStyle name="Normal 2 12 2 4 28" xfId="45183"/>
    <cellStyle name="Normal 2 12 2 4 29" xfId="46935"/>
    <cellStyle name="Normal 2 12 2 4 3" xfId="3140"/>
    <cellStyle name="Normal 2 12 2 4 30" xfId="48687"/>
    <cellStyle name="Normal 2 12 2 4 31" xfId="50439"/>
    <cellStyle name="Normal 2 12 2 4 32" xfId="52191"/>
    <cellStyle name="Normal 2 12 2 4 33" xfId="53943"/>
    <cellStyle name="Normal 2 12 2 4 34" xfId="55695"/>
    <cellStyle name="Normal 2 12 2 4 35" xfId="57448"/>
    <cellStyle name="Normal 2 12 2 4 36" xfId="59200"/>
    <cellStyle name="Normal 2 12 2 4 37" xfId="60952"/>
    <cellStyle name="Normal 2 12 2 4 38" xfId="62364"/>
    <cellStyle name="Normal 2 12 2 4 39" xfId="63230"/>
    <cellStyle name="Normal 2 12 2 4 4" xfId="4892"/>
    <cellStyle name="Normal 2 12 2 4 5" xfId="6644"/>
    <cellStyle name="Normal 2 12 2 4 6" xfId="8396"/>
    <cellStyle name="Normal 2 12 2 4 7" xfId="10149"/>
    <cellStyle name="Normal 2 12 2 4 8" xfId="11901"/>
    <cellStyle name="Normal 2 12 2 4 9" xfId="13653"/>
    <cellStyle name="Normal 2 12 2 40" xfId="60516"/>
    <cellStyle name="Normal 2 12 2 41" xfId="62357"/>
    <cellStyle name="Normal 2 12 2 42" xfId="63223"/>
    <cellStyle name="Normal 2 12 2 5" xfId="808"/>
    <cellStyle name="Normal 2 12 2 5 10" xfId="17598"/>
    <cellStyle name="Normal 2 12 2 5 11" xfId="19350"/>
    <cellStyle name="Normal 2 12 2 5 12" xfId="21103"/>
    <cellStyle name="Normal 2 12 2 5 13" xfId="22855"/>
    <cellStyle name="Normal 2 12 2 5 14" xfId="24607"/>
    <cellStyle name="Normal 2 12 2 5 15" xfId="26359"/>
    <cellStyle name="Normal 2 12 2 5 16" xfId="28111"/>
    <cellStyle name="Normal 2 12 2 5 17" xfId="29864"/>
    <cellStyle name="Normal 2 12 2 5 18" xfId="31616"/>
    <cellStyle name="Normal 2 12 2 5 19" xfId="33369"/>
    <cellStyle name="Normal 2 12 2 5 2" xfId="3580"/>
    <cellStyle name="Normal 2 12 2 5 20" xfId="36005"/>
    <cellStyle name="Normal 2 12 2 5 21" xfId="37710"/>
    <cellStyle name="Normal 2 12 2 5 22" xfId="39498"/>
    <cellStyle name="Normal 2 12 2 5 23" xfId="41253"/>
    <cellStyle name="Normal 2 12 2 5 24" xfId="43005"/>
    <cellStyle name="Normal 2 12 2 5 25" xfId="45623"/>
    <cellStyle name="Normal 2 12 2 5 26" xfId="47375"/>
    <cellStyle name="Normal 2 12 2 5 27" xfId="49127"/>
    <cellStyle name="Normal 2 12 2 5 28" xfId="50879"/>
    <cellStyle name="Normal 2 12 2 5 29" xfId="52631"/>
    <cellStyle name="Normal 2 12 2 5 3" xfId="5332"/>
    <cellStyle name="Normal 2 12 2 5 30" xfId="54383"/>
    <cellStyle name="Normal 2 12 2 5 31" xfId="56135"/>
    <cellStyle name="Normal 2 12 2 5 32" xfId="57888"/>
    <cellStyle name="Normal 2 12 2 5 33" xfId="59640"/>
    <cellStyle name="Normal 2 12 2 5 34" xfId="61392"/>
    <cellStyle name="Normal 2 12 2 5 4" xfId="7084"/>
    <cellStyle name="Normal 2 12 2 5 5" xfId="8836"/>
    <cellStyle name="Normal 2 12 2 5 6" xfId="10589"/>
    <cellStyle name="Normal 2 12 2 5 7" xfId="12341"/>
    <cellStyle name="Normal 2 12 2 5 8" xfId="14093"/>
    <cellStyle name="Normal 2 12 2 5 9" xfId="15845"/>
    <cellStyle name="Normal 2 12 2 6" xfId="2704"/>
    <cellStyle name="Normal 2 12 2 7" xfId="4456"/>
    <cellStyle name="Normal 2 12 2 8" xfId="6208"/>
    <cellStyle name="Normal 2 12 2 9" xfId="7960"/>
    <cellStyle name="Normal 2 12 20" xfId="25428"/>
    <cellStyle name="Normal 2 12 21" xfId="27180"/>
    <cellStyle name="Normal 2 12 22" xfId="28933"/>
    <cellStyle name="Normal 2 12 23" xfId="30685"/>
    <cellStyle name="Normal 2 12 24" xfId="32438"/>
    <cellStyle name="Normal 2 12 25" xfId="34348"/>
    <cellStyle name="Normal 2 12 26" xfId="35074"/>
    <cellStyle name="Normal 2 12 27" xfId="36969"/>
    <cellStyle name="Normal 2 12 28" xfId="38567"/>
    <cellStyle name="Normal 2 12 29" xfId="40322"/>
    <cellStyle name="Normal 2 12 3" xfId="809"/>
    <cellStyle name="Normal 2 12 3 10" xfId="11518"/>
    <cellStyle name="Normal 2 12 3 11" xfId="13270"/>
    <cellStyle name="Normal 2 12 3 12" xfId="15022"/>
    <cellStyle name="Normal 2 12 3 13" xfId="16775"/>
    <cellStyle name="Normal 2 12 3 14" xfId="18527"/>
    <cellStyle name="Normal 2 12 3 15" xfId="20280"/>
    <cellStyle name="Normal 2 12 3 16" xfId="22032"/>
    <cellStyle name="Normal 2 12 3 17" xfId="23784"/>
    <cellStyle name="Normal 2 12 3 18" xfId="25536"/>
    <cellStyle name="Normal 2 12 3 19" xfId="27288"/>
    <cellStyle name="Normal 2 12 3 2" xfId="810"/>
    <cellStyle name="Normal 2 12 3 2 10" xfId="13404"/>
    <cellStyle name="Normal 2 12 3 2 11" xfId="15156"/>
    <cellStyle name="Normal 2 12 3 2 12" xfId="16909"/>
    <cellStyle name="Normal 2 12 3 2 13" xfId="18661"/>
    <cellStyle name="Normal 2 12 3 2 14" xfId="20414"/>
    <cellStyle name="Normal 2 12 3 2 15" xfId="22166"/>
    <cellStyle name="Normal 2 12 3 2 16" xfId="23918"/>
    <cellStyle name="Normal 2 12 3 2 17" xfId="25670"/>
    <cellStyle name="Normal 2 12 3 2 18" xfId="27422"/>
    <cellStyle name="Normal 2 12 3 2 19" xfId="29175"/>
    <cellStyle name="Normal 2 12 3 2 2" xfId="811"/>
    <cellStyle name="Normal 2 12 3 2 2 10" xfId="15592"/>
    <cellStyle name="Normal 2 12 3 2 2 11" xfId="17345"/>
    <cellStyle name="Normal 2 12 3 2 2 12" xfId="19097"/>
    <cellStyle name="Normal 2 12 3 2 2 13" xfId="20850"/>
    <cellStyle name="Normal 2 12 3 2 2 14" xfId="22602"/>
    <cellStyle name="Normal 2 12 3 2 2 15" xfId="24354"/>
    <cellStyle name="Normal 2 12 3 2 2 16" xfId="26106"/>
    <cellStyle name="Normal 2 12 3 2 2 17" xfId="27858"/>
    <cellStyle name="Normal 2 12 3 2 2 18" xfId="29611"/>
    <cellStyle name="Normal 2 12 3 2 2 19" xfId="31363"/>
    <cellStyle name="Normal 2 12 3 2 2 2" xfId="812"/>
    <cellStyle name="Normal 2 12 3 2 2 2 10" xfId="18221"/>
    <cellStyle name="Normal 2 12 3 2 2 2 11" xfId="19973"/>
    <cellStyle name="Normal 2 12 3 2 2 2 12" xfId="21726"/>
    <cellStyle name="Normal 2 12 3 2 2 2 13" xfId="23478"/>
    <cellStyle name="Normal 2 12 3 2 2 2 14" xfId="25230"/>
    <cellStyle name="Normal 2 12 3 2 2 2 15" xfId="26982"/>
    <cellStyle name="Normal 2 12 3 2 2 2 16" xfId="28734"/>
    <cellStyle name="Normal 2 12 3 2 2 2 17" xfId="30487"/>
    <cellStyle name="Normal 2 12 3 2 2 2 18" xfId="32239"/>
    <cellStyle name="Normal 2 12 3 2 2 2 19" xfId="33992"/>
    <cellStyle name="Normal 2 12 3 2 2 2 2" xfId="4203"/>
    <cellStyle name="Normal 2 12 3 2 2 2 20" xfId="36628"/>
    <cellStyle name="Normal 2 12 3 2 2 2 21" xfId="38368"/>
    <cellStyle name="Normal 2 12 3 2 2 2 22" xfId="40121"/>
    <cellStyle name="Normal 2 12 3 2 2 2 23" xfId="41876"/>
    <cellStyle name="Normal 2 12 3 2 2 2 24" xfId="43628"/>
    <cellStyle name="Normal 2 12 3 2 2 2 25" xfId="46246"/>
    <cellStyle name="Normal 2 12 3 2 2 2 26" xfId="47998"/>
    <cellStyle name="Normal 2 12 3 2 2 2 27" xfId="49750"/>
    <cellStyle name="Normal 2 12 3 2 2 2 28" xfId="51502"/>
    <cellStyle name="Normal 2 12 3 2 2 2 29" xfId="53254"/>
    <cellStyle name="Normal 2 12 3 2 2 2 3" xfId="5955"/>
    <cellStyle name="Normal 2 12 3 2 2 2 30" xfId="55006"/>
    <cellStyle name="Normal 2 12 3 2 2 2 31" xfId="56758"/>
    <cellStyle name="Normal 2 12 3 2 2 2 32" xfId="58511"/>
    <cellStyle name="Normal 2 12 3 2 2 2 33" xfId="60263"/>
    <cellStyle name="Normal 2 12 3 2 2 2 34" xfId="62015"/>
    <cellStyle name="Normal 2 12 3 2 2 2 4" xfId="7707"/>
    <cellStyle name="Normal 2 12 3 2 2 2 5" xfId="9459"/>
    <cellStyle name="Normal 2 12 3 2 2 2 6" xfId="11212"/>
    <cellStyle name="Normal 2 12 3 2 2 2 7" xfId="12964"/>
    <cellStyle name="Normal 2 12 3 2 2 2 8" xfId="14716"/>
    <cellStyle name="Normal 2 12 3 2 2 2 9" xfId="16468"/>
    <cellStyle name="Normal 2 12 3 2 2 20" xfId="33116"/>
    <cellStyle name="Normal 2 12 3 2 2 21" xfId="34359"/>
    <cellStyle name="Normal 2 12 3 2 2 22" xfId="35752"/>
    <cellStyle name="Normal 2 12 3 2 2 23" xfId="36980"/>
    <cellStyle name="Normal 2 12 3 2 2 24" xfId="39245"/>
    <cellStyle name="Normal 2 12 3 2 2 25" xfId="41000"/>
    <cellStyle name="Normal 2 12 3 2 2 26" xfId="42752"/>
    <cellStyle name="Normal 2 12 3 2 2 27" xfId="43980"/>
    <cellStyle name="Normal 2 12 3 2 2 28" xfId="45370"/>
    <cellStyle name="Normal 2 12 3 2 2 29" xfId="47122"/>
    <cellStyle name="Normal 2 12 3 2 2 3" xfId="3327"/>
    <cellStyle name="Normal 2 12 3 2 2 30" xfId="48874"/>
    <cellStyle name="Normal 2 12 3 2 2 31" xfId="50626"/>
    <cellStyle name="Normal 2 12 3 2 2 32" xfId="52378"/>
    <cellStyle name="Normal 2 12 3 2 2 33" xfId="54130"/>
    <cellStyle name="Normal 2 12 3 2 2 34" xfId="55882"/>
    <cellStyle name="Normal 2 12 3 2 2 35" xfId="57635"/>
    <cellStyle name="Normal 2 12 3 2 2 36" xfId="59387"/>
    <cellStyle name="Normal 2 12 3 2 2 37" xfId="61139"/>
    <cellStyle name="Normal 2 12 3 2 2 38" xfId="62367"/>
    <cellStyle name="Normal 2 12 3 2 2 39" xfId="63233"/>
    <cellStyle name="Normal 2 12 3 2 2 4" xfId="5079"/>
    <cellStyle name="Normal 2 12 3 2 2 5" xfId="6831"/>
    <cellStyle name="Normal 2 12 3 2 2 6" xfId="8583"/>
    <cellStyle name="Normal 2 12 3 2 2 7" xfId="10336"/>
    <cellStyle name="Normal 2 12 3 2 2 8" xfId="12088"/>
    <cellStyle name="Normal 2 12 3 2 2 9" xfId="13840"/>
    <cellStyle name="Normal 2 12 3 2 20" xfId="30927"/>
    <cellStyle name="Normal 2 12 3 2 21" xfId="32680"/>
    <cellStyle name="Normal 2 12 3 2 22" xfId="34358"/>
    <cellStyle name="Normal 2 12 3 2 23" xfId="35316"/>
    <cellStyle name="Normal 2 12 3 2 24" xfId="36979"/>
    <cellStyle name="Normal 2 12 3 2 25" xfId="38809"/>
    <cellStyle name="Normal 2 12 3 2 26" xfId="40564"/>
    <cellStyle name="Normal 2 12 3 2 27" xfId="42316"/>
    <cellStyle name="Normal 2 12 3 2 28" xfId="43979"/>
    <cellStyle name="Normal 2 12 3 2 29" xfId="44934"/>
    <cellStyle name="Normal 2 12 3 2 3" xfId="813"/>
    <cellStyle name="Normal 2 12 3 2 3 10" xfId="17785"/>
    <cellStyle name="Normal 2 12 3 2 3 11" xfId="19537"/>
    <cellStyle name="Normal 2 12 3 2 3 12" xfId="21290"/>
    <cellStyle name="Normal 2 12 3 2 3 13" xfId="23042"/>
    <cellStyle name="Normal 2 12 3 2 3 14" xfId="24794"/>
    <cellStyle name="Normal 2 12 3 2 3 15" xfId="26546"/>
    <cellStyle name="Normal 2 12 3 2 3 16" xfId="28298"/>
    <cellStyle name="Normal 2 12 3 2 3 17" xfId="30051"/>
    <cellStyle name="Normal 2 12 3 2 3 18" xfId="31803"/>
    <cellStyle name="Normal 2 12 3 2 3 19" xfId="33556"/>
    <cellStyle name="Normal 2 12 3 2 3 2" xfId="3767"/>
    <cellStyle name="Normal 2 12 3 2 3 20" xfId="36192"/>
    <cellStyle name="Normal 2 12 3 2 3 21" xfId="37932"/>
    <cellStyle name="Normal 2 12 3 2 3 22" xfId="39685"/>
    <cellStyle name="Normal 2 12 3 2 3 23" xfId="41440"/>
    <cellStyle name="Normal 2 12 3 2 3 24" xfId="43192"/>
    <cellStyle name="Normal 2 12 3 2 3 25" xfId="45810"/>
    <cellStyle name="Normal 2 12 3 2 3 26" xfId="47562"/>
    <cellStyle name="Normal 2 12 3 2 3 27" xfId="49314"/>
    <cellStyle name="Normal 2 12 3 2 3 28" xfId="51066"/>
    <cellStyle name="Normal 2 12 3 2 3 29" xfId="52818"/>
    <cellStyle name="Normal 2 12 3 2 3 3" xfId="5519"/>
    <cellStyle name="Normal 2 12 3 2 3 30" xfId="54570"/>
    <cellStyle name="Normal 2 12 3 2 3 31" xfId="56322"/>
    <cellStyle name="Normal 2 12 3 2 3 32" xfId="58075"/>
    <cellStyle name="Normal 2 12 3 2 3 33" xfId="59827"/>
    <cellStyle name="Normal 2 12 3 2 3 34" xfId="61579"/>
    <cellStyle name="Normal 2 12 3 2 3 4" xfId="7271"/>
    <cellStyle name="Normal 2 12 3 2 3 5" xfId="9023"/>
    <cellStyle name="Normal 2 12 3 2 3 6" xfId="10776"/>
    <cellStyle name="Normal 2 12 3 2 3 7" xfId="12528"/>
    <cellStyle name="Normal 2 12 3 2 3 8" xfId="14280"/>
    <cellStyle name="Normal 2 12 3 2 3 9" xfId="16032"/>
    <cellStyle name="Normal 2 12 3 2 30" xfId="46686"/>
    <cellStyle name="Normal 2 12 3 2 31" xfId="48438"/>
    <cellStyle name="Normal 2 12 3 2 32" xfId="50190"/>
    <cellStyle name="Normal 2 12 3 2 33" xfId="51942"/>
    <cellStyle name="Normal 2 12 3 2 34" xfId="53694"/>
    <cellStyle name="Normal 2 12 3 2 35" xfId="55446"/>
    <cellStyle name="Normal 2 12 3 2 36" xfId="57199"/>
    <cellStyle name="Normal 2 12 3 2 37" xfId="58951"/>
    <cellStyle name="Normal 2 12 3 2 38" xfId="60703"/>
    <cellStyle name="Normal 2 12 3 2 39" xfId="62366"/>
    <cellStyle name="Normal 2 12 3 2 4" xfId="2891"/>
    <cellStyle name="Normal 2 12 3 2 40" xfId="63232"/>
    <cellStyle name="Normal 2 12 3 2 5" xfId="4643"/>
    <cellStyle name="Normal 2 12 3 2 6" xfId="6395"/>
    <cellStyle name="Normal 2 12 3 2 7" xfId="8147"/>
    <cellStyle name="Normal 2 12 3 2 8" xfId="9900"/>
    <cellStyle name="Normal 2 12 3 2 9" xfId="11652"/>
    <cellStyle name="Normal 2 12 3 20" xfId="29041"/>
    <cellStyle name="Normal 2 12 3 21" xfId="30793"/>
    <cellStyle name="Normal 2 12 3 22" xfId="32546"/>
    <cellStyle name="Normal 2 12 3 23" xfId="34357"/>
    <cellStyle name="Normal 2 12 3 24" xfId="35182"/>
    <cellStyle name="Normal 2 12 3 25" xfId="36978"/>
    <cellStyle name="Normal 2 12 3 26" xfId="38675"/>
    <cellStyle name="Normal 2 12 3 27" xfId="40430"/>
    <cellStyle name="Normal 2 12 3 28" xfId="42182"/>
    <cellStyle name="Normal 2 12 3 29" xfId="43978"/>
    <cellStyle name="Normal 2 12 3 3" xfId="814"/>
    <cellStyle name="Normal 2 12 3 3 10" xfId="15458"/>
    <cellStyle name="Normal 2 12 3 3 11" xfId="17211"/>
    <cellStyle name="Normal 2 12 3 3 12" xfId="18963"/>
    <cellStyle name="Normal 2 12 3 3 13" xfId="20716"/>
    <cellStyle name="Normal 2 12 3 3 14" xfId="22468"/>
    <cellStyle name="Normal 2 12 3 3 15" xfId="24220"/>
    <cellStyle name="Normal 2 12 3 3 16" xfId="25972"/>
    <cellStyle name="Normal 2 12 3 3 17" xfId="27724"/>
    <cellStyle name="Normal 2 12 3 3 18" xfId="29477"/>
    <cellStyle name="Normal 2 12 3 3 19" xfId="31229"/>
    <cellStyle name="Normal 2 12 3 3 2" xfId="815"/>
    <cellStyle name="Normal 2 12 3 3 2 10" xfId="18087"/>
    <cellStyle name="Normal 2 12 3 3 2 11" xfId="19839"/>
    <cellStyle name="Normal 2 12 3 3 2 12" xfId="21592"/>
    <cellStyle name="Normal 2 12 3 3 2 13" xfId="23344"/>
    <cellStyle name="Normal 2 12 3 3 2 14" xfId="25096"/>
    <cellStyle name="Normal 2 12 3 3 2 15" xfId="26848"/>
    <cellStyle name="Normal 2 12 3 3 2 16" xfId="28600"/>
    <cellStyle name="Normal 2 12 3 3 2 17" xfId="30353"/>
    <cellStyle name="Normal 2 12 3 3 2 18" xfId="32105"/>
    <cellStyle name="Normal 2 12 3 3 2 19" xfId="33858"/>
    <cellStyle name="Normal 2 12 3 3 2 2" xfId="4069"/>
    <cellStyle name="Normal 2 12 3 3 2 20" xfId="36494"/>
    <cellStyle name="Normal 2 12 3 3 2 21" xfId="38234"/>
    <cellStyle name="Normal 2 12 3 3 2 22" xfId="39987"/>
    <cellStyle name="Normal 2 12 3 3 2 23" xfId="41742"/>
    <cellStyle name="Normal 2 12 3 3 2 24" xfId="43494"/>
    <cellStyle name="Normal 2 12 3 3 2 25" xfId="46112"/>
    <cellStyle name="Normal 2 12 3 3 2 26" xfId="47864"/>
    <cellStyle name="Normal 2 12 3 3 2 27" xfId="49616"/>
    <cellStyle name="Normal 2 12 3 3 2 28" xfId="51368"/>
    <cellStyle name="Normal 2 12 3 3 2 29" xfId="53120"/>
    <cellStyle name="Normal 2 12 3 3 2 3" xfId="5821"/>
    <cellStyle name="Normal 2 12 3 3 2 30" xfId="54872"/>
    <cellStyle name="Normal 2 12 3 3 2 31" xfId="56624"/>
    <cellStyle name="Normal 2 12 3 3 2 32" xfId="58377"/>
    <cellStyle name="Normal 2 12 3 3 2 33" xfId="60129"/>
    <cellStyle name="Normal 2 12 3 3 2 34" xfId="61881"/>
    <cellStyle name="Normal 2 12 3 3 2 4" xfId="7573"/>
    <cellStyle name="Normal 2 12 3 3 2 5" xfId="9325"/>
    <cellStyle name="Normal 2 12 3 3 2 6" xfId="11078"/>
    <cellStyle name="Normal 2 12 3 3 2 7" xfId="12830"/>
    <cellStyle name="Normal 2 12 3 3 2 8" xfId="14582"/>
    <cellStyle name="Normal 2 12 3 3 2 9" xfId="16334"/>
    <cellStyle name="Normal 2 12 3 3 20" xfId="32982"/>
    <cellStyle name="Normal 2 12 3 3 21" xfId="34360"/>
    <cellStyle name="Normal 2 12 3 3 22" xfId="35618"/>
    <cellStyle name="Normal 2 12 3 3 23" xfId="36981"/>
    <cellStyle name="Normal 2 12 3 3 24" xfId="39111"/>
    <cellStyle name="Normal 2 12 3 3 25" xfId="40866"/>
    <cellStyle name="Normal 2 12 3 3 26" xfId="42618"/>
    <cellStyle name="Normal 2 12 3 3 27" xfId="43981"/>
    <cellStyle name="Normal 2 12 3 3 28" xfId="45236"/>
    <cellStyle name="Normal 2 12 3 3 29" xfId="46988"/>
    <cellStyle name="Normal 2 12 3 3 3" xfId="3193"/>
    <cellStyle name="Normal 2 12 3 3 30" xfId="48740"/>
    <cellStyle name="Normal 2 12 3 3 31" xfId="50492"/>
    <cellStyle name="Normal 2 12 3 3 32" xfId="52244"/>
    <cellStyle name="Normal 2 12 3 3 33" xfId="53996"/>
    <cellStyle name="Normal 2 12 3 3 34" xfId="55748"/>
    <cellStyle name="Normal 2 12 3 3 35" xfId="57501"/>
    <cellStyle name="Normal 2 12 3 3 36" xfId="59253"/>
    <cellStyle name="Normal 2 12 3 3 37" xfId="61005"/>
    <cellStyle name="Normal 2 12 3 3 38" xfId="62368"/>
    <cellStyle name="Normal 2 12 3 3 39" xfId="63234"/>
    <cellStyle name="Normal 2 12 3 3 4" xfId="4945"/>
    <cellStyle name="Normal 2 12 3 3 5" xfId="6697"/>
    <cellStyle name="Normal 2 12 3 3 6" xfId="8449"/>
    <cellStyle name="Normal 2 12 3 3 7" xfId="10202"/>
    <cellStyle name="Normal 2 12 3 3 8" xfId="11954"/>
    <cellStyle name="Normal 2 12 3 3 9" xfId="13706"/>
    <cellStyle name="Normal 2 12 3 30" xfId="44800"/>
    <cellStyle name="Normal 2 12 3 31" xfId="46552"/>
    <cellStyle name="Normal 2 12 3 32" xfId="48304"/>
    <cellStyle name="Normal 2 12 3 33" xfId="50056"/>
    <cellStyle name="Normal 2 12 3 34" xfId="51808"/>
    <cellStyle name="Normal 2 12 3 35" xfId="53560"/>
    <cellStyle name="Normal 2 12 3 36" xfId="55312"/>
    <cellStyle name="Normal 2 12 3 37" xfId="57065"/>
    <cellStyle name="Normal 2 12 3 38" xfId="58817"/>
    <cellStyle name="Normal 2 12 3 39" xfId="60569"/>
    <cellStyle name="Normal 2 12 3 4" xfId="816"/>
    <cellStyle name="Normal 2 12 3 4 10" xfId="17651"/>
    <cellStyle name="Normal 2 12 3 4 11" xfId="19403"/>
    <cellStyle name="Normal 2 12 3 4 12" xfId="21156"/>
    <cellStyle name="Normal 2 12 3 4 13" xfId="22908"/>
    <cellStyle name="Normal 2 12 3 4 14" xfId="24660"/>
    <cellStyle name="Normal 2 12 3 4 15" xfId="26412"/>
    <cellStyle name="Normal 2 12 3 4 16" xfId="28164"/>
    <cellStyle name="Normal 2 12 3 4 17" xfId="29917"/>
    <cellStyle name="Normal 2 12 3 4 18" xfId="31669"/>
    <cellStyle name="Normal 2 12 3 4 19" xfId="33422"/>
    <cellStyle name="Normal 2 12 3 4 2" xfId="3633"/>
    <cellStyle name="Normal 2 12 3 4 20" xfId="36058"/>
    <cellStyle name="Normal 2 12 3 4 21" xfId="37798"/>
    <cellStyle name="Normal 2 12 3 4 22" xfId="39551"/>
    <cellStyle name="Normal 2 12 3 4 23" xfId="41306"/>
    <cellStyle name="Normal 2 12 3 4 24" xfId="43058"/>
    <cellStyle name="Normal 2 12 3 4 25" xfId="45676"/>
    <cellStyle name="Normal 2 12 3 4 26" xfId="47428"/>
    <cellStyle name="Normal 2 12 3 4 27" xfId="49180"/>
    <cellStyle name="Normal 2 12 3 4 28" xfId="50932"/>
    <cellStyle name="Normal 2 12 3 4 29" xfId="52684"/>
    <cellStyle name="Normal 2 12 3 4 3" xfId="5385"/>
    <cellStyle name="Normal 2 12 3 4 30" xfId="54436"/>
    <cellStyle name="Normal 2 12 3 4 31" xfId="56188"/>
    <cellStyle name="Normal 2 12 3 4 32" xfId="57941"/>
    <cellStyle name="Normal 2 12 3 4 33" xfId="59693"/>
    <cellStyle name="Normal 2 12 3 4 34" xfId="61445"/>
    <cellStyle name="Normal 2 12 3 4 4" xfId="7137"/>
    <cellStyle name="Normal 2 12 3 4 5" xfId="8889"/>
    <cellStyle name="Normal 2 12 3 4 6" xfId="10642"/>
    <cellStyle name="Normal 2 12 3 4 7" xfId="12394"/>
    <cellStyle name="Normal 2 12 3 4 8" xfId="14146"/>
    <cellStyle name="Normal 2 12 3 4 9" xfId="15898"/>
    <cellStyle name="Normal 2 12 3 40" xfId="62365"/>
    <cellStyle name="Normal 2 12 3 41" xfId="63231"/>
    <cellStyle name="Normal 2 12 3 5" xfId="2757"/>
    <cellStyle name="Normal 2 12 3 6" xfId="4509"/>
    <cellStyle name="Normal 2 12 3 7" xfId="6261"/>
    <cellStyle name="Normal 2 12 3 8" xfId="8013"/>
    <cellStyle name="Normal 2 12 3 9" xfId="9766"/>
    <cellStyle name="Normal 2 12 30" xfId="42074"/>
    <cellStyle name="Normal 2 12 31" xfId="43969"/>
    <cellStyle name="Normal 2 12 32" xfId="44692"/>
    <cellStyle name="Normal 2 12 33" xfId="46444"/>
    <cellStyle name="Normal 2 12 34" xfId="48196"/>
    <cellStyle name="Normal 2 12 35" xfId="49948"/>
    <cellStyle name="Normal 2 12 36" xfId="51700"/>
    <cellStyle name="Normal 2 12 37" xfId="53452"/>
    <cellStyle name="Normal 2 12 38" xfId="55204"/>
    <cellStyle name="Normal 2 12 39" xfId="56957"/>
    <cellStyle name="Normal 2 12 4" xfId="817"/>
    <cellStyle name="Normal 2 12 4 10" xfId="13405"/>
    <cellStyle name="Normal 2 12 4 11" xfId="15157"/>
    <cellStyle name="Normal 2 12 4 12" xfId="16910"/>
    <cellStyle name="Normal 2 12 4 13" xfId="18662"/>
    <cellStyle name="Normal 2 12 4 14" xfId="20415"/>
    <cellStyle name="Normal 2 12 4 15" xfId="22167"/>
    <cellStyle name="Normal 2 12 4 16" xfId="23919"/>
    <cellStyle name="Normal 2 12 4 17" xfId="25671"/>
    <cellStyle name="Normal 2 12 4 18" xfId="27423"/>
    <cellStyle name="Normal 2 12 4 19" xfId="29176"/>
    <cellStyle name="Normal 2 12 4 2" xfId="818"/>
    <cellStyle name="Normal 2 12 4 2 10" xfId="15593"/>
    <cellStyle name="Normal 2 12 4 2 11" xfId="17346"/>
    <cellStyle name="Normal 2 12 4 2 12" xfId="19098"/>
    <cellStyle name="Normal 2 12 4 2 13" xfId="20851"/>
    <cellStyle name="Normal 2 12 4 2 14" xfId="22603"/>
    <cellStyle name="Normal 2 12 4 2 15" xfId="24355"/>
    <cellStyle name="Normal 2 12 4 2 16" xfId="26107"/>
    <cellStyle name="Normal 2 12 4 2 17" xfId="27859"/>
    <cellStyle name="Normal 2 12 4 2 18" xfId="29612"/>
    <cellStyle name="Normal 2 12 4 2 19" xfId="31364"/>
    <cellStyle name="Normal 2 12 4 2 2" xfId="819"/>
    <cellStyle name="Normal 2 12 4 2 2 10" xfId="18222"/>
    <cellStyle name="Normal 2 12 4 2 2 11" xfId="19974"/>
    <cellStyle name="Normal 2 12 4 2 2 12" xfId="21727"/>
    <cellStyle name="Normal 2 12 4 2 2 13" xfId="23479"/>
    <cellStyle name="Normal 2 12 4 2 2 14" xfId="25231"/>
    <cellStyle name="Normal 2 12 4 2 2 15" xfId="26983"/>
    <cellStyle name="Normal 2 12 4 2 2 16" xfId="28735"/>
    <cellStyle name="Normal 2 12 4 2 2 17" xfId="30488"/>
    <cellStyle name="Normal 2 12 4 2 2 18" xfId="32240"/>
    <cellStyle name="Normal 2 12 4 2 2 19" xfId="33993"/>
    <cellStyle name="Normal 2 12 4 2 2 2" xfId="4204"/>
    <cellStyle name="Normal 2 12 4 2 2 20" xfId="36629"/>
    <cellStyle name="Normal 2 12 4 2 2 21" xfId="38369"/>
    <cellStyle name="Normal 2 12 4 2 2 22" xfId="40122"/>
    <cellStyle name="Normal 2 12 4 2 2 23" xfId="41877"/>
    <cellStyle name="Normal 2 12 4 2 2 24" xfId="43629"/>
    <cellStyle name="Normal 2 12 4 2 2 25" xfId="46247"/>
    <cellStyle name="Normal 2 12 4 2 2 26" xfId="47999"/>
    <cellStyle name="Normal 2 12 4 2 2 27" xfId="49751"/>
    <cellStyle name="Normal 2 12 4 2 2 28" xfId="51503"/>
    <cellStyle name="Normal 2 12 4 2 2 29" xfId="53255"/>
    <cellStyle name="Normal 2 12 4 2 2 3" xfId="5956"/>
    <cellStyle name="Normal 2 12 4 2 2 30" xfId="55007"/>
    <cellStyle name="Normal 2 12 4 2 2 31" xfId="56759"/>
    <cellStyle name="Normal 2 12 4 2 2 32" xfId="58512"/>
    <cellStyle name="Normal 2 12 4 2 2 33" xfId="60264"/>
    <cellStyle name="Normal 2 12 4 2 2 34" xfId="62016"/>
    <cellStyle name="Normal 2 12 4 2 2 4" xfId="7708"/>
    <cellStyle name="Normal 2 12 4 2 2 5" xfId="9460"/>
    <cellStyle name="Normal 2 12 4 2 2 6" xfId="11213"/>
    <cellStyle name="Normal 2 12 4 2 2 7" xfId="12965"/>
    <cellStyle name="Normal 2 12 4 2 2 8" xfId="14717"/>
    <cellStyle name="Normal 2 12 4 2 2 9" xfId="16469"/>
    <cellStyle name="Normal 2 12 4 2 20" xfId="33117"/>
    <cellStyle name="Normal 2 12 4 2 21" xfId="34362"/>
    <cellStyle name="Normal 2 12 4 2 22" xfId="35753"/>
    <cellStyle name="Normal 2 12 4 2 23" xfId="36983"/>
    <cellStyle name="Normal 2 12 4 2 24" xfId="39246"/>
    <cellStyle name="Normal 2 12 4 2 25" xfId="41001"/>
    <cellStyle name="Normal 2 12 4 2 26" xfId="42753"/>
    <cellStyle name="Normal 2 12 4 2 27" xfId="43983"/>
    <cellStyle name="Normal 2 12 4 2 28" xfId="45371"/>
    <cellStyle name="Normal 2 12 4 2 29" xfId="47123"/>
    <cellStyle name="Normal 2 12 4 2 3" xfId="3328"/>
    <cellStyle name="Normal 2 12 4 2 30" xfId="48875"/>
    <cellStyle name="Normal 2 12 4 2 31" xfId="50627"/>
    <cellStyle name="Normal 2 12 4 2 32" xfId="52379"/>
    <cellStyle name="Normal 2 12 4 2 33" xfId="54131"/>
    <cellStyle name="Normal 2 12 4 2 34" xfId="55883"/>
    <cellStyle name="Normal 2 12 4 2 35" xfId="57636"/>
    <cellStyle name="Normal 2 12 4 2 36" xfId="59388"/>
    <cellStyle name="Normal 2 12 4 2 37" xfId="61140"/>
    <cellStyle name="Normal 2 12 4 2 38" xfId="62370"/>
    <cellStyle name="Normal 2 12 4 2 39" xfId="63236"/>
    <cellStyle name="Normal 2 12 4 2 4" xfId="5080"/>
    <cellStyle name="Normal 2 12 4 2 5" xfId="6832"/>
    <cellStyle name="Normal 2 12 4 2 6" xfId="8584"/>
    <cellStyle name="Normal 2 12 4 2 7" xfId="10337"/>
    <cellStyle name="Normal 2 12 4 2 8" xfId="12089"/>
    <cellStyle name="Normal 2 12 4 2 9" xfId="13841"/>
    <cellStyle name="Normal 2 12 4 20" xfId="30928"/>
    <cellStyle name="Normal 2 12 4 21" xfId="32681"/>
    <cellStyle name="Normal 2 12 4 22" xfId="34361"/>
    <cellStyle name="Normal 2 12 4 23" xfId="35317"/>
    <cellStyle name="Normal 2 12 4 24" xfId="36982"/>
    <cellStyle name="Normal 2 12 4 25" xfId="38810"/>
    <cellStyle name="Normal 2 12 4 26" xfId="40565"/>
    <cellStyle name="Normal 2 12 4 27" xfId="42317"/>
    <cellStyle name="Normal 2 12 4 28" xfId="43982"/>
    <cellStyle name="Normal 2 12 4 29" xfId="44935"/>
    <cellStyle name="Normal 2 12 4 3" xfId="820"/>
    <cellStyle name="Normal 2 12 4 3 10" xfId="17786"/>
    <cellStyle name="Normal 2 12 4 3 11" xfId="19538"/>
    <cellStyle name="Normal 2 12 4 3 12" xfId="21291"/>
    <cellStyle name="Normal 2 12 4 3 13" xfId="23043"/>
    <cellStyle name="Normal 2 12 4 3 14" xfId="24795"/>
    <cellStyle name="Normal 2 12 4 3 15" xfId="26547"/>
    <cellStyle name="Normal 2 12 4 3 16" xfId="28299"/>
    <cellStyle name="Normal 2 12 4 3 17" xfId="30052"/>
    <cellStyle name="Normal 2 12 4 3 18" xfId="31804"/>
    <cellStyle name="Normal 2 12 4 3 19" xfId="33557"/>
    <cellStyle name="Normal 2 12 4 3 2" xfId="3768"/>
    <cellStyle name="Normal 2 12 4 3 20" xfId="36193"/>
    <cellStyle name="Normal 2 12 4 3 21" xfId="37933"/>
    <cellStyle name="Normal 2 12 4 3 22" xfId="39686"/>
    <cellStyle name="Normal 2 12 4 3 23" xfId="41441"/>
    <cellStyle name="Normal 2 12 4 3 24" xfId="43193"/>
    <cellStyle name="Normal 2 12 4 3 25" xfId="45811"/>
    <cellStyle name="Normal 2 12 4 3 26" xfId="47563"/>
    <cellStyle name="Normal 2 12 4 3 27" xfId="49315"/>
    <cellStyle name="Normal 2 12 4 3 28" xfId="51067"/>
    <cellStyle name="Normal 2 12 4 3 29" xfId="52819"/>
    <cellStyle name="Normal 2 12 4 3 3" xfId="5520"/>
    <cellStyle name="Normal 2 12 4 3 30" xfId="54571"/>
    <cellStyle name="Normal 2 12 4 3 31" xfId="56323"/>
    <cellStyle name="Normal 2 12 4 3 32" xfId="58076"/>
    <cellStyle name="Normal 2 12 4 3 33" xfId="59828"/>
    <cellStyle name="Normal 2 12 4 3 34" xfId="61580"/>
    <cellStyle name="Normal 2 12 4 3 4" xfId="7272"/>
    <cellStyle name="Normal 2 12 4 3 5" xfId="9024"/>
    <cellStyle name="Normal 2 12 4 3 6" xfId="10777"/>
    <cellStyle name="Normal 2 12 4 3 7" xfId="12529"/>
    <cellStyle name="Normal 2 12 4 3 8" xfId="14281"/>
    <cellStyle name="Normal 2 12 4 3 9" xfId="16033"/>
    <cellStyle name="Normal 2 12 4 30" xfId="46687"/>
    <cellStyle name="Normal 2 12 4 31" xfId="48439"/>
    <cellStyle name="Normal 2 12 4 32" xfId="50191"/>
    <cellStyle name="Normal 2 12 4 33" xfId="51943"/>
    <cellStyle name="Normal 2 12 4 34" xfId="53695"/>
    <cellStyle name="Normal 2 12 4 35" xfId="55447"/>
    <cellStyle name="Normal 2 12 4 36" xfId="57200"/>
    <cellStyle name="Normal 2 12 4 37" xfId="58952"/>
    <cellStyle name="Normal 2 12 4 38" xfId="60704"/>
    <cellStyle name="Normal 2 12 4 39" xfId="62369"/>
    <cellStyle name="Normal 2 12 4 4" xfId="2892"/>
    <cellStyle name="Normal 2 12 4 40" xfId="63235"/>
    <cellStyle name="Normal 2 12 4 5" xfId="4644"/>
    <cellStyle name="Normal 2 12 4 6" xfId="6396"/>
    <cellStyle name="Normal 2 12 4 7" xfId="8148"/>
    <cellStyle name="Normal 2 12 4 8" xfId="9901"/>
    <cellStyle name="Normal 2 12 4 9" xfId="11653"/>
    <cellStyle name="Normal 2 12 40" xfId="58709"/>
    <cellStyle name="Normal 2 12 41" xfId="60461"/>
    <cellStyle name="Normal 2 12 42" xfId="62356"/>
    <cellStyle name="Normal 2 12 43" xfId="63222"/>
    <cellStyle name="Normal 2 12 5" xfId="821"/>
    <cellStyle name="Normal 2 12 5 10" xfId="15350"/>
    <cellStyle name="Normal 2 12 5 11" xfId="17103"/>
    <cellStyle name="Normal 2 12 5 12" xfId="18855"/>
    <cellStyle name="Normal 2 12 5 13" xfId="20608"/>
    <cellStyle name="Normal 2 12 5 14" xfId="22360"/>
    <cellStyle name="Normal 2 12 5 15" xfId="24112"/>
    <cellStyle name="Normal 2 12 5 16" xfId="25864"/>
    <cellStyle name="Normal 2 12 5 17" xfId="27616"/>
    <cellStyle name="Normal 2 12 5 18" xfId="29369"/>
    <cellStyle name="Normal 2 12 5 19" xfId="31121"/>
    <cellStyle name="Normal 2 12 5 2" xfId="822"/>
    <cellStyle name="Normal 2 12 5 2 10" xfId="17979"/>
    <cellStyle name="Normal 2 12 5 2 11" xfId="19731"/>
    <cellStyle name="Normal 2 12 5 2 12" xfId="21484"/>
    <cellStyle name="Normal 2 12 5 2 13" xfId="23236"/>
    <cellStyle name="Normal 2 12 5 2 14" xfId="24988"/>
    <cellStyle name="Normal 2 12 5 2 15" xfId="26740"/>
    <cellStyle name="Normal 2 12 5 2 16" xfId="28492"/>
    <cellStyle name="Normal 2 12 5 2 17" xfId="30245"/>
    <cellStyle name="Normal 2 12 5 2 18" xfId="31997"/>
    <cellStyle name="Normal 2 12 5 2 19" xfId="33750"/>
    <cellStyle name="Normal 2 12 5 2 2" xfId="3961"/>
    <cellStyle name="Normal 2 12 5 2 20" xfId="36386"/>
    <cellStyle name="Normal 2 12 5 2 21" xfId="38126"/>
    <cellStyle name="Normal 2 12 5 2 22" xfId="39879"/>
    <cellStyle name="Normal 2 12 5 2 23" xfId="41634"/>
    <cellStyle name="Normal 2 12 5 2 24" xfId="43386"/>
    <cellStyle name="Normal 2 12 5 2 25" xfId="46004"/>
    <cellStyle name="Normal 2 12 5 2 26" xfId="47756"/>
    <cellStyle name="Normal 2 12 5 2 27" xfId="49508"/>
    <cellStyle name="Normal 2 12 5 2 28" xfId="51260"/>
    <cellStyle name="Normal 2 12 5 2 29" xfId="53012"/>
    <cellStyle name="Normal 2 12 5 2 3" xfId="5713"/>
    <cellStyle name="Normal 2 12 5 2 30" xfId="54764"/>
    <cellStyle name="Normal 2 12 5 2 31" xfId="56516"/>
    <cellStyle name="Normal 2 12 5 2 32" xfId="58269"/>
    <cellStyle name="Normal 2 12 5 2 33" xfId="60021"/>
    <cellStyle name="Normal 2 12 5 2 34" xfId="61773"/>
    <cellStyle name="Normal 2 12 5 2 4" xfId="7465"/>
    <cellStyle name="Normal 2 12 5 2 5" xfId="9217"/>
    <cellStyle name="Normal 2 12 5 2 6" xfId="10970"/>
    <cellStyle name="Normal 2 12 5 2 7" xfId="12722"/>
    <cellStyle name="Normal 2 12 5 2 8" xfId="14474"/>
    <cellStyle name="Normal 2 12 5 2 9" xfId="16226"/>
    <cellStyle name="Normal 2 12 5 20" xfId="32874"/>
    <cellStyle name="Normal 2 12 5 21" xfId="34363"/>
    <cellStyle name="Normal 2 12 5 22" xfId="35510"/>
    <cellStyle name="Normal 2 12 5 23" xfId="36984"/>
    <cellStyle name="Normal 2 12 5 24" xfId="39003"/>
    <cellStyle name="Normal 2 12 5 25" xfId="40758"/>
    <cellStyle name="Normal 2 12 5 26" xfId="42510"/>
    <cellStyle name="Normal 2 12 5 27" xfId="43984"/>
    <cellStyle name="Normal 2 12 5 28" xfId="45128"/>
    <cellStyle name="Normal 2 12 5 29" xfId="46880"/>
    <cellStyle name="Normal 2 12 5 3" xfId="3085"/>
    <cellStyle name="Normal 2 12 5 30" xfId="48632"/>
    <cellStyle name="Normal 2 12 5 31" xfId="50384"/>
    <cellStyle name="Normal 2 12 5 32" xfId="52136"/>
    <cellStyle name="Normal 2 12 5 33" xfId="53888"/>
    <cellStyle name="Normal 2 12 5 34" xfId="55640"/>
    <cellStyle name="Normal 2 12 5 35" xfId="57393"/>
    <cellStyle name="Normal 2 12 5 36" xfId="59145"/>
    <cellStyle name="Normal 2 12 5 37" xfId="60897"/>
    <cellStyle name="Normal 2 12 5 38" xfId="62371"/>
    <cellStyle name="Normal 2 12 5 39" xfId="63237"/>
    <cellStyle name="Normal 2 12 5 4" xfId="4837"/>
    <cellStyle name="Normal 2 12 5 5" xfId="6589"/>
    <cellStyle name="Normal 2 12 5 6" xfId="8341"/>
    <cellStyle name="Normal 2 12 5 7" xfId="10094"/>
    <cellStyle name="Normal 2 12 5 8" xfId="11846"/>
    <cellStyle name="Normal 2 12 5 9" xfId="13598"/>
    <cellStyle name="Normal 2 12 6" xfId="823"/>
    <cellStyle name="Normal 2 12 6 10" xfId="17543"/>
    <cellStyle name="Normal 2 12 6 11" xfId="19295"/>
    <cellStyle name="Normal 2 12 6 12" xfId="21048"/>
    <cellStyle name="Normal 2 12 6 13" xfId="22800"/>
    <cellStyle name="Normal 2 12 6 14" xfId="24552"/>
    <cellStyle name="Normal 2 12 6 15" xfId="26304"/>
    <cellStyle name="Normal 2 12 6 16" xfId="28056"/>
    <cellStyle name="Normal 2 12 6 17" xfId="29809"/>
    <cellStyle name="Normal 2 12 6 18" xfId="31561"/>
    <cellStyle name="Normal 2 12 6 19" xfId="33314"/>
    <cellStyle name="Normal 2 12 6 2" xfId="3525"/>
    <cellStyle name="Normal 2 12 6 20" xfId="35950"/>
    <cellStyle name="Normal 2 12 6 21" xfId="37693"/>
    <cellStyle name="Normal 2 12 6 22" xfId="39443"/>
    <cellStyle name="Normal 2 12 6 23" xfId="41198"/>
    <cellStyle name="Normal 2 12 6 24" xfId="42950"/>
    <cellStyle name="Normal 2 12 6 25" xfId="45568"/>
    <cellStyle name="Normal 2 12 6 26" xfId="47320"/>
    <cellStyle name="Normal 2 12 6 27" xfId="49072"/>
    <cellStyle name="Normal 2 12 6 28" xfId="50824"/>
    <cellStyle name="Normal 2 12 6 29" xfId="52576"/>
    <cellStyle name="Normal 2 12 6 3" xfId="5277"/>
    <cellStyle name="Normal 2 12 6 30" xfId="54328"/>
    <cellStyle name="Normal 2 12 6 31" xfId="56080"/>
    <cellStyle name="Normal 2 12 6 32" xfId="57833"/>
    <cellStyle name="Normal 2 12 6 33" xfId="59585"/>
    <cellStyle name="Normal 2 12 6 34" xfId="61337"/>
    <cellStyle name="Normal 2 12 6 4" xfId="7029"/>
    <cellStyle name="Normal 2 12 6 5" xfId="8781"/>
    <cellStyle name="Normal 2 12 6 6" xfId="10534"/>
    <cellStyle name="Normal 2 12 6 7" xfId="12286"/>
    <cellStyle name="Normal 2 12 6 8" xfId="14038"/>
    <cellStyle name="Normal 2 12 6 9" xfId="15790"/>
    <cellStyle name="Normal 2 12 7" xfId="2612"/>
    <cellStyle name="Normal 2 12 8" xfId="4401"/>
    <cellStyle name="Normal 2 12 9" xfId="6153"/>
    <cellStyle name="Normal 2 13" xfId="824"/>
    <cellStyle name="Normal 2 13 10" xfId="7906"/>
    <cellStyle name="Normal 2 13 11" xfId="9659"/>
    <cellStyle name="Normal 2 13 12" xfId="11411"/>
    <cellStyle name="Normal 2 13 13" xfId="13163"/>
    <cellStyle name="Normal 2 13 14" xfId="14915"/>
    <cellStyle name="Normal 2 13 15" xfId="16668"/>
    <cellStyle name="Normal 2 13 16" xfId="18420"/>
    <cellStyle name="Normal 2 13 17" xfId="20173"/>
    <cellStyle name="Normal 2 13 18" xfId="21925"/>
    <cellStyle name="Normal 2 13 19" xfId="23677"/>
    <cellStyle name="Normal 2 13 2" xfId="825"/>
    <cellStyle name="Normal 2 13 2 10" xfId="9714"/>
    <cellStyle name="Normal 2 13 2 11" xfId="11466"/>
    <cellStyle name="Normal 2 13 2 12" xfId="13218"/>
    <cellStyle name="Normal 2 13 2 13" xfId="14970"/>
    <cellStyle name="Normal 2 13 2 14" xfId="16723"/>
    <cellStyle name="Normal 2 13 2 15" xfId="18475"/>
    <cellStyle name="Normal 2 13 2 16" xfId="20228"/>
    <cellStyle name="Normal 2 13 2 17" xfId="21980"/>
    <cellStyle name="Normal 2 13 2 18" xfId="23732"/>
    <cellStyle name="Normal 2 13 2 19" xfId="25484"/>
    <cellStyle name="Normal 2 13 2 2" xfId="826"/>
    <cellStyle name="Normal 2 13 2 2 10" xfId="11574"/>
    <cellStyle name="Normal 2 13 2 2 11" xfId="13326"/>
    <cellStyle name="Normal 2 13 2 2 12" xfId="15078"/>
    <cellStyle name="Normal 2 13 2 2 13" xfId="16831"/>
    <cellStyle name="Normal 2 13 2 2 14" xfId="18583"/>
    <cellStyle name="Normal 2 13 2 2 15" xfId="20336"/>
    <cellStyle name="Normal 2 13 2 2 16" xfId="22088"/>
    <cellStyle name="Normal 2 13 2 2 17" xfId="23840"/>
    <cellStyle name="Normal 2 13 2 2 18" xfId="25592"/>
    <cellStyle name="Normal 2 13 2 2 19" xfId="27344"/>
    <cellStyle name="Normal 2 13 2 2 2" xfId="827"/>
    <cellStyle name="Normal 2 13 2 2 2 10" xfId="13406"/>
    <cellStyle name="Normal 2 13 2 2 2 11" xfId="15158"/>
    <cellStyle name="Normal 2 13 2 2 2 12" xfId="16911"/>
    <cellStyle name="Normal 2 13 2 2 2 13" xfId="18663"/>
    <cellStyle name="Normal 2 13 2 2 2 14" xfId="20416"/>
    <cellStyle name="Normal 2 13 2 2 2 15" xfId="22168"/>
    <cellStyle name="Normal 2 13 2 2 2 16" xfId="23920"/>
    <cellStyle name="Normal 2 13 2 2 2 17" xfId="25672"/>
    <cellStyle name="Normal 2 13 2 2 2 18" xfId="27424"/>
    <cellStyle name="Normal 2 13 2 2 2 19" xfId="29177"/>
    <cellStyle name="Normal 2 13 2 2 2 2" xfId="828"/>
    <cellStyle name="Normal 2 13 2 2 2 2 10" xfId="15594"/>
    <cellStyle name="Normal 2 13 2 2 2 2 11" xfId="17347"/>
    <cellStyle name="Normal 2 13 2 2 2 2 12" xfId="19099"/>
    <cellStyle name="Normal 2 13 2 2 2 2 13" xfId="20852"/>
    <cellStyle name="Normal 2 13 2 2 2 2 14" xfId="22604"/>
    <cellStyle name="Normal 2 13 2 2 2 2 15" xfId="24356"/>
    <cellStyle name="Normal 2 13 2 2 2 2 16" xfId="26108"/>
    <cellStyle name="Normal 2 13 2 2 2 2 17" xfId="27860"/>
    <cellStyle name="Normal 2 13 2 2 2 2 18" xfId="29613"/>
    <cellStyle name="Normal 2 13 2 2 2 2 19" xfId="31365"/>
    <cellStyle name="Normal 2 13 2 2 2 2 2" xfId="829"/>
    <cellStyle name="Normal 2 13 2 2 2 2 2 10" xfId="18223"/>
    <cellStyle name="Normal 2 13 2 2 2 2 2 11" xfId="19975"/>
    <cellStyle name="Normal 2 13 2 2 2 2 2 12" xfId="21728"/>
    <cellStyle name="Normal 2 13 2 2 2 2 2 13" xfId="23480"/>
    <cellStyle name="Normal 2 13 2 2 2 2 2 14" xfId="25232"/>
    <cellStyle name="Normal 2 13 2 2 2 2 2 15" xfId="26984"/>
    <cellStyle name="Normal 2 13 2 2 2 2 2 16" xfId="28736"/>
    <cellStyle name="Normal 2 13 2 2 2 2 2 17" xfId="30489"/>
    <cellStyle name="Normal 2 13 2 2 2 2 2 18" xfId="32241"/>
    <cellStyle name="Normal 2 13 2 2 2 2 2 19" xfId="33994"/>
    <cellStyle name="Normal 2 13 2 2 2 2 2 2" xfId="4205"/>
    <cellStyle name="Normal 2 13 2 2 2 2 2 20" xfId="36630"/>
    <cellStyle name="Normal 2 13 2 2 2 2 2 21" xfId="38370"/>
    <cellStyle name="Normal 2 13 2 2 2 2 2 22" xfId="40123"/>
    <cellStyle name="Normal 2 13 2 2 2 2 2 23" xfId="41878"/>
    <cellStyle name="Normal 2 13 2 2 2 2 2 24" xfId="43630"/>
    <cellStyle name="Normal 2 13 2 2 2 2 2 25" xfId="46248"/>
    <cellStyle name="Normal 2 13 2 2 2 2 2 26" xfId="48000"/>
    <cellStyle name="Normal 2 13 2 2 2 2 2 27" xfId="49752"/>
    <cellStyle name="Normal 2 13 2 2 2 2 2 28" xfId="51504"/>
    <cellStyle name="Normal 2 13 2 2 2 2 2 29" xfId="53256"/>
    <cellStyle name="Normal 2 13 2 2 2 2 2 3" xfId="5957"/>
    <cellStyle name="Normal 2 13 2 2 2 2 2 30" xfId="55008"/>
    <cellStyle name="Normal 2 13 2 2 2 2 2 31" xfId="56760"/>
    <cellStyle name="Normal 2 13 2 2 2 2 2 32" xfId="58513"/>
    <cellStyle name="Normal 2 13 2 2 2 2 2 33" xfId="60265"/>
    <cellStyle name="Normal 2 13 2 2 2 2 2 34" xfId="62017"/>
    <cellStyle name="Normal 2 13 2 2 2 2 2 4" xfId="7709"/>
    <cellStyle name="Normal 2 13 2 2 2 2 2 5" xfId="9461"/>
    <cellStyle name="Normal 2 13 2 2 2 2 2 6" xfId="11214"/>
    <cellStyle name="Normal 2 13 2 2 2 2 2 7" xfId="12966"/>
    <cellStyle name="Normal 2 13 2 2 2 2 2 8" xfId="14718"/>
    <cellStyle name="Normal 2 13 2 2 2 2 2 9" xfId="16470"/>
    <cellStyle name="Normal 2 13 2 2 2 2 20" xfId="33118"/>
    <cellStyle name="Normal 2 13 2 2 2 2 21" xfId="34368"/>
    <cellStyle name="Normal 2 13 2 2 2 2 22" xfId="35754"/>
    <cellStyle name="Normal 2 13 2 2 2 2 23" xfId="36989"/>
    <cellStyle name="Normal 2 13 2 2 2 2 24" xfId="39247"/>
    <cellStyle name="Normal 2 13 2 2 2 2 25" xfId="41002"/>
    <cellStyle name="Normal 2 13 2 2 2 2 26" xfId="42754"/>
    <cellStyle name="Normal 2 13 2 2 2 2 27" xfId="43989"/>
    <cellStyle name="Normal 2 13 2 2 2 2 28" xfId="45372"/>
    <cellStyle name="Normal 2 13 2 2 2 2 29" xfId="47124"/>
    <cellStyle name="Normal 2 13 2 2 2 2 3" xfId="3329"/>
    <cellStyle name="Normal 2 13 2 2 2 2 30" xfId="48876"/>
    <cellStyle name="Normal 2 13 2 2 2 2 31" xfId="50628"/>
    <cellStyle name="Normal 2 13 2 2 2 2 32" xfId="52380"/>
    <cellStyle name="Normal 2 13 2 2 2 2 33" xfId="54132"/>
    <cellStyle name="Normal 2 13 2 2 2 2 34" xfId="55884"/>
    <cellStyle name="Normal 2 13 2 2 2 2 35" xfId="57637"/>
    <cellStyle name="Normal 2 13 2 2 2 2 36" xfId="59389"/>
    <cellStyle name="Normal 2 13 2 2 2 2 37" xfId="61141"/>
    <cellStyle name="Normal 2 13 2 2 2 2 38" xfId="62376"/>
    <cellStyle name="Normal 2 13 2 2 2 2 39" xfId="63242"/>
    <cellStyle name="Normal 2 13 2 2 2 2 4" xfId="5081"/>
    <cellStyle name="Normal 2 13 2 2 2 2 5" xfId="6833"/>
    <cellStyle name="Normal 2 13 2 2 2 2 6" xfId="8585"/>
    <cellStyle name="Normal 2 13 2 2 2 2 7" xfId="10338"/>
    <cellStyle name="Normal 2 13 2 2 2 2 8" xfId="12090"/>
    <cellStyle name="Normal 2 13 2 2 2 2 9" xfId="13842"/>
    <cellStyle name="Normal 2 13 2 2 2 20" xfId="30929"/>
    <cellStyle name="Normal 2 13 2 2 2 21" xfId="32682"/>
    <cellStyle name="Normal 2 13 2 2 2 22" xfId="34367"/>
    <cellStyle name="Normal 2 13 2 2 2 23" xfId="35318"/>
    <cellStyle name="Normal 2 13 2 2 2 24" xfId="36988"/>
    <cellStyle name="Normal 2 13 2 2 2 25" xfId="38811"/>
    <cellStyle name="Normal 2 13 2 2 2 26" xfId="40566"/>
    <cellStyle name="Normal 2 13 2 2 2 27" xfId="42318"/>
    <cellStyle name="Normal 2 13 2 2 2 28" xfId="43988"/>
    <cellStyle name="Normal 2 13 2 2 2 29" xfId="44936"/>
    <cellStyle name="Normal 2 13 2 2 2 3" xfId="830"/>
    <cellStyle name="Normal 2 13 2 2 2 3 10" xfId="17787"/>
    <cellStyle name="Normal 2 13 2 2 2 3 11" xfId="19539"/>
    <cellStyle name="Normal 2 13 2 2 2 3 12" xfId="21292"/>
    <cellStyle name="Normal 2 13 2 2 2 3 13" xfId="23044"/>
    <cellStyle name="Normal 2 13 2 2 2 3 14" xfId="24796"/>
    <cellStyle name="Normal 2 13 2 2 2 3 15" xfId="26548"/>
    <cellStyle name="Normal 2 13 2 2 2 3 16" xfId="28300"/>
    <cellStyle name="Normal 2 13 2 2 2 3 17" xfId="30053"/>
    <cellStyle name="Normal 2 13 2 2 2 3 18" xfId="31805"/>
    <cellStyle name="Normal 2 13 2 2 2 3 19" xfId="33558"/>
    <cellStyle name="Normal 2 13 2 2 2 3 2" xfId="3769"/>
    <cellStyle name="Normal 2 13 2 2 2 3 20" xfId="36194"/>
    <cellStyle name="Normal 2 13 2 2 2 3 21" xfId="37934"/>
    <cellStyle name="Normal 2 13 2 2 2 3 22" xfId="39687"/>
    <cellStyle name="Normal 2 13 2 2 2 3 23" xfId="41442"/>
    <cellStyle name="Normal 2 13 2 2 2 3 24" xfId="43194"/>
    <cellStyle name="Normal 2 13 2 2 2 3 25" xfId="45812"/>
    <cellStyle name="Normal 2 13 2 2 2 3 26" xfId="47564"/>
    <cellStyle name="Normal 2 13 2 2 2 3 27" xfId="49316"/>
    <cellStyle name="Normal 2 13 2 2 2 3 28" xfId="51068"/>
    <cellStyle name="Normal 2 13 2 2 2 3 29" xfId="52820"/>
    <cellStyle name="Normal 2 13 2 2 2 3 3" xfId="5521"/>
    <cellStyle name="Normal 2 13 2 2 2 3 30" xfId="54572"/>
    <cellStyle name="Normal 2 13 2 2 2 3 31" xfId="56324"/>
    <cellStyle name="Normal 2 13 2 2 2 3 32" xfId="58077"/>
    <cellStyle name="Normal 2 13 2 2 2 3 33" xfId="59829"/>
    <cellStyle name="Normal 2 13 2 2 2 3 34" xfId="61581"/>
    <cellStyle name="Normal 2 13 2 2 2 3 4" xfId="7273"/>
    <cellStyle name="Normal 2 13 2 2 2 3 5" xfId="9025"/>
    <cellStyle name="Normal 2 13 2 2 2 3 6" xfId="10778"/>
    <cellStyle name="Normal 2 13 2 2 2 3 7" xfId="12530"/>
    <cellStyle name="Normal 2 13 2 2 2 3 8" xfId="14282"/>
    <cellStyle name="Normal 2 13 2 2 2 3 9" xfId="16034"/>
    <cellStyle name="Normal 2 13 2 2 2 30" xfId="46688"/>
    <cellStyle name="Normal 2 13 2 2 2 31" xfId="48440"/>
    <cellStyle name="Normal 2 13 2 2 2 32" xfId="50192"/>
    <cellStyle name="Normal 2 13 2 2 2 33" xfId="51944"/>
    <cellStyle name="Normal 2 13 2 2 2 34" xfId="53696"/>
    <cellStyle name="Normal 2 13 2 2 2 35" xfId="55448"/>
    <cellStyle name="Normal 2 13 2 2 2 36" xfId="57201"/>
    <cellStyle name="Normal 2 13 2 2 2 37" xfId="58953"/>
    <cellStyle name="Normal 2 13 2 2 2 38" xfId="60705"/>
    <cellStyle name="Normal 2 13 2 2 2 39" xfId="62375"/>
    <cellStyle name="Normal 2 13 2 2 2 4" xfId="2893"/>
    <cellStyle name="Normal 2 13 2 2 2 40" xfId="63241"/>
    <cellStyle name="Normal 2 13 2 2 2 5" xfId="4645"/>
    <cellStyle name="Normal 2 13 2 2 2 6" xfId="6397"/>
    <cellStyle name="Normal 2 13 2 2 2 7" xfId="8149"/>
    <cellStyle name="Normal 2 13 2 2 2 8" xfId="9902"/>
    <cellStyle name="Normal 2 13 2 2 2 9" xfId="11654"/>
    <cellStyle name="Normal 2 13 2 2 20" xfId="29097"/>
    <cellStyle name="Normal 2 13 2 2 21" xfId="30849"/>
    <cellStyle name="Normal 2 13 2 2 22" xfId="32602"/>
    <cellStyle name="Normal 2 13 2 2 23" xfId="34366"/>
    <cellStyle name="Normal 2 13 2 2 24" xfId="35238"/>
    <cellStyle name="Normal 2 13 2 2 25" xfId="36987"/>
    <cellStyle name="Normal 2 13 2 2 26" xfId="38731"/>
    <cellStyle name="Normal 2 13 2 2 27" xfId="40486"/>
    <cellStyle name="Normal 2 13 2 2 28" xfId="42238"/>
    <cellStyle name="Normal 2 13 2 2 29" xfId="43987"/>
    <cellStyle name="Normal 2 13 2 2 3" xfId="831"/>
    <cellStyle name="Normal 2 13 2 2 3 10" xfId="15514"/>
    <cellStyle name="Normal 2 13 2 2 3 11" xfId="17267"/>
    <cellStyle name="Normal 2 13 2 2 3 12" xfId="19019"/>
    <cellStyle name="Normal 2 13 2 2 3 13" xfId="20772"/>
    <cellStyle name="Normal 2 13 2 2 3 14" xfId="22524"/>
    <cellStyle name="Normal 2 13 2 2 3 15" xfId="24276"/>
    <cellStyle name="Normal 2 13 2 2 3 16" xfId="26028"/>
    <cellStyle name="Normal 2 13 2 2 3 17" xfId="27780"/>
    <cellStyle name="Normal 2 13 2 2 3 18" xfId="29533"/>
    <cellStyle name="Normal 2 13 2 2 3 19" xfId="31285"/>
    <cellStyle name="Normal 2 13 2 2 3 2" xfId="832"/>
    <cellStyle name="Normal 2 13 2 2 3 2 10" xfId="18143"/>
    <cellStyle name="Normal 2 13 2 2 3 2 11" xfId="19895"/>
    <cellStyle name="Normal 2 13 2 2 3 2 12" xfId="21648"/>
    <cellStyle name="Normal 2 13 2 2 3 2 13" xfId="23400"/>
    <cellStyle name="Normal 2 13 2 2 3 2 14" xfId="25152"/>
    <cellStyle name="Normal 2 13 2 2 3 2 15" xfId="26904"/>
    <cellStyle name="Normal 2 13 2 2 3 2 16" xfId="28656"/>
    <cellStyle name="Normal 2 13 2 2 3 2 17" xfId="30409"/>
    <cellStyle name="Normal 2 13 2 2 3 2 18" xfId="32161"/>
    <cellStyle name="Normal 2 13 2 2 3 2 19" xfId="33914"/>
    <cellStyle name="Normal 2 13 2 2 3 2 2" xfId="4125"/>
    <cellStyle name="Normal 2 13 2 2 3 2 20" xfId="36550"/>
    <cellStyle name="Normal 2 13 2 2 3 2 21" xfId="38290"/>
    <cellStyle name="Normal 2 13 2 2 3 2 22" xfId="40043"/>
    <cellStyle name="Normal 2 13 2 2 3 2 23" xfId="41798"/>
    <cellStyle name="Normal 2 13 2 2 3 2 24" xfId="43550"/>
    <cellStyle name="Normal 2 13 2 2 3 2 25" xfId="46168"/>
    <cellStyle name="Normal 2 13 2 2 3 2 26" xfId="47920"/>
    <cellStyle name="Normal 2 13 2 2 3 2 27" xfId="49672"/>
    <cellStyle name="Normal 2 13 2 2 3 2 28" xfId="51424"/>
    <cellStyle name="Normal 2 13 2 2 3 2 29" xfId="53176"/>
    <cellStyle name="Normal 2 13 2 2 3 2 3" xfId="5877"/>
    <cellStyle name="Normal 2 13 2 2 3 2 30" xfId="54928"/>
    <cellStyle name="Normal 2 13 2 2 3 2 31" xfId="56680"/>
    <cellStyle name="Normal 2 13 2 2 3 2 32" xfId="58433"/>
    <cellStyle name="Normal 2 13 2 2 3 2 33" xfId="60185"/>
    <cellStyle name="Normal 2 13 2 2 3 2 34" xfId="61937"/>
    <cellStyle name="Normal 2 13 2 2 3 2 4" xfId="7629"/>
    <cellStyle name="Normal 2 13 2 2 3 2 5" xfId="9381"/>
    <cellStyle name="Normal 2 13 2 2 3 2 6" xfId="11134"/>
    <cellStyle name="Normal 2 13 2 2 3 2 7" xfId="12886"/>
    <cellStyle name="Normal 2 13 2 2 3 2 8" xfId="14638"/>
    <cellStyle name="Normal 2 13 2 2 3 2 9" xfId="16390"/>
    <cellStyle name="Normal 2 13 2 2 3 20" xfId="33038"/>
    <cellStyle name="Normal 2 13 2 2 3 21" xfId="34369"/>
    <cellStyle name="Normal 2 13 2 2 3 22" xfId="35674"/>
    <cellStyle name="Normal 2 13 2 2 3 23" xfId="36990"/>
    <cellStyle name="Normal 2 13 2 2 3 24" xfId="39167"/>
    <cellStyle name="Normal 2 13 2 2 3 25" xfId="40922"/>
    <cellStyle name="Normal 2 13 2 2 3 26" xfId="42674"/>
    <cellStyle name="Normal 2 13 2 2 3 27" xfId="43990"/>
    <cellStyle name="Normal 2 13 2 2 3 28" xfId="45292"/>
    <cellStyle name="Normal 2 13 2 2 3 29" xfId="47044"/>
    <cellStyle name="Normal 2 13 2 2 3 3" xfId="3249"/>
    <cellStyle name="Normal 2 13 2 2 3 30" xfId="48796"/>
    <cellStyle name="Normal 2 13 2 2 3 31" xfId="50548"/>
    <cellStyle name="Normal 2 13 2 2 3 32" xfId="52300"/>
    <cellStyle name="Normal 2 13 2 2 3 33" xfId="54052"/>
    <cellStyle name="Normal 2 13 2 2 3 34" xfId="55804"/>
    <cellStyle name="Normal 2 13 2 2 3 35" xfId="57557"/>
    <cellStyle name="Normal 2 13 2 2 3 36" xfId="59309"/>
    <cellStyle name="Normal 2 13 2 2 3 37" xfId="61061"/>
    <cellStyle name="Normal 2 13 2 2 3 38" xfId="62377"/>
    <cellStyle name="Normal 2 13 2 2 3 39" xfId="63243"/>
    <cellStyle name="Normal 2 13 2 2 3 4" xfId="5001"/>
    <cellStyle name="Normal 2 13 2 2 3 5" xfId="6753"/>
    <cellStyle name="Normal 2 13 2 2 3 6" xfId="8505"/>
    <cellStyle name="Normal 2 13 2 2 3 7" xfId="10258"/>
    <cellStyle name="Normal 2 13 2 2 3 8" xfId="12010"/>
    <cellStyle name="Normal 2 13 2 2 3 9" xfId="13762"/>
    <cellStyle name="Normal 2 13 2 2 30" xfId="44856"/>
    <cellStyle name="Normal 2 13 2 2 31" xfId="46608"/>
    <cellStyle name="Normal 2 13 2 2 32" xfId="48360"/>
    <cellStyle name="Normal 2 13 2 2 33" xfId="50112"/>
    <cellStyle name="Normal 2 13 2 2 34" xfId="51864"/>
    <cellStyle name="Normal 2 13 2 2 35" xfId="53616"/>
    <cellStyle name="Normal 2 13 2 2 36" xfId="55368"/>
    <cellStyle name="Normal 2 13 2 2 37" xfId="57121"/>
    <cellStyle name="Normal 2 13 2 2 38" xfId="58873"/>
    <cellStyle name="Normal 2 13 2 2 39" xfId="60625"/>
    <cellStyle name="Normal 2 13 2 2 4" xfId="833"/>
    <cellStyle name="Normal 2 13 2 2 4 10" xfId="17707"/>
    <cellStyle name="Normal 2 13 2 2 4 11" xfId="19459"/>
    <cellStyle name="Normal 2 13 2 2 4 12" xfId="21212"/>
    <cellStyle name="Normal 2 13 2 2 4 13" xfId="22964"/>
    <cellStyle name="Normal 2 13 2 2 4 14" xfId="24716"/>
    <cellStyle name="Normal 2 13 2 2 4 15" xfId="26468"/>
    <cellStyle name="Normal 2 13 2 2 4 16" xfId="28220"/>
    <cellStyle name="Normal 2 13 2 2 4 17" xfId="29973"/>
    <cellStyle name="Normal 2 13 2 2 4 18" xfId="31725"/>
    <cellStyle name="Normal 2 13 2 2 4 19" xfId="33478"/>
    <cellStyle name="Normal 2 13 2 2 4 2" xfId="3689"/>
    <cellStyle name="Normal 2 13 2 2 4 20" xfId="36114"/>
    <cellStyle name="Normal 2 13 2 2 4 21" xfId="37854"/>
    <cellStyle name="Normal 2 13 2 2 4 22" xfId="39607"/>
    <cellStyle name="Normal 2 13 2 2 4 23" xfId="41362"/>
    <cellStyle name="Normal 2 13 2 2 4 24" xfId="43114"/>
    <cellStyle name="Normal 2 13 2 2 4 25" xfId="45732"/>
    <cellStyle name="Normal 2 13 2 2 4 26" xfId="47484"/>
    <cellStyle name="Normal 2 13 2 2 4 27" xfId="49236"/>
    <cellStyle name="Normal 2 13 2 2 4 28" xfId="50988"/>
    <cellStyle name="Normal 2 13 2 2 4 29" xfId="52740"/>
    <cellStyle name="Normal 2 13 2 2 4 3" xfId="5441"/>
    <cellStyle name="Normal 2 13 2 2 4 30" xfId="54492"/>
    <cellStyle name="Normal 2 13 2 2 4 31" xfId="56244"/>
    <cellStyle name="Normal 2 13 2 2 4 32" xfId="57997"/>
    <cellStyle name="Normal 2 13 2 2 4 33" xfId="59749"/>
    <cellStyle name="Normal 2 13 2 2 4 34" xfId="61501"/>
    <cellStyle name="Normal 2 13 2 2 4 4" xfId="7193"/>
    <cellStyle name="Normal 2 13 2 2 4 5" xfId="8945"/>
    <cellStyle name="Normal 2 13 2 2 4 6" xfId="10698"/>
    <cellStyle name="Normal 2 13 2 2 4 7" xfId="12450"/>
    <cellStyle name="Normal 2 13 2 2 4 8" xfId="14202"/>
    <cellStyle name="Normal 2 13 2 2 4 9" xfId="15954"/>
    <cellStyle name="Normal 2 13 2 2 40" xfId="62374"/>
    <cellStyle name="Normal 2 13 2 2 41" xfId="63240"/>
    <cellStyle name="Normal 2 13 2 2 5" xfId="2813"/>
    <cellStyle name="Normal 2 13 2 2 6" xfId="4565"/>
    <cellStyle name="Normal 2 13 2 2 7" xfId="6317"/>
    <cellStyle name="Normal 2 13 2 2 8" xfId="8069"/>
    <cellStyle name="Normal 2 13 2 2 9" xfId="9822"/>
    <cellStyle name="Normal 2 13 2 20" xfId="27236"/>
    <cellStyle name="Normal 2 13 2 21" xfId="28989"/>
    <cellStyle name="Normal 2 13 2 22" xfId="30741"/>
    <cellStyle name="Normal 2 13 2 23" xfId="32494"/>
    <cellStyle name="Normal 2 13 2 24" xfId="34365"/>
    <cellStyle name="Normal 2 13 2 25" xfId="35130"/>
    <cellStyle name="Normal 2 13 2 26" xfId="36986"/>
    <cellStyle name="Normal 2 13 2 27" xfId="38623"/>
    <cellStyle name="Normal 2 13 2 28" xfId="40378"/>
    <cellStyle name="Normal 2 13 2 29" xfId="42130"/>
    <cellStyle name="Normal 2 13 2 3" xfId="834"/>
    <cellStyle name="Normal 2 13 2 3 10" xfId="13407"/>
    <cellStyle name="Normal 2 13 2 3 11" xfId="15159"/>
    <cellStyle name="Normal 2 13 2 3 12" xfId="16912"/>
    <cellStyle name="Normal 2 13 2 3 13" xfId="18664"/>
    <cellStyle name="Normal 2 13 2 3 14" xfId="20417"/>
    <cellStyle name="Normal 2 13 2 3 15" xfId="22169"/>
    <cellStyle name="Normal 2 13 2 3 16" xfId="23921"/>
    <cellStyle name="Normal 2 13 2 3 17" xfId="25673"/>
    <cellStyle name="Normal 2 13 2 3 18" xfId="27425"/>
    <cellStyle name="Normal 2 13 2 3 19" xfId="29178"/>
    <cellStyle name="Normal 2 13 2 3 2" xfId="835"/>
    <cellStyle name="Normal 2 13 2 3 2 10" xfId="15595"/>
    <cellStyle name="Normal 2 13 2 3 2 11" xfId="17348"/>
    <cellStyle name="Normal 2 13 2 3 2 12" xfId="19100"/>
    <cellStyle name="Normal 2 13 2 3 2 13" xfId="20853"/>
    <cellStyle name="Normal 2 13 2 3 2 14" xfId="22605"/>
    <cellStyle name="Normal 2 13 2 3 2 15" xfId="24357"/>
    <cellStyle name="Normal 2 13 2 3 2 16" xfId="26109"/>
    <cellStyle name="Normal 2 13 2 3 2 17" xfId="27861"/>
    <cellStyle name="Normal 2 13 2 3 2 18" xfId="29614"/>
    <cellStyle name="Normal 2 13 2 3 2 19" xfId="31366"/>
    <cellStyle name="Normal 2 13 2 3 2 2" xfId="836"/>
    <cellStyle name="Normal 2 13 2 3 2 2 10" xfId="18224"/>
    <cellStyle name="Normal 2 13 2 3 2 2 11" xfId="19976"/>
    <cellStyle name="Normal 2 13 2 3 2 2 12" xfId="21729"/>
    <cellStyle name="Normal 2 13 2 3 2 2 13" xfId="23481"/>
    <cellStyle name="Normal 2 13 2 3 2 2 14" xfId="25233"/>
    <cellStyle name="Normal 2 13 2 3 2 2 15" xfId="26985"/>
    <cellStyle name="Normal 2 13 2 3 2 2 16" xfId="28737"/>
    <cellStyle name="Normal 2 13 2 3 2 2 17" xfId="30490"/>
    <cellStyle name="Normal 2 13 2 3 2 2 18" xfId="32242"/>
    <cellStyle name="Normal 2 13 2 3 2 2 19" xfId="33995"/>
    <cellStyle name="Normal 2 13 2 3 2 2 2" xfId="4206"/>
    <cellStyle name="Normal 2 13 2 3 2 2 20" xfId="36631"/>
    <cellStyle name="Normal 2 13 2 3 2 2 21" xfId="38371"/>
    <cellStyle name="Normal 2 13 2 3 2 2 22" xfId="40124"/>
    <cellStyle name="Normal 2 13 2 3 2 2 23" xfId="41879"/>
    <cellStyle name="Normal 2 13 2 3 2 2 24" xfId="43631"/>
    <cellStyle name="Normal 2 13 2 3 2 2 25" xfId="46249"/>
    <cellStyle name="Normal 2 13 2 3 2 2 26" xfId="48001"/>
    <cellStyle name="Normal 2 13 2 3 2 2 27" xfId="49753"/>
    <cellStyle name="Normal 2 13 2 3 2 2 28" xfId="51505"/>
    <cellStyle name="Normal 2 13 2 3 2 2 29" xfId="53257"/>
    <cellStyle name="Normal 2 13 2 3 2 2 3" xfId="5958"/>
    <cellStyle name="Normal 2 13 2 3 2 2 30" xfId="55009"/>
    <cellStyle name="Normal 2 13 2 3 2 2 31" xfId="56761"/>
    <cellStyle name="Normal 2 13 2 3 2 2 32" xfId="58514"/>
    <cellStyle name="Normal 2 13 2 3 2 2 33" xfId="60266"/>
    <cellStyle name="Normal 2 13 2 3 2 2 34" xfId="62018"/>
    <cellStyle name="Normal 2 13 2 3 2 2 4" xfId="7710"/>
    <cellStyle name="Normal 2 13 2 3 2 2 5" xfId="9462"/>
    <cellStyle name="Normal 2 13 2 3 2 2 6" xfId="11215"/>
    <cellStyle name="Normal 2 13 2 3 2 2 7" xfId="12967"/>
    <cellStyle name="Normal 2 13 2 3 2 2 8" xfId="14719"/>
    <cellStyle name="Normal 2 13 2 3 2 2 9" xfId="16471"/>
    <cellStyle name="Normal 2 13 2 3 2 20" xfId="33119"/>
    <cellStyle name="Normal 2 13 2 3 2 21" xfId="34371"/>
    <cellStyle name="Normal 2 13 2 3 2 22" xfId="35755"/>
    <cellStyle name="Normal 2 13 2 3 2 23" xfId="36992"/>
    <cellStyle name="Normal 2 13 2 3 2 24" xfId="39248"/>
    <cellStyle name="Normal 2 13 2 3 2 25" xfId="41003"/>
    <cellStyle name="Normal 2 13 2 3 2 26" xfId="42755"/>
    <cellStyle name="Normal 2 13 2 3 2 27" xfId="43992"/>
    <cellStyle name="Normal 2 13 2 3 2 28" xfId="45373"/>
    <cellStyle name="Normal 2 13 2 3 2 29" xfId="47125"/>
    <cellStyle name="Normal 2 13 2 3 2 3" xfId="3330"/>
    <cellStyle name="Normal 2 13 2 3 2 30" xfId="48877"/>
    <cellStyle name="Normal 2 13 2 3 2 31" xfId="50629"/>
    <cellStyle name="Normal 2 13 2 3 2 32" xfId="52381"/>
    <cellStyle name="Normal 2 13 2 3 2 33" xfId="54133"/>
    <cellStyle name="Normal 2 13 2 3 2 34" xfId="55885"/>
    <cellStyle name="Normal 2 13 2 3 2 35" xfId="57638"/>
    <cellStyle name="Normal 2 13 2 3 2 36" xfId="59390"/>
    <cellStyle name="Normal 2 13 2 3 2 37" xfId="61142"/>
    <cellStyle name="Normal 2 13 2 3 2 38" xfId="62379"/>
    <cellStyle name="Normal 2 13 2 3 2 39" xfId="63245"/>
    <cellStyle name="Normal 2 13 2 3 2 4" xfId="5082"/>
    <cellStyle name="Normal 2 13 2 3 2 5" xfId="6834"/>
    <cellStyle name="Normal 2 13 2 3 2 6" xfId="8586"/>
    <cellStyle name="Normal 2 13 2 3 2 7" xfId="10339"/>
    <cellStyle name="Normal 2 13 2 3 2 8" xfId="12091"/>
    <cellStyle name="Normal 2 13 2 3 2 9" xfId="13843"/>
    <cellStyle name="Normal 2 13 2 3 20" xfId="30930"/>
    <cellStyle name="Normal 2 13 2 3 21" xfId="32683"/>
    <cellStyle name="Normal 2 13 2 3 22" xfId="34370"/>
    <cellStyle name="Normal 2 13 2 3 23" xfId="35319"/>
    <cellStyle name="Normal 2 13 2 3 24" xfId="36991"/>
    <cellStyle name="Normal 2 13 2 3 25" xfId="38812"/>
    <cellStyle name="Normal 2 13 2 3 26" xfId="40567"/>
    <cellStyle name="Normal 2 13 2 3 27" xfId="42319"/>
    <cellStyle name="Normal 2 13 2 3 28" xfId="43991"/>
    <cellStyle name="Normal 2 13 2 3 29" xfId="44937"/>
    <cellStyle name="Normal 2 13 2 3 3" xfId="837"/>
    <cellStyle name="Normal 2 13 2 3 3 10" xfId="17788"/>
    <cellStyle name="Normal 2 13 2 3 3 11" xfId="19540"/>
    <cellStyle name="Normal 2 13 2 3 3 12" xfId="21293"/>
    <cellStyle name="Normal 2 13 2 3 3 13" xfId="23045"/>
    <cellStyle name="Normal 2 13 2 3 3 14" xfId="24797"/>
    <cellStyle name="Normal 2 13 2 3 3 15" xfId="26549"/>
    <cellStyle name="Normal 2 13 2 3 3 16" xfId="28301"/>
    <cellStyle name="Normal 2 13 2 3 3 17" xfId="30054"/>
    <cellStyle name="Normal 2 13 2 3 3 18" xfId="31806"/>
    <cellStyle name="Normal 2 13 2 3 3 19" xfId="33559"/>
    <cellStyle name="Normal 2 13 2 3 3 2" xfId="3770"/>
    <cellStyle name="Normal 2 13 2 3 3 20" xfId="36195"/>
    <cellStyle name="Normal 2 13 2 3 3 21" xfId="37935"/>
    <cellStyle name="Normal 2 13 2 3 3 22" xfId="39688"/>
    <cellStyle name="Normal 2 13 2 3 3 23" xfId="41443"/>
    <cellStyle name="Normal 2 13 2 3 3 24" xfId="43195"/>
    <cellStyle name="Normal 2 13 2 3 3 25" xfId="45813"/>
    <cellStyle name="Normal 2 13 2 3 3 26" xfId="47565"/>
    <cellStyle name="Normal 2 13 2 3 3 27" xfId="49317"/>
    <cellStyle name="Normal 2 13 2 3 3 28" xfId="51069"/>
    <cellStyle name="Normal 2 13 2 3 3 29" xfId="52821"/>
    <cellStyle name="Normal 2 13 2 3 3 3" xfId="5522"/>
    <cellStyle name="Normal 2 13 2 3 3 30" xfId="54573"/>
    <cellStyle name="Normal 2 13 2 3 3 31" xfId="56325"/>
    <cellStyle name="Normal 2 13 2 3 3 32" xfId="58078"/>
    <cellStyle name="Normal 2 13 2 3 3 33" xfId="59830"/>
    <cellStyle name="Normal 2 13 2 3 3 34" xfId="61582"/>
    <cellStyle name="Normal 2 13 2 3 3 4" xfId="7274"/>
    <cellStyle name="Normal 2 13 2 3 3 5" xfId="9026"/>
    <cellStyle name="Normal 2 13 2 3 3 6" xfId="10779"/>
    <cellStyle name="Normal 2 13 2 3 3 7" xfId="12531"/>
    <cellStyle name="Normal 2 13 2 3 3 8" xfId="14283"/>
    <cellStyle name="Normal 2 13 2 3 3 9" xfId="16035"/>
    <cellStyle name="Normal 2 13 2 3 30" xfId="46689"/>
    <cellStyle name="Normal 2 13 2 3 31" xfId="48441"/>
    <cellStyle name="Normal 2 13 2 3 32" xfId="50193"/>
    <cellStyle name="Normal 2 13 2 3 33" xfId="51945"/>
    <cellStyle name="Normal 2 13 2 3 34" xfId="53697"/>
    <cellStyle name="Normal 2 13 2 3 35" xfId="55449"/>
    <cellStyle name="Normal 2 13 2 3 36" xfId="57202"/>
    <cellStyle name="Normal 2 13 2 3 37" xfId="58954"/>
    <cellStyle name="Normal 2 13 2 3 38" xfId="60706"/>
    <cellStyle name="Normal 2 13 2 3 39" xfId="62378"/>
    <cellStyle name="Normal 2 13 2 3 4" xfId="2894"/>
    <cellStyle name="Normal 2 13 2 3 40" xfId="63244"/>
    <cellStyle name="Normal 2 13 2 3 5" xfId="4646"/>
    <cellStyle name="Normal 2 13 2 3 6" xfId="6398"/>
    <cellStyle name="Normal 2 13 2 3 7" xfId="8150"/>
    <cellStyle name="Normal 2 13 2 3 8" xfId="9903"/>
    <cellStyle name="Normal 2 13 2 3 9" xfId="11655"/>
    <cellStyle name="Normal 2 13 2 30" xfId="43986"/>
    <cellStyle name="Normal 2 13 2 31" xfId="44748"/>
    <cellStyle name="Normal 2 13 2 32" xfId="46500"/>
    <cellStyle name="Normal 2 13 2 33" xfId="48252"/>
    <cellStyle name="Normal 2 13 2 34" xfId="50004"/>
    <cellStyle name="Normal 2 13 2 35" xfId="51756"/>
    <cellStyle name="Normal 2 13 2 36" xfId="53508"/>
    <cellStyle name="Normal 2 13 2 37" xfId="55260"/>
    <cellStyle name="Normal 2 13 2 38" xfId="57013"/>
    <cellStyle name="Normal 2 13 2 39" xfId="58765"/>
    <cellStyle name="Normal 2 13 2 4" xfId="838"/>
    <cellStyle name="Normal 2 13 2 4 10" xfId="15406"/>
    <cellStyle name="Normal 2 13 2 4 11" xfId="17159"/>
    <cellStyle name="Normal 2 13 2 4 12" xfId="18911"/>
    <cellStyle name="Normal 2 13 2 4 13" xfId="20664"/>
    <cellStyle name="Normal 2 13 2 4 14" xfId="22416"/>
    <cellStyle name="Normal 2 13 2 4 15" xfId="24168"/>
    <cellStyle name="Normal 2 13 2 4 16" xfId="25920"/>
    <cellStyle name="Normal 2 13 2 4 17" xfId="27672"/>
    <cellStyle name="Normal 2 13 2 4 18" xfId="29425"/>
    <cellStyle name="Normal 2 13 2 4 19" xfId="31177"/>
    <cellStyle name="Normal 2 13 2 4 2" xfId="839"/>
    <cellStyle name="Normal 2 13 2 4 2 10" xfId="18035"/>
    <cellStyle name="Normal 2 13 2 4 2 11" xfId="19787"/>
    <cellStyle name="Normal 2 13 2 4 2 12" xfId="21540"/>
    <cellStyle name="Normal 2 13 2 4 2 13" xfId="23292"/>
    <cellStyle name="Normal 2 13 2 4 2 14" xfId="25044"/>
    <cellStyle name="Normal 2 13 2 4 2 15" xfId="26796"/>
    <cellStyle name="Normal 2 13 2 4 2 16" xfId="28548"/>
    <cellStyle name="Normal 2 13 2 4 2 17" xfId="30301"/>
    <cellStyle name="Normal 2 13 2 4 2 18" xfId="32053"/>
    <cellStyle name="Normal 2 13 2 4 2 19" xfId="33806"/>
    <cellStyle name="Normal 2 13 2 4 2 2" xfId="4017"/>
    <cellStyle name="Normal 2 13 2 4 2 20" xfId="36442"/>
    <cellStyle name="Normal 2 13 2 4 2 21" xfId="38182"/>
    <cellStyle name="Normal 2 13 2 4 2 22" xfId="39935"/>
    <cellStyle name="Normal 2 13 2 4 2 23" xfId="41690"/>
    <cellStyle name="Normal 2 13 2 4 2 24" xfId="43442"/>
    <cellStyle name="Normal 2 13 2 4 2 25" xfId="46060"/>
    <cellStyle name="Normal 2 13 2 4 2 26" xfId="47812"/>
    <cellStyle name="Normal 2 13 2 4 2 27" xfId="49564"/>
    <cellStyle name="Normal 2 13 2 4 2 28" xfId="51316"/>
    <cellStyle name="Normal 2 13 2 4 2 29" xfId="53068"/>
    <cellStyle name="Normal 2 13 2 4 2 3" xfId="5769"/>
    <cellStyle name="Normal 2 13 2 4 2 30" xfId="54820"/>
    <cellStyle name="Normal 2 13 2 4 2 31" xfId="56572"/>
    <cellStyle name="Normal 2 13 2 4 2 32" xfId="58325"/>
    <cellStyle name="Normal 2 13 2 4 2 33" xfId="60077"/>
    <cellStyle name="Normal 2 13 2 4 2 34" xfId="61829"/>
    <cellStyle name="Normal 2 13 2 4 2 4" xfId="7521"/>
    <cellStyle name="Normal 2 13 2 4 2 5" xfId="9273"/>
    <cellStyle name="Normal 2 13 2 4 2 6" xfId="11026"/>
    <cellStyle name="Normal 2 13 2 4 2 7" xfId="12778"/>
    <cellStyle name="Normal 2 13 2 4 2 8" xfId="14530"/>
    <cellStyle name="Normal 2 13 2 4 2 9" xfId="16282"/>
    <cellStyle name="Normal 2 13 2 4 20" xfId="32930"/>
    <cellStyle name="Normal 2 13 2 4 21" xfId="34372"/>
    <cellStyle name="Normal 2 13 2 4 22" xfId="35566"/>
    <cellStyle name="Normal 2 13 2 4 23" xfId="36993"/>
    <cellStyle name="Normal 2 13 2 4 24" xfId="39059"/>
    <cellStyle name="Normal 2 13 2 4 25" xfId="40814"/>
    <cellStyle name="Normal 2 13 2 4 26" xfId="42566"/>
    <cellStyle name="Normal 2 13 2 4 27" xfId="43993"/>
    <cellStyle name="Normal 2 13 2 4 28" xfId="45184"/>
    <cellStyle name="Normal 2 13 2 4 29" xfId="46936"/>
    <cellStyle name="Normal 2 13 2 4 3" xfId="3141"/>
    <cellStyle name="Normal 2 13 2 4 30" xfId="48688"/>
    <cellStyle name="Normal 2 13 2 4 31" xfId="50440"/>
    <cellStyle name="Normal 2 13 2 4 32" xfId="52192"/>
    <cellStyle name="Normal 2 13 2 4 33" xfId="53944"/>
    <cellStyle name="Normal 2 13 2 4 34" xfId="55696"/>
    <cellStyle name="Normal 2 13 2 4 35" xfId="57449"/>
    <cellStyle name="Normal 2 13 2 4 36" xfId="59201"/>
    <cellStyle name="Normal 2 13 2 4 37" xfId="60953"/>
    <cellStyle name="Normal 2 13 2 4 38" xfId="62380"/>
    <cellStyle name="Normal 2 13 2 4 39" xfId="63246"/>
    <cellStyle name="Normal 2 13 2 4 4" xfId="4893"/>
    <cellStyle name="Normal 2 13 2 4 5" xfId="6645"/>
    <cellStyle name="Normal 2 13 2 4 6" xfId="8397"/>
    <cellStyle name="Normal 2 13 2 4 7" xfId="10150"/>
    <cellStyle name="Normal 2 13 2 4 8" xfId="11902"/>
    <cellStyle name="Normal 2 13 2 4 9" xfId="13654"/>
    <cellStyle name="Normal 2 13 2 40" xfId="60517"/>
    <cellStyle name="Normal 2 13 2 41" xfId="62373"/>
    <cellStyle name="Normal 2 13 2 42" xfId="63239"/>
    <cellStyle name="Normal 2 13 2 5" xfId="840"/>
    <cellStyle name="Normal 2 13 2 5 10" xfId="17599"/>
    <cellStyle name="Normal 2 13 2 5 11" xfId="19351"/>
    <cellStyle name="Normal 2 13 2 5 12" xfId="21104"/>
    <cellStyle name="Normal 2 13 2 5 13" xfId="22856"/>
    <cellStyle name="Normal 2 13 2 5 14" xfId="24608"/>
    <cellStyle name="Normal 2 13 2 5 15" xfId="26360"/>
    <cellStyle name="Normal 2 13 2 5 16" xfId="28112"/>
    <cellStyle name="Normal 2 13 2 5 17" xfId="29865"/>
    <cellStyle name="Normal 2 13 2 5 18" xfId="31617"/>
    <cellStyle name="Normal 2 13 2 5 19" xfId="33370"/>
    <cellStyle name="Normal 2 13 2 5 2" xfId="3581"/>
    <cellStyle name="Normal 2 13 2 5 20" xfId="36006"/>
    <cellStyle name="Normal 2 13 2 5 21" xfId="37727"/>
    <cellStyle name="Normal 2 13 2 5 22" xfId="39499"/>
    <cellStyle name="Normal 2 13 2 5 23" xfId="41254"/>
    <cellStyle name="Normal 2 13 2 5 24" xfId="43006"/>
    <cellStyle name="Normal 2 13 2 5 25" xfId="45624"/>
    <cellStyle name="Normal 2 13 2 5 26" xfId="47376"/>
    <cellStyle name="Normal 2 13 2 5 27" xfId="49128"/>
    <cellStyle name="Normal 2 13 2 5 28" xfId="50880"/>
    <cellStyle name="Normal 2 13 2 5 29" xfId="52632"/>
    <cellStyle name="Normal 2 13 2 5 3" xfId="5333"/>
    <cellStyle name="Normal 2 13 2 5 30" xfId="54384"/>
    <cellStyle name="Normal 2 13 2 5 31" xfId="56136"/>
    <cellStyle name="Normal 2 13 2 5 32" xfId="57889"/>
    <cellStyle name="Normal 2 13 2 5 33" xfId="59641"/>
    <cellStyle name="Normal 2 13 2 5 34" xfId="61393"/>
    <cellStyle name="Normal 2 13 2 5 4" xfId="7085"/>
    <cellStyle name="Normal 2 13 2 5 5" xfId="8837"/>
    <cellStyle name="Normal 2 13 2 5 6" xfId="10590"/>
    <cellStyle name="Normal 2 13 2 5 7" xfId="12342"/>
    <cellStyle name="Normal 2 13 2 5 8" xfId="14094"/>
    <cellStyle name="Normal 2 13 2 5 9" xfId="15846"/>
    <cellStyle name="Normal 2 13 2 6" xfId="2705"/>
    <cellStyle name="Normal 2 13 2 7" xfId="4457"/>
    <cellStyle name="Normal 2 13 2 8" xfId="6209"/>
    <cellStyle name="Normal 2 13 2 9" xfId="7961"/>
    <cellStyle name="Normal 2 13 20" xfId="25429"/>
    <cellStyle name="Normal 2 13 21" xfId="27181"/>
    <cellStyle name="Normal 2 13 22" xfId="28934"/>
    <cellStyle name="Normal 2 13 23" xfId="30686"/>
    <cellStyle name="Normal 2 13 24" xfId="32439"/>
    <cellStyle name="Normal 2 13 25" xfId="34364"/>
    <cellStyle name="Normal 2 13 26" xfId="35075"/>
    <cellStyle name="Normal 2 13 27" xfId="36985"/>
    <cellStyle name="Normal 2 13 28" xfId="38568"/>
    <cellStyle name="Normal 2 13 29" xfId="40323"/>
    <cellStyle name="Normal 2 13 3" xfId="841"/>
    <cellStyle name="Normal 2 13 3 10" xfId="11519"/>
    <cellStyle name="Normal 2 13 3 11" xfId="13271"/>
    <cellStyle name="Normal 2 13 3 12" xfId="15023"/>
    <cellStyle name="Normal 2 13 3 13" xfId="16776"/>
    <cellStyle name="Normal 2 13 3 14" xfId="18528"/>
    <cellStyle name="Normal 2 13 3 15" xfId="20281"/>
    <cellStyle name="Normal 2 13 3 16" xfId="22033"/>
    <cellStyle name="Normal 2 13 3 17" xfId="23785"/>
    <cellStyle name="Normal 2 13 3 18" xfId="25537"/>
    <cellStyle name="Normal 2 13 3 19" xfId="27289"/>
    <cellStyle name="Normal 2 13 3 2" xfId="842"/>
    <cellStyle name="Normal 2 13 3 2 10" xfId="13408"/>
    <cellStyle name="Normal 2 13 3 2 11" xfId="15160"/>
    <cellStyle name="Normal 2 13 3 2 12" xfId="16913"/>
    <cellStyle name="Normal 2 13 3 2 13" xfId="18665"/>
    <cellStyle name="Normal 2 13 3 2 14" xfId="20418"/>
    <cellStyle name="Normal 2 13 3 2 15" xfId="22170"/>
    <cellStyle name="Normal 2 13 3 2 16" xfId="23922"/>
    <cellStyle name="Normal 2 13 3 2 17" xfId="25674"/>
    <cellStyle name="Normal 2 13 3 2 18" xfId="27426"/>
    <cellStyle name="Normal 2 13 3 2 19" xfId="29179"/>
    <cellStyle name="Normal 2 13 3 2 2" xfId="843"/>
    <cellStyle name="Normal 2 13 3 2 2 10" xfId="15596"/>
    <cellStyle name="Normal 2 13 3 2 2 11" xfId="17349"/>
    <cellStyle name="Normal 2 13 3 2 2 12" xfId="19101"/>
    <cellStyle name="Normal 2 13 3 2 2 13" xfId="20854"/>
    <cellStyle name="Normal 2 13 3 2 2 14" xfId="22606"/>
    <cellStyle name="Normal 2 13 3 2 2 15" xfId="24358"/>
    <cellStyle name="Normal 2 13 3 2 2 16" xfId="26110"/>
    <cellStyle name="Normal 2 13 3 2 2 17" xfId="27862"/>
    <cellStyle name="Normal 2 13 3 2 2 18" xfId="29615"/>
    <cellStyle name="Normal 2 13 3 2 2 19" xfId="31367"/>
    <cellStyle name="Normal 2 13 3 2 2 2" xfId="844"/>
    <cellStyle name="Normal 2 13 3 2 2 2 10" xfId="18225"/>
    <cellStyle name="Normal 2 13 3 2 2 2 11" xfId="19977"/>
    <cellStyle name="Normal 2 13 3 2 2 2 12" xfId="21730"/>
    <cellStyle name="Normal 2 13 3 2 2 2 13" xfId="23482"/>
    <cellStyle name="Normal 2 13 3 2 2 2 14" xfId="25234"/>
    <cellStyle name="Normal 2 13 3 2 2 2 15" xfId="26986"/>
    <cellStyle name="Normal 2 13 3 2 2 2 16" xfId="28738"/>
    <cellStyle name="Normal 2 13 3 2 2 2 17" xfId="30491"/>
    <cellStyle name="Normal 2 13 3 2 2 2 18" xfId="32243"/>
    <cellStyle name="Normal 2 13 3 2 2 2 19" xfId="33996"/>
    <cellStyle name="Normal 2 13 3 2 2 2 2" xfId="4207"/>
    <cellStyle name="Normal 2 13 3 2 2 2 20" xfId="36632"/>
    <cellStyle name="Normal 2 13 3 2 2 2 21" xfId="38372"/>
    <cellStyle name="Normal 2 13 3 2 2 2 22" xfId="40125"/>
    <cellStyle name="Normal 2 13 3 2 2 2 23" xfId="41880"/>
    <cellStyle name="Normal 2 13 3 2 2 2 24" xfId="43632"/>
    <cellStyle name="Normal 2 13 3 2 2 2 25" xfId="46250"/>
    <cellStyle name="Normal 2 13 3 2 2 2 26" xfId="48002"/>
    <cellStyle name="Normal 2 13 3 2 2 2 27" xfId="49754"/>
    <cellStyle name="Normal 2 13 3 2 2 2 28" xfId="51506"/>
    <cellStyle name="Normal 2 13 3 2 2 2 29" xfId="53258"/>
    <cellStyle name="Normal 2 13 3 2 2 2 3" xfId="5959"/>
    <cellStyle name="Normal 2 13 3 2 2 2 30" xfId="55010"/>
    <cellStyle name="Normal 2 13 3 2 2 2 31" xfId="56762"/>
    <cellStyle name="Normal 2 13 3 2 2 2 32" xfId="58515"/>
    <cellStyle name="Normal 2 13 3 2 2 2 33" xfId="60267"/>
    <cellStyle name="Normal 2 13 3 2 2 2 34" xfId="62019"/>
    <cellStyle name="Normal 2 13 3 2 2 2 4" xfId="7711"/>
    <cellStyle name="Normal 2 13 3 2 2 2 5" xfId="9463"/>
    <cellStyle name="Normal 2 13 3 2 2 2 6" xfId="11216"/>
    <cellStyle name="Normal 2 13 3 2 2 2 7" xfId="12968"/>
    <cellStyle name="Normal 2 13 3 2 2 2 8" xfId="14720"/>
    <cellStyle name="Normal 2 13 3 2 2 2 9" xfId="16472"/>
    <cellStyle name="Normal 2 13 3 2 2 20" xfId="33120"/>
    <cellStyle name="Normal 2 13 3 2 2 21" xfId="34375"/>
    <cellStyle name="Normal 2 13 3 2 2 22" xfId="35756"/>
    <cellStyle name="Normal 2 13 3 2 2 23" xfId="36996"/>
    <cellStyle name="Normal 2 13 3 2 2 24" xfId="39249"/>
    <cellStyle name="Normal 2 13 3 2 2 25" xfId="41004"/>
    <cellStyle name="Normal 2 13 3 2 2 26" xfId="42756"/>
    <cellStyle name="Normal 2 13 3 2 2 27" xfId="43996"/>
    <cellStyle name="Normal 2 13 3 2 2 28" xfId="45374"/>
    <cellStyle name="Normal 2 13 3 2 2 29" xfId="47126"/>
    <cellStyle name="Normal 2 13 3 2 2 3" xfId="3331"/>
    <cellStyle name="Normal 2 13 3 2 2 30" xfId="48878"/>
    <cellStyle name="Normal 2 13 3 2 2 31" xfId="50630"/>
    <cellStyle name="Normal 2 13 3 2 2 32" xfId="52382"/>
    <cellStyle name="Normal 2 13 3 2 2 33" xfId="54134"/>
    <cellStyle name="Normal 2 13 3 2 2 34" xfId="55886"/>
    <cellStyle name="Normal 2 13 3 2 2 35" xfId="57639"/>
    <cellStyle name="Normal 2 13 3 2 2 36" xfId="59391"/>
    <cellStyle name="Normal 2 13 3 2 2 37" xfId="61143"/>
    <cellStyle name="Normal 2 13 3 2 2 38" xfId="62383"/>
    <cellStyle name="Normal 2 13 3 2 2 39" xfId="63249"/>
    <cellStyle name="Normal 2 13 3 2 2 4" xfId="5083"/>
    <cellStyle name="Normal 2 13 3 2 2 5" xfId="6835"/>
    <cellStyle name="Normal 2 13 3 2 2 6" xfId="8587"/>
    <cellStyle name="Normal 2 13 3 2 2 7" xfId="10340"/>
    <cellStyle name="Normal 2 13 3 2 2 8" xfId="12092"/>
    <cellStyle name="Normal 2 13 3 2 2 9" xfId="13844"/>
    <cellStyle name="Normal 2 13 3 2 20" xfId="30931"/>
    <cellStyle name="Normal 2 13 3 2 21" xfId="32684"/>
    <cellStyle name="Normal 2 13 3 2 22" xfId="34374"/>
    <cellStyle name="Normal 2 13 3 2 23" xfId="35320"/>
    <cellStyle name="Normal 2 13 3 2 24" xfId="36995"/>
    <cellStyle name="Normal 2 13 3 2 25" xfId="38813"/>
    <cellStyle name="Normal 2 13 3 2 26" xfId="40568"/>
    <cellStyle name="Normal 2 13 3 2 27" xfId="42320"/>
    <cellStyle name="Normal 2 13 3 2 28" xfId="43995"/>
    <cellStyle name="Normal 2 13 3 2 29" xfId="44938"/>
    <cellStyle name="Normal 2 13 3 2 3" xfId="845"/>
    <cellStyle name="Normal 2 13 3 2 3 10" xfId="17789"/>
    <cellStyle name="Normal 2 13 3 2 3 11" xfId="19541"/>
    <cellStyle name="Normal 2 13 3 2 3 12" xfId="21294"/>
    <cellStyle name="Normal 2 13 3 2 3 13" xfId="23046"/>
    <cellStyle name="Normal 2 13 3 2 3 14" xfId="24798"/>
    <cellStyle name="Normal 2 13 3 2 3 15" xfId="26550"/>
    <cellStyle name="Normal 2 13 3 2 3 16" xfId="28302"/>
    <cellStyle name="Normal 2 13 3 2 3 17" xfId="30055"/>
    <cellStyle name="Normal 2 13 3 2 3 18" xfId="31807"/>
    <cellStyle name="Normal 2 13 3 2 3 19" xfId="33560"/>
    <cellStyle name="Normal 2 13 3 2 3 2" xfId="3771"/>
    <cellStyle name="Normal 2 13 3 2 3 20" xfId="36196"/>
    <cellStyle name="Normal 2 13 3 2 3 21" xfId="37936"/>
    <cellStyle name="Normal 2 13 3 2 3 22" xfId="39689"/>
    <cellStyle name="Normal 2 13 3 2 3 23" xfId="41444"/>
    <cellStyle name="Normal 2 13 3 2 3 24" xfId="43196"/>
    <cellStyle name="Normal 2 13 3 2 3 25" xfId="45814"/>
    <cellStyle name="Normal 2 13 3 2 3 26" xfId="47566"/>
    <cellStyle name="Normal 2 13 3 2 3 27" xfId="49318"/>
    <cellStyle name="Normal 2 13 3 2 3 28" xfId="51070"/>
    <cellStyle name="Normal 2 13 3 2 3 29" xfId="52822"/>
    <cellStyle name="Normal 2 13 3 2 3 3" xfId="5523"/>
    <cellStyle name="Normal 2 13 3 2 3 30" xfId="54574"/>
    <cellStyle name="Normal 2 13 3 2 3 31" xfId="56326"/>
    <cellStyle name="Normal 2 13 3 2 3 32" xfId="58079"/>
    <cellStyle name="Normal 2 13 3 2 3 33" xfId="59831"/>
    <cellStyle name="Normal 2 13 3 2 3 34" xfId="61583"/>
    <cellStyle name="Normal 2 13 3 2 3 4" xfId="7275"/>
    <cellStyle name="Normal 2 13 3 2 3 5" xfId="9027"/>
    <cellStyle name="Normal 2 13 3 2 3 6" xfId="10780"/>
    <cellStyle name="Normal 2 13 3 2 3 7" xfId="12532"/>
    <cellStyle name="Normal 2 13 3 2 3 8" xfId="14284"/>
    <cellStyle name="Normal 2 13 3 2 3 9" xfId="16036"/>
    <cellStyle name="Normal 2 13 3 2 30" xfId="46690"/>
    <cellStyle name="Normal 2 13 3 2 31" xfId="48442"/>
    <cellStyle name="Normal 2 13 3 2 32" xfId="50194"/>
    <cellStyle name="Normal 2 13 3 2 33" xfId="51946"/>
    <cellStyle name="Normal 2 13 3 2 34" xfId="53698"/>
    <cellStyle name="Normal 2 13 3 2 35" xfId="55450"/>
    <cellStyle name="Normal 2 13 3 2 36" xfId="57203"/>
    <cellStyle name="Normal 2 13 3 2 37" xfId="58955"/>
    <cellStyle name="Normal 2 13 3 2 38" xfId="60707"/>
    <cellStyle name="Normal 2 13 3 2 39" xfId="62382"/>
    <cellStyle name="Normal 2 13 3 2 4" xfId="2895"/>
    <cellStyle name="Normal 2 13 3 2 40" xfId="63248"/>
    <cellStyle name="Normal 2 13 3 2 5" xfId="4647"/>
    <cellStyle name="Normal 2 13 3 2 6" xfId="6399"/>
    <cellStyle name="Normal 2 13 3 2 7" xfId="8151"/>
    <cellStyle name="Normal 2 13 3 2 8" xfId="9904"/>
    <cellStyle name="Normal 2 13 3 2 9" xfId="11656"/>
    <cellStyle name="Normal 2 13 3 20" xfId="29042"/>
    <cellStyle name="Normal 2 13 3 21" xfId="30794"/>
    <cellStyle name="Normal 2 13 3 22" xfId="32547"/>
    <cellStyle name="Normal 2 13 3 23" xfId="34373"/>
    <cellStyle name="Normal 2 13 3 24" xfId="35183"/>
    <cellStyle name="Normal 2 13 3 25" xfId="36994"/>
    <cellStyle name="Normal 2 13 3 26" xfId="38676"/>
    <cellStyle name="Normal 2 13 3 27" xfId="40431"/>
    <cellStyle name="Normal 2 13 3 28" xfId="42183"/>
    <cellStyle name="Normal 2 13 3 29" xfId="43994"/>
    <cellStyle name="Normal 2 13 3 3" xfId="846"/>
    <cellStyle name="Normal 2 13 3 3 10" xfId="15459"/>
    <cellStyle name="Normal 2 13 3 3 11" xfId="17212"/>
    <cellStyle name="Normal 2 13 3 3 12" xfId="18964"/>
    <cellStyle name="Normal 2 13 3 3 13" xfId="20717"/>
    <cellStyle name="Normal 2 13 3 3 14" xfId="22469"/>
    <cellStyle name="Normal 2 13 3 3 15" xfId="24221"/>
    <cellStyle name="Normal 2 13 3 3 16" xfId="25973"/>
    <cellStyle name="Normal 2 13 3 3 17" xfId="27725"/>
    <cellStyle name="Normal 2 13 3 3 18" xfId="29478"/>
    <cellStyle name="Normal 2 13 3 3 19" xfId="31230"/>
    <cellStyle name="Normal 2 13 3 3 2" xfId="847"/>
    <cellStyle name="Normal 2 13 3 3 2 10" xfId="18088"/>
    <cellStyle name="Normal 2 13 3 3 2 11" xfId="19840"/>
    <cellStyle name="Normal 2 13 3 3 2 12" xfId="21593"/>
    <cellStyle name="Normal 2 13 3 3 2 13" xfId="23345"/>
    <cellStyle name="Normal 2 13 3 3 2 14" xfId="25097"/>
    <cellStyle name="Normal 2 13 3 3 2 15" xfId="26849"/>
    <cellStyle name="Normal 2 13 3 3 2 16" xfId="28601"/>
    <cellStyle name="Normal 2 13 3 3 2 17" xfId="30354"/>
    <cellStyle name="Normal 2 13 3 3 2 18" xfId="32106"/>
    <cellStyle name="Normal 2 13 3 3 2 19" xfId="33859"/>
    <cellStyle name="Normal 2 13 3 3 2 2" xfId="4070"/>
    <cellStyle name="Normal 2 13 3 3 2 20" xfId="36495"/>
    <cellStyle name="Normal 2 13 3 3 2 21" xfId="38235"/>
    <cellStyle name="Normal 2 13 3 3 2 22" xfId="39988"/>
    <cellStyle name="Normal 2 13 3 3 2 23" xfId="41743"/>
    <cellStyle name="Normal 2 13 3 3 2 24" xfId="43495"/>
    <cellStyle name="Normal 2 13 3 3 2 25" xfId="46113"/>
    <cellStyle name="Normal 2 13 3 3 2 26" xfId="47865"/>
    <cellStyle name="Normal 2 13 3 3 2 27" xfId="49617"/>
    <cellStyle name="Normal 2 13 3 3 2 28" xfId="51369"/>
    <cellStyle name="Normal 2 13 3 3 2 29" xfId="53121"/>
    <cellStyle name="Normal 2 13 3 3 2 3" xfId="5822"/>
    <cellStyle name="Normal 2 13 3 3 2 30" xfId="54873"/>
    <cellStyle name="Normal 2 13 3 3 2 31" xfId="56625"/>
    <cellStyle name="Normal 2 13 3 3 2 32" xfId="58378"/>
    <cellStyle name="Normal 2 13 3 3 2 33" xfId="60130"/>
    <cellStyle name="Normal 2 13 3 3 2 34" xfId="61882"/>
    <cellStyle name="Normal 2 13 3 3 2 4" xfId="7574"/>
    <cellStyle name="Normal 2 13 3 3 2 5" xfId="9326"/>
    <cellStyle name="Normal 2 13 3 3 2 6" xfId="11079"/>
    <cellStyle name="Normal 2 13 3 3 2 7" xfId="12831"/>
    <cellStyle name="Normal 2 13 3 3 2 8" xfId="14583"/>
    <cellStyle name="Normal 2 13 3 3 2 9" xfId="16335"/>
    <cellStyle name="Normal 2 13 3 3 20" xfId="32983"/>
    <cellStyle name="Normal 2 13 3 3 21" xfId="34376"/>
    <cellStyle name="Normal 2 13 3 3 22" xfId="35619"/>
    <cellStyle name="Normal 2 13 3 3 23" xfId="36997"/>
    <cellStyle name="Normal 2 13 3 3 24" xfId="39112"/>
    <cellStyle name="Normal 2 13 3 3 25" xfId="40867"/>
    <cellStyle name="Normal 2 13 3 3 26" xfId="42619"/>
    <cellStyle name="Normal 2 13 3 3 27" xfId="43997"/>
    <cellStyle name="Normal 2 13 3 3 28" xfId="45237"/>
    <cellStyle name="Normal 2 13 3 3 29" xfId="46989"/>
    <cellStyle name="Normal 2 13 3 3 3" xfId="3194"/>
    <cellStyle name="Normal 2 13 3 3 30" xfId="48741"/>
    <cellStyle name="Normal 2 13 3 3 31" xfId="50493"/>
    <cellStyle name="Normal 2 13 3 3 32" xfId="52245"/>
    <cellStyle name="Normal 2 13 3 3 33" xfId="53997"/>
    <cellStyle name="Normal 2 13 3 3 34" xfId="55749"/>
    <cellStyle name="Normal 2 13 3 3 35" xfId="57502"/>
    <cellStyle name="Normal 2 13 3 3 36" xfId="59254"/>
    <cellStyle name="Normal 2 13 3 3 37" xfId="61006"/>
    <cellStyle name="Normal 2 13 3 3 38" xfId="62384"/>
    <cellStyle name="Normal 2 13 3 3 39" xfId="63250"/>
    <cellStyle name="Normal 2 13 3 3 4" xfId="4946"/>
    <cellStyle name="Normal 2 13 3 3 5" xfId="6698"/>
    <cellStyle name="Normal 2 13 3 3 6" xfId="8450"/>
    <cellStyle name="Normal 2 13 3 3 7" xfId="10203"/>
    <cellStyle name="Normal 2 13 3 3 8" xfId="11955"/>
    <cellStyle name="Normal 2 13 3 3 9" xfId="13707"/>
    <cellStyle name="Normal 2 13 3 30" xfId="44801"/>
    <cellStyle name="Normal 2 13 3 31" xfId="46553"/>
    <cellStyle name="Normal 2 13 3 32" xfId="48305"/>
    <cellStyle name="Normal 2 13 3 33" xfId="50057"/>
    <cellStyle name="Normal 2 13 3 34" xfId="51809"/>
    <cellStyle name="Normal 2 13 3 35" xfId="53561"/>
    <cellStyle name="Normal 2 13 3 36" xfId="55313"/>
    <cellStyle name="Normal 2 13 3 37" xfId="57066"/>
    <cellStyle name="Normal 2 13 3 38" xfId="58818"/>
    <cellStyle name="Normal 2 13 3 39" xfId="60570"/>
    <cellStyle name="Normal 2 13 3 4" xfId="848"/>
    <cellStyle name="Normal 2 13 3 4 10" xfId="17652"/>
    <cellStyle name="Normal 2 13 3 4 11" xfId="19404"/>
    <cellStyle name="Normal 2 13 3 4 12" xfId="21157"/>
    <cellStyle name="Normal 2 13 3 4 13" xfId="22909"/>
    <cellStyle name="Normal 2 13 3 4 14" xfId="24661"/>
    <cellStyle name="Normal 2 13 3 4 15" xfId="26413"/>
    <cellStyle name="Normal 2 13 3 4 16" xfId="28165"/>
    <cellStyle name="Normal 2 13 3 4 17" xfId="29918"/>
    <cellStyle name="Normal 2 13 3 4 18" xfId="31670"/>
    <cellStyle name="Normal 2 13 3 4 19" xfId="33423"/>
    <cellStyle name="Normal 2 13 3 4 2" xfId="3634"/>
    <cellStyle name="Normal 2 13 3 4 20" xfId="36059"/>
    <cellStyle name="Normal 2 13 3 4 21" xfId="37799"/>
    <cellStyle name="Normal 2 13 3 4 22" xfId="39552"/>
    <cellStyle name="Normal 2 13 3 4 23" xfId="41307"/>
    <cellStyle name="Normal 2 13 3 4 24" xfId="43059"/>
    <cellStyle name="Normal 2 13 3 4 25" xfId="45677"/>
    <cellStyle name="Normal 2 13 3 4 26" xfId="47429"/>
    <cellStyle name="Normal 2 13 3 4 27" xfId="49181"/>
    <cellStyle name="Normal 2 13 3 4 28" xfId="50933"/>
    <cellStyle name="Normal 2 13 3 4 29" xfId="52685"/>
    <cellStyle name="Normal 2 13 3 4 3" xfId="5386"/>
    <cellStyle name="Normal 2 13 3 4 30" xfId="54437"/>
    <cellStyle name="Normal 2 13 3 4 31" xfId="56189"/>
    <cellStyle name="Normal 2 13 3 4 32" xfId="57942"/>
    <cellStyle name="Normal 2 13 3 4 33" xfId="59694"/>
    <cellStyle name="Normal 2 13 3 4 34" xfId="61446"/>
    <cellStyle name="Normal 2 13 3 4 4" xfId="7138"/>
    <cellStyle name="Normal 2 13 3 4 5" xfId="8890"/>
    <cellStyle name="Normal 2 13 3 4 6" xfId="10643"/>
    <cellStyle name="Normal 2 13 3 4 7" xfId="12395"/>
    <cellStyle name="Normal 2 13 3 4 8" xfId="14147"/>
    <cellStyle name="Normal 2 13 3 4 9" xfId="15899"/>
    <cellStyle name="Normal 2 13 3 40" xfId="62381"/>
    <cellStyle name="Normal 2 13 3 41" xfId="63247"/>
    <cellStyle name="Normal 2 13 3 5" xfId="2758"/>
    <cellStyle name="Normal 2 13 3 6" xfId="4510"/>
    <cellStyle name="Normal 2 13 3 7" xfId="6262"/>
    <cellStyle name="Normal 2 13 3 8" xfId="8014"/>
    <cellStyle name="Normal 2 13 3 9" xfId="9767"/>
    <cellStyle name="Normal 2 13 30" xfId="42075"/>
    <cellStyle name="Normal 2 13 31" xfId="43985"/>
    <cellStyle name="Normal 2 13 32" xfId="44693"/>
    <cellStyle name="Normal 2 13 33" xfId="46445"/>
    <cellStyle name="Normal 2 13 34" xfId="48197"/>
    <cellStyle name="Normal 2 13 35" xfId="49949"/>
    <cellStyle name="Normal 2 13 36" xfId="51701"/>
    <cellStyle name="Normal 2 13 37" xfId="53453"/>
    <cellStyle name="Normal 2 13 38" xfId="55205"/>
    <cellStyle name="Normal 2 13 39" xfId="56958"/>
    <cellStyle name="Normal 2 13 4" xfId="849"/>
    <cellStyle name="Normal 2 13 4 10" xfId="13409"/>
    <cellStyle name="Normal 2 13 4 11" xfId="15161"/>
    <cellStyle name="Normal 2 13 4 12" xfId="16914"/>
    <cellStyle name="Normal 2 13 4 13" xfId="18666"/>
    <cellStyle name="Normal 2 13 4 14" xfId="20419"/>
    <cellStyle name="Normal 2 13 4 15" xfId="22171"/>
    <cellStyle name="Normal 2 13 4 16" xfId="23923"/>
    <cellStyle name="Normal 2 13 4 17" xfId="25675"/>
    <cellStyle name="Normal 2 13 4 18" xfId="27427"/>
    <cellStyle name="Normal 2 13 4 19" xfId="29180"/>
    <cellStyle name="Normal 2 13 4 2" xfId="850"/>
    <cellStyle name="Normal 2 13 4 2 10" xfId="15597"/>
    <cellStyle name="Normal 2 13 4 2 11" xfId="17350"/>
    <cellStyle name="Normal 2 13 4 2 12" xfId="19102"/>
    <cellStyle name="Normal 2 13 4 2 13" xfId="20855"/>
    <cellStyle name="Normal 2 13 4 2 14" xfId="22607"/>
    <cellStyle name="Normal 2 13 4 2 15" xfId="24359"/>
    <cellStyle name="Normal 2 13 4 2 16" xfId="26111"/>
    <cellStyle name="Normal 2 13 4 2 17" xfId="27863"/>
    <cellStyle name="Normal 2 13 4 2 18" xfId="29616"/>
    <cellStyle name="Normal 2 13 4 2 19" xfId="31368"/>
    <cellStyle name="Normal 2 13 4 2 2" xfId="851"/>
    <cellStyle name="Normal 2 13 4 2 2 10" xfId="18226"/>
    <cellStyle name="Normal 2 13 4 2 2 11" xfId="19978"/>
    <cellStyle name="Normal 2 13 4 2 2 12" xfId="21731"/>
    <cellStyle name="Normal 2 13 4 2 2 13" xfId="23483"/>
    <cellStyle name="Normal 2 13 4 2 2 14" xfId="25235"/>
    <cellStyle name="Normal 2 13 4 2 2 15" xfId="26987"/>
    <cellStyle name="Normal 2 13 4 2 2 16" xfId="28739"/>
    <cellStyle name="Normal 2 13 4 2 2 17" xfId="30492"/>
    <cellStyle name="Normal 2 13 4 2 2 18" xfId="32244"/>
    <cellStyle name="Normal 2 13 4 2 2 19" xfId="33997"/>
    <cellStyle name="Normal 2 13 4 2 2 2" xfId="4208"/>
    <cellStyle name="Normal 2 13 4 2 2 20" xfId="36633"/>
    <cellStyle name="Normal 2 13 4 2 2 21" xfId="38373"/>
    <cellStyle name="Normal 2 13 4 2 2 22" xfId="40126"/>
    <cellStyle name="Normal 2 13 4 2 2 23" xfId="41881"/>
    <cellStyle name="Normal 2 13 4 2 2 24" xfId="43633"/>
    <cellStyle name="Normal 2 13 4 2 2 25" xfId="46251"/>
    <cellStyle name="Normal 2 13 4 2 2 26" xfId="48003"/>
    <cellStyle name="Normal 2 13 4 2 2 27" xfId="49755"/>
    <cellStyle name="Normal 2 13 4 2 2 28" xfId="51507"/>
    <cellStyle name="Normal 2 13 4 2 2 29" xfId="53259"/>
    <cellStyle name="Normal 2 13 4 2 2 3" xfId="5960"/>
    <cellStyle name="Normal 2 13 4 2 2 30" xfId="55011"/>
    <cellStyle name="Normal 2 13 4 2 2 31" xfId="56763"/>
    <cellStyle name="Normal 2 13 4 2 2 32" xfId="58516"/>
    <cellStyle name="Normal 2 13 4 2 2 33" xfId="60268"/>
    <cellStyle name="Normal 2 13 4 2 2 34" xfId="62020"/>
    <cellStyle name="Normal 2 13 4 2 2 4" xfId="7712"/>
    <cellStyle name="Normal 2 13 4 2 2 5" xfId="9464"/>
    <cellStyle name="Normal 2 13 4 2 2 6" xfId="11217"/>
    <cellStyle name="Normal 2 13 4 2 2 7" xfId="12969"/>
    <cellStyle name="Normal 2 13 4 2 2 8" xfId="14721"/>
    <cellStyle name="Normal 2 13 4 2 2 9" xfId="16473"/>
    <cellStyle name="Normal 2 13 4 2 20" xfId="33121"/>
    <cellStyle name="Normal 2 13 4 2 21" xfId="34378"/>
    <cellStyle name="Normal 2 13 4 2 22" xfId="35757"/>
    <cellStyle name="Normal 2 13 4 2 23" xfId="36999"/>
    <cellStyle name="Normal 2 13 4 2 24" xfId="39250"/>
    <cellStyle name="Normal 2 13 4 2 25" xfId="41005"/>
    <cellStyle name="Normal 2 13 4 2 26" xfId="42757"/>
    <cellStyle name="Normal 2 13 4 2 27" xfId="43999"/>
    <cellStyle name="Normal 2 13 4 2 28" xfId="45375"/>
    <cellStyle name="Normal 2 13 4 2 29" xfId="47127"/>
    <cellStyle name="Normal 2 13 4 2 3" xfId="3332"/>
    <cellStyle name="Normal 2 13 4 2 30" xfId="48879"/>
    <cellStyle name="Normal 2 13 4 2 31" xfId="50631"/>
    <cellStyle name="Normal 2 13 4 2 32" xfId="52383"/>
    <cellStyle name="Normal 2 13 4 2 33" xfId="54135"/>
    <cellStyle name="Normal 2 13 4 2 34" xfId="55887"/>
    <cellStyle name="Normal 2 13 4 2 35" xfId="57640"/>
    <cellStyle name="Normal 2 13 4 2 36" xfId="59392"/>
    <cellStyle name="Normal 2 13 4 2 37" xfId="61144"/>
    <cellStyle name="Normal 2 13 4 2 38" xfId="62386"/>
    <cellStyle name="Normal 2 13 4 2 39" xfId="63252"/>
    <cellStyle name="Normal 2 13 4 2 4" xfId="5084"/>
    <cellStyle name="Normal 2 13 4 2 5" xfId="6836"/>
    <cellStyle name="Normal 2 13 4 2 6" xfId="8588"/>
    <cellStyle name="Normal 2 13 4 2 7" xfId="10341"/>
    <cellStyle name="Normal 2 13 4 2 8" xfId="12093"/>
    <cellStyle name="Normal 2 13 4 2 9" xfId="13845"/>
    <cellStyle name="Normal 2 13 4 20" xfId="30932"/>
    <cellStyle name="Normal 2 13 4 21" xfId="32685"/>
    <cellStyle name="Normal 2 13 4 22" xfId="34377"/>
    <cellStyle name="Normal 2 13 4 23" xfId="35321"/>
    <cellStyle name="Normal 2 13 4 24" xfId="36998"/>
    <cellStyle name="Normal 2 13 4 25" xfId="38814"/>
    <cellStyle name="Normal 2 13 4 26" xfId="40569"/>
    <cellStyle name="Normal 2 13 4 27" xfId="42321"/>
    <cellStyle name="Normal 2 13 4 28" xfId="43998"/>
    <cellStyle name="Normal 2 13 4 29" xfId="44939"/>
    <cellStyle name="Normal 2 13 4 3" xfId="852"/>
    <cellStyle name="Normal 2 13 4 3 10" xfId="17790"/>
    <cellStyle name="Normal 2 13 4 3 11" xfId="19542"/>
    <cellStyle name="Normal 2 13 4 3 12" xfId="21295"/>
    <cellStyle name="Normal 2 13 4 3 13" xfId="23047"/>
    <cellStyle name="Normal 2 13 4 3 14" xfId="24799"/>
    <cellStyle name="Normal 2 13 4 3 15" xfId="26551"/>
    <cellStyle name="Normal 2 13 4 3 16" xfId="28303"/>
    <cellStyle name="Normal 2 13 4 3 17" xfId="30056"/>
    <cellStyle name="Normal 2 13 4 3 18" xfId="31808"/>
    <cellStyle name="Normal 2 13 4 3 19" xfId="33561"/>
    <cellStyle name="Normal 2 13 4 3 2" xfId="3772"/>
    <cellStyle name="Normal 2 13 4 3 20" xfId="36197"/>
    <cellStyle name="Normal 2 13 4 3 21" xfId="37937"/>
    <cellStyle name="Normal 2 13 4 3 22" xfId="39690"/>
    <cellStyle name="Normal 2 13 4 3 23" xfId="41445"/>
    <cellStyle name="Normal 2 13 4 3 24" xfId="43197"/>
    <cellStyle name="Normal 2 13 4 3 25" xfId="45815"/>
    <cellStyle name="Normal 2 13 4 3 26" xfId="47567"/>
    <cellStyle name="Normal 2 13 4 3 27" xfId="49319"/>
    <cellStyle name="Normal 2 13 4 3 28" xfId="51071"/>
    <cellStyle name="Normal 2 13 4 3 29" xfId="52823"/>
    <cellStyle name="Normal 2 13 4 3 3" xfId="5524"/>
    <cellStyle name="Normal 2 13 4 3 30" xfId="54575"/>
    <cellStyle name="Normal 2 13 4 3 31" xfId="56327"/>
    <cellStyle name="Normal 2 13 4 3 32" xfId="58080"/>
    <cellStyle name="Normal 2 13 4 3 33" xfId="59832"/>
    <cellStyle name="Normal 2 13 4 3 34" xfId="61584"/>
    <cellStyle name="Normal 2 13 4 3 4" xfId="7276"/>
    <cellStyle name="Normal 2 13 4 3 5" xfId="9028"/>
    <cellStyle name="Normal 2 13 4 3 6" xfId="10781"/>
    <cellStyle name="Normal 2 13 4 3 7" xfId="12533"/>
    <cellStyle name="Normal 2 13 4 3 8" xfId="14285"/>
    <cellStyle name="Normal 2 13 4 3 9" xfId="16037"/>
    <cellStyle name="Normal 2 13 4 30" xfId="46691"/>
    <cellStyle name="Normal 2 13 4 31" xfId="48443"/>
    <cellStyle name="Normal 2 13 4 32" xfId="50195"/>
    <cellStyle name="Normal 2 13 4 33" xfId="51947"/>
    <cellStyle name="Normal 2 13 4 34" xfId="53699"/>
    <cellStyle name="Normal 2 13 4 35" xfId="55451"/>
    <cellStyle name="Normal 2 13 4 36" xfId="57204"/>
    <cellStyle name="Normal 2 13 4 37" xfId="58956"/>
    <cellStyle name="Normal 2 13 4 38" xfId="60708"/>
    <cellStyle name="Normal 2 13 4 39" xfId="62385"/>
    <cellStyle name="Normal 2 13 4 4" xfId="2896"/>
    <cellStyle name="Normal 2 13 4 40" xfId="63251"/>
    <cellStyle name="Normal 2 13 4 5" xfId="4648"/>
    <cellStyle name="Normal 2 13 4 6" xfId="6400"/>
    <cellStyle name="Normal 2 13 4 7" xfId="8152"/>
    <cellStyle name="Normal 2 13 4 8" xfId="9905"/>
    <cellStyle name="Normal 2 13 4 9" xfId="11657"/>
    <cellStyle name="Normal 2 13 40" xfId="58710"/>
    <cellStyle name="Normal 2 13 41" xfId="60462"/>
    <cellStyle name="Normal 2 13 42" xfId="62372"/>
    <cellStyle name="Normal 2 13 43" xfId="63238"/>
    <cellStyle name="Normal 2 13 5" xfId="853"/>
    <cellStyle name="Normal 2 13 5 10" xfId="15351"/>
    <cellStyle name="Normal 2 13 5 11" xfId="17104"/>
    <cellStyle name="Normal 2 13 5 12" xfId="18856"/>
    <cellStyle name="Normal 2 13 5 13" xfId="20609"/>
    <cellStyle name="Normal 2 13 5 14" xfId="22361"/>
    <cellStyle name="Normal 2 13 5 15" xfId="24113"/>
    <cellStyle name="Normal 2 13 5 16" xfId="25865"/>
    <cellStyle name="Normal 2 13 5 17" xfId="27617"/>
    <cellStyle name="Normal 2 13 5 18" xfId="29370"/>
    <cellStyle name="Normal 2 13 5 19" xfId="31122"/>
    <cellStyle name="Normal 2 13 5 2" xfId="854"/>
    <cellStyle name="Normal 2 13 5 2 10" xfId="17980"/>
    <cellStyle name="Normal 2 13 5 2 11" xfId="19732"/>
    <cellStyle name="Normal 2 13 5 2 12" xfId="21485"/>
    <cellStyle name="Normal 2 13 5 2 13" xfId="23237"/>
    <cellStyle name="Normal 2 13 5 2 14" xfId="24989"/>
    <cellStyle name="Normal 2 13 5 2 15" xfId="26741"/>
    <cellStyle name="Normal 2 13 5 2 16" xfId="28493"/>
    <cellStyle name="Normal 2 13 5 2 17" xfId="30246"/>
    <cellStyle name="Normal 2 13 5 2 18" xfId="31998"/>
    <cellStyle name="Normal 2 13 5 2 19" xfId="33751"/>
    <cellStyle name="Normal 2 13 5 2 2" xfId="3962"/>
    <cellStyle name="Normal 2 13 5 2 20" xfId="36387"/>
    <cellStyle name="Normal 2 13 5 2 21" xfId="38127"/>
    <cellStyle name="Normal 2 13 5 2 22" xfId="39880"/>
    <cellStyle name="Normal 2 13 5 2 23" xfId="41635"/>
    <cellStyle name="Normal 2 13 5 2 24" xfId="43387"/>
    <cellStyle name="Normal 2 13 5 2 25" xfId="46005"/>
    <cellStyle name="Normal 2 13 5 2 26" xfId="47757"/>
    <cellStyle name="Normal 2 13 5 2 27" xfId="49509"/>
    <cellStyle name="Normal 2 13 5 2 28" xfId="51261"/>
    <cellStyle name="Normal 2 13 5 2 29" xfId="53013"/>
    <cellStyle name="Normal 2 13 5 2 3" xfId="5714"/>
    <cellStyle name="Normal 2 13 5 2 30" xfId="54765"/>
    <cellStyle name="Normal 2 13 5 2 31" xfId="56517"/>
    <cellStyle name="Normal 2 13 5 2 32" xfId="58270"/>
    <cellStyle name="Normal 2 13 5 2 33" xfId="60022"/>
    <cellStyle name="Normal 2 13 5 2 34" xfId="61774"/>
    <cellStyle name="Normal 2 13 5 2 4" xfId="7466"/>
    <cellStyle name="Normal 2 13 5 2 5" xfId="9218"/>
    <cellStyle name="Normal 2 13 5 2 6" xfId="10971"/>
    <cellStyle name="Normal 2 13 5 2 7" xfId="12723"/>
    <cellStyle name="Normal 2 13 5 2 8" xfId="14475"/>
    <cellStyle name="Normal 2 13 5 2 9" xfId="16227"/>
    <cellStyle name="Normal 2 13 5 20" xfId="32875"/>
    <cellStyle name="Normal 2 13 5 21" xfId="34379"/>
    <cellStyle name="Normal 2 13 5 22" xfId="35511"/>
    <cellStyle name="Normal 2 13 5 23" xfId="37000"/>
    <cellStyle name="Normal 2 13 5 24" xfId="39004"/>
    <cellStyle name="Normal 2 13 5 25" xfId="40759"/>
    <cellStyle name="Normal 2 13 5 26" xfId="42511"/>
    <cellStyle name="Normal 2 13 5 27" xfId="44000"/>
    <cellStyle name="Normal 2 13 5 28" xfId="45129"/>
    <cellStyle name="Normal 2 13 5 29" xfId="46881"/>
    <cellStyle name="Normal 2 13 5 3" xfId="3086"/>
    <cellStyle name="Normal 2 13 5 30" xfId="48633"/>
    <cellStyle name="Normal 2 13 5 31" xfId="50385"/>
    <cellStyle name="Normal 2 13 5 32" xfId="52137"/>
    <cellStyle name="Normal 2 13 5 33" xfId="53889"/>
    <cellStyle name="Normal 2 13 5 34" xfId="55641"/>
    <cellStyle name="Normal 2 13 5 35" xfId="57394"/>
    <cellStyle name="Normal 2 13 5 36" xfId="59146"/>
    <cellStyle name="Normal 2 13 5 37" xfId="60898"/>
    <cellStyle name="Normal 2 13 5 38" xfId="62387"/>
    <cellStyle name="Normal 2 13 5 39" xfId="63253"/>
    <cellStyle name="Normal 2 13 5 4" xfId="4838"/>
    <cellStyle name="Normal 2 13 5 5" xfId="6590"/>
    <cellStyle name="Normal 2 13 5 6" xfId="8342"/>
    <cellStyle name="Normal 2 13 5 7" xfId="10095"/>
    <cellStyle name="Normal 2 13 5 8" xfId="11847"/>
    <cellStyle name="Normal 2 13 5 9" xfId="13599"/>
    <cellStyle name="Normal 2 13 6" xfId="855"/>
    <cellStyle name="Normal 2 13 6 10" xfId="17544"/>
    <cellStyle name="Normal 2 13 6 11" xfId="19296"/>
    <cellStyle name="Normal 2 13 6 12" xfId="21049"/>
    <cellStyle name="Normal 2 13 6 13" xfId="22801"/>
    <cellStyle name="Normal 2 13 6 14" xfId="24553"/>
    <cellStyle name="Normal 2 13 6 15" xfId="26305"/>
    <cellStyle name="Normal 2 13 6 16" xfId="28057"/>
    <cellStyle name="Normal 2 13 6 17" xfId="29810"/>
    <cellStyle name="Normal 2 13 6 18" xfId="31562"/>
    <cellStyle name="Normal 2 13 6 19" xfId="33315"/>
    <cellStyle name="Normal 2 13 6 2" xfId="3526"/>
    <cellStyle name="Normal 2 13 6 20" xfId="35951"/>
    <cellStyle name="Normal 2 13 6 21" xfId="37682"/>
    <cellStyle name="Normal 2 13 6 22" xfId="39444"/>
    <cellStyle name="Normal 2 13 6 23" xfId="41199"/>
    <cellStyle name="Normal 2 13 6 24" xfId="42951"/>
    <cellStyle name="Normal 2 13 6 25" xfId="45569"/>
    <cellStyle name="Normal 2 13 6 26" xfId="47321"/>
    <cellStyle name="Normal 2 13 6 27" xfId="49073"/>
    <cellStyle name="Normal 2 13 6 28" xfId="50825"/>
    <cellStyle name="Normal 2 13 6 29" xfId="52577"/>
    <cellStyle name="Normal 2 13 6 3" xfId="5278"/>
    <cellStyle name="Normal 2 13 6 30" xfId="54329"/>
    <cellStyle name="Normal 2 13 6 31" xfId="56081"/>
    <cellStyle name="Normal 2 13 6 32" xfId="57834"/>
    <cellStyle name="Normal 2 13 6 33" xfId="59586"/>
    <cellStyle name="Normal 2 13 6 34" xfId="61338"/>
    <cellStyle name="Normal 2 13 6 4" xfId="7030"/>
    <cellStyle name="Normal 2 13 6 5" xfId="8782"/>
    <cellStyle name="Normal 2 13 6 6" xfId="10535"/>
    <cellStyle name="Normal 2 13 6 7" xfId="12287"/>
    <cellStyle name="Normal 2 13 6 8" xfId="14039"/>
    <cellStyle name="Normal 2 13 6 9" xfId="15791"/>
    <cellStyle name="Normal 2 13 7" xfId="2613"/>
    <cellStyle name="Normal 2 13 8" xfId="4402"/>
    <cellStyle name="Normal 2 13 9" xfId="6154"/>
    <cellStyle name="Normal 2 14" xfId="856"/>
    <cellStyle name="Normal 2 14 10" xfId="7907"/>
    <cellStyle name="Normal 2 14 11" xfId="9660"/>
    <cellStyle name="Normal 2 14 12" xfId="11412"/>
    <cellStyle name="Normal 2 14 13" xfId="13164"/>
    <cellStyle name="Normal 2 14 14" xfId="14916"/>
    <cellStyle name="Normal 2 14 15" xfId="16669"/>
    <cellStyle name="Normal 2 14 16" xfId="18421"/>
    <cellStyle name="Normal 2 14 17" xfId="20174"/>
    <cellStyle name="Normal 2 14 18" xfId="21926"/>
    <cellStyle name="Normal 2 14 19" xfId="23678"/>
    <cellStyle name="Normal 2 14 2" xfId="857"/>
    <cellStyle name="Normal 2 14 2 10" xfId="9715"/>
    <cellStyle name="Normal 2 14 2 11" xfId="11467"/>
    <cellStyle name="Normal 2 14 2 12" xfId="13219"/>
    <cellStyle name="Normal 2 14 2 13" xfId="14971"/>
    <cellStyle name="Normal 2 14 2 14" xfId="16724"/>
    <cellStyle name="Normal 2 14 2 15" xfId="18476"/>
    <cellStyle name="Normal 2 14 2 16" xfId="20229"/>
    <cellStyle name="Normal 2 14 2 17" xfId="21981"/>
    <cellStyle name="Normal 2 14 2 18" xfId="23733"/>
    <cellStyle name="Normal 2 14 2 19" xfId="25485"/>
    <cellStyle name="Normal 2 14 2 2" xfId="858"/>
    <cellStyle name="Normal 2 14 2 2 10" xfId="11575"/>
    <cellStyle name="Normal 2 14 2 2 11" xfId="13327"/>
    <cellStyle name="Normal 2 14 2 2 12" xfId="15079"/>
    <cellStyle name="Normal 2 14 2 2 13" xfId="16832"/>
    <cellStyle name="Normal 2 14 2 2 14" xfId="18584"/>
    <cellStyle name="Normal 2 14 2 2 15" xfId="20337"/>
    <cellStyle name="Normal 2 14 2 2 16" xfId="22089"/>
    <cellStyle name="Normal 2 14 2 2 17" xfId="23841"/>
    <cellStyle name="Normal 2 14 2 2 18" xfId="25593"/>
    <cellStyle name="Normal 2 14 2 2 19" xfId="27345"/>
    <cellStyle name="Normal 2 14 2 2 2" xfId="859"/>
    <cellStyle name="Normal 2 14 2 2 2 10" xfId="13410"/>
    <cellStyle name="Normal 2 14 2 2 2 11" xfId="15162"/>
    <cellStyle name="Normal 2 14 2 2 2 12" xfId="16915"/>
    <cellStyle name="Normal 2 14 2 2 2 13" xfId="18667"/>
    <cellStyle name="Normal 2 14 2 2 2 14" xfId="20420"/>
    <cellStyle name="Normal 2 14 2 2 2 15" xfId="22172"/>
    <cellStyle name="Normal 2 14 2 2 2 16" xfId="23924"/>
    <cellStyle name="Normal 2 14 2 2 2 17" xfId="25676"/>
    <cellStyle name="Normal 2 14 2 2 2 18" xfId="27428"/>
    <cellStyle name="Normal 2 14 2 2 2 19" xfId="29181"/>
    <cellStyle name="Normal 2 14 2 2 2 2" xfId="860"/>
    <cellStyle name="Normal 2 14 2 2 2 2 10" xfId="15598"/>
    <cellStyle name="Normal 2 14 2 2 2 2 11" xfId="17351"/>
    <cellStyle name="Normal 2 14 2 2 2 2 12" xfId="19103"/>
    <cellStyle name="Normal 2 14 2 2 2 2 13" xfId="20856"/>
    <cellStyle name="Normal 2 14 2 2 2 2 14" xfId="22608"/>
    <cellStyle name="Normal 2 14 2 2 2 2 15" xfId="24360"/>
    <cellStyle name="Normal 2 14 2 2 2 2 16" xfId="26112"/>
    <cellStyle name="Normal 2 14 2 2 2 2 17" xfId="27864"/>
    <cellStyle name="Normal 2 14 2 2 2 2 18" xfId="29617"/>
    <cellStyle name="Normal 2 14 2 2 2 2 19" xfId="31369"/>
    <cellStyle name="Normal 2 14 2 2 2 2 2" xfId="861"/>
    <cellStyle name="Normal 2 14 2 2 2 2 2 10" xfId="18227"/>
    <cellStyle name="Normal 2 14 2 2 2 2 2 11" xfId="19979"/>
    <cellStyle name="Normal 2 14 2 2 2 2 2 12" xfId="21732"/>
    <cellStyle name="Normal 2 14 2 2 2 2 2 13" xfId="23484"/>
    <cellStyle name="Normal 2 14 2 2 2 2 2 14" xfId="25236"/>
    <cellStyle name="Normal 2 14 2 2 2 2 2 15" xfId="26988"/>
    <cellStyle name="Normal 2 14 2 2 2 2 2 16" xfId="28740"/>
    <cellStyle name="Normal 2 14 2 2 2 2 2 17" xfId="30493"/>
    <cellStyle name="Normal 2 14 2 2 2 2 2 18" xfId="32245"/>
    <cellStyle name="Normal 2 14 2 2 2 2 2 19" xfId="33998"/>
    <cellStyle name="Normal 2 14 2 2 2 2 2 2" xfId="4209"/>
    <cellStyle name="Normal 2 14 2 2 2 2 2 20" xfId="36634"/>
    <cellStyle name="Normal 2 14 2 2 2 2 2 21" xfId="38374"/>
    <cellStyle name="Normal 2 14 2 2 2 2 2 22" xfId="40127"/>
    <cellStyle name="Normal 2 14 2 2 2 2 2 23" xfId="41882"/>
    <cellStyle name="Normal 2 14 2 2 2 2 2 24" xfId="43634"/>
    <cellStyle name="Normal 2 14 2 2 2 2 2 25" xfId="46252"/>
    <cellStyle name="Normal 2 14 2 2 2 2 2 26" xfId="48004"/>
    <cellStyle name="Normal 2 14 2 2 2 2 2 27" xfId="49756"/>
    <cellStyle name="Normal 2 14 2 2 2 2 2 28" xfId="51508"/>
    <cellStyle name="Normal 2 14 2 2 2 2 2 29" xfId="53260"/>
    <cellStyle name="Normal 2 14 2 2 2 2 2 3" xfId="5961"/>
    <cellStyle name="Normal 2 14 2 2 2 2 2 30" xfId="55012"/>
    <cellStyle name="Normal 2 14 2 2 2 2 2 31" xfId="56764"/>
    <cellStyle name="Normal 2 14 2 2 2 2 2 32" xfId="58517"/>
    <cellStyle name="Normal 2 14 2 2 2 2 2 33" xfId="60269"/>
    <cellStyle name="Normal 2 14 2 2 2 2 2 34" xfId="62021"/>
    <cellStyle name="Normal 2 14 2 2 2 2 2 4" xfId="7713"/>
    <cellStyle name="Normal 2 14 2 2 2 2 2 5" xfId="9465"/>
    <cellStyle name="Normal 2 14 2 2 2 2 2 6" xfId="11218"/>
    <cellStyle name="Normal 2 14 2 2 2 2 2 7" xfId="12970"/>
    <cellStyle name="Normal 2 14 2 2 2 2 2 8" xfId="14722"/>
    <cellStyle name="Normal 2 14 2 2 2 2 2 9" xfId="16474"/>
    <cellStyle name="Normal 2 14 2 2 2 2 20" xfId="33122"/>
    <cellStyle name="Normal 2 14 2 2 2 2 21" xfId="34384"/>
    <cellStyle name="Normal 2 14 2 2 2 2 22" xfId="35758"/>
    <cellStyle name="Normal 2 14 2 2 2 2 23" xfId="37005"/>
    <cellStyle name="Normal 2 14 2 2 2 2 24" xfId="39251"/>
    <cellStyle name="Normal 2 14 2 2 2 2 25" xfId="41006"/>
    <cellStyle name="Normal 2 14 2 2 2 2 26" xfId="42758"/>
    <cellStyle name="Normal 2 14 2 2 2 2 27" xfId="44005"/>
    <cellStyle name="Normal 2 14 2 2 2 2 28" xfId="45376"/>
    <cellStyle name="Normal 2 14 2 2 2 2 29" xfId="47128"/>
    <cellStyle name="Normal 2 14 2 2 2 2 3" xfId="3333"/>
    <cellStyle name="Normal 2 14 2 2 2 2 30" xfId="48880"/>
    <cellStyle name="Normal 2 14 2 2 2 2 31" xfId="50632"/>
    <cellStyle name="Normal 2 14 2 2 2 2 32" xfId="52384"/>
    <cellStyle name="Normal 2 14 2 2 2 2 33" xfId="54136"/>
    <cellStyle name="Normal 2 14 2 2 2 2 34" xfId="55888"/>
    <cellStyle name="Normal 2 14 2 2 2 2 35" xfId="57641"/>
    <cellStyle name="Normal 2 14 2 2 2 2 36" xfId="59393"/>
    <cellStyle name="Normal 2 14 2 2 2 2 37" xfId="61145"/>
    <cellStyle name="Normal 2 14 2 2 2 2 38" xfId="62392"/>
    <cellStyle name="Normal 2 14 2 2 2 2 39" xfId="63258"/>
    <cellStyle name="Normal 2 14 2 2 2 2 4" xfId="5085"/>
    <cellStyle name="Normal 2 14 2 2 2 2 5" xfId="6837"/>
    <cellStyle name="Normal 2 14 2 2 2 2 6" xfId="8589"/>
    <cellStyle name="Normal 2 14 2 2 2 2 7" xfId="10342"/>
    <cellStyle name="Normal 2 14 2 2 2 2 8" xfId="12094"/>
    <cellStyle name="Normal 2 14 2 2 2 2 9" xfId="13846"/>
    <cellStyle name="Normal 2 14 2 2 2 20" xfId="30933"/>
    <cellStyle name="Normal 2 14 2 2 2 21" xfId="32686"/>
    <cellStyle name="Normal 2 14 2 2 2 22" xfId="34383"/>
    <cellStyle name="Normal 2 14 2 2 2 23" xfId="35322"/>
    <cellStyle name="Normal 2 14 2 2 2 24" xfId="37004"/>
    <cellStyle name="Normal 2 14 2 2 2 25" xfId="38815"/>
    <cellStyle name="Normal 2 14 2 2 2 26" xfId="40570"/>
    <cellStyle name="Normal 2 14 2 2 2 27" xfId="42322"/>
    <cellStyle name="Normal 2 14 2 2 2 28" xfId="44004"/>
    <cellStyle name="Normal 2 14 2 2 2 29" xfId="44940"/>
    <cellStyle name="Normal 2 14 2 2 2 3" xfId="862"/>
    <cellStyle name="Normal 2 14 2 2 2 3 10" xfId="17791"/>
    <cellStyle name="Normal 2 14 2 2 2 3 11" xfId="19543"/>
    <cellStyle name="Normal 2 14 2 2 2 3 12" xfId="21296"/>
    <cellStyle name="Normal 2 14 2 2 2 3 13" xfId="23048"/>
    <cellStyle name="Normal 2 14 2 2 2 3 14" xfId="24800"/>
    <cellStyle name="Normal 2 14 2 2 2 3 15" xfId="26552"/>
    <cellStyle name="Normal 2 14 2 2 2 3 16" xfId="28304"/>
    <cellStyle name="Normal 2 14 2 2 2 3 17" xfId="30057"/>
    <cellStyle name="Normal 2 14 2 2 2 3 18" xfId="31809"/>
    <cellStyle name="Normal 2 14 2 2 2 3 19" xfId="33562"/>
    <cellStyle name="Normal 2 14 2 2 2 3 2" xfId="3773"/>
    <cellStyle name="Normal 2 14 2 2 2 3 20" xfId="36198"/>
    <cellStyle name="Normal 2 14 2 2 2 3 21" xfId="37938"/>
    <cellStyle name="Normal 2 14 2 2 2 3 22" xfId="39691"/>
    <cellStyle name="Normal 2 14 2 2 2 3 23" xfId="41446"/>
    <cellStyle name="Normal 2 14 2 2 2 3 24" xfId="43198"/>
    <cellStyle name="Normal 2 14 2 2 2 3 25" xfId="45816"/>
    <cellStyle name="Normal 2 14 2 2 2 3 26" xfId="47568"/>
    <cellStyle name="Normal 2 14 2 2 2 3 27" xfId="49320"/>
    <cellStyle name="Normal 2 14 2 2 2 3 28" xfId="51072"/>
    <cellStyle name="Normal 2 14 2 2 2 3 29" xfId="52824"/>
    <cellStyle name="Normal 2 14 2 2 2 3 3" xfId="5525"/>
    <cellStyle name="Normal 2 14 2 2 2 3 30" xfId="54576"/>
    <cellStyle name="Normal 2 14 2 2 2 3 31" xfId="56328"/>
    <cellStyle name="Normal 2 14 2 2 2 3 32" xfId="58081"/>
    <cellStyle name="Normal 2 14 2 2 2 3 33" xfId="59833"/>
    <cellStyle name="Normal 2 14 2 2 2 3 34" xfId="61585"/>
    <cellStyle name="Normal 2 14 2 2 2 3 4" xfId="7277"/>
    <cellStyle name="Normal 2 14 2 2 2 3 5" xfId="9029"/>
    <cellStyle name="Normal 2 14 2 2 2 3 6" xfId="10782"/>
    <cellStyle name="Normal 2 14 2 2 2 3 7" xfId="12534"/>
    <cellStyle name="Normal 2 14 2 2 2 3 8" xfId="14286"/>
    <cellStyle name="Normal 2 14 2 2 2 3 9" xfId="16038"/>
    <cellStyle name="Normal 2 14 2 2 2 30" xfId="46692"/>
    <cellStyle name="Normal 2 14 2 2 2 31" xfId="48444"/>
    <cellStyle name="Normal 2 14 2 2 2 32" xfId="50196"/>
    <cellStyle name="Normal 2 14 2 2 2 33" xfId="51948"/>
    <cellStyle name="Normal 2 14 2 2 2 34" xfId="53700"/>
    <cellStyle name="Normal 2 14 2 2 2 35" xfId="55452"/>
    <cellStyle name="Normal 2 14 2 2 2 36" xfId="57205"/>
    <cellStyle name="Normal 2 14 2 2 2 37" xfId="58957"/>
    <cellStyle name="Normal 2 14 2 2 2 38" xfId="60709"/>
    <cellStyle name="Normal 2 14 2 2 2 39" xfId="62391"/>
    <cellStyle name="Normal 2 14 2 2 2 4" xfId="2897"/>
    <cellStyle name="Normal 2 14 2 2 2 40" xfId="63257"/>
    <cellStyle name="Normal 2 14 2 2 2 5" xfId="4649"/>
    <cellStyle name="Normal 2 14 2 2 2 6" xfId="6401"/>
    <cellStyle name="Normal 2 14 2 2 2 7" xfId="8153"/>
    <cellStyle name="Normal 2 14 2 2 2 8" xfId="9906"/>
    <cellStyle name="Normal 2 14 2 2 2 9" xfId="11658"/>
    <cellStyle name="Normal 2 14 2 2 20" xfId="29098"/>
    <cellStyle name="Normal 2 14 2 2 21" xfId="30850"/>
    <cellStyle name="Normal 2 14 2 2 22" xfId="32603"/>
    <cellStyle name="Normal 2 14 2 2 23" xfId="34382"/>
    <cellStyle name="Normal 2 14 2 2 24" xfId="35239"/>
    <cellStyle name="Normal 2 14 2 2 25" xfId="37003"/>
    <cellStyle name="Normal 2 14 2 2 26" xfId="38732"/>
    <cellStyle name="Normal 2 14 2 2 27" xfId="40487"/>
    <cellStyle name="Normal 2 14 2 2 28" xfId="42239"/>
    <cellStyle name="Normal 2 14 2 2 29" xfId="44003"/>
    <cellStyle name="Normal 2 14 2 2 3" xfId="863"/>
    <cellStyle name="Normal 2 14 2 2 3 10" xfId="15515"/>
    <cellStyle name="Normal 2 14 2 2 3 11" xfId="17268"/>
    <cellStyle name="Normal 2 14 2 2 3 12" xfId="19020"/>
    <cellStyle name="Normal 2 14 2 2 3 13" xfId="20773"/>
    <cellStyle name="Normal 2 14 2 2 3 14" xfId="22525"/>
    <cellStyle name="Normal 2 14 2 2 3 15" xfId="24277"/>
    <cellStyle name="Normal 2 14 2 2 3 16" xfId="26029"/>
    <cellStyle name="Normal 2 14 2 2 3 17" xfId="27781"/>
    <cellStyle name="Normal 2 14 2 2 3 18" xfId="29534"/>
    <cellStyle name="Normal 2 14 2 2 3 19" xfId="31286"/>
    <cellStyle name="Normal 2 14 2 2 3 2" xfId="864"/>
    <cellStyle name="Normal 2 14 2 2 3 2 10" xfId="18144"/>
    <cellStyle name="Normal 2 14 2 2 3 2 11" xfId="19896"/>
    <cellStyle name="Normal 2 14 2 2 3 2 12" xfId="21649"/>
    <cellStyle name="Normal 2 14 2 2 3 2 13" xfId="23401"/>
    <cellStyle name="Normal 2 14 2 2 3 2 14" xfId="25153"/>
    <cellStyle name="Normal 2 14 2 2 3 2 15" xfId="26905"/>
    <cellStyle name="Normal 2 14 2 2 3 2 16" xfId="28657"/>
    <cellStyle name="Normal 2 14 2 2 3 2 17" xfId="30410"/>
    <cellStyle name="Normal 2 14 2 2 3 2 18" xfId="32162"/>
    <cellStyle name="Normal 2 14 2 2 3 2 19" xfId="33915"/>
    <cellStyle name="Normal 2 14 2 2 3 2 2" xfId="4126"/>
    <cellStyle name="Normal 2 14 2 2 3 2 20" xfId="36551"/>
    <cellStyle name="Normal 2 14 2 2 3 2 21" xfId="38291"/>
    <cellStyle name="Normal 2 14 2 2 3 2 22" xfId="40044"/>
    <cellStyle name="Normal 2 14 2 2 3 2 23" xfId="41799"/>
    <cellStyle name="Normal 2 14 2 2 3 2 24" xfId="43551"/>
    <cellStyle name="Normal 2 14 2 2 3 2 25" xfId="46169"/>
    <cellStyle name="Normal 2 14 2 2 3 2 26" xfId="47921"/>
    <cellStyle name="Normal 2 14 2 2 3 2 27" xfId="49673"/>
    <cellStyle name="Normal 2 14 2 2 3 2 28" xfId="51425"/>
    <cellStyle name="Normal 2 14 2 2 3 2 29" xfId="53177"/>
    <cellStyle name="Normal 2 14 2 2 3 2 3" xfId="5878"/>
    <cellStyle name="Normal 2 14 2 2 3 2 30" xfId="54929"/>
    <cellStyle name="Normal 2 14 2 2 3 2 31" xfId="56681"/>
    <cellStyle name="Normal 2 14 2 2 3 2 32" xfId="58434"/>
    <cellStyle name="Normal 2 14 2 2 3 2 33" xfId="60186"/>
    <cellStyle name="Normal 2 14 2 2 3 2 34" xfId="61938"/>
    <cellStyle name="Normal 2 14 2 2 3 2 4" xfId="7630"/>
    <cellStyle name="Normal 2 14 2 2 3 2 5" xfId="9382"/>
    <cellStyle name="Normal 2 14 2 2 3 2 6" xfId="11135"/>
    <cellStyle name="Normal 2 14 2 2 3 2 7" xfId="12887"/>
    <cellStyle name="Normal 2 14 2 2 3 2 8" xfId="14639"/>
    <cellStyle name="Normal 2 14 2 2 3 2 9" xfId="16391"/>
    <cellStyle name="Normal 2 14 2 2 3 20" xfId="33039"/>
    <cellStyle name="Normal 2 14 2 2 3 21" xfId="34385"/>
    <cellStyle name="Normal 2 14 2 2 3 22" xfId="35675"/>
    <cellStyle name="Normal 2 14 2 2 3 23" xfId="37006"/>
    <cellStyle name="Normal 2 14 2 2 3 24" xfId="39168"/>
    <cellStyle name="Normal 2 14 2 2 3 25" xfId="40923"/>
    <cellStyle name="Normal 2 14 2 2 3 26" xfId="42675"/>
    <cellStyle name="Normal 2 14 2 2 3 27" xfId="44006"/>
    <cellStyle name="Normal 2 14 2 2 3 28" xfId="45293"/>
    <cellStyle name="Normal 2 14 2 2 3 29" xfId="47045"/>
    <cellStyle name="Normal 2 14 2 2 3 3" xfId="3250"/>
    <cellStyle name="Normal 2 14 2 2 3 30" xfId="48797"/>
    <cellStyle name="Normal 2 14 2 2 3 31" xfId="50549"/>
    <cellStyle name="Normal 2 14 2 2 3 32" xfId="52301"/>
    <cellStyle name="Normal 2 14 2 2 3 33" xfId="54053"/>
    <cellStyle name="Normal 2 14 2 2 3 34" xfId="55805"/>
    <cellStyle name="Normal 2 14 2 2 3 35" xfId="57558"/>
    <cellStyle name="Normal 2 14 2 2 3 36" xfId="59310"/>
    <cellStyle name="Normal 2 14 2 2 3 37" xfId="61062"/>
    <cellStyle name="Normal 2 14 2 2 3 38" xfId="62393"/>
    <cellStyle name="Normal 2 14 2 2 3 39" xfId="63259"/>
    <cellStyle name="Normal 2 14 2 2 3 4" xfId="5002"/>
    <cellStyle name="Normal 2 14 2 2 3 5" xfId="6754"/>
    <cellStyle name="Normal 2 14 2 2 3 6" xfId="8506"/>
    <cellStyle name="Normal 2 14 2 2 3 7" xfId="10259"/>
    <cellStyle name="Normal 2 14 2 2 3 8" xfId="12011"/>
    <cellStyle name="Normal 2 14 2 2 3 9" xfId="13763"/>
    <cellStyle name="Normal 2 14 2 2 30" xfId="44857"/>
    <cellStyle name="Normal 2 14 2 2 31" xfId="46609"/>
    <cellStyle name="Normal 2 14 2 2 32" xfId="48361"/>
    <cellStyle name="Normal 2 14 2 2 33" xfId="50113"/>
    <cellStyle name="Normal 2 14 2 2 34" xfId="51865"/>
    <cellStyle name="Normal 2 14 2 2 35" xfId="53617"/>
    <cellStyle name="Normal 2 14 2 2 36" xfId="55369"/>
    <cellStyle name="Normal 2 14 2 2 37" xfId="57122"/>
    <cellStyle name="Normal 2 14 2 2 38" xfId="58874"/>
    <cellStyle name="Normal 2 14 2 2 39" xfId="60626"/>
    <cellStyle name="Normal 2 14 2 2 4" xfId="865"/>
    <cellStyle name="Normal 2 14 2 2 4 10" xfId="17708"/>
    <cellStyle name="Normal 2 14 2 2 4 11" xfId="19460"/>
    <cellStyle name="Normal 2 14 2 2 4 12" xfId="21213"/>
    <cellStyle name="Normal 2 14 2 2 4 13" xfId="22965"/>
    <cellStyle name="Normal 2 14 2 2 4 14" xfId="24717"/>
    <cellStyle name="Normal 2 14 2 2 4 15" xfId="26469"/>
    <cellStyle name="Normal 2 14 2 2 4 16" xfId="28221"/>
    <cellStyle name="Normal 2 14 2 2 4 17" xfId="29974"/>
    <cellStyle name="Normal 2 14 2 2 4 18" xfId="31726"/>
    <cellStyle name="Normal 2 14 2 2 4 19" xfId="33479"/>
    <cellStyle name="Normal 2 14 2 2 4 2" xfId="3690"/>
    <cellStyle name="Normal 2 14 2 2 4 20" xfId="36115"/>
    <cellStyle name="Normal 2 14 2 2 4 21" xfId="37855"/>
    <cellStyle name="Normal 2 14 2 2 4 22" xfId="39608"/>
    <cellStyle name="Normal 2 14 2 2 4 23" xfId="41363"/>
    <cellStyle name="Normal 2 14 2 2 4 24" xfId="43115"/>
    <cellStyle name="Normal 2 14 2 2 4 25" xfId="45733"/>
    <cellStyle name="Normal 2 14 2 2 4 26" xfId="47485"/>
    <cellStyle name="Normal 2 14 2 2 4 27" xfId="49237"/>
    <cellStyle name="Normal 2 14 2 2 4 28" xfId="50989"/>
    <cellStyle name="Normal 2 14 2 2 4 29" xfId="52741"/>
    <cellStyle name="Normal 2 14 2 2 4 3" xfId="5442"/>
    <cellStyle name="Normal 2 14 2 2 4 30" xfId="54493"/>
    <cellStyle name="Normal 2 14 2 2 4 31" xfId="56245"/>
    <cellStyle name="Normal 2 14 2 2 4 32" xfId="57998"/>
    <cellStyle name="Normal 2 14 2 2 4 33" xfId="59750"/>
    <cellStyle name="Normal 2 14 2 2 4 34" xfId="61502"/>
    <cellStyle name="Normal 2 14 2 2 4 4" xfId="7194"/>
    <cellStyle name="Normal 2 14 2 2 4 5" xfId="8946"/>
    <cellStyle name="Normal 2 14 2 2 4 6" xfId="10699"/>
    <cellStyle name="Normal 2 14 2 2 4 7" xfId="12451"/>
    <cellStyle name="Normal 2 14 2 2 4 8" xfId="14203"/>
    <cellStyle name="Normal 2 14 2 2 4 9" xfId="15955"/>
    <cellStyle name="Normal 2 14 2 2 40" xfId="62390"/>
    <cellStyle name="Normal 2 14 2 2 41" xfId="63256"/>
    <cellStyle name="Normal 2 14 2 2 5" xfId="2814"/>
    <cellStyle name="Normal 2 14 2 2 6" xfId="4566"/>
    <cellStyle name="Normal 2 14 2 2 7" xfId="6318"/>
    <cellStyle name="Normal 2 14 2 2 8" xfId="8070"/>
    <cellStyle name="Normal 2 14 2 2 9" xfId="9823"/>
    <cellStyle name="Normal 2 14 2 20" xfId="27237"/>
    <cellStyle name="Normal 2 14 2 21" xfId="28990"/>
    <cellStyle name="Normal 2 14 2 22" xfId="30742"/>
    <cellStyle name="Normal 2 14 2 23" xfId="32495"/>
    <cellStyle name="Normal 2 14 2 24" xfId="34381"/>
    <cellStyle name="Normal 2 14 2 25" xfId="35131"/>
    <cellStyle name="Normal 2 14 2 26" xfId="37002"/>
    <cellStyle name="Normal 2 14 2 27" xfId="38624"/>
    <cellStyle name="Normal 2 14 2 28" xfId="40379"/>
    <cellStyle name="Normal 2 14 2 29" xfId="42131"/>
    <cellStyle name="Normal 2 14 2 3" xfId="866"/>
    <cellStyle name="Normal 2 14 2 3 10" xfId="13411"/>
    <cellStyle name="Normal 2 14 2 3 11" xfId="15163"/>
    <cellStyle name="Normal 2 14 2 3 12" xfId="16916"/>
    <cellStyle name="Normal 2 14 2 3 13" xfId="18668"/>
    <cellStyle name="Normal 2 14 2 3 14" xfId="20421"/>
    <cellStyle name="Normal 2 14 2 3 15" xfId="22173"/>
    <cellStyle name="Normal 2 14 2 3 16" xfId="23925"/>
    <cellStyle name="Normal 2 14 2 3 17" xfId="25677"/>
    <cellStyle name="Normal 2 14 2 3 18" xfId="27429"/>
    <cellStyle name="Normal 2 14 2 3 19" xfId="29182"/>
    <cellStyle name="Normal 2 14 2 3 2" xfId="867"/>
    <cellStyle name="Normal 2 14 2 3 2 10" xfId="15599"/>
    <cellStyle name="Normal 2 14 2 3 2 11" xfId="17352"/>
    <cellStyle name="Normal 2 14 2 3 2 12" xfId="19104"/>
    <cellStyle name="Normal 2 14 2 3 2 13" xfId="20857"/>
    <cellStyle name="Normal 2 14 2 3 2 14" xfId="22609"/>
    <cellStyle name="Normal 2 14 2 3 2 15" xfId="24361"/>
    <cellStyle name="Normal 2 14 2 3 2 16" xfId="26113"/>
    <cellStyle name="Normal 2 14 2 3 2 17" xfId="27865"/>
    <cellStyle name="Normal 2 14 2 3 2 18" xfId="29618"/>
    <cellStyle name="Normal 2 14 2 3 2 19" xfId="31370"/>
    <cellStyle name="Normal 2 14 2 3 2 2" xfId="868"/>
    <cellStyle name="Normal 2 14 2 3 2 2 10" xfId="18228"/>
    <cellStyle name="Normal 2 14 2 3 2 2 11" xfId="19980"/>
    <cellStyle name="Normal 2 14 2 3 2 2 12" xfId="21733"/>
    <cellStyle name="Normal 2 14 2 3 2 2 13" xfId="23485"/>
    <cellStyle name="Normal 2 14 2 3 2 2 14" xfId="25237"/>
    <cellStyle name="Normal 2 14 2 3 2 2 15" xfId="26989"/>
    <cellStyle name="Normal 2 14 2 3 2 2 16" xfId="28741"/>
    <cellStyle name="Normal 2 14 2 3 2 2 17" xfId="30494"/>
    <cellStyle name="Normal 2 14 2 3 2 2 18" xfId="32246"/>
    <cellStyle name="Normal 2 14 2 3 2 2 19" xfId="33999"/>
    <cellStyle name="Normal 2 14 2 3 2 2 2" xfId="4210"/>
    <cellStyle name="Normal 2 14 2 3 2 2 20" xfId="36635"/>
    <cellStyle name="Normal 2 14 2 3 2 2 21" xfId="38375"/>
    <cellStyle name="Normal 2 14 2 3 2 2 22" xfId="40128"/>
    <cellStyle name="Normal 2 14 2 3 2 2 23" xfId="41883"/>
    <cellStyle name="Normal 2 14 2 3 2 2 24" xfId="43635"/>
    <cellStyle name="Normal 2 14 2 3 2 2 25" xfId="46253"/>
    <cellStyle name="Normal 2 14 2 3 2 2 26" xfId="48005"/>
    <cellStyle name="Normal 2 14 2 3 2 2 27" xfId="49757"/>
    <cellStyle name="Normal 2 14 2 3 2 2 28" xfId="51509"/>
    <cellStyle name="Normal 2 14 2 3 2 2 29" xfId="53261"/>
    <cellStyle name="Normal 2 14 2 3 2 2 3" xfId="5962"/>
    <cellStyle name="Normal 2 14 2 3 2 2 30" xfId="55013"/>
    <cellStyle name="Normal 2 14 2 3 2 2 31" xfId="56765"/>
    <cellStyle name="Normal 2 14 2 3 2 2 32" xfId="58518"/>
    <cellStyle name="Normal 2 14 2 3 2 2 33" xfId="60270"/>
    <cellStyle name="Normal 2 14 2 3 2 2 34" xfId="62022"/>
    <cellStyle name="Normal 2 14 2 3 2 2 4" xfId="7714"/>
    <cellStyle name="Normal 2 14 2 3 2 2 5" xfId="9466"/>
    <cellStyle name="Normal 2 14 2 3 2 2 6" xfId="11219"/>
    <cellStyle name="Normal 2 14 2 3 2 2 7" xfId="12971"/>
    <cellStyle name="Normal 2 14 2 3 2 2 8" xfId="14723"/>
    <cellStyle name="Normal 2 14 2 3 2 2 9" xfId="16475"/>
    <cellStyle name="Normal 2 14 2 3 2 20" xfId="33123"/>
    <cellStyle name="Normal 2 14 2 3 2 21" xfId="34387"/>
    <cellStyle name="Normal 2 14 2 3 2 22" xfId="35759"/>
    <cellStyle name="Normal 2 14 2 3 2 23" xfId="37008"/>
    <cellStyle name="Normal 2 14 2 3 2 24" xfId="39252"/>
    <cellStyle name="Normal 2 14 2 3 2 25" xfId="41007"/>
    <cellStyle name="Normal 2 14 2 3 2 26" xfId="42759"/>
    <cellStyle name="Normal 2 14 2 3 2 27" xfId="44008"/>
    <cellStyle name="Normal 2 14 2 3 2 28" xfId="45377"/>
    <cellStyle name="Normal 2 14 2 3 2 29" xfId="47129"/>
    <cellStyle name="Normal 2 14 2 3 2 3" xfId="3334"/>
    <cellStyle name="Normal 2 14 2 3 2 30" xfId="48881"/>
    <cellStyle name="Normal 2 14 2 3 2 31" xfId="50633"/>
    <cellStyle name="Normal 2 14 2 3 2 32" xfId="52385"/>
    <cellStyle name="Normal 2 14 2 3 2 33" xfId="54137"/>
    <cellStyle name="Normal 2 14 2 3 2 34" xfId="55889"/>
    <cellStyle name="Normal 2 14 2 3 2 35" xfId="57642"/>
    <cellStyle name="Normal 2 14 2 3 2 36" xfId="59394"/>
    <cellStyle name="Normal 2 14 2 3 2 37" xfId="61146"/>
    <cellStyle name="Normal 2 14 2 3 2 38" xfId="62395"/>
    <cellStyle name="Normal 2 14 2 3 2 39" xfId="63261"/>
    <cellStyle name="Normal 2 14 2 3 2 4" xfId="5086"/>
    <cellStyle name="Normal 2 14 2 3 2 5" xfId="6838"/>
    <cellStyle name="Normal 2 14 2 3 2 6" xfId="8590"/>
    <cellStyle name="Normal 2 14 2 3 2 7" xfId="10343"/>
    <cellStyle name="Normal 2 14 2 3 2 8" xfId="12095"/>
    <cellStyle name="Normal 2 14 2 3 2 9" xfId="13847"/>
    <cellStyle name="Normal 2 14 2 3 20" xfId="30934"/>
    <cellStyle name="Normal 2 14 2 3 21" xfId="32687"/>
    <cellStyle name="Normal 2 14 2 3 22" xfId="34386"/>
    <cellStyle name="Normal 2 14 2 3 23" xfId="35323"/>
    <cellStyle name="Normal 2 14 2 3 24" xfId="37007"/>
    <cellStyle name="Normal 2 14 2 3 25" xfId="38816"/>
    <cellStyle name="Normal 2 14 2 3 26" xfId="40571"/>
    <cellStyle name="Normal 2 14 2 3 27" xfId="42323"/>
    <cellStyle name="Normal 2 14 2 3 28" xfId="44007"/>
    <cellStyle name="Normal 2 14 2 3 29" xfId="44941"/>
    <cellStyle name="Normal 2 14 2 3 3" xfId="869"/>
    <cellStyle name="Normal 2 14 2 3 3 10" xfId="17792"/>
    <cellStyle name="Normal 2 14 2 3 3 11" xfId="19544"/>
    <cellStyle name="Normal 2 14 2 3 3 12" xfId="21297"/>
    <cellStyle name="Normal 2 14 2 3 3 13" xfId="23049"/>
    <cellStyle name="Normal 2 14 2 3 3 14" xfId="24801"/>
    <cellStyle name="Normal 2 14 2 3 3 15" xfId="26553"/>
    <cellStyle name="Normal 2 14 2 3 3 16" xfId="28305"/>
    <cellStyle name="Normal 2 14 2 3 3 17" xfId="30058"/>
    <cellStyle name="Normal 2 14 2 3 3 18" xfId="31810"/>
    <cellStyle name="Normal 2 14 2 3 3 19" xfId="33563"/>
    <cellStyle name="Normal 2 14 2 3 3 2" xfId="3774"/>
    <cellStyle name="Normal 2 14 2 3 3 20" xfId="36199"/>
    <cellStyle name="Normal 2 14 2 3 3 21" xfId="37939"/>
    <cellStyle name="Normal 2 14 2 3 3 22" xfId="39692"/>
    <cellStyle name="Normal 2 14 2 3 3 23" xfId="41447"/>
    <cellStyle name="Normal 2 14 2 3 3 24" xfId="43199"/>
    <cellStyle name="Normal 2 14 2 3 3 25" xfId="45817"/>
    <cellStyle name="Normal 2 14 2 3 3 26" xfId="47569"/>
    <cellStyle name="Normal 2 14 2 3 3 27" xfId="49321"/>
    <cellStyle name="Normal 2 14 2 3 3 28" xfId="51073"/>
    <cellStyle name="Normal 2 14 2 3 3 29" xfId="52825"/>
    <cellStyle name="Normal 2 14 2 3 3 3" xfId="5526"/>
    <cellStyle name="Normal 2 14 2 3 3 30" xfId="54577"/>
    <cellStyle name="Normal 2 14 2 3 3 31" xfId="56329"/>
    <cellStyle name="Normal 2 14 2 3 3 32" xfId="58082"/>
    <cellStyle name="Normal 2 14 2 3 3 33" xfId="59834"/>
    <cellStyle name="Normal 2 14 2 3 3 34" xfId="61586"/>
    <cellStyle name="Normal 2 14 2 3 3 4" xfId="7278"/>
    <cellStyle name="Normal 2 14 2 3 3 5" xfId="9030"/>
    <cellStyle name="Normal 2 14 2 3 3 6" xfId="10783"/>
    <cellStyle name="Normal 2 14 2 3 3 7" xfId="12535"/>
    <cellStyle name="Normal 2 14 2 3 3 8" xfId="14287"/>
    <cellStyle name="Normal 2 14 2 3 3 9" xfId="16039"/>
    <cellStyle name="Normal 2 14 2 3 30" xfId="46693"/>
    <cellStyle name="Normal 2 14 2 3 31" xfId="48445"/>
    <cellStyle name="Normal 2 14 2 3 32" xfId="50197"/>
    <cellStyle name="Normal 2 14 2 3 33" xfId="51949"/>
    <cellStyle name="Normal 2 14 2 3 34" xfId="53701"/>
    <cellStyle name="Normal 2 14 2 3 35" xfId="55453"/>
    <cellStyle name="Normal 2 14 2 3 36" xfId="57206"/>
    <cellStyle name="Normal 2 14 2 3 37" xfId="58958"/>
    <cellStyle name="Normal 2 14 2 3 38" xfId="60710"/>
    <cellStyle name="Normal 2 14 2 3 39" xfId="62394"/>
    <cellStyle name="Normal 2 14 2 3 4" xfId="2898"/>
    <cellStyle name="Normal 2 14 2 3 40" xfId="63260"/>
    <cellStyle name="Normal 2 14 2 3 5" xfId="4650"/>
    <cellStyle name="Normal 2 14 2 3 6" xfId="6402"/>
    <cellStyle name="Normal 2 14 2 3 7" xfId="8154"/>
    <cellStyle name="Normal 2 14 2 3 8" xfId="9907"/>
    <cellStyle name="Normal 2 14 2 3 9" xfId="11659"/>
    <cellStyle name="Normal 2 14 2 30" xfId="44002"/>
    <cellStyle name="Normal 2 14 2 31" xfId="44749"/>
    <cellStyle name="Normal 2 14 2 32" xfId="46501"/>
    <cellStyle name="Normal 2 14 2 33" xfId="48253"/>
    <cellStyle name="Normal 2 14 2 34" xfId="50005"/>
    <cellStyle name="Normal 2 14 2 35" xfId="51757"/>
    <cellStyle name="Normal 2 14 2 36" xfId="53509"/>
    <cellStyle name="Normal 2 14 2 37" xfId="55261"/>
    <cellStyle name="Normal 2 14 2 38" xfId="57014"/>
    <cellStyle name="Normal 2 14 2 39" xfId="58766"/>
    <cellStyle name="Normal 2 14 2 4" xfId="870"/>
    <cellStyle name="Normal 2 14 2 4 10" xfId="15407"/>
    <cellStyle name="Normal 2 14 2 4 11" xfId="17160"/>
    <cellStyle name="Normal 2 14 2 4 12" xfId="18912"/>
    <cellStyle name="Normal 2 14 2 4 13" xfId="20665"/>
    <cellStyle name="Normal 2 14 2 4 14" xfId="22417"/>
    <cellStyle name="Normal 2 14 2 4 15" xfId="24169"/>
    <cellStyle name="Normal 2 14 2 4 16" xfId="25921"/>
    <cellStyle name="Normal 2 14 2 4 17" xfId="27673"/>
    <cellStyle name="Normal 2 14 2 4 18" xfId="29426"/>
    <cellStyle name="Normal 2 14 2 4 19" xfId="31178"/>
    <cellStyle name="Normal 2 14 2 4 2" xfId="871"/>
    <cellStyle name="Normal 2 14 2 4 2 10" xfId="18036"/>
    <cellStyle name="Normal 2 14 2 4 2 11" xfId="19788"/>
    <cellStyle name="Normal 2 14 2 4 2 12" xfId="21541"/>
    <cellStyle name="Normal 2 14 2 4 2 13" xfId="23293"/>
    <cellStyle name="Normal 2 14 2 4 2 14" xfId="25045"/>
    <cellStyle name="Normal 2 14 2 4 2 15" xfId="26797"/>
    <cellStyle name="Normal 2 14 2 4 2 16" xfId="28549"/>
    <cellStyle name="Normal 2 14 2 4 2 17" xfId="30302"/>
    <cellStyle name="Normal 2 14 2 4 2 18" xfId="32054"/>
    <cellStyle name="Normal 2 14 2 4 2 19" xfId="33807"/>
    <cellStyle name="Normal 2 14 2 4 2 2" xfId="4018"/>
    <cellStyle name="Normal 2 14 2 4 2 20" xfId="36443"/>
    <cellStyle name="Normal 2 14 2 4 2 21" xfId="38183"/>
    <cellStyle name="Normal 2 14 2 4 2 22" xfId="39936"/>
    <cellStyle name="Normal 2 14 2 4 2 23" xfId="41691"/>
    <cellStyle name="Normal 2 14 2 4 2 24" xfId="43443"/>
    <cellStyle name="Normal 2 14 2 4 2 25" xfId="46061"/>
    <cellStyle name="Normal 2 14 2 4 2 26" xfId="47813"/>
    <cellStyle name="Normal 2 14 2 4 2 27" xfId="49565"/>
    <cellStyle name="Normal 2 14 2 4 2 28" xfId="51317"/>
    <cellStyle name="Normal 2 14 2 4 2 29" xfId="53069"/>
    <cellStyle name="Normal 2 14 2 4 2 3" xfId="5770"/>
    <cellStyle name="Normal 2 14 2 4 2 30" xfId="54821"/>
    <cellStyle name="Normal 2 14 2 4 2 31" xfId="56573"/>
    <cellStyle name="Normal 2 14 2 4 2 32" xfId="58326"/>
    <cellStyle name="Normal 2 14 2 4 2 33" xfId="60078"/>
    <cellStyle name="Normal 2 14 2 4 2 34" xfId="61830"/>
    <cellStyle name="Normal 2 14 2 4 2 4" xfId="7522"/>
    <cellStyle name="Normal 2 14 2 4 2 5" xfId="9274"/>
    <cellStyle name="Normal 2 14 2 4 2 6" xfId="11027"/>
    <cellStyle name="Normal 2 14 2 4 2 7" xfId="12779"/>
    <cellStyle name="Normal 2 14 2 4 2 8" xfId="14531"/>
    <cellStyle name="Normal 2 14 2 4 2 9" xfId="16283"/>
    <cellStyle name="Normal 2 14 2 4 20" xfId="32931"/>
    <cellStyle name="Normal 2 14 2 4 21" xfId="34388"/>
    <cellStyle name="Normal 2 14 2 4 22" xfId="35567"/>
    <cellStyle name="Normal 2 14 2 4 23" xfId="37009"/>
    <cellStyle name="Normal 2 14 2 4 24" xfId="39060"/>
    <cellStyle name="Normal 2 14 2 4 25" xfId="40815"/>
    <cellStyle name="Normal 2 14 2 4 26" xfId="42567"/>
    <cellStyle name="Normal 2 14 2 4 27" xfId="44009"/>
    <cellStyle name="Normal 2 14 2 4 28" xfId="45185"/>
    <cellStyle name="Normal 2 14 2 4 29" xfId="46937"/>
    <cellStyle name="Normal 2 14 2 4 3" xfId="3142"/>
    <cellStyle name="Normal 2 14 2 4 30" xfId="48689"/>
    <cellStyle name="Normal 2 14 2 4 31" xfId="50441"/>
    <cellStyle name="Normal 2 14 2 4 32" xfId="52193"/>
    <cellStyle name="Normal 2 14 2 4 33" xfId="53945"/>
    <cellStyle name="Normal 2 14 2 4 34" xfId="55697"/>
    <cellStyle name="Normal 2 14 2 4 35" xfId="57450"/>
    <cellStyle name="Normal 2 14 2 4 36" xfId="59202"/>
    <cellStyle name="Normal 2 14 2 4 37" xfId="60954"/>
    <cellStyle name="Normal 2 14 2 4 38" xfId="62396"/>
    <cellStyle name="Normal 2 14 2 4 39" xfId="63262"/>
    <cellStyle name="Normal 2 14 2 4 4" xfId="4894"/>
    <cellStyle name="Normal 2 14 2 4 5" xfId="6646"/>
    <cellStyle name="Normal 2 14 2 4 6" xfId="8398"/>
    <cellStyle name="Normal 2 14 2 4 7" xfId="10151"/>
    <cellStyle name="Normal 2 14 2 4 8" xfId="11903"/>
    <cellStyle name="Normal 2 14 2 4 9" xfId="13655"/>
    <cellStyle name="Normal 2 14 2 40" xfId="60518"/>
    <cellStyle name="Normal 2 14 2 41" xfId="62389"/>
    <cellStyle name="Normal 2 14 2 42" xfId="63255"/>
    <cellStyle name="Normal 2 14 2 5" xfId="872"/>
    <cellStyle name="Normal 2 14 2 5 10" xfId="17600"/>
    <cellStyle name="Normal 2 14 2 5 11" xfId="19352"/>
    <cellStyle name="Normal 2 14 2 5 12" xfId="21105"/>
    <cellStyle name="Normal 2 14 2 5 13" xfId="22857"/>
    <cellStyle name="Normal 2 14 2 5 14" xfId="24609"/>
    <cellStyle name="Normal 2 14 2 5 15" xfId="26361"/>
    <cellStyle name="Normal 2 14 2 5 16" xfId="28113"/>
    <cellStyle name="Normal 2 14 2 5 17" xfId="29866"/>
    <cellStyle name="Normal 2 14 2 5 18" xfId="31618"/>
    <cellStyle name="Normal 2 14 2 5 19" xfId="33371"/>
    <cellStyle name="Normal 2 14 2 5 2" xfId="3582"/>
    <cellStyle name="Normal 2 14 2 5 20" xfId="36007"/>
    <cellStyle name="Normal 2 14 2 5 21" xfId="37728"/>
    <cellStyle name="Normal 2 14 2 5 22" xfId="39500"/>
    <cellStyle name="Normal 2 14 2 5 23" xfId="41255"/>
    <cellStyle name="Normal 2 14 2 5 24" xfId="43007"/>
    <cellStyle name="Normal 2 14 2 5 25" xfId="45625"/>
    <cellStyle name="Normal 2 14 2 5 26" xfId="47377"/>
    <cellStyle name="Normal 2 14 2 5 27" xfId="49129"/>
    <cellStyle name="Normal 2 14 2 5 28" xfId="50881"/>
    <cellStyle name="Normal 2 14 2 5 29" xfId="52633"/>
    <cellStyle name="Normal 2 14 2 5 3" xfId="5334"/>
    <cellStyle name="Normal 2 14 2 5 30" xfId="54385"/>
    <cellStyle name="Normal 2 14 2 5 31" xfId="56137"/>
    <cellStyle name="Normal 2 14 2 5 32" xfId="57890"/>
    <cellStyle name="Normal 2 14 2 5 33" xfId="59642"/>
    <cellStyle name="Normal 2 14 2 5 34" xfId="61394"/>
    <cellStyle name="Normal 2 14 2 5 4" xfId="7086"/>
    <cellStyle name="Normal 2 14 2 5 5" xfId="8838"/>
    <cellStyle name="Normal 2 14 2 5 6" xfId="10591"/>
    <cellStyle name="Normal 2 14 2 5 7" xfId="12343"/>
    <cellStyle name="Normal 2 14 2 5 8" xfId="14095"/>
    <cellStyle name="Normal 2 14 2 5 9" xfId="15847"/>
    <cellStyle name="Normal 2 14 2 6" xfId="2706"/>
    <cellStyle name="Normal 2 14 2 7" xfId="4458"/>
    <cellStyle name="Normal 2 14 2 8" xfId="6210"/>
    <cellStyle name="Normal 2 14 2 9" xfId="7962"/>
    <cellStyle name="Normal 2 14 20" xfId="25430"/>
    <cellStyle name="Normal 2 14 21" xfId="27182"/>
    <cellStyle name="Normal 2 14 22" xfId="28935"/>
    <cellStyle name="Normal 2 14 23" xfId="30687"/>
    <cellStyle name="Normal 2 14 24" xfId="32440"/>
    <cellStyle name="Normal 2 14 25" xfId="34380"/>
    <cellStyle name="Normal 2 14 26" xfId="35076"/>
    <cellStyle name="Normal 2 14 27" xfId="37001"/>
    <cellStyle name="Normal 2 14 28" xfId="38569"/>
    <cellStyle name="Normal 2 14 29" xfId="40324"/>
    <cellStyle name="Normal 2 14 3" xfId="873"/>
    <cellStyle name="Normal 2 14 3 10" xfId="11520"/>
    <cellStyle name="Normal 2 14 3 11" xfId="13272"/>
    <cellStyle name="Normal 2 14 3 12" xfId="15024"/>
    <cellStyle name="Normal 2 14 3 13" xfId="16777"/>
    <cellStyle name="Normal 2 14 3 14" xfId="18529"/>
    <cellStyle name="Normal 2 14 3 15" xfId="20282"/>
    <cellStyle name="Normal 2 14 3 16" xfId="22034"/>
    <cellStyle name="Normal 2 14 3 17" xfId="23786"/>
    <cellStyle name="Normal 2 14 3 18" xfId="25538"/>
    <cellStyle name="Normal 2 14 3 19" xfId="27290"/>
    <cellStyle name="Normal 2 14 3 2" xfId="874"/>
    <cellStyle name="Normal 2 14 3 2 10" xfId="13412"/>
    <cellStyle name="Normal 2 14 3 2 11" xfId="15164"/>
    <cellStyle name="Normal 2 14 3 2 12" xfId="16917"/>
    <cellStyle name="Normal 2 14 3 2 13" xfId="18669"/>
    <cellStyle name="Normal 2 14 3 2 14" xfId="20422"/>
    <cellStyle name="Normal 2 14 3 2 15" xfId="22174"/>
    <cellStyle name="Normal 2 14 3 2 16" xfId="23926"/>
    <cellStyle name="Normal 2 14 3 2 17" xfId="25678"/>
    <cellStyle name="Normal 2 14 3 2 18" xfId="27430"/>
    <cellStyle name="Normal 2 14 3 2 19" xfId="29183"/>
    <cellStyle name="Normal 2 14 3 2 2" xfId="875"/>
    <cellStyle name="Normal 2 14 3 2 2 10" xfId="15600"/>
    <cellStyle name="Normal 2 14 3 2 2 11" xfId="17353"/>
    <cellStyle name="Normal 2 14 3 2 2 12" xfId="19105"/>
    <cellStyle name="Normal 2 14 3 2 2 13" xfId="20858"/>
    <cellStyle name="Normal 2 14 3 2 2 14" xfId="22610"/>
    <cellStyle name="Normal 2 14 3 2 2 15" xfId="24362"/>
    <cellStyle name="Normal 2 14 3 2 2 16" xfId="26114"/>
    <cellStyle name="Normal 2 14 3 2 2 17" xfId="27866"/>
    <cellStyle name="Normal 2 14 3 2 2 18" xfId="29619"/>
    <cellStyle name="Normal 2 14 3 2 2 19" xfId="31371"/>
    <cellStyle name="Normal 2 14 3 2 2 2" xfId="876"/>
    <cellStyle name="Normal 2 14 3 2 2 2 10" xfId="18229"/>
    <cellStyle name="Normal 2 14 3 2 2 2 11" xfId="19981"/>
    <cellStyle name="Normal 2 14 3 2 2 2 12" xfId="21734"/>
    <cellStyle name="Normal 2 14 3 2 2 2 13" xfId="23486"/>
    <cellStyle name="Normal 2 14 3 2 2 2 14" xfId="25238"/>
    <cellStyle name="Normal 2 14 3 2 2 2 15" xfId="26990"/>
    <cellStyle name="Normal 2 14 3 2 2 2 16" xfId="28742"/>
    <cellStyle name="Normal 2 14 3 2 2 2 17" xfId="30495"/>
    <cellStyle name="Normal 2 14 3 2 2 2 18" xfId="32247"/>
    <cellStyle name="Normal 2 14 3 2 2 2 19" xfId="34000"/>
    <cellStyle name="Normal 2 14 3 2 2 2 2" xfId="4211"/>
    <cellStyle name="Normal 2 14 3 2 2 2 20" xfId="36636"/>
    <cellStyle name="Normal 2 14 3 2 2 2 21" xfId="38376"/>
    <cellStyle name="Normal 2 14 3 2 2 2 22" xfId="40129"/>
    <cellStyle name="Normal 2 14 3 2 2 2 23" xfId="41884"/>
    <cellStyle name="Normal 2 14 3 2 2 2 24" xfId="43636"/>
    <cellStyle name="Normal 2 14 3 2 2 2 25" xfId="46254"/>
    <cellStyle name="Normal 2 14 3 2 2 2 26" xfId="48006"/>
    <cellStyle name="Normal 2 14 3 2 2 2 27" xfId="49758"/>
    <cellStyle name="Normal 2 14 3 2 2 2 28" xfId="51510"/>
    <cellStyle name="Normal 2 14 3 2 2 2 29" xfId="53262"/>
    <cellStyle name="Normal 2 14 3 2 2 2 3" xfId="5963"/>
    <cellStyle name="Normal 2 14 3 2 2 2 30" xfId="55014"/>
    <cellStyle name="Normal 2 14 3 2 2 2 31" xfId="56766"/>
    <cellStyle name="Normal 2 14 3 2 2 2 32" xfId="58519"/>
    <cellStyle name="Normal 2 14 3 2 2 2 33" xfId="60271"/>
    <cellStyle name="Normal 2 14 3 2 2 2 34" xfId="62023"/>
    <cellStyle name="Normal 2 14 3 2 2 2 4" xfId="7715"/>
    <cellStyle name="Normal 2 14 3 2 2 2 5" xfId="9467"/>
    <cellStyle name="Normal 2 14 3 2 2 2 6" xfId="11220"/>
    <cellStyle name="Normal 2 14 3 2 2 2 7" xfId="12972"/>
    <cellStyle name="Normal 2 14 3 2 2 2 8" xfId="14724"/>
    <cellStyle name="Normal 2 14 3 2 2 2 9" xfId="16476"/>
    <cellStyle name="Normal 2 14 3 2 2 20" xfId="33124"/>
    <cellStyle name="Normal 2 14 3 2 2 21" xfId="34391"/>
    <cellStyle name="Normal 2 14 3 2 2 22" xfId="35760"/>
    <cellStyle name="Normal 2 14 3 2 2 23" xfId="37012"/>
    <cellStyle name="Normal 2 14 3 2 2 24" xfId="39253"/>
    <cellStyle name="Normal 2 14 3 2 2 25" xfId="41008"/>
    <cellStyle name="Normal 2 14 3 2 2 26" xfId="42760"/>
    <cellStyle name="Normal 2 14 3 2 2 27" xfId="44012"/>
    <cellStyle name="Normal 2 14 3 2 2 28" xfId="45378"/>
    <cellStyle name="Normal 2 14 3 2 2 29" xfId="47130"/>
    <cellStyle name="Normal 2 14 3 2 2 3" xfId="3335"/>
    <cellStyle name="Normal 2 14 3 2 2 30" xfId="48882"/>
    <cellStyle name="Normal 2 14 3 2 2 31" xfId="50634"/>
    <cellStyle name="Normal 2 14 3 2 2 32" xfId="52386"/>
    <cellStyle name="Normal 2 14 3 2 2 33" xfId="54138"/>
    <cellStyle name="Normal 2 14 3 2 2 34" xfId="55890"/>
    <cellStyle name="Normal 2 14 3 2 2 35" xfId="57643"/>
    <cellStyle name="Normal 2 14 3 2 2 36" xfId="59395"/>
    <cellStyle name="Normal 2 14 3 2 2 37" xfId="61147"/>
    <cellStyle name="Normal 2 14 3 2 2 38" xfId="62399"/>
    <cellStyle name="Normal 2 14 3 2 2 39" xfId="63265"/>
    <cellStyle name="Normal 2 14 3 2 2 4" xfId="5087"/>
    <cellStyle name="Normal 2 14 3 2 2 5" xfId="6839"/>
    <cellStyle name="Normal 2 14 3 2 2 6" xfId="8591"/>
    <cellStyle name="Normal 2 14 3 2 2 7" xfId="10344"/>
    <cellStyle name="Normal 2 14 3 2 2 8" xfId="12096"/>
    <cellStyle name="Normal 2 14 3 2 2 9" xfId="13848"/>
    <cellStyle name="Normal 2 14 3 2 20" xfId="30935"/>
    <cellStyle name="Normal 2 14 3 2 21" xfId="32688"/>
    <cellStyle name="Normal 2 14 3 2 22" xfId="34390"/>
    <cellStyle name="Normal 2 14 3 2 23" xfId="35324"/>
    <cellStyle name="Normal 2 14 3 2 24" xfId="37011"/>
    <cellStyle name="Normal 2 14 3 2 25" xfId="38817"/>
    <cellStyle name="Normal 2 14 3 2 26" xfId="40572"/>
    <cellStyle name="Normal 2 14 3 2 27" xfId="42324"/>
    <cellStyle name="Normal 2 14 3 2 28" xfId="44011"/>
    <cellStyle name="Normal 2 14 3 2 29" xfId="44942"/>
    <cellStyle name="Normal 2 14 3 2 3" xfId="877"/>
    <cellStyle name="Normal 2 14 3 2 3 10" xfId="17793"/>
    <cellStyle name="Normal 2 14 3 2 3 11" xfId="19545"/>
    <cellStyle name="Normal 2 14 3 2 3 12" xfId="21298"/>
    <cellStyle name="Normal 2 14 3 2 3 13" xfId="23050"/>
    <cellStyle name="Normal 2 14 3 2 3 14" xfId="24802"/>
    <cellStyle name="Normal 2 14 3 2 3 15" xfId="26554"/>
    <cellStyle name="Normal 2 14 3 2 3 16" xfId="28306"/>
    <cellStyle name="Normal 2 14 3 2 3 17" xfId="30059"/>
    <cellStyle name="Normal 2 14 3 2 3 18" xfId="31811"/>
    <cellStyle name="Normal 2 14 3 2 3 19" xfId="33564"/>
    <cellStyle name="Normal 2 14 3 2 3 2" xfId="3775"/>
    <cellStyle name="Normal 2 14 3 2 3 20" xfId="36200"/>
    <cellStyle name="Normal 2 14 3 2 3 21" xfId="37940"/>
    <cellStyle name="Normal 2 14 3 2 3 22" xfId="39693"/>
    <cellStyle name="Normal 2 14 3 2 3 23" xfId="41448"/>
    <cellStyle name="Normal 2 14 3 2 3 24" xfId="43200"/>
    <cellStyle name="Normal 2 14 3 2 3 25" xfId="45818"/>
    <cellStyle name="Normal 2 14 3 2 3 26" xfId="47570"/>
    <cellStyle name="Normal 2 14 3 2 3 27" xfId="49322"/>
    <cellStyle name="Normal 2 14 3 2 3 28" xfId="51074"/>
    <cellStyle name="Normal 2 14 3 2 3 29" xfId="52826"/>
    <cellStyle name="Normal 2 14 3 2 3 3" xfId="5527"/>
    <cellStyle name="Normal 2 14 3 2 3 30" xfId="54578"/>
    <cellStyle name="Normal 2 14 3 2 3 31" xfId="56330"/>
    <cellStyle name="Normal 2 14 3 2 3 32" xfId="58083"/>
    <cellStyle name="Normal 2 14 3 2 3 33" xfId="59835"/>
    <cellStyle name="Normal 2 14 3 2 3 34" xfId="61587"/>
    <cellStyle name="Normal 2 14 3 2 3 4" xfId="7279"/>
    <cellStyle name="Normal 2 14 3 2 3 5" xfId="9031"/>
    <cellStyle name="Normal 2 14 3 2 3 6" xfId="10784"/>
    <cellStyle name="Normal 2 14 3 2 3 7" xfId="12536"/>
    <cellStyle name="Normal 2 14 3 2 3 8" xfId="14288"/>
    <cellStyle name="Normal 2 14 3 2 3 9" xfId="16040"/>
    <cellStyle name="Normal 2 14 3 2 30" xfId="46694"/>
    <cellStyle name="Normal 2 14 3 2 31" xfId="48446"/>
    <cellStyle name="Normal 2 14 3 2 32" xfId="50198"/>
    <cellStyle name="Normal 2 14 3 2 33" xfId="51950"/>
    <cellStyle name="Normal 2 14 3 2 34" xfId="53702"/>
    <cellStyle name="Normal 2 14 3 2 35" xfId="55454"/>
    <cellStyle name="Normal 2 14 3 2 36" xfId="57207"/>
    <cellStyle name="Normal 2 14 3 2 37" xfId="58959"/>
    <cellStyle name="Normal 2 14 3 2 38" xfId="60711"/>
    <cellStyle name="Normal 2 14 3 2 39" xfId="62398"/>
    <cellStyle name="Normal 2 14 3 2 4" xfId="2899"/>
    <cellStyle name="Normal 2 14 3 2 40" xfId="63264"/>
    <cellStyle name="Normal 2 14 3 2 5" xfId="4651"/>
    <cellStyle name="Normal 2 14 3 2 6" xfId="6403"/>
    <cellStyle name="Normal 2 14 3 2 7" xfId="8155"/>
    <cellStyle name="Normal 2 14 3 2 8" xfId="9908"/>
    <cellStyle name="Normal 2 14 3 2 9" xfId="11660"/>
    <cellStyle name="Normal 2 14 3 20" xfId="29043"/>
    <cellStyle name="Normal 2 14 3 21" xfId="30795"/>
    <cellStyle name="Normal 2 14 3 22" xfId="32548"/>
    <cellStyle name="Normal 2 14 3 23" xfId="34389"/>
    <cellStyle name="Normal 2 14 3 24" xfId="35184"/>
    <cellStyle name="Normal 2 14 3 25" xfId="37010"/>
    <cellStyle name="Normal 2 14 3 26" xfId="38677"/>
    <cellStyle name="Normal 2 14 3 27" xfId="40432"/>
    <cellStyle name="Normal 2 14 3 28" xfId="42184"/>
    <cellStyle name="Normal 2 14 3 29" xfId="44010"/>
    <cellStyle name="Normal 2 14 3 3" xfId="878"/>
    <cellStyle name="Normal 2 14 3 3 10" xfId="15460"/>
    <cellStyle name="Normal 2 14 3 3 11" xfId="17213"/>
    <cellStyle name="Normal 2 14 3 3 12" xfId="18965"/>
    <cellStyle name="Normal 2 14 3 3 13" xfId="20718"/>
    <cellStyle name="Normal 2 14 3 3 14" xfId="22470"/>
    <cellStyle name="Normal 2 14 3 3 15" xfId="24222"/>
    <cellStyle name="Normal 2 14 3 3 16" xfId="25974"/>
    <cellStyle name="Normal 2 14 3 3 17" xfId="27726"/>
    <cellStyle name="Normal 2 14 3 3 18" xfId="29479"/>
    <cellStyle name="Normal 2 14 3 3 19" xfId="31231"/>
    <cellStyle name="Normal 2 14 3 3 2" xfId="879"/>
    <cellStyle name="Normal 2 14 3 3 2 10" xfId="18089"/>
    <cellStyle name="Normal 2 14 3 3 2 11" xfId="19841"/>
    <cellStyle name="Normal 2 14 3 3 2 12" xfId="21594"/>
    <cellStyle name="Normal 2 14 3 3 2 13" xfId="23346"/>
    <cellStyle name="Normal 2 14 3 3 2 14" xfId="25098"/>
    <cellStyle name="Normal 2 14 3 3 2 15" xfId="26850"/>
    <cellStyle name="Normal 2 14 3 3 2 16" xfId="28602"/>
    <cellStyle name="Normal 2 14 3 3 2 17" xfId="30355"/>
    <cellStyle name="Normal 2 14 3 3 2 18" xfId="32107"/>
    <cellStyle name="Normal 2 14 3 3 2 19" xfId="33860"/>
    <cellStyle name="Normal 2 14 3 3 2 2" xfId="4071"/>
    <cellStyle name="Normal 2 14 3 3 2 20" xfId="36496"/>
    <cellStyle name="Normal 2 14 3 3 2 21" xfId="38236"/>
    <cellStyle name="Normal 2 14 3 3 2 22" xfId="39989"/>
    <cellStyle name="Normal 2 14 3 3 2 23" xfId="41744"/>
    <cellStyle name="Normal 2 14 3 3 2 24" xfId="43496"/>
    <cellStyle name="Normal 2 14 3 3 2 25" xfId="46114"/>
    <cellStyle name="Normal 2 14 3 3 2 26" xfId="47866"/>
    <cellStyle name="Normal 2 14 3 3 2 27" xfId="49618"/>
    <cellStyle name="Normal 2 14 3 3 2 28" xfId="51370"/>
    <cellStyle name="Normal 2 14 3 3 2 29" xfId="53122"/>
    <cellStyle name="Normal 2 14 3 3 2 3" xfId="5823"/>
    <cellStyle name="Normal 2 14 3 3 2 30" xfId="54874"/>
    <cellStyle name="Normal 2 14 3 3 2 31" xfId="56626"/>
    <cellStyle name="Normal 2 14 3 3 2 32" xfId="58379"/>
    <cellStyle name="Normal 2 14 3 3 2 33" xfId="60131"/>
    <cellStyle name="Normal 2 14 3 3 2 34" xfId="61883"/>
    <cellStyle name="Normal 2 14 3 3 2 4" xfId="7575"/>
    <cellStyle name="Normal 2 14 3 3 2 5" xfId="9327"/>
    <cellStyle name="Normal 2 14 3 3 2 6" xfId="11080"/>
    <cellStyle name="Normal 2 14 3 3 2 7" xfId="12832"/>
    <cellStyle name="Normal 2 14 3 3 2 8" xfId="14584"/>
    <cellStyle name="Normal 2 14 3 3 2 9" xfId="16336"/>
    <cellStyle name="Normal 2 14 3 3 20" xfId="32984"/>
    <cellStyle name="Normal 2 14 3 3 21" xfId="34392"/>
    <cellStyle name="Normal 2 14 3 3 22" xfId="35620"/>
    <cellStyle name="Normal 2 14 3 3 23" xfId="37013"/>
    <cellStyle name="Normal 2 14 3 3 24" xfId="39113"/>
    <cellStyle name="Normal 2 14 3 3 25" xfId="40868"/>
    <cellStyle name="Normal 2 14 3 3 26" xfId="42620"/>
    <cellStyle name="Normal 2 14 3 3 27" xfId="44013"/>
    <cellStyle name="Normal 2 14 3 3 28" xfId="45238"/>
    <cellStyle name="Normal 2 14 3 3 29" xfId="46990"/>
    <cellStyle name="Normal 2 14 3 3 3" xfId="3195"/>
    <cellStyle name="Normal 2 14 3 3 30" xfId="48742"/>
    <cellStyle name="Normal 2 14 3 3 31" xfId="50494"/>
    <cellStyle name="Normal 2 14 3 3 32" xfId="52246"/>
    <cellStyle name="Normal 2 14 3 3 33" xfId="53998"/>
    <cellStyle name="Normal 2 14 3 3 34" xfId="55750"/>
    <cellStyle name="Normal 2 14 3 3 35" xfId="57503"/>
    <cellStyle name="Normal 2 14 3 3 36" xfId="59255"/>
    <cellStyle name="Normal 2 14 3 3 37" xfId="61007"/>
    <cellStyle name="Normal 2 14 3 3 38" xfId="62400"/>
    <cellStyle name="Normal 2 14 3 3 39" xfId="63266"/>
    <cellStyle name="Normal 2 14 3 3 4" xfId="4947"/>
    <cellStyle name="Normal 2 14 3 3 5" xfId="6699"/>
    <cellStyle name="Normal 2 14 3 3 6" xfId="8451"/>
    <cellStyle name="Normal 2 14 3 3 7" xfId="10204"/>
    <cellStyle name="Normal 2 14 3 3 8" xfId="11956"/>
    <cellStyle name="Normal 2 14 3 3 9" xfId="13708"/>
    <cellStyle name="Normal 2 14 3 30" xfId="44802"/>
    <cellStyle name="Normal 2 14 3 31" xfId="46554"/>
    <cellStyle name="Normal 2 14 3 32" xfId="48306"/>
    <cellStyle name="Normal 2 14 3 33" xfId="50058"/>
    <cellStyle name="Normal 2 14 3 34" xfId="51810"/>
    <cellStyle name="Normal 2 14 3 35" xfId="53562"/>
    <cellStyle name="Normal 2 14 3 36" xfId="55314"/>
    <cellStyle name="Normal 2 14 3 37" xfId="57067"/>
    <cellStyle name="Normal 2 14 3 38" xfId="58819"/>
    <cellStyle name="Normal 2 14 3 39" xfId="60571"/>
    <cellStyle name="Normal 2 14 3 4" xfId="880"/>
    <cellStyle name="Normal 2 14 3 4 10" xfId="17653"/>
    <cellStyle name="Normal 2 14 3 4 11" xfId="19405"/>
    <cellStyle name="Normal 2 14 3 4 12" xfId="21158"/>
    <cellStyle name="Normal 2 14 3 4 13" xfId="22910"/>
    <cellStyle name="Normal 2 14 3 4 14" xfId="24662"/>
    <cellStyle name="Normal 2 14 3 4 15" xfId="26414"/>
    <cellStyle name="Normal 2 14 3 4 16" xfId="28166"/>
    <cellStyle name="Normal 2 14 3 4 17" xfId="29919"/>
    <cellStyle name="Normal 2 14 3 4 18" xfId="31671"/>
    <cellStyle name="Normal 2 14 3 4 19" xfId="33424"/>
    <cellStyle name="Normal 2 14 3 4 2" xfId="3635"/>
    <cellStyle name="Normal 2 14 3 4 20" xfId="36060"/>
    <cellStyle name="Normal 2 14 3 4 21" xfId="37800"/>
    <cellStyle name="Normal 2 14 3 4 22" xfId="39553"/>
    <cellStyle name="Normal 2 14 3 4 23" xfId="41308"/>
    <cellStyle name="Normal 2 14 3 4 24" xfId="43060"/>
    <cellStyle name="Normal 2 14 3 4 25" xfId="45678"/>
    <cellStyle name="Normal 2 14 3 4 26" xfId="47430"/>
    <cellStyle name="Normal 2 14 3 4 27" xfId="49182"/>
    <cellStyle name="Normal 2 14 3 4 28" xfId="50934"/>
    <cellStyle name="Normal 2 14 3 4 29" xfId="52686"/>
    <cellStyle name="Normal 2 14 3 4 3" xfId="5387"/>
    <cellStyle name="Normal 2 14 3 4 30" xfId="54438"/>
    <cellStyle name="Normal 2 14 3 4 31" xfId="56190"/>
    <cellStyle name="Normal 2 14 3 4 32" xfId="57943"/>
    <cellStyle name="Normal 2 14 3 4 33" xfId="59695"/>
    <cellStyle name="Normal 2 14 3 4 34" xfId="61447"/>
    <cellStyle name="Normal 2 14 3 4 4" xfId="7139"/>
    <cellStyle name="Normal 2 14 3 4 5" xfId="8891"/>
    <cellStyle name="Normal 2 14 3 4 6" xfId="10644"/>
    <cellStyle name="Normal 2 14 3 4 7" xfId="12396"/>
    <cellStyle name="Normal 2 14 3 4 8" xfId="14148"/>
    <cellStyle name="Normal 2 14 3 4 9" xfId="15900"/>
    <cellStyle name="Normal 2 14 3 40" xfId="62397"/>
    <cellStyle name="Normal 2 14 3 41" xfId="63263"/>
    <cellStyle name="Normal 2 14 3 5" xfId="2759"/>
    <cellStyle name="Normal 2 14 3 6" xfId="4511"/>
    <cellStyle name="Normal 2 14 3 7" xfId="6263"/>
    <cellStyle name="Normal 2 14 3 8" xfId="8015"/>
    <cellStyle name="Normal 2 14 3 9" xfId="9768"/>
    <cellStyle name="Normal 2 14 30" xfId="42076"/>
    <cellStyle name="Normal 2 14 31" xfId="44001"/>
    <cellStyle name="Normal 2 14 32" xfId="44694"/>
    <cellStyle name="Normal 2 14 33" xfId="46446"/>
    <cellStyle name="Normal 2 14 34" xfId="48198"/>
    <cellStyle name="Normal 2 14 35" xfId="49950"/>
    <cellStyle name="Normal 2 14 36" xfId="51702"/>
    <cellStyle name="Normal 2 14 37" xfId="53454"/>
    <cellStyle name="Normal 2 14 38" xfId="55206"/>
    <cellStyle name="Normal 2 14 39" xfId="56959"/>
    <cellStyle name="Normal 2 14 4" xfId="881"/>
    <cellStyle name="Normal 2 14 4 10" xfId="13413"/>
    <cellStyle name="Normal 2 14 4 11" xfId="15165"/>
    <cellStyle name="Normal 2 14 4 12" xfId="16918"/>
    <cellStyle name="Normal 2 14 4 13" xfId="18670"/>
    <cellStyle name="Normal 2 14 4 14" xfId="20423"/>
    <cellStyle name="Normal 2 14 4 15" xfId="22175"/>
    <cellStyle name="Normal 2 14 4 16" xfId="23927"/>
    <cellStyle name="Normal 2 14 4 17" xfId="25679"/>
    <cellStyle name="Normal 2 14 4 18" xfId="27431"/>
    <cellStyle name="Normal 2 14 4 19" xfId="29184"/>
    <cellStyle name="Normal 2 14 4 2" xfId="882"/>
    <cellStyle name="Normal 2 14 4 2 10" xfId="15601"/>
    <cellStyle name="Normal 2 14 4 2 11" xfId="17354"/>
    <cellStyle name="Normal 2 14 4 2 12" xfId="19106"/>
    <cellStyle name="Normal 2 14 4 2 13" xfId="20859"/>
    <cellStyle name="Normal 2 14 4 2 14" xfId="22611"/>
    <cellStyle name="Normal 2 14 4 2 15" xfId="24363"/>
    <cellStyle name="Normal 2 14 4 2 16" xfId="26115"/>
    <cellStyle name="Normal 2 14 4 2 17" xfId="27867"/>
    <cellStyle name="Normal 2 14 4 2 18" xfId="29620"/>
    <cellStyle name="Normal 2 14 4 2 19" xfId="31372"/>
    <cellStyle name="Normal 2 14 4 2 2" xfId="883"/>
    <cellStyle name="Normal 2 14 4 2 2 10" xfId="18230"/>
    <cellStyle name="Normal 2 14 4 2 2 11" xfId="19982"/>
    <cellStyle name="Normal 2 14 4 2 2 12" xfId="21735"/>
    <cellStyle name="Normal 2 14 4 2 2 13" xfId="23487"/>
    <cellStyle name="Normal 2 14 4 2 2 14" xfId="25239"/>
    <cellStyle name="Normal 2 14 4 2 2 15" xfId="26991"/>
    <cellStyle name="Normal 2 14 4 2 2 16" xfId="28743"/>
    <cellStyle name="Normal 2 14 4 2 2 17" xfId="30496"/>
    <cellStyle name="Normal 2 14 4 2 2 18" xfId="32248"/>
    <cellStyle name="Normal 2 14 4 2 2 19" xfId="34001"/>
    <cellStyle name="Normal 2 14 4 2 2 2" xfId="4212"/>
    <cellStyle name="Normal 2 14 4 2 2 20" xfId="36637"/>
    <cellStyle name="Normal 2 14 4 2 2 21" xfId="38377"/>
    <cellStyle name="Normal 2 14 4 2 2 22" xfId="40130"/>
    <cellStyle name="Normal 2 14 4 2 2 23" xfId="41885"/>
    <cellStyle name="Normal 2 14 4 2 2 24" xfId="43637"/>
    <cellStyle name="Normal 2 14 4 2 2 25" xfId="46255"/>
    <cellStyle name="Normal 2 14 4 2 2 26" xfId="48007"/>
    <cellStyle name="Normal 2 14 4 2 2 27" xfId="49759"/>
    <cellStyle name="Normal 2 14 4 2 2 28" xfId="51511"/>
    <cellStyle name="Normal 2 14 4 2 2 29" xfId="53263"/>
    <cellStyle name="Normal 2 14 4 2 2 3" xfId="5964"/>
    <cellStyle name="Normal 2 14 4 2 2 30" xfId="55015"/>
    <cellStyle name="Normal 2 14 4 2 2 31" xfId="56767"/>
    <cellStyle name="Normal 2 14 4 2 2 32" xfId="58520"/>
    <cellStyle name="Normal 2 14 4 2 2 33" xfId="60272"/>
    <cellStyle name="Normal 2 14 4 2 2 34" xfId="62024"/>
    <cellStyle name="Normal 2 14 4 2 2 4" xfId="7716"/>
    <cellStyle name="Normal 2 14 4 2 2 5" xfId="9468"/>
    <cellStyle name="Normal 2 14 4 2 2 6" xfId="11221"/>
    <cellStyle name="Normal 2 14 4 2 2 7" xfId="12973"/>
    <cellStyle name="Normal 2 14 4 2 2 8" xfId="14725"/>
    <cellStyle name="Normal 2 14 4 2 2 9" xfId="16477"/>
    <cellStyle name="Normal 2 14 4 2 20" xfId="33125"/>
    <cellStyle name="Normal 2 14 4 2 21" xfId="34394"/>
    <cellStyle name="Normal 2 14 4 2 22" xfId="35761"/>
    <cellStyle name="Normal 2 14 4 2 23" xfId="37015"/>
    <cellStyle name="Normal 2 14 4 2 24" xfId="39254"/>
    <cellStyle name="Normal 2 14 4 2 25" xfId="41009"/>
    <cellStyle name="Normal 2 14 4 2 26" xfId="42761"/>
    <cellStyle name="Normal 2 14 4 2 27" xfId="44015"/>
    <cellStyle name="Normal 2 14 4 2 28" xfId="45379"/>
    <cellStyle name="Normal 2 14 4 2 29" xfId="47131"/>
    <cellStyle name="Normal 2 14 4 2 3" xfId="3336"/>
    <cellStyle name="Normal 2 14 4 2 30" xfId="48883"/>
    <cellStyle name="Normal 2 14 4 2 31" xfId="50635"/>
    <cellStyle name="Normal 2 14 4 2 32" xfId="52387"/>
    <cellStyle name="Normal 2 14 4 2 33" xfId="54139"/>
    <cellStyle name="Normal 2 14 4 2 34" xfId="55891"/>
    <cellStyle name="Normal 2 14 4 2 35" xfId="57644"/>
    <cellStyle name="Normal 2 14 4 2 36" xfId="59396"/>
    <cellStyle name="Normal 2 14 4 2 37" xfId="61148"/>
    <cellStyle name="Normal 2 14 4 2 38" xfId="62402"/>
    <cellStyle name="Normal 2 14 4 2 39" xfId="63268"/>
    <cellStyle name="Normal 2 14 4 2 4" xfId="5088"/>
    <cellStyle name="Normal 2 14 4 2 5" xfId="6840"/>
    <cellStyle name="Normal 2 14 4 2 6" xfId="8592"/>
    <cellStyle name="Normal 2 14 4 2 7" xfId="10345"/>
    <cellStyle name="Normal 2 14 4 2 8" xfId="12097"/>
    <cellStyle name="Normal 2 14 4 2 9" xfId="13849"/>
    <cellStyle name="Normal 2 14 4 20" xfId="30936"/>
    <cellStyle name="Normal 2 14 4 21" xfId="32689"/>
    <cellStyle name="Normal 2 14 4 22" xfId="34393"/>
    <cellStyle name="Normal 2 14 4 23" xfId="35325"/>
    <cellStyle name="Normal 2 14 4 24" xfId="37014"/>
    <cellStyle name="Normal 2 14 4 25" xfId="38818"/>
    <cellStyle name="Normal 2 14 4 26" xfId="40573"/>
    <cellStyle name="Normal 2 14 4 27" xfId="42325"/>
    <cellStyle name="Normal 2 14 4 28" xfId="44014"/>
    <cellStyle name="Normal 2 14 4 29" xfId="44943"/>
    <cellStyle name="Normal 2 14 4 3" xfId="884"/>
    <cellStyle name="Normal 2 14 4 3 10" xfId="17794"/>
    <cellStyle name="Normal 2 14 4 3 11" xfId="19546"/>
    <cellStyle name="Normal 2 14 4 3 12" xfId="21299"/>
    <cellStyle name="Normal 2 14 4 3 13" xfId="23051"/>
    <cellStyle name="Normal 2 14 4 3 14" xfId="24803"/>
    <cellStyle name="Normal 2 14 4 3 15" xfId="26555"/>
    <cellStyle name="Normal 2 14 4 3 16" xfId="28307"/>
    <cellStyle name="Normal 2 14 4 3 17" xfId="30060"/>
    <cellStyle name="Normal 2 14 4 3 18" xfId="31812"/>
    <cellStyle name="Normal 2 14 4 3 19" xfId="33565"/>
    <cellStyle name="Normal 2 14 4 3 2" xfId="3776"/>
    <cellStyle name="Normal 2 14 4 3 20" xfId="36201"/>
    <cellStyle name="Normal 2 14 4 3 21" xfId="37941"/>
    <cellStyle name="Normal 2 14 4 3 22" xfId="39694"/>
    <cellStyle name="Normal 2 14 4 3 23" xfId="41449"/>
    <cellStyle name="Normal 2 14 4 3 24" xfId="43201"/>
    <cellStyle name="Normal 2 14 4 3 25" xfId="45819"/>
    <cellStyle name="Normal 2 14 4 3 26" xfId="47571"/>
    <cellStyle name="Normal 2 14 4 3 27" xfId="49323"/>
    <cellStyle name="Normal 2 14 4 3 28" xfId="51075"/>
    <cellStyle name="Normal 2 14 4 3 29" xfId="52827"/>
    <cellStyle name="Normal 2 14 4 3 3" xfId="5528"/>
    <cellStyle name="Normal 2 14 4 3 30" xfId="54579"/>
    <cellStyle name="Normal 2 14 4 3 31" xfId="56331"/>
    <cellStyle name="Normal 2 14 4 3 32" xfId="58084"/>
    <cellStyle name="Normal 2 14 4 3 33" xfId="59836"/>
    <cellStyle name="Normal 2 14 4 3 34" xfId="61588"/>
    <cellStyle name="Normal 2 14 4 3 4" xfId="7280"/>
    <cellStyle name="Normal 2 14 4 3 5" xfId="9032"/>
    <cellStyle name="Normal 2 14 4 3 6" xfId="10785"/>
    <cellStyle name="Normal 2 14 4 3 7" xfId="12537"/>
    <cellStyle name="Normal 2 14 4 3 8" xfId="14289"/>
    <cellStyle name="Normal 2 14 4 3 9" xfId="16041"/>
    <cellStyle name="Normal 2 14 4 30" xfId="46695"/>
    <cellStyle name="Normal 2 14 4 31" xfId="48447"/>
    <cellStyle name="Normal 2 14 4 32" xfId="50199"/>
    <cellStyle name="Normal 2 14 4 33" xfId="51951"/>
    <cellStyle name="Normal 2 14 4 34" xfId="53703"/>
    <cellStyle name="Normal 2 14 4 35" xfId="55455"/>
    <cellStyle name="Normal 2 14 4 36" xfId="57208"/>
    <cellStyle name="Normal 2 14 4 37" xfId="58960"/>
    <cellStyle name="Normal 2 14 4 38" xfId="60712"/>
    <cellStyle name="Normal 2 14 4 39" xfId="62401"/>
    <cellStyle name="Normal 2 14 4 4" xfId="2900"/>
    <cellStyle name="Normal 2 14 4 40" xfId="63267"/>
    <cellStyle name="Normal 2 14 4 5" xfId="4652"/>
    <cellStyle name="Normal 2 14 4 6" xfId="6404"/>
    <cellStyle name="Normal 2 14 4 7" xfId="8156"/>
    <cellStyle name="Normal 2 14 4 8" xfId="9909"/>
    <cellStyle name="Normal 2 14 4 9" xfId="11661"/>
    <cellStyle name="Normal 2 14 40" xfId="58711"/>
    <cellStyle name="Normal 2 14 41" xfId="60463"/>
    <cellStyle name="Normal 2 14 42" xfId="62388"/>
    <cellStyle name="Normal 2 14 43" xfId="63254"/>
    <cellStyle name="Normal 2 14 5" xfId="885"/>
    <cellStyle name="Normal 2 14 5 10" xfId="15352"/>
    <cellStyle name="Normal 2 14 5 11" xfId="17105"/>
    <cellStyle name="Normal 2 14 5 12" xfId="18857"/>
    <cellStyle name="Normal 2 14 5 13" xfId="20610"/>
    <cellStyle name="Normal 2 14 5 14" xfId="22362"/>
    <cellStyle name="Normal 2 14 5 15" xfId="24114"/>
    <cellStyle name="Normal 2 14 5 16" xfId="25866"/>
    <cellStyle name="Normal 2 14 5 17" xfId="27618"/>
    <cellStyle name="Normal 2 14 5 18" xfId="29371"/>
    <cellStyle name="Normal 2 14 5 19" xfId="31123"/>
    <cellStyle name="Normal 2 14 5 2" xfId="886"/>
    <cellStyle name="Normal 2 14 5 2 10" xfId="17981"/>
    <cellStyle name="Normal 2 14 5 2 11" xfId="19733"/>
    <cellStyle name="Normal 2 14 5 2 12" xfId="21486"/>
    <cellStyle name="Normal 2 14 5 2 13" xfId="23238"/>
    <cellStyle name="Normal 2 14 5 2 14" xfId="24990"/>
    <cellStyle name="Normal 2 14 5 2 15" xfId="26742"/>
    <cellStyle name="Normal 2 14 5 2 16" xfId="28494"/>
    <cellStyle name="Normal 2 14 5 2 17" xfId="30247"/>
    <cellStyle name="Normal 2 14 5 2 18" xfId="31999"/>
    <cellStyle name="Normal 2 14 5 2 19" xfId="33752"/>
    <cellStyle name="Normal 2 14 5 2 2" xfId="3963"/>
    <cellStyle name="Normal 2 14 5 2 20" xfId="36388"/>
    <cellStyle name="Normal 2 14 5 2 21" xfId="38128"/>
    <cellStyle name="Normal 2 14 5 2 22" xfId="39881"/>
    <cellStyle name="Normal 2 14 5 2 23" xfId="41636"/>
    <cellStyle name="Normal 2 14 5 2 24" xfId="43388"/>
    <cellStyle name="Normal 2 14 5 2 25" xfId="46006"/>
    <cellStyle name="Normal 2 14 5 2 26" xfId="47758"/>
    <cellStyle name="Normal 2 14 5 2 27" xfId="49510"/>
    <cellStyle name="Normal 2 14 5 2 28" xfId="51262"/>
    <cellStyle name="Normal 2 14 5 2 29" xfId="53014"/>
    <cellStyle name="Normal 2 14 5 2 3" xfId="5715"/>
    <cellStyle name="Normal 2 14 5 2 30" xfId="54766"/>
    <cellStyle name="Normal 2 14 5 2 31" xfId="56518"/>
    <cellStyle name="Normal 2 14 5 2 32" xfId="58271"/>
    <cellStyle name="Normal 2 14 5 2 33" xfId="60023"/>
    <cellStyle name="Normal 2 14 5 2 34" xfId="61775"/>
    <cellStyle name="Normal 2 14 5 2 4" xfId="7467"/>
    <cellStyle name="Normal 2 14 5 2 5" xfId="9219"/>
    <cellStyle name="Normal 2 14 5 2 6" xfId="10972"/>
    <cellStyle name="Normal 2 14 5 2 7" xfId="12724"/>
    <cellStyle name="Normal 2 14 5 2 8" xfId="14476"/>
    <cellStyle name="Normal 2 14 5 2 9" xfId="16228"/>
    <cellStyle name="Normal 2 14 5 20" xfId="32876"/>
    <cellStyle name="Normal 2 14 5 21" xfId="34395"/>
    <cellStyle name="Normal 2 14 5 22" xfId="35512"/>
    <cellStyle name="Normal 2 14 5 23" xfId="37016"/>
    <cellStyle name="Normal 2 14 5 24" xfId="39005"/>
    <cellStyle name="Normal 2 14 5 25" xfId="40760"/>
    <cellStyle name="Normal 2 14 5 26" xfId="42512"/>
    <cellStyle name="Normal 2 14 5 27" xfId="44016"/>
    <cellStyle name="Normal 2 14 5 28" xfId="45130"/>
    <cellStyle name="Normal 2 14 5 29" xfId="46882"/>
    <cellStyle name="Normal 2 14 5 3" xfId="3087"/>
    <cellStyle name="Normal 2 14 5 30" xfId="48634"/>
    <cellStyle name="Normal 2 14 5 31" xfId="50386"/>
    <cellStyle name="Normal 2 14 5 32" xfId="52138"/>
    <cellStyle name="Normal 2 14 5 33" xfId="53890"/>
    <cellStyle name="Normal 2 14 5 34" xfId="55642"/>
    <cellStyle name="Normal 2 14 5 35" xfId="57395"/>
    <cellStyle name="Normal 2 14 5 36" xfId="59147"/>
    <cellStyle name="Normal 2 14 5 37" xfId="60899"/>
    <cellStyle name="Normal 2 14 5 38" xfId="62403"/>
    <cellStyle name="Normal 2 14 5 39" xfId="63269"/>
    <cellStyle name="Normal 2 14 5 4" xfId="4839"/>
    <cellStyle name="Normal 2 14 5 5" xfId="6591"/>
    <cellStyle name="Normal 2 14 5 6" xfId="8343"/>
    <cellStyle name="Normal 2 14 5 7" xfId="10096"/>
    <cellStyle name="Normal 2 14 5 8" xfId="11848"/>
    <cellStyle name="Normal 2 14 5 9" xfId="13600"/>
    <cellStyle name="Normal 2 14 6" xfId="887"/>
    <cellStyle name="Normal 2 14 6 10" xfId="17545"/>
    <cellStyle name="Normal 2 14 6 11" xfId="19297"/>
    <cellStyle name="Normal 2 14 6 12" xfId="21050"/>
    <cellStyle name="Normal 2 14 6 13" xfId="22802"/>
    <cellStyle name="Normal 2 14 6 14" xfId="24554"/>
    <cellStyle name="Normal 2 14 6 15" xfId="26306"/>
    <cellStyle name="Normal 2 14 6 16" xfId="28058"/>
    <cellStyle name="Normal 2 14 6 17" xfId="29811"/>
    <cellStyle name="Normal 2 14 6 18" xfId="31563"/>
    <cellStyle name="Normal 2 14 6 19" xfId="33316"/>
    <cellStyle name="Normal 2 14 6 2" xfId="3527"/>
    <cellStyle name="Normal 2 14 6 20" xfId="35952"/>
    <cellStyle name="Normal 2 14 6 21" xfId="37694"/>
    <cellStyle name="Normal 2 14 6 22" xfId="39445"/>
    <cellStyle name="Normal 2 14 6 23" xfId="41200"/>
    <cellStyle name="Normal 2 14 6 24" xfId="42952"/>
    <cellStyle name="Normal 2 14 6 25" xfId="45570"/>
    <cellStyle name="Normal 2 14 6 26" xfId="47322"/>
    <cellStyle name="Normal 2 14 6 27" xfId="49074"/>
    <cellStyle name="Normal 2 14 6 28" xfId="50826"/>
    <cellStyle name="Normal 2 14 6 29" xfId="52578"/>
    <cellStyle name="Normal 2 14 6 3" xfId="5279"/>
    <cellStyle name="Normal 2 14 6 30" xfId="54330"/>
    <cellStyle name="Normal 2 14 6 31" xfId="56082"/>
    <cellStyle name="Normal 2 14 6 32" xfId="57835"/>
    <cellStyle name="Normal 2 14 6 33" xfId="59587"/>
    <cellStyle name="Normal 2 14 6 34" xfId="61339"/>
    <cellStyle name="Normal 2 14 6 4" xfId="7031"/>
    <cellStyle name="Normal 2 14 6 5" xfId="8783"/>
    <cellStyle name="Normal 2 14 6 6" xfId="10536"/>
    <cellStyle name="Normal 2 14 6 7" xfId="12288"/>
    <cellStyle name="Normal 2 14 6 8" xfId="14040"/>
    <cellStyle name="Normal 2 14 6 9" xfId="15792"/>
    <cellStyle name="Normal 2 14 7" xfId="2614"/>
    <cellStyle name="Normal 2 14 8" xfId="4403"/>
    <cellStyle name="Normal 2 14 9" xfId="6155"/>
    <cellStyle name="Normal 2 15" xfId="888"/>
    <cellStyle name="Normal 2 15 10" xfId="7908"/>
    <cellStyle name="Normal 2 15 11" xfId="9661"/>
    <cellStyle name="Normal 2 15 12" xfId="11413"/>
    <cellStyle name="Normal 2 15 13" xfId="13165"/>
    <cellStyle name="Normal 2 15 14" xfId="14917"/>
    <cellStyle name="Normal 2 15 15" xfId="16670"/>
    <cellStyle name="Normal 2 15 16" xfId="18422"/>
    <cellStyle name="Normal 2 15 17" xfId="20175"/>
    <cellStyle name="Normal 2 15 18" xfId="21927"/>
    <cellStyle name="Normal 2 15 19" xfId="23679"/>
    <cellStyle name="Normal 2 15 2" xfId="889"/>
    <cellStyle name="Normal 2 15 2 10" xfId="9716"/>
    <cellStyle name="Normal 2 15 2 11" xfId="11468"/>
    <cellStyle name="Normal 2 15 2 12" xfId="13220"/>
    <cellStyle name="Normal 2 15 2 13" xfId="14972"/>
    <cellStyle name="Normal 2 15 2 14" xfId="16725"/>
    <cellStyle name="Normal 2 15 2 15" xfId="18477"/>
    <cellStyle name="Normal 2 15 2 16" xfId="20230"/>
    <cellStyle name="Normal 2 15 2 17" xfId="21982"/>
    <cellStyle name="Normal 2 15 2 18" xfId="23734"/>
    <cellStyle name="Normal 2 15 2 19" xfId="25486"/>
    <cellStyle name="Normal 2 15 2 2" xfId="890"/>
    <cellStyle name="Normal 2 15 2 2 10" xfId="11576"/>
    <cellStyle name="Normal 2 15 2 2 11" xfId="13328"/>
    <cellStyle name="Normal 2 15 2 2 12" xfId="15080"/>
    <cellStyle name="Normal 2 15 2 2 13" xfId="16833"/>
    <cellStyle name="Normal 2 15 2 2 14" xfId="18585"/>
    <cellStyle name="Normal 2 15 2 2 15" xfId="20338"/>
    <cellStyle name="Normal 2 15 2 2 16" xfId="22090"/>
    <cellStyle name="Normal 2 15 2 2 17" xfId="23842"/>
    <cellStyle name="Normal 2 15 2 2 18" xfId="25594"/>
    <cellStyle name="Normal 2 15 2 2 19" xfId="27346"/>
    <cellStyle name="Normal 2 15 2 2 2" xfId="891"/>
    <cellStyle name="Normal 2 15 2 2 2 10" xfId="13414"/>
    <cellStyle name="Normal 2 15 2 2 2 11" xfId="15166"/>
    <cellStyle name="Normal 2 15 2 2 2 12" xfId="16919"/>
    <cellStyle name="Normal 2 15 2 2 2 13" xfId="18671"/>
    <cellStyle name="Normal 2 15 2 2 2 14" xfId="20424"/>
    <cellStyle name="Normal 2 15 2 2 2 15" xfId="22176"/>
    <cellStyle name="Normal 2 15 2 2 2 16" xfId="23928"/>
    <cellStyle name="Normal 2 15 2 2 2 17" xfId="25680"/>
    <cellStyle name="Normal 2 15 2 2 2 18" xfId="27432"/>
    <cellStyle name="Normal 2 15 2 2 2 19" xfId="29185"/>
    <cellStyle name="Normal 2 15 2 2 2 2" xfId="892"/>
    <cellStyle name="Normal 2 15 2 2 2 2 10" xfId="15602"/>
    <cellStyle name="Normal 2 15 2 2 2 2 11" xfId="17355"/>
    <cellStyle name="Normal 2 15 2 2 2 2 12" xfId="19107"/>
    <cellStyle name="Normal 2 15 2 2 2 2 13" xfId="20860"/>
    <cellStyle name="Normal 2 15 2 2 2 2 14" xfId="22612"/>
    <cellStyle name="Normal 2 15 2 2 2 2 15" xfId="24364"/>
    <cellStyle name="Normal 2 15 2 2 2 2 16" xfId="26116"/>
    <cellStyle name="Normal 2 15 2 2 2 2 17" xfId="27868"/>
    <cellStyle name="Normal 2 15 2 2 2 2 18" xfId="29621"/>
    <cellStyle name="Normal 2 15 2 2 2 2 19" xfId="31373"/>
    <cellStyle name="Normal 2 15 2 2 2 2 2" xfId="893"/>
    <cellStyle name="Normal 2 15 2 2 2 2 2 10" xfId="18231"/>
    <cellStyle name="Normal 2 15 2 2 2 2 2 11" xfId="19983"/>
    <cellStyle name="Normal 2 15 2 2 2 2 2 12" xfId="21736"/>
    <cellStyle name="Normal 2 15 2 2 2 2 2 13" xfId="23488"/>
    <cellStyle name="Normal 2 15 2 2 2 2 2 14" xfId="25240"/>
    <cellStyle name="Normal 2 15 2 2 2 2 2 15" xfId="26992"/>
    <cellStyle name="Normal 2 15 2 2 2 2 2 16" xfId="28744"/>
    <cellStyle name="Normal 2 15 2 2 2 2 2 17" xfId="30497"/>
    <cellStyle name="Normal 2 15 2 2 2 2 2 18" xfId="32249"/>
    <cellStyle name="Normal 2 15 2 2 2 2 2 19" xfId="34002"/>
    <cellStyle name="Normal 2 15 2 2 2 2 2 2" xfId="4213"/>
    <cellStyle name="Normal 2 15 2 2 2 2 2 20" xfId="36638"/>
    <cellStyle name="Normal 2 15 2 2 2 2 2 21" xfId="38378"/>
    <cellStyle name="Normal 2 15 2 2 2 2 2 22" xfId="40131"/>
    <cellStyle name="Normal 2 15 2 2 2 2 2 23" xfId="41886"/>
    <cellStyle name="Normal 2 15 2 2 2 2 2 24" xfId="43638"/>
    <cellStyle name="Normal 2 15 2 2 2 2 2 25" xfId="46256"/>
    <cellStyle name="Normal 2 15 2 2 2 2 2 26" xfId="48008"/>
    <cellStyle name="Normal 2 15 2 2 2 2 2 27" xfId="49760"/>
    <cellStyle name="Normal 2 15 2 2 2 2 2 28" xfId="51512"/>
    <cellStyle name="Normal 2 15 2 2 2 2 2 29" xfId="53264"/>
    <cellStyle name="Normal 2 15 2 2 2 2 2 3" xfId="5965"/>
    <cellStyle name="Normal 2 15 2 2 2 2 2 30" xfId="55016"/>
    <cellStyle name="Normal 2 15 2 2 2 2 2 31" xfId="56768"/>
    <cellStyle name="Normal 2 15 2 2 2 2 2 32" xfId="58521"/>
    <cellStyle name="Normal 2 15 2 2 2 2 2 33" xfId="60273"/>
    <cellStyle name="Normal 2 15 2 2 2 2 2 34" xfId="62025"/>
    <cellStyle name="Normal 2 15 2 2 2 2 2 4" xfId="7717"/>
    <cellStyle name="Normal 2 15 2 2 2 2 2 5" xfId="9469"/>
    <cellStyle name="Normal 2 15 2 2 2 2 2 6" xfId="11222"/>
    <cellStyle name="Normal 2 15 2 2 2 2 2 7" xfId="12974"/>
    <cellStyle name="Normal 2 15 2 2 2 2 2 8" xfId="14726"/>
    <cellStyle name="Normal 2 15 2 2 2 2 2 9" xfId="16478"/>
    <cellStyle name="Normal 2 15 2 2 2 2 20" xfId="33126"/>
    <cellStyle name="Normal 2 15 2 2 2 2 21" xfId="34400"/>
    <cellStyle name="Normal 2 15 2 2 2 2 22" xfId="35762"/>
    <cellStyle name="Normal 2 15 2 2 2 2 23" xfId="37021"/>
    <cellStyle name="Normal 2 15 2 2 2 2 24" xfId="39255"/>
    <cellStyle name="Normal 2 15 2 2 2 2 25" xfId="41010"/>
    <cellStyle name="Normal 2 15 2 2 2 2 26" xfId="42762"/>
    <cellStyle name="Normal 2 15 2 2 2 2 27" xfId="44021"/>
    <cellStyle name="Normal 2 15 2 2 2 2 28" xfId="45380"/>
    <cellStyle name="Normal 2 15 2 2 2 2 29" xfId="47132"/>
    <cellStyle name="Normal 2 15 2 2 2 2 3" xfId="3337"/>
    <cellStyle name="Normal 2 15 2 2 2 2 30" xfId="48884"/>
    <cellStyle name="Normal 2 15 2 2 2 2 31" xfId="50636"/>
    <cellStyle name="Normal 2 15 2 2 2 2 32" xfId="52388"/>
    <cellStyle name="Normal 2 15 2 2 2 2 33" xfId="54140"/>
    <cellStyle name="Normal 2 15 2 2 2 2 34" xfId="55892"/>
    <cellStyle name="Normal 2 15 2 2 2 2 35" xfId="57645"/>
    <cellStyle name="Normal 2 15 2 2 2 2 36" xfId="59397"/>
    <cellStyle name="Normal 2 15 2 2 2 2 37" xfId="61149"/>
    <cellStyle name="Normal 2 15 2 2 2 2 38" xfId="62408"/>
    <cellStyle name="Normal 2 15 2 2 2 2 39" xfId="63274"/>
    <cellStyle name="Normal 2 15 2 2 2 2 4" xfId="5089"/>
    <cellStyle name="Normal 2 15 2 2 2 2 5" xfId="6841"/>
    <cellStyle name="Normal 2 15 2 2 2 2 6" xfId="8593"/>
    <cellStyle name="Normal 2 15 2 2 2 2 7" xfId="10346"/>
    <cellStyle name="Normal 2 15 2 2 2 2 8" xfId="12098"/>
    <cellStyle name="Normal 2 15 2 2 2 2 9" xfId="13850"/>
    <cellStyle name="Normal 2 15 2 2 2 20" xfId="30937"/>
    <cellStyle name="Normal 2 15 2 2 2 21" xfId="32690"/>
    <cellStyle name="Normal 2 15 2 2 2 22" xfId="34399"/>
    <cellStyle name="Normal 2 15 2 2 2 23" xfId="35326"/>
    <cellStyle name="Normal 2 15 2 2 2 24" xfId="37020"/>
    <cellStyle name="Normal 2 15 2 2 2 25" xfId="38819"/>
    <cellStyle name="Normal 2 15 2 2 2 26" xfId="40574"/>
    <cellStyle name="Normal 2 15 2 2 2 27" xfId="42326"/>
    <cellStyle name="Normal 2 15 2 2 2 28" xfId="44020"/>
    <cellStyle name="Normal 2 15 2 2 2 29" xfId="44944"/>
    <cellStyle name="Normal 2 15 2 2 2 3" xfId="894"/>
    <cellStyle name="Normal 2 15 2 2 2 3 10" xfId="17795"/>
    <cellStyle name="Normal 2 15 2 2 2 3 11" xfId="19547"/>
    <cellStyle name="Normal 2 15 2 2 2 3 12" xfId="21300"/>
    <cellStyle name="Normal 2 15 2 2 2 3 13" xfId="23052"/>
    <cellStyle name="Normal 2 15 2 2 2 3 14" xfId="24804"/>
    <cellStyle name="Normal 2 15 2 2 2 3 15" xfId="26556"/>
    <cellStyle name="Normal 2 15 2 2 2 3 16" xfId="28308"/>
    <cellStyle name="Normal 2 15 2 2 2 3 17" xfId="30061"/>
    <cellStyle name="Normal 2 15 2 2 2 3 18" xfId="31813"/>
    <cellStyle name="Normal 2 15 2 2 2 3 19" xfId="33566"/>
    <cellStyle name="Normal 2 15 2 2 2 3 2" xfId="3777"/>
    <cellStyle name="Normal 2 15 2 2 2 3 20" xfId="36202"/>
    <cellStyle name="Normal 2 15 2 2 2 3 21" xfId="37942"/>
    <cellStyle name="Normal 2 15 2 2 2 3 22" xfId="39695"/>
    <cellStyle name="Normal 2 15 2 2 2 3 23" xfId="41450"/>
    <cellStyle name="Normal 2 15 2 2 2 3 24" xfId="43202"/>
    <cellStyle name="Normal 2 15 2 2 2 3 25" xfId="45820"/>
    <cellStyle name="Normal 2 15 2 2 2 3 26" xfId="47572"/>
    <cellStyle name="Normal 2 15 2 2 2 3 27" xfId="49324"/>
    <cellStyle name="Normal 2 15 2 2 2 3 28" xfId="51076"/>
    <cellStyle name="Normal 2 15 2 2 2 3 29" xfId="52828"/>
    <cellStyle name="Normal 2 15 2 2 2 3 3" xfId="5529"/>
    <cellStyle name="Normal 2 15 2 2 2 3 30" xfId="54580"/>
    <cellStyle name="Normal 2 15 2 2 2 3 31" xfId="56332"/>
    <cellStyle name="Normal 2 15 2 2 2 3 32" xfId="58085"/>
    <cellStyle name="Normal 2 15 2 2 2 3 33" xfId="59837"/>
    <cellStyle name="Normal 2 15 2 2 2 3 34" xfId="61589"/>
    <cellStyle name="Normal 2 15 2 2 2 3 4" xfId="7281"/>
    <cellStyle name="Normal 2 15 2 2 2 3 5" xfId="9033"/>
    <cellStyle name="Normal 2 15 2 2 2 3 6" xfId="10786"/>
    <cellStyle name="Normal 2 15 2 2 2 3 7" xfId="12538"/>
    <cellStyle name="Normal 2 15 2 2 2 3 8" xfId="14290"/>
    <cellStyle name="Normal 2 15 2 2 2 3 9" xfId="16042"/>
    <cellStyle name="Normal 2 15 2 2 2 30" xfId="46696"/>
    <cellStyle name="Normal 2 15 2 2 2 31" xfId="48448"/>
    <cellStyle name="Normal 2 15 2 2 2 32" xfId="50200"/>
    <cellStyle name="Normal 2 15 2 2 2 33" xfId="51952"/>
    <cellStyle name="Normal 2 15 2 2 2 34" xfId="53704"/>
    <cellStyle name="Normal 2 15 2 2 2 35" xfId="55456"/>
    <cellStyle name="Normal 2 15 2 2 2 36" xfId="57209"/>
    <cellStyle name="Normal 2 15 2 2 2 37" xfId="58961"/>
    <cellStyle name="Normal 2 15 2 2 2 38" xfId="60713"/>
    <cellStyle name="Normal 2 15 2 2 2 39" xfId="62407"/>
    <cellStyle name="Normal 2 15 2 2 2 4" xfId="2901"/>
    <cellStyle name="Normal 2 15 2 2 2 40" xfId="63273"/>
    <cellStyle name="Normal 2 15 2 2 2 5" xfId="4653"/>
    <cellStyle name="Normal 2 15 2 2 2 6" xfId="6405"/>
    <cellStyle name="Normal 2 15 2 2 2 7" xfId="8157"/>
    <cellStyle name="Normal 2 15 2 2 2 8" xfId="9910"/>
    <cellStyle name="Normal 2 15 2 2 2 9" xfId="11662"/>
    <cellStyle name="Normal 2 15 2 2 20" xfId="29099"/>
    <cellStyle name="Normal 2 15 2 2 21" xfId="30851"/>
    <cellStyle name="Normal 2 15 2 2 22" xfId="32604"/>
    <cellStyle name="Normal 2 15 2 2 23" xfId="34398"/>
    <cellStyle name="Normal 2 15 2 2 24" xfId="35240"/>
    <cellStyle name="Normal 2 15 2 2 25" xfId="37019"/>
    <cellStyle name="Normal 2 15 2 2 26" xfId="38733"/>
    <cellStyle name="Normal 2 15 2 2 27" xfId="40488"/>
    <cellStyle name="Normal 2 15 2 2 28" xfId="42240"/>
    <cellStyle name="Normal 2 15 2 2 29" xfId="44019"/>
    <cellStyle name="Normal 2 15 2 2 3" xfId="895"/>
    <cellStyle name="Normal 2 15 2 2 3 10" xfId="15516"/>
    <cellStyle name="Normal 2 15 2 2 3 11" xfId="17269"/>
    <cellStyle name="Normal 2 15 2 2 3 12" xfId="19021"/>
    <cellStyle name="Normal 2 15 2 2 3 13" xfId="20774"/>
    <cellStyle name="Normal 2 15 2 2 3 14" xfId="22526"/>
    <cellStyle name="Normal 2 15 2 2 3 15" xfId="24278"/>
    <cellStyle name="Normal 2 15 2 2 3 16" xfId="26030"/>
    <cellStyle name="Normal 2 15 2 2 3 17" xfId="27782"/>
    <cellStyle name="Normal 2 15 2 2 3 18" xfId="29535"/>
    <cellStyle name="Normal 2 15 2 2 3 19" xfId="31287"/>
    <cellStyle name="Normal 2 15 2 2 3 2" xfId="896"/>
    <cellStyle name="Normal 2 15 2 2 3 2 10" xfId="18145"/>
    <cellStyle name="Normal 2 15 2 2 3 2 11" xfId="19897"/>
    <cellStyle name="Normal 2 15 2 2 3 2 12" xfId="21650"/>
    <cellStyle name="Normal 2 15 2 2 3 2 13" xfId="23402"/>
    <cellStyle name="Normal 2 15 2 2 3 2 14" xfId="25154"/>
    <cellStyle name="Normal 2 15 2 2 3 2 15" xfId="26906"/>
    <cellStyle name="Normal 2 15 2 2 3 2 16" xfId="28658"/>
    <cellStyle name="Normal 2 15 2 2 3 2 17" xfId="30411"/>
    <cellStyle name="Normal 2 15 2 2 3 2 18" xfId="32163"/>
    <cellStyle name="Normal 2 15 2 2 3 2 19" xfId="33916"/>
    <cellStyle name="Normal 2 15 2 2 3 2 2" xfId="4127"/>
    <cellStyle name="Normal 2 15 2 2 3 2 20" xfId="36552"/>
    <cellStyle name="Normal 2 15 2 2 3 2 21" xfId="38292"/>
    <cellStyle name="Normal 2 15 2 2 3 2 22" xfId="40045"/>
    <cellStyle name="Normal 2 15 2 2 3 2 23" xfId="41800"/>
    <cellStyle name="Normal 2 15 2 2 3 2 24" xfId="43552"/>
    <cellStyle name="Normal 2 15 2 2 3 2 25" xfId="46170"/>
    <cellStyle name="Normal 2 15 2 2 3 2 26" xfId="47922"/>
    <cellStyle name="Normal 2 15 2 2 3 2 27" xfId="49674"/>
    <cellStyle name="Normal 2 15 2 2 3 2 28" xfId="51426"/>
    <cellStyle name="Normal 2 15 2 2 3 2 29" xfId="53178"/>
    <cellStyle name="Normal 2 15 2 2 3 2 3" xfId="5879"/>
    <cellStyle name="Normal 2 15 2 2 3 2 30" xfId="54930"/>
    <cellStyle name="Normal 2 15 2 2 3 2 31" xfId="56682"/>
    <cellStyle name="Normal 2 15 2 2 3 2 32" xfId="58435"/>
    <cellStyle name="Normal 2 15 2 2 3 2 33" xfId="60187"/>
    <cellStyle name="Normal 2 15 2 2 3 2 34" xfId="61939"/>
    <cellStyle name="Normal 2 15 2 2 3 2 4" xfId="7631"/>
    <cellStyle name="Normal 2 15 2 2 3 2 5" xfId="9383"/>
    <cellStyle name="Normal 2 15 2 2 3 2 6" xfId="11136"/>
    <cellStyle name="Normal 2 15 2 2 3 2 7" xfId="12888"/>
    <cellStyle name="Normal 2 15 2 2 3 2 8" xfId="14640"/>
    <cellStyle name="Normal 2 15 2 2 3 2 9" xfId="16392"/>
    <cellStyle name="Normal 2 15 2 2 3 20" xfId="33040"/>
    <cellStyle name="Normal 2 15 2 2 3 21" xfId="34401"/>
    <cellStyle name="Normal 2 15 2 2 3 22" xfId="35676"/>
    <cellStyle name="Normal 2 15 2 2 3 23" xfId="37022"/>
    <cellStyle name="Normal 2 15 2 2 3 24" xfId="39169"/>
    <cellStyle name="Normal 2 15 2 2 3 25" xfId="40924"/>
    <cellStyle name="Normal 2 15 2 2 3 26" xfId="42676"/>
    <cellStyle name="Normal 2 15 2 2 3 27" xfId="44022"/>
    <cellStyle name="Normal 2 15 2 2 3 28" xfId="45294"/>
    <cellStyle name="Normal 2 15 2 2 3 29" xfId="47046"/>
    <cellStyle name="Normal 2 15 2 2 3 3" xfId="3251"/>
    <cellStyle name="Normal 2 15 2 2 3 30" xfId="48798"/>
    <cellStyle name="Normal 2 15 2 2 3 31" xfId="50550"/>
    <cellStyle name="Normal 2 15 2 2 3 32" xfId="52302"/>
    <cellStyle name="Normal 2 15 2 2 3 33" xfId="54054"/>
    <cellStyle name="Normal 2 15 2 2 3 34" xfId="55806"/>
    <cellStyle name="Normal 2 15 2 2 3 35" xfId="57559"/>
    <cellStyle name="Normal 2 15 2 2 3 36" xfId="59311"/>
    <cellStyle name="Normal 2 15 2 2 3 37" xfId="61063"/>
    <cellStyle name="Normal 2 15 2 2 3 38" xfId="62409"/>
    <cellStyle name="Normal 2 15 2 2 3 39" xfId="63275"/>
    <cellStyle name="Normal 2 15 2 2 3 4" xfId="5003"/>
    <cellStyle name="Normal 2 15 2 2 3 5" xfId="6755"/>
    <cellStyle name="Normal 2 15 2 2 3 6" xfId="8507"/>
    <cellStyle name="Normal 2 15 2 2 3 7" xfId="10260"/>
    <cellStyle name="Normal 2 15 2 2 3 8" xfId="12012"/>
    <cellStyle name="Normal 2 15 2 2 3 9" xfId="13764"/>
    <cellStyle name="Normal 2 15 2 2 30" xfId="44858"/>
    <cellStyle name="Normal 2 15 2 2 31" xfId="46610"/>
    <cellStyle name="Normal 2 15 2 2 32" xfId="48362"/>
    <cellStyle name="Normal 2 15 2 2 33" xfId="50114"/>
    <cellStyle name="Normal 2 15 2 2 34" xfId="51866"/>
    <cellStyle name="Normal 2 15 2 2 35" xfId="53618"/>
    <cellStyle name="Normal 2 15 2 2 36" xfId="55370"/>
    <cellStyle name="Normal 2 15 2 2 37" xfId="57123"/>
    <cellStyle name="Normal 2 15 2 2 38" xfId="58875"/>
    <cellStyle name="Normal 2 15 2 2 39" xfId="60627"/>
    <cellStyle name="Normal 2 15 2 2 4" xfId="897"/>
    <cellStyle name="Normal 2 15 2 2 4 10" xfId="17709"/>
    <cellStyle name="Normal 2 15 2 2 4 11" xfId="19461"/>
    <cellStyle name="Normal 2 15 2 2 4 12" xfId="21214"/>
    <cellStyle name="Normal 2 15 2 2 4 13" xfId="22966"/>
    <cellStyle name="Normal 2 15 2 2 4 14" xfId="24718"/>
    <cellStyle name="Normal 2 15 2 2 4 15" xfId="26470"/>
    <cellStyle name="Normal 2 15 2 2 4 16" xfId="28222"/>
    <cellStyle name="Normal 2 15 2 2 4 17" xfId="29975"/>
    <cellStyle name="Normal 2 15 2 2 4 18" xfId="31727"/>
    <cellStyle name="Normal 2 15 2 2 4 19" xfId="33480"/>
    <cellStyle name="Normal 2 15 2 2 4 2" xfId="3691"/>
    <cellStyle name="Normal 2 15 2 2 4 20" xfId="36116"/>
    <cellStyle name="Normal 2 15 2 2 4 21" xfId="37856"/>
    <cellStyle name="Normal 2 15 2 2 4 22" xfId="39609"/>
    <cellStyle name="Normal 2 15 2 2 4 23" xfId="41364"/>
    <cellStyle name="Normal 2 15 2 2 4 24" xfId="43116"/>
    <cellStyle name="Normal 2 15 2 2 4 25" xfId="45734"/>
    <cellStyle name="Normal 2 15 2 2 4 26" xfId="47486"/>
    <cellStyle name="Normal 2 15 2 2 4 27" xfId="49238"/>
    <cellStyle name="Normal 2 15 2 2 4 28" xfId="50990"/>
    <cellStyle name="Normal 2 15 2 2 4 29" xfId="52742"/>
    <cellStyle name="Normal 2 15 2 2 4 3" xfId="5443"/>
    <cellStyle name="Normal 2 15 2 2 4 30" xfId="54494"/>
    <cellStyle name="Normal 2 15 2 2 4 31" xfId="56246"/>
    <cellStyle name="Normal 2 15 2 2 4 32" xfId="57999"/>
    <cellStyle name="Normal 2 15 2 2 4 33" xfId="59751"/>
    <cellStyle name="Normal 2 15 2 2 4 34" xfId="61503"/>
    <cellStyle name="Normal 2 15 2 2 4 4" xfId="7195"/>
    <cellStyle name="Normal 2 15 2 2 4 5" xfId="8947"/>
    <cellStyle name="Normal 2 15 2 2 4 6" xfId="10700"/>
    <cellStyle name="Normal 2 15 2 2 4 7" xfId="12452"/>
    <cellStyle name="Normal 2 15 2 2 4 8" xfId="14204"/>
    <cellStyle name="Normal 2 15 2 2 4 9" xfId="15956"/>
    <cellStyle name="Normal 2 15 2 2 40" xfId="62406"/>
    <cellStyle name="Normal 2 15 2 2 41" xfId="63272"/>
    <cellStyle name="Normal 2 15 2 2 5" xfId="2815"/>
    <cellStyle name="Normal 2 15 2 2 6" xfId="4567"/>
    <cellStyle name="Normal 2 15 2 2 7" xfId="6319"/>
    <cellStyle name="Normal 2 15 2 2 8" xfId="8071"/>
    <cellStyle name="Normal 2 15 2 2 9" xfId="9824"/>
    <cellStyle name="Normal 2 15 2 20" xfId="27238"/>
    <cellStyle name="Normal 2 15 2 21" xfId="28991"/>
    <cellStyle name="Normal 2 15 2 22" xfId="30743"/>
    <cellStyle name="Normal 2 15 2 23" xfId="32496"/>
    <cellStyle name="Normal 2 15 2 24" xfId="34397"/>
    <cellStyle name="Normal 2 15 2 25" xfId="35132"/>
    <cellStyle name="Normal 2 15 2 26" xfId="37018"/>
    <cellStyle name="Normal 2 15 2 27" xfId="38625"/>
    <cellStyle name="Normal 2 15 2 28" xfId="40380"/>
    <cellStyle name="Normal 2 15 2 29" xfId="42132"/>
    <cellStyle name="Normal 2 15 2 3" xfId="898"/>
    <cellStyle name="Normal 2 15 2 3 10" xfId="13415"/>
    <cellStyle name="Normal 2 15 2 3 11" xfId="15167"/>
    <cellStyle name="Normal 2 15 2 3 12" xfId="16920"/>
    <cellStyle name="Normal 2 15 2 3 13" xfId="18672"/>
    <cellStyle name="Normal 2 15 2 3 14" xfId="20425"/>
    <cellStyle name="Normal 2 15 2 3 15" xfId="22177"/>
    <cellStyle name="Normal 2 15 2 3 16" xfId="23929"/>
    <cellStyle name="Normal 2 15 2 3 17" xfId="25681"/>
    <cellStyle name="Normal 2 15 2 3 18" xfId="27433"/>
    <cellStyle name="Normal 2 15 2 3 19" xfId="29186"/>
    <cellStyle name="Normal 2 15 2 3 2" xfId="899"/>
    <cellStyle name="Normal 2 15 2 3 2 10" xfId="15603"/>
    <cellStyle name="Normal 2 15 2 3 2 11" xfId="17356"/>
    <cellStyle name="Normal 2 15 2 3 2 12" xfId="19108"/>
    <cellStyle name="Normal 2 15 2 3 2 13" xfId="20861"/>
    <cellStyle name="Normal 2 15 2 3 2 14" xfId="22613"/>
    <cellStyle name="Normal 2 15 2 3 2 15" xfId="24365"/>
    <cellStyle name="Normal 2 15 2 3 2 16" xfId="26117"/>
    <cellStyle name="Normal 2 15 2 3 2 17" xfId="27869"/>
    <cellStyle name="Normal 2 15 2 3 2 18" xfId="29622"/>
    <cellStyle name="Normal 2 15 2 3 2 19" xfId="31374"/>
    <cellStyle name="Normal 2 15 2 3 2 2" xfId="900"/>
    <cellStyle name="Normal 2 15 2 3 2 2 10" xfId="18232"/>
    <cellStyle name="Normal 2 15 2 3 2 2 11" xfId="19984"/>
    <cellStyle name="Normal 2 15 2 3 2 2 12" xfId="21737"/>
    <cellStyle name="Normal 2 15 2 3 2 2 13" xfId="23489"/>
    <cellStyle name="Normal 2 15 2 3 2 2 14" xfId="25241"/>
    <cellStyle name="Normal 2 15 2 3 2 2 15" xfId="26993"/>
    <cellStyle name="Normal 2 15 2 3 2 2 16" xfId="28745"/>
    <cellStyle name="Normal 2 15 2 3 2 2 17" xfId="30498"/>
    <cellStyle name="Normal 2 15 2 3 2 2 18" xfId="32250"/>
    <cellStyle name="Normal 2 15 2 3 2 2 19" xfId="34003"/>
    <cellStyle name="Normal 2 15 2 3 2 2 2" xfId="4214"/>
    <cellStyle name="Normal 2 15 2 3 2 2 20" xfId="36639"/>
    <cellStyle name="Normal 2 15 2 3 2 2 21" xfId="38379"/>
    <cellStyle name="Normal 2 15 2 3 2 2 22" xfId="40132"/>
    <cellStyle name="Normal 2 15 2 3 2 2 23" xfId="41887"/>
    <cellStyle name="Normal 2 15 2 3 2 2 24" xfId="43639"/>
    <cellStyle name="Normal 2 15 2 3 2 2 25" xfId="46257"/>
    <cellStyle name="Normal 2 15 2 3 2 2 26" xfId="48009"/>
    <cellStyle name="Normal 2 15 2 3 2 2 27" xfId="49761"/>
    <cellStyle name="Normal 2 15 2 3 2 2 28" xfId="51513"/>
    <cellStyle name="Normal 2 15 2 3 2 2 29" xfId="53265"/>
    <cellStyle name="Normal 2 15 2 3 2 2 3" xfId="5966"/>
    <cellStyle name="Normal 2 15 2 3 2 2 30" xfId="55017"/>
    <cellStyle name="Normal 2 15 2 3 2 2 31" xfId="56769"/>
    <cellStyle name="Normal 2 15 2 3 2 2 32" xfId="58522"/>
    <cellStyle name="Normal 2 15 2 3 2 2 33" xfId="60274"/>
    <cellStyle name="Normal 2 15 2 3 2 2 34" xfId="62026"/>
    <cellStyle name="Normal 2 15 2 3 2 2 4" xfId="7718"/>
    <cellStyle name="Normal 2 15 2 3 2 2 5" xfId="9470"/>
    <cellStyle name="Normal 2 15 2 3 2 2 6" xfId="11223"/>
    <cellStyle name="Normal 2 15 2 3 2 2 7" xfId="12975"/>
    <cellStyle name="Normal 2 15 2 3 2 2 8" xfId="14727"/>
    <cellStyle name="Normal 2 15 2 3 2 2 9" xfId="16479"/>
    <cellStyle name="Normal 2 15 2 3 2 20" xfId="33127"/>
    <cellStyle name="Normal 2 15 2 3 2 21" xfId="34403"/>
    <cellStyle name="Normal 2 15 2 3 2 22" xfId="35763"/>
    <cellStyle name="Normal 2 15 2 3 2 23" xfId="37024"/>
    <cellStyle name="Normal 2 15 2 3 2 24" xfId="39256"/>
    <cellStyle name="Normal 2 15 2 3 2 25" xfId="41011"/>
    <cellStyle name="Normal 2 15 2 3 2 26" xfId="42763"/>
    <cellStyle name="Normal 2 15 2 3 2 27" xfId="44024"/>
    <cellStyle name="Normal 2 15 2 3 2 28" xfId="45381"/>
    <cellStyle name="Normal 2 15 2 3 2 29" xfId="47133"/>
    <cellStyle name="Normal 2 15 2 3 2 3" xfId="3338"/>
    <cellStyle name="Normal 2 15 2 3 2 30" xfId="48885"/>
    <cellStyle name="Normal 2 15 2 3 2 31" xfId="50637"/>
    <cellStyle name="Normal 2 15 2 3 2 32" xfId="52389"/>
    <cellStyle name="Normal 2 15 2 3 2 33" xfId="54141"/>
    <cellStyle name="Normal 2 15 2 3 2 34" xfId="55893"/>
    <cellStyle name="Normal 2 15 2 3 2 35" xfId="57646"/>
    <cellStyle name="Normal 2 15 2 3 2 36" xfId="59398"/>
    <cellStyle name="Normal 2 15 2 3 2 37" xfId="61150"/>
    <cellStyle name="Normal 2 15 2 3 2 38" xfId="62411"/>
    <cellStyle name="Normal 2 15 2 3 2 39" xfId="63277"/>
    <cellStyle name="Normal 2 15 2 3 2 4" xfId="5090"/>
    <cellStyle name="Normal 2 15 2 3 2 5" xfId="6842"/>
    <cellStyle name="Normal 2 15 2 3 2 6" xfId="8594"/>
    <cellStyle name="Normal 2 15 2 3 2 7" xfId="10347"/>
    <cellStyle name="Normal 2 15 2 3 2 8" xfId="12099"/>
    <cellStyle name="Normal 2 15 2 3 2 9" xfId="13851"/>
    <cellStyle name="Normal 2 15 2 3 20" xfId="30938"/>
    <cellStyle name="Normal 2 15 2 3 21" xfId="32691"/>
    <cellStyle name="Normal 2 15 2 3 22" xfId="34402"/>
    <cellStyle name="Normal 2 15 2 3 23" xfId="35327"/>
    <cellStyle name="Normal 2 15 2 3 24" xfId="37023"/>
    <cellStyle name="Normal 2 15 2 3 25" xfId="38820"/>
    <cellStyle name="Normal 2 15 2 3 26" xfId="40575"/>
    <cellStyle name="Normal 2 15 2 3 27" xfId="42327"/>
    <cellStyle name="Normal 2 15 2 3 28" xfId="44023"/>
    <cellStyle name="Normal 2 15 2 3 29" xfId="44945"/>
    <cellStyle name="Normal 2 15 2 3 3" xfId="901"/>
    <cellStyle name="Normal 2 15 2 3 3 10" xfId="17796"/>
    <cellStyle name="Normal 2 15 2 3 3 11" xfId="19548"/>
    <cellStyle name="Normal 2 15 2 3 3 12" xfId="21301"/>
    <cellStyle name="Normal 2 15 2 3 3 13" xfId="23053"/>
    <cellStyle name="Normal 2 15 2 3 3 14" xfId="24805"/>
    <cellStyle name="Normal 2 15 2 3 3 15" xfId="26557"/>
    <cellStyle name="Normal 2 15 2 3 3 16" xfId="28309"/>
    <cellStyle name="Normal 2 15 2 3 3 17" xfId="30062"/>
    <cellStyle name="Normal 2 15 2 3 3 18" xfId="31814"/>
    <cellStyle name="Normal 2 15 2 3 3 19" xfId="33567"/>
    <cellStyle name="Normal 2 15 2 3 3 2" xfId="3778"/>
    <cellStyle name="Normal 2 15 2 3 3 20" xfId="36203"/>
    <cellStyle name="Normal 2 15 2 3 3 21" xfId="37943"/>
    <cellStyle name="Normal 2 15 2 3 3 22" xfId="39696"/>
    <cellStyle name="Normal 2 15 2 3 3 23" xfId="41451"/>
    <cellStyle name="Normal 2 15 2 3 3 24" xfId="43203"/>
    <cellStyle name="Normal 2 15 2 3 3 25" xfId="45821"/>
    <cellStyle name="Normal 2 15 2 3 3 26" xfId="47573"/>
    <cellStyle name="Normal 2 15 2 3 3 27" xfId="49325"/>
    <cellStyle name="Normal 2 15 2 3 3 28" xfId="51077"/>
    <cellStyle name="Normal 2 15 2 3 3 29" xfId="52829"/>
    <cellStyle name="Normal 2 15 2 3 3 3" xfId="5530"/>
    <cellStyle name="Normal 2 15 2 3 3 30" xfId="54581"/>
    <cellStyle name="Normal 2 15 2 3 3 31" xfId="56333"/>
    <cellStyle name="Normal 2 15 2 3 3 32" xfId="58086"/>
    <cellStyle name="Normal 2 15 2 3 3 33" xfId="59838"/>
    <cellStyle name="Normal 2 15 2 3 3 34" xfId="61590"/>
    <cellStyle name="Normal 2 15 2 3 3 4" xfId="7282"/>
    <cellStyle name="Normal 2 15 2 3 3 5" xfId="9034"/>
    <cellStyle name="Normal 2 15 2 3 3 6" xfId="10787"/>
    <cellStyle name="Normal 2 15 2 3 3 7" xfId="12539"/>
    <cellStyle name="Normal 2 15 2 3 3 8" xfId="14291"/>
    <cellStyle name="Normal 2 15 2 3 3 9" xfId="16043"/>
    <cellStyle name="Normal 2 15 2 3 30" xfId="46697"/>
    <cellStyle name="Normal 2 15 2 3 31" xfId="48449"/>
    <cellStyle name="Normal 2 15 2 3 32" xfId="50201"/>
    <cellStyle name="Normal 2 15 2 3 33" xfId="51953"/>
    <cellStyle name="Normal 2 15 2 3 34" xfId="53705"/>
    <cellStyle name="Normal 2 15 2 3 35" xfId="55457"/>
    <cellStyle name="Normal 2 15 2 3 36" xfId="57210"/>
    <cellStyle name="Normal 2 15 2 3 37" xfId="58962"/>
    <cellStyle name="Normal 2 15 2 3 38" xfId="60714"/>
    <cellStyle name="Normal 2 15 2 3 39" xfId="62410"/>
    <cellStyle name="Normal 2 15 2 3 4" xfId="2902"/>
    <cellStyle name="Normal 2 15 2 3 40" xfId="63276"/>
    <cellStyle name="Normal 2 15 2 3 5" xfId="4654"/>
    <cellStyle name="Normal 2 15 2 3 6" xfId="6406"/>
    <cellStyle name="Normal 2 15 2 3 7" xfId="8158"/>
    <cellStyle name="Normal 2 15 2 3 8" xfId="9911"/>
    <cellStyle name="Normal 2 15 2 3 9" xfId="11663"/>
    <cellStyle name="Normal 2 15 2 30" xfId="44018"/>
    <cellStyle name="Normal 2 15 2 31" xfId="44750"/>
    <cellStyle name="Normal 2 15 2 32" xfId="46502"/>
    <cellStyle name="Normal 2 15 2 33" xfId="48254"/>
    <cellStyle name="Normal 2 15 2 34" xfId="50006"/>
    <cellStyle name="Normal 2 15 2 35" xfId="51758"/>
    <cellStyle name="Normal 2 15 2 36" xfId="53510"/>
    <cellStyle name="Normal 2 15 2 37" xfId="55262"/>
    <cellStyle name="Normal 2 15 2 38" xfId="57015"/>
    <cellStyle name="Normal 2 15 2 39" xfId="58767"/>
    <cellStyle name="Normal 2 15 2 4" xfId="902"/>
    <cellStyle name="Normal 2 15 2 4 10" xfId="15408"/>
    <cellStyle name="Normal 2 15 2 4 11" xfId="17161"/>
    <cellStyle name="Normal 2 15 2 4 12" xfId="18913"/>
    <cellStyle name="Normal 2 15 2 4 13" xfId="20666"/>
    <cellStyle name="Normal 2 15 2 4 14" xfId="22418"/>
    <cellStyle name="Normal 2 15 2 4 15" xfId="24170"/>
    <cellStyle name="Normal 2 15 2 4 16" xfId="25922"/>
    <cellStyle name="Normal 2 15 2 4 17" xfId="27674"/>
    <cellStyle name="Normal 2 15 2 4 18" xfId="29427"/>
    <cellStyle name="Normal 2 15 2 4 19" xfId="31179"/>
    <cellStyle name="Normal 2 15 2 4 2" xfId="903"/>
    <cellStyle name="Normal 2 15 2 4 2 10" xfId="18037"/>
    <cellStyle name="Normal 2 15 2 4 2 11" xfId="19789"/>
    <cellStyle name="Normal 2 15 2 4 2 12" xfId="21542"/>
    <cellStyle name="Normal 2 15 2 4 2 13" xfId="23294"/>
    <cellStyle name="Normal 2 15 2 4 2 14" xfId="25046"/>
    <cellStyle name="Normal 2 15 2 4 2 15" xfId="26798"/>
    <cellStyle name="Normal 2 15 2 4 2 16" xfId="28550"/>
    <cellStyle name="Normal 2 15 2 4 2 17" xfId="30303"/>
    <cellStyle name="Normal 2 15 2 4 2 18" xfId="32055"/>
    <cellStyle name="Normal 2 15 2 4 2 19" xfId="33808"/>
    <cellStyle name="Normal 2 15 2 4 2 2" xfId="4019"/>
    <cellStyle name="Normal 2 15 2 4 2 20" xfId="36444"/>
    <cellStyle name="Normal 2 15 2 4 2 21" xfId="38184"/>
    <cellStyle name="Normal 2 15 2 4 2 22" xfId="39937"/>
    <cellStyle name="Normal 2 15 2 4 2 23" xfId="41692"/>
    <cellStyle name="Normal 2 15 2 4 2 24" xfId="43444"/>
    <cellStyle name="Normal 2 15 2 4 2 25" xfId="46062"/>
    <cellStyle name="Normal 2 15 2 4 2 26" xfId="47814"/>
    <cellStyle name="Normal 2 15 2 4 2 27" xfId="49566"/>
    <cellStyle name="Normal 2 15 2 4 2 28" xfId="51318"/>
    <cellStyle name="Normal 2 15 2 4 2 29" xfId="53070"/>
    <cellStyle name="Normal 2 15 2 4 2 3" xfId="5771"/>
    <cellStyle name="Normal 2 15 2 4 2 30" xfId="54822"/>
    <cellStyle name="Normal 2 15 2 4 2 31" xfId="56574"/>
    <cellStyle name="Normal 2 15 2 4 2 32" xfId="58327"/>
    <cellStyle name="Normal 2 15 2 4 2 33" xfId="60079"/>
    <cellStyle name="Normal 2 15 2 4 2 34" xfId="61831"/>
    <cellStyle name="Normal 2 15 2 4 2 4" xfId="7523"/>
    <cellStyle name="Normal 2 15 2 4 2 5" xfId="9275"/>
    <cellStyle name="Normal 2 15 2 4 2 6" xfId="11028"/>
    <cellStyle name="Normal 2 15 2 4 2 7" xfId="12780"/>
    <cellStyle name="Normal 2 15 2 4 2 8" xfId="14532"/>
    <cellStyle name="Normal 2 15 2 4 2 9" xfId="16284"/>
    <cellStyle name="Normal 2 15 2 4 20" xfId="32932"/>
    <cellStyle name="Normal 2 15 2 4 21" xfId="34404"/>
    <cellStyle name="Normal 2 15 2 4 22" xfId="35568"/>
    <cellStyle name="Normal 2 15 2 4 23" xfId="37025"/>
    <cellStyle name="Normal 2 15 2 4 24" xfId="39061"/>
    <cellStyle name="Normal 2 15 2 4 25" xfId="40816"/>
    <cellStyle name="Normal 2 15 2 4 26" xfId="42568"/>
    <cellStyle name="Normal 2 15 2 4 27" xfId="44025"/>
    <cellStyle name="Normal 2 15 2 4 28" xfId="45186"/>
    <cellStyle name="Normal 2 15 2 4 29" xfId="46938"/>
    <cellStyle name="Normal 2 15 2 4 3" xfId="3143"/>
    <cellStyle name="Normal 2 15 2 4 30" xfId="48690"/>
    <cellStyle name="Normal 2 15 2 4 31" xfId="50442"/>
    <cellStyle name="Normal 2 15 2 4 32" xfId="52194"/>
    <cellStyle name="Normal 2 15 2 4 33" xfId="53946"/>
    <cellStyle name="Normal 2 15 2 4 34" xfId="55698"/>
    <cellStyle name="Normal 2 15 2 4 35" xfId="57451"/>
    <cellStyle name="Normal 2 15 2 4 36" xfId="59203"/>
    <cellStyle name="Normal 2 15 2 4 37" xfId="60955"/>
    <cellStyle name="Normal 2 15 2 4 38" xfId="62412"/>
    <cellStyle name="Normal 2 15 2 4 39" xfId="63278"/>
    <cellStyle name="Normal 2 15 2 4 4" xfId="4895"/>
    <cellStyle name="Normal 2 15 2 4 5" xfId="6647"/>
    <cellStyle name="Normal 2 15 2 4 6" xfId="8399"/>
    <cellStyle name="Normal 2 15 2 4 7" xfId="10152"/>
    <cellStyle name="Normal 2 15 2 4 8" xfId="11904"/>
    <cellStyle name="Normal 2 15 2 4 9" xfId="13656"/>
    <cellStyle name="Normal 2 15 2 40" xfId="60519"/>
    <cellStyle name="Normal 2 15 2 41" xfId="62405"/>
    <cellStyle name="Normal 2 15 2 42" xfId="63271"/>
    <cellStyle name="Normal 2 15 2 5" xfId="904"/>
    <cellStyle name="Normal 2 15 2 5 10" xfId="17601"/>
    <cellStyle name="Normal 2 15 2 5 11" xfId="19353"/>
    <cellStyle name="Normal 2 15 2 5 12" xfId="21106"/>
    <cellStyle name="Normal 2 15 2 5 13" xfId="22858"/>
    <cellStyle name="Normal 2 15 2 5 14" xfId="24610"/>
    <cellStyle name="Normal 2 15 2 5 15" xfId="26362"/>
    <cellStyle name="Normal 2 15 2 5 16" xfId="28114"/>
    <cellStyle name="Normal 2 15 2 5 17" xfId="29867"/>
    <cellStyle name="Normal 2 15 2 5 18" xfId="31619"/>
    <cellStyle name="Normal 2 15 2 5 19" xfId="33372"/>
    <cellStyle name="Normal 2 15 2 5 2" xfId="3583"/>
    <cellStyle name="Normal 2 15 2 5 20" xfId="36008"/>
    <cellStyle name="Normal 2 15 2 5 21" xfId="37729"/>
    <cellStyle name="Normal 2 15 2 5 22" xfId="39501"/>
    <cellStyle name="Normal 2 15 2 5 23" xfId="41256"/>
    <cellStyle name="Normal 2 15 2 5 24" xfId="43008"/>
    <cellStyle name="Normal 2 15 2 5 25" xfId="45626"/>
    <cellStyle name="Normal 2 15 2 5 26" xfId="47378"/>
    <cellStyle name="Normal 2 15 2 5 27" xfId="49130"/>
    <cellStyle name="Normal 2 15 2 5 28" xfId="50882"/>
    <cellStyle name="Normal 2 15 2 5 29" xfId="52634"/>
    <cellStyle name="Normal 2 15 2 5 3" xfId="5335"/>
    <cellStyle name="Normal 2 15 2 5 30" xfId="54386"/>
    <cellStyle name="Normal 2 15 2 5 31" xfId="56138"/>
    <cellStyle name="Normal 2 15 2 5 32" xfId="57891"/>
    <cellStyle name="Normal 2 15 2 5 33" xfId="59643"/>
    <cellStyle name="Normal 2 15 2 5 34" xfId="61395"/>
    <cellStyle name="Normal 2 15 2 5 4" xfId="7087"/>
    <cellStyle name="Normal 2 15 2 5 5" xfId="8839"/>
    <cellStyle name="Normal 2 15 2 5 6" xfId="10592"/>
    <cellStyle name="Normal 2 15 2 5 7" xfId="12344"/>
    <cellStyle name="Normal 2 15 2 5 8" xfId="14096"/>
    <cellStyle name="Normal 2 15 2 5 9" xfId="15848"/>
    <cellStyle name="Normal 2 15 2 6" xfId="2707"/>
    <cellStyle name="Normal 2 15 2 7" xfId="4459"/>
    <cellStyle name="Normal 2 15 2 8" xfId="6211"/>
    <cellStyle name="Normal 2 15 2 9" xfId="7963"/>
    <cellStyle name="Normal 2 15 20" xfId="25431"/>
    <cellStyle name="Normal 2 15 21" xfId="27183"/>
    <cellStyle name="Normal 2 15 22" xfId="28936"/>
    <cellStyle name="Normal 2 15 23" xfId="30688"/>
    <cellStyle name="Normal 2 15 24" xfId="32441"/>
    <cellStyle name="Normal 2 15 25" xfId="34396"/>
    <cellStyle name="Normal 2 15 26" xfId="35077"/>
    <cellStyle name="Normal 2 15 27" xfId="37017"/>
    <cellStyle name="Normal 2 15 28" xfId="38570"/>
    <cellStyle name="Normal 2 15 29" xfId="40325"/>
    <cellStyle name="Normal 2 15 3" xfId="905"/>
    <cellStyle name="Normal 2 15 3 10" xfId="11521"/>
    <cellStyle name="Normal 2 15 3 11" xfId="13273"/>
    <cellStyle name="Normal 2 15 3 12" xfId="15025"/>
    <cellStyle name="Normal 2 15 3 13" xfId="16778"/>
    <cellStyle name="Normal 2 15 3 14" xfId="18530"/>
    <cellStyle name="Normal 2 15 3 15" xfId="20283"/>
    <cellStyle name="Normal 2 15 3 16" xfId="22035"/>
    <cellStyle name="Normal 2 15 3 17" xfId="23787"/>
    <cellStyle name="Normal 2 15 3 18" xfId="25539"/>
    <cellStyle name="Normal 2 15 3 19" xfId="27291"/>
    <cellStyle name="Normal 2 15 3 2" xfId="906"/>
    <cellStyle name="Normal 2 15 3 2 10" xfId="13416"/>
    <cellStyle name="Normal 2 15 3 2 11" xfId="15168"/>
    <cellStyle name="Normal 2 15 3 2 12" xfId="16921"/>
    <cellStyle name="Normal 2 15 3 2 13" xfId="18673"/>
    <cellStyle name="Normal 2 15 3 2 14" xfId="20426"/>
    <cellStyle name="Normal 2 15 3 2 15" xfId="22178"/>
    <cellStyle name="Normal 2 15 3 2 16" xfId="23930"/>
    <cellStyle name="Normal 2 15 3 2 17" xfId="25682"/>
    <cellStyle name="Normal 2 15 3 2 18" xfId="27434"/>
    <cellStyle name="Normal 2 15 3 2 19" xfId="29187"/>
    <cellStyle name="Normal 2 15 3 2 2" xfId="907"/>
    <cellStyle name="Normal 2 15 3 2 2 10" xfId="15604"/>
    <cellStyle name="Normal 2 15 3 2 2 11" xfId="17357"/>
    <cellStyle name="Normal 2 15 3 2 2 12" xfId="19109"/>
    <cellStyle name="Normal 2 15 3 2 2 13" xfId="20862"/>
    <cellStyle name="Normal 2 15 3 2 2 14" xfId="22614"/>
    <cellStyle name="Normal 2 15 3 2 2 15" xfId="24366"/>
    <cellStyle name="Normal 2 15 3 2 2 16" xfId="26118"/>
    <cellStyle name="Normal 2 15 3 2 2 17" xfId="27870"/>
    <cellStyle name="Normal 2 15 3 2 2 18" xfId="29623"/>
    <cellStyle name="Normal 2 15 3 2 2 19" xfId="31375"/>
    <cellStyle name="Normal 2 15 3 2 2 2" xfId="908"/>
    <cellStyle name="Normal 2 15 3 2 2 2 10" xfId="18233"/>
    <cellStyle name="Normal 2 15 3 2 2 2 11" xfId="19985"/>
    <cellStyle name="Normal 2 15 3 2 2 2 12" xfId="21738"/>
    <cellStyle name="Normal 2 15 3 2 2 2 13" xfId="23490"/>
    <cellStyle name="Normal 2 15 3 2 2 2 14" xfId="25242"/>
    <cellStyle name="Normal 2 15 3 2 2 2 15" xfId="26994"/>
    <cellStyle name="Normal 2 15 3 2 2 2 16" xfId="28746"/>
    <cellStyle name="Normal 2 15 3 2 2 2 17" xfId="30499"/>
    <cellStyle name="Normal 2 15 3 2 2 2 18" xfId="32251"/>
    <cellStyle name="Normal 2 15 3 2 2 2 19" xfId="34004"/>
    <cellStyle name="Normal 2 15 3 2 2 2 2" xfId="4215"/>
    <cellStyle name="Normal 2 15 3 2 2 2 20" xfId="36640"/>
    <cellStyle name="Normal 2 15 3 2 2 2 21" xfId="38380"/>
    <cellStyle name="Normal 2 15 3 2 2 2 22" xfId="40133"/>
    <cellStyle name="Normal 2 15 3 2 2 2 23" xfId="41888"/>
    <cellStyle name="Normal 2 15 3 2 2 2 24" xfId="43640"/>
    <cellStyle name="Normal 2 15 3 2 2 2 25" xfId="46258"/>
    <cellStyle name="Normal 2 15 3 2 2 2 26" xfId="48010"/>
    <cellStyle name="Normal 2 15 3 2 2 2 27" xfId="49762"/>
    <cellStyle name="Normal 2 15 3 2 2 2 28" xfId="51514"/>
    <cellStyle name="Normal 2 15 3 2 2 2 29" xfId="53266"/>
    <cellStyle name="Normal 2 15 3 2 2 2 3" xfId="5967"/>
    <cellStyle name="Normal 2 15 3 2 2 2 30" xfId="55018"/>
    <cellStyle name="Normal 2 15 3 2 2 2 31" xfId="56770"/>
    <cellStyle name="Normal 2 15 3 2 2 2 32" xfId="58523"/>
    <cellStyle name="Normal 2 15 3 2 2 2 33" xfId="60275"/>
    <cellStyle name="Normal 2 15 3 2 2 2 34" xfId="62027"/>
    <cellStyle name="Normal 2 15 3 2 2 2 4" xfId="7719"/>
    <cellStyle name="Normal 2 15 3 2 2 2 5" xfId="9471"/>
    <cellStyle name="Normal 2 15 3 2 2 2 6" xfId="11224"/>
    <cellStyle name="Normal 2 15 3 2 2 2 7" xfId="12976"/>
    <cellStyle name="Normal 2 15 3 2 2 2 8" xfId="14728"/>
    <cellStyle name="Normal 2 15 3 2 2 2 9" xfId="16480"/>
    <cellStyle name="Normal 2 15 3 2 2 20" xfId="33128"/>
    <cellStyle name="Normal 2 15 3 2 2 21" xfId="34407"/>
    <cellStyle name="Normal 2 15 3 2 2 22" xfId="35764"/>
    <cellStyle name="Normal 2 15 3 2 2 23" xfId="37028"/>
    <cellStyle name="Normal 2 15 3 2 2 24" xfId="39257"/>
    <cellStyle name="Normal 2 15 3 2 2 25" xfId="41012"/>
    <cellStyle name="Normal 2 15 3 2 2 26" xfId="42764"/>
    <cellStyle name="Normal 2 15 3 2 2 27" xfId="44028"/>
    <cellStyle name="Normal 2 15 3 2 2 28" xfId="45382"/>
    <cellStyle name="Normal 2 15 3 2 2 29" xfId="47134"/>
    <cellStyle name="Normal 2 15 3 2 2 3" xfId="3339"/>
    <cellStyle name="Normal 2 15 3 2 2 30" xfId="48886"/>
    <cellStyle name="Normal 2 15 3 2 2 31" xfId="50638"/>
    <cellStyle name="Normal 2 15 3 2 2 32" xfId="52390"/>
    <cellStyle name="Normal 2 15 3 2 2 33" xfId="54142"/>
    <cellStyle name="Normal 2 15 3 2 2 34" xfId="55894"/>
    <cellStyle name="Normal 2 15 3 2 2 35" xfId="57647"/>
    <cellStyle name="Normal 2 15 3 2 2 36" xfId="59399"/>
    <cellStyle name="Normal 2 15 3 2 2 37" xfId="61151"/>
    <cellStyle name="Normal 2 15 3 2 2 38" xfId="62415"/>
    <cellStyle name="Normal 2 15 3 2 2 39" xfId="63281"/>
    <cellStyle name="Normal 2 15 3 2 2 4" xfId="5091"/>
    <cellStyle name="Normal 2 15 3 2 2 5" xfId="6843"/>
    <cellStyle name="Normal 2 15 3 2 2 6" xfId="8595"/>
    <cellStyle name="Normal 2 15 3 2 2 7" xfId="10348"/>
    <cellStyle name="Normal 2 15 3 2 2 8" xfId="12100"/>
    <cellStyle name="Normal 2 15 3 2 2 9" xfId="13852"/>
    <cellStyle name="Normal 2 15 3 2 20" xfId="30939"/>
    <cellStyle name="Normal 2 15 3 2 21" xfId="32692"/>
    <cellStyle name="Normal 2 15 3 2 22" xfId="34406"/>
    <cellStyle name="Normal 2 15 3 2 23" xfId="35328"/>
    <cellStyle name="Normal 2 15 3 2 24" xfId="37027"/>
    <cellStyle name="Normal 2 15 3 2 25" xfId="38821"/>
    <cellStyle name="Normal 2 15 3 2 26" xfId="40576"/>
    <cellStyle name="Normal 2 15 3 2 27" xfId="42328"/>
    <cellStyle name="Normal 2 15 3 2 28" xfId="44027"/>
    <cellStyle name="Normal 2 15 3 2 29" xfId="44946"/>
    <cellStyle name="Normal 2 15 3 2 3" xfId="909"/>
    <cellStyle name="Normal 2 15 3 2 3 10" xfId="17797"/>
    <cellStyle name="Normal 2 15 3 2 3 11" xfId="19549"/>
    <cellStyle name="Normal 2 15 3 2 3 12" xfId="21302"/>
    <cellStyle name="Normal 2 15 3 2 3 13" xfId="23054"/>
    <cellStyle name="Normal 2 15 3 2 3 14" xfId="24806"/>
    <cellStyle name="Normal 2 15 3 2 3 15" xfId="26558"/>
    <cellStyle name="Normal 2 15 3 2 3 16" xfId="28310"/>
    <cellStyle name="Normal 2 15 3 2 3 17" xfId="30063"/>
    <cellStyle name="Normal 2 15 3 2 3 18" xfId="31815"/>
    <cellStyle name="Normal 2 15 3 2 3 19" xfId="33568"/>
    <cellStyle name="Normal 2 15 3 2 3 2" xfId="3779"/>
    <cellStyle name="Normal 2 15 3 2 3 20" xfId="36204"/>
    <cellStyle name="Normal 2 15 3 2 3 21" xfId="37944"/>
    <cellStyle name="Normal 2 15 3 2 3 22" xfId="39697"/>
    <cellStyle name="Normal 2 15 3 2 3 23" xfId="41452"/>
    <cellStyle name="Normal 2 15 3 2 3 24" xfId="43204"/>
    <cellStyle name="Normal 2 15 3 2 3 25" xfId="45822"/>
    <cellStyle name="Normal 2 15 3 2 3 26" xfId="47574"/>
    <cellStyle name="Normal 2 15 3 2 3 27" xfId="49326"/>
    <cellStyle name="Normal 2 15 3 2 3 28" xfId="51078"/>
    <cellStyle name="Normal 2 15 3 2 3 29" xfId="52830"/>
    <cellStyle name="Normal 2 15 3 2 3 3" xfId="5531"/>
    <cellStyle name="Normal 2 15 3 2 3 30" xfId="54582"/>
    <cellStyle name="Normal 2 15 3 2 3 31" xfId="56334"/>
    <cellStyle name="Normal 2 15 3 2 3 32" xfId="58087"/>
    <cellStyle name="Normal 2 15 3 2 3 33" xfId="59839"/>
    <cellStyle name="Normal 2 15 3 2 3 34" xfId="61591"/>
    <cellStyle name="Normal 2 15 3 2 3 4" xfId="7283"/>
    <cellStyle name="Normal 2 15 3 2 3 5" xfId="9035"/>
    <cellStyle name="Normal 2 15 3 2 3 6" xfId="10788"/>
    <cellStyle name="Normal 2 15 3 2 3 7" xfId="12540"/>
    <cellStyle name="Normal 2 15 3 2 3 8" xfId="14292"/>
    <cellStyle name="Normal 2 15 3 2 3 9" xfId="16044"/>
    <cellStyle name="Normal 2 15 3 2 30" xfId="46698"/>
    <cellStyle name="Normal 2 15 3 2 31" xfId="48450"/>
    <cellStyle name="Normal 2 15 3 2 32" xfId="50202"/>
    <cellStyle name="Normal 2 15 3 2 33" xfId="51954"/>
    <cellStyle name="Normal 2 15 3 2 34" xfId="53706"/>
    <cellStyle name="Normal 2 15 3 2 35" xfId="55458"/>
    <cellStyle name="Normal 2 15 3 2 36" xfId="57211"/>
    <cellStyle name="Normal 2 15 3 2 37" xfId="58963"/>
    <cellStyle name="Normal 2 15 3 2 38" xfId="60715"/>
    <cellStyle name="Normal 2 15 3 2 39" xfId="62414"/>
    <cellStyle name="Normal 2 15 3 2 4" xfId="2903"/>
    <cellStyle name="Normal 2 15 3 2 40" xfId="63280"/>
    <cellStyle name="Normal 2 15 3 2 5" xfId="4655"/>
    <cellStyle name="Normal 2 15 3 2 6" xfId="6407"/>
    <cellStyle name="Normal 2 15 3 2 7" xfId="8159"/>
    <cellStyle name="Normal 2 15 3 2 8" xfId="9912"/>
    <cellStyle name="Normal 2 15 3 2 9" xfId="11664"/>
    <cellStyle name="Normal 2 15 3 20" xfId="29044"/>
    <cellStyle name="Normal 2 15 3 21" xfId="30796"/>
    <cellStyle name="Normal 2 15 3 22" xfId="32549"/>
    <cellStyle name="Normal 2 15 3 23" xfId="34405"/>
    <cellStyle name="Normal 2 15 3 24" xfId="35185"/>
    <cellStyle name="Normal 2 15 3 25" xfId="37026"/>
    <cellStyle name="Normal 2 15 3 26" xfId="38678"/>
    <cellStyle name="Normal 2 15 3 27" xfId="40433"/>
    <cellStyle name="Normal 2 15 3 28" xfId="42185"/>
    <cellStyle name="Normal 2 15 3 29" xfId="44026"/>
    <cellStyle name="Normal 2 15 3 3" xfId="910"/>
    <cellStyle name="Normal 2 15 3 3 10" xfId="15461"/>
    <cellStyle name="Normal 2 15 3 3 11" xfId="17214"/>
    <cellStyle name="Normal 2 15 3 3 12" xfId="18966"/>
    <cellStyle name="Normal 2 15 3 3 13" xfId="20719"/>
    <cellStyle name="Normal 2 15 3 3 14" xfId="22471"/>
    <cellStyle name="Normal 2 15 3 3 15" xfId="24223"/>
    <cellStyle name="Normal 2 15 3 3 16" xfId="25975"/>
    <cellStyle name="Normal 2 15 3 3 17" xfId="27727"/>
    <cellStyle name="Normal 2 15 3 3 18" xfId="29480"/>
    <cellStyle name="Normal 2 15 3 3 19" xfId="31232"/>
    <cellStyle name="Normal 2 15 3 3 2" xfId="911"/>
    <cellStyle name="Normal 2 15 3 3 2 10" xfId="18090"/>
    <cellStyle name="Normal 2 15 3 3 2 11" xfId="19842"/>
    <cellStyle name="Normal 2 15 3 3 2 12" xfId="21595"/>
    <cellStyle name="Normal 2 15 3 3 2 13" xfId="23347"/>
    <cellStyle name="Normal 2 15 3 3 2 14" xfId="25099"/>
    <cellStyle name="Normal 2 15 3 3 2 15" xfId="26851"/>
    <cellStyle name="Normal 2 15 3 3 2 16" xfId="28603"/>
    <cellStyle name="Normal 2 15 3 3 2 17" xfId="30356"/>
    <cellStyle name="Normal 2 15 3 3 2 18" xfId="32108"/>
    <cellStyle name="Normal 2 15 3 3 2 19" xfId="33861"/>
    <cellStyle name="Normal 2 15 3 3 2 2" xfId="4072"/>
    <cellStyle name="Normal 2 15 3 3 2 20" xfId="36497"/>
    <cellStyle name="Normal 2 15 3 3 2 21" xfId="38237"/>
    <cellStyle name="Normal 2 15 3 3 2 22" xfId="39990"/>
    <cellStyle name="Normal 2 15 3 3 2 23" xfId="41745"/>
    <cellStyle name="Normal 2 15 3 3 2 24" xfId="43497"/>
    <cellStyle name="Normal 2 15 3 3 2 25" xfId="46115"/>
    <cellStyle name="Normal 2 15 3 3 2 26" xfId="47867"/>
    <cellStyle name="Normal 2 15 3 3 2 27" xfId="49619"/>
    <cellStyle name="Normal 2 15 3 3 2 28" xfId="51371"/>
    <cellStyle name="Normal 2 15 3 3 2 29" xfId="53123"/>
    <cellStyle name="Normal 2 15 3 3 2 3" xfId="5824"/>
    <cellStyle name="Normal 2 15 3 3 2 30" xfId="54875"/>
    <cellStyle name="Normal 2 15 3 3 2 31" xfId="56627"/>
    <cellStyle name="Normal 2 15 3 3 2 32" xfId="58380"/>
    <cellStyle name="Normal 2 15 3 3 2 33" xfId="60132"/>
    <cellStyle name="Normal 2 15 3 3 2 34" xfId="61884"/>
    <cellStyle name="Normal 2 15 3 3 2 4" xfId="7576"/>
    <cellStyle name="Normal 2 15 3 3 2 5" xfId="9328"/>
    <cellStyle name="Normal 2 15 3 3 2 6" xfId="11081"/>
    <cellStyle name="Normal 2 15 3 3 2 7" xfId="12833"/>
    <cellStyle name="Normal 2 15 3 3 2 8" xfId="14585"/>
    <cellStyle name="Normal 2 15 3 3 2 9" xfId="16337"/>
    <cellStyle name="Normal 2 15 3 3 20" xfId="32985"/>
    <cellStyle name="Normal 2 15 3 3 21" xfId="34408"/>
    <cellStyle name="Normal 2 15 3 3 22" xfId="35621"/>
    <cellStyle name="Normal 2 15 3 3 23" xfId="37029"/>
    <cellStyle name="Normal 2 15 3 3 24" xfId="39114"/>
    <cellStyle name="Normal 2 15 3 3 25" xfId="40869"/>
    <cellStyle name="Normal 2 15 3 3 26" xfId="42621"/>
    <cellStyle name="Normal 2 15 3 3 27" xfId="44029"/>
    <cellStyle name="Normal 2 15 3 3 28" xfId="45239"/>
    <cellStyle name="Normal 2 15 3 3 29" xfId="46991"/>
    <cellStyle name="Normal 2 15 3 3 3" xfId="3196"/>
    <cellStyle name="Normal 2 15 3 3 30" xfId="48743"/>
    <cellStyle name="Normal 2 15 3 3 31" xfId="50495"/>
    <cellStyle name="Normal 2 15 3 3 32" xfId="52247"/>
    <cellStyle name="Normal 2 15 3 3 33" xfId="53999"/>
    <cellStyle name="Normal 2 15 3 3 34" xfId="55751"/>
    <cellStyle name="Normal 2 15 3 3 35" xfId="57504"/>
    <cellStyle name="Normal 2 15 3 3 36" xfId="59256"/>
    <cellStyle name="Normal 2 15 3 3 37" xfId="61008"/>
    <cellStyle name="Normal 2 15 3 3 38" xfId="62416"/>
    <cellStyle name="Normal 2 15 3 3 39" xfId="63282"/>
    <cellStyle name="Normal 2 15 3 3 4" xfId="4948"/>
    <cellStyle name="Normal 2 15 3 3 5" xfId="6700"/>
    <cellStyle name="Normal 2 15 3 3 6" xfId="8452"/>
    <cellStyle name="Normal 2 15 3 3 7" xfId="10205"/>
    <cellStyle name="Normal 2 15 3 3 8" xfId="11957"/>
    <cellStyle name="Normal 2 15 3 3 9" xfId="13709"/>
    <cellStyle name="Normal 2 15 3 30" xfId="44803"/>
    <cellStyle name="Normal 2 15 3 31" xfId="46555"/>
    <cellStyle name="Normal 2 15 3 32" xfId="48307"/>
    <cellStyle name="Normal 2 15 3 33" xfId="50059"/>
    <cellStyle name="Normal 2 15 3 34" xfId="51811"/>
    <cellStyle name="Normal 2 15 3 35" xfId="53563"/>
    <cellStyle name="Normal 2 15 3 36" xfId="55315"/>
    <cellStyle name="Normal 2 15 3 37" xfId="57068"/>
    <cellStyle name="Normal 2 15 3 38" xfId="58820"/>
    <cellStyle name="Normal 2 15 3 39" xfId="60572"/>
    <cellStyle name="Normal 2 15 3 4" xfId="912"/>
    <cellStyle name="Normal 2 15 3 4 10" xfId="17654"/>
    <cellStyle name="Normal 2 15 3 4 11" xfId="19406"/>
    <cellStyle name="Normal 2 15 3 4 12" xfId="21159"/>
    <cellStyle name="Normal 2 15 3 4 13" xfId="22911"/>
    <cellStyle name="Normal 2 15 3 4 14" xfId="24663"/>
    <cellStyle name="Normal 2 15 3 4 15" xfId="26415"/>
    <cellStyle name="Normal 2 15 3 4 16" xfId="28167"/>
    <cellStyle name="Normal 2 15 3 4 17" xfId="29920"/>
    <cellStyle name="Normal 2 15 3 4 18" xfId="31672"/>
    <cellStyle name="Normal 2 15 3 4 19" xfId="33425"/>
    <cellStyle name="Normal 2 15 3 4 2" xfId="3636"/>
    <cellStyle name="Normal 2 15 3 4 20" xfId="36061"/>
    <cellStyle name="Normal 2 15 3 4 21" xfId="37801"/>
    <cellStyle name="Normal 2 15 3 4 22" xfId="39554"/>
    <cellStyle name="Normal 2 15 3 4 23" xfId="41309"/>
    <cellStyle name="Normal 2 15 3 4 24" xfId="43061"/>
    <cellStyle name="Normal 2 15 3 4 25" xfId="45679"/>
    <cellStyle name="Normal 2 15 3 4 26" xfId="47431"/>
    <cellStyle name="Normal 2 15 3 4 27" xfId="49183"/>
    <cellStyle name="Normal 2 15 3 4 28" xfId="50935"/>
    <cellStyle name="Normal 2 15 3 4 29" xfId="52687"/>
    <cellStyle name="Normal 2 15 3 4 3" xfId="5388"/>
    <cellStyle name="Normal 2 15 3 4 30" xfId="54439"/>
    <cellStyle name="Normal 2 15 3 4 31" xfId="56191"/>
    <cellStyle name="Normal 2 15 3 4 32" xfId="57944"/>
    <cellStyle name="Normal 2 15 3 4 33" xfId="59696"/>
    <cellStyle name="Normal 2 15 3 4 34" xfId="61448"/>
    <cellStyle name="Normal 2 15 3 4 4" xfId="7140"/>
    <cellStyle name="Normal 2 15 3 4 5" xfId="8892"/>
    <cellStyle name="Normal 2 15 3 4 6" xfId="10645"/>
    <cellStyle name="Normal 2 15 3 4 7" xfId="12397"/>
    <cellStyle name="Normal 2 15 3 4 8" xfId="14149"/>
    <cellStyle name="Normal 2 15 3 4 9" xfId="15901"/>
    <cellStyle name="Normal 2 15 3 40" xfId="62413"/>
    <cellStyle name="Normal 2 15 3 41" xfId="63279"/>
    <cellStyle name="Normal 2 15 3 5" xfId="2760"/>
    <cellStyle name="Normal 2 15 3 6" xfId="4512"/>
    <cellStyle name="Normal 2 15 3 7" xfId="6264"/>
    <cellStyle name="Normal 2 15 3 8" xfId="8016"/>
    <cellStyle name="Normal 2 15 3 9" xfId="9769"/>
    <cellStyle name="Normal 2 15 30" xfId="42077"/>
    <cellStyle name="Normal 2 15 31" xfId="44017"/>
    <cellStyle name="Normal 2 15 32" xfId="44695"/>
    <cellStyle name="Normal 2 15 33" xfId="46447"/>
    <cellStyle name="Normal 2 15 34" xfId="48199"/>
    <cellStyle name="Normal 2 15 35" xfId="49951"/>
    <cellStyle name="Normal 2 15 36" xfId="51703"/>
    <cellStyle name="Normal 2 15 37" xfId="53455"/>
    <cellStyle name="Normal 2 15 38" xfId="55207"/>
    <cellStyle name="Normal 2 15 39" xfId="56960"/>
    <cellStyle name="Normal 2 15 4" xfId="913"/>
    <cellStyle name="Normal 2 15 4 10" xfId="13417"/>
    <cellStyle name="Normal 2 15 4 11" xfId="15169"/>
    <cellStyle name="Normal 2 15 4 12" xfId="16922"/>
    <cellStyle name="Normal 2 15 4 13" xfId="18674"/>
    <cellStyle name="Normal 2 15 4 14" xfId="20427"/>
    <cellStyle name="Normal 2 15 4 15" xfId="22179"/>
    <cellStyle name="Normal 2 15 4 16" xfId="23931"/>
    <cellStyle name="Normal 2 15 4 17" xfId="25683"/>
    <cellStyle name="Normal 2 15 4 18" xfId="27435"/>
    <cellStyle name="Normal 2 15 4 19" xfId="29188"/>
    <cellStyle name="Normal 2 15 4 2" xfId="914"/>
    <cellStyle name="Normal 2 15 4 2 10" xfId="15605"/>
    <cellStyle name="Normal 2 15 4 2 11" xfId="17358"/>
    <cellStyle name="Normal 2 15 4 2 12" xfId="19110"/>
    <cellStyle name="Normal 2 15 4 2 13" xfId="20863"/>
    <cellStyle name="Normal 2 15 4 2 14" xfId="22615"/>
    <cellStyle name="Normal 2 15 4 2 15" xfId="24367"/>
    <cellStyle name="Normal 2 15 4 2 16" xfId="26119"/>
    <cellStyle name="Normal 2 15 4 2 17" xfId="27871"/>
    <cellStyle name="Normal 2 15 4 2 18" xfId="29624"/>
    <cellStyle name="Normal 2 15 4 2 19" xfId="31376"/>
    <cellStyle name="Normal 2 15 4 2 2" xfId="915"/>
    <cellStyle name="Normal 2 15 4 2 2 10" xfId="18234"/>
    <cellStyle name="Normal 2 15 4 2 2 11" xfId="19986"/>
    <cellStyle name="Normal 2 15 4 2 2 12" xfId="21739"/>
    <cellStyle name="Normal 2 15 4 2 2 13" xfId="23491"/>
    <cellStyle name="Normal 2 15 4 2 2 14" xfId="25243"/>
    <cellStyle name="Normal 2 15 4 2 2 15" xfId="26995"/>
    <cellStyle name="Normal 2 15 4 2 2 16" xfId="28747"/>
    <cellStyle name="Normal 2 15 4 2 2 17" xfId="30500"/>
    <cellStyle name="Normal 2 15 4 2 2 18" xfId="32252"/>
    <cellStyle name="Normal 2 15 4 2 2 19" xfId="34005"/>
    <cellStyle name="Normal 2 15 4 2 2 2" xfId="4216"/>
    <cellStyle name="Normal 2 15 4 2 2 20" xfId="36641"/>
    <cellStyle name="Normal 2 15 4 2 2 21" xfId="38381"/>
    <cellStyle name="Normal 2 15 4 2 2 22" xfId="40134"/>
    <cellStyle name="Normal 2 15 4 2 2 23" xfId="41889"/>
    <cellStyle name="Normal 2 15 4 2 2 24" xfId="43641"/>
    <cellStyle name="Normal 2 15 4 2 2 25" xfId="46259"/>
    <cellStyle name="Normal 2 15 4 2 2 26" xfId="48011"/>
    <cellStyle name="Normal 2 15 4 2 2 27" xfId="49763"/>
    <cellStyle name="Normal 2 15 4 2 2 28" xfId="51515"/>
    <cellStyle name="Normal 2 15 4 2 2 29" xfId="53267"/>
    <cellStyle name="Normal 2 15 4 2 2 3" xfId="5968"/>
    <cellStyle name="Normal 2 15 4 2 2 30" xfId="55019"/>
    <cellStyle name="Normal 2 15 4 2 2 31" xfId="56771"/>
    <cellStyle name="Normal 2 15 4 2 2 32" xfId="58524"/>
    <cellStyle name="Normal 2 15 4 2 2 33" xfId="60276"/>
    <cellStyle name="Normal 2 15 4 2 2 34" xfId="62028"/>
    <cellStyle name="Normal 2 15 4 2 2 4" xfId="7720"/>
    <cellStyle name="Normal 2 15 4 2 2 5" xfId="9472"/>
    <cellStyle name="Normal 2 15 4 2 2 6" xfId="11225"/>
    <cellStyle name="Normal 2 15 4 2 2 7" xfId="12977"/>
    <cellStyle name="Normal 2 15 4 2 2 8" xfId="14729"/>
    <cellStyle name="Normal 2 15 4 2 2 9" xfId="16481"/>
    <cellStyle name="Normal 2 15 4 2 20" xfId="33129"/>
    <cellStyle name="Normal 2 15 4 2 21" xfId="34410"/>
    <cellStyle name="Normal 2 15 4 2 22" xfId="35765"/>
    <cellStyle name="Normal 2 15 4 2 23" xfId="37031"/>
    <cellStyle name="Normal 2 15 4 2 24" xfId="39258"/>
    <cellStyle name="Normal 2 15 4 2 25" xfId="41013"/>
    <cellStyle name="Normal 2 15 4 2 26" xfId="42765"/>
    <cellStyle name="Normal 2 15 4 2 27" xfId="44031"/>
    <cellStyle name="Normal 2 15 4 2 28" xfId="45383"/>
    <cellStyle name="Normal 2 15 4 2 29" xfId="47135"/>
    <cellStyle name="Normal 2 15 4 2 3" xfId="3340"/>
    <cellStyle name="Normal 2 15 4 2 30" xfId="48887"/>
    <cellStyle name="Normal 2 15 4 2 31" xfId="50639"/>
    <cellStyle name="Normal 2 15 4 2 32" xfId="52391"/>
    <cellStyle name="Normal 2 15 4 2 33" xfId="54143"/>
    <cellStyle name="Normal 2 15 4 2 34" xfId="55895"/>
    <cellStyle name="Normal 2 15 4 2 35" xfId="57648"/>
    <cellStyle name="Normal 2 15 4 2 36" xfId="59400"/>
    <cellStyle name="Normal 2 15 4 2 37" xfId="61152"/>
    <cellStyle name="Normal 2 15 4 2 38" xfId="62418"/>
    <cellStyle name="Normal 2 15 4 2 39" xfId="63284"/>
    <cellStyle name="Normal 2 15 4 2 4" xfId="5092"/>
    <cellStyle name="Normal 2 15 4 2 5" xfId="6844"/>
    <cellStyle name="Normal 2 15 4 2 6" xfId="8596"/>
    <cellStyle name="Normal 2 15 4 2 7" xfId="10349"/>
    <cellStyle name="Normal 2 15 4 2 8" xfId="12101"/>
    <cellStyle name="Normal 2 15 4 2 9" xfId="13853"/>
    <cellStyle name="Normal 2 15 4 20" xfId="30940"/>
    <cellStyle name="Normal 2 15 4 21" xfId="32693"/>
    <cellStyle name="Normal 2 15 4 22" xfId="34409"/>
    <cellStyle name="Normal 2 15 4 23" xfId="35329"/>
    <cellStyle name="Normal 2 15 4 24" xfId="37030"/>
    <cellStyle name="Normal 2 15 4 25" xfId="38822"/>
    <cellStyle name="Normal 2 15 4 26" xfId="40577"/>
    <cellStyle name="Normal 2 15 4 27" xfId="42329"/>
    <cellStyle name="Normal 2 15 4 28" xfId="44030"/>
    <cellStyle name="Normal 2 15 4 29" xfId="44947"/>
    <cellStyle name="Normal 2 15 4 3" xfId="916"/>
    <cellStyle name="Normal 2 15 4 3 10" xfId="17798"/>
    <cellStyle name="Normal 2 15 4 3 11" xfId="19550"/>
    <cellStyle name="Normal 2 15 4 3 12" xfId="21303"/>
    <cellStyle name="Normal 2 15 4 3 13" xfId="23055"/>
    <cellStyle name="Normal 2 15 4 3 14" xfId="24807"/>
    <cellStyle name="Normal 2 15 4 3 15" xfId="26559"/>
    <cellStyle name="Normal 2 15 4 3 16" xfId="28311"/>
    <cellStyle name="Normal 2 15 4 3 17" xfId="30064"/>
    <cellStyle name="Normal 2 15 4 3 18" xfId="31816"/>
    <cellStyle name="Normal 2 15 4 3 19" xfId="33569"/>
    <cellStyle name="Normal 2 15 4 3 2" xfId="3780"/>
    <cellStyle name="Normal 2 15 4 3 20" xfId="36205"/>
    <cellStyle name="Normal 2 15 4 3 21" xfId="37945"/>
    <cellStyle name="Normal 2 15 4 3 22" xfId="39698"/>
    <cellStyle name="Normal 2 15 4 3 23" xfId="41453"/>
    <cellStyle name="Normal 2 15 4 3 24" xfId="43205"/>
    <cellStyle name="Normal 2 15 4 3 25" xfId="45823"/>
    <cellStyle name="Normal 2 15 4 3 26" xfId="47575"/>
    <cellStyle name="Normal 2 15 4 3 27" xfId="49327"/>
    <cellStyle name="Normal 2 15 4 3 28" xfId="51079"/>
    <cellStyle name="Normal 2 15 4 3 29" xfId="52831"/>
    <cellStyle name="Normal 2 15 4 3 3" xfId="5532"/>
    <cellStyle name="Normal 2 15 4 3 30" xfId="54583"/>
    <cellStyle name="Normal 2 15 4 3 31" xfId="56335"/>
    <cellStyle name="Normal 2 15 4 3 32" xfId="58088"/>
    <cellStyle name="Normal 2 15 4 3 33" xfId="59840"/>
    <cellStyle name="Normal 2 15 4 3 34" xfId="61592"/>
    <cellStyle name="Normal 2 15 4 3 4" xfId="7284"/>
    <cellStyle name="Normal 2 15 4 3 5" xfId="9036"/>
    <cellStyle name="Normal 2 15 4 3 6" xfId="10789"/>
    <cellStyle name="Normal 2 15 4 3 7" xfId="12541"/>
    <cellStyle name="Normal 2 15 4 3 8" xfId="14293"/>
    <cellStyle name="Normal 2 15 4 3 9" xfId="16045"/>
    <cellStyle name="Normal 2 15 4 30" xfId="46699"/>
    <cellStyle name="Normal 2 15 4 31" xfId="48451"/>
    <cellStyle name="Normal 2 15 4 32" xfId="50203"/>
    <cellStyle name="Normal 2 15 4 33" xfId="51955"/>
    <cellStyle name="Normal 2 15 4 34" xfId="53707"/>
    <cellStyle name="Normal 2 15 4 35" xfId="55459"/>
    <cellStyle name="Normal 2 15 4 36" xfId="57212"/>
    <cellStyle name="Normal 2 15 4 37" xfId="58964"/>
    <cellStyle name="Normal 2 15 4 38" xfId="60716"/>
    <cellStyle name="Normal 2 15 4 39" xfId="62417"/>
    <cellStyle name="Normal 2 15 4 4" xfId="2904"/>
    <cellStyle name="Normal 2 15 4 40" xfId="63283"/>
    <cellStyle name="Normal 2 15 4 5" xfId="4656"/>
    <cellStyle name="Normal 2 15 4 6" xfId="6408"/>
    <cellStyle name="Normal 2 15 4 7" xfId="8160"/>
    <cellStyle name="Normal 2 15 4 8" xfId="9913"/>
    <cellStyle name="Normal 2 15 4 9" xfId="11665"/>
    <cellStyle name="Normal 2 15 40" xfId="58712"/>
    <cellStyle name="Normal 2 15 41" xfId="60464"/>
    <cellStyle name="Normal 2 15 42" xfId="62404"/>
    <cellStyle name="Normal 2 15 43" xfId="63270"/>
    <cellStyle name="Normal 2 15 5" xfId="917"/>
    <cellStyle name="Normal 2 15 5 10" xfId="15353"/>
    <cellStyle name="Normal 2 15 5 11" xfId="17106"/>
    <cellStyle name="Normal 2 15 5 12" xfId="18858"/>
    <cellStyle name="Normal 2 15 5 13" xfId="20611"/>
    <cellStyle name="Normal 2 15 5 14" xfId="22363"/>
    <cellStyle name="Normal 2 15 5 15" xfId="24115"/>
    <cellStyle name="Normal 2 15 5 16" xfId="25867"/>
    <cellStyle name="Normal 2 15 5 17" xfId="27619"/>
    <cellStyle name="Normal 2 15 5 18" xfId="29372"/>
    <cellStyle name="Normal 2 15 5 19" xfId="31124"/>
    <cellStyle name="Normal 2 15 5 2" xfId="918"/>
    <cellStyle name="Normal 2 15 5 2 10" xfId="17982"/>
    <cellStyle name="Normal 2 15 5 2 11" xfId="19734"/>
    <cellStyle name="Normal 2 15 5 2 12" xfId="21487"/>
    <cellStyle name="Normal 2 15 5 2 13" xfId="23239"/>
    <cellStyle name="Normal 2 15 5 2 14" xfId="24991"/>
    <cellStyle name="Normal 2 15 5 2 15" xfId="26743"/>
    <cellStyle name="Normal 2 15 5 2 16" xfId="28495"/>
    <cellStyle name="Normal 2 15 5 2 17" xfId="30248"/>
    <cellStyle name="Normal 2 15 5 2 18" xfId="32000"/>
    <cellStyle name="Normal 2 15 5 2 19" xfId="33753"/>
    <cellStyle name="Normal 2 15 5 2 2" xfId="3964"/>
    <cellStyle name="Normal 2 15 5 2 20" xfId="36389"/>
    <cellStyle name="Normal 2 15 5 2 21" xfId="38129"/>
    <cellStyle name="Normal 2 15 5 2 22" xfId="39882"/>
    <cellStyle name="Normal 2 15 5 2 23" xfId="41637"/>
    <cellStyle name="Normal 2 15 5 2 24" xfId="43389"/>
    <cellStyle name="Normal 2 15 5 2 25" xfId="46007"/>
    <cellStyle name="Normal 2 15 5 2 26" xfId="47759"/>
    <cellStyle name="Normal 2 15 5 2 27" xfId="49511"/>
    <cellStyle name="Normal 2 15 5 2 28" xfId="51263"/>
    <cellStyle name="Normal 2 15 5 2 29" xfId="53015"/>
    <cellStyle name="Normal 2 15 5 2 3" xfId="5716"/>
    <cellStyle name="Normal 2 15 5 2 30" xfId="54767"/>
    <cellStyle name="Normal 2 15 5 2 31" xfId="56519"/>
    <cellStyle name="Normal 2 15 5 2 32" xfId="58272"/>
    <cellStyle name="Normal 2 15 5 2 33" xfId="60024"/>
    <cellStyle name="Normal 2 15 5 2 34" xfId="61776"/>
    <cellStyle name="Normal 2 15 5 2 4" xfId="7468"/>
    <cellStyle name="Normal 2 15 5 2 5" xfId="9220"/>
    <cellStyle name="Normal 2 15 5 2 6" xfId="10973"/>
    <cellStyle name="Normal 2 15 5 2 7" xfId="12725"/>
    <cellStyle name="Normal 2 15 5 2 8" xfId="14477"/>
    <cellStyle name="Normal 2 15 5 2 9" xfId="16229"/>
    <cellStyle name="Normal 2 15 5 20" xfId="32877"/>
    <cellStyle name="Normal 2 15 5 21" xfId="34411"/>
    <cellStyle name="Normal 2 15 5 22" xfId="35513"/>
    <cellStyle name="Normal 2 15 5 23" xfId="37032"/>
    <cellStyle name="Normal 2 15 5 24" xfId="39006"/>
    <cellStyle name="Normal 2 15 5 25" xfId="40761"/>
    <cellStyle name="Normal 2 15 5 26" xfId="42513"/>
    <cellStyle name="Normal 2 15 5 27" xfId="44032"/>
    <cellStyle name="Normal 2 15 5 28" xfId="45131"/>
    <cellStyle name="Normal 2 15 5 29" xfId="46883"/>
    <cellStyle name="Normal 2 15 5 3" xfId="3088"/>
    <cellStyle name="Normal 2 15 5 30" xfId="48635"/>
    <cellStyle name="Normal 2 15 5 31" xfId="50387"/>
    <cellStyle name="Normal 2 15 5 32" xfId="52139"/>
    <cellStyle name="Normal 2 15 5 33" xfId="53891"/>
    <cellStyle name="Normal 2 15 5 34" xfId="55643"/>
    <cellStyle name="Normal 2 15 5 35" xfId="57396"/>
    <cellStyle name="Normal 2 15 5 36" xfId="59148"/>
    <cellStyle name="Normal 2 15 5 37" xfId="60900"/>
    <cellStyle name="Normal 2 15 5 38" xfId="62419"/>
    <cellStyle name="Normal 2 15 5 39" xfId="63285"/>
    <cellStyle name="Normal 2 15 5 4" xfId="4840"/>
    <cellStyle name="Normal 2 15 5 5" xfId="6592"/>
    <cellStyle name="Normal 2 15 5 6" xfId="8344"/>
    <cellStyle name="Normal 2 15 5 7" xfId="10097"/>
    <cellStyle name="Normal 2 15 5 8" xfId="11849"/>
    <cellStyle name="Normal 2 15 5 9" xfId="13601"/>
    <cellStyle name="Normal 2 15 6" xfId="919"/>
    <cellStyle name="Normal 2 15 6 10" xfId="17546"/>
    <cellStyle name="Normal 2 15 6 11" xfId="19298"/>
    <cellStyle name="Normal 2 15 6 12" xfId="21051"/>
    <cellStyle name="Normal 2 15 6 13" xfId="22803"/>
    <cellStyle name="Normal 2 15 6 14" xfId="24555"/>
    <cellStyle name="Normal 2 15 6 15" xfId="26307"/>
    <cellStyle name="Normal 2 15 6 16" xfId="28059"/>
    <cellStyle name="Normal 2 15 6 17" xfId="29812"/>
    <cellStyle name="Normal 2 15 6 18" xfId="31564"/>
    <cellStyle name="Normal 2 15 6 19" xfId="33317"/>
    <cellStyle name="Normal 2 15 6 2" xfId="3528"/>
    <cellStyle name="Normal 2 15 6 20" xfId="35953"/>
    <cellStyle name="Normal 2 15 6 21" xfId="37695"/>
    <cellStyle name="Normal 2 15 6 22" xfId="39446"/>
    <cellStyle name="Normal 2 15 6 23" xfId="41201"/>
    <cellStyle name="Normal 2 15 6 24" xfId="42953"/>
    <cellStyle name="Normal 2 15 6 25" xfId="45571"/>
    <cellStyle name="Normal 2 15 6 26" xfId="47323"/>
    <cellStyle name="Normal 2 15 6 27" xfId="49075"/>
    <cellStyle name="Normal 2 15 6 28" xfId="50827"/>
    <cellStyle name="Normal 2 15 6 29" xfId="52579"/>
    <cellStyle name="Normal 2 15 6 3" xfId="5280"/>
    <cellStyle name="Normal 2 15 6 30" xfId="54331"/>
    <cellStyle name="Normal 2 15 6 31" xfId="56083"/>
    <cellStyle name="Normal 2 15 6 32" xfId="57836"/>
    <cellStyle name="Normal 2 15 6 33" xfId="59588"/>
    <cellStyle name="Normal 2 15 6 34" xfId="61340"/>
    <cellStyle name="Normal 2 15 6 4" xfId="7032"/>
    <cellStyle name="Normal 2 15 6 5" xfId="8784"/>
    <cellStyle name="Normal 2 15 6 6" xfId="10537"/>
    <cellStyle name="Normal 2 15 6 7" xfId="12289"/>
    <cellStyle name="Normal 2 15 6 8" xfId="14041"/>
    <cellStyle name="Normal 2 15 6 9" xfId="15793"/>
    <cellStyle name="Normal 2 15 7" xfId="2615"/>
    <cellStyle name="Normal 2 15 8" xfId="4404"/>
    <cellStyle name="Normal 2 15 9" xfId="6156"/>
    <cellStyle name="Normal 2 16" xfId="920"/>
    <cellStyle name="Normal 2 16 10" xfId="7927"/>
    <cellStyle name="Normal 2 16 11" xfId="9680"/>
    <cellStyle name="Normal 2 16 12" xfId="11432"/>
    <cellStyle name="Normal 2 16 13" xfId="13184"/>
    <cellStyle name="Normal 2 16 14" xfId="14936"/>
    <cellStyle name="Normal 2 16 15" xfId="16689"/>
    <cellStyle name="Normal 2 16 16" xfId="18441"/>
    <cellStyle name="Normal 2 16 17" xfId="20194"/>
    <cellStyle name="Normal 2 16 18" xfId="21946"/>
    <cellStyle name="Normal 2 16 19" xfId="23698"/>
    <cellStyle name="Normal 2 16 2" xfId="921"/>
    <cellStyle name="Normal 2 16 2 10" xfId="9735"/>
    <cellStyle name="Normal 2 16 2 11" xfId="11487"/>
    <cellStyle name="Normal 2 16 2 12" xfId="13239"/>
    <cellStyle name="Normal 2 16 2 13" xfId="14991"/>
    <cellStyle name="Normal 2 16 2 14" xfId="16744"/>
    <cellStyle name="Normal 2 16 2 15" xfId="18496"/>
    <cellStyle name="Normal 2 16 2 16" xfId="20249"/>
    <cellStyle name="Normal 2 16 2 17" xfId="22001"/>
    <cellStyle name="Normal 2 16 2 18" xfId="23753"/>
    <cellStyle name="Normal 2 16 2 19" xfId="25505"/>
    <cellStyle name="Normal 2 16 2 2" xfId="922"/>
    <cellStyle name="Normal 2 16 2 2 10" xfId="11595"/>
    <cellStyle name="Normal 2 16 2 2 11" xfId="13347"/>
    <cellStyle name="Normal 2 16 2 2 12" xfId="15099"/>
    <cellStyle name="Normal 2 16 2 2 13" xfId="16852"/>
    <cellStyle name="Normal 2 16 2 2 14" xfId="18604"/>
    <cellStyle name="Normal 2 16 2 2 15" xfId="20357"/>
    <cellStyle name="Normal 2 16 2 2 16" xfId="22109"/>
    <cellStyle name="Normal 2 16 2 2 17" xfId="23861"/>
    <cellStyle name="Normal 2 16 2 2 18" xfId="25613"/>
    <cellStyle name="Normal 2 16 2 2 19" xfId="27365"/>
    <cellStyle name="Normal 2 16 2 2 2" xfId="923"/>
    <cellStyle name="Normal 2 16 2 2 2 10" xfId="13418"/>
    <cellStyle name="Normal 2 16 2 2 2 11" xfId="15170"/>
    <cellStyle name="Normal 2 16 2 2 2 12" xfId="16923"/>
    <cellStyle name="Normal 2 16 2 2 2 13" xfId="18675"/>
    <cellStyle name="Normal 2 16 2 2 2 14" xfId="20428"/>
    <cellStyle name="Normal 2 16 2 2 2 15" xfId="22180"/>
    <cellStyle name="Normal 2 16 2 2 2 16" xfId="23932"/>
    <cellStyle name="Normal 2 16 2 2 2 17" xfId="25684"/>
    <cellStyle name="Normal 2 16 2 2 2 18" xfId="27436"/>
    <cellStyle name="Normal 2 16 2 2 2 19" xfId="29189"/>
    <cellStyle name="Normal 2 16 2 2 2 2" xfId="924"/>
    <cellStyle name="Normal 2 16 2 2 2 2 10" xfId="15606"/>
    <cellStyle name="Normal 2 16 2 2 2 2 11" xfId="17359"/>
    <cellStyle name="Normal 2 16 2 2 2 2 12" xfId="19111"/>
    <cellStyle name="Normal 2 16 2 2 2 2 13" xfId="20864"/>
    <cellStyle name="Normal 2 16 2 2 2 2 14" xfId="22616"/>
    <cellStyle name="Normal 2 16 2 2 2 2 15" xfId="24368"/>
    <cellStyle name="Normal 2 16 2 2 2 2 16" xfId="26120"/>
    <cellStyle name="Normal 2 16 2 2 2 2 17" xfId="27872"/>
    <cellStyle name="Normal 2 16 2 2 2 2 18" xfId="29625"/>
    <cellStyle name="Normal 2 16 2 2 2 2 19" xfId="31377"/>
    <cellStyle name="Normal 2 16 2 2 2 2 2" xfId="925"/>
    <cellStyle name="Normal 2 16 2 2 2 2 2 10" xfId="18235"/>
    <cellStyle name="Normal 2 16 2 2 2 2 2 11" xfId="19987"/>
    <cellStyle name="Normal 2 16 2 2 2 2 2 12" xfId="21740"/>
    <cellStyle name="Normal 2 16 2 2 2 2 2 13" xfId="23492"/>
    <cellStyle name="Normal 2 16 2 2 2 2 2 14" xfId="25244"/>
    <cellStyle name="Normal 2 16 2 2 2 2 2 15" xfId="26996"/>
    <cellStyle name="Normal 2 16 2 2 2 2 2 16" xfId="28748"/>
    <cellStyle name="Normal 2 16 2 2 2 2 2 17" xfId="30501"/>
    <cellStyle name="Normal 2 16 2 2 2 2 2 18" xfId="32253"/>
    <cellStyle name="Normal 2 16 2 2 2 2 2 19" xfId="34006"/>
    <cellStyle name="Normal 2 16 2 2 2 2 2 2" xfId="4217"/>
    <cellStyle name="Normal 2 16 2 2 2 2 2 20" xfId="36642"/>
    <cellStyle name="Normal 2 16 2 2 2 2 2 21" xfId="38382"/>
    <cellStyle name="Normal 2 16 2 2 2 2 2 22" xfId="40135"/>
    <cellStyle name="Normal 2 16 2 2 2 2 2 23" xfId="41890"/>
    <cellStyle name="Normal 2 16 2 2 2 2 2 24" xfId="43642"/>
    <cellStyle name="Normal 2 16 2 2 2 2 2 25" xfId="46260"/>
    <cellStyle name="Normal 2 16 2 2 2 2 2 26" xfId="48012"/>
    <cellStyle name="Normal 2 16 2 2 2 2 2 27" xfId="49764"/>
    <cellStyle name="Normal 2 16 2 2 2 2 2 28" xfId="51516"/>
    <cellStyle name="Normal 2 16 2 2 2 2 2 29" xfId="53268"/>
    <cellStyle name="Normal 2 16 2 2 2 2 2 3" xfId="5969"/>
    <cellStyle name="Normal 2 16 2 2 2 2 2 30" xfId="55020"/>
    <cellStyle name="Normal 2 16 2 2 2 2 2 31" xfId="56772"/>
    <cellStyle name="Normal 2 16 2 2 2 2 2 32" xfId="58525"/>
    <cellStyle name="Normal 2 16 2 2 2 2 2 33" xfId="60277"/>
    <cellStyle name="Normal 2 16 2 2 2 2 2 34" xfId="62029"/>
    <cellStyle name="Normal 2 16 2 2 2 2 2 4" xfId="7721"/>
    <cellStyle name="Normal 2 16 2 2 2 2 2 5" xfId="9473"/>
    <cellStyle name="Normal 2 16 2 2 2 2 2 6" xfId="11226"/>
    <cellStyle name="Normal 2 16 2 2 2 2 2 7" xfId="12978"/>
    <cellStyle name="Normal 2 16 2 2 2 2 2 8" xfId="14730"/>
    <cellStyle name="Normal 2 16 2 2 2 2 2 9" xfId="16482"/>
    <cellStyle name="Normal 2 16 2 2 2 2 20" xfId="33130"/>
    <cellStyle name="Normal 2 16 2 2 2 2 21" xfId="34416"/>
    <cellStyle name="Normal 2 16 2 2 2 2 22" xfId="35766"/>
    <cellStyle name="Normal 2 16 2 2 2 2 23" xfId="37037"/>
    <cellStyle name="Normal 2 16 2 2 2 2 24" xfId="39259"/>
    <cellStyle name="Normal 2 16 2 2 2 2 25" xfId="41014"/>
    <cellStyle name="Normal 2 16 2 2 2 2 26" xfId="42766"/>
    <cellStyle name="Normal 2 16 2 2 2 2 27" xfId="44037"/>
    <cellStyle name="Normal 2 16 2 2 2 2 28" xfId="45384"/>
    <cellStyle name="Normal 2 16 2 2 2 2 29" xfId="47136"/>
    <cellStyle name="Normal 2 16 2 2 2 2 3" xfId="3341"/>
    <cellStyle name="Normal 2 16 2 2 2 2 30" xfId="48888"/>
    <cellStyle name="Normal 2 16 2 2 2 2 31" xfId="50640"/>
    <cellStyle name="Normal 2 16 2 2 2 2 32" xfId="52392"/>
    <cellStyle name="Normal 2 16 2 2 2 2 33" xfId="54144"/>
    <cellStyle name="Normal 2 16 2 2 2 2 34" xfId="55896"/>
    <cellStyle name="Normal 2 16 2 2 2 2 35" xfId="57649"/>
    <cellStyle name="Normal 2 16 2 2 2 2 36" xfId="59401"/>
    <cellStyle name="Normal 2 16 2 2 2 2 37" xfId="61153"/>
    <cellStyle name="Normal 2 16 2 2 2 2 38" xfId="62424"/>
    <cellStyle name="Normal 2 16 2 2 2 2 39" xfId="63290"/>
    <cellStyle name="Normal 2 16 2 2 2 2 4" xfId="5093"/>
    <cellStyle name="Normal 2 16 2 2 2 2 5" xfId="6845"/>
    <cellStyle name="Normal 2 16 2 2 2 2 6" xfId="8597"/>
    <cellStyle name="Normal 2 16 2 2 2 2 7" xfId="10350"/>
    <cellStyle name="Normal 2 16 2 2 2 2 8" xfId="12102"/>
    <cellStyle name="Normal 2 16 2 2 2 2 9" xfId="13854"/>
    <cellStyle name="Normal 2 16 2 2 2 20" xfId="30941"/>
    <cellStyle name="Normal 2 16 2 2 2 21" xfId="32694"/>
    <cellStyle name="Normal 2 16 2 2 2 22" xfId="34415"/>
    <cellStyle name="Normal 2 16 2 2 2 23" xfId="35330"/>
    <cellStyle name="Normal 2 16 2 2 2 24" xfId="37036"/>
    <cellStyle name="Normal 2 16 2 2 2 25" xfId="38823"/>
    <cellStyle name="Normal 2 16 2 2 2 26" xfId="40578"/>
    <cellStyle name="Normal 2 16 2 2 2 27" xfId="42330"/>
    <cellStyle name="Normal 2 16 2 2 2 28" xfId="44036"/>
    <cellStyle name="Normal 2 16 2 2 2 29" xfId="44948"/>
    <cellStyle name="Normal 2 16 2 2 2 3" xfId="926"/>
    <cellStyle name="Normal 2 16 2 2 2 3 10" xfId="17799"/>
    <cellStyle name="Normal 2 16 2 2 2 3 11" xfId="19551"/>
    <cellStyle name="Normal 2 16 2 2 2 3 12" xfId="21304"/>
    <cellStyle name="Normal 2 16 2 2 2 3 13" xfId="23056"/>
    <cellStyle name="Normal 2 16 2 2 2 3 14" xfId="24808"/>
    <cellStyle name="Normal 2 16 2 2 2 3 15" xfId="26560"/>
    <cellStyle name="Normal 2 16 2 2 2 3 16" xfId="28312"/>
    <cellStyle name="Normal 2 16 2 2 2 3 17" xfId="30065"/>
    <cellStyle name="Normal 2 16 2 2 2 3 18" xfId="31817"/>
    <cellStyle name="Normal 2 16 2 2 2 3 19" xfId="33570"/>
    <cellStyle name="Normal 2 16 2 2 2 3 2" xfId="3781"/>
    <cellStyle name="Normal 2 16 2 2 2 3 20" xfId="36206"/>
    <cellStyle name="Normal 2 16 2 2 2 3 21" xfId="37946"/>
    <cellStyle name="Normal 2 16 2 2 2 3 22" xfId="39699"/>
    <cellStyle name="Normal 2 16 2 2 2 3 23" xfId="41454"/>
    <cellStyle name="Normal 2 16 2 2 2 3 24" xfId="43206"/>
    <cellStyle name="Normal 2 16 2 2 2 3 25" xfId="45824"/>
    <cellStyle name="Normal 2 16 2 2 2 3 26" xfId="47576"/>
    <cellStyle name="Normal 2 16 2 2 2 3 27" xfId="49328"/>
    <cellStyle name="Normal 2 16 2 2 2 3 28" xfId="51080"/>
    <cellStyle name="Normal 2 16 2 2 2 3 29" xfId="52832"/>
    <cellStyle name="Normal 2 16 2 2 2 3 3" xfId="5533"/>
    <cellStyle name="Normal 2 16 2 2 2 3 30" xfId="54584"/>
    <cellStyle name="Normal 2 16 2 2 2 3 31" xfId="56336"/>
    <cellStyle name="Normal 2 16 2 2 2 3 32" xfId="58089"/>
    <cellStyle name="Normal 2 16 2 2 2 3 33" xfId="59841"/>
    <cellStyle name="Normal 2 16 2 2 2 3 34" xfId="61593"/>
    <cellStyle name="Normal 2 16 2 2 2 3 4" xfId="7285"/>
    <cellStyle name="Normal 2 16 2 2 2 3 5" xfId="9037"/>
    <cellStyle name="Normal 2 16 2 2 2 3 6" xfId="10790"/>
    <cellStyle name="Normal 2 16 2 2 2 3 7" xfId="12542"/>
    <cellStyle name="Normal 2 16 2 2 2 3 8" xfId="14294"/>
    <cellStyle name="Normal 2 16 2 2 2 3 9" xfId="16046"/>
    <cellStyle name="Normal 2 16 2 2 2 30" xfId="46700"/>
    <cellStyle name="Normal 2 16 2 2 2 31" xfId="48452"/>
    <cellStyle name="Normal 2 16 2 2 2 32" xfId="50204"/>
    <cellStyle name="Normal 2 16 2 2 2 33" xfId="51956"/>
    <cellStyle name="Normal 2 16 2 2 2 34" xfId="53708"/>
    <cellStyle name="Normal 2 16 2 2 2 35" xfId="55460"/>
    <cellStyle name="Normal 2 16 2 2 2 36" xfId="57213"/>
    <cellStyle name="Normal 2 16 2 2 2 37" xfId="58965"/>
    <cellStyle name="Normal 2 16 2 2 2 38" xfId="60717"/>
    <cellStyle name="Normal 2 16 2 2 2 39" xfId="62423"/>
    <cellStyle name="Normal 2 16 2 2 2 4" xfId="2905"/>
    <cellStyle name="Normal 2 16 2 2 2 40" xfId="63289"/>
    <cellStyle name="Normal 2 16 2 2 2 5" xfId="4657"/>
    <cellStyle name="Normal 2 16 2 2 2 6" xfId="6409"/>
    <cellStyle name="Normal 2 16 2 2 2 7" xfId="8161"/>
    <cellStyle name="Normal 2 16 2 2 2 8" xfId="9914"/>
    <cellStyle name="Normal 2 16 2 2 2 9" xfId="11666"/>
    <cellStyle name="Normal 2 16 2 2 20" xfId="29118"/>
    <cellStyle name="Normal 2 16 2 2 21" xfId="30870"/>
    <cellStyle name="Normal 2 16 2 2 22" xfId="32623"/>
    <cellStyle name="Normal 2 16 2 2 23" xfId="34414"/>
    <cellStyle name="Normal 2 16 2 2 24" xfId="35259"/>
    <cellStyle name="Normal 2 16 2 2 25" xfId="37035"/>
    <cellStyle name="Normal 2 16 2 2 26" xfId="38752"/>
    <cellStyle name="Normal 2 16 2 2 27" xfId="40507"/>
    <cellStyle name="Normal 2 16 2 2 28" xfId="42259"/>
    <cellStyle name="Normal 2 16 2 2 29" xfId="44035"/>
    <cellStyle name="Normal 2 16 2 2 3" xfId="927"/>
    <cellStyle name="Normal 2 16 2 2 3 10" xfId="15535"/>
    <cellStyle name="Normal 2 16 2 2 3 11" xfId="17288"/>
    <cellStyle name="Normal 2 16 2 2 3 12" xfId="19040"/>
    <cellStyle name="Normal 2 16 2 2 3 13" xfId="20793"/>
    <cellStyle name="Normal 2 16 2 2 3 14" xfId="22545"/>
    <cellStyle name="Normal 2 16 2 2 3 15" xfId="24297"/>
    <cellStyle name="Normal 2 16 2 2 3 16" xfId="26049"/>
    <cellStyle name="Normal 2 16 2 2 3 17" xfId="27801"/>
    <cellStyle name="Normal 2 16 2 2 3 18" xfId="29554"/>
    <cellStyle name="Normal 2 16 2 2 3 19" xfId="31306"/>
    <cellStyle name="Normal 2 16 2 2 3 2" xfId="928"/>
    <cellStyle name="Normal 2 16 2 2 3 2 10" xfId="18164"/>
    <cellStyle name="Normal 2 16 2 2 3 2 11" xfId="19916"/>
    <cellStyle name="Normal 2 16 2 2 3 2 12" xfId="21669"/>
    <cellStyle name="Normal 2 16 2 2 3 2 13" xfId="23421"/>
    <cellStyle name="Normal 2 16 2 2 3 2 14" xfId="25173"/>
    <cellStyle name="Normal 2 16 2 2 3 2 15" xfId="26925"/>
    <cellStyle name="Normal 2 16 2 2 3 2 16" xfId="28677"/>
    <cellStyle name="Normal 2 16 2 2 3 2 17" xfId="30430"/>
    <cellStyle name="Normal 2 16 2 2 3 2 18" xfId="32182"/>
    <cellStyle name="Normal 2 16 2 2 3 2 19" xfId="33935"/>
    <cellStyle name="Normal 2 16 2 2 3 2 2" xfId="4146"/>
    <cellStyle name="Normal 2 16 2 2 3 2 20" xfId="36571"/>
    <cellStyle name="Normal 2 16 2 2 3 2 21" xfId="38311"/>
    <cellStyle name="Normal 2 16 2 2 3 2 22" xfId="40064"/>
    <cellStyle name="Normal 2 16 2 2 3 2 23" xfId="41819"/>
    <cellStyle name="Normal 2 16 2 2 3 2 24" xfId="43571"/>
    <cellStyle name="Normal 2 16 2 2 3 2 25" xfId="46189"/>
    <cellStyle name="Normal 2 16 2 2 3 2 26" xfId="47941"/>
    <cellStyle name="Normal 2 16 2 2 3 2 27" xfId="49693"/>
    <cellStyle name="Normal 2 16 2 2 3 2 28" xfId="51445"/>
    <cellStyle name="Normal 2 16 2 2 3 2 29" xfId="53197"/>
    <cellStyle name="Normal 2 16 2 2 3 2 3" xfId="5898"/>
    <cellStyle name="Normal 2 16 2 2 3 2 30" xfId="54949"/>
    <cellStyle name="Normal 2 16 2 2 3 2 31" xfId="56701"/>
    <cellStyle name="Normal 2 16 2 2 3 2 32" xfId="58454"/>
    <cellStyle name="Normal 2 16 2 2 3 2 33" xfId="60206"/>
    <cellStyle name="Normal 2 16 2 2 3 2 34" xfId="61958"/>
    <cellStyle name="Normal 2 16 2 2 3 2 4" xfId="7650"/>
    <cellStyle name="Normal 2 16 2 2 3 2 5" xfId="9402"/>
    <cellStyle name="Normal 2 16 2 2 3 2 6" xfId="11155"/>
    <cellStyle name="Normal 2 16 2 2 3 2 7" xfId="12907"/>
    <cellStyle name="Normal 2 16 2 2 3 2 8" xfId="14659"/>
    <cellStyle name="Normal 2 16 2 2 3 2 9" xfId="16411"/>
    <cellStyle name="Normal 2 16 2 2 3 20" xfId="33059"/>
    <cellStyle name="Normal 2 16 2 2 3 21" xfId="34417"/>
    <cellStyle name="Normal 2 16 2 2 3 22" xfId="35695"/>
    <cellStyle name="Normal 2 16 2 2 3 23" xfId="37038"/>
    <cellStyle name="Normal 2 16 2 2 3 24" xfId="39188"/>
    <cellStyle name="Normal 2 16 2 2 3 25" xfId="40943"/>
    <cellStyle name="Normal 2 16 2 2 3 26" xfId="42695"/>
    <cellStyle name="Normal 2 16 2 2 3 27" xfId="44038"/>
    <cellStyle name="Normal 2 16 2 2 3 28" xfId="45313"/>
    <cellStyle name="Normal 2 16 2 2 3 29" xfId="47065"/>
    <cellStyle name="Normal 2 16 2 2 3 3" xfId="3270"/>
    <cellStyle name="Normal 2 16 2 2 3 30" xfId="48817"/>
    <cellStyle name="Normal 2 16 2 2 3 31" xfId="50569"/>
    <cellStyle name="Normal 2 16 2 2 3 32" xfId="52321"/>
    <cellStyle name="Normal 2 16 2 2 3 33" xfId="54073"/>
    <cellStyle name="Normal 2 16 2 2 3 34" xfId="55825"/>
    <cellStyle name="Normal 2 16 2 2 3 35" xfId="57578"/>
    <cellStyle name="Normal 2 16 2 2 3 36" xfId="59330"/>
    <cellStyle name="Normal 2 16 2 2 3 37" xfId="61082"/>
    <cellStyle name="Normal 2 16 2 2 3 38" xfId="62425"/>
    <cellStyle name="Normal 2 16 2 2 3 39" xfId="63291"/>
    <cellStyle name="Normal 2 16 2 2 3 4" xfId="5022"/>
    <cellStyle name="Normal 2 16 2 2 3 5" xfId="6774"/>
    <cellStyle name="Normal 2 16 2 2 3 6" xfId="8526"/>
    <cellStyle name="Normal 2 16 2 2 3 7" xfId="10279"/>
    <cellStyle name="Normal 2 16 2 2 3 8" xfId="12031"/>
    <cellStyle name="Normal 2 16 2 2 3 9" xfId="13783"/>
    <cellStyle name="Normal 2 16 2 2 30" xfId="44877"/>
    <cellStyle name="Normal 2 16 2 2 31" xfId="46629"/>
    <cellStyle name="Normal 2 16 2 2 32" xfId="48381"/>
    <cellStyle name="Normal 2 16 2 2 33" xfId="50133"/>
    <cellStyle name="Normal 2 16 2 2 34" xfId="51885"/>
    <cellStyle name="Normal 2 16 2 2 35" xfId="53637"/>
    <cellStyle name="Normal 2 16 2 2 36" xfId="55389"/>
    <cellStyle name="Normal 2 16 2 2 37" xfId="57142"/>
    <cellStyle name="Normal 2 16 2 2 38" xfId="58894"/>
    <cellStyle name="Normal 2 16 2 2 39" xfId="60646"/>
    <cellStyle name="Normal 2 16 2 2 4" xfId="929"/>
    <cellStyle name="Normal 2 16 2 2 4 10" xfId="17728"/>
    <cellStyle name="Normal 2 16 2 2 4 11" xfId="19480"/>
    <cellStyle name="Normal 2 16 2 2 4 12" xfId="21233"/>
    <cellStyle name="Normal 2 16 2 2 4 13" xfId="22985"/>
    <cellStyle name="Normal 2 16 2 2 4 14" xfId="24737"/>
    <cellStyle name="Normal 2 16 2 2 4 15" xfId="26489"/>
    <cellStyle name="Normal 2 16 2 2 4 16" xfId="28241"/>
    <cellStyle name="Normal 2 16 2 2 4 17" xfId="29994"/>
    <cellStyle name="Normal 2 16 2 2 4 18" xfId="31746"/>
    <cellStyle name="Normal 2 16 2 2 4 19" xfId="33499"/>
    <cellStyle name="Normal 2 16 2 2 4 2" xfId="3710"/>
    <cellStyle name="Normal 2 16 2 2 4 20" xfId="36135"/>
    <cellStyle name="Normal 2 16 2 2 4 21" xfId="37875"/>
    <cellStyle name="Normal 2 16 2 2 4 22" xfId="39628"/>
    <cellStyle name="Normal 2 16 2 2 4 23" xfId="41383"/>
    <cellStyle name="Normal 2 16 2 2 4 24" xfId="43135"/>
    <cellStyle name="Normal 2 16 2 2 4 25" xfId="45753"/>
    <cellStyle name="Normal 2 16 2 2 4 26" xfId="47505"/>
    <cellStyle name="Normal 2 16 2 2 4 27" xfId="49257"/>
    <cellStyle name="Normal 2 16 2 2 4 28" xfId="51009"/>
    <cellStyle name="Normal 2 16 2 2 4 29" xfId="52761"/>
    <cellStyle name="Normal 2 16 2 2 4 3" xfId="5462"/>
    <cellStyle name="Normal 2 16 2 2 4 30" xfId="54513"/>
    <cellStyle name="Normal 2 16 2 2 4 31" xfId="56265"/>
    <cellStyle name="Normal 2 16 2 2 4 32" xfId="58018"/>
    <cellStyle name="Normal 2 16 2 2 4 33" xfId="59770"/>
    <cellStyle name="Normal 2 16 2 2 4 34" xfId="61522"/>
    <cellStyle name="Normal 2 16 2 2 4 4" xfId="7214"/>
    <cellStyle name="Normal 2 16 2 2 4 5" xfId="8966"/>
    <cellStyle name="Normal 2 16 2 2 4 6" xfId="10719"/>
    <cellStyle name="Normal 2 16 2 2 4 7" xfId="12471"/>
    <cellStyle name="Normal 2 16 2 2 4 8" xfId="14223"/>
    <cellStyle name="Normal 2 16 2 2 4 9" xfId="15975"/>
    <cellStyle name="Normal 2 16 2 2 40" xfId="62422"/>
    <cellStyle name="Normal 2 16 2 2 41" xfId="63288"/>
    <cellStyle name="Normal 2 16 2 2 5" xfId="2834"/>
    <cellStyle name="Normal 2 16 2 2 6" xfId="4586"/>
    <cellStyle name="Normal 2 16 2 2 7" xfId="6338"/>
    <cellStyle name="Normal 2 16 2 2 8" xfId="8090"/>
    <cellStyle name="Normal 2 16 2 2 9" xfId="9843"/>
    <cellStyle name="Normal 2 16 2 20" xfId="27257"/>
    <cellStyle name="Normal 2 16 2 21" xfId="29010"/>
    <cellStyle name="Normal 2 16 2 22" xfId="30762"/>
    <cellStyle name="Normal 2 16 2 23" xfId="32515"/>
    <cellStyle name="Normal 2 16 2 24" xfId="34413"/>
    <cellStyle name="Normal 2 16 2 25" xfId="35151"/>
    <cellStyle name="Normal 2 16 2 26" xfId="37034"/>
    <cellStyle name="Normal 2 16 2 27" xfId="38644"/>
    <cellStyle name="Normal 2 16 2 28" xfId="40399"/>
    <cellStyle name="Normal 2 16 2 29" xfId="42151"/>
    <cellStyle name="Normal 2 16 2 3" xfId="930"/>
    <cellStyle name="Normal 2 16 2 3 10" xfId="13419"/>
    <cellStyle name="Normal 2 16 2 3 11" xfId="15171"/>
    <cellStyle name="Normal 2 16 2 3 12" xfId="16924"/>
    <cellStyle name="Normal 2 16 2 3 13" xfId="18676"/>
    <cellStyle name="Normal 2 16 2 3 14" xfId="20429"/>
    <cellStyle name="Normal 2 16 2 3 15" xfId="22181"/>
    <cellStyle name="Normal 2 16 2 3 16" xfId="23933"/>
    <cellStyle name="Normal 2 16 2 3 17" xfId="25685"/>
    <cellStyle name="Normal 2 16 2 3 18" xfId="27437"/>
    <cellStyle name="Normal 2 16 2 3 19" xfId="29190"/>
    <cellStyle name="Normal 2 16 2 3 2" xfId="931"/>
    <cellStyle name="Normal 2 16 2 3 2 10" xfId="15607"/>
    <cellStyle name="Normal 2 16 2 3 2 11" xfId="17360"/>
    <cellStyle name="Normal 2 16 2 3 2 12" xfId="19112"/>
    <cellStyle name="Normal 2 16 2 3 2 13" xfId="20865"/>
    <cellStyle name="Normal 2 16 2 3 2 14" xfId="22617"/>
    <cellStyle name="Normal 2 16 2 3 2 15" xfId="24369"/>
    <cellStyle name="Normal 2 16 2 3 2 16" xfId="26121"/>
    <cellStyle name="Normal 2 16 2 3 2 17" xfId="27873"/>
    <cellStyle name="Normal 2 16 2 3 2 18" xfId="29626"/>
    <cellStyle name="Normal 2 16 2 3 2 19" xfId="31378"/>
    <cellStyle name="Normal 2 16 2 3 2 2" xfId="932"/>
    <cellStyle name="Normal 2 16 2 3 2 2 10" xfId="18236"/>
    <cellStyle name="Normal 2 16 2 3 2 2 11" xfId="19988"/>
    <cellStyle name="Normal 2 16 2 3 2 2 12" xfId="21741"/>
    <cellStyle name="Normal 2 16 2 3 2 2 13" xfId="23493"/>
    <cellStyle name="Normal 2 16 2 3 2 2 14" xfId="25245"/>
    <cellStyle name="Normal 2 16 2 3 2 2 15" xfId="26997"/>
    <cellStyle name="Normal 2 16 2 3 2 2 16" xfId="28749"/>
    <cellStyle name="Normal 2 16 2 3 2 2 17" xfId="30502"/>
    <cellStyle name="Normal 2 16 2 3 2 2 18" xfId="32254"/>
    <cellStyle name="Normal 2 16 2 3 2 2 19" xfId="34007"/>
    <cellStyle name="Normal 2 16 2 3 2 2 2" xfId="4218"/>
    <cellStyle name="Normal 2 16 2 3 2 2 20" xfId="36643"/>
    <cellStyle name="Normal 2 16 2 3 2 2 21" xfId="38383"/>
    <cellStyle name="Normal 2 16 2 3 2 2 22" xfId="40136"/>
    <cellStyle name="Normal 2 16 2 3 2 2 23" xfId="41891"/>
    <cellStyle name="Normal 2 16 2 3 2 2 24" xfId="43643"/>
    <cellStyle name="Normal 2 16 2 3 2 2 25" xfId="46261"/>
    <cellStyle name="Normal 2 16 2 3 2 2 26" xfId="48013"/>
    <cellStyle name="Normal 2 16 2 3 2 2 27" xfId="49765"/>
    <cellStyle name="Normal 2 16 2 3 2 2 28" xfId="51517"/>
    <cellStyle name="Normal 2 16 2 3 2 2 29" xfId="53269"/>
    <cellStyle name="Normal 2 16 2 3 2 2 3" xfId="5970"/>
    <cellStyle name="Normal 2 16 2 3 2 2 30" xfId="55021"/>
    <cellStyle name="Normal 2 16 2 3 2 2 31" xfId="56773"/>
    <cellStyle name="Normal 2 16 2 3 2 2 32" xfId="58526"/>
    <cellStyle name="Normal 2 16 2 3 2 2 33" xfId="60278"/>
    <cellStyle name="Normal 2 16 2 3 2 2 34" xfId="62030"/>
    <cellStyle name="Normal 2 16 2 3 2 2 4" xfId="7722"/>
    <cellStyle name="Normal 2 16 2 3 2 2 5" xfId="9474"/>
    <cellStyle name="Normal 2 16 2 3 2 2 6" xfId="11227"/>
    <cellStyle name="Normal 2 16 2 3 2 2 7" xfId="12979"/>
    <cellStyle name="Normal 2 16 2 3 2 2 8" xfId="14731"/>
    <cellStyle name="Normal 2 16 2 3 2 2 9" xfId="16483"/>
    <cellStyle name="Normal 2 16 2 3 2 20" xfId="33131"/>
    <cellStyle name="Normal 2 16 2 3 2 21" xfId="34419"/>
    <cellStyle name="Normal 2 16 2 3 2 22" xfId="35767"/>
    <cellStyle name="Normal 2 16 2 3 2 23" xfId="37040"/>
    <cellStyle name="Normal 2 16 2 3 2 24" xfId="39260"/>
    <cellStyle name="Normal 2 16 2 3 2 25" xfId="41015"/>
    <cellStyle name="Normal 2 16 2 3 2 26" xfId="42767"/>
    <cellStyle name="Normal 2 16 2 3 2 27" xfId="44040"/>
    <cellStyle name="Normal 2 16 2 3 2 28" xfId="45385"/>
    <cellStyle name="Normal 2 16 2 3 2 29" xfId="47137"/>
    <cellStyle name="Normal 2 16 2 3 2 3" xfId="3342"/>
    <cellStyle name="Normal 2 16 2 3 2 30" xfId="48889"/>
    <cellStyle name="Normal 2 16 2 3 2 31" xfId="50641"/>
    <cellStyle name="Normal 2 16 2 3 2 32" xfId="52393"/>
    <cellStyle name="Normal 2 16 2 3 2 33" xfId="54145"/>
    <cellStyle name="Normal 2 16 2 3 2 34" xfId="55897"/>
    <cellStyle name="Normal 2 16 2 3 2 35" xfId="57650"/>
    <cellStyle name="Normal 2 16 2 3 2 36" xfId="59402"/>
    <cellStyle name="Normal 2 16 2 3 2 37" xfId="61154"/>
    <cellStyle name="Normal 2 16 2 3 2 38" xfId="62427"/>
    <cellStyle name="Normal 2 16 2 3 2 39" xfId="63293"/>
    <cellStyle name="Normal 2 16 2 3 2 4" xfId="5094"/>
    <cellStyle name="Normal 2 16 2 3 2 5" xfId="6846"/>
    <cellStyle name="Normal 2 16 2 3 2 6" xfId="8598"/>
    <cellStyle name="Normal 2 16 2 3 2 7" xfId="10351"/>
    <cellStyle name="Normal 2 16 2 3 2 8" xfId="12103"/>
    <cellStyle name="Normal 2 16 2 3 2 9" xfId="13855"/>
    <cellStyle name="Normal 2 16 2 3 20" xfId="30942"/>
    <cellStyle name="Normal 2 16 2 3 21" xfId="32695"/>
    <cellStyle name="Normal 2 16 2 3 22" xfId="34418"/>
    <cellStyle name="Normal 2 16 2 3 23" xfId="35331"/>
    <cellStyle name="Normal 2 16 2 3 24" xfId="37039"/>
    <cellStyle name="Normal 2 16 2 3 25" xfId="38824"/>
    <cellStyle name="Normal 2 16 2 3 26" xfId="40579"/>
    <cellStyle name="Normal 2 16 2 3 27" xfId="42331"/>
    <cellStyle name="Normal 2 16 2 3 28" xfId="44039"/>
    <cellStyle name="Normal 2 16 2 3 29" xfId="44949"/>
    <cellStyle name="Normal 2 16 2 3 3" xfId="933"/>
    <cellStyle name="Normal 2 16 2 3 3 10" xfId="17800"/>
    <cellStyle name="Normal 2 16 2 3 3 11" xfId="19552"/>
    <cellStyle name="Normal 2 16 2 3 3 12" xfId="21305"/>
    <cellStyle name="Normal 2 16 2 3 3 13" xfId="23057"/>
    <cellStyle name="Normal 2 16 2 3 3 14" xfId="24809"/>
    <cellStyle name="Normal 2 16 2 3 3 15" xfId="26561"/>
    <cellStyle name="Normal 2 16 2 3 3 16" xfId="28313"/>
    <cellStyle name="Normal 2 16 2 3 3 17" xfId="30066"/>
    <cellStyle name="Normal 2 16 2 3 3 18" xfId="31818"/>
    <cellStyle name="Normal 2 16 2 3 3 19" xfId="33571"/>
    <cellStyle name="Normal 2 16 2 3 3 2" xfId="3782"/>
    <cellStyle name="Normal 2 16 2 3 3 20" xfId="36207"/>
    <cellStyle name="Normal 2 16 2 3 3 21" xfId="37947"/>
    <cellStyle name="Normal 2 16 2 3 3 22" xfId="39700"/>
    <cellStyle name="Normal 2 16 2 3 3 23" xfId="41455"/>
    <cellStyle name="Normal 2 16 2 3 3 24" xfId="43207"/>
    <cellStyle name="Normal 2 16 2 3 3 25" xfId="45825"/>
    <cellStyle name="Normal 2 16 2 3 3 26" xfId="47577"/>
    <cellStyle name="Normal 2 16 2 3 3 27" xfId="49329"/>
    <cellStyle name="Normal 2 16 2 3 3 28" xfId="51081"/>
    <cellStyle name="Normal 2 16 2 3 3 29" xfId="52833"/>
    <cellStyle name="Normal 2 16 2 3 3 3" xfId="5534"/>
    <cellStyle name="Normal 2 16 2 3 3 30" xfId="54585"/>
    <cellStyle name="Normal 2 16 2 3 3 31" xfId="56337"/>
    <cellStyle name="Normal 2 16 2 3 3 32" xfId="58090"/>
    <cellStyle name="Normal 2 16 2 3 3 33" xfId="59842"/>
    <cellStyle name="Normal 2 16 2 3 3 34" xfId="61594"/>
    <cellStyle name="Normal 2 16 2 3 3 4" xfId="7286"/>
    <cellStyle name="Normal 2 16 2 3 3 5" xfId="9038"/>
    <cellStyle name="Normal 2 16 2 3 3 6" xfId="10791"/>
    <cellStyle name="Normal 2 16 2 3 3 7" xfId="12543"/>
    <cellStyle name="Normal 2 16 2 3 3 8" xfId="14295"/>
    <cellStyle name="Normal 2 16 2 3 3 9" xfId="16047"/>
    <cellStyle name="Normal 2 16 2 3 30" xfId="46701"/>
    <cellStyle name="Normal 2 16 2 3 31" xfId="48453"/>
    <cellStyle name="Normal 2 16 2 3 32" xfId="50205"/>
    <cellStyle name="Normal 2 16 2 3 33" xfId="51957"/>
    <cellStyle name="Normal 2 16 2 3 34" xfId="53709"/>
    <cellStyle name="Normal 2 16 2 3 35" xfId="55461"/>
    <cellStyle name="Normal 2 16 2 3 36" xfId="57214"/>
    <cellStyle name="Normal 2 16 2 3 37" xfId="58966"/>
    <cellStyle name="Normal 2 16 2 3 38" xfId="60718"/>
    <cellStyle name="Normal 2 16 2 3 39" xfId="62426"/>
    <cellStyle name="Normal 2 16 2 3 4" xfId="2906"/>
    <cellStyle name="Normal 2 16 2 3 40" xfId="63292"/>
    <cellStyle name="Normal 2 16 2 3 5" xfId="4658"/>
    <cellStyle name="Normal 2 16 2 3 6" xfId="6410"/>
    <cellStyle name="Normal 2 16 2 3 7" xfId="8162"/>
    <cellStyle name="Normal 2 16 2 3 8" xfId="9915"/>
    <cellStyle name="Normal 2 16 2 3 9" xfId="11667"/>
    <cellStyle name="Normal 2 16 2 30" xfId="44034"/>
    <cellStyle name="Normal 2 16 2 31" xfId="44769"/>
    <cellStyle name="Normal 2 16 2 32" xfId="46521"/>
    <cellStyle name="Normal 2 16 2 33" xfId="48273"/>
    <cellStyle name="Normal 2 16 2 34" xfId="50025"/>
    <cellStyle name="Normal 2 16 2 35" xfId="51777"/>
    <cellStyle name="Normal 2 16 2 36" xfId="53529"/>
    <cellStyle name="Normal 2 16 2 37" xfId="55281"/>
    <cellStyle name="Normal 2 16 2 38" xfId="57034"/>
    <cellStyle name="Normal 2 16 2 39" xfId="58786"/>
    <cellStyle name="Normal 2 16 2 4" xfId="934"/>
    <cellStyle name="Normal 2 16 2 4 10" xfId="15427"/>
    <cellStyle name="Normal 2 16 2 4 11" xfId="17180"/>
    <cellStyle name="Normal 2 16 2 4 12" xfId="18932"/>
    <cellStyle name="Normal 2 16 2 4 13" xfId="20685"/>
    <cellStyle name="Normal 2 16 2 4 14" xfId="22437"/>
    <cellStyle name="Normal 2 16 2 4 15" xfId="24189"/>
    <cellStyle name="Normal 2 16 2 4 16" xfId="25941"/>
    <cellStyle name="Normal 2 16 2 4 17" xfId="27693"/>
    <cellStyle name="Normal 2 16 2 4 18" xfId="29446"/>
    <cellStyle name="Normal 2 16 2 4 19" xfId="31198"/>
    <cellStyle name="Normal 2 16 2 4 2" xfId="935"/>
    <cellStyle name="Normal 2 16 2 4 2 10" xfId="18056"/>
    <cellStyle name="Normal 2 16 2 4 2 11" xfId="19808"/>
    <cellStyle name="Normal 2 16 2 4 2 12" xfId="21561"/>
    <cellStyle name="Normal 2 16 2 4 2 13" xfId="23313"/>
    <cellStyle name="Normal 2 16 2 4 2 14" xfId="25065"/>
    <cellStyle name="Normal 2 16 2 4 2 15" xfId="26817"/>
    <cellStyle name="Normal 2 16 2 4 2 16" xfId="28569"/>
    <cellStyle name="Normal 2 16 2 4 2 17" xfId="30322"/>
    <cellStyle name="Normal 2 16 2 4 2 18" xfId="32074"/>
    <cellStyle name="Normal 2 16 2 4 2 19" xfId="33827"/>
    <cellStyle name="Normal 2 16 2 4 2 2" xfId="4038"/>
    <cellStyle name="Normal 2 16 2 4 2 20" xfId="36463"/>
    <cellStyle name="Normal 2 16 2 4 2 21" xfId="38203"/>
    <cellStyle name="Normal 2 16 2 4 2 22" xfId="39956"/>
    <cellStyle name="Normal 2 16 2 4 2 23" xfId="41711"/>
    <cellStyle name="Normal 2 16 2 4 2 24" xfId="43463"/>
    <cellStyle name="Normal 2 16 2 4 2 25" xfId="46081"/>
    <cellStyle name="Normal 2 16 2 4 2 26" xfId="47833"/>
    <cellStyle name="Normal 2 16 2 4 2 27" xfId="49585"/>
    <cellStyle name="Normal 2 16 2 4 2 28" xfId="51337"/>
    <cellStyle name="Normal 2 16 2 4 2 29" xfId="53089"/>
    <cellStyle name="Normal 2 16 2 4 2 3" xfId="5790"/>
    <cellStyle name="Normal 2 16 2 4 2 30" xfId="54841"/>
    <cellStyle name="Normal 2 16 2 4 2 31" xfId="56593"/>
    <cellStyle name="Normal 2 16 2 4 2 32" xfId="58346"/>
    <cellStyle name="Normal 2 16 2 4 2 33" xfId="60098"/>
    <cellStyle name="Normal 2 16 2 4 2 34" xfId="61850"/>
    <cellStyle name="Normal 2 16 2 4 2 4" xfId="7542"/>
    <cellStyle name="Normal 2 16 2 4 2 5" xfId="9294"/>
    <cellStyle name="Normal 2 16 2 4 2 6" xfId="11047"/>
    <cellStyle name="Normal 2 16 2 4 2 7" xfId="12799"/>
    <cellStyle name="Normal 2 16 2 4 2 8" xfId="14551"/>
    <cellStyle name="Normal 2 16 2 4 2 9" xfId="16303"/>
    <cellStyle name="Normal 2 16 2 4 20" xfId="32951"/>
    <cellStyle name="Normal 2 16 2 4 21" xfId="34420"/>
    <cellStyle name="Normal 2 16 2 4 22" xfId="35587"/>
    <cellStyle name="Normal 2 16 2 4 23" xfId="37041"/>
    <cellStyle name="Normal 2 16 2 4 24" xfId="39080"/>
    <cellStyle name="Normal 2 16 2 4 25" xfId="40835"/>
    <cellStyle name="Normal 2 16 2 4 26" xfId="42587"/>
    <cellStyle name="Normal 2 16 2 4 27" xfId="44041"/>
    <cellStyle name="Normal 2 16 2 4 28" xfId="45205"/>
    <cellStyle name="Normal 2 16 2 4 29" xfId="46957"/>
    <cellStyle name="Normal 2 16 2 4 3" xfId="3162"/>
    <cellStyle name="Normal 2 16 2 4 30" xfId="48709"/>
    <cellStyle name="Normal 2 16 2 4 31" xfId="50461"/>
    <cellStyle name="Normal 2 16 2 4 32" xfId="52213"/>
    <cellStyle name="Normal 2 16 2 4 33" xfId="53965"/>
    <cellStyle name="Normal 2 16 2 4 34" xfId="55717"/>
    <cellStyle name="Normal 2 16 2 4 35" xfId="57470"/>
    <cellStyle name="Normal 2 16 2 4 36" xfId="59222"/>
    <cellStyle name="Normal 2 16 2 4 37" xfId="60974"/>
    <cellStyle name="Normal 2 16 2 4 38" xfId="62428"/>
    <cellStyle name="Normal 2 16 2 4 39" xfId="63294"/>
    <cellStyle name="Normal 2 16 2 4 4" xfId="4914"/>
    <cellStyle name="Normal 2 16 2 4 5" xfId="6666"/>
    <cellStyle name="Normal 2 16 2 4 6" xfId="8418"/>
    <cellStyle name="Normal 2 16 2 4 7" xfId="10171"/>
    <cellStyle name="Normal 2 16 2 4 8" xfId="11923"/>
    <cellStyle name="Normal 2 16 2 4 9" xfId="13675"/>
    <cellStyle name="Normal 2 16 2 40" xfId="60538"/>
    <cellStyle name="Normal 2 16 2 41" xfId="62421"/>
    <cellStyle name="Normal 2 16 2 42" xfId="63287"/>
    <cellStyle name="Normal 2 16 2 5" xfId="936"/>
    <cellStyle name="Normal 2 16 2 5 10" xfId="17620"/>
    <cellStyle name="Normal 2 16 2 5 11" xfId="19372"/>
    <cellStyle name="Normal 2 16 2 5 12" xfId="21125"/>
    <cellStyle name="Normal 2 16 2 5 13" xfId="22877"/>
    <cellStyle name="Normal 2 16 2 5 14" xfId="24629"/>
    <cellStyle name="Normal 2 16 2 5 15" xfId="26381"/>
    <cellStyle name="Normal 2 16 2 5 16" xfId="28133"/>
    <cellStyle name="Normal 2 16 2 5 17" xfId="29886"/>
    <cellStyle name="Normal 2 16 2 5 18" xfId="31638"/>
    <cellStyle name="Normal 2 16 2 5 19" xfId="33391"/>
    <cellStyle name="Normal 2 16 2 5 2" xfId="3602"/>
    <cellStyle name="Normal 2 16 2 5 20" xfId="36027"/>
    <cellStyle name="Normal 2 16 2 5 21" xfId="37767"/>
    <cellStyle name="Normal 2 16 2 5 22" xfId="39520"/>
    <cellStyle name="Normal 2 16 2 5 23" xfId="41275"/>
    <cellStyle name="Normal 2 16 2 5 24" xfId="43027"/>
    <cellStyle name="Normal 2 16 2 5 25" xfId="45645"/>
    <cellStyle name="Normal 2 16 2 5 26" xfId="47397"/>
    <cellStyle name="Normal 2 16 2 5 27" xfId="49149"/>
    <cellStyle name="Normal 2 16 2 5 28" xfId="50901"/>
    <cellStyle name="Normal 2 16 2 5 29" xfId="52653"/>
    <cellStyle name="Normal 2 16 2 5 3" xfId="5354"/>
    <cellStyle name="Normal 2 16 2 5 30" xfId="54405"/>
    <cellStyle name="Normal 2 16 2 5 31" xfId="56157"/>
    <cellStyle name="Normal 2 16 2 5 32" xfId="57910"/>
    <cellStyle name="Normal 2 16 2 5 33" xfId="59662"/>
    <cellStyle name="Normal 2 16 2 5 34" xfId="61414"/>
    <cellStyle name="Normal 2 16 2 5 4" xfId="7106"/>
    <cellStyle name="Normal 2 16 2 5 5" xfId="8858"/>
    <cellStyle name="Normal 2 16 2 5 6" xfId="10611"/>
    <cellStyle name="Normal 2 16 2 5 7" xfId="12363"/>
    <cellStyle name="Normal 2 16 2 5 8" xfId="14115"/>
    <cellStyle name="Normal 2 16 2 5 9" xfId="15867"/>
    <cellStyle name="Normal 2 16 2 6" xfId="2726"/>
    <cellStyle name="Normal 2 16 2 7" xfId="4478"/>
    <cellStyle name="Normal 2 16 2 8" xfId="6230"/>
    <cellStyle name="Normal 2 16 2 9" xfId="7982"/>
    <cellStyle name="Normal 2 16 20" xfId="25450"/>
    <cellStyle name="Normal 2 16 21" xfId="27202"/>
    <cellStyle name="Normal 2 16 22" xfId="28955"/>
    <cellStyle name="Normal 2 16 23" xfId="30707"/>
    <cellStyle name="Normal 2 16 24" xfId="32460"/>
    <cellStyle name="Normal 2 16 25" xfId="34412"/>
    <cellStyle name="Normal 2 16 26" xfId="35096"/>
    <cellStyle name="Normal 2 16 27" xfId="37033"/>
    <cellStyle name="Normal 2 16 28" xfId="38589"/>
    <cellStyle name="Normal 2 16 29" xfId="40344"/>
    <cellStyle name="Normal 2 16 3" xfId="937"/>
    <cellStyle name="Normal 2 16 3 10" xfId="11540"/>
    <cellStyle name="Normal 2 16 3 11" xfId="13292"/>
    <cellStyle name="Normal 2 16 3 12" xfId="15044"/>
    <cellStyle name="Normal 2 16 3 13" xfId="16797"/>
    <cellStyle name="Normal 2 16 3 14" xfId="18549"/>
    <cellStyle name="Normal 2 16 3 15" xfId="20302"/>
    <cellStyle name="Normal 2 16 3 16" xfId="22054"/>
    <cellStyle name="Normal 2 16 3 17" xfId="23806"/>
    <cellStyle name="Normal 2 16 3 18" xfId="25558"/>
    <cellStyle name="Normal 2 16 3 19" xfId="27310"/>
    <cellStyle name="Normal 2 16 3 2" xfId="938"/>
    <cellStyle name="Normal 2 16 3 2 10" xfId="13420"/>
    <cellStyle name="Normal 2 16 3 2 11" xfId="15172"/>
    <cellStyle name="Normal 2 16 3 2 12" xfId="16925"/>
    <cellStyle name="Normal 2 16 3 2 13" xfId="18677"/>
    <cellStyle name="Normal 2 16 3 2 14" xfId="20430"/>
    <cellStyle name="Normal 2 16 3 2 15" xfId="22182"/>
    <cellStyle name="Normal 2 16 3 2 16" xfId="23934"/>
    <cellStyle name="Normal 2 16 3 2 17" xfId="25686"/>
    <cellStyle name="Normal 2 16 3 2 18" xfId="27438"/>
    <cellStyle name="Normal 2 16 3 2 19" xfId="29191"/>
    <cellStyle name="Normal 2 16 3 2 2" xfId="939"/>
    <cellStyle name="Normal 2 16 3 2 2 10" xfId="15608"/>
    <cellStyle name="Normal 2 16 3 2 2 11" xfId="17361"/>
    <cellStyle name="Normal 2 16 3 2 2 12" xfId="19113"/>
    <cellStyle name="Normal 2 16 3 2 2 13" xfId="20866"/>
    <cellStyle name="Normal 2 16 3 2 2 14" xfId="22618"/>
    <cellStyle name="Normal 2 16 3 2 2 15" xfId="24370"/>
    <cellStyle name="Normal 2 16 3 2 2 16" xfId="26122"/>
    <cellStyle name="Normal 2 16 3 2 2 17" xfId="27874"/>
    <cellStyle name="Normal 2 16 3 2 2 18" xfId="29627"/>
    <cellStyle name="Normal 2 16 3 2 2 19" xfId="31379"/>
    <cellStyle name="Normal 2 16 3 2 2 2" xfId="940"/>
    <cellStyle name="Normal 2 16 3 2 2 2 10" xfId="18237"/>
    <cellStyle name="Normal 2 16 3 2 2 2 11" xfId="19989"/>
    <cellStyle name="Normal 2 16 3 2 2 2 12" xfId="21742"/>
    <cellStyle name="Normal 2 16 3 2 2 2 13" xfId="23494"/>
    <cellStyle name="Normal 2 16 3 2 2 2 14" xfId="25246"/>
    <cellStyle name="Normal 2 16 3 2 2 2 15" xfId="26998"/>
    <cellStyle name="Normal 2 16 3 2 2 2 16" xfId="28750"/>
    <cellStyle name="Normal 2 16 3 2 2 2 17" xfId="30503"/>
    <cellStyle name="Normal 2 16 3 2 2 2 18" xfId="32255"/>
    <cellStyle name="Normal 2 16 3 2 2 2 19" xfId="34008"/>
    <cellStyle name="Normal 2 16 3 2 2 2 2" xfId="4219"/>
    <cellStyle name="Normal 2 16 3 2 2 2 20" xfId="36644"/>
    <cellStyle name="Normal 2 16 3 2 2 2 21" xfId="38384"/>
    <cellStyle name="Normal 2 16 3 2 2 2 22" xfId="40137"/>
    <cellStyle name="Normal 2 16 3 2 2 2 23" xfId="41892"/>
    <cellStyle name="Normal 2 16 3 2 2 2 24" xfId="43644"/>
    <cellStyle name="Normal 2 16 3 2 2 2 25" xfId="46262"/>
    <cellStyle name="Normal 2 16 3 2 2 2 26" xfId="48014"/>
    <cellStyle name="Normal 2 16 3 2 2 2 27" xfId="49766"/>
    <cellStyle name="Normal 2 16 3 2 2 2 28" xfId="51518"/>
    <cellStyle name="Normal 2 16 3 2 2 2 29" xfId="53270"/>
    <cellStyle name="Normal 2 16 3 2 2 2 3" xfId="5971"/>
    <cellStyle name="Normal 2 16 3 2 2 2 30" xfId="55022"/>
    <cellStyle name="Normal 2 16 3 2 2 2 31" xfId="56774"/>
    <cellStyle name="Normal 2 16 3 2 2 2 32" xfId="58527"/>
    <cellStyle name="Normal 2 16 3 2 2 2 33" xfId="60279"/>
    <cellStyle name="Normal 2 16 3 2 2 2 34" xfId="62031"/>
    <cellStyle name="Normal 2 16 3 2 2 2 4" xfId="7723"/>
    <cellStyle name="Normal 2 16 3 2 2 2 5" xfId="9475"/>
    <cellStyle name="Normal 2 16 3 2 2 2 6" xfId="11228"/>
    <cellStyle name="Normal 2 16 3 2 2 2 7" xfId="12980"/>
    <cellStyle name="Normal 2 16 3 2 2 2 8" xfId="14732"/>
    <cellStyle name="Normal 2 16 3 2 2 2 9" xfId="16484"/>
    <cellStyle name="Normal 2 16 3 2 2 20" xfId="33132"/>
    <cellStyle name="Normal 2 16 3 2 2 21" xfId="34423"/>
    <cellStyle name="Normal 2 16 3 2 2 22" xfId="35768"/>
    <cellStyle name="Normal 2 16 3 2 2 23" xfId="37044"/>
    <cellStyle name="Normal 2 16 3 2 2 24" xfId="39261"/>
    <cellStyle name="Normal 2 16 3 2 2 25" xfId="41016"/>
    <cellStyle name="Normal 2 16 3 2 2 26" xfId="42768"/>
    <cellStyle name="Normal 2 16 3 2 2 27" xfId="44044"/>
    <cellStyle name="Normal 2 16 3 2 2 28" xfId="45386"/>
    <cellStyle name="Normal 2 16 3 2 2 29" xfId="47138"/>
    <cellStyle name="Normal 2 16 3 2 2 3" xfId="3343"/>
    <cellStyle name="Normal 2 16 3 2 2 30" xfId="48890"/>
    <cellStyle name="Normal 2 16 3 2 2 31" xfId="50642"/>
    <cellStyle name="Normal 2 16 3 2 2 32" xfId="52394"/>
    <cellStyle name="Normal 2 16 3 2 2 33" xfId="54146"/>
    <cellStyle name="Normal 2 16 3 2 2 34" xfId="55898"/>
    <cellStyle name="Normal 2 16 3 2 2 35" xfId="57651"/>
    <cellStyle name="Normal 2 16 3 2 2 36" xfId="59403"/>
    <cellStyle name="Normal 2 16 3 2 2 37" xfId="61155"/>
    <cellStyle name="Normal 2 16 3 2 2 38" xfId="62431"/>
    <cellStyle name="Normal 2 16 3 2 2 39" xfId="63297"/>
    <cellStyle name="Normal 2 16 3 2 2 4" xfId="5095"/>
    <cellStyle name="Normal 2 16 3 2 2 5" xfId="6847"/>
    <cellStyle name="Normal 2 16 3 2 2 6" xfId="8599"/>
    <cellStyle name="Normal 2 16 3 2 2 7" xfId="10352"/>
    <cellStyle name="Normal 2 16 3 2 2 8" xfId="12104"/>
    <cellStyle name="Normal 2 16 3 2 2 9" xfId="13856"/>
    <cellStyle name="Normal 2 16 3 2 20" xfId="30943"/>
    <cellStyle name="Normal 2 16 3 2 21" xfId="32696"/>
    <cellStyle name="Normal 2 16 3 2 22" xfId="34422"/>
    <cellStyle name="Normal 2 16 3 2 23" xfId="35332"/>
    <cellStyle name="Normal 2 16 3 2 24" xfId="37043"/>
    <cellStyle name="Normal 2 16 3 2 25" xfId="38825"/>
    <cellStyle name="Normal 2 16 3 2 26" xfId="40580"/>
    <cellStyle name="Normal 2 16 3 2 27" xfId="42332"/>
    <cellStyle name="Normal 2 16 3 2 28" xfId="44043"/>
    <cellStyle name="Normal 2 16 3 2 29" xfId="44950"/>
    <cellStyle name="Normal 2 16 3 2 3" xfId="941"/>
    <cellStyle name="Normal 2 16 3 2 3 10" xfId="17801"/>
    <cellStyle name="Normal 2 16 3 2 3 11" xfId="19553"/>
    <cellStyle name="Normal 2 16 3 2 3 12" xfId="21306"/>
    <cellStyle name="Normal 2 16 3 2 3 13" xfId="23058"/>
    <cellStyle name="Normal 2 16 3 2 3 14" xfId="24810"/>
    <cellStyle name="Normal 2 16 3 2 3 15" xfId="26562"/>
    <cellStyle name="Normal 2 16 3 2 3 16" xfId="28314"/>
    <cellStyle name="Normal 2 16 3 2 3 17" xfId="30067"/>
    <cellStyle name="Normal 2 16 3 2 3 18" xfId="31819"/>
    <cellStyle name="Normal 2 16 3 2 3 19" xfId="33572"/>
    <cellStyle name="Normal 2 16 3 2 3 2" xfId="3783"/>
    <cellStyle name="Normal 2 16 3 2 3 20" xfId="36208"/>
    <cellStyle name="Normal 2 16 3 2 3 21" xfId="37948"/>
    <cellStyle name="Normal 2 16 3 2 3 22" xfId="39701"/>
    <cellStyle name="Normal 2 16 3 2 3 23" xfId="41456"/>
    <cellStyle name="Normal 2 16 3 2 3 24" xfId="43208"/>
    <cellStyle name="Normal 2 16 3 2 3 25" xfId="45826"/>
    <cellStyle name="Normal 2 16 3 2 3 26" xfId="47578"/>
    <cellStyle name="Normal 2 16 3 2 3 27" xfId="49330"/>
    <cellStyle name="Normal 2 16 3 2 3 28" xfId="51082"/>
    <cellStyle name="Normal 2 16 3 2 3 29" xfId="52834"/>
    <cellStyle name="Normal 2 16 3 2 3 3" xfId="5535"/>
    <cellStyle name="Normal 2 16 3 2 3 30" xfId="54586"/>
    <cellStyle name="Normal 2 16 3 2 3 31" xfId="56338"/>
    <cellStyle name="Normal 2 16 3 2 3 32" xfId="58091"/>
    <cellStyle name="Normal 2 16 3 2 3 33" xfId="59843"/>
    <cellStyle name="Normal 2 16 3 2 3 34" xfId="61595"/>
    <cellStyle name="Normal 2 16 3 2 3 4" xfId="7287"/>
    <cellStyle name="Normal 2 16 3 2 3 5" xfId="9039"/>
    <cellStyle name="Normal 2 16 3 2 3 6" xfId="10792"/>
    <cellStyle name="Normal 2 16 3 2 3 7" xfId="12544"/>
    <cellStyle name="Normal 2 16 3 2 3 8" xfId="14296"/>
    <cellStyle name="Normal 2 16 3 2 3 9" xfId="16048"/>
    <cellStyle name="Normal 2 16 3 2 30" xfId="46702"/>
    <cellStyle name="Normal 2 16 3 2 31" xfId="48454"/>
    <cellStyle name="Normal 2 16 3 2 32" xfId="50206"/>
    <cellStyle name="Normal 2 16 3 2 33" xfId="51958"/>
    <cellStyle name="Normal 2 16 3 2 34" xfId="53710"/>
    <cellStyle name="Normal 2 16 3 2 35" xfId="55462"/>
    <cellStyle name="Normal 2 16 3 2 36" xfId="57215"/>
    <cellStyle name="Normal 2 16 3 2 37" xfId="58967"/>
    <cellStyle name="Normal 2 16 3 2 38" xfId="60719"/>
    <cellStyle name="Normal 2 16 3 2 39" xfId="62430"/>
    <cellStyle name="Normal 2 16 3 2 4" xfId="2907"/>
    <cellStyle name="Normal 2 16 3 2 40" xfId="63296"/>
    <cellStyle name="Normal 2 16 3 2 5" xfId="4659"/>
    <cellStyle name="Normal 2 16 3 2 6" xfId="6411"/>
    <cellStyle name="Normal 2 16 3 2 7" xfId="8163"/>
    <cellStyle name="Normal 2 16 3 2 8" xfId="9916"/>
    <cellStyle name="Normal 2 16 3 2 9" xfId="11668"/>
    <cellStyle name="Normal 2 16 3 20" xfId="29063"/>
    <cellStyle name="Normal 2 16 3 21" xfId="30815"/>
    <cellStyle name="Normal 2 16 3 22" xfId="32568"/>
    <cellStyle name="Normal 2 16 3 23" xfId="34421"/>
    <cellStyle name="Normal 2 16 3 24" xfId="35204"/>
    <cellStyle name="Normal 2 16 3 25" xfId="37042"/>
    <cellStyle name="Normal 2 16 3 26" xfId="38697"/>
    <cellStyle name="Normal 2 16 3 27" xfId="40452"/>
    <cellStyle name="Normal 2 16 3 28" xfId="42204"/>
    <cellStyle name="Normal 2 16 3 29" xfId="44042"/>
    <cellStyle name="Normal 2 16 3 3" xfId="942"/>
    <cellStyle name="Normal 2 16 3 3 10" xfId="15480"/>
    <cellStyle name="Normal 2 16 3 3 11" xfId="17233"/>
    <cellStyle name="Normal 2 16 3 3 12" xfId="18985"/>
    <cellStyle name="Normal 2 16 3 3 13" xfId="20738"/>
    <cellStyle name="Normal 2 16 3 3 14" xfId="22490"/>
    <cellStyle name="Normal 2 16 3 3 15" xfId="24242"/>
    <cellStyle name="Normal 2 16 3 3 16" xfId="25994"/>
    <cellStyle name="Normal 2 16 3 3 17" xfId="27746"/>
    <cellStyle name="Normal 2 16 3 3 18" xfId="29499"/>
    <cellStyle name="Normal 2 16 3 3 19" xfId="31251"/>
    <cellStyle name="Normal 2 16 3 3 2" xfId="943"/>
    <cellStyle name="Normal 2 16 3 3 2 10" xfId="18109"/>
    <cellStyle name="Normal 2 16 3 3 2 11" xfId="19861"/>
    <cellStyle name="Normal 2 16 3 3 2 12" xfId="21614"/>
    <cellStyle name="Normal 2 16 3 3 2 13" xfId="23366"/>
    <cellStyle name="Normal 2 16 3 3 2 14" xfId="25118"/>
    <cellStyle name="Normal 2 16 3 3 2 15" xfId="26870"/>
    <cellStyle name="Normal 2 16 3 3 2 16" xfId="28622"/>
    <cellStyle name="Normal 2 16 3 3 2 17" xfId="30375"/>
    <cellStyle name="Normal 2 16 3 3 2 18" xfId="32127"/>
    <cellStyle name="Normal 2 16 3 3 2 19" xfId="33880"/>
    <cellStyle name="Normal 2 16 3 3 2 2" xfId="4091"/>
    <cellStyle name="Normal 2 16 3 3 2 20" xfId="36516"/>
    <cellStyle name="Normal 2 16 3 3 2 21" xfId="38256"/>
    <cellStyle name="Normal 2 16 3 3 2 22" xfId="40009"/>
    <cellStyle name="Normal 2 16 3 3 2 23" xfId="41764"/>
    <cellStyle name="Normal 2 16 3 3 2 24" xfId="43516"/>
    <cellStyle name="Normal 2 16 3 3 2 25" xfId="46134"/>
    <cellStyle name="Normal 2 16 3 3 2 26" xfId="47886"/>
    <cellStyle name="Normal 2 16 3 3 2 27" xfId="49638"/>
    <cellStyle name="Normal 2 16 3 3 2 28" xfId="51390"/>
    <cellStyle name="Normal 2 16 3 3 2 29" xfId="53142"/>
    <cellStyle name="Normal 2 16 3 3 2 3" xfId="5843"/>
    <cellStyle name="Normal 2 16 3 3 2 30" xfId="54894"/>
    <cellStyle name="Normal 2 16 3 3 2 31" xfId="56646"/>
    <cellStyle name="Normal 2 16 3 3 2 32" xfId="58399"/>
    <cellStyle name="Normal 2 16 3 3 2 33" xfId="60151"/>
    <cellStyle name="Normal 2 16 3 3 2 34" xfId="61903"/>
    <cellStyle name="Normal 2 16 3 3 2 4" xfId="7595"/>
    <cellStyle name="Normal 2 16 3 3 2 5" xfId="9347"/>
    <cellStyle name="Normal 2 16 3 3 2 6" xfId="11100"/>
    <cellStyle name="Normal 2 16 3 3 2 7" xfId="12852"/>
    <cellStyle name="Normal 2 16 3 3 2 8" xfId="14604"/>
    <cellStyle name="Normal 2 16 3 3 2 9" xfId="16356"/>
    <cellStyle name="Normal 2 16 3 3 20" xfId="33004"/>
    <cellStyle name="Normal 2 16 3 3 21" xfId="34424"/>
    <cellStyle name="Normal 2 16 3 3 22" xfId="35640"/>
    <cellStyle name="Normal 2 16 3 3 23" xfId="37045"/>
    <cellStyle name="Normal 2 16 3 3 24" xfId="39133"/>
    <cellStyle name="Normal 2 16 3 3 25" xfId="40888"/>
    <cellStyle name="Normal 2 16 3 3 26" xfId="42640"/>
    <cellStyle name="Normal 2 16 3 3 27" xfId="44045"/>
    <cellStyle name="Normal 2 16 3 3 28" xfId="45258"/>
    <cellStyle name="Normal 2 16 3 3 29" xfId="47010"/>
    <cellStyle name="Normal 2 16 3 3 3" xfId="3215"/>
    <cellStyle name="Normal 2 16 3 3 30" xfId="48762"/>
    <cellStyle name="Normal 2 16 3 3 31" xfId="50514"/>
    <cellStyle name="Normal 2 16 3 3 32" xfId="52266"/>
    <cellStyle name="Normal 2 16 3 3 33" xfId="54018"/>
    <cellStyle name="Normal 2 16 3 3 34" xfId="55770"/>
    <cellStyle name="Normal 2 16 3 3 35" xfId="57523"/>
    <cellStyle name="Normal 2 16 3 3 36" xfId="59275"/>
    <cellStyle name="Normal 2 16 3 3 37" xfId="61027"/>
    <cellStyle name="Normal 2 16 3 3 38" xfId="62432"/>
    <cellStyle name="Normal 2 16 3 3 39" xfId="63298"/>
    <cellStyle name="Normal 2 16 3 3 4" xfId="4967"/>
    <cellStyle name="Normal 2 16 3 3 5" xfId="6719"/>
    <cellStyle name="Normal 2 16 3 3 6" xfId="8471"/>
    <cellStyle name="Normal 2 16 3 3 7" xfId="10224"/>
    <cellStyle name="Normal 2 16 3 3 8" xfId="11976"/>
    <cellStyle name="Normal 2 16 3 3 9" xfId="13728"/>
    <cellStyle name="Normal 2 16 3 30" xfId="44822"/>
    <cellStyle name="Normal 2 16 3 31" xfId="46574"/>
    <cellStyle name="Normal 2 16 3 32" xfId="48326"/>
    <cellStyle name="Normal 2 16 3 33" xfId="50078"/>
    <cellStyle name="Normal 2 16 3 34" xfId="51830"/>
    <cellStyle name="Normal 2 16 3 35" xfId="53582"/>
    <cellStyle name="Normal 2 16 3 36" xfId="55334"/>
    <cellStyle name="Normal 2 16 3 37" xfId="57087"/>
    <cellStyle name="Normal 2 16 3 38" xfId="58839"/>
    <cellStyle name="Normal 2 16 3 39" xfId="60591"/>
    <cellStyle name="Normal 2 16 3 4" xfId="944"/>
    <cellStyle name="Normal 2 16 3 4 10" xfId="17673"/>
    <cellStyle name="Normal 2 16 3 4 11" xfId="19425"/>
    <cellStyle name="Normal 2 16 3 4 12" xfId="21178"/>
    <cellStyle name="Normal 2 16 3 4 13" xfId="22930"/>
    <cellStyle name="Normal 2 16 3 4 14" xfId="24682"/>
    <cellStyle name="Normal 2 16 3 4 15" xfId="26434"/>
    <cellStyle name="Normal 2 16 3 4 16" xfId="28186"/>
    <cellStyle name="Normal 2 16 3 4 17" xfId="29939"/>
    <cellStyle name="Normal 2 16 3 4 18" xfId="31691"/>
    <cellStyle name="Normal 2 16 3 4 19" xfId="33444"/>
    <cellStyle name="Normal 2 16 3 4 2" xfId="3655"/>
    <cellStyle name="Normal 2 16 3 4 20" xfId="36080"/>
    <cellStyle name="Normal 2 16 3 4 21" xfId="37820"/>
    <cellStyle name="Normal 2 16 3 4 22" xfId="39573"/>
    <cellStyle name="Normal 2 16 3 4 23" xfId="41328"/>
    <cellStyle name="Normal 2 16 3 4 24" xfId="43080"/>
    <cellStyle name="Normal 2 16 3 4 25" xfId="45698"/>
    <cellStyle name="Normal 2 16 3 4 26" xfId="47450"/>
    <cellStyle name="Normal 2 16 3 4 27" xfId="49202"/>
    <cellStyle name="Normal 2 16 3 4 28" xfId="50954"/>
    <cellStyle name="Normal 2 16 3 4 29" xfId="52706"/>
    <cellStyle name="Normal 2 16 3 4 3" xfId="5407"/>
    <cellStyle name="Normal 2 16 3 4 30" xfId="54458"/>
    <cellStyle name="Normal 2 16 3 4 31" xfId="56210"/>
    <cellStyle name="Normal 2 16 3 4 32" xfId="57963"/>
    <cellStyle name="Normal 2 16 3 4 33" xfId="59715"/>
    <cellStyle name="Normal 2 16 3 4 34" xfId="61467"/>
    <cellStyle name="Normal 2 16 3 4 4" xfId="7159"/>
    <cellStyle name="Normal 2 16 3 4 5" xfId="8911"/>
    <cellStyle name="Normal 2 16 3 4 6" xfId="10664"/>
    <cellStyle name="Normal 2 16 3 4 7" xfId="12416"/>
    <cellStyle name="Normal 2 16 3 4 8" xfId="14168"/>
    <cellStyle name="Normal 2 16 3 4 9" xfId="15920"/>
    <cellStyle name="Normal 2 16 3 40" xfId="62429"/>
    <cellStyle name="Normal 2 16 3 41" xfId="63295"/>
    <cellStyle name="Normal 2 16 3 5" xfId="2779"/>
    <cellStyle name="Normal 2 16 3 6" xfId="4531"/>
    <cellStyle name="Normal 2 16 3 7" xfId="6283"/>
    <cellStyle name="Normal 2 16 3 8" xfId="8035"/>
    <cellStyle name="Normal 2 16 3 9" xfId="9788"/>
    <cellStyle name="Normal 2 16 30" xfId="42096"/>
    <cellStyle name="Normal 2 16 31" xfId="44033"/>
    <cellStyle name="Normal 2 16 32" xfId="44714"/>
    <cellStyle name="Normal 2 16 33" xfId="46466"/>
    <cellStyle name="Normal 2 16 34" xfId="48218"/>
    <cellStyle name="Normal 2 16 35" xfId="49970"/>
    <cellStyle name="Normal 2 16 36" xfId="51722"/>
    <cellStyle name="Normal 2 16 37" xfId="53474"/>
    <cellStyle name="Normal 2 16 38" xfId="55226"/>
    <cellStyle name="Normal 2 16 39" xfId="56979"/>
    <cellStyle name="Normal 2 16 4" xfId="945"/>
    <cellStyle name="Normal 2 16 4 10" xfId="13421"/>
    <cellStyle name="Normal 2 16 4 11" xfId="15173"/>
    <cellStyle name="Normal 2 16 4 12" xfId="16926"/>
    <cellStyle name="Normal 2 16 4 13" xfId="18678"/>
    <cellStyle name="Normal 2 16 4 14" xfId="20431"/>
    <cellStyle name="Normal 2 16 4 15" xfId="22183"/>
    <cellStyle name="Normal 2 16 4 16" xfId="23935"/>
    <cellStyle name="Normal 2 16 4 17" xfId="25687"/>
    <cellStyle name="Normal 2 16 4 18" xfId="27439"/>
    <cellStyle name="Normal 2 16 4 19" xfId="29192"/>
    <cellStyle name="Normal 2 16 4 2" xfId="946"/>
    <cellStyle name="Normal 2 16 4 2 10" xfId="15609"/>
    <cellStyle name="Normal 2 16 4 2 11" xfId="17362"/>
    <cellStyle name="Normal 2 16 4 2 12" xfId="19114"/>
    <cellStyle name="Normal 2 16 4 2 13" xfId="20867"/>
    <cellStyle name="Normal 2 16 4 2 14" xfId="22619"/>
    <cellStyle name="Normal 2 16 4 2 15" xfId="24371"/>
    <cellStyle name="Normal 2 16 4 2 16" xfId="26123"/>
    <cellStyle name="Normal 2 16 4 2 17" xfId="27875"/>
    <cellStyle name="Normal 2 16 4 2 18" xfId="29628"/>
    <cellStyle name="Normal 2 16 4 2 19" xfId="31380"/>
    <cellStyle name="Normal 2 16 4 2 2" xfId="947"/>
    <cellStyle name="Normal 2 16 4 2 2 10" xfId="18238"/>
    <cellStyle name="Normal 2 16 4 2 2 11" xfId="19990"/>
    <cellStyle name="Normal 2 16 4 2 2 12" xfId="21743"/>
    <cellStyle name="Normal 2 16 4 2 2 13" xfId="23495"/>
    <cellStyle name="Normal 2 16 4 2 2 14" xfId="25247"/>
    <cellStyle name="Normal 2 16 4 2 2 15" xfId="26999"/>
    <cellStyle name="Normal 2 16 4 2 2 16" xfId="28751"/>
    <cellStyle name="Normal 2 16 4 2 2 17" xfId="30504"/>
    <cellStyle name="Normal 2 16 4 2 2 18" xfId="32256"/>
    <cellStyle name="Normal 2 16 4 2 2 19" xfId="34009"/>
    <cellStyle name="Normal 2 16 4 2 2 2" xfId="4220"/>
    <cellStyle name="Normal 2 16 4 2 2 20" xfId="36645"/>
    <cellStyle name="Normal 2 16 4 2 2 21" xfId="38385"/>
    <cellStyle name="Normal 2 16 4 2 2 22" xfId="40138"/>
    <cellStyle name="Normal 2 16 4 2 2 23" xfId="41893"/>
    <cellStyle name="Normal 2 16 4 2 2 24" xfId="43645"/>
    <cellStyle name="Normal 2 16 4 2 2 25" xfId="46263"/>
    <cellStyle name="Normal 2 16 4 2 2 26" xfId="48015"/>
    <cellStyle name="Normal 2 16 4 2 2 27" xfId="49767"/>
    <cellStyle name="Normal 2 16 4 2 2 28" xfId="51519"/>
    <cellStyle name="Normal 2 16 4 2 2 29" xfId="53271"/>
    <cellStyle name="Normal 2 16 4 2 2 3" xfId="5972"/>
    <cellStyle name="Normal 2 16 4 2 2 30" xfId="55023"/>
    <cellStyle name="Normal 2 16 4 2 2 31" xfId="56775"/>
    <cellStyle name="Normal 2 16 4 2 2 32" xfId="58528"/>
    <cellStyle name="Normal 2 16 4 2 2 33" xfId="60280"/>
    <cellStyle name="Normal 2 16 4 2 2 34" xfId="62032"/>
    <cellStyle name="Normal 2 16 4 2 2 4" xfId="7724"/>
    <cellStyle name="Normal 2 16 4 2 2 5" xfId="9476"/>
    <cellStyle name="Normal 2 16 4 2 2 6" xfId="11229"/>
    <cellStyle name="Normal 2 16 4 2 2 7" xfId="12981"/>
    <cellStyle name="Normal 2 16 4 2 2 8" xfId="14733"/>
    <cellStyle name="Normal 2 16 4 2 2 9" xfId="16485"/>
    <cellStyle name="Normal 2 16 4 2 20" xfId="33133"/>
    <cellStyle name="Normal 2 16 4 2 21" xfId="34426"/>
    <cellStyle name="Normal 2 16 4 2 22" xfId="35769"/>
    <cellStyle name="Normal 2 16 4 2 23" xfId="37047"/>
    <cellStyle name="Normal 2 16 4 2 24" xfId="39262"/>
    <cellStyle name="Normal 2 16 4 2 25" xfId="41017"/>
    <cellStyle name="Normal 2 16 4 2 26" xfId="42769"/>
    <cellStyle name="Normal 2 16 4 2 27" xfId="44047"/>
    <cellStyle name="Normal 2 16 4 2 28" xfId="45387"/>
    <cellStyle name="Normal 2 16 4 2 29" xfId="47139"/>
    <cellStyle name="Normal 2 16 4 2 3" xfId="3344"/>
    <cellStyle name="Normal 2 16 4 2 30" xfId="48891"/>
    <cellStyle name="Normal 2 16 4 2 31" xfId="50643"/>
    <cellStyle name="Normal 2 16 4 2 32" xfId="52395"/>
    <cellStyle name="Normal 2 16 4 2 33" xfId="54147"/>
    <cellStyle name="Normal 2 16 4 2 34" xfId="55899"/>
    <cellStyle name="Normal 2 16 4 2 35" xfId="57652"/>
    <cellStyle name="Normal 2 16 4 2 36" xfId="59404"/>
    <cellStyle name="Normal 2 16 4 2 37" xfId="61156"/>
    <cellStyle name="Normal 2 16 4 2 38" xfId="62434"/>
    <cellStyle name="Normal 2 16 4 2 39" xfId="63300"/>
    <cellStyle name="Normal 2 16 4 2 4" xfId="5096"/>
    <cellStyle name="Normal 2 16 4 2 5" xfId="6848"/>
    <cellStyle name="Normal 2 16 4 2 6" xfId="8600"/>
    <cellStyle name="Normal 2 16 4 2 7" xfId="10353"/>
    <cellStyle name="Normal 2 16 4 2 8" xfId="12105"/>
    <cellStyle name="Normal 2 16 4 2 9" xfId="13857"/>
    <cellStyle name="Normal 2 16 4 20" xfId="30944"/>
    <cellStyle name="Normal 2 16 4 21" xfId="32697"/>
    <cellStyle name="Normal 2 16 4 22" xfId="34425"/>
    <cellStyle name="Normal 2 16 4 23" xfId="35333"/>
    <cellStyle name="Normal 2 16 4 24" xfId="37046"/>
    <cellStyle name="Normal 2 16 4 25" xfId="38826"/>
    <cellStyle name="Normal 2 16 4 26" xfId="40581"/>
    <cellStyle name="Normal 2 16 4 27" xfId="42333"/>
    <cellStyle name="Normal 2 16 4 28" xfId="44046"/>
    <cellStyle name="Normal 2 16 4 29" xfId="44951"/>
    <cellStyle name="Normal 2 16 4 3" xfId="948"/>
    <cellStyle name="Normal 2 16 4 3 10" xfId="17802"/>
    <cellStyle name="Normal 2 16 4 3 11" xfId="19554"/>
    <cellStyle name="Normal 2 16 4 3 12" xfId="21307"/>
    <cellStyle name="Normal 2 16 4 3 13" xfId="23059"/>
    <cellStyle name="Normal 2 16 4 3 14" xfId="24811"/>
    <cellStyle name="Normal 2 16 4 3 15" xfId="26563"/>
    <cellStyle name="Normal 2 16 4 3 16" xfId="28315"/>
    <cellStyle name="Normal 2 16 4 3 17" xfId="30068"/>
    <cellStyle name="Normal 2 16 4 3 18" xfId="31820"/>
    <cellStyle name="Normal 2 16 4 3 19" xfId="33573"/>
    <cellStyle name="Normal 2 16 4 3 2" xfId="3784"/>
    <cellStyle name="Normal 2 16 4 3 20" xfId="36209"/>
    <cellStyle name="Normal 2 16 4 3 21" xfId="37949"/>
    <cellStyle name="Normal 2 16 4 3 22" xfId="39702"/>
    <cellStyle name="Normal 2 16 4 3 23" xfId="41457"/>
    <cellStyle name="Normal 2 16 4 3 24" xfId="43209"/>
    <cellStyle name="Normal 2 16 4 3 25" xfId="45827"/>
    <cellStyle name="Normal 2 16 4 3 26" xfId="47579"/>
    <cellStyle name="Normal 2 16 4 3 27" xfId="49331"/>
    <cellStyle name="Normal 2 16 4 3 28" xfId="51083"/>
    <cellStyle name="Normal 2 16 4 3 29" xfId="52835"/>
    <cellStyle name="Normal 2 16 4 3 3" xfId="5536"/>
    <cellStyle name="Normal 2 16 4 3 30" xfId="54587"/>
    <cellStyle name="Normal 2 16 4 3 31" xfId="56339"/>
    <cellStyle name="Normal 2 16 4 3 32" xfId="58092"/>
    <cellStyle name="Normal 2 16 4 3 33" xfId="59844"/>
    <cellStyle name="Normal 2 16 4 3 34" xfId="61596"/>
    <cellStyle name="Normal 2 16 4 3 4" xfId="7288"/>
    <cellStyle name="Normal 2 16 4 3 5" xfId="9040"/>
    <cellStyle name="Normal 2 16 4 3 6" xfId="10793"/>
    <cellStyle name="Normal 2 16 4 3 7" xfId="12545"/>
    <cellStyle name="Normal 2 16 4 3 8" xfId="14297"/>
    <cellStyle name="Normal 2 16 4 3 9" xfId="16049"/>
    <cellStyle name="Normal 2 16 4 30" xfId="46703"/>
    <cellStyle name="Normal 2 16 4 31" xfId="48455"/>
    <cellStyle name="Normal 2 16 4 32" xfId="50207"/>
    <cellStyle name="Normal 2 16 4 33" xfId="51959"/>
    <cellStyle name="Normal 2 16 4 34" xfId="53711"/>
    <cellStyle name="Normal 2 16 4 35" xfId="55463"/>
    <cellStyle name="Normal 2 16 4 36" xfId="57216"/>
    <cellStyle name="Normal 2 16 4 37" xfId="58968"/>
    <cellStyle name="Normal 2 16 4 38" xfId="60720"/>
    <cellStyle name="Normal 2 16 4 39" xfId="62433"/>
    <cellStyle name="Normal 2 16 4 4" xfId="2908"/>
    <cellStyle name="Normal 2 16 4 40" xfId="63299"/>
    <cellStyle name="Normal 2 16 4 5" xfId="4660"/>
    <cellStyle name="Normal 2 16 4 6" xfId="6412"/>
    <cellStyle name="Normal 2 16 4 7" xfId="8164"/>
    <cellStyle name="Normal 2 16 4 8" xfId="9917"/>
    <cellStyle name="Normal 2 16 4 9" xfId="11669"/>
    <cellStyle name="Normal 2 16 40" xfId="58731"/>
    <cellStyle name="Normal 2 16 41" xfId="60483"/>
    <cellStyle name="Normal 2 16 42" xfId="62420"/>
    <cellStyle name="Normal 2 16 43" xfId="63286"/>
    <cellStyle name="Normal 2 16 5" xfId="949"/>
    <cellStyle name="Normal 2 16 5 10" xfId="15372"/>
    <cellStyle name="Normal 2 16 5 11" xfId="17125"/>
    <cellStyle name="Normal 2 16 5 12" xfId="18877"/>
    <cellStyle name="Normal 2 16 5 13" xfId="20630"/>
    <cellStyle name="Normal 2 16 5 14" xfId="22382"/>
    <cellStyle name="Normal 2 16 5 15" xfId="24134"/>
    <cellStyle name="Normal 2 16 5 16" xfId="25886"/>
    <cellStyle name="Normal 2 16 5 17" xfId="27638"/>
    <cellStyle name="Normal 2 16 5 18" xfId="29391"/>
    <cellStyle name="Normal 2 16 5 19" xfId="31143"/>
    <cellStyle name="Normal 2 16 5 2" xfId="950"/>
    <cellStyle name="Normal 2 16 5 2 10" xfId="18001"/>
    <cellStyle name="Normal 2 16 5 2 11" xfId="19753"/>
    <cellStyle name="Normal 2 16 5 2 12" xfId="21506"/>
    <cellStyle name="Normal 2 16 5 2 13" xfId="23258"/>
    <cellStyle name="Normal 2 16 5 2 14" xfId="25010"/>
    <cellStyle name="Normal 2 16 5 2 15" xfId="26762"/>
    <cellStyle name="Normal 2 16 5 2 16" xfId="28514"/>
    <cellStyle name="Normal 2 16 5 2 17" xfId="30267"/>
    <cellStyle name="Normal 2 16 5 2 18" xfId="32019"/>
    <cellStyle name="Normal 2 16 5 2 19" xfId="33772"/>
    <cellStyle name="Normal 2 16 5 2 2" xfId="3983"/>
    <cellStyle name="Normal 2 16 5 2 20" xfId="36408"/>
    <cellStyle name="Normal 2 16 5 2 21" xfId="38148"/>
    <cellStyle name="Normal 2 16 5 2 22" xfId="39901"/>
    <cellStyle name="Normal 2 16 5 2 23" xfId="41656"/>
    <cellStyle name="Normal 2 16 5 2 24" xfId="43408"/>
    <cellStyle name="Normal 2 16 5 2 25" xfId="46026"/>
    <cellStyle name="Normal 2 16 5 2 26" xfId="47778"/>
    <cellStyle name="Normal 2 16 5 2 27" xfId="49530"/>
    <cellStyle name="Normal 2 16 5 2 28" xfId="51282"/>
    <cellStyle name="Normal 2 16 5 2 29" xfId="53034"/>
    <cellStyle name="Normal 2 16 5 2 3" xfId="5735"/>
    <cellStyle name="Normal 2 16 5 2 30" xfId="54786"/>
    <cellStyle name="Normal 2 16 5 2 31" xfId="56538"/>
    <cellStyle name="Normal 2 16 5 2 32" xfId="58291"/>
    <cellStyle name="Normal 2 16 5 2 33" xfId="60043"/>
    <cellStyle name="Normal 2 16 5 2 34" xfId="61795"/>
    <cellStyle name="Normal 2 16 5 2 4" xfId="7487"/>
    <cellStyle name="Normal 2 16 5 2 5" xfId="9239"/>
    <cellStyle name="Normal 2 16 5 2 6" xfId="10992"/>
    <cellStyle name="Normal 2 16 5 2 7" xfId="12744"/>
    <cellStyle name="Normal 2 16 5 2 8" xfId="14496"/>
    <cellStyle name="Normal 2 16 5 2 9" xfId="16248"/>
    <cellStyle name="Normal 2 16 5 20" xfId="32896"/>
    <cellStyle name="Normal 2 16 5 21" xfId="34427"/>
    <cellStyle name="Normal 2 16 5 22" xfId="35532"/>
    <cellStyle name="Normal 2 16 5 23" xfId="37048"/>
    <cellStyle name="Normal 2 16 5 24" xfId="39025"/>
    <cellStyle name="Normal 2 16 5 25" xfId="40780"/>
    <cellStyle name="Normal 2 16 5 26" xfId="42532"/>
    <cellStyle name="Normal 2 16 5 27" xfId="44048"/>
    <cellStyle name="Normal 2 16 5 28" xfId="45150"/>
    <cellStyle name="Normal 2 16 5 29" xfId="46902"/>
    <cellStyle name="Normal 2 16 5 3" xfId="3107"/>
    <cellStyle name="Normal 2 16 5 30" xfId="48654"/>
    <cellStyle name="Normal 2 16 5 31" xfId="50406"/>
    <cellStyle name="Normal 2 16 5 32" xfId="52158"/>
    <cellStyle name="Normal 2 16 5 33" xfId="53910"/>
    <cellStyle name="Normal 2 16 5 34" xfId="55662"/>
    <cellStyle name="Normal 2 16 5 35" xfId="57415"/>
    <cellStyle name="Normal 2 16 5 36" xfId="59167"/>
    <cellStyle name="Normal 2 16 5 37" xfId="60919"/>
    <cellStyle name="Normal 2 16 5 38" xfId="62435"/>
    <cellStyle name="Normal 2 16 5 39" xfId="63301"/>
    <cellStyle name="Normal 2 16 5 4" xfId="4859"/>
    <cellStyle name="Normal 2 16 5 5" xfId="6611"/>
    <cellStyle name="Normal 2 16 5 6" xfId="8363"/>
    <cellStyle name="Normal 2 16 5 7" xfId="10116"/>
    <cellStyle name="Normal 2 16 5 8" xfId="11868"/>
    <cellStyle name="Normal 2 16 5 9" xfId="13620"/>
    <cellStyle name="Normal 2 16 6" xfId="951"/>
    <cellStyle name="Normal 2 16 6 10" xfId="17565"/>
    <cellStyle name="Normal 2 16 6 11" xfId="19317"/>
    <cellStyle name="Normal 2 16 6 12" xfId="21070"/>
    <cellStyle name="Normal 2 16 6 13" xfId="22822"/>
    <cellStyle name="Normal 2 16 6 14" xfId="24574"/>
    <cellStyle name="Normal 2 16 6 15" xfId="26326"/>
    <cellStyle name="Normal 2 16 6 16" xfId="28078"/>
    <cellStyle name="Normal 2 16 6 17" xfId="29831"/>
    <cellStyle name="Normal 2 16 6 18" xfId="31583"/>
    <cellStyle name="Normal 2 16 6 19" xfId="33336"/>
    <cellStyle name="Normal 2 16 6 2" xfId="3547"/>
    <cellStyle name="Normal 2 16 6 20" xfId="35972"/>
    <cellStyle name="Normal 2 16 6 21" xfId="37709"/>
    <cellStyle name="Normal 2 16 6 22" xfId="39465"/>
    <cellStyle name="Normal 2 16 6 23" xfId="41220"/>
    <cellStyle name="Normal 2 16 6 24" xfId="42972"/>
    <cellStyle name="Normal 2 16 6 25" xfId="45590"/>
    <cellStyle name="Normal 2 16 6 26" xfId="47342"/>
    <cellStyle name="Normal 2 16 6 27" xfId="49094"/>
    <cellStyle name="Normal 2 16 6 28" xfId="50846"/>
    <cellStyle name="Normal 2 16 6 29" xfId="52598"/>
    <cellStyle name="Normal 2 16 6 3" xfId="5299"/>
    <cellStyle name="Normal 2 16 6 30" xfId="54350"/>
    <cellStyle name="Normal 2 16 6 31" xfId="56102"/>
    <cellStyle name="Normal 2 16 6 32" xfId="57855"/>
    <cellStyle name="Normal 2 16 6 33" xfId="59607"/>
    <cellStyle name="Normal 2 16 6 34" xfId="61359"/>
    <cellStyle name="Normal 2 16 6 4" xfId="7051"/>
    <cellStyle name="Normal 2 16 6 5" xfId="8803"/>
    <cellStyle name="Normal 2 16 6 6" xfId="10556"/>
    <cellStyle name="Normal 2 16 6 7" xfId="12308"/>
    <cellStyle name="Normal 2 16 6 8" xfId="14060"/>
    <cellStyle name="Normal 2 16 6 9" xfId="15812"/>
    <cellStyle name="Normal 2 16 7" xfId="2671"/>
    <cellStyle name="Normal 2 16 8" xfId="4423"/>
    <cellStyle name="Normal 2 16 9" xfId="6175"/>
    <cellStyle name="Normal 2 17" xfId="952"/>
    <cellStyle name="Normal 2 17 10" xfId="7939"/>
    <cellStyle name="Normal 2 17 11" xfId="9692"/>
    <cellStyle name="Normal 2 17 12" xfId="11444"/>
    <cellStyle name="Normal 2 17 13" xfId="13196"/>
    <cellStyle name="Normal 2 17 14" xfId="14948"/>
    <cellStyle name="Normal 2 17 15" xfId="16701"/>
    <cellStyle name="Normal 2 17 16" xfId="18453"/>
    <cellStyle name="Normal 2 17 17" xfId="20206"/>
    <cellStyle name="Normal 2 17 18" xfId="21958"/>
    <cellStyle name="Normal 2 17 19" xfId="23710"/>
    <cellStyle name="Normal 2 17 2" xfId="953"/>
    <cellStyle name="Normal 2 17 2 10" xfId="9747"/>
    <cellStyle name="Normal 2 17 2 11" xfId="11499"/>
    <cellStyle name="Normal 2 17 2 12" xfId="13251"/>
    <cellStyle name="Normal 2 17 2 13" xfId="15003"/>
    <cellStyle name="Normal 2 17 2 14" xfId="16756"/>
    <cellStyle name="Normal 2 17 2 15" xfId="18508"/>
    <cellStyle name="Normal 2 17 2 16" xfId="20261"/>
    <cellStyle name="Normal 2 17 2 17" xfId="22013"/>
    <cellStyle name="Normal 2 17 2 18" xfId="23765"/>
    <cellStyle name="Normal 2 17 2 19" xfId="25517"/>
    <cellStyle name="Normal 2 17 2 2" xfId="954"/>
    <cellStyle name="Normal 2 17 2 2 10" xfId="11607"/>
    <cellStyle name="Normal 2 17 2 2 11" xfId="13359"/>
    <cellStyle name="Normal 2 17 2 2 12" xfId="15111"/>
    <cellStyle name="Normal 2 17 2 2 13" xfId="16864"/>
    <cellStyle name="Normal 2 17 2 2 14" xfId="18616"/>
    <cellStyle name="Normal 2 17 2 2 15" xfId="20369"/>
    <cellStyle name="Normal 2 17 2 2 16" xfId="22121"/>
    <cellStyle name="Normal 2 17 2 2 17" xfId="23873"/>
    <cellStyle name="Normal 2 17 2 2 18" xfId="25625"/>
    <cellStyle name="Normal 2 17 2 2 19" xfId="27377"/>
    <cellStyle name="Normal 2 17 2 2 2" xfId="955"/>
    <cellStyle name="Normal 2 17 2 2 2 10" xfId="13422"/>
    <cellStyle name="Normal 2 17 2 2 2 11" xfId="15174"/>
    <cellStyle name="Normal 2 17 2 2 2 12" xfId="16927"/>
    <cellStyle name="Normal 2 17 2 2 2 13" xfId="18679"/>
    <cellStyle name="Normal 2 17 2 2 2 14" xfId="20432"/>
    <cellStyle name="Normal 2 17 2 2 2 15" xfId="22184"/>
    <cellStyle name="Normal 2 17 2 2 2 16" xfId="23936"/>
    <cellStyle name="Normal 2 17 2 2 2 17" xfId="25688"/>
    <cellStyle name="Normal 2 17 2 2 2 18" xfId="27440"/>
    <cellStyle name="Normal 2 17 2 2 2 19" xfId="29193"/>
    <cellStyle name="Normal 2 17 2 2 2 2" xfId="956"/>
    <cellStyle name="Normal 2 17 2 2 2 2 10" xfId="15610"/>
    <cellStyle name="Normal 2 17 2 2 2 2 11" xfId="17363"/>
    <cellStyle name="Normal 2 17 2 2 2 2 12" xfId="19115"/>
    <cellStyle name="Normal 2 17 2 2 2 2 13" xfId="20868"/>
    <cellStyle name="Normal 2 17 2 2 2 2 14" xfId="22620"/>
    <cellStyle name="Normal 2 17 2 2 2 2 15" xfId="24372"/>
    <cellStyle name="Normal 2 17 2 2 2 2 16" xfId="26124"/>
    <cellStyle name="Normal 2 17 2 2 2 2 17" xfId="27876"/>
    <cellStyle name="Normal 2 17 2 2 2 2 18" xfId="29629"/>
    <cellStyle name="Normal 2 17 2 2 2 2 19" xfId="31381"/>
    <cellStyle name="Normal 2 17 2 2 2 2 2" xfId="957"/>
    <cellStyle name="Normal 2 17 2 2 2 2 2 10" xfId="18239"/>
    <cellStyle name="Normal 2 17 2 2 2 2 2 11" xfId="19991"/>
    <cellStyle name="Normal 2 17 2 2 2 2 2 12" xfId="21744"/>
    <cellStyle name="Normal 2 17 2 2 2 2 2 13" xfId="23496"/>
    <cellStyle name="Normal 2 17 2 2 2 2 2 14" xfId="25248"/>
    <cellStyle name="Normal 2 17 2 2 2 2 2 15" xfId="27000"/>
    <cellStyle name="Normal 2 17 2 2 2 2 2 16" xfId="28752"/>
    <cellStyle name="Normal 2 17 2 2 2 2 2 17" xfId="30505"/>
    <cellStyle name="Normal 2 17 2 2 2 2 2 18" xfId="32257"/>
    <cellStyle name="Normal 2 17 2 2 2 2 2 19" xfId="34010"/>
    <cellStyle name="Normal 2 17 2 2 2 2 2 2" xfId="4221"/>
    <cellStyle name="Normal 2 17 2 2 2 2 2 20" xfId="36646"/>
    <cellStyle name="Normal 2 17 2 2 2 2 2 21" xfId="38386"/>
    <cellStyle name="Normal 2 17 2 2 2 2 2 22" xfId="40139"/>
    <cellStyle name="Normal 2 17 2 2 2 2 2 23" xfId="41894"/>
    <cellStyle name="Normal 2 17 2 2 2 2 2 24" xfId="43646"/>
    <cellStyle name="Normal 2 17 2 2 2 2 2 25" xfId="46264"/>
    <cellStyle name="Normal 2 17 2 2 2 2 2 26" xfId="48016"/>
    <cellStyle name="Normal 2 17 2 2 2 2 2 27" xfId="49768"/>
    <cellStyle name="Normal 2 17 2 2 2 2 2 28" xfId="51520"/>
    <cellStyle name="Normal 2 17 2 2 2 2 2 29" xfId="53272"/>
    <cellStyle name="Normal 2 17 2 2 2 2 2 3" xfId="5973"/>
    <cellStyle name="Normal 2 17 2 2 2 2 2 30" xfId="55024"/>
    <cellStyle name="Normal 2 17 2 2 2 2 2 31" xfId="56776"/>
    <cellStyle name="Normal 2 17 2 2 2 2 2 32" xfId="58529"/>
    <cellStyle name="Normal 2 17 2 2 2 2 2 33" xfId="60281"/>
    <cellStyle name="Normal 2 17 2 2 2 2 2 34" xfId="62033"/>
    <cellStyle name="Normal 2 17 2 2 2 2 2 4" xfId="7725"/>
    <cellStyle name="Normal 2 17 2 2 2 2 2 5" xfId="9477"/>
    <cellStyle name="Normal 2 17 2 2 2 2 2 6" xfId="11230"/>
    <cellStyle name="Normal 2 17 2 2 2 2 2 7" xfId="12982"/>
    <cellStyle name="Normal 2 17 2 2 2 2 2 8" xfId="14734"/>
    <cellStyle name="Normal 2 17 2 2 2 2 2 9" xfId="16486"/>
    <cellStyle name="Normal 2 17 2 2 2 2 20" xfId="33134"/>
    <cellStyle name="Normal 2 17 2 2 2 2 21" xfId="34432"/>
    <cellStyle name="Normal 2 17 2 2 2 2 22" xfId="35770"/>
    <cellStyle name="Normal 2 17 2 2 2 2 23" xfId="37053"/>
    <cellStyle name="Normal 2 17 2 2 2 2 24" xfId="39263"/>
    <cellStyle name="Normal 2 17 2 2 2 2 25" xfId="41018"/>
    <cellStyle name="Normal 2 17 2 2 2 2 26" xfId="42770"/>
    <cellStyle name="Normal 2 17 2 2 2 2 27" xfId="44053"/>
    <cellStyle name="Normal 2 17 2 2 2 2 28" xfId="45388"/>
    <cellStyle name="Normal 2 17 2 2 2 2 29" xfId="47140"/>
    <cellStyle name="Normal 2 17 2 2 2 2 3" xfId="3345"/>
    <cellStyle name="Normal 2 17 2 2 2 2 30" xfId="48892"/>
    <cellStyle name="Normal 2 17 2 2 2 2 31" xfId="50644"/>
    <cellStyle name="Normal 2 17 2 2 2 2 32" xfId="52396"/>
    <cellStyle name="Normal 2 17 2 2 2 2 33" xfId="54148"/>
    <cellStyle name="Normal 2 17 2 2 2 2 34" xfId="55900"/>
    <cellStyle name="Normal 2 17 2 2 2 2 35" xfId="57653"/>
    <cellStyle name="Normal 2 17 2 2 2 2 36" xfId="59405"/>
    <cellStyle name="Normal 2 17 2 2 2 2 37" xfId="61157"/>
    <cellStyle name="Normal 2 17 2 2 2 2 38" xfId="62440"/>
    <cellStyle name="Normal 2 17 2 2 2 2 39" xfId="63306"/>
    <cellStyle name="Normal 2 17 2 2 2 2 4" xfId="5097"/>
    <cellStyle name="Normal 2 17 2 2 2 2 5" xfId="6849"/>
    <cellStyle name="Normal 2 17 2 2 2 2 6" xfId="8601"/>
    <cellStyle name="Normal 2 17 2 2 2 2 7" xfId="10354"/>
    <cellStyle name="Normal 2 17 2 2 2 2 8" xfId="12106"/>
    <cellStyle name="Normal 2 17 2 2 2 2 9" xfId="13858"/>
    <cellStyle name="Normal 2 17 2 2 2 20" xfId="30945"/>
    <cellStyle name="Normal 2 17 2 2 2 21" xfId="32698"/>
    <cellStyle name="Normal 2 17 2 2 2 22" xfId="34431"/>
    <cellStyle name="Normal 2 17 2 2 2 23" xfId="35334"/>
    <cellStyle name="Normal 2 17 2 2 2 24" xfId="37052"/>
    <cellStyle name="Normal 2 17 2 2 2 25" xfId="38827"/>
    <cellStyle name="Normal 2 17 2 2 2 26" xfId="40582"/>
    <cellStyle name="Normal 2 17 2 2 2 27" xfId="42334"/>
    <cellStyle name="Normal 2 17 2 2 2 28" xfId="44052"/>
    <cellStyle name="Normal 2 17 2 2 2 29" xfId="44952"/>
    <cellStyle name="Normal 2 17 2 2 2 3" xfId="958"/>
    <cellStyle name="Normal 2 17 2 2 2 3 10" xfId="17803"/>
    <cellStyle name="Normal 2 17 2 2 2 3 11" xfId="19555"/>
    <cellStyle name="Normal 2 17 2 2 2 3 12" xfId="21308"/>
    <cellStyle name="Normal 2 17 2 2 2 3 13" xfId="23060"/>
    <cellStyle name="Normal 2 17 2 2 2 3 14" xfId="24812"/>
    <cellStyle name="Normal 2 17 2 2 2 3 15" xfId="26564"/>
    <cellStyle name="Normal 2 17 2 2 2 3 16" xfId="28316"/>
    <cellStyle name="Normal 2 17 2 2 2 3 17" xfId="30069"/>
    <cellStyle name="Normal 2 17 2 2 2 3 18" xfId="31821"/>
    <cellStyle name="Normal 2 17 2 2 2 3 19" xfId="33574"/>
    <cellStyle name="Normal 2 17 2 2 2 3 2" xfId="3785"/>
    <cellStyle name="Normal 2 17 2 2 2 3 20" xfId="36210"/>
    <cellStyle name="Normal 2 17 2 2 2 3 21" xfId="37950"/>
    <cellStyle name="Normal 2 17 2 2 2 3 22" xfId="39703"/>
    <cellStyle name="Normal 2 17 2 2 2 3 23" xfId="41458"/>
    <cellStyle name="Normal 2 17 2 2 2 3 24" xfId="43210"/>
    <cellStyle name="Normal 2 17 2 2 2 3 25" xfId="45828"/>
    <cellStyle name="Normal 2 17 2 2 2 3 26" xfId="47580"/>
    <cellStyle name="Normal 2 17 2 2 2 3 27" xfId="49332"/>
    <cellStyle name="Normal 2 17 2 2 2 3 28" xfId="51084"/>
    <cellStyle name="Normal 2 17 2 2 2 3 29" xfId="52836"/>
    <cellStyle name="Normal 2 17 2 2 2 3 3" xfId="5537"/>
    <cellStyle name="Normal 2 17 2 2 2 3 30" xfId="54588"/>
    <cellStyle name="Normal 2 17 2 2 2 3 31" xfId="56340"/>
    <cellStyle name="Normal 2 17 2 2 2 3 32" xfId="58093"/>
    <cellStyle name="Normal 2 17 2 2 2 3 33" xfId="59845"/>
    <cellStyle name="Normal 2 17 2 2 2 3 34" xfId="61597"/>
    <cellStyle name="Normal 2 17 2 2 2 3 4" xfId="7289"/>
    <cellStyle name="Normal 2 17 2 2 2 3 5" xfId="9041"/>
    <cellStyle name="Normal 2 17 2 2 2 3 6" xfId="10794"/>
    <cellStyle name="Normal 2 17 2 2 2 3 7" xfId="12546"/>
    <cellStyle name="Normal 2 17 2 2 2 3 8" xfId="14298"/>
    <cellStyle name="Normal 2 17 2 2 2 3 9" xfId="16050"/>
    <cellStyle name="Normal 2 17 2 2 2 30" xfId="46704"/>
    <cellStyle name="Normal 2 17 2 2 2 31" xfId="48456"/>
    <cellStyle name="Normal 2 17 2 2 2 32" xfId="50208"/>
    <cellStyle name="Normal 2 17 2 2 2 33" xfId="51960"/>
    <cellStyle name="Normal 2 17 2 2 2 34" xfId="53712"/>
    <cellStyle name="Normal 2 17 2 2 2 35" xfId="55464"/>
    <cellStyle name="Normal 2 17 2 2 2 36" xfId="57217"/>
    <cellStyle name="Normal 2 17 2 2 2 37" xfId="58969"/>
    <cellStyle name="Normal 2 17 2 2 2 38" xfId="60721"/>
    <cellStyle name="Normal 2 17 2 2 2 39" xfId="62439"/>
    <cellStyle name="Normal 2 17 2 2 2 4" xfId="2909"/>
    <cellStyle name="Normal 2 17 2 2 2 40" xfId="63305"/>
    <cellStyle name="Normal 2 17 2 2 2 5" xfId="4661"/>
    <cellStyle name="Normal 2 17 2 2 2 6" xfId="6413"/>
    <cellStyle name="Normal 2 17 2 2 2 7" xfId="8165"/>
    <cellStyle name="Normal 2 17 2 2 2 8" xfId="9918"/>
    <cellStyle name="Normal 2 17 2 2 2 9" xfId="11670"/>
    <cellStyle name="Normal 2 17 2 2 20" xfId="29130"/>
    <cellStyle name="Normal 2 17 2 2 21" xfId="30882"/>
    <cellStyle name="Normal 2 17 2 2 22" xfId="32635"/>
    <cellStyle name="Normal 2 17 2 2 23" xfId="34430"/>
    <cellStyle name="Normal 2 17 2 2 24" xfId="35271"/>
    <cellStyle name="Normal 2 17 2 2 25" xfId="37051"/>
    <cellStyle name="Normal 2 17 2 2 26" xfId="38764"/>
    <cellStyle name="Normal 2 17 2 2 27" xfId="40519"/>
    <cellStyle name="Normal 2 17 2 2 28" xfId="42271"/>
    <cellStyle name="Normal 2 17 2 2 29" xfId="44051"/>
    <cellStyle name="Normal 2 17 2 2 3" xfId="959"/>
    <cellStyle name="Normal 2 17 2 2 3 10" xfId="15547"/>
    <cellStyle name="Normal 2 17 2 2 3 11" xfId="17300"/>
    <cellStyle name="Normal 2 17 2 2 3 12" xfId="19052"/>
    <cellStyle name="Normal 2 17 2 2 3 13" xfId="20805"/>
    <cellStyle name="Normal 2 17 2 2 3 14" xfId="22557"/>
    <cellStyle name="Normal 2 17 2 2 3 15" xfId="24309"/>
    <cellStyle name="Normal 2 17 2 2 3 16" xfId="26061"/>
    <cellStyle name="Normal 2 17 2 2 3 17" xfId="27813"/>
    <cellStyle name="Normal 2 17 2 2 3 18" xfId="29566"/>
    <cellStyle name="Normal 2 17 2 2 3 19" xfId="31318"/>
    <cellStyle name="Normal 2 17 2 2 3 2" xfId="960"/>
    <cellStyle name="Normal 2 17 2 2 3 2 10" xfId="18176"/>
    <cellStyle name="Normal 2 17 2 2 3 2 11" xfId="19928"/>
    <cellStyle name="Normal 2 17 2 2 3 2 12" xfId="21681"/>
    <cellStyle name="Normal 2 17 2 2 3 2 13" xfId="23433"/>
    <cellStyle name="Normal 2 17 2 2 3 2 14" xfId="25185"/>
    <cellStyle name="Normal 2 17 2 2 3 2 15" xfId="26937"/>
    <cellStyle name="Normal 2 17 2 2 3 2 16" xfId="28689"/>
    <cellStyle name="Normal 2 17 2 2 3 2 17" xfId="30442"/>
    <cellStyle name="Normal 2 17 2 2 3 2 18" xfId="32194"/>
    <cellStyle name="Normal 2 17 2 2 3 2 19" xfId="33947"/>
    <cellStyle name="Normal 2 17 2 2 3 2 2" xfId="4158"/>
    <cellStyle name="Normal 2 17 2 2 3 2 20" xfId="36583"/>
    <cellStyle name="Normal 2 17 2 2 3 2 21" xfId="38323"/>
    <cellStyle name="Normal 2 17 2 2 3 2 22" xfId="40076"/>
    <cellStyle name="Normal 2 17 2 2 3 2 23" xfId="41831"/>
    <cellStyle name="Normal 2 17 2 2 3 2 24" xfId="43583"/>
    <cellStyle name="Normal 2 17 2 2 3 2 25" xfId="46201"/>
    <cellStyle name="Normal 2 17 2 2 3 2 26" xfId="47953"/>
    <cellStyle name="Normal 2 17 2 2 3 2 27" xfId="49705"/>
    <cellStyle name="Normal 2 17 2 2 3 2 28" xfId="51457"/>
    <cellStyle name="Normal 2 17 2 2 3 2 29" xfId="53209"/>
    <cellStyle name="Normal 2 17 2 2 3 2 3" xfId="5910"/>
    <cellStyle name="Normal 2 17 2 2 3 2 30" xfId="54961"/>
    <cellStyle name="Normal 2 17 2 2 3 2 31" xfId="56713"/>
    <cellStyle name="Normal 2 17 2 2 3 2 32" xfId="58466"/>
    <cellStyle name="Normal 2 17 2 2 3 2 33" xfId="60218"/>
    <cellStyle name="Normal 2 17 2 2 3 2 34" xfId="61970"/>
    <cellStyle name="Normal 2 17 2 2 3 2 4" xfId="7662"/>
    <cellStyle name="Normal 2 17 2 2 3 2 5" xfId="9414"/>
    <cellStyle name="Normal 2 17 2 2 3 2 6" xfId="11167"/>
    <cellStyle name="Normal 2 17 2 2 3 2 7" xfId="12919"/>
    <cellStyle name="Normal 2 17 2 2 3 2 8" xfId="14671"/>
    <cellStyle name="Normal 2 17 2 2 3 2 9" xfId="16423"/>
    <cellStyle name="Normal 2 17 2 2 3 20" xfId="33071"/>
    <cellStyle name="Normal 2 17 2 2 3 21" xfId="34433"/>
    <cellStyle name="Normal 2 17 2 2 3 22" xfId="35707"/>
    <cellStyle name="Normal 2 17 2 2 3 23" xfId="37054"/>
    <cellStyle name="Normal 2 17 2 2 3 24" xfId="39200"/>
    <cellStyle name="Normal 2 17 2 2 3 25" xfId="40955"/>
    <cellStyle name="Normal 2 17 2 2 3 26" xfId="42707"/>
    <cellStyle name="Normal 2 17 2 2 3 27" xfId="44054"/>
    <cellStyle name="Normal 2 17 2 2 3 28" xfId="45325"/>
    <cellStyle name="Normal 2 17 2 2 3 29" xfId="47077"/>
    <cellStyle name="Normal 2 17 2 2 3 3" xfId="3282"/>
    <cellStyle name="Normal 2 17 2 2 3 30" xfId="48829"/>
    <cellStyle name="Normal 2 17 2 2 3 31" xfId="50581"/>
    <cellStyle name="Normal 2 17 2 2 3 32" xfId="52333"/>
    <cellStyle name="Normal 2 17 2 2 3 33" xfId="54085"/>
    <cellStyle name="Normal 2 17 2 2 3 34" xfId="55837"/>
    <cellStyle name="Normal 2 17 2 2 3 35" xfId="57590"/>
    <cellStyle name="Normal 2 17 2 2 3 36" xfId="59342"/>
    <cellStyle name="Normal 2 17 2 2 3 37" xfId="61094"/>
    <cellStyle name="Normal 2 17 2 2 3 38" xfId="62441"/>
    <cellStyle name="Normal 2 17 2 2 3 39" xfId="63307"/>
    <cellStyle name="Normal 2 17 2 2 3 4" xfId="5034"/>
    <cellStyle name="Normal 2 17 2 2 3 5" xfId="6786"/>
    <cellStyle name="Normal 2 17 2 2 3 6" xfId="8538"/>
    <cellStyle name="Normal 2 17 2 2 3 7" xfId="10291"/>
    <cellStyle name="Normal 2 17 2 2 3 8" xfId="12043"/>
    <cellStyle name="Normal 2 17 2 2 3 9" xfId="13795"/>
    <cellStyle name="Normal 2 17 2 2 30" xfId="44889"/>
    <cellStyle name="Normal 2 17 2 2 31" xfId="46641"/>
    <cellStyle name="Normal 2 17 2 2 32" xfId="48393"/>
    <cellStyle name="Normal 2 17 2 2 33" xfId="50145"/>
    <cellStyle name="Normal 2 17 2 2 34" xfId="51897"/>
    <cellStyle name="Normal 2 17 2 2 35" xfId="53649"/>
    <cellStyle name="Normal 2 17 2 2 36" xfId="55401"/>
    <cellStyle name="Normal 2 17 2 2 37" xfId="57154"/>
    <cellStyle name="Normal 2 17 2 2 38" xfId="58906"/>
    <cellStyle name="Normal 2 17 2 2 39" xfId="60658"/>
    <cellStyle name="Normal 2 17 2 2 4" xfId="961"/>
    <cellStyle name="Normal 2 17 2 2 4 10" xfId="17740"/>
    <cellStyle name="Normal 2 17 2 2 4 11" xfId="19492"/>
    <cellStyle name="Normal 2 17 2 2 4 12" xfId="21245"/>
    <cellStyle name="Normal 2 17 2 2 4 13" xfId="22997"/>
    <cellStyle name="Normal 2 17 2 2 4 14" xfId="24749"/>
    <cellStyle name="Normal 2 17 2 2 4 15" xfId="26501"/>
    <cellStyle name="Normal 2 17 2 2 4 16" xfId="28253"/>
    <cellStyle name="Normal 2 17 2 2 4 17" xfId="30006"/>
    <cellStyle name="Normal 2 17 2 2 4 18" xfId="31758"/>
    <cellStyle name="Normal 2 17 2 2 4 19" xfId="33511"/>
    <cellStyle name="Normal 2 17 2 2 4 2" xfId="3722"/>
    <cellStyle name="Normal 2 17 2 2 4 20" xfId="36147"/>
    <cellStyle name="Normal 2 17 2 2 4 21" xfId="37887"/>
    <cellStyle name="Normal 2 17 2 2 4 22" xfId="39640"/>
    <cellStyle name="Normal 2 17 2 2 4 23" xfId="41395"/>
    <cellStyle name="Normal 2 17 2 2 4 24" xfId="43147"/>
    <cellStyle name="Normal 2 17 2 2 4 25" xfId="45765"/>
    <cellStyle name="Normal 2 17 2 2 4 26" xfId="47517"/>
    <cellStyle name="Normal 2 17 2 2 4 27" xfId="49269"/>
    <cellStyle name="Normal 2 17 2 2 4 28" xfId="51021"/>
    <cellStyle name="Normal 2 17 2 2 4 29" xfId="52773"/>
    <cellStyle name="Normal 2 17 2 2 4 3" xfId="5474"/>
    <cellStyle name="Normal 2 17 2 2 4 30" xfId="54525"/>
    <cellStyle name="Normal 2 17 2 2 4 31" xfId="56277"/>
    <cellStyle name="Normal 2 17 2 2 4 32" xfId="58030"/>
    <cellStyle name="Normal 2 17 2 2 4 33" xfId="59782"/>
    <cellStyle name="Normal 2 17 2 2 4 34" xfId="61534"/>
    <cellStyle name="Normal 2 17 2 2 4 4" xfId="7226"/>
    <cellStyle name="Normal 2 17 2 2 4 5" xfId="8978"/>
    <cellStyle name="Normal 2 17 2 2 4 6" xfId="10731"/>
    <cellStyle name="Normal 2 17 2 2 4 7" xfId="12483"/>
    <cellStyle name="Normal 2 17 2 2 4 8" xfId="14235"/>
    <cellStyle name="Normal 2 17 2 2 4 9" xfId="15987"/>
    <cellStyle name="Normal 2 17 2 2 40" xfId="62438"/>
    <cellStyle name="Normal 2 17 2 2 41" xfId="63304"/>
    <cellStyle name="Normal 2 17 2 2 5" xfId="2846"/>
    <cellStyle name="Normal 2 17 2 2 6" xfId="4598"/>
    <cellStyle name="Normal 2 17 2 2 7" xfId="6350"/>
    <cellStyle name="Normal 2 17 2 2 8" xfId="8102"/>
    <cellStyle name="Normal 2 17 2 2 9" xfId="9855"/>
    <cellStyle name="Normal 2 17 2 20" xfId="27269"/>
    <cellStyle name="Normal 2 17 2 21" xfId="29022"/>
    <cellStyle name="Normal 2 17 2 22" xfId="30774"/>
    <cellStyle name="Normal 2 17 2 23" xfId="32527"/>
    <cellStyle name="Normal 2 17 2 24" xfId="34429"/>
    <cellStyle name="Normal 2 17 2 25" xfId="35163"/>
    <cellStyle name="Normal 2 17 2 26" xfId="37050"/>
    <cellStyle name="Normal 2 17 2 27" xfId="38656"/>
    <cellStyle name="Normal 2 17 2 28" xfId="40411"/>
    <cellStyle name="Normal 2 17 2 29" xfId="42163"/>
    <cellStyle name="Normal 2 17 2 3" xfId="962"/>
    <cellStyle name="Normal 2 17 2 3 10" xfId="13423"/>
    <cellStyle name="Normal 2 17 2 3 11" xfId="15175"/>
    <cellStyle name="Normal 2 17 2 3 12" xfId="16928"/>
    <cellStyle name="Normal 2 17 2 3 13" xfId="18680"/>
    <cellStyle name="Normal 2 17 2 3 14" xfId="20433"/>
    <cellStyle name="Normal 2 17 2 3 15" xfId="22185"/>
    <cellStyle name="Normal 2 17 2 3 16" xfId="23937"/>
    <cellStyle name="Normal 2 17 2 3 17" xfId="25689"/>
    <cellStyle name="Normal 2 17 2 3 18" xfId="27441"/>
    <cellStyle name="Normal 2 17 2 3 19" xfId="29194"/>
    <cellStyle name="Normal 2 17 2 3 2" xfId="963"/>
    <cellStyle name="Normal 2 17 2 3 2 10" xfId="15611"/>
    <cellStyle name="Normal 2 17 2 3 2 11" xfId="17364"/>
    <cellStyle name="Normal 2 17 2 3 2 12" xfId="19116"/>
    <cellStyle name="Normal 2 17 2 3 2 13" xfId="20869"/>
    <cellStyle name="Normal 2 17 2 3 2 14" xfId="22621"/>
    <cellStyle name="Normal 2 17 2 3 2 15" xfId="24373"/>
    <cellStyle name="Normal 2 17 2 3 2 16" xfId="26125"/>
    <cellStyle name="Normal 2 17 2 3 2 17" xfId="27877"/>
    <cellStyle name="Normal 2 17 2 3 2 18" xfId="29630"/>
    <cellStyle name="Normal 2 17 2 3 2 19" xfId="31382"/>
    <cellStyle name="Normal 2 17 2 3 2 2" xfId="964"/>
    <cellStyle name="Normal 2 17 2 3 2 2 10" xfId="18240"/>
    <cellStyle name="Normal 2 17 2 3 2 2 11" xfId="19992"/>
    <cellStyle name="Normal 2 17 2 3 2 2 12" xfId="21745"/>
    <cellStyle name="Normal 2 17 2 3 2 2 13" xfId="23497"/>
    <cellStyle name="Normal 2 17 2 3 2 2 14" xfId="25249"/>
    <cellStyle name="Normal 2 17 2 3 2 2 15" xfId="27001"/>
    <cellStyle name="Normal 2 17 2 3 2 2 16" xfId="28753"/>
    <cellStyle name="Normal 2 17 2 3 2 2 17" xfId="30506"/>
    <cellStyle name="Normal 2 17 2 3 2 2 18" xfId="32258"/>
    <cellStyle name="Normal 2 17 2 3 2 2 19" xfId="34011"/>
    <cellStyle name="Normal 2 17 2 3 2 2 2" xfId="4222"/>
    <cellStyle name="Normal 2 17 2 3 2 2 20" xfId="36647"/>
    <cellStyle name="Normal 2 17 2 3 2 2 21" xfId="38387"/>
    <cellStyle name="Normal 2 17 2 3 2 2 22" xfId="40140"/>
    <cellStyle name="Normal 2 17 2 3 2 2 23" xfId="41895"/>
    <cellStyle name="Normal 2 17 2 3 2 2 24" xfId="43647"/>
    <cellStyle name="Normal 2 17 2 3 2 2 25" xfId="46265"/>
    <cellStyle name="Normal 2 17 2 3 2 2 26" xfId="48017"/>
    <cellStyle name="Normal 2 17 2 3 2 2 27" xfId="49769"/>
    <cellStyle name="Normal 2 17 2 3 2 2 28" xfId="51521"/>
    <cellStyle name="Normal 2 17 2 3 2 2 29" xfId="53273"/>
    <cellStyle name="Normal 2 17 2 3 2 2 3" xfId="5974"/>
    <cellStyle name="Normal 2 17 2 3 2 2 30" xfId="55025"/>
    <cellStyle name="Normal 2 17 2 3 2 2 31" xfId="56777"/>
    <cellStyle name="Normal 2 17 2 3 2 2 32" xfId="58530"/>
    <cellStyle name="Normal 2 17 2 3 2 2 33" xfId="60282"/>
    <cellStyle name="Normal 2 17 2 3 2 2 34" xfId="62034"/>
    <cellStyle name="Normal 2 17 2 3 2 2 4" xfId="7726"/>
    <cellStyle name="Normal 2 17 2 3 2 2 5" xfId="9478"/>
    <cellStyle name="Normal 2 17 2 3 2 2 6" xfId="11231"/>
    <cellStyle name="Normal 2 17 2 3 2 2 7" xfId="12983"/>
    <cellStyle name="Normal 2 17 2 3 2 2 8" xfId="14735"/>
    <cellStyle name="Normal 2 17 2 3 2 2 9" xfId="16487"/>
    <cellStyle name="Normal 2 17 2 3 2 20" xfId="33135"/>
    <cellStyle name="Normal 2 17 2 3 2 21" xfId="34435"/>
    <cellStyle name="Normal 2 17 2 3 2 22" xfId="35771"/>
    <cellStyle name="Normal 2 17 2 3 2 23" xfId="37056"/>
    <cellStyle name="Normal 2 17 2 3 2 24" xfId="39264"/>
    <cellStyle name="Normal 2 17 2 3 2 25" xfId="41019"/>
    <cellStyle name="Normal 2 17 2 3 2 26" xfId="42771"/>
    <cellStyle name="Normal 2 17 2 3 2 27" xfId="44056"/>
    <cellStyle name="Normal 2 17 2 3 2 28" xfId="45389"/>
    <cellStyle name="Normal 2 17 2 3 2 29" xfId="47141"/>
    <cellStyle name="Normal 2 17 2 3 2 3" xfId="3346"/>
    <cellStyle name="Normal 2 17 2 3 2 30" xfId="48893"/>
    <cellStyle name="Normal 2 17 2 3 2 31" xfId="50645"/>
    <cellStyle name="Normal 2 17 2 3 2 32" xfId="52397"/>
    <cellStyle name="Normal 2 17 2 3 2 33" xfId="54149"/>
    <cellStyle name="Normal 2 17 2 3 2 34" xfId="55901"/>
    <cellStyle name="Normal 2 17 2 3 2 35" xfId="57654"/>
    <cellStyle name="Normal 2 17 2 3 2 36" xfId="59406"/>
    <cellStyle name="Normal 2 17 2 3 2 37" xfId="61158"/>
    <cellStyle name="Normal 2 17 2 3 2 38" xfId="62443"/>
    <cellStyle name="Normal 2 17 2 3 2 39" xfId="63309"/>
    <cellStyle name="Normal 2 17 2 3 2 4" xfId="5098"/>
    <cellStyle name="Normal 2 17 2 3 2 5" xfId="6850"/>
    <cellStyle name="Normal 2 17 2 3 2 6" xfId="8602"/>
    <cellStyle name="Normal 2 17 2 3 2 7" xfId="10355"/>
    <cellStyle name="Normal 2 17 2 3 2 8" xfId="12107"/>
    <cellStyle name="Normal 2 17 2 3 2 9" xfId="13859"/>
    <cellStyle name="Normal 2 17 2 3 20" xfId="30946"/>
    <cellStyle name="Normal 2 17 2 3 21" xfId="32699"/>
    <cellStyle name="Normal 2 17 2 3 22" xfId="34434"/>
    <cellStyle name="Normal 2 17 2 3 23" xfId="35335"/>
    <cellStyle name="Normal 2 17 2 3 24" xfId="37055"/>
    <cellStyle name="Normal 2 17 2 3 25" xfId="38828"/>
    <cellStyle name="Normal 2 17 2 3 26" xfId="40583"/>
    <cellStyle name="Normal 2 17 2 3 27" xfId="42335"/>
    <cellStyle name="Normal 2 17 2 3 28" xfId="44055"/>
    <cellStyle name="Normal 2 17 2 3 29" xfId="44953"/>
    <cellStyle name="Normal 2 17 2 3 3" xfId="965"/>
    <cellStyle name="Normal 2 17 2 3 3 10" xfId="17804"/>
    <cellStyle name="Normal 2 17 2 3 3 11" xfId="19556"/>
    <cellStyle name="Normal 2 17 2 3 3 12" xfId="21309"/>
    <cellStyle name="Normal 2 17 2 3 3 13" xfId="23061"/>
    <cellStyle name="Normal 2 17 2 3 3 14" xfId="24813"/>
    <cellStyle name="Normal 2 17 2 3 3 15" xfId="26565"/>
    <cellStyle name="Normal 2 17 2 3 3 16" xfId="28317"/>
    <cellStyle name="Normal 2 17 2 3 3 17" xfId="30070"/>
    <cellStyle name="Normal 2 17 2 3 3 18" xfId="31822"/>
    <cellStyle name="Normal 2 17 2 3 3 19" xfId="33575"/>
    <cellStyle name="Normal 2 17 2 3 3 2" xfId="3786"/>
    <cellStyle name="Normal 2 17 2 3 3 20" xfId="36211"/>
    <cellStyle name="Normal 2 17 2 3 3 21" xfId="37951"/>
    <cellStyle name="Normal 2 17 2 3 3 22" xfId="39704"/>
    <cellStyle name="Normal 2 17 2 3 3 23" xfId="41459"/>
    <cellStyle name="Normal 2 17 2 3 3 24" xfId="43211"/>
    <cellStyle name="Normal 2 17 2 3 3 25" xfId="45829"/>
    <cellStyle name="Normal 2 17 2 3 3 26" xfId="47581"/>
    <cellStyle name="Normal 2 17 2 3 3 27" xfId="49333"/>
    <cellStyle name="Normal 2 17 2 3 3 28" xfId="51085"/>
    <cellStyle name="Normal 2 17 2 3 3 29" xfId="52837"/>
    <cellStyle name="Normal 2 17 2 3 3 3" xfId="5538"/>
    <cellStyle name="Normal 2 17 2 3 3 30" xfId="54589"/>
    <cellStyle name="Normal 2 17 2 3 3 31" xfId="56341"/>
    <cellStyle name="Normal 2 17 2 3 3 32" xfId="58094"/>
    <cellStyle name="Normal 2 17 2 3 3 33" xfId="59846"/>
    <cellStyle name="Normal 2 17 2 3 3 34" xfId="61598"/>
    <cellStyle name="Normal 2 17 2 3 3 4" xfId="7290"/>
    <cellStyle name="Normal 2 17 2 3 3 5" xfId="9042"/>
    <cellStyle name="Normal 2 17 2 3 3 6" xfId="10795"/>
    <cellStyle name="Normal 2 17 2 3 3 7" xfId="12547"/>
    <cellStyle name="Normal 2 17 2 3 3 8" xfId="14299"/>
    <cellStyle name="Normal 2 17 2 3 3 9" xfId="16051"/>
    <cellStyle name="Normal 2 17 2 3 30" xfId="46705"/>
    <cellStyle name="Normal 2 17 2 3 31" xfId="48457"/>
    <cellStyle name="Normal 2 17 2 3 32" xfId="50209"/>
    <cellStyle name="Normal 2 17 2 3 33" xfId="51961"/>
    <cellStyle name="Normal 2 17 2 3 34" xfId="53713"/>
    <cellStyle name="Normal 2 17 2 3 35" xfId="55465"/>
    <cellStyle name="Normal 2 17 2 3 36" xfId="57218"/>
    <cellStyle name="Normal 2 17 2 3 37" xfId="58970"/>
    <cellStyle name="Normal 2 17 2 3 38" xfId="60722"/>
    <cellStyle name="Normal 2 17 2 3 39" xfId="62442"/>
    <cellStyle name="Normal 2 17 2 3 4" xfId="2910"/>
    <cellStyle name="Normal 2 17 2 3 40" xfId="63308"/>
    <cellStyle name="Normal 2 17 2 3 5" xfId="4662"/>
    <cellStyle name="Normal 2 17 2 3 6" xfId="6414"/>
    <cellStyle name="Normal 2 17 2 3 7" xfId="8166"/>
    <cellStyle name="Normal 2 17 2 3 8" xfId="9919"/>
    <cellStyle name="Normal 2 17 2 3 9" xfId="11671"/>
    <cellStyle name="Normal 2 17 2 30" xfId="44050"/>
    <cellStyle name="Normal 2 17 2 31" xfId="44781"/>
    <cellStyle name="Normal 2 17 2 32" xfId="46533"/>
    <cellStyle name="Normal 2 17 2 33" xfId="48285"/>
    <cellStyle name="Normal 2 17 2 34" xfId="50037"/>
    <cellStyle name="Normal 2 17 2 35" xfId="51789"/>
    <cellStyle name="Normal 2 17 2 36" xfId="53541"/>
    <cellStyle name="Normal 2 17 2 37" xfId="55293"/>
    <cellStyle name="Normal 2 17 2 38" xfId="57046"/>
    <cellStyle name="Normal 2 17 2 39" xfId="58798"/>
    <cellStyle name="Normal 2 17 2 4" xfId="966"/>
    <cellStyle name="Normal 2 17 2 4 10" xfId="15439"/>
    <cellStyle name="Normal 2 17 2 4 11" xfId="17192"/>
    <cellStyle name="Normal 2 17 2 4 12" xfId="18944"/>
    <cellStyle name="Normal 2 17 2 4 13" xfId="20697"/>
    <cellStyle name="Normal 2 17 2 4 14" xfId="22449"/>
    <cellStyle name="Normal 2 17 2 4 15" xfId="24201"/>
    <cellStyle name="Normal 2 17 2 4 16" xfId="25953"/>
    <cellStyle name="Normal 2 17 2 4 17" xfId="27705"/>
    <cellStyle name="Normal 2 17 2 4 18" xfId="29458"/>
    <cellStyle name="Normal 2 17 2 4 19" xfId="31210"/>
    <cellStyle name="Normal 2 17 2 4 2" xfId="967"/>
    <cellStyle name="Normal 2 17 2 4 2 10" xfId="18068"/>
    <cellStyle name="Normal 2 17 2 4 2 11" xfId="19820"/>
    <cellStyle name="Normal 2 17 2 4 2 12" xfId="21573"/>
    <cellStyle name="Normal 2 17 2 4 2 13" xfId="23325"/>
    <cellStyle name="Normal 2 17 2 4 2 14" xfId="25077"/>
    <cellStyle name="Normal 2 17 2 4 2 15" xfId="26829"/>
    <cellStyle name="Normal 2 17 2 4 2 16" xfId="28581"/>
    <cellStyle name="Normal 2 17 2 4 2 17" xfId="30334"/>
    <cellStyle name="Normal 2 17 2 4 2 18" xfId="32086"/>
    <cellStyle name="Normal 2 17 2 4 2 19" xfId="33839"/>
    <cellStyle name="Normal 2 17 2 4 2 2" xfId="4050"/>
    <cellStyle name="Normal 2 17 2 4 2 20" xfId="36475"/>
    <cellStyle name="Normal 2 17 2 4 2 21" xfId="38215"/>
    <cellStyle name="Normal 2 17 2 4 2 22" xfId="39968"/>
    <cellStyle name="Normal 2 17 2 4 2 23" xfId="41723"/>
    <cellStyle name="Normal 2 17 2 4 2 24" xfId="43475"/>
    <cellStyle name="Normal 2 17 2 4 2 25" xfId="46093"/>
    <cellStyle name="Normal 2 17 2 4 2 26" xfId="47845"/>
    <cellStyle name="Normal 2 17 2 4 2 27" xfId="49597"/>
    <cellStyle name="Normal 2 17 2 4 2 28" xfId="51349"/>
    <cellStyle name="Normal 2 17 2 4 2 29" xfId="53101"/>
    <cellStyle name="Normal 2 17 2 4 2 3" xfId="5802"/>
    <cellStyle name="Normal 2 17 2 4 2 30" xfId="54853"/>
    <cellStyle name="Normal 2 17 2 4 2 31" xfId="56605"/>
    <cellStyle name="Normal 2 17 2 4 2 32" xfId="58358"/>
    <cellStyle name="Normal 2 17 2 4 2 33" xfId="60110"/>
    <cellStyle name="Normal 2 17 2 4 2 34" xfId="61862"/>
    <cellStyle name="Normal 2 17 2 4 2 4" xfId="7554"/>
    <cellStyle name="Normal 2 17 2 4 2 5" xfId="9306"/>
    <cellStyle name="Normal 2 17 2 4 2 6" xfId="11059"/>
    <cellStyle name="Normal 2 17 2 4 2 7" xfId="12811"/>
    <cellStyle name="Normal 2 17 2 4 2 8" xfId="14563"/>
    <cellStyle name="Normal 2 17 2 4 2 9" xfId="16315"/>
    <cellStyle name="Normal 2 17 2 4 20" xfId="32963"/>
    <cellStyle name="Normal 2 17 2 4 21" xfId="34436"/>
    <cellStyle name="Normal 2 17 2 4 22" xfId="35599"/>
    <cellStyle name="Normal 2 17 2 4 23" xfId="37057"/>
    <cellStyle name="Normal 2 17 2 4 24" xfId="39092"/>
    <cellStyle name="Normal 2 17 2 4 25" xfId="40847"/>
    <cellStyle name="Normal 2 17 2 4 26" xfId="42599"/>
    <cellStyle name="Normal 2 17 2 4 27" xfId="44057"/>
    <cellStyle name="Normal 2 17 2 4 28" xfId="45217"/>
    <cellStyle name="Normal 2 17 2 4 29" xfId="46969"/>
    <cellStyle name="Normal 2 17 2 4 3" xfId="3174"/>
    <cellStyle name="Normal 2 17 2 4 30" xfId="48721"/>
    <cellStyle name="Normal 2 17 2 4 31" xfId="50473"/>
    <cellStyle name="Normal 2 17 2 4 32" xfId="52225"/>
    <cellStyle name="Normal 2 17 2 4 33" xfId="53977"/>
    <cellStyle name="Normal 2 17 2 4 34" xfId="55729"/>
    <cellStyle name="Normal 2 17 2 4 35" xfId="57482"/>
    <cellStyle name="Normal 2 17 2 4 36" xfId="59234"/>
    <cellStyle name="Normal 2 17 2 4 37" xfId="60986"/>
    <cellStyle name="Normal 2 17 2 4 38" xfId="62444"/>
    <cellStyle name="Normal 2 17 2 4 39" xfId="63310"/>
    <cellStyle name="Normal 2 17 2 4 4" xfId="4926"/>
    <cellStyle name="Normal 2 17 2 4 5" xfId="6678"/>
    <cellStyle name="Normal 2 17 2 4 6" xfId="8430"/>
    <cellStyle name="Normal 2 17 2 4 7" xfId="10183"/>
    <cellStyle name="Normal 2 17 2 4 8" xfId="11935"/>
    <cellStyle name="Normal 2 17 2 4 9" xfId="13687"/>
    <cellStyle name="Normal 2 17 2 40" xfId="60550"/>
    <cellStyle name="Normal 2 17 2 41" xfId="62437"/>
    <cellStyle name="Normal 2 17 2 42" xfId="63303"/>
    <cellStyle name="Normal 2 17 2 5" xfId="968"/>
    <cellStyle name="Normal 2 17 2 5 10" xfId="17632"/>
    <cellStyle name="Normal 2 17 2 5 11" xfId="19384"/>
    <cellStyle name="Normal 2 17 2 5 12" xfId="21137"/>
    <cellStyle name="Normal 2 17 2 5 13" xfId="22889"/>
    <cellStyle name="Normal 2 17 2 5 14" xfId="24641"/>
    <cellStyle name="Normal 2 17 2 5 15" xfId="26393"/>
    <cellStyle name="Normal 2 17 2 5 16" xfId="28145"/>
    <cellStyle name="Normal 2 17 2 5 17" xfId="29898"/>
    <cellStyle name="Normal 2 17 2 5 18" xfId="31650"/>
    <cellStyle name="Normal 2 17 2 5 19" xfId="33403"/>
    <cellStyle name="Normal 2 17 2 5 2" xfId="3614"/>
    <cellStyle name="Normal 2 17 2 5 20" xfId="36039"/>
    <cellStyle name="Normal 2 17 2 5 21" xfId="37779"/>
    <cellStyle name="Normal 2 17 2 5 22" xfId="39532"/>
    <cellStyle name="Normal 2 17 2 5 23" xfId="41287"/>
    <cellStyle name="Normal 2 17 2 5 24" xfId="43039"/>
    <cellStyle name="Normal 2 17 2 5 25" xfId="45657"/>
    <cellStyle name="Normal 2 17 2 5 26" xfId="47409"/>
    <cellStyle name="Normal 2 17 2 5 27" xfId="49161"/>
    <cellStyle name="Normal 2 17 2 5 28" xfId="50913"/>
    <cellStyle name="Normal 2 17 2 5 29" xfId="52665"/>
    <cellStyle name="Normal 2 17 2 5 3" xfId="5366"/>
    <cellStyle name="Normal 2 17 2 5 30" xfId="54417"/>
    <cellStyle name="Normal 2 17 2 5 31" xfId="56169"/>
    <cellStyle name="Normal 2 17 2 5 32" xfId="57922"/>
    <cellStyle name="Normal 2 17 2 5 33" xfId="59674"/>
    <cellStyle name="Normal 2 17 2 5 34" xfId="61426"/>
    <cellStyle name="Normal 2 17 2 5 4" xfId="7118"/>
    <cellStyle name="Normal 2 17 2 5 5" xfId="8870"/>
    <cellStyle name="Normal 2 17 2 5 6" xfId="10623"/>
    <cellStyle name="Normal 2 17 2 5 7" xfId="12375"/>
    <cellStyle name="Normal 2 17 2 5 8" xfId="14127"/>
    <cellStyle name="Normal 2 17 2 5 9" xfId="15879"/>
    <cellStyle name="Normal 2 17 2 6" xfId="2738"/>
    <cellStyle name="Normal 2 17 2 7" xfId="4490"/>
    <cellStyle name="Normal 2 17 2 8" xfId="6242"/>
    <cellStyle name="Normal 2 17 2 9" xfId="7994"/>
    <cellStyle name="Normal 2 17 20" xfId="25462"/>
    <cellStyle name="Normal 2 17 21" xfId="27214"/>
    <cellStyle name="Normal 2 17 22" xfId="28967"/>
    <cellStyle name="Normal 2 17 23" xfId="30719"/>
    <cellStyle name="Normal 2 17 24" xfId="32472"/>
    <cellStyle name="Normal 2 17 25" xfId="34428"/>
    <cellStyle name="Normal 2 17 26" xfId="35108"/>
    <cellStyle name="Normal 2 17 27" xfId="37049"/>
    <cellStyle name="Normal 2 17 28" xfId="38601"/>
    <cellStyle name="Normal 2 17 29" xfId="40356"/>
    <cellStyle name="Normal 2 17 3" xfId="969"/>
    <cellStyle name="Normal 2 17 3 10" xfId="11552"/>
    <cellStyle name="Normal 2 17 3 11" xfId="13304"/>
    <cellStyle name="Normal 2 17 3 12" xfId="15056"/>
    <cellStyle name="Normal 2 17 3 13" xfId="16809"/>
    <cellStyle name="Normal 2 17 3 14" xfId="18561"/>
    <cellStyle name="Normal 2 17 3 15" xfId="20314"/>
    <cellStyle name="Normal 2 17 3 16" xfId="22066"/>
    <cellStyle name="Normal 2 17 3 17" xfId="23818"/>
    <cellStyle name="Normal 2 17 3 18" xfId="25570"/>
    <cellStyle name="Normal 2 17 3 19" xfId="27322"/>
    <cellStyle name="Normal 2 17 3 2" xfId="970"/>
    <cellStyle name="Normal 2 17 3 2 10" xfId="13424"/>
    <cellStyle name="Normal 2 17 3 2 11" xfId="15176"/>
    <cellStyle name="Normal 2 17 3 2 12" xfId="16929"/>
    <cellStyle name="Normal 2 17 3 2 13" xfId="18681"/>
    <cellStyle name="Normal 2 17 3 2 14" xfId="20434"/>
    <cellStyle name="Normal 2 17 3 2 15" xfId="22186"/>
    <cellStyle name="Normal 2 17 3 2 16" xfId="23938"/>
    <cellStyle name="Normal 2 17 3 2 17" xfId="25690"/>
    <cellStyle name="Normal 2 17 3 2 18" xfId="27442"/>
    <cellStyle name="Normal 2 17 3 2 19" xfId="29195"/>
    <cellStyle name="Normal 2 17 3 2 2" xfId="971"/>
    <cellStyle name="Normal 2 17 3 2 2 10" xfId="15612"/>
    <cellStyle name="Normal 2 17 3 2 2 11" xfId="17365"/>
    <cellStyle name="Normal 2 17 3 2 2 12" xfId="19117"/>
    <cellStyle name="Normal 2 17 3 2 2 13" xfId="20870"/>
    <cellStyle name="Normal 2 17 3 2 2 14" xfId="22622"/>
    <cellStyle name="Normal 2 17 3 2 2 15" xfId="24374"/>
    <cellStyle name="Normal 2 17 3 2 2 16" xfId="26126"/>
    <cellStyle name="Normal 2 17 3 2 2 17" xfId="27878"/>
    <cellStyle name="Normal 2 17 3 2 2 18" xfId="29631"/>
    <cellStyle name="Normal 2 17 3 2 2 19" xfId="31383"/>
    <cellStyle name="Normal 2 17 3 2 2 2" xfId="972"/>
    <cellStyle name="Normal 2 17 3 2 2 2 10" xfId="18241"/>
    <cellStyle name="Normal 2 17 3 2 2 2 11" xfId="19993"/>
    <cellStyle name="Normal 2 17 3 2 2 2 12" xfId="21746"/>
    <cellStyle name="Normal 2 17 3 2 2 2 13" xfId="23498"/>
    <cellStyle name="Normal 2 17 3 2 2 2 14" xfId="25250"/>
    <cellStyle name="Normal 2 17 3 2 2 2 15" xfId="27002"/>
    <cellStyle name="Normal 2 17 3 2 2 2 16" xfId="28754"/>
    <cellStyle name="Normal 2 17 3 2 2 2 17" xfId="30507"/>
    <cellStyle name="Normal 2 17 3 2 2 2 18" xfId="32259"/>
    <cellStyle name="Normal 2 17 3 2 2 2 19" xfId="34012"/>
    <cellStyle name="Normal 2 17 3 2 2 2 2" xfId="4223"/>
    <cellStyle name="Normal 2 17 3 2 2 2 20" xfId="36648"/>
    <cellStyle name="Normal 2 17 3 2 2 2 21" xfId="38388"/>
    <cellStyle name="Normal 2 17 3 2 2 2 22" xfId="40141"/>
    <cellStyle name="Normal 2 17 3 2 2 2 23" xfId="41896"/>
    <cellStyle name="Normal 2 17 3 2 2 2 24" xfId="43648"/>
    <cellStyle name="Normal 2 17 3 2 2 2 25" xfId="46266"/>
    <cellStyle name="Normal 2 17 3 2 2 2 26" xfId="48018"/>
    <cellStyle name="Normal 2 17 3 2 2 2 27" xfId="49770"/>
    <cellStyle name="Normal 2 17 3 2 2 2 28" xfId="51522"/>
    <cellStyle name="Normal 2 17 3 2 2 2 29" xfId="53274"/>
    <cellStyle name="Normal 2 17 3 2 2 2 3" xfId="5975"/>
    <cellStyle name="Normal 2 17 3 2 2 2 30" xfId="55026"/>
    <cellStyle name="Normal 2 17 3 2 2 2 31" xfId="56778"/>
    <cellStyle name="Normal 2 17 3 2 2 2 32" xfId="58531"/>
    <cellStyle name="Normal 2 17 3 2 2 2 33" xfId="60283"/>
    <cellStyle name="Normal 2 17 3 2 2 2 34" xfId="62035"/>
    <cellStyle name="Normal 2 17 3 2 2 2 4" xfId="7727"/>
    <cellStyle name="Normal 2 17 3 2 2 2 5" xfId="9479"/>
    <cellStyle name="Normal 2 17 3 2 2 2 6" xfId="11232"/>
    <cellStyle name="Normal 2 17 3 2 2 2 7" xfId="12984"/>
    <cellStyle name="Normal 2 17 3 2 2 2 8" xfId="14736"/>
    <cellStyle name="Normal 2 17 3 2 2 2 9" xfId="16488"/>
    <cellStyle name="Normal 2 17 3 2 2 20" xfId="33136"/>
    <cellStyle name="Normal 2 17 3 2 2 21" xfId="34439"/>
    <cellStyle name="Normal 2 17 3 2 2 22" xfId="35772"/>
    <cellStyle name="Normal 2 17 3 2 2 23" xfId="37060"/>
    <cellStyle name="Normal 2 17 3 2 2 24" xfId="39265"/>
    <cellStyle name="Normal 2 17 3 2 2 25" xfId="41020"/>
    <cellStyle name="Normal 2 17 3 2 2 26" xfId="42772"/>
    <cellStyle name="Normal 2 17 3 2 2 27" xfId="44060"/>
    <cellStyle name="Normal 2 17 3 2 2 28" xfId="45390"/>
    <cellStyle name="Normal 2 17 3 2 2 29" xfId="47142"/>
    <cellStyle name="Normal 2 17 3 2 2 3" xfId="3347"/>
    <cellStyle name="Normal 2 17 3 2 2 30" xfId="48894"/>
    <cellStyle name="Normal 2 17 3 2 2 31" xfId="50646"/>
    <cellStyle name="Normal 2 17 3 2 2 32" xfId="52398"/>
    <cellStyle name="Normal 2 17 3 2 2 33" xfId="54150"/>
    <cellStyle name="Normal 2 17 3 2 2 34" xfId="55902"/>
    <cellStyle name="Normal 2 17 3 2 2 35" xfId="57655"/>
    <cellStyle name="Normal 2 17 3 2 2 36" xfId="59407"/>
    <cellStyle name="Normal 2 17 3 2 2 37" xfId="61159"/>
    <cellStyle name="Normal 2 17 3 2 2 38" xfId="62447"/>
    <cellStyle name="Normal 2 17 3 2 2 39" xfId="63313"/>
    <cellStyle name="Normal 2 17 3 2 2 4" xfId="5099"/>
    <cellStyle name="Normal 2 17 3 2 2 5" xfId="6851"/>
    <cellStyle name="Normal 2 17 3 2 2 6" xfId="8603"/>
    <cellStyle name="Normal 2 17 3 2 2 7" xfId="10356"/>
    <cellStyle name="Normal 2 17 3 2 2 8" xfId="12108"/>
    <cellStyle name="Normal 2 17 3 2 2 9" xfId="13860"/>
    <cellStyle name="Normal 2 17 3 2 20" xfId="30947"/>
    <cellStyle name="Normal 2 17 3 2 21" xfId="32700"/>
    <cellStyle name="Normal 2 17 3 2 22" xfId="34438"/>
    <cellStyle name="Normal 2 17 3 2 23" xfId="35336"/>
    <cellStyle name="Normal 2 17 3 2 24" xfId="37059"/>
    <cellStyle name="Normal 2 17 3 2 25" xfId="38829"/>
    <cellStyle name="Normal 2 17 3 2 26" xfId="40584"/>
    <cellStyle name="Normal 2 17 3 2 27" xfId="42336"/>
    <cellStyle name="Normal 2 17 3 2 28" xfId="44059"/>
    <cellStyle name="Normal 2 17 3 2 29" xfId="44954"/>
    <cellStyle name="Normal 2 17 3 2 3" xfId="973"/>
    <cellStyle name="Normal 2 17 3 2 3 10" xfId="17805"/>
    <cellStyle name="Normal 2 17 3 2 3 11" xfId="19557"/>
    <cellStyle name="Normal 2 17 3 2 3 12" xfId="21310"/>
    <cellStyle name="Normal 2 17 3 2 3 13" xfId="23062"/>
    <cellStyle name="Normal 2 17 3 2 3 14" xfId="24814"/>
    <cellStyle name="Normal 2 17 3 2 3 15" xfId="26566"/>
    <cellStyle name="Normal 2 17 3 2 3 16" xfId="28318"/>
    <cellStyle name="Normal 2 17 3 2 3 17" xfId="30071"/>
    <cellStyle name="Normal 2 17 3 2 3 18" xfId="31823"/>
    <cellStyle name="Normal 2 17 3 2 3 19" xfId="33576"/>
    <cellStyle name="Normal 2 17 3 2 3 2" xfId="3787"/>
    <cellStyle name="Normal 2 17 3 2 3 20" xfId="36212"/>
    <cellStyle name="Normal 2 17 3 2 3 21" xfId="37952"/>
    <cellStyle name="Normal 2 17 3 2 3 22" xfId="39705"/>
    <cellStyle name="Normal 2 17 3 2 3 23" xfId="41460"/>
    <cellStyle name="Normal 2 17 3 2 3 24" xfId="43212"/>
    <cellStyle name="Normal 2 17 3 2 3 25" xfId="45830"/>
    <cellStyle name="Normal 2 17 3 2 3 26" xfId="47582"/>
    <cellStyle name="Normal 2 17 3 2 3 27" xfId="49334"/>
    <cellStyle name="Normal 2 17 3 2 3 28" xfId="51086"/>
    <cellStyle name="Normal 2 17 3 2 3 29" xfId="52838"/>
    <cellStyle name="Normal 2 17 3 2 3 3" xfId="5539"/>
    <cellStyle name="Normal 2 17 3 2 3 30" xfId="54590"/>
    <cellStyle name="Normal 2 17 3 2 3 31" xfId="56342"/>
    <cellStyle name="Normal 2 17 3 2 3 32" xfId="58095"/>
    <cellStyle name="Normal 2 17 3 2 3 33" xfId="59847"/>
    <cellStyle name="Normal 2 17 3 2 3 34" xfId="61599"/>
    <cellStyle name="Normal 2 17 3 2 3 4" xfId="7291"/>
    <cellStyle name="Normal 2 17 3 2 3 5" xfId="9043"/>
    <cellStyle name="Normal 2 17 3 2 3 6" xfId="10796"/>
    <cellStyle name="Normal 2 17 3 2 3 7" xfId="12548"/>
    <cellStyle name="Normal 2 17 3 2 3 8" xfId="14300"/>
    <cellStyle name="Normal 2 17 3 2 3 9" xfId="16052"/>
    <cellStyle name="Normal 2 17 3 2 30" xfId="46706"/>
    <cellStyle name="Normal 2 17 3 2 31" xfId="48458"/>
    <cellStyle name="Normal 2 17 3 2 32" xfId="50210"/>
    <cellStyle name="Normal 2 17 3 2 33" xfId="51962"/>
    <cellStyle name="Normal 2 17 3 2 34" xfId="53714"/>
    <cellStyle name="Normal 2 17 3 2 35" xfId="55466"/>
    <cellStyle name="Normal 2 17 3 2 36" xfId="57219"/>
    <cellStyle name="Normal 2 17 3 2 37" xfId="58971"/>
    <cellStyle name="Normal 2 17 3 2 38" xfId="60723"/>
    <cellStyle name="Normal 2 17 3 2 39" xfId="62446"/>
    <cellStyle name="Normal 2 17 3 2 4" xfId="2911"/>
    <cellStyle name="Normal 2 17 3 2 40" xfId="63312"/>
    <cellStyle name="Normal 2 17 3 2 5" xfId="4663"/>
    <cellStyle name="Normal 2 17 3 2 6" xfId="6415"/>
    <cellStyle name="Normal 2 17 3 2 7" xfId="8167"/>
    <cellStyle name="Normal 2 17 3 2 8" xfId="9920"/>
    <cellStyle name="Normal 2 17 3 2 9" xfId="11672"/>
    <cellStyle name="Normal 2 17 3 20" xfId="29075"/>
    <cellStyle name="Normal 2 17 3 21" xfId="30827"/>
    <cellStyle name="Normal 2 17 3 22" xfId="32580"/>
    <cellStyle name="Normal 2 17 3 23" xfId="34437"/>
    <cellStyle name="Normal 2 17 3 24" xfId="35216"/>
    <cellStyle name="Normal 2 17 3 25" xfId="37058"/>
    <cellStyle name="Normal 2 17 3 26" xfId="38709"/>
    <cellStyle name="Normal 2 17 3 27" xfId="40464"/>
    <cellStyle name="Normal 2 17 3 28" xfId="42216"/>
    <cellStyle name="Normal 2 17 3 29" xfId="44058"/>
    <cellStyle name="Normal 2 17 3 3" xfId="974"/>
    <cellStyle name="Normal 2 17 3 3 10" xfId="15492"/>
    <cellStyle name="Normal 2 17 3 3 11" xfId="17245"/>
    <cellStyle name="Normal 2 17 3 3 12" xfId="18997"/>
    <cellStyle name="Normal 2 17 3 3 13" xfId="20750"/>
    <cellStyle name="Normal 2 17 3 3 14" xfId="22502"/>
    <cellStyle name="Normal 2 17 3 3 15" xfId="24254"/>
    <cellStyle name="Normal 2 17 3 3 16" xfId="26006"/>
    <cellStyle name="Normal 2 17 3 3 17" xfId="27758"/>
    <cellStyle name="Normal 2 17 3 3 18" xfId="29511"/>
    <cellStyle name="Normal 2 17 3 3 19" xfId="31263"/>
    <cellStyle name="Normal 2 17 3 3 2" xfId="975"/>
    <cellStyle name="Normal 2 17 3 3 2 10" xfId="18121"/>
    <cellStyle name="Normal 2 17 3 3 2 11" xfId="19873"/>
    <cellStyle name="Normal 2 17 3 3 2 12" xfId="21626"/>
    <cellStyle name="Normal 2 17 3 3 2 13" xfId="23378"/>
    <cellStyle name="Normal 2 17 3 3 2 14" xfId="25130"/>
    <cellStyle name="Normal 2 17 3 3 2 15" xfId="26882"/>
    <cellStyle name="Normal 2 17 3 3 2 16" xfId="28634"/>
    <cellStyle name="Normal 2 17 3 3 2 17" xfId="30387"/>
    <cellStyle name="Normal 2 17 3 3 2 18" xfId="32139"/>
    <cellStyle name="Normal 2 17 3 3 2 19" xfId="33892"/>
    <cellStyle name="Normal 2 17 3 3 2 2" xfId="4103"/>
    <cellStyle name="Normal 2 17 3 3 2 20" xfId="36528"/>
    <cellStyle name="Normal 2 17 3 3 2 21" xfId="38268"/>
    <cellStyle name="Normal 2 17 3 3 2 22" xfId="40021"/>
    <cellStyle name="Normal 2 17 3 3 2 23" xfId="41776"/>
    <cellStyle name="Normal 2 17 3 3 2 24" xfId="43528"/>
    <cellStyle name="Normal 2 17 3 3 2 25" xfId="46146"/>
    <cellStyle name="Normal 2 17 3 3 2 26" xfId="47898"/>
    <cellStyle name="Normal 2 17 3 3 2 27" xfId="49650"/>
    <cellStyle name="Normal 2 17 3 3 2 28" xfId="51402"/>
    <cellStyle name="Normal 2 17 3 3 2 29" xfId="53154"/>
    <cellStyle name="Normal 2 17 3 3 2 3" xfId="5855"/>
    <cellStyle name="Normal 2 17 3 3 2 30" xfId="54906"/>
    <cellStyle name="Normal 2 17 3 3 2 31" xfId="56658"/>
    <cellStyle name="Normal 2 17 3 3 2 32" xfId="58411"/>
    <cellStyle name="Normal 2 17 3 3 2 33" xfId="60163"/>
    <cellStyle name="Normal 2 17 3 3 2 34" xfId="61915"/>
    <cellStyle name="Normal 2 17 3 3 2 4" xfId="7607"/>
    <cellStyle name="Normal 2 17 3 3 2 5" xfId="9359"/>
    <cellStyle name="Normal 2 17 3 3 2 6" xfId="11112"/>
    <cellStyle name="Normal 2 17 3 3 2 7" xfId="12864"/>
    <cellStyle name="Normal 2 17 3 3 2 8" xfId="14616"/>
    <cellStyle name="Normal 2 17 3 3 2 9" xfId="16368"/>
    <cellStyle name="Normal 2 17 3 3 20" xfId="33016"/>
    <cellStyle name="Normal 2 17 3 3 21" xfId="34440"/>
    <cellStyle name="Normal 2 17 3 3 22" xfId="35652"/>
    <cellStyle name="Normal 2 17 3 3 23" xfId="37061"/>
    <cellStyle name="Normal 2 17 3 3 24" xfId="39145"/>
    <cellStyle name="Normal 2 17 3 3 25" xfId="40900"/>
    <cellStyle name="Normal 2 17 3 3 26" xfId="42652"/>
    <cellStyle name="Normal 2 17 3 3 27" xfId="44061"/>
    <cellStyle name="Normal 2 17 3 3 28" xfId="45270"/>
    <cellStyle name="Normal 2 17 3 3 29" xfId="47022"/>
    <cellStyle name="Normal 2 17 3 3 3" xfId="3227"/>
    <cellStyle name="Normal 2 17 3 3 30" xfId="48774"/>
    <cellStyle name="Normal 2 17 3 3 31" xfId="50526"/>
    <cellStyle name="Normal 2 17 3 3 32" xfId="52278"/>
    <cellStyle name="Normal 2 17 3 3 33" xfId="54030"/>
    <cellStyle name="Normal 2 17 3 3 34" xfId="55782"/>
    <cellStyle name="Normal 2 17 3 3 35" xfId="57535"/>
    <cellStyle name="Normal 2 17 3 3 36" xfId="59287"/>
    <cellStyle name="Normal 2 17 3 3 37" xfId="61039"/>
    <cellStyle name="Normal 2 17 3 3 38" xfId="62448"/>
    <cellStyle name="Normal 2 17 3 3 39" xfId="63314"/>
    <cellStyle name="Normal 2 17 3 3 4" xfId="4979"/>
    <cellStyle name="Normal 2 17 3 3 5" xfId="6731"/>
    <cellStyle name="Normal 2 17 3 3 6" xfId="8483"/>
    <cellStyle name="Normal 2 17 3 3 7" xfId="10236"/>
    <cellStyle name="Normal 2 17 3 3 8" xfId="11988"/>
    <cellStyle name="Normal 2 17 3 3 9" xfId="13740"/>
    <cellStyle name="Normal 2 17 3 30" xfId="44834"/>
    <cellStyle name="Normal 2 17 3 31" xfId="46586"/>
    <cellStyle name="Normal 2 17 3 32" xfId="48338"/>
    <cellStyle name="Normal 2 17 3 33" xfId="50090"/>
    <cellStyle name="Normal 2 17 3 34" xfId="51842"/>
    <cellStyle name="Normal 2 17 3 35" xfId="53594"/>
    <cellStyle name="Normal 2 17 3 36" xfId="55346"/>
    <cellStyle name="Normal 2 17 3 37" xfId="57099"/>
    <cellStyle name="Normal 2 17 3 38" xfId="58851"/>
    <cellStyle name="Normal 2 17 3 39" xfId="60603"/>
    <cellStyle name="Normal 2 17 3 4" xfId="976"/>
    <cellStyle name="Normal 2 17 3 4 10" xfId="17685"/>
    <cellStyle name="Normal 2 17 3 4 11" xfId="19437"/>
    <cellStyle name="Normal 2 17 3 4 12" xfId="21190"/>
    <cellStyle name="Normal 2 17 3 4 13" xfId="22942"/>
    <cellStyle name="Normal 2 17 3 4 14" xfId="24694"/>
    <cellStyle name="Normal 2 17 3 4 15" xfId="26446"/>
    <cellStyle name="Normal 2 17 3 4 16" xfId="28198"/>
    <cellStyle name="Normal 2 17 3 4 17" xfId="29951"/>
    <cellStyle name="Normal 2 17 3 4 18" xfId="31703"/>
    <cellStyle name="Normal 2 17 3 4 19" xfId="33456"/>
    <cellStyle name="Normal 2 17 3 4 2" xfId="3667"/>
    <cellStyle name="Normal 2 17 3 4 20" xfId="36092"/>
    <cellStyle name="Normal 2 17 3 4 21" xfId="37832"/>
    <cellStyle name="Normal 2 17 3 4 22" xfId="39585"/>
    <cellStyle name="Normal 2 17 3 4 23" xfId="41340"/>
    <cellStyle name="Normal 2 17 3 4 24" xfId="43092"/>
    <cellStyle name="Normal 2 17 3 4 25" xfId="45710"/>
    <cellStyle name="Normal 2 17 3 4 26" xfId="47462"/>
    <cellStyle name="Normal 2 17 3 4 27" xfId="49214"/>
    <cellStyle name="Normal 2 17 3 4 28" xfId="50966"/>
    <cellStyle name="Normal 2 17 3 4 29" xfId="52718"/>
    <cellStyle name="Normal 2 17 3 4 3" xfId="5419"/>
    <cellStyle name="Normal 2 17 3 4 30" xfId="54470"/>
    <cellStyle name="Normal 2 17 3 4 31" xfId="56222"/>
    <cellStyle name="Normal 2 17 3 4 32" xfId="57975"/>
    <cellStyle name="Normal 2 17 3 4 33" xfId="59727"/>
    <cellStyle name="Normal 2 17 3 4 34" xfId="61479"/>
    <cellStyle name="Normal 2 17 3 4 4" xfId="7171"/>
    <cellStyle name="Normal 2 17 3 4 5" xfId="8923"/>
    <cellStyle name="Normal 2 17 3 4 6" xfId="10676"/>
    <cellStyle name="Normal 2 17 3 4 7" xfId="12428"/>
    <cellStyle name="Normal 2 17 3 4 8" xfId="14180"/>
    <cellStyle name="Normal 2 17 3 4 9" xfId="15932"/>
    <cellStyle name="Normal 2 17 3 40" xfId="62445"/>
    <cellStyle name="Normal 2 17 3 41" xfId="63311"/>
    <cellStyle name="Normal 2 17 3 5" xfId="2791"/>
    <cellStyle name="Normal 2 17 3 6" xfId="4543"/>
    <cellStyle name="Normal 2 17 3 7" xfId="6295"/>
    <cellStyle name="Normal 2 17 3 8" xfId="8047"/>
    <cellStyle name="Normal 2 17 3 9" xfId="9800"/>
    <cellStyle name="Normal 2 17 30" xfId="42108"/>
    <cellStyle name="Normal 2 17 31" xfId="44049"/>
    <cellStyle name="Normal 2 17 32" xfId="44726"/>
    <cellStyle name="Normal 2 17 33" xfId="46478"/>
    <cellStyle name="Normal 2 17 34" xfId="48230"/>
    <cellStyle name="Normal 2 17 35" xfId="49982"/>
    <cellStyle name="Normal 2 17 36" xfId="51734"/>
    <cellStyle name="Normal 2 17 37" xfId="53486"/>
    <cellStyle name="Normal 2 17 38" xfId="55238"/>
    <cellStyle name="Normal 2 17 39" xfId="56991"/>
    <cellStyle name="Normal 2 17 4" xfId="977"/>
    <cellStyle name="Normal 2 17 4 10" xfId="13425"/>
    <cellStyle name="Normal 2 17 4 11" xfId="15177"/>
    <cellStyle name="Normal 2 17 4 12" xfId="16930"/>
    <cellStyle name="Normal 2 17 4 13" xfId="18682"/>
    <cellStyle name="Normal 2 17 4 14" xfId="20435"/>
    <cellStyle name="Normal 2 17 4 15" xfId="22187"/>
    <cellStyle name="Normal 2 17 4 16" xfId="23939"/>
    <cellStyle name="Normal 2 17 4 17" xfId="25691"/>
    <cellStyle name="Normal 2 17 4 18" xfId="27443"/>
    <cellStyle name="Normal 2 17 4 19" xfId="29196"/>
    <cellStyle name="Normal 2 17 4 2" xfId="978"/>
    <cellStyle name="Normal 2 17 4 2 10" xfId="15613"/>
    <cellStyle name="Normal 2 17 4 2 11" xfId="17366"/>
    <cellStyle name="Normal 2 17 4 2 12" xfId="19118"/>
    <cellStyle name="Normal 2 17 4 2 13" xfId="20871"/>
    <cellStyle name="Normal 2 17 4 2 14" xfId="22623"/>
    <cellStyle name="Normal 2 17 4 2 15" xfId="24375"/>
    <cellStyle name="Normal 2 17 4 2 16" xfId="26127"/>
    <cellStyle name="Normal 2 17 4 2 17" xfId="27879"/>
    <cellStyle name="Normal 2 17 4 2 18" xfId="29632"/>
    <cellStyle name="Normal 2 17 4 2 19" xfId="31384"/>
    <cellStyle name="Normal 2 17 4 2 2" xfId="979"/>
    <cellStyle name="Normal 2 17 4 2 2 10" xfId="18242"/>
    <cellStyle name="Normal 2 17 4 2 2 11" xfId="19994"/>
    <cellStyle name="Normal 2 17 4 2 2 12" xfId="21747"/>
    <cellStyle name="Normal 2 17 4 2 2 13" xfId="23499"/>
    <cellStyle name="Normal 2 17 4 2 2 14" xfId="25251"/>
    <cellStyle name="Normal 2 17 4 2 2 15" xfId="27003"/>
    <cellStyle name="Normal 2 17 4 2 2 16" xfId="28755"/>
    <cellStyle name="Normal 2 17 4 2 2 17" xfId="30508"/>
    <cellStyle name="Normal 2 17 4 2 2 18" xfId="32260"/>
    <cellStyle name="Normal 2 17 4 2 2 19" xfId="34013"/>
    <cellStyle name="Normal 2 17 4 2 2 2" xfId="4224"/>
    <cellStyle name="Normal 2 17 4 2 2 20" xfId="36649"/>
    <cellStyle name="Normal 2 17 4 2 2 21" xfId="38389"/>
    <cellStyle name="Normal 2 17 4 2 2 22" xfId="40142"/>
    <cellStyle name="Normal 2 17 4 2 2 23" xfId="41897"/>
    <cellStyle name="Normal 2 17 4 2 2 24" xfId="43649"/>
    <cellStyle name="Normal 2 17 4 2 2 25" xfId="46267"/>
    <cellStyle name="Normal 2 17 4 2 2 26" xfId="48019"/>
    <cellStyle name="Normal 2 17 4 2 2 27" xfId="49771"/>
    <cellStyle name="Normal 2 17 4 2 2 28" xfId="51523"/>
    <cellStyle name="Normal 2 17 4 2 2 29" xfId="53275"/>
    <cellStyle name="Normal 2 17 4 2 2 3" xfId="5976"/>
    <cellStyle name="Normal 2 17 4 2 2 30" xfId="55027"/>
    <cellStyle name="Normal 2 17 4 2 2 31" xfId="56779"/>
    <cellStyle name="Normal 2 17 4 2 2 32" xfId="58532"/>
    <cellStyle name="Normal 2 17 4 2 2 33" xfId="60284"/>
    <cellStyle name="Normal 2 17 4 2 2 34" xfId="62036"/>
    <cellStyle name="Normal 2 17 4 2 2 4" xfId="7728"/>
    <cellStyle name="Normal 2 17 4 2 2 5" xfId="9480"/>
    <cellStyle name="Normal 2 17 4 2 2 6" xfId="11233"/>
    <cellStyle name="Normal 2 17 4 2 2 7" xfId="12985"/>
    <cellStyle name="Normal 2 17 4 2 2 8" xfId="14737"/>
    <cellStyle name="Normal 2 17 4 2 2 9" xfId="16489"/>
    <cellStyle name="Normal 2 17 4 2 20" xfId="33137"/>
    <cellStyle name="Normal 2 17 4 2 21" xfId="34442"/>
    <cellStyle name="Normal 2 17 4 2 22" xfId="35773"/>
    <cellStyle name="Normal 2 17 4 2 23" xfId="37063"/>
    <cellStyle name="Normal 2 17 4 2 24" xfId="39266"/>
    <cellStyle name="Normal 2 17 4 2 25" xfId="41021"/>
    <cellStyle name="Normal 2 17 4 2 26" xfId="42773"/>
    <cellStyle name="Normal 2 17 4 2 27" xfId="44063"/>
    <cellStyle name="Normal 2 17 4 2 28" xfId="45391"/>
    <cellStyle name="Normal 2 17 4 2 29" xfId="47143"/>
    <cellStyle name="Normal 2 17 4 2 3" xfId="3348"/>
    <cellStyle name="Normal 2 17 4 2 30" xfId="48895"/>
    <cellStyle name="Normal 2 17 4 2 31" xfId="50647"/>
    <cellStyle name="Normal 2 17 4 2 32" xfId="52399"/>
    <cellStyle name="Normal 2 17 4 2 33" xfId="54151"/>
    <cellStyle name="Normal 2 17 4 2 34" xfId="55903"/>
    <cellStyle name="Normal 2 17 4 2 35" xfId="57656"/>
    <cellStyle name="Normal 2 17 4 2 36" xfId="59408"/>
    <cellStyle name="Normal 2 17 4 2 37" xfId="61160"/>
    <cellStyle name="Normal 2 17 4 2 38" xfId="62450"/>
    <cellStyle name="Normal 2 17 4 2 39" xfId="63316"/>
    <cellStyle name="Normal 2 17 4 2 4" xfId="5100"/>
    <cellStyle name="Normal 2 17 4 2 5" xfId="6852"/>
    <cellStyle name="Normal 2 17 4 2 6" xfId="8604"/>
    <cellStyle name="Normal 2 17 4 2 7" xfId="10357"/>
    <cellStyle name="Normal 2 17 4 2 8" xfId="12109"/>
    <cellStyle name="Normal 2 17 4 2 9" xfId="13861"/>
    <cellStyle name="Normal 2 17 4 20" xfId="30948"/>
    <cellStyle name="Normal 2 17 4 21" xfId="32701"/>
    <cellStyle name="Normal 2 17 4 22" xfId="34441"/>
    <cellStyle name="Normal 2 17 4 23" xfId="35337"/>
    <cellStyle name="Normal 2 17 4 24" xfId="37062"/>
    <cellStyle name="Normal 2 17 4 25" xfId="38830"/>
    <cellStyle name="Normal 2 17 4 26" xfId="40585"/>
    <cellStyle name="Normal 2 17 4 27" xfId="42337"/>
    <cellStyle name="Normal 2 17 4 28" xfId="44062"/>
    <cellStyle name="Normal 2 17 4 29" xfId="44955"/>
    <cellStyle name="Normal 2 17 4 3" xfId="980"/>
    <cellStyle name="Normal 2 17 4 3 10" xfId="17806"/>
    <cellStyle name="Normal 2 17 4 3 11" xfId="19558"/>
    <cellStyle name="Normal 2 17 4 3 12" xfId="21311"/>
    <cellStyle name="Normal 2 17 4 3 13" xfId="23063"/>
    <cellStyle name="Normal 2 17 4 3 14" xfId="24815"/>
    <cellStyle name="Normal 2 17 4 3 15" xfId="26567"/>
    <cellStyle name="Normal 2 17 4 3 16" xfId="28319"/>
    <cellStyle name="Normal 2 17 4 3 17" xfId="30072"/>
    <cellStyle name="Normal 2 17 4 3 18" xfId="31824"/>
    <cellStyle name="Normal 2 17 4 3 19" xfId="33577"/>
    <cellStyle name="Normal 2 17 4 3 2" xfId="3788"/>
    <cellStyle name="Normal 2 17 4 3 20" xfId="36213"/>
    <cellStyle name="Normal 2 17 4 3 21" xfId="37953"/>
    <cellStyle name="Normal 2 17 4 3 22" xfId="39706"/>
    <cellStyle name="Normal 2 17 4 3 23" xfId="41461"/>
    <cellStyle name="Normal 2 17 4 3 24" xfId="43213"/>
    <cellStyle name="Normal 2 17 4 3 25" xfId="45831"/>
    <cellStyle name="Normal 2 17 4 3 26" xfId="47583"/>
    <cellStyle name="Normal 2 17 4 3 27" xfId="49335"/>
    <cellStyle name="Normal 2 17 4 3 28" xfId="51087"/>
    <cellStyle name="Normal 2 17 4 3 29" xfId="52839"/>
    <cellStyle name="Normal 2 17 4 3 3" xfId="5540"/>
    <cellStyle name="Normal 2 17 4 3 30" xfId="54591"/>
    <cellStyle name="Normal 2 17 4 3 31" xfId="56343"/>
    <cellStyle name="Normal 2 17 4 3 32" xfId="58096"/>
    <cellStyle name="Normal 2 17 4 3 33" xfId="59848"/>
    <cellStyle name="Normal 2 17 4 3 34" xfId="61600"/>
    <cellStyle name="Normal 2 17 4 3 4" xfId="7292"/>
    <cellStyle name="Normal 2 17 4 3 5" xfId="9044"/>
    <cellStyle name="Normal 2 17 4 3 6" xfId="10797"/>
    <cellStyle name="Normal 2 17 4 3 7" xfId="12549"/>
    <cellStyle name="Normal 2 17 4 3 8" xfId="14301"/>
    <cellStyle name="Normal 2 17 4 3 9" xfId="16053"/>
    <cellStyle name="Normal 2 17 4 30" xfId="46707"/>
    <cellStyle name="Normal 2 17 4 31" xfId="48459"/>
    <cellStyle name="Normal 2 17 4 32" xfId="50211"/>
    <cellStyle name="Normal 2 17 4 33" xfId="51963"/>
    <cellStyle name="Normal 2 17 4 34" xfId="53715"/>
    <cellStyle name="Normal 2 17 4 35" xfId="55467"/>
    <cellStyle name="Normal 2 17 4 36" xfId="57220"/>
    <cellStyle name="Normal 2 17 4 37" xfId="58972"/>
    <cellStyle name="Normal 2 17 4 38" xfId="60724"/>
    <cellStyle name="Normal 2 17 4 39" xfId="62449"/>
    <cellStyle name="Normal 2 17 4 4" xfId="2912"/>
    <cellStyle name="Normal 2 17 4 40" xfId="63315"/>
    <cellStyle name="Normal 2 17 4 5" xfId="4664"/>
    <cellStyle name="Normal 2 17 4 6" xfId="6416"/>
    <cellStyle name="Normal 2 17 4 7" xfId="8168"/>
    <cellStyle name="Normal 2 17 4 8" xfId="9921"/>
    <cellStyle name="Normal 2 17 4 9" xfId="11673"/>
    <cellStyle name="Normal 2 17 40" xfId="58743"/>
    <cellStyle name="Normal 2 17 41" xfId="60495"/>
    <cellStyle name="Normal 2 17 42" xfId="62436"/>
    <cellStyle name="Normal 2 17 43" xfId="63302"/>
    <cellStyle name="Normal 2 17 5" xfId="981"/>
    <cellStyle name="Normal 2 17 5 10" xfId="15384"/>
    <cellStyle name="Normal 2 17 5 11" xfId="17137"/>
    <cellStyle name="Normal 2 17 5 12" xfId="18889"/>
    <cellStyle name="Normal 2 17 5 13" xfId="20642"/>
    <cellStyle name="Normal 2 17 5 14" xfId="22394"/>
    <cellStyle name="Normal 2 17 5 15" xfId="24146"/>
    <cellStyle name="Normal 2 17 5 16" xfId="25898"/>
    <cellStyle name="Normal 2 17 5 17" xfId="27650"/>
    <cellStyle name="Normal 2 17 5 18" xfId="29403"/>
    <cellStyle name="Normal 2 17 5 19" xfId="31155"/>
    <cellStyle name="Normal 2 17 5 2" xfId="982"/>
    <cellStyle name="Normal 2 17 5 2 10" xfId="18013"/>
    <cellStyle name="Normal 2 17 5 2 11" xfId="19765"/>
    <cellStyle name="Normal 2 17 5 2 12" xfId="21518"/>
    <cellStyle name="Normal 2 17 5 2 13" xfId="23270"/>
    <cellStyle name="Normal 2 17 5 2 14" xfId="25022"/>
    <cellStyle name="Normal 2 17 5 2 15" xfId="26774"/>
    <cellStyle name="Normal 2 17 5 2 16" xfId="28526"/>
    <cellStyle name="Normal 2 17 5 2 17" xfId="30279"/>
    <cellStyle name="Normal 2 17 5 2 18" xfId="32031"/>
    <cellStyle name="Normal 2 17 5 2 19" xfId="33784"/>
    <cellStyle name="Normal 2 17 5 2 2" xfId="3995"/>
    <cellStyle name="Normal 2 17 5 2 20" xfId="36420"/>
    <cellStyle name="Normal 2 17 5 2 21" xfId="38160"/>
    <cellStyle name="Normal 2 17 5 2 22" xfId="39913"/>
    <cellStyle name="Normal 2 17 5 2 23" xfId="41668"/>
    <cellStyle name="Normal 2 17 5 2 24" xfId="43420"/>
    <cellStyle name="Normal 2 17 5 2 25" xfId="46038"/>
    <cellStyle name="Normal 2 17 5 2 26" xfId="47790"/>
    <cellStyle name="Normal 2 17 5 2 27" xfId="49542"/>
    <cellStyle name="Normal 2 17 5 2 28" xfId="51294"/>
    <cellStyle name="Normal 2 17 5 2 29" xfId="53046"/>
    <cellStyle name="Normal 2 17 5 2 3" xfId="5747"/>
    <cellStyle name="Normal 2 17 5 2 30" xfId="54798"/>
    <cellStyle name="Normal 2 17 5 2 31" xfId="56550"/>
    <cellStyle name="Normal 2 17 5 2 32" xfId="58303"/>
    <cellStyle name="Normal 2 17 5 2 33" xfId="60055"/>
    <cellStyle name="Normal 2 17 5 2 34" xfId="61807"/>
    <cellStyle name="Normal 2 17 5 2 4" xfId="7499"/>
    <cellStyle name="Normal 2 17 5 2 5" xfId="9251"/>
    <cellStyle name="Normal 2 17 5 2 6" xfId="11004"/>
    <cellStyle name="Normal 2 17 5 2 7" xfId="12756"/>
    <cellStyle name="Normal 2 17 5 2 8" xfId="14508"/>
    <cellStyle name="Normal 2 17 5 2 9" xfId="16260"/>
    <cellStyle name="Normal 2 17 5 20" xfId="32908"/>
    <cellStyle name="Normal 2 17 5 21" xfId="34443"/>
    <cellStyle name="Normal 2 17 5 22" xfId="35544"/>
    <cellStyle name="Normal 2 17 5 23" xfId="37064"/>
    <cellStyle name="Normal 2 17 5 24" xfId="39037"/>
    <cellStyle name="Normal 2 17 5 25" xfId="40792"/>
    <cellStyle name="Normal 2 17 5 26" xfId="42544"/>
    <cellStyle name="Normal 2 17 5 27" xfId="44064"/>
    <cellStyle name="Normal 2 17 5 28" xfId="45162"/>
    <cellStyle name="Normal 2 17 5 29" xfId="46914"/>
    <cellStyle name="Normal 2 17 5 3" xfId="3119"/>
    <cellStyle name="Normal 2 17 5 30" xfId="48666"/>
    <cellStyle name="Normal 2 17 5 31" xfId="50418"/>
    <cellStyle name="Normal 2 17 5 32" xfId="52170"/>
    <cellStyle name="Normal 2 17 5 33" xfId="53922"/>
    <cellStyle name="Normal 2 17 5 34" xfId="55674"/>
    <cellStyle name="Normal 2 17 5 35" xfId="57427"/>
    <cellStyle name="Normal 2 17 5 36" xfId="59179"/>
    <cellStyle name="Normal 2 17 5 37" xfId="60931"/>
    <cellStyle name="Normal 2 17 5 38" xfId="62451"/>
    <cellStyle name="Normal 2 17 5 39" xfId="63317"/>
    <cellStyle name="Normal 2 17 5 4" xfId="4871"/>
    <cellStyle name="Normal 2 17 5 5" xfId="6623"/>
    <cellStyle name="Normal 2 17 5 6" xfId="8375"/>
    <cellStyle name="Normal 2 17 5 7" xfId="10128"/>
    <cellStyle name="Normal 2 17 5 8" xfId="11880"/>
    <cellStyle name="Normal 2 17 5 9" xfId="13632"/>
    <cellStyle name="Normal 2 17 6" xfId="983"/>
    <cellStyle name="Normal 2 17 6 10" xfId="17577"/>
    <cellStyle name="Normal 2 17 6 11" xfId="19329"/>
    <cellStyle name="Normal 2 17 6 12" xfId="21082"/>
    <cellStyle name="Normal 2 17 6 13" xfId="22834"/>
    <cellStyle name="Normal 2 17 6 14" xfId="24586"/>
    <cellStyle name="Normal 2 17 6 15" xfId="26338"/>
    <cellStyle name="Normal 2 17 6 16" xfId="28090"/>
    <cellStyle name="Normal 2 17 6 17" xfId="29843"/>
    <cellStyle name="Normal 2 17 6 18" xfId="31595"/>
    <cellStyle name="Normal 2 17 6 19" xfId="33348"/>
    <cellStyle name="Normal 2 17 6 2" xfId="3559"/>
    <cellStyle name="Normal 2 17 6 20" xfId="35984"/>
    <cellStyle name="Normal 2 17 6 21" xfId="37703"/>
    <cellStyle name="Normal 2 17 6 22" xfId="39477"/>
    <cellStyle name="Normal 2 17 6 23" xfId="41232"/>
    <cellStyle name="Normal 2 17 6 24" xfId="42984"/>
    <cellStyle name="Normal 2 17 6 25" xfId="45602"/>
    <cellStyle name="Normal 2 17 6 26" xfId="47354"/>
    <cellStyle name="Normal 2 17 6 27" xfId="49106"/>
    <cellStyle name="Normal 2 17 6 28" xfId="50858"/>
    <cellStyle name="Normal 2 17 6 29" xfId="52610"/>
    <cellStyle name="Normal 2 17 6 3" xfId="5311"/>
    <cellStyle name="Normal 2 17 6 30" xfId="54362"/>
    <cellStyle name="Normal 2 17 6 31" xfId="56114"/>
    <cellStyle name="Normal 2 17 6 32" xfId="57867"/>
    <cellStyle name="Normal 2 17 6 33" xfId="59619"/>
    <cellStyle name="Normal 2 17 6 34" xfId="61371"/>
    <cellStyle name="Normal 2 17 6 4" xfId="7063"/>
    <cellStyle name="Normal 2 17 6 5" xfId="8815"/>
    <cellStyle name="Normal 2 17 6 6" xfId="10568"/>
    <cellStyle name="Normal 2 17 6 7" xfId="12320"/>
    <cellStyle name="Normal 2 17 6 8" xfId="14072"/>
    <cellStyle name="Normal 2 17 6 9" xfId="15824"/>
    <cellStyle name="Normal 2 17 7" xfId="2683"/>
    <cellStyle name="Normal 2 17 8" xfId="4435"/>
    <cellStyle name="Normal 2 17 9" xfId="6187"/>
    <cellStyle name="Normal 2 18" xfId="984"/>
    <cellStyle name="Normal 2 18 10" xfId="9695"/>
    <cellStyle name="Normal 2 18 11" xfId="11447"/>
    <cellStyle name="Normal 2 18 12" xfId="13199"/>
    <cellStyle name="Normal 2 18 13" xfId="14951"/>
    <cellStyle name="Normal 2 18 14" xfId="16704"/>
    <cellStyle name="Normal 2 18 15" xfId="18456"/>
    <cellStyle name="Normal 2 18 16" xfId="20209"/>
    <cellStyle name="Normal 2 18 17" xfId="21961"/>
    <cellStyle name="Normal 2 18 18" xfId="23713"/>
    <cellStyle name="Normal 2 18 19" xfId="25465"/>
    <cellStyle name="Normal 2 18 2" xfId="985"/>
    <cellStyle name="Normal 2 18 2 10" xfId="11555"/>
    <cellStyle name="Normal 2 18 2 11" xfId="13307"/>
    <cellStyle name="Normal 2 18 2 12" xfId="15059"/>
    <cellStyle name="Normal 2 18 2 13" xfId="16812"/>
    <cellStyle name="Normal 2 18 2 14" xfId="18564"/>
    <cellStyle name="Normal 2 18 2 15" xfId="20317"/>
    <cellStyle name="Normal 2 18 2 16" xfId="22069"/>
    <cellStyle name="Normal 2 18 2 17" xfId="23821"/>
    <cellStyle name="Normal 2 18 2 18" xfId="25573"/>
    <cellStyle name="Normal 2 18 2 19" xfId="27325"/>
    <cellStyle name="Normal 2 18 2 2" xfId="986"/>
    <cellStyle name="Normal 2 18 2 2 10" xfId="13426"/>
    <cellStyle name="Normal 2 18 2 2 11" xfId="15178"/>
    <cellStyle name="Normal 2 18 2 2 12" xfId="16931"/>
    <cellStyle name="Normal 2 18 2 2 13" xfId="18683"/>
    <cellStyle name="Normal 2 18 2 2 14" xfId="20436"/>
    <cellStyle name="Normal 2 18 2 2 15" xfId="22188"/>
    <cellStyle name="Normal 2 18 2 2 16" xfId="23940"/>
    <cellStyle name="Normal 2 18 2 2 17" xfId="25692"/>
    <cellStyle name="Normal 2 18 2 2 18" xfId="27444"/>
    <cellStyle name="Normal 2 18 2 2 19" xfId="29197"/>
    <cellStyle name="Normal 2 18 2 2 2" xfId="987"/>
    <cellStyle name="Normal 2 18 2 2 2 10" xfId="15614"/>
    <cellStyle name="Normal 2 18 2 2 2 11" xfId="17367"/>
    <cellStyle name="Normal 2 18 2 2 2 12" xfId="19119"/>
    <cellStyle name="Normal 2 18 2 2 2 13" xfId="20872"/>
    <cellStyle name="Normal 2 18 2 2 2 14" xfId="22624"/>
    <cellStyle name="Normal 2 18 2 2 2 15" xfId="24376"/>
    <cellStyle name="Normal 2 18 2 2 2 16" xfId="26128"/>
    <cellStyle name="Normal 2 18 2 2 2 17" xfId="27880"/>
    <cellStyle name="Normal 2 18 2 2 2 18" xfId="29633"/>
    <cellStyle name="Normal 2 18 2 2 2 19" xfId="31385"/>
    <cellStyle name="Normal 2 18 2 2 2 2" xfId="988"/>
    <cellStyle name="Normal 2 18 2 2 2 2 10" xfId="18243"/>
    <cellStyle name="Normal 2 18 2 2 2 2 11" xfId="19995"/>
    <cellStyle name="Normal 2 18 2 2 2 2 12" xfId="21748"/>
    <cellStyle name="Normal 2 18 2 2 2 2 13" xfId="23500"/>
    <cellStyle name="Normal 2 18 2 2 2 2 14" xfId="25252"/>
    <cellStyle name="Normal 2 18 2 2 2 2 15" xfId="27004"/>
    <cellStyle name="Normal 2 18 2 2 2 2 16" xfId="28756"/>
    <cellStyle name="Normal 2 18 2 2 2 2 17" xfId="30509"/>
    <cellStyle name="Normal 2 18 2 2 2 2 18" xfId="32261"/>
    <cellStyle name="Normal 2 18 2 2 2 2 19" xfId="34014"/>
    <cellStyle name="Normal 2 18 2 2 2 2 2" xfId="4225"/>
    <cellStyle name="Normal 2 18 2 2 2 2 20" xfId="36650"/>
    <cellStyle name="Normal 2 18 2 2 2 2 21" xfId="38390"/>
    <cellStyle name="Normal 2 18 2 2 2 2 22" xfId="40143"/>
    <cellStyle name="Normal 2 18 2 2 2 2 23" xfId="41898"/>
    <cellStyle name="Normal 2 18 2 2 2 2 24" xfId="43650"/>
    <cellStyle name="Normal 2 18 2 2 2 2 25" xfId="46268"/>
    <cellStyle name="Normal 2 18 2 2 2 2 26" xfId="48020"/>
    <cellStyle name="Normal 2 18 2 2 2 2 27" xfId="49772"/>
    <cellStyle name="Normal 2 18 2 2 2 2 28" xfId="51524"/>
    <cellStyle name="Normal 2 18 2 2 2 2 29" xfId="53276"/>
    <cellStyle name="Normal 2 18 2 2 2 2 3" xfId="5977"/>
    <cellStyle name="Normal 2 18 2 2 2 2 30" xfId="55028"/>
    <cellStyle name="Normal 2 18 2 2 2 2 31" xfId="56780"/>
    <cellStyle name="Normal 2 18 2 2 2 2 32" xfId="58533"/>
    <cellStyle name="Normal 2 18 2 2 2 2 33" xfId="60285"/>
    <cellStyle name="Normal 2 18 2 2 2 2 34" xfId="62037"/>
    <cellStyle name="Normal 2 18 2 2 2 2 4" xfId="7729"/>
    <cellStyle name="Normal 2 18 2 2 2 2 5" xfId="9481"/>
    <cellStyle name="Normal 2 18 2 2 2 2 6" xfId="11234"/>
    <cellStyle name="Normal 2 18 2 2 2 2 7" xfId="12986"/>
    <cellStyle name="Normal 2 18 2 2 2 2 8" xfId="14738"/>
    <cellStyle name="Normal 2 18 2 2 2 2 9" xfId="16490"/>
    <cellStyle name="Normal 2 18 2 2 2 20" xfId="33138"/>
    <cellStyle name="Normal 2 18 2 2 2 21" xfId="34447"/>
    <cellStyle name="Normal 2 18 2 2 2 22" xfId="35774"/>
    <cellStyle name="Normal 2 18 2 2 2 23" xfId="37068"/>
    <cellStyle name="Normal 2 18 2 2 2 24" xfId="39267"/>
    <cellStyle name="Normal 2 18 2 2 2 25" xfId="41022"/>
    <cellStyle name="Normal 2 18 2 2 2 26" xfId="42774"/>
    <cellStyle name="Normal 2 18 2 2 2 27" xfId="44068"/>
    <cellStyle name="Normal 2 18 2 2 2 28" xfId="45392"/>
    <cellStyle name="Normal 2 18 2 2 2 29" xfId="47144"/>
    <cellStyle name="Normal 2 18 2 2 2 3" xfId="3349"/>
    <cellStyle name="Normal 2 18 2 2 2 30" xfId="48896"/>
    <cellStyle name="Normal 2 18 2 2 2 31" xfId="50648"/>
    <cellStyle name="Normal 2 18 2 2 2 32" xfId="52400"/>
    <cellStyle name="Normal 2 18 2 2 2 33" xfId="54152"/>
    <cellStyle name="Normal 2 18 2 2 2 34" xfId="55904"/>
    <cellStyle name="Normal 2 18 2 2 2 35" xfId="57657"/>
    <cellStyle name="Normal 2 18 2 2 2 36" xfId="59409"/>
    <cellStyle name="Normal 2 18 2 2 2 37" xfId="61161"/>
    <cellStyle name="Normal 2 18 2 2 2 38" xfId="62455"/>
    <cellStyle name="Normal 2 18 2 2 2 39" xfId="63321"/>
    <cellStyle name="Normal 2 18 2 2 2 4" xfId="5101"/>
    <cellStyle name="Normal 2 18 2 2 2 5" xfId="6853"/>
    <cellStyle name="Normal 2 18 2 2 2 6" xfId="8605"/>
    <cellStyle name="Normal 2 18 2 2 2 7" xfId="10358"/>
    <cellStyle name="Normal 2 18 2 2 2 8" xfId="12110"/>
    <cellStyle name="Normal 2 18 2 2 2 9" xfId="13862"/>
    <cellStyle name="Normal 2 18 2 2 20" xfId="30949"/>
    <cellStyle name="Normal 2 18 2 2 21" xfId="32702"/>
    <cellStyle name="Normal 2 18 2 2 22" xfId="34446"/>
    <cellStyle name="Normal 2 18 2 2 23" xfId="35338"/>
    <cellStyle name="Normal 2 18 2 2 24" xfId="37067"/>
    <cellStyle name="Normal 2 18 2 2 25" xfId="38831"/>
    <cellStyle name="Normal 2 18 2 2 26" xfId="40586"/>
    <cellStyle name="Normal 2 18 2 2 27" xfId="42338"/>
    <cellStyle name="Normal 2 18 2 2 28" xfId="44067"/>
    <cellStyle name="Normal 2 18 2 2 29" xfId="44956"/>
    <cellStyle name="Normal 2 18 2 2 3" xfId="989"/>
    <cellStyle name="Normal 2 18 2 2 3 10" xfId="17807"/>
    <cellStyle name="Normal 2 18 2 2 3 11" xfId="19559"/>
    <cellStyle name="Normal 2 18 2 2 3 12" xfId="21312"/>
    <cellStyle name="Normal 2 18 2 2 3 13" xfId="23064"/>
    <cellStyle name="Normal 2 18 2 2 3 14" xfId="24816"/>
    <cellStyle name="Normal 2 18 2 2 3 15" xfId="26568"/>
    <cellStyle name="Normal 2 18 2 2 3 16" xfId="28320"/>
    <cellStyle name="Normal 2 18 2 2 3 17" xfId="30073"/>
    <cellStyle name="Normal 2 18 2 2 3 18" xfId="31825"/>
    <cellStyle name="Normal 2 18 2 2 3 19" xfId="33578"/>
    <cellStyle name="Normal 2 18 2 2 3 2" xfId="3789"/>
    <cellStyle name="Normal 2 18 2 2 3 20" xfId="36214"/>
    <cellStyle name="Normal 2 18 2 2 3 21" xfId="37954"/>
    <cellStyle name="Normal 2 18 2 2 3 22" xfId="39707"/>
    <cellStyle name="Normal 2 18 2 2 3 23" xfId="41462"/>
    <cellStyle name="Normal 2 18 2 2 3 24" xfId="43214"/>
    <cellStyle name="Normal 2 18 2 2 3 25" xfId="45832"/>
    <cellStyle name="Normal 2 18 2 2 3 26" xfId="47584"/>
    <cellStyle name="Normal 2 18 2 2 3 27" xfId="49336"/>
    <cellStyle name="Normal 2 18 2 2 3 28" xfId="51088"/>
    <cellStyle name="Normal 2 18 2 2 3 29" xfId="52840"/>
    <cellStyle name="Normal 2 18 2 2 3 3" xfId="5541"/>
    <cellStyle name="Normal 2 18 2 2 3 30" xfId="54592"/>
    <cellStyle name="Normal 2 18 2 2 3 31" xfId="56344"/>
    <cellStyle name="Normal 2 18 2 2 3 32" xfId="58097"/>
    <cellStyle name="Normal 2 18 2 2 3 33" xfId="59849"/>
    <cellStyle name="Normal 2 18 2 2 3 34" xfId="61601"/>
    <cellStyle name="Normal 2 18 2 2 3 4" xfId="7293"/>
    <cellStyle name="Normal 2 18 2 2 3 5" xfId="9045"/>
    <cellStyle name="Normal 2 18 2 2 3 6" xfId="10798"/>
    <cellStyle name="Normal 2 18 2 2 3 7" xfId="12550"/>
    <cellStyle name="Normal 2 18 2 2 3 8" xfId="14302"/>
    <cellStyle name="Normal 2 18 2 2 3 9" xfId="16054"/>
    <cellStyle name="Normal 2 18 2 2 30" xfId="46708"/>
    <cellStyle name="Normal 2 18 2 2 31" xfId="48460"/>
    <cellStyle name="Normal 2 18 2 2 32" xfId="50212"/>
    <cellStyle name="Normal 2 18 2 2 33" xfId="51964"/>
    <cellStyle name="Normal 2 18 2 2 34" xfId="53716"/>
    <cellStyle name="Normal 2 18 2 2 35" xfId="55468"/>
    <cellStyle name="Normal 2 18 2 2 36" xfId="57221"/>
    <cellStyle name="Normal 2 18 2 2 37" xfId="58973"/>
    <cellStyle name="Normal 2 18 2 2 38" xfId="60725"/>
    <cellStyle name="Normal 2 18 2 2 39" xfId="62454"/>
    <cellStyle name="Normal 2 18 2 2 4" xfId="2913"/>
    <cellStyle name="Normal 2 18 2 2 40" xfId="63320"/>
    <cellStyle name="Normal 2 18 2 2 5" xfId="4665"/>
    <cellStyle name="Normal 2 18 2 2 6" xfId="6417"/>
    <cellStyle name="Normal 2 18 2 2 7" xfId="8169"/>
    <cellStyle name="Normal 2 18 2 2 8" xfId="9922"/>
    <cellStyle name="Normal 2 18 2 2 9" xfId="11674"/>
    <cellStyle name="Normal 2 18 2 20" xfId="29078"/>
    <cellStyle name="Normal 2 18 2 21" xfId="30830"/>
    <cellStyle name="Normal 2 18 2 22" xfId="32583"/>
    <cellStyle name="Normal 2 18 2 23" xfId="34445"/>
    <cellStyle name="Normal 2 18 2 24" xfId="35219"/>
    <cellStyle name="Normal 2 18 2 25" xfId="37066"/>
    <cellStyle name="Normal 2 18 2 26" xfId="38712"/>
    <cellStyle name="Normal 2 18 2 27" xfId="40467"/>
    <cellStyle name="Normal 2 18 2 28" xfId="42219"/>
    <cellStyle name="Normal 2 18 2 29" xfId="44066"/>
    <cellStyle name="Normal 2 18 2 3" xfId="990"/>
    <cellStyle name="Normal 2 18 2 3 10" xfId="15495"/>
    <cellStyle name="Normal 2 18 2 3 11" xfId="17248"/>
    <cellStyle name="Normal 2 18 2 3 12" xfId="19000"/>
    <cellStyle name="Normal 2 18 2 3 13" xfId="20753"/>
    <cellStyle name="Normal 2 18 2 3 14" xfId="22505"/>
    <cellStyle name="Normal 2 18 2 3 15" xfId="24257"/>
    <cellStyle name="Normal 2 18 2 3 16" xfId="26009"/>
    <cellStyle name="Normal 2 18 2 3 17" xfId="27761"/>
    <cellStyle name="Normal 2 18 2 3 18" xfId="29514"/>
    <cellStyle name="Normal 2 18 2 3 19" xfId="31266"/>
    <cellStyle name="Normal 2 18 2 3 2" xfId="991"/>
    <cellStyle name="Normal 2 18 2 3 2 10" xfId="18124"/>
    <cellStyle name="Normal 2 18 2 3 2 11" xfId="19876"/>
    <cellStyle name="Normal 2 18 2 3 2 12" xfId="21629"/>
    <cellStyle name="Normal 2 18 2 3 2 13" xfId="23381"/>
    <cellStyle name="Normal 2 18 2 3 2 14" xfId="25133"/>
    <cellStyle name="Normal 2 18 2 3 2 15" xfId="26885"/>
    <cellStyle name="Normal 2 18 2 3 2 16" xfId="28637"/>
    <cellStyle name="Normal 2 18 2 3 2 17" xfId="30390"/>
    <cellStyle name="Normal 2 18 2 3 2 18" xfId="32142"/>
    <cellStyle name="Normal 2 18 2 3 2 19" xfId="33895"/>
    <cellStyle name="Normal 2 18 2 3 2 2" xfId="4106"/>
    <cellStyle name="Normal 2 18 2 3 2 20" xfId="36531"/>
    <cellStyle name="Normal 2 18 2 3 2 21" xfId="38271"/>
    <cellStyle name="Normal 2 18 2 3 2 22" xfId="40024"/>
    <cellStyle name="Normal 2 18 2 3 2 23" xfId="41779"/>
    <cellStyle name="Normal 2 18 2 3 2 24" xfId="43531"/>
    <cellStyle name="Normal 2 18 2 3 2 25" xfId="46149"/>
    <cellStyle name="Normal 2 18 2 3 2 26" xfId="47901"/>
    <cellStyle name="Normal 2 18 2 3 2 27" xfId="49653"/>
    <cellStyle name="Normal 2 18 2 3 2 28" xfId="51405"/>
    <cellStyle name="Normal 2 18 2 3 2 29" xfId="53157"/>
    <cellStyle name="Normal 2 18 2 3 2 3" xfId="5858"/>
    <cellStyle name="Normal 2 18 2 3 2 30" xfId="54909"/>
    <cellStyle name="Normal 2 18 2 3 2 31" xfId="56661"/>
    <cellStyle name="Normal 2 18 2 3 2 32" xfId="58414"/>
    <cellStyle name="Normal 2 18 2 3 2 33" xfId="60166"/>
    <cellStyle name="Normal 2 18 2 3 2 34" xfId="61918"/>
    <cellStyle name="Normal 2 18 2 3 2 4" xfId="7610"/>
    <cellStyle name="Normal 2 18 2 3 2 5" xfId="9362"/>
    <cellStyle name="Normal 2 18 2 3 2 6" xfId="11115"/>
    <cellStyle name="Normal 2 18 2 3 2 7" xfId="12867"/>
    <cellStyle name="Normal 2 18 2 3 2 8" xfId="14619"/>
    <cellStyle name="Normal 2 18 2 3 2 9" xfId="16371"/>
    <cellStyle name="Normal 2 18 2 3 20" xfId="33019"/>
    <cellStyle name="Normal 2 18 2 3 21" xfId="34448"/>
    <cellStyle name="Normal 2 18 2 3 22" xfId="35655"/>
    <cellStyle name="Normal 2 18 2 3 23" xfId="37069"/>
    <cellStyle name="Normal 2 18 2 3 24" xfId="39148"/>
    <cellStyle name="Normal 2 18 2 3 25" xfId="40903"/>
    <cellStyle name="Normal 2 18 2 3 26" xfId="42655"/>
    <cellStyle name="Normal 2 18 2 3 27" xfId="44069"/>
    <cellStyle name="Normal 2 18 2 3 28" xfId="45273"/>
    <cellStyle name="Normal 2 18 2 3 29" xfId="47025"/>
    <cellStyle name="Normal 2 18 2 3 3" xfId="3230"/>
    <cellStyle name="Normal 2 18 2 3 30" xfId="48777"/>
    <cellStyle name="Normal 2 18 2 3 31" xfId="50529"/>
    <cellStyle name="Normal 2 18 2 3 32" xfId="52281"/>
    <cellStyle name="Normal 2 18 2 3 33" xfId="54033"/>
    <cellStyle name="Normal 2 18 2 3 34" xfId="55785"/>
    <cellStyle name="Normal 2 18 2 3 35" xfId="57538"/>
    <cellStyle name="Normal 2 18 2 3 36" xfId="59290"/>
    <cellStyle name="Normal 2 18 2 3 37" xfId="61042"/>
    <cellStyle name="Normal 2 18 2 3 38" xfId="62456"/>
    <cellStyle name="Normal 2 18 2 3 39" xfId="63322"/>
    <cellStyle name="Normal 2 18 2 3 4" xfId="4982"/>
    <cellStyle name="Normal 2 18 2 3 5" xfId="6734"/>
    <cellStyle name="Normal 2 18 2 3 6" xfId="8486"/>
    <cellStyle name="Normal 2 18 2 3 7" xfId="10239"/>
    <cellStyle name="Normal 2 18 2 3 8" xfId="11991"/>
    <cellStyle name="Normal 2 18 2 3 9" xfId="13743"/>
    <cellStyle name="Normal 2 18 2 30" xfId="44837"/>
    <cellStyle name="Normal 2 18 2 31" xfId="46589"/>
    <cellStyle name="Normal 2 18 2 32" xfId="48341"/>
    <cellStyle name="Normal 2 18 2 33" xfId="50093"/>
    <cellStyle name="Normal 2 18 2 34" xfId="51845"/>
    <cellStyle name="Normal 2 18 2 35" xfId="53597"/>
    <cellStyle name="Normal 2 18 2 36" xfId="55349"/>
    <cellStyle name="Normal 2 18 2 37" xfId="57102"/>
    <cellStyle name="Normal 2 18 2 38" xfId="58854"/>
    <cellStyle name="Normal 2 18 2 39" xfId="60606"/>
    <cellStyle name="Normal 2 18 2 4" xfId="992"/>
    <cellStyle name="Normal 2 18 2 4 10" xfId="17688"/>
    <cellStyle name="Normal 2 18 2 4 11" xfId="19440"/>
    <cellStyle name="Normal 2 18 2 4 12" xfId="21193"/>
    <cellStyle name="Normal 2 18 2 4 13" xfId="22945"/>
    <cellStyle name="Normal 2 18 2 4 14" xfId="24697"/>
    <cellStyle name="Normal 2 18 2 4 15" xfId="26449"/>
    <cellStyle name="Normal 2 18 2 4 16" xfId="28201"/>
    <cellStyle name="Normal 2 18 2 4 17" xfId="29954"/>
    <cellStyle name="Normal 2 18 2 4 18" xfId="31706"/>
    <cellStyle name="Normal 2 18 2 4 19" xfId="33459"/>
    <cellStyle name="Normal 2 18 2 4 2" xfId="3670"/>
    <cellStyle name="Normal 2 18 2 4 20" xfId="36095"/>
    <cellStyle name="Normal 2 18 2 4 21" xfId="37835"/>
    <cellStyle name="Normal 2 18 2 4 22" xfId="39588"/>
    <cellStyle name="Normal 2 18 2 4 23" xfId="41343"/>
    <cellStyle name="Normal 2 18 2 4 24" xfId="43095"/>
    <cellStyle name="Normal 2 18 2 4 25" xfId="45713"/>
    <cellStyle name="Normal 2 18 2 4 26" xfId="47465"/>
    <cellStyle name="Normal 2 18 2 4 27" xfId="49217"/>
    <cellStyle name="Normal 2 18 2 4 28" xfId="50969"/>
    <cellStyle name="Normal 2 18 2 4 29" xfId="52721"/>
    <cellStyle name="Normal 2 18 2 4 3" xfId="5422"/>
    <cellStyle name="Normal 2 18 2 4 30" xfId="54473"/>
    <cellStyle name="Normal 2 18 2 4 31" xfId="56225"/>
    <cellStyle name="Normal 2 18 2 4 32" xfId="57978"/>
    <cellStyle name="Normal 2 18 2 4 33" xfId="59730"/>
    <cellStyle name="Normal 2 18 2 4 34" xfId="61482"/>
    <cellStyle name="Normal 2 18 2 4 4" xfId="7174"/>
    <cellStyle name="Normal 2 18 2 4 5" xfId="8926"/>
    <cellStyle name="Normal 2 18 2 4 6" xfId="10679"/>
    <cellStyle name="Normal 2 18 2 4 7" xfId="12431"/>
    <cellStyle name="Normal 2 18 2 4 8" xfId="14183"/>
    <cellStyle name="Normal 2 18 2 4 9" xfId="15935"/>
    <cellStyle name="Normal 2 18 2 40" xfId="62453"/>
    <cellStyle name="Normal 2 18 2 41" xfId="63319"/>
    <cellStyle name="Normal 2 18 2 5" xfId="2794"/>
    <cellStyle name="Normal 2 18 2 6" xfId="4546"/>
    <cellStyle name="Normal 2 18 2 7" xfId="6298"/>
    <cellStyle name="Normal 2 18 2 8" xfId="8050"/>
    <cellStyle name="Normal 2 18 2 9" xfId="9803"/>
    <cellStyle name="Normal 2 18 20" xfId="27217"/>
    <cellStyle name="Normal 2 18 21" xfId="28970"/>
    <cellStyle name="Normal 2 18 22" xfId="30722"/>
    <cellStyle name="Normal 2 18 23" xfId="32475"/>
    <cellStyle name="Normal 2 18 24" xfId="34444"/>
    <cellStyle name="Normal 2 18 25" xfId="35111"/>
    <cellStyle name="Normal 2 18 26" xfId="37065"/>
    <cellStyle name="Normal 2 18 27" xfId="38604"/>
    <cellStyle name="Normal 2 18 28" xfId="40359"/>
    <cellStyle name="Normal 2 18 29" xfId="42111"/>
    <cellStyle name="Normal 2 18 3" xfId="993"/>
    <cellStyle name="Normal 2 18 3 10" xfId="13427"/>
    <cellStyle name="Normal 2 18 3 11" xfId="15179"/>
    <cellStyle name="Normal 2 18 3 12" xfId="16932"/>
    <cellStyle name="Normal 2 18 3 13" xfId="18684"/>
    <cellStyle name="Normal 2 18 3 14" xfId="20437"/>
    <cellStyle name="Normal 2 18 3 15" xfId="22189"/>
    <cellStyle name="Normal 2 18 3 16" xfId="23941"/>
    <cellStyle name="Normal 2 18 3 17" xfId="25693"/>
    <cellStyle name="Normal 2 18 3 18" xfId="27445"/>
    <cellStyle name="Normal 2 18 3 19" xfId="29198"/>
    <cellStyle name="Normal 2 18 3 2" xfId="994"/>
    <cellStyle name="Normal 2 18 3 2 10" xfId="15615"/>
    <cellStyle name="Normal 2 18 3 2 11" xfId="17368"/>
    <cellStyle name="Normal 2 18 3 2 12" xfId="19120"/>
    <cellStyle name="Normal 2 18 3 2 13" xfId="20873"/>
    <cellStyle name="Normal 2 18 3 2 14" xfId="22625"/>
    <cellStyle name="Normal 2 18 3 2 15" xfId="24377"/>
    <cellStyle name="Normal 2 18 3 2 16" xfId="26129"/>
    <cellStyle name="Normal 2 18 3 2 17" xfId="27881"/>
    <cellStyle name="Normal 2 18 3 2 18" xfId="29634"/>
    <cellStyle name="Normal 2 18 3 2 19" xfId="31386"/>
    <cellStyle name="Normal 2 18 3 2 2" xfId="995"/>
    <cellStyle name="Normal 2 18 3 2 2 10" xfId="18244"/>
    <cellStyle name="Normal 2 18 3 2 2 11" xfId="19996"/>
    <cellStyle name="Normal 2 18 3 2 2 12" xfId="21749"/>
    <cellStyle name="Normal 2 18 3 2 2 13" xfId="23501"/>
    <cellStyle name="Normal 2 18 3 2 2 14" xfId="25253"/>
    <cellStyle name="Normal 2 18 3 2 2 15" xfId="27005"/>
    <cellStyle name="Normal 2 18 3 2 2 16" xfId="28757"/>
    <cellStyle name="Normal 2 18 3 2 2 17" xfId="30510"/>
    <cellStyle name="Normal 2 18 3 2 2 18" xfId="32262"/>
    <cellStyle name="Normal 2 18 3 2 2 19" xfId="34015"/>
    <cellStyle name="Normal 2 18 3 2 2 2" xfId="4226"/>
    <cellStyle name="Normal 2 18 3 2 2 20" xfId="36651"/>
    <cellStyle name="Normal 2 18 3 2 2 21" xfId="38391"/>
    <cellStyle name="Normal 2 18 3 2 2 22" xfId="40144"/>
    <cellStyle name="Normal 2 18 3 2 2 23" xfId="41899"/>
    <cellStyle name="Normal 2 18 3 2 2 24" xfId="43651"/>
    <cellStyle name="Normal 2 18 3 2 2 25" xfId="46269"/>
    <cellStyle name="Normal 2 18 3 2 2 26" xfId="48021"/>
    <cellStyle name="Normal 2 18 3 2 2 27" xfId="49773"/>
    <cellStyle name="Normal 2 18 3 2 2 28" xfId="51525"/>
    <cellStyle name="Normal 2 18 3 2 2 29" xfId="53277"/>
    <cellStyle name="Normal 2 18 3 2 2 3" xfId="5978"/>
    <cellStyle name="Normal 2 18 3 2 2 30" xfId="55029"/>
    <cellStyle name="Normal 2 18 3 2 2 31" xfId="56781"/>
    <cellStyle name="Normal 2 18 3 2 2 32" xfId="58534"/>
    <cellStyle name="Normal 2 18 3 2 2 33" xfId="60286"/>
    <cellStyle name="Normal 2 18 3 2 2 34" xfId="62038"/>
    <cellStyle name="Normal 2 18 3 2 2 4" xfId="7730"/>
    <cellStyle name="Normal 2 18 3 2 2 5" xfId="9482"/>
    <cellStyle name="Normal 2 18 3 2 2 6" xfId="11235"/>
    <cellStyle name="Normal 2 18 3 2 2 7" xfId="12987"/>
    <cellStyle name="Normal 2 18 3 2 2 8" xfId="14739"/>
    <cellStyle name="Normal 2 18 3 2 2 9" xfId="16491"/>
    <cellStyle name="Normal 2 18 3 2 20" xfId="33139"/>
    <cellStyle name="Normal 2 18 3 2 21" xfId="34450"/>
    <cellStyle name="Normal 2 18 3 2 22" xfId="35775"/>
    <cellStyle name="Normal 2 18 3 2 23" xfId="37071"/>
    <cellStyle name="Normal 2 18 3 2 24" xfId="39268"/>
    <cellStyle name="Normal 2 18 3 2 25" xfId="41023"/>
    <cellStyle name="Normal 2 18 3 2 26" xfId="42775"/>
    <cellStyle name="Normal 2 18 3 2 27" xfId="44071"/>
    <cellStyle name="Normal 2 18 3 2 28" xfId="45393"/>
    <cellStyle name="Normal 2 18 3 2 29" xfId="47145"/>
    <cellStyle name="Normal 2 18 3 2 3" xfId="3350"/>
    <cellStyle name="Normal 2 18 3 2 30" xfId="48897"/>
    <cellStyle name="Normal 2 18 3 2 31" xfId="50649"/>
    <cellStyle name="Normal 2 18 3 2 32" xfId="52401"/>
    <cellStyle name="Normal 2 18 3 2 33" xfId="54153"/>
    <cellStyle name="Normal 2 18 3 2 34" xfId="55905"/>
    <cellStyle name="Normal 2 18 3 2 35" xfId="57658"/>
    <cellStyle name="Normal 2 18 3 2 36" xfId="59410"/>
    <cellStyle name="Normal 2 18 3 2 37" xfId="61162"/>
    <cellStyle name="Normal 2 18 3 2 38" xfId="62458"/>
    <cellStyle name="Normal 2 18 3 2 39" xfId="63324"/>
    <cellStyle name="Normal 2 18 3 2 4" xfId="5102"/>
    <cellStyle name="Normal 2 18 3 2 5" xfId="6854"/>
    <cellStyle name="Normal 2 18 3 2 6" xfId="8606"/>
    <cellStyle name="Normal 2 18 3 2 7" xfId="10359"/>
    <cellStyle name="Normal 2 18 3 2 8" xfId="12111"/>
    <cellStyle name="Normal 2 18 3 2 9" xfId="13863"/>
    <cellStyle name="Normal 2 18 3 20" xfId="30950"/>
    <cellStyle name="Normal 2 18 3 21" xfId="32703"/>
    <cellStyle name="Normal 2 18 3 22" xfId="34449"/>
    <cellStyle name="Normal 2 18 3 23" xfId="35339"/>
    <cellStyle name="Normal 2 18 3 24" xfId="37070"/>
    <cellStyle name="Normal 2 18 3 25" xfId="38832"/>
    <cellStyle name="Normal 2 18 3 26" xfId="40587"/>
    <cellStyle name="Normal 2 18 3 27" xfId="42339"/>
    <cellStyle name="Normal 2 18 3 28" xfId="44070"/>
    <cellStyle name="Normal 2 18 3 29" xfId="44957"/>
    <cellStyle name="Normal 2 18 3 3" xfId="996"/>
    <cellStyle name="Normal 2 18 3 3 10" xfId="17808"/>
    <cellStyle name="Normal 2 18 3 3 11" xfId="19560"/>
    <cellStyle name="Normal 2 18 3 3 12" xfId="21313"/>
    <cellStyle name="Normal 2 18 3 3 13" xfId="23065"/>
    <cellStyle name="Normal 2 18 3 3 14" xfId="24817"/>
    <cellStyle name="Normal 2 18 3 3 15" xfId="26569"/>
    <cellStyle name="Normal 2 18 3 3 16" xfId="28321"/>
    <cellStyle name="Normal 2 18 3 3 17" xfId="30074"/>
    <cellStyle name="Normal 2 18 3 3 18" xfId="31826"/>
    <cellStyle name="Normal 2 18 3 3 19" xfId="33579"/>
    <cellStyle name="Normal 2 18 3 3 2" xfId="3790"/>
    <cellStyle name="Normal 2 18 3 3 20" xfId="36215"/>
    <cellStyle name="Normal 2 18 3 3 21" xfId="37955"/>
    <cellStyle name="Normal 2 18 3 3 22" xfId="39708"/>
    <cellStyle name="Normal 2 18 3 3 23" xfId="41463"/>
    <cellStyle name="Normal 2 18 3 3 24" xfId="43215"/>
    <cellStyle name="Normal 2 18 3 3 25" xfId="45833"/>
    <cellStyle name="Normal 2 18 3 3 26" xfId="47585"/>
    <cellStyle name="Normal 2 18 3 3 27" xfId="49337"/>
    <cellStyle name="Normal 2 18 3 3 28" xfId="51089"/>
    <cellStyle name="Normal 2 18 3 3 29" xfId="52841"/>
    <cellStyle name="Normal 2 18 3 3 3" xfId="5542"/>
    <cellStyle name="Normal 2 18 3 3 30" xfId="54593"/>
    <cellStyle name="Normal 2 18 3 3 31" xfId="56345"/>
    <cellStyle name="Normal 2 18 3 3 32" xfId="58098"/>
    <cellStyle name="Normal 2 18 3 3 33" xfId="59850"/>
    <cellStyle name="Normal 2 18 3 3 34" xfId="61602"/>
    <cellStyle name="Normal 2 18 3 3 4" xfId="7294"/>
    <cellStyle name="Normal 2 18 3 3 5" xfId="9046"/>
    <cellStyle name="Normal 2 18 3 3 6" xfId="10799"/>
    <cellStyle name="Normal 2 18 3 3 7" xfId="12551"/>
    <cellStyle name="Normal 2 18 3 3 8" xfId="14303"/>
    <cellStyle name="Normal 2 18 3 3 9" xfId="16055"/>
    <cellStyle name="Normal 2 18 3 30" xfId="46709"/>
    <cellStyle name="Normal 2 18 3 31" xfId="48461"/>
    <cellStyle name="Normal 2 18 3 32" xfId="50213"/>
    <cellStyle name="Normal 2 18 3 33" xfId="51965"/>
    <cellStyle name="Normal 2 18 3 34" xfId="53717"/>
    <cellStyle name="Normal 2 18 3 35" xfId="55469"/>
    <cellStyle name="Normal 2 18 3 36" xfId="57222"/>
    <cellStyle name="Normal 2 18 3 37" xfId="58974"/>
    <cellStyle name="Normal 2 18 3 38" xfId="60726"/>
    <cellStyle name="Normal 2 18 3 39" xfId="62457"/>
    <cellStyle name="Normal 2 18 3 4" xfId="2914"/>
    <cellStyle name="Normal 2 18 3 40" xfId="63323"/>
    <cellStyle name="Normal 2 18 3 5" xfId="4666"/>
    <cellStyle name="Normal 2 18 3 6" xfId="6418"/>
    <cellStyle name="Normal 2 18 3 7" xfId="8170"/>
    <cellStyle name="Normal 2 18 3 8" xfId="9923"/>
    <cellStyle name="Normal 2 18 3 9" xfId="11675"/>
    <cellStyle name="Normal 2 18 30" xfId="44065"/>
    <cellStyle name="Normal 2 18 31" xfId="44729"/>
    <cellStyle name="Normal 2 18 32" xfId="46481"/>
    <cellStyle name="Normal 2 18 33" xfId="48233"/>
    <cellStyle name="Normal 2 18 34" xfId="49985"/>
    <cellStyle name="Normal 2 18 35" xfId="51737"/>
    <cellStyle name="Normal 2 18 36" xfId="53489"/>
    <cellStyle name="Normal 2 18 37" xfId="55241"/>
    <cellStyle name="Normal 2 18 38" xfId="56994"/>
    <cellStyle name="Normal 2 18 39" xfId="58746"/>
    <cellStyle name="Normal 2 18 4" xfId="997"/>
    <cellStyle name="Normal 2 18 4 10" xfId="15387"/>
    <cellStyle name="Normal 2 18 4 11" xfId="17140"/>
    <cellStyle name="Normal 2 18 4 12" xfId="18892"/>
    <cellStyle name="Normal 2 18 4 13" xfId="20645"/>
    <cellStyle name="Normal 2 18 4 14" xfId="22397"/>
    <cellStyle name="Normal 2 18 4 15" xfId="24149"/>
    <cellStyle name="Normal 2 18 4 16" xfId="25901"/>
    <cellStyle name="Normal 2 18 4 17" xfId="27653"/>
    <cellStyle name="Normal 2 18 4 18" xfId="29406"/>
    <cellStyle name="Normal 2 18 4 19" xfId="31158"/>
    <cellStyle name="Normal 2 18 4 2" xfId="998"/>
    <cellStyle name="Normal 2 18 4 2 10" xfId="18016"/>
    <cellStyle name="Normal 2 18 4 2 11" xfId="19768"/>
    <cellStyle name="Normal 2 18 4 2 12" xfId="21521"/>
    <cellStyle name="Normal 2 18 4 2 13" xfId="23273"/>
    <cellStyle name="Normal 2 18 4 2 14" xfId="25025"/>
    <cellStyle name="Normal 2 18 4 2 15" xfId="26777"/>
    <cellStyle name="Normal 2 18 4 2 16" xfId="28529"/>
    <cellStyle name="Normal 2 18 4 2 17" xfId="30282"/>
    <cellStyle name="Normal 2 18 4 2 18" xfId="32034"/>
    <cellStyle name="Normal 2 18 4 2 19" xfId="33787"/>
    <cellStyle name="Normal 2 18 4 2 2" xfId="3998"/>
    <cellStyle name="Normal 2 18 4 2 20" xfId="36423"/>
    <cellStyle name="Normal 2 18 4 2 21" xfId="38163"/>
    <cellStyle name="Normal 2 18 4 2 22" xfId="39916"/>
    <cellStyle name="Normal 2 18 4 2 23" xfId="41671"/>
    <cellStyle name="Normal 2 18 4 2 24" xfId="43423"/>
    <cellStyle name="Normal 2 18 4 2 25" xfId="46041"/>
    <cellStyle name="Normal 2 18 4 2 26" xfId="47793"/>
    <cellStyle name="Normal 2 18 4 2 27" xfId="49545"/>
    <cellStyle name="Normal 2 18 4 2 28" xfId="51297"/>
    <cellStyle name="Normal 2 18 4 2 29" xfId="53049"/>
    <cellStyle name="Normal 2 18 4 2 3" xfId="5750"/>
    <cellStyle name="Normal 2 18 4 2 30" xfId="54801"/>
    <cellStyle name="Normal 2 18 4 2 31" xfId="56553"/>
    <cellStyle name="Normal 2 18 4 2 32" xfId="58306"/>
    <cellStyle name="Normal 2 18 4 2 33" xfId="60058"/>
    <cellStyle name="Normal 2 18 4 2 34" xfId="61810"/>
    <cellStyle name="Normal 2 18 4 2 4" xfId="7502"/>
    <cellStyle name="Normal 2 18 4 2 5" xfId="9254"/>
    <cellStyle name="Normal 2 18 4 2 6" xfId="11007"/>
    <cellStyle name="Normal 2 18 4 2 7" xfId="12759"/>
    <cellStyle name="Normal 2 18 4 2 8" xfId="14511"/>
    <cellStyle name="Normal 2 18 4 2 9" xfId="16263"/>
    <cellStyle name="Normal 2 18 4 20" xfId="32911"/>
    <cellStyle name="Normal 2 18 4 21" xfId="34451"/>
    <cellStyle name="Normal 2 18 4 22" xfId="35547"/>
    <cellStyle name="Normal 2 18 4 23" xfId="37072"/>
    <cellStyle name="Normal 2 18 4 24" xfId="39040"/>
    <cellStyle name="Normal 2 18 4 25" xfId="40795"/>
    <cellStyle name="Normal 2 18 4 26" xfId="42547"/>
    <cellStyle name="Normal 2 18 4 27" xfId="44072"/>
    <cellStyle name="Normal 2 18 4 28" xfId="45165"/>
    <cellStyle name="Normal 2 18 4 29" xfId="46917"/>
    <cellStyle name="Normal 2 18 4 3" xfId="3122"/>
    <cellStyle name="Normal 2 18 4 30" xfId="48669"/>
    <cellStyle name="Normal 2 18 4 31" xfId="50421"/>
    <cellStyle name="Normal 2 18 4 32" xfId="52173"/>
    <cellStyle name="Normal 2 18 4 33" xfId="53925"/>
    <cellStyle name="Normal 2 18 4 34" xfId="55677"/>
    <cellStyle name="Normal 2 18 4 35" xfId="57430"/>
    <cellStyle name="Normal 2 18 4 36" xfId="59182"/>
    <cellStyle name="Normal 2 18 4 37" xfId="60934"/>
    <cellStyle name="Normal 2 18 4 38" xfId="62459"/>
    <cellStyle name="Normal 2 18 4 39" xfId="63325"/>
    <cellStyle name="Normal 2 18 4 4" xfId="4874"/>
    <cellStyle name="Normal 2 18 4 5" xfId="6626"/>
    <cellStyle name="Normal 2 18 4 6" xfId="8378"/>
    <cellStyle name="Normal 2 18 4 7" xfId="10131"/>
    <cellStyle name="Normal 2 18 4 8" xfId="11883"/>
    <cellStyle name="Normal 2 18 4 9" xfId="13635"/>
    <cellStyle name="Normal 2 18 40" xfId="60498"/>
    <cellStyle name="Normal 2 18 41" xfId="62452"/>
    <cellStyle name="Normal 2 18 42" xfId="63318"/>
    <cellStyle name="Normal 2 18 5" xfId="999"/>
    <cellStyle name="Normal 2 18 5 10" xfId="17580"/>
    <cellStyle name="Normal 2 18 5 11" xfId="19332"/>
    <cellStyle name="Normal 2 18 5 12" xfId="21085"/>
    <cellStyle name="Normal 2 18 5 13" xfId="22837"/>
    <cellStyle name="Normal 2 18 5 14" xfId="24589"/>
    <cellStyle name="Normal 2 18 5 15" xfId="26341"/>
    <cellStyle name="Normal 2 18 5 16" xfId="28093"/>
    <cellStyle name="Normal 2 18 5 17" xfId="29846"/>
    <cellStyle name="Normal 2 18 5 18" xfId="31598"/>
    <cellStyle name="Normal 2 18 5 19" xfId="33351"/>
    <cellStyle name="Normal 2 18 5 2" xfId="3562"/>
    <cellStyle name="Normal 2 18 5 20" xfId="35987"/>
    <cellStyle name="Normal 2 18 5 21" xfId="37746"/>
    <cellStyle name="Normal 2 18 5 22" xfId="39480"/>
    <cellStyle name="Normal 2 18 5 23" xfId="41235"/>
    <cellStyle name="Normal 2 18 5 24" xfId="42987"/>
    <cellStyle name="Normal 2 18 5 25" xfId="45605"/>
    <cellStyle name="Normal 2 18 5 26" xfId="47357"/>
    <cellStyle name="Normal 2 18 5 27" xfId="49109"/>
    <cellStyle name="Normal 2 18 5 28" xfId="50861"/>
    <cellStyle name="Normal 2 18 5 29" xfId="52613"/>
    <cellStyle name="Normal 2 18 5 3" xfId="5314"/>
    <cellStyle name="Normal 2 18 5 30" xfId="54365"/>
    <cellStyle name="Normal 2 18 5 31" xfId="56117"/>
    <cellStyle name="Normal 2 18 5 32" xfId="57870"/>
    <cellStyle name="Normal 2 18 5 33" xfId="59622"/>
    <cellStyle name="Normal 2 18 5 34" xfId="61374"/>
    <cellStyle name="Normal 2 18 5 4" xfId="7066"/>
    <cellStyle name="Normal 2 18 5 5" xfId="8818"/>
    <cellStyle name="Normal 2 18 5 6" xfId="10571"/>
    <cellStyle name="Normal 2 18 5 7" xfId="12323"/>
    <cellStyle name="Normal 2 18 5 8" xfId="14075"/>
    <cellStyle name="Normal 2 18 5 9" xfId="15827"/>
    <cellStyle name="Normal 2 18 6" xfId="2686"/>
    <cellStyle name="Normal 2 18 7" xfId="4438"/>
    <cellStyle name="Normal 2 18 8" xfId="6190"/>
    <cellStyle name="Normal 2 18 9" xfId="7942"/>
    <cellStyle name="Normal 2 19" xfId="1000"/>
    <cellStyle name="Normal 2 19 10" xfId="11500"/>
    <cellStyle name="Normal 2 19 11" xfId="13252"/>
    <cellStyle name="Normal 2 19 12" xfId="15004"/>
    <cellStyle name="Normal 2 19 13" xfId="16757"/>
    <cellStyle name="Normal 2 19 14" xfId="18509"/>
    <cellStyle name="Normal 2 19 15" xfId="20262"/>
    <cellStyle name="Normal 2 19 16" xfId="22014"/>
    <cellStyle name="Normal 2 19 17" xfId="23766"/>
    <cellStyle name="Normal 2 19 18" xfId="25518"/>
    <cellStyle name="Normal 2 19 19" xfId="27270"/>
    <cellStyle name="Normal 2 19 2" xfId="1001"/>
    <cellStyle name="Normal 2 19 2 10" xfId="13428"/>
    <cellStyle name="Normal 2 19 2 11" xfId="15180"/>
    <cellStyle name="Normal 2 19 2 12" xfId="16933"/>
    <cellStyle name="Normal 2 19 2 13" xfId="18685"/>
    <cellStyle name="Normal 2 19 2 14" xfId="20438"/>
    <cellStyle name="Normal 2 19 2 15" xfId="22190"/>
    <cellStyle name="Normal 2 19 2 16" xfId="23942"/>
    <cellStyle name="Normal 2 19 2 17" xfId="25694"/>
    <cellStyle name="Normal 2 19 2 18" xfId="27446"/>
    <cellStyle name="Normal 2 19 2 19" xfId="29199"/>
    <cellStyle name="Normal 2 19 2 2" xfId="1002"/>
    <cellStyle name="Normal 2 19 2 2 10" xfId="15616"/>
    <cellStyle name="Normal 2 19 2 2 11" xfId="17369"/>
    <cellStyle name="Normal 2 19 2 2 12" xfId="19121"/>
    <cellStyle name="Normal 2 19 2 2 13" xfId="20874"/>
    <cellStyle name="Normal 2 19 2 2 14" xfId="22626"/>
    <cellStyle name="Normal 2 19 2 2 15" xfId="24378"/>
    <cellStyle name="Normal 2 19 2 2 16" xfId="26130"/>
    <cellStyle name="Normal 2 19 2 2 17" xfId="27882"/>
    <cellStyle name="Normal 2 19 2 2 18" xfId="29635"/>
    <cellStyle name="Normal 2 19 2 2 19" xfId="31387"/>
    <cellStyle name="Normal 2 19 2 2 2" xfId="1003"/>
    <cellStyle name="Normal 2 19 2 2 2 10" xfId="18245"/>
    <cellStyle name="Normal 2 19 2 2 2 11" xfId="19997"/>
    <cellStyle name="Normal 2 19 2 2 2 12" xfId="21750"/>
    <cellStyle name="Normal 2 19 2 2 2 13" xfId="23502"/>
    <cellStyle name="Normal 2 19 2 2 2 14" xfId="25254"/>
    <cellStyle name="Normal 2 19 2 2 2 15" xfId="27006"/>
    <cellStyle name="Normal 2 19 2 2 2 16" xfId="28758"/>
    <cellStyle name="Normal 2 19 2 2 2 17" xfId="30511"/>
    <cellStyle name="Normal 2 19 2 2 2 18" xfId="32263"/>
    <cellStyle name="Normal 2 19 2 2 2 19" xfId="34016"/>
    <cellStyle name="Normal 2 19 2 2 2 2" xfId="4227"/>
    <cellStyle name="Normal 2 19 2 2 2 20" xfId="36652"/>
    <cellStyle name="Normal 2 19 2 2 2 21" xfId="38392"/>
    <cellStyle name="Normal 2 19 2 2 2 22" xfId="40145"/>
    <cellStyle name="Normal 2 19 2 2 2 23" xfId="41900"/>
    <cellStyle name="Normal 2 19 2 2 2 24" xfId="43652"/>
    <cellStyle name="Normal 2 19 2 2 2 25" xfId="46270"/>
    <cellStyle name="Normal 2 19 2 2 2 26" xfId="48022"/>
    <cellStyle name="Normal 2 19 2 2 2 27" xfId="49774"/>
    <cellStyle name="Normal 2 19 2 2 2 28" xfId="51526"/>
    <cellStyle name="Normal 2 19 2 2 2 29" xfId="53278"/>
    <cellStyle name="Normal 2 19 2 2 2 3" xfId="5979"/>
    <cellStyle name="Normal 2 19 2 2 2 30" xfId="55030"/>
    <cellStyle name="Normal 2 19 2 2 2 31" xfId="56782"/>
    <cellStyle name="Normal 2 19 2 2 2 32" xfId="58535"/>
    <cellStyle name="Normal 2 19 2 2 2 33" xfId="60287"/>
    <cellStyle name="Normal 2 19 2 2 2 34" xfId="62039"/>
    <cellStyle name="Normal 2 19 2 2 2 4" xfId="7731"/>
    <cellStyle name="Normal 2 19 2 2 2 5" xfId="9483"/>
    <cellStyle name="Normal 2 19 2 2 2 6" xfId="11236"/>
    <cellStyle name="Normal 2 19 2 2 2 7" xfId="12988"/>
    <cellStyle name="Normal 2 19 2 2 2 8" xfId="14740"/>
    <cellStyle name="Normal 2 19 2 2 2 9" xfId="16492"/>
    <cellStyle name="Normal 2 19 2 2 20" xfId="33140"/>
    <cellStyle name="Normal 2 19 2 2 21" xfId="34454"/>
    <cellStyle name="Normal 2 19 2 2 22" xfId="35776"/>
    <cellStyle name="Normal 2 19 2 2 23" xfId="37075"/>
    <cellStyle name="Normal 2 19 2 2 24" xfId="39269"/>
    <cellStyle name="Normal 2 19 2 2 25" xfId="41024"/>
    <cellStyle name="Normal 2 19 2 2 26" xfId="42776"/>
    <cellStyle name="Normal 2 19 2 2 27" xfId="44075"/>
    <cellStyle name="Normal 2 19 2 2 28" xfId="45394"/>
    <cellStyle name="Normal 2 19 2 2 29" xfId="47146"/>
    <cellStyle name="Normal 2 19 2 2 3" xfId="3351"/>
    <cellStyle name="Normal 2 19 2 2 30" xfId="48898"/>
    <cellStyle name="Normal 2 19 2 2 31" xfId="50650"/>
    <cellStyle name="Normal 2 19 2 2 32" xfId="52402"/>
    <cellStyle name="Normal 2 19 2 2 33" xfId="54154"/>
    <cellStyle name="Normal 2 19 2 2 34" xfId="55906"/>
    <cellStyle name="Normal 2 19 2 2 35" xfId="57659"/>
    <cellStyle name="Normal 2 19 2 2 36" xfId="59411"/>
    <cellStyle name="Normal 2 19 2 2 37" xfId="61163"/>
    <cellStyle name="Normal 2 19 2 2 38" xfId="62462"/>
    <cellStyle name="Normal 2 19 2 2 39" xfId="63328"/>
    <cellStyle name="Normal 2 19 2 2 4" xfId="5103"/>
    <cellStyle name="Normal 2 19 2 2 5" xfId="6855"/>
    <cellStyle name="Normal 2 19 2 2 6" xfId="8607"/>
    <cellStyle name="Normal 2 19 2 2 7" xfId="10360"/>
    <cellStyle name="Normal 2 19 2 2 8" xfId="12112"/>
    <cellStyle name="Normal 2 19 2 2 9" xfId="13864"/>
    <cellStyle name="Normal 2 19 2 20" xfId="30951"/>
    <cellStyle name="Normal 2 19 2 21" xfId="32704"/>
    <cellStyle name="Normal 2 19 2 22" xfId="34453"/>
    <cellStyle name="Normal 2 19 2 23" xfId="35340"/>
    <cellStyle name="Normal 2 19 2 24" xfId="37074"/>
    <cellStyle name="Normal 2 19 2 25" xfId="38833"/>
    <cellStyle name="Normal 2 19 2 26" xfId="40588"/>
    <cellStyle name="Normal 2 19 2 27" xfId="42340"/>
    <cellStyle name="Normal 2 19 2 28" xfId="44074"/>
    <cellStyle name="Normal 2 19 2 29" xfId="44958"/>
    <cellStyle name="Normal 2 19 2 3" xfId="1004"/>
    <cellStyle name="Normal 2 19 2 3 10" xfId="17809"/>
    <cellStyle name="Normal 2 19 2 3 11" xfId="19561"/>
    <cellStyle name="Normal 2 19 2 3 12" xfId="21314"/>
    <cellStyle name="Normal 2 19 2 3 13" xfId="23066"/>
    <cellStyle name="Normal 2 19 2 3 14" xfId="24818"/>
    <cellStyle name="Normal 2 19 2 3 15" xfId="26570"/>
    <cellStyle name="Normal 2 19 2 3 16" xfId="28322"/>
    <cellStyle name="Normal 2 19 2 3 17" xfId="30075"/>
    <cellStyle name="Normal 2 19 2 3 18" xfId="31827"/>
    <cellStyle name="Normal 2 19 2 3 19" xfId="33580"/>
    <cellStyle name="Normal 2 19 2 3 2" xfId="3791"/>
    <cellStyle name="Normal 2 19 2 3 20" xfId="36216"/>
    <cellStyle name="Normal 2 19 2 3 21" xfId="37956"/>
    <cellStyle name="Normal 2 19 2 3 22" xfId="39709"/>
    <cellStyle name="Normal 2 19 2 3 23" xfId="41464"/>
    <cellStyle name="Normal 2 19 2 3 24" xfId="43216"/>
    <cellStyle name="Normal 2 19 2 3 25" xfId="45834"/>
    <cellStyle name="Normal 2 19 2 3 26" xfId="47586"/>
    <cellStyle name="Normal 2 19 2 3 27" xfId="49338"/>
    <cellStyle name="Normal 2 19 2 3 28" xfId="51090"/>
    <cellStyle name="Normal 2 19 2 3 29" xfId="52842"/>
    <cellStyle name="Normal 2 19 2 3 3" xfId="5543"/>
    <cellStyle name="Normal 2 19 2 3 30" xfId="54594"/>
    <cellStyle name="Normal 2 19 2 3 31" xfId="56346"/>
    <cellStyle name="Normal 2 19 2 3 32" xfId="58099"/>
    <cellStyle name="Normal 2 19 2 3 33" xfId="59851"/>
    <cellStyle name="Normal 2 19 2 3 34" xfId="61603"/>
    <cellStyle name="Normal 2 19 2 3 4" xfId="7295"/>
    <cellStyle name="Normal 2 19 2 3 5" xfId="9047"/>
    <cellStyle name="Normal 2 19 2 3 6" xfId="10800"/>
    <cellStyle name="Normal 2 19 2 3 7" xfId="12552"/>
    <cellStyle name="Normal 2 19 2 3 8" xfId="14304"/>
    <cellStyle name="Normal 2 19 2 3 9" xfId="16056"/>
    <cellStyle name="Normal 2 19 2 30" xfId="46710"/>
    <cellStyle name="Normal 2 19 2 31" xfId="48462"/>
    <cellStyle name="Normal 2 19 2 32" xfId="50214"/>
    <cellStyle name="Normal 2 19 2 33" xfId="51966"/>
    <cellStyle name="Normal 2 19 2 34" xfId="53718"/>
    <cellStyle name="Normal 2 19 2 35" xfId="55470"/>
    <cellStyle name="Normal 2 19 2 36" xfId="57223"/>
    <cellStyle name="Normal 2 19 2 37" xfId="58975"/>
    <cellStyle name="Normal 2 19 2 38" xfId="60727"/>
    <cellStyle name="Normal 2 19 2 39" xfId="62461"/>
    <cellStyle name="Normal 2 19 2 4" xfId="2915"/>
    <cellStyle name="Normal 2 19 2 40" xfId="63327"/>
    <cellStyle name="Normal 2 19 2 5" xfId="4667"/>
    <cellStyle name="Normal 2 19 2 6" xfId="6419"/>
    <cellStyle name="Normal 2 19 2 7" xfId="8171"/>
    <cellStyle name="Normal 2 19 2 8" xfId="9924"/>
    <cellStyle name="Normal 2 19 2 9" xfId="11676"/>
    <cellStyle name="Normal 2 19 20" xfId="29023"/>
    <cellStyle name="Normal 2 19 21" xfId="30775"/>
    <cellStyle name="Normal 2 19 22" xfId="32528"/>
    <cellStyle name="Normal 2 19 23" xfId="34452"/>
    <cellStyle name="Normal 2 19 24" xfId="35164"/>
    <cellStyle name="Normal 2 19 25" xfId="37073"/>
    <cellStyle name="Normal 2 19 26" xfId="38657"/>
    <cellStyle name="Normal 2 19 27" xfId="40412"/>
    <cellStyle name="Normal 2 19 28" xfId="42164"/>
    <cellStyle name="Normal 2 19 29" xfId="44073"/>
    <cellStyle name="Normal 2 19 3" xfId="1005"/>
    <cellStyle name="Normal 2 19 3 10" xfId="15440"/>
    <cellStyle name="Normal 2 19 3 11" xfId="17193"/>
    <cellStyle name="Normal 2 19 3 12" xfId="18945"/>
    <cellStyle name="Normal 2 19 3 13" xfId="20698"/>
    <cellStyle name="Normal 2 19 3 14" xfId="22450"/>
    <cellStyle name="Normal 2 19 3 15" xfId="24202"/>
    <cellStyle name="Normal 2 19 3 16" xfId="25954"/>
    <cellStyle name="Normal 2 19 3 17" xfId="27706"/>
    <cellStyle name="Normal 2 19 3 18" xfId="29459"/>
    <cellStyle name="Normal 2 19 3 19" xfId="31211"/>
    <cellStyle name="Normal 2 19 3 2" xfId="1006"/>
    <cellStyle name="Normal 2 19 3 2 10" xfId="18069"/>
    <cellStyle name="Normal 2 19 3 2 11" xfId="19821"/>
    <cellStyle name="Normal 2 19 3 2 12" xfId="21574"/>
    <cellStyle name="Normal 2 19 3 2 13" xfId="23326"/>
    <cellStyle name="Normal 2 19 3 2 14" xfId="25078"/>
    <cellStyle name="Normal 2 19 3 2 15" xfId="26830"/>
    <cellStyle name="Normal 2 19 3 2 16" xfId="28582"/>
    <cellStyle name="Normal 2 19 3 2 17" xfId="30335"/>
    <cellStyle name="Normal 2 19 3 2 18" xfId="32087"/>
    <cellStyle name="Normal 2 19 3 2 19" xfId="33840"/>
    <cellStyle name="Normal 2 19 3 2 2" xfId="4051"/>
    <cellStyle name="Normal 2 19 3 2 20" xfId="36476"/>
    <cellStyle name="Normal 2 19 3 2 21" xfId="38216"/>
    <cellStyle name="Normal 2 19 3 2 22" xfId="39969"/>
    <cellStyle name="Normal 2 19 3 2 23" xfId="41724"/>
    <cellStyle name="Normal 2 19 3 2 24" xfId="43476"/>
    <cellStyle name="Normal 2 19 3 2 25" xfId="46094"/>
    <cellStyle name="Normal 2 19 3 2 26" xfId="47846"/>
    <cellStyle name="Normal 2 19 3 2 27" xfId="49598"/>
    <cellStyle name="Normal 2 19 3 2 28" xfId="51350"/>
    <cellStyle name="Normal 2 19 3 2 29" xfId="53102"/>
    <cellStyle name="Normal 2 19 3 2 3" xfId="5803"/>
    <cellStyle name="Normal 2 19 3 2 30" xfId="54854"/>
    <cellStyle name="Normal 2 19 3 2 31" xfId="56606"/>
    <cellStyle name="Normal 2 19 3 2 32" xfId="58359"/>
    <cellStyle name="Normal 2 19 3 2 33" xfId="60111"/>
    <cellStyle name="Normal 2 19 3 2 34" xfId="61863"/>
    <cellStyle name="Normal 2 19 3 2 4" xfId="7555"/>
    <cellStyle name="Normal 2 19 3 2 5" xfId="9307"/>
    <cellStyle name="Normal 2 19 3 2 6" xfId="11060"/>
    <cellStyle name="Normal 2 19 3 2 7" xfId="12812"/>
    <cellStyle name="Normal 2 19 3 2 8" xfId="14564"/>
    <cellStyle name="Normal 2 19 3 2 9" xfId="16316"/>
    <cellStyle name="Normal 2 19 3 20" xfId="32964"/>
    <cellStyle name="Normal 2 19 3 21" xfId="34455"/>
    <cellStyle name="Normal 2 19 3 22" xfId="35600"/>
    <cellStyle name="Normal 2 19 3 23" xfId="37076"/>
    <cellStyle name="Normal 2 19 3 24" xfId="39093"/>
    <cellStyle name="Normal 2 19 3 25" xfId="40848"/>
    <cellStyle name="Normal 2 19 3 26" xfId="42600"/>
    <cellStyle name="Normal 2 19 3 27" xfId="44076"/>
    <cellStyle name="Normal 2 19 3 28" xfId="45218"/>
    <cellStyle name="Normal 2 19 3 29" xfId="46970"/>
    <cellStyle name="Normal 2 19 3 3" xfId="3175"/>
    <cellStyle name="Normal 2 19 3 30" xfId="48722"/>
    <cellStyle name="Normal 2 19 3 31" xfId="50474"/>
    <cellStyle name="Normal 2 19 3 32" xfId="52226"/>
    <cellStyle name="Normal 2 19 3 33" xfId="53978"/>
    <cellStyle name="Normal 2 19 3 34" xfId="55730"/>
    <cellStyle name="Normal 2 19 3 35" xfId="57483"/>
    <cellStyle name="Normal 2 19 3 36" xfId="59235"/>
    <cellStyle name="Normal 2 19 3 37" xfId="60987"/>
    <cellStyle name="Normal 2 19 3 38" xfId="62463"/>
    <cellStyle name="Normal 2 19 3 39" xfId="63329"/>
    <cellStyle name="Normal 2 19 3 4" xfId="4927"/>
    <cellStyle name="Normal 2 19 3 5" xfId="6679"/>
    <cellStyle name="Normal 2 19 3 6" xfId="8431"/>
    <cellStyle name="Normal 2 19 3 7" xfId="10184"/>
    <cellStyle name="Normal 2 19 3 8" xfId="11936"/>
    <cellStyle name="Normal 2 19 3 9" xfId="13688"/>
    <cellStyle name="Normal 2 19 30" xfId="44782"/>
    <cellStyle name="Normal 2 19 31" xfId="46534"/>
    <cellStyle name="Normal 2 19 32" xfId="48286"/>
    <cellStyle name="Normal 2 19 33" xfId="50038"/>
    <cellStyle name="Normal 2 19 34" xfId="51790"/>
    <cellStyle name="Normal 2 19 35" xfId="53542"/>
    <cellStyle name="Normal 2 19 36" xfId="55294"/>
    <cellStyle name="Normal 2 19 37" xfId="57047"/>
    <cellStyle name="Normal 2 19 38" xfId="58799"/>
    <cellStyle name="Normal 2 19 39" xfId="60551"/>
    <cellStyle name="Normal 2 19 4" xfId="1007"/>
    <cellStyle name="Normal 2 19 4 10" xfId="17633"/>
    <cellStyle name="Normal 2 19 4 11" xfId="19385"/>
    <cellStyle name="Normal 2 19 4 12" xfId="21138"/>
    <cellStyle name="Normal 2 19 4 13" xfId="22890"/>
    <cellStyle name="Normal 2 19 4 14" xfId="24642"/>
    <cellStyle name="Normal 2 19 4 15" xfId="26394"/>
    <cellStyle name="Normal 2 19 4 16" xfId="28146"/>
    <cellStyle name="Normal 2 19 4 17" xfId="29899"/>
    <cellStyle name="Normal 2 19 4 18" xfId="31651"/>
    <cellStyle name="Normal 2 19 4 19" xfId="33404"/>
    <cellStyle name="Normal 2 19 4 2" xfId="3615"/>
    <cellStyle name="Normal 2 19 4 20" xfId="36040"/>
    <cellStyle name="Normal 2 19 4 21" xfId="37780"/>
    <cellStyle name="Normal 2 19 4 22" xfId="39533"/>
    <cellStyle name="Normal 2 19 4 23" xfId="41288"/>
    <cellStyle name="Normal 2 19 4 24" xfId="43040"/>
    <cellStyle name="Normal 2 19 4 25" xfId="45658"/>
    <cellStyle name="Normal 2 19 4 26" xfId="47410"/>
    <cellStyle name="Normal 2 19 4 27" xfId="49162"/>
    <cellStyle name="Normal 2 19 4 28" xfId="50914"/>
    <cellStyle name="Normal 2 19 4 29" xfId="52666"/>
    <cellStyle name="Normal 2 19 4 3" xfId="5367"/>
    <cellStyle name="Normal 2 19 4 30" xfId="54418"/>
    <cellStyle name="Normal 2 19 4 31" xfId="56170"/>
    <cellStyle name="Normal 2 19 4 32" xfId="57923"/>
    <cellStyle name="Normal 2 19 4 33" xfId="59675"/>
    <cellStyle name="Normal 2 19 4 34" xfId="61427"/>
    <cellStyle name="Normal 2 19 4 4" xfId="7119"/>
    <cellStyle name="Normal 2 19 4 5" xfId="8871"/>
    <cellStyle name="Normal 2 19 4 6" xfId="10624"/>
    <cellStyle name="Normal 2 19 4 7" xfId="12376"/>
    <cellStyle name="Normal 2 19 4 8" xfId="14128"/>
    <cellStyle name="Normal 2 19 4 9" xfId="15880"/>
    <cellStyle name="Normal 2 19 40" xfId="62460"/>
    <cellStyle name="Normal 2 19 41" xfId="63326"/>
    <cellStyle name="Normal 2 19 5" xfId="2739"/>
    <cellStyle name="Normal 2 19 6" xfId="4491"/>
    <cellStyle name="Normal 2 19 7" xfId="6243"/>
    <cellStyle name="Normal 2 19 8" xfId="7995"/>
    <cellStyle name="Normal 2 19 9" xfId="9748"/>
    <cellStyle name="Normal 2 2" xfId="1008"/>
    <cellStyle name="Normal 2 2 10" xfId="1009"/>
    <cellStyle name="Normal 2 2 10 2" xfId="2616"/>
    <cellStyle name="Normal 2 2 11" xfId="1010"/>
    <cellStyle name="Normal 2 2 11 2" xfId="2617"/>
    <cellStyle name="Normal 2 2 12" xfId="1011"/>
    <cellStyle name="Normal 2 2 13" xfId="1012"/>
    <cellStyle name="Normal 2 2 14" xfId="2464"/>
    <cellStyle name="Normal 2 2 2" xfId="1013"/>
    <cellStyle name="Normal 2 2 2 2" xfId="2618"/>
    <cellStyle name="Normal 2 2 3" xfId="1014"/>
    <cellStyle name="Normal 2 2 3 2" xfId="2619"/>
    <cellStyle name="Normal 2 2 4" xfId="1015"/>
    <cellStyle name="Normal 2 2 4 2" xfId="2620"/>
    <cellStyle name="Normal 2 2 5" xfId="1016"/>
    <cellStyle name="Normal 2 2 5 2" xfId="2621"/>
    <cellStyle name="Normal 2 2 6" xfId="1017"/>
    <cellStyle name="Normal 2 2 6 2" xfId="2622"/>
    <cellStyle name="Normal 2 2 7" xfId="1018"/>
    <cellStyle name="Normal 2 2 7 2" xfId="2623"/>
    <cellStyle name="Normal 2 2 8" xfId="1019"/>
    <cellStyle name="Normal 2 2 8 2" xfId="2624"/>
    <cellStyle name="Normal 2 2 9" xfId="1020"/>
    <cellStyle name="Normal 2 2 9 2" xfId="2625"/>
    <cellStyle name="Normal 2 20" xfId="1021"/>
    <cellStyle name="Normal 2 20 10" xfId="13429"/>
    <cellStyle name="Normal 2 20 11" xfId="15181"/>
    <cellStyle name="Normal 2 20 12" xfId="16934"/>
    <cellStyle name="Normal 2 20 13" xfId="18686"/>
    <cellStyle name="Normal 2 20 14" xfId="20439"/>
    <cellStyle name="Normal 2 20 15" xfId="22191"/>
    <cellStyle name="Normal 2 20 16" xfId="23943"/>
    <cellStyle name="Normal 2 20 17" xfId="25695"/>
    <cellStyle name="Normal 2 20 18" xfId="27447"/>
    <cellStyle name="Normal 2 20 19" xfId="29200"/>
    <cellStyle name="Normal 2 20 2" xfId="1022"/>
    <cellStyle name="Normal 2 20 2 10" xfId="15617"/>
    <cellStyle name="Normal 2 20 2 11" xfId="17370"/>
    <cellStyle name="Normal 2 20 2 12" xfId="19122"/>
    <cellStyle name="Normal 2 20 2 13" xfId="20875"/>
    <cellStyle name="Normal 2 20 2 14" xfId="22627"/>
    <cellStyle name="Normal 2 20 2 15" xfId="24379"/>
    <cellStyle name="Normal 2 20 2 16" xfId="26131"/>
    <cellStyle name="Normal 2 20 2 17" xfId="27883"/>
    <cellStyle name="Normal 2 20 2 18" xfId="29636"/>
    <cellStyle name="Normal 2 20 2 19" xfId="31388"/>
    <cellStyle name="Normal 2 20 2 2" xfId="1023"/>
    <cellStyle name="Normal 2 20 2 2 10" xfId="18246"/>
    <cellStyle name="Normal 2 20 2 2 11" xfId="19998"/>
    <cellStyle name="Normal 2 20 2 2 12" xfId="21751"/>
    <cellStyle name="Normal 2 20 2 2 13" xfId="23503"/>
    <cellStyle name="Normal 2 20 2 2 14" xfId="25255"/>
    <cellStyle name="Normal 2 20 2 2 15" xfId="27007"/>
    <cellStyle name="Normal 2 20 2 2 16" xfId="28759"/>
    <cellStyle name="Normal 2 20 2 2 17" xfId="30512"/>
    <cellStyle name="Normal 2 20 2 2 18" xfId="32264"/>
    <cellStyle name="Normal 2 20 2 2 19" xfId="34017"/>
    <cellStyle name="Normal 2 20 2 2 2" xfId="4228"/>
    <cellStyle name="Normal 2 20 2 2 20" xfId="36653"/>
    <cellStyle name="Normal 2 20 2 2 21" xfId="38393"/>
    <cellStyle name="Normal 2 20 2 2 22" xfId="40146"/>
    <cellStyle name="Normal 2 20 2 2 23" xfId="41901"/>
    <cellStyle name="Normal 2 20 2 2 24" xfId="43653"/>
    <cellStyle name="Normal 2 20 2 2 25" xfId="46271"/>
    <cellStyle name="Normal 2 20 2 2 26" xfId="48023"/>
    <cellStyle name="Normal 2 20 2 2 27" xfId="49775"/>
    <cellStyle name="Normal 2 20 2 2 28" xfId="51527"/>
    <cellStyle name="Normal 2 20 2 2 29" xfId="53279"/>
    <cellStyle name="Normal 2 20 2 2 3" xfId="5980"/>
    <cellStyle name="Normal 2 20 2 2 30" xfId="55031"/>
    <cellStyle name="Normal 2 20 2 2 31" xfId="56783"/>
    <cellStyle name="Normal 2 20 2 2 32" xfId="58536"/>
    <cellStyle name="Normal 2 20 2 2 33" xfId="60288"/>
    <cellStyle name="Normal 2 20 2 2 34" xfId="62040"/>
    <cellStyle name="Normal 2 20 2 2 4" xfId="7732"/>
    <cellStyle name="Normal 2 20 2 2 5" xfId="9484"/>
    <cellStyle name="Normal 2 20 2 2 6" xfId="11237"/>
    <cellStyle name="Normal 2 20 2 2 7" xfId="12989"/>
    <cellStyle name="Normal 2 20 2 2 8" xfId="14741"/>
    <cellStyle name="Normal 2 20 2 2 9" xfId="16493"/>
    <cellStyle name="Normal 2 20 2 20" xfId="33141"/>
    <cellStyle name="Normal 2 20 2 21" xfId="34457"/>
    <cellStyle name="Normal 2 20 2 22" xfId="35777"/>
    <cellStyle name="Normal 2 20 2 23" xfId="37078"/>
    <cellStyle name="Normal 2 20 2 24" xfId="39270"/>
    <cellStyle name="Normal 2 20 2 25" xfId="41025"/>
    <cellStyle name="Normal 2 20 2 26" xfId="42777"/>
    <cellStyle name="Normal 2 20 2 27" xfId="44078"/>
    <cellStyle name="Normal 2 20 2 28" xfId="45395"/>
    <cellStyle name="Normal 2 20 2 29" xfId="47147"/>
    <cellStyle name="Normal 2 20 2 3" xfId="3352"/>
    <cellStyle name="Normal 2 20 2 30" xfId="48899"/>
    <cellStyle name="Normal 2 20 2 31" xfId="50651"/>
    <cellStyle name="Normal 2 20 2 32" xfId="52403"/>
    <cellStyle name="Normal 2 20 2 33" xfId="54155"/>
    <cellStyle name="Normal 2 20 2 34" xfId="55907"/>
    <cellStyle name="Normal 2 20 2 35" xfId="57660"/>
    <cellStyle name="Normal 2 20 2 36" xfId="59412"/>
    <cellStyle name="Normal 2 20 2 37" xfId="61164"/>
    <cellStyle name="Normal 2 20 2 38" xfId="62465"/>
    <cellStyle name="Normal 2 20 2 39" xfId="63331"/>
    <cellStyle name="Normal 2 20 2 4" xfId="5104"/>
    <cellStyle name="Normal 2 20 2 5" xfId="6856"/>
    <cellStyle name="Normal 2 20 2 6" xfId="8608"/>
    <cellStyle name="Normal 2 20 2 7" xfId="10361"/>
    <cellStyle name="Normal 2 20 2 8" xfId="12113"/>
    <cellStyle name="Normal 2 20 2 9" xfId="13865"/>
    <cellStyle name="Normal 2 20 20" xfId="30952"/>
    <cellStyle name="Normal 2 20 21" xfId="32705"/>
    <cellStyle name="Normal 2 20 22" xfId="34456"/>
    <cellStyle name="Normal 2 20 23" xfId="35341"/>
    <cellStyle name="Normal 2 20 24" xfId="37077"/>
    <cellStyle name="Normal 2 20 25" xfId="38834"/>
    <cellStyle name="Normal 2 20 26" xfId="40589"/>
    <cellStyle name="Normal 2 20 27" xfId="42341"/>
    <cellStyle name="Normal 2 20 28" xfId="44077"/>
    <cellStyle name="Normal 2 20 29" xfId="44959"/>
    <cellStyle name="Normal 2 20 3" xfId="1024"/>
    <cellStyle name="Normal 2 20 3 10" xfId="17810"/>
    <cellStyle name="Normal 2 20 3 11" xfId="19562"/>
    <cellStyle name="Normal 2 20 3 12" xfId="21315"/>
    <cellStyle name="Normal 2 20 3 13" xfId="23067"/>
    <cellStyle name="Normal 2 20 3 14" xfId="24819"/>
    <cellStyle name="Normal 2 20 3 15" xfId="26571"/>
    <cellStyle name="Normal 2 20 3 16" xfId="28323"/>
    <cellStyle name="Normal 2 20 3 17" xfId="30076"/>
    <cellStyle name="Normal 2 20 3 18" xfId="31828"/>
    <cellStyle name="Normal 2 20 3 19" xfId="33581"/>
    <cellStyle name="Normal 2 20 3 2" xfId="3792"/>
    <cellStyle name="Normal 2 20 3 20" xfId="36217"/>
    <cellStyle name="Normal 2 20 3 21" xfId="37957"/>
    <cellStyle name="Normal 2 20 3 22" xfId="39710"/>
    <cellStyle name="Normal 2 20 3 23" xfId="41465"/>
    <cellStyle name="Normal 2 20 3 24" xfId="43217"/>
    <cellStyle name="Normal 2 20 3 25" xfId="45835"/>
    <cellStyle name="Normal 2 20 3 26" xfId="47587"/>
    <cellStyle name="Normal 2 20 3 27" xfId="49339"/>
    <cellStyle name="Normal 2 20 3 28" xfId="51091"/>
    <cellStyle name="Normal 2 20 3 29" xfId="52843"/>
    <cellStyle name="Normal 2 20 3 3" xfId="5544"/>
    <cellStyle name="Normal 2 20 3 30" xfId="54595"/>
    <cellStyle name="Normal 2 20 3 31" xfId="56347"/>
    <cellStyle name="Normal 2 20 3 32" xfId="58100"/>
    <cellStyle name="Normal 2 20 3 33" xfId="59852"/>
    <cellStyle name="Normal 2 20 3 34" xfId="61604"/>
    <cellStyle name="Normal 2 20 3 4" xfId="7296"/>
    <cellStyle name="Normal 2 20 3 5" xfId="9048"/>
    <cellStyle name="Normal 2 20 3 6" xfId="10801"/>
    <cellStyle name="Normal 2 20 3 7" xfId="12553"/>
    <cellStyle name="Normal 2 20 3 8" xfId="14305"/>
    <cellStyle name="Normal 2 20 3 9" xfId="16057"/>
    <cellStyle name="Normal 2 20 30" xfId="46711"/>
    <cellStyle name="Normal 2 20 31" xfId="48463"/>
    <cellStyle name="Normal 2 20 32" xfId="50215"/>
    <cellStyle name="Normal 2 20 33" xfId="51967"/>
    <cellStyle name="Normal 2 20 34" xfId="53719"/>
    <cellStyle name="Normal 2 20 35" xfId="55471"/>
    <cellStyle name="Normal 2 20 36" xfId="57224"/>
    <cellStyle name="Normal 2 20 37" xfId="58976"/>
    <cellStyle name="Normal 2 20 38" xfId="60728"/>
    <cellStyle name="Normal 2 20 39" xfId="62464"/>
    <cellStyle name="Normal 2 20 4" xfId="2916"/>
    <cellStyle name="Normal 2 20 40" xfId="63330"/>
    <cellStyle name="Normal 2 20 5" xfId="4668"/>
    <cellStyle name="Normal 2 20 6" xfId="6420"/>
    <cellStyle name="Normal 2 20 7" xfId="8172"/>
    <cellStyle name="Normal 2 20 8" xfId="9925"/>
    <cellStyle name="Normal 2 20 9" xfId="11677"/>
    <cellStyle name="Normal 2 21" xfId="1025"/>
    <cellStyle name="Normal 2 21 10" xfId="15332"/>
    <cellStyle name="Normal 2 21 11" xfId="17085"/>
    <cellStyle name="Normal 2 21 12" xfId="18837"/>
    <cellStyle name="Normal 2 21 13" xfId="20590"/>
    <cellStyle name="Normal 2 21 14" xfId="22342"/>
    <cellStyle name="Normal 2 21 15" xfId="24094"/>
    <cellStyle name="Normal 2 21 16" xfId="25846"/>
    <cellStyle name="Normal 2 21 17" xfId="27598"/>
    <cellStyle name="Normal 2 21 18" xfId="29351"/>
    <cellStyle name="Normal 2 21 19" xfId="31103"/>
    <cellStyle name="Normal 2 21 2" xfId="1026"/>
    <cellStyle name="Normal 2 21 2 10" xfId="17961"/>
    <cellStyle name="Normal 2 21 2 11" xfId="19713"/>
    <cellStyle name="Normal 2 21 2 12" xfId="21466"/>
    <cellStyle name="Normal 2 21 2 13" xfId="23218"/>
    <cellStyle name="Normal 2 21 2 14" xfId="24970"/>
    <cellStyle name="Normal 2 21 2 15" xfId="26722"/>
    <cellStyle name="Normal 2 21 2 16" xfId="28474"/>
    <cellStyle name="Normal 2 21 2 17" xfId="30227"/>
    <cellStyle name="Normal 2 21 2 18" xfId="31979"/>
    <cellStyle name="Normal 2 21 2 19" xfId="33732"/>
    <cellStyle name="Normal 2 21 2 2" xfId="3943"/>
    <cellStyle name="Normal 2 21 2 20" xfId="36368"/>
    <cellStyle name="Normal 2 21 2 21" xfId="38108"/>
    <cellStyle name="Normal 2 21 2 22" xfId="39861"/>
    <cellStyle name="Normal 2 21 2 23" xfId="41616"/>
    <cellStyle name="Normal 2 21 2 24" xfId="43368"/>
    <cellStyle name="Normal 2 21 2 25" xfId="45986"/>
    <cellStyle name="Normal 2 21 2 26" xfId="47738"/>
    <cellStyle name="Normal 2 21 2 27" xfId="49490"/>
    <cellStyle name="Normal 2 21 2 28" xfId="51242"/>
    <cellStyle name="Normal 2 21 2 29" xfId="52994"/>
    <cellStyle name="Normal 2 21 2 3" xfId="5695"/>
    <cellStyle name="Normal 2 21 2 30" xfId="54746"/>
    <cellStyle name="Normal 2 21 2 31" xfId="56498"/>
    <cellStyle name="Normal 2 21 2 32" xfId="58251"/>
    <cellStyle name="Normal 2 21 2 33" xfId="60003"/>
    <cellStyle name="Normal 2 21 2 34" xfId="61755"/>
    <cellStyle name="Normal 2 21 2 4" xfId="7447"/>
    <cellStyle name="Normal 2 21 2 5" xfId="9199"/>
    <cellStyle name="Normal 2 21 2 6" xfId="10952"/>
    <cellStyle name="Normal 2 21 2 7" xfId="12704"/>
    <cellStyle name="Normal 2 21 2 8" xfId="14456"/>
    <cellStyle name="Normal 2 21 2 9" xfId="16208"/>
    <cellStyle name="Normal 2 21 20" xfId="32856"/>
    <cellStyle name="Normal 2 21 21" xfId="34458"/>
    <cellStyle name="Normal 2 21 22" xfId="35492"/>
    <cellStyle name="Normal 2 21 23" xfId="37079"/>
    <cellStyle name="Normal 2 21 24" xfId="38985"/>
    <cellStyle name="Normal 2 21 25" xfId="40740"/>
    <cellStyle name="Normal 2 21 26" xfId="42492"/>
    <cellStyle name="Normal 2 21 27" xfId="44079"/>
    <cellStyle name="Normal 2 21 28" xfId="45110"/>
    <cellStyle name="Normal 2 21 29" xfId="46862"/>
    <cellStyle name="Normal 2 21 3" xfId="3067"/>
    <cellStyle name="Normal 2 21 30" xfId="48614"/>
    <cellStyle name="Normal 2 21 31" xfId="50366"/>
    <cellStyle name="Normal 2 21 32" xfId="52118"/>
    <cellStyle name="Normal 2 21 33" xfId="53870"/>
    <cellStyle name="Normal 2 21 34" xfId="55622"/>
    <cellStyle name="Normal 2 21 35" xfId="57375"/>
    <cellStyle name="Normal 2 21 36" xfId="59127"/>
    <cellStyle name="Normal 2 21 37" xfId="60879"/>
    <cellStyle name="Normal 2 21 38" xfId="62466"/>
    <cellStyle name="Normal 2 21 39" xfId="63332"/>
    <cellStyle name="Normal 2 21 4" xfId="4819"/>
    <cellStyle name="Normal 2 21 5" xfId="6571"/>
    <cellStyle name="Normal 2 21 6" xfId="8323"/>
    <cellStyle name="Normal 2 21 7" xfId="10076"/>
    <cellStyle name="Normal 2 21 8" xfId="11828"/>
    <cellStyle name="Normal 2 21 9" xfId="13580"/>
    <cellStyle name="Normal 2 22" xfId="1027"/>
    <cellStyle name="Normal 2 22 10" xfId="15768"/>
    <cellStyle name="Normal 2 22 11" xfId="17521"/>
    <cellStyle name="Normal 2 22 12" xfId="19273"/>
    <cellStyle name="Normal 2 22 13" xfId="21026"/>
    <cellStyle name="Normal 2 22 14" xfId="22778"/>
    <cellStyle name="Normal 2 22 15" xfId="24530"/>
    <cellStyle name="Normal 2 22 16" xfId="26282"/>
    <cellStyle name="Normal 2 22 17" xfId="28034"/>
    <cellStyle name="Normal 2 22 18" xfId="29787"/>
    <cellStyle name="Normal 2 22 19" xfId="31539"/>
    <cellStyle name="Normal 2 22 2" xfId="1028"/>
    <cellStyle name="Normal 2 22 2 10" xfId="18397"/>
    <cellStyle name="Normal 2 22 2 11" xfId="20149"/>
    <cellStyle name="Normal 2 22 2 12" xfId="21902"/>
    <cellStyle name="Normal 2 22 2 13" xfId="23654"/>
    <cellStyle name="Normal 2 22 2 14" xfId="25406"/>
    <cellStyle name="Normal 2 22 2 15" xfId="27158"/>
    <cellStyle name="Normal 2 22 2 16" xfId="28910"/>
    <cellStyle name="Normal 2 22 2 17" xfId="30663"/>
    <cellStyle name="Normal 2 22 2 18" xfId="32415"/>
    <cellStyle name="Normal 2 22 2 19" xfId="34168"/>
    <cellStyle name="Normal 2 22 2 2" xfId="4379"/>
    <cellStyle name="Normal 2 22 2 20" xfId="36804"/>
    <cellStyle name="Normal 2 22 2 21" xfId="38544"/>
    <cellStyle name="Normal 2 22 2 22" xfId="40297"/>
    <cellStyle name="Normal 2 22 2 23" xfId="42052"/>
    <cellStyle name="Normal 2 22 2 24" xfId="43804"/>
    <cellStyle name="Normal 2 22 2 25" xfId="46422"/>
    <cellStyle name="Normal 2 22 2 26" xfId="48174"/>
    <cellStyle name="Normal 2 22 2 27" xfId="49926"/>
    <cellStyle name="Normal 2 22 2 28" xfId="51678"/>
    <cellStyle name="Normal 2 22 2 29" xfId="53430"/>
    <cellStyle name="Normal 2 22 2 3" xfId="6131"/>
    <cellStyle name="Normal 2 22 2 30" xfId="55182"/>
    <cellStyle name="Normal 2 22 2 31" xfId="56934"/>
    <cellStyle name="Normal 2 22 2 32" xfId="58687"/>
    <cellStyle name="Normal 2 22 2 33" xfId="60439"/>
    <cellStyle name="Normal 2 22 2 34" xfId="62191"/>
    <cellStyle name="Normal 2 22 2 4" xfId="7883"/>
    <cellStyle name="Normal 2 22 2 5" xfId="9635"/>
    <cellStyle name="Normal 2 22 2 6" xfId="11388"/>
    <cellStyle name="Normal 2 22 2 7" xfId="13140"/>
    <cellStyle name="Normal 2 22 2 8" xfId="14892"/>
    <cellStyle name="Normal 2 22 2 9" xfId="16644"/>
    <cellStyle name="Normal 2 22 20" xfId="33292"/>
    <cellStyle name="Normal 2 22 21" xfId="34459"/>
    <cellStyle name="Normal 2 22 22" xfId="35928"/>
    <cellStyle name="Normal 2 22 23" xfId="37080"/>
    <cellStyle name="Normal 2 22 24" xfId="39421"/>
    <cellStyle name="Normal 2 22 25" xfId="41176"/>
    <cellStyle name="Normal 2 22 26" xfId="42928"/>
    <cellStyle name="Normal 2 22 27" xfId="44080"/>
    <cellStyle name="Normal 2 22 28" xfId="45546"/>
    <cellStyle name="Normal 2 22 29" xfId="47298"/>
    <cellStyle name="Normal 2 22 3" xfId="3503"/>
    <cellStyle name="Normal 2 22 30" xfId="49050"/>
    <cellStyle name="Normal 2 22 31" xfId="50802"/>
    <cellStyle name="Normal 2 22 32" xfId="52554"/>
    <cellStyle name="Normal 2 22 33" xfId="54306"/>
    <cellStyle name="Normal 2 22 34" xfId="56058"/>
    <cellStyle name="Normal 2 22 35" xfId="57811"/>
    <cellStyle name="Normal 2 22 36" xfId="59563"/>
    <cellStyle name="Normal 2 22 37" xfId="61315"/>
    <cellStyle name="Normal 2 22 38" xfId="62467"/>
    <cellStyle name="Normal 2 22 39" xfId="63333"/>
    <cellStyle name="Normal 2 22 4" xfId="5255"/>
    <cellStyle name="Normal 2 22 5" xfId="7007"/>
    <cellStyle name="Normal 2 22 6" xfId="8759"/>
    <cellStyle name="Normal 2 22 7" xfId="10512"/>
    <cellStyle name="Normal 2 22 8" xfId="12264"/>
    <cellStyle name="Normal 2 22 9" xfId="14016"/>
    <cellStyle name="Normal 2 23" xfId="1029"/>
    <cellStyle name="Normal 2 23 10" xfId="15769"/>
    <cellStyle name="Normal 2 23 11" xfId="17522"/>
    <cellStyle name="Normal 2 23 12" xfId="19274"/>
    <cellStyle name="Normal 2 23 13" xfId="21027"/>
    <cellStyle name="Normal 2 23 14" xfId="22779"/>
    <cellStyle name="Normal 2 23 15" xfId="24531"/>
    <cellStyle name="Normal 2 23 16" xfId="26283"/>
    <cellStyle name="Normal 2 23 17" xfId="28035"/>
    <cellStyle name="Normal 2 23 18" xfId="29788"/>
    <cellStyle name="Normal 2 23 19" xfId="31540"/>
    <cellStyle name="Normal 2 23 2" xfId="1030"/>
    <cellStyle name="Normal 2 23 2 10" xfId="18398"/>
    <cellStyle name="Normal 2 23 2 11" xfId="20150"/>
    <cellStyle name="Normal 2 23 2 12" xfId="21903"/>
    <cellStyle name="Normal 2 23 2 13" xfId="23655"/>
    <cellStyle name="Normal 2 23 2 14" xfId="25407"/>
    <cellStyle name="Normal 2 23 2 15" xfId="27159"/>
    <cellStyle name="Normal 2 23 2 16" xfId="28911"/>
    <cellStyle name="Normal 2 23 2 17" xfId="30664"/>
    <cellStyle name="Normal 2 23 2 18" xfId="32416"/>
    <cellStyle name="Normal 2 23 2 19" xfId="34169"/>
    <cellStyle name="Normal 2 23 2 2" xfId="4380"/>
    <cellStyle name="Normal 2 23 2 20" xfId="36805"/>
    <cellStyle name="Normal 2 23 2 21" xfId="38545"/>
    <cellStyle name="Normal 2 23 2 22" xfId="40298"/>
    <cellStyle name="Normal 2 23 2 23" xfId="42053"/>
    <cellStyle name="Normal 2 23 2 24" xfId="43805"/>
    <cellStyle name="Normal 2 23 2 25" xfId="46423"/>
    <cellStyle name="Normal 2 23 2 26" xfId="48175"/>
    <cellStyle name="Normal 2 23 2 27" xfId="49927"/>
    <cellStyle name="Normal 2 23 2 28" xfId="51679"/>
    <cellStyle name="Normal 2 23 2 29" xfId="53431"/>
    <cellStyle name="Normal 2 23 2 3" xfId="6132"/>
    <cellStyle name="Normal 2 23 2 30" xfId="55183"/>
    <cellStyle name="Normal 2 23 2 31" xfId="56935"/>
    <cellStyle name="Normal 2 23 2 32" xfId="58688"/>
    <cellStyle name="Normal 2 23 2 33" xfId="60440"/>
    <cellStyle name="Normal 2 23 2 34" xfId="62192"/>
    <cellStyle name="Normal 2 23 2 4" xfId="7884"/>
    <cellStyle name="Normal 2 23 2 5" xfId="9636"/>
    <cellStyle name="Normal 2 23 2 6" xfId="11389"/>
    <cellStyle name="Normal 2 23 2 7" xfId="13141"/>
    <cellStyle name="Normal 2 23 2 8" xfId="14893"/>
    <cellStyle name="Normal 2 23 2 9" xfId="16645"/>
    <cellStyle name="Normal 2 23 20" xfId="33293"/>
    <cellStyle name="Normal 2 23 21" xfId="34460"/>
    <cellStyle name="Normal 2 23 22" xfId="35929"/>
    <cellStyle name="Normal 2 23 23" xfId="37081"/>
    <cellStyle name="Normal 2 23 24" xfId="39422"/>
    <cellStyle name="Normal 2 23 25" xfId="41177"/>
    <cellStyle name="Normal 2 23 26" xfId="42929"/>
    <cellStyle name="Normal 2 23 27" xfId="44081"/>
    <cellStyle name="Normal 2 23 28" xfId="45547"/>
    <cellStyle name="Normal 2 23 29" xfId="47299"/>
    <cellStyle name="Normal 2 23 3" xfId="3504"/>
    <cellStyle name="Normal 2 23 30" xfId="49051"/>
    <cellStyle name="Normal 2 23 31" xfId="50803"/>
    <cellStyle name="Normal 2 23 32" xfId="52555"/>
    <cellStyle name="Normal 2 23 33" xfId="54307"/>
    <cellStyle name="Normal 2 23 34" xfId="56059"/>
    <cellStyle name="Normal 2 23 35" xfId="57812"/>
    <cellStyle name="Normal 2 23 36" xfId="59564"/>
    <cellStyle name="Normal 2 23 37" xfId="61316"/>
    <cellStyle name="Normal 2 23 38" xfId="62468"/>
    <cellStyle name="Normal 2 23 39" xfId="63334"/>
    <cellStyle name="Normal 2 23 4" xfId="5256"/>
    <cellStyle name="Normal 2 23 5" xfId="7008"/>
    <cellStyle name="Normal 2 23 6" xfId="8760"/>
    <cellStyle name="Normal 2 23 7" xfId="10513"/>
    <cellStyle name="Normal 2 23 8" xfId="12265"/>
    <cellStyle name="Normal 2 23 9" xfId="14017"/>
    <cellStyle name="Normal 2 24" xfId="1031"/>
    <cellStyle name="Normal 2 24 10" xfId="15770"/>
    <cellStyle name="Normal 2 24 11" xfId="17523"/>
    <cellStyle name="Normal 2 24 12" xfId="19275"/>
    <cellStyle name="Normal 2 24 13" xfId="21028"/>
    <cellStyle name="Normal 2 24 14" xfId="22780"/>
    <cellStyle name="Normal 2 24 15" xfId="24532"/>
    <cellStyle name="Normal 2 24 16" xfId="26284"/>
    <cellStyle name="Normal 2 24 17" xfId="28036"/>
    <cellStyle name="Normal 2 24 18" xfId="29789"/>
    <cellStyle name="Normal 2 24 19" xfId="31541"/>
    <cellStyle name="Normal 2 24 2" xfId="1032"/>
    <cellStyle name="Normal 2 24 2 10" xfId="18399"/>
    <cellStyle name="Normal 2 24 2 11" xfId="20151"/>
    <cellStyle name="Normal 2 24 2 12" xfId="21904"/>
    <cellStyle name="Normal 2 24 2 13" xfId="23656"/>
    <cellStyle name="Normal 2 24 2 14" xfId="25408"/>
    <cellStyle name="Normal 2 24 2 15" xfId="27160"/>
    <cellStyle name="Normal 2 24 2 16" xfId="28912"/>
    <cellStyle name="Normal 2 24 2 17" xfId="30665"/>
    <cellStyle name="Normal 2 24 2 18" xfId="32417"/>
    <cellStyle name="Normal 2 24 2 19" xfId="34170"/>
    <cellStyle name="Normal 2 24 2 2" xfId="4381"/>
    <cellStyle name="Normal 2 24 2 20" xfId="36806"/>
    <cellStyle name="Normal 2 24 2 21" xfId="38546"/>
    <cellStyle name="Normal 2 24 2 22" xfId="40299"/>
    <cellStyle name="Normal 2 24 2 23" xfId="42054"/>
    <cellStyle name="Normal 2 24 2 24" xfId="43806"/>
    <cellStyle name="Normal 2 24 2 25" xfId="46424"/>
    <cellStyle name="Normal 2 24 2 26" xfId="48176"/>
    <cellStyle name="Normal 2 24 2 27" xfId="49928"/>
    <cellStyle name="Normal 2 24 2 28" xfId="51680"/>
    <cellStyle name="Normal 2 24 2 29" xfId="53432"/>
    <cellStyle name="Normal 2 24 2 3" xfId="6133"/>
    <cellStyle name="Normal 2 24 2 30" xfId="55184"/>
    <cellStyle name="Normal 2 24 2 31" xfId="56936"/>
    <cellStyle name="Normal 2 24 2 32" xfId="58689"/>
    <cellStyle name="Normal 2 24 2 33" xfId="60441"/>
    <cellStyle name="Normal 2 24 2 34" xfId="62193"/>
    <cellStyle name="Normal 2 24 2 4" xfId="7885"/>
    <cellStyle name="Normal 2 24 2 5" xfId="9637"/>
    <cellStyle name="Normal 2 24 2 6" xfId="11390"/>
    <cellStyle name="Normal 2 24 2 7" xfId="13142"/>
    <cellStyle name="Normal 2 24 2 8" xfId="14894"/>
    <cellStyle name="Normal 2 24 2 9" xfId="16646"/>
    <cellStyle name="Normal 2 24 20" xfId="33294"/>
    <cellStyle name="Normal 2 24 21" xfId="35930"/>
    <cellStyle name="Normal 2 24 22" xfId="37743"/>
    <cellStyle name="Normal 2 24 23" xfId="39423"/>
    <cellStyle name="Normal 2 24 24" xfId="41178"/>
    <cellStyle name="Normal 2 24 25" xfId="42930"/>
    <cellStyle name="Normal 2 24 26" xfId="45548"/>
    <cellStyle name="Normal 2 24 27" xfId="47300"/>
    <cellStyle name="Normal 2 24 28" xfId="49052"/>
    <cellStyle name="Normal 2 24 29" xfId="50804"/>
    <cellStyle name="Normal 2 24 3" xfId="3505"/>
    <cellStyle name="Normal 2 24 30" xfId="52556"/>
    <cellStyle name="Normal 2 24 31" xfId="54308"/>
    <cellStyle name="Normal 2 24 32" xfId="56060"/>
    <cellStyle name="Normal 2 24 33" xfId="57813"/>
    <cellStyle name="Normal 2 24 34" xfId="59565"/>
    <cellStyle name="Normal 2 24 35" xfId="61317"/>
    <cellStyle name="Normal 2 24 4" xfId="5257"/>
    <cellStyle name="Normal 2 24 5" xfId="7009"/>
    <cellStyle name="Normal 2 24 6" xfId="8761"/>
    <cellStyle name="Normal 2 24 7" xfId="10514"/>
    <cellStyle name="Normal 2 24 8" xfId="12266"/>
    <cellStyle name="Normal 2 24 9" xfId="14018"/>
    <cellStyle name="Normal 2 25" xfId="1033"/>
    <cellStyle name="Normal 2 25 10" xfId="15771"/>
    <cellStyle name="Normal 2 25 11" xfId="17524"/>
    <cellStyle name="Normal 2 25 12" xfId="19276"/>
    <cellStyle name="Normal 2 25 13" xfId="21029"/>
    <cellStyle name="Normal 2 25 14" xfId="22781"/>
    <cellStyle name="Normal 2 25 15" xfId="24533"/>
    <cellStyle name="Normal 2 25 16" xfId="26285"/>
    <cellStyle name="Normal 2 25 17" xfId="28037"/>
    <cellStyle name="Normal 2 25 18" xfId="29790"/>
    <cellStyle name="Normal 2 25 19" xfId="31542"/>
    <cellStyle name="Normal 2 25 2" xfId="1034"/>
    <cellStyle name="Normal 2 25 2 10" xfId="18400"/>
    <cellStyle name="Normal 2 25 2 11" xfId="20152"/>
    <cellStyle name="Normal 2 25 2 12" xfId="21905"/>
    <cellStyle name="Normal 2 25 2 13" xfId="23657"/>
    <cellStyle name="Normal 2 25 2 14" xfId="25409"/>
    <cellStyle name="Normal 2 25 2 15" xfId="27161"/>
    <cellStyle name="Normal 2 25 2 16" xfId="28913"/>
    <cellStyle name="Normal 2 25 2 17" xfId="30666"/>
    <cellStyle name="Normal 2 25 2 18" xfId="32418"/>
    <cellStyle name="Normal 2 25 2 19" xfId="34171"/>
    <cellStyle name="Normal 2 25 2 2" xfId="4382"/>
    <cellStyle name="Normal 2 25 2 20" xfId="36807"/>
    <cellStyle name="Normal 2 25 2 21" xfId="38547"/>
    <cellStyle name="Normal 2 25 2 22" xfId="40300"/>
    <cellStyle name="Normal 2 25 2 23" xfId="42055"/>
    <cellStyle name="Normal 2 25 2 24" xfId="43807"/>
    <cellStyle name="Normal 2 25 2 25" xfId="46425"/>
    <cellStyle name="Normal 2 25 2 26" xfId="48177"/>
    <cellStyle name="Normal 2 25 2 27" xfId="49929"/>
    <cellStyle name="Normal 2 25 2 28" xfId="51681"/>
    <cellStyle name="Normal 2 25 2 29" xfId="53433"/>
    <cellStyle name="Normal 2 25 2 3" xfId="6134"/>
    <cellStyle name="Normal 2 25 2 30" xfId="55185"/>
    <cellStyle name="Normal 2 25 2 31" xfId="56937"/>
    <cellStyle name="Normal 2 25 2 32" xfId="58690"/>
    <cellStyle name="Normal 2 25 2 33" xfId="60442"/>
    <cellStyle name="Normal 2 25 2 34" xfId="62194"/>
    <cellStyle name="Normal 2 25 2 4" xfId="7886"/>
    <cellStyle name="Normal 2 25 2 5" xfId="9638"/>
    <cellStyle name="Normal 2 25 2 6" xfId="11391"/>
    <cellStyle name="Normal 2 25 2 7" xfId="13143"/>
    <cellStyle name="Normal 2 25 2 8" xfId="14895"/>
    <cellStyle name="Normal 2 25 2 9" xfId="16647"/>
    <cellStyle name="Normal 2 25 20" xfId="33295"/>
    <cellStyle name="Normal 2 25 21" xfId="35931"/>
    <cellStyle name="Normal 2 25 22" xfId="37681"/>
    <cellStyle name="Normal 2 25 23" xfId="39424"/>
    <cellStyle name="Normal 2 25 24" xfId="41179"/>
    <cellStyle name="Normal 2 25 25" xfId="42931"/>
    <cellStyle name="Normal 2 25 26" xfId="45549"/>
    <cellStyle name="Normal 2 25 27" xfId="47301"/>
    <cellStyle name="Normal 2 25 28" xfId="49053"/>
    <cellStyle name="Normal 2 25 29" xfId="50805"/>
    <cellStyle name="Normal 2 25 3" xfId="3506"/>
    <cellStyle name="Normal 2 25 30" xfId="52557"/>
    <cellStyle name="Normal 2 25 31" xfId="54309"/>
    <cellStyle name="Normal 2 25 32" xfId="56061"/>
    <cellStyle name="Normal 2 25 33" xfId="57814"/>
    <cellStyle name="Normal 2 25 34" xfId="59566"/>
    <cellStyle name="Normal 2 25 35" xfId="61318"/>
    <cellStyle name="Normal 2 25 4" xfId="5258"/>
    <cellStyle name="Normal 2 25 5" xfId="7010"/>
    <cellStyle name="Normal 2 25 6" xfId="8762"/>
    <cellStyle name="Normal 2 25 7" xfId="10515"/>
    <cellStyle name="Normal 2 25 8" xfId="12267"/>
    <cellStyle name="Normal 2 25 9" xfId="14019"/>
    <cellStyle name="Normal 2 26" xfId="1035"/>
    <cellStyle name="Normal 2 26 10" xfId="17525"/>
    <cellStyle name="Normal 2 26 11" xfId="19277"/>
    <cellStyle name="Normal 2 26 12" xfId="21030"/>
    <cellStyle name="Normal 2 26 13" xfId="22782"/>
    <cellStyle name="Normal 2 26 14" xfId="24534"/>
    <cellStyle name="Normal 2 26 15" xfId="26286"/>
    <cellStyle name="Normal 2 26 16" xfId="28038"/>
    <cellStyle name="Normal 2 26 17" xfId="29791"/>
    <cellStyle name="Normal 2 26 18" xfId="31543"/>
    <cellStyle name="Normal 2 26 19" xfId="33296"/>
    <cellStyle name="Normal 2 26 2" xfId="3507"/>
    <cellStyle name="Normal 2 26 20" xfId="35932"/>
    <cellStyle name="Normal 2 26 21" xfId="37619"/>
    <cellStyle name="Normal 2 26 22" xfId="39425"/>
    <cellStyle name="Normal 2 26 23" xfId="41180"/>
    <cellStyle name="Normal 2 26 24" xfId="42932"/>
    <cellStyle name="Normal 2 26 25" xfId="45550"/>
    <cellStyle name="Normal 2 26 26" xfId="47302"/>
    <cellStyle name="Normal 2 26 27" xfId="49054"/>
    <cellStyle name="Normal 2 26 28" xfId="50806"/>
    <cellStyle name="Normal 2 26 29" xfId="52558"/>
    <cellStyle name="Normal 2 26 3" xfId="5259"/>
    <cellStyle name="Normal 2 26 30" xfId="54310"/>
    <cellStyle name="Normal 2 26 31" xfId="56062"/>
    <cellStyle name="Normal 2 26 32" xfId="57815"/>
    <cellStyle name="Normal 2 26 33" xfId="59567"/>
    <cellStyle name="Normal 2 26 34" xfId="61319"/>
    <cellStyle name="Normal 2 26 4" xfId="7011"/>
    <cellStyle name="Normal 2 26 5" xfId="8763"/>
    <cellStyle name="Normal 2 26 6" xfId="10516"/>
    <cellStyle name="Normal 2 26 7" xfId="12268"/>
    <cellStyle name="Normal 2 26 8" xfId="14020"/>
    <cellStyle name="Normal 2 26 9" xfId="15772"/>
    <cellStyle name="Normal 2 27" xfId="2456"/>
    <cellStyle name="Normal 2 28" xfId="4383"/>
    <cellStyle name="Normal 2 29" xfId="6135"/>
    <cellStyle name="Normal 2 3" xfId="1036"/>
    <cellStyle name="Normal 2 3 2" xfId="1037"/>
    <cellStyle name="Normal 2 3 3" xfId="1038"/>
    <cellStyle name="Normal 2 3 4" xfId="2466"/>
    <cellStyle name="Normal 2 30" xfId="7887"/>
    <cellStyle name="Normal 2 31" xfId="9640"/>
    <cellStyle name="Normal 2 32" xfId="11392"/>
    <cellStyle name="Normal 2 33" xfId="13144"/>
    <cellStyle name="Normal 2 34" xfId="14896"/>
    <cellStyle name="Normal 2 35" xfId="16649"/>
    <cellStyle name="Normal 2 36" xfId="18401"/>
    <cellStyle name="Normal 2 37" xfId="20154"/>
    <cellStyle name="Normal 2 38" xfId="21906"/>
    <cellStyle name="Normal 2 39" xfId="23658"/>
    <cellStyle name="Normal 2 4" xfId="1039"/>
    <cellStyle name="Normal 2 4 2" xfId="1040"/>
    <cellStyle name="Normal 2 4 3" xfId="1041"/>
    <cellStyle name="Normal 2 4 4" xfId="2468"/>
    <cellStyle name="Normal 2 40" xfId="25410"/>
    <cellStyle name="Normal 2 41" xfId="27162"/>
    <cellStyle name="Normal 2 42" xfId="28915"/>
    <cellStyle name="Normal 2 43" xfId="30667"/>
    <cellStyle name="Normal 2 44" xfId="32420"/>
    <cellStyle name="Normal 2 45" xfId="35056"/>
    <cellStyle name="Normal 2 46" xfId="38548"/>
    <cellStyle name="Normal 2 47" xfId="40304"/>
    <cellStyle name="Normal 2 48" xfId="42056"/>
    <cellStyle name="Normal 2 49" xfId="44674"/>
    <cellStyle name="Normal 2 5" xfId="1042"/>
    <cellStyle name="Normal 2 5 10" xfId="4405"/>
    <cellStyle name="Normal 2 5 11" xfId="6157"/>
    <cellStyle name="Normal 2 5 12" xfId="7909"/>
    <cellStyle name="Normal 2 5 13" xfId="9662"/>
    <cellStyle name="Normal 2 5 14" xfId="11414"/>
    <cellStyle name="Normal 2 5 15" xfId="13166"/>
    <cellStyle name="Normal 2 5 16" xfId="14918"/>
    <cellStyle name="Normal 2 5 17" xfId="16671"/>
    <cellStyle name="Normal 2 5 18" xfId="18423"/>
    <cellStyle name="Normal 2 5 19" xfId="20176"/>
    <cellStyle name="Normal 2 5 2" xfId="1043"/>
    <cellStyle name="Normal 2 5 20" xfId="21928"/>
    <cellStyle name="Normal 2 5 21" xfId="23680"/>
    <cellStyle name="Normal 2 5 22" xfId="25432"/>
    <cellStyle name="Normal 2 5 23" xfId="27184"/>
    <cellStyle name="Normal 2 5 24" xfId="28937"/>
    <cellStyle name="Normal 2 5 25" xfId="30689"/>
    <cellStyle name="Normal 2 5 26" xfId="32442"/>
    <cellStyle name="Normal 2 5 27" xfId="34461"/>
    <cellStyle name="Normal 2 5 28" xfId="35078"/>
    <cellStyle name="Normal 2 5 29" xfId="37082"/>
    <cellStyle name="Normal 2 5 3" xfId="1044"/>
    <cellStyle name="Normal 2 5 30" xfId="38571"/>
    <cellStyle name="Normal 2 5 31" xfId="40326"/>
    <cellStyle name="Normal 2 5 32" xfId="42078"/>
    <cellStyle name="Normal 2 5 33" xfId="44082"/>
    <cellStyle name="Normal 2 5 34" xfId="44696"/>
    <cellStyle name="Normal 2 5 35" xfId="46448"/>
    <cellStyle name="Normal 2 5 36" xfId="48200"/>
    <cellStyle name="Normal 2 5 37" xfId="49952"/>
    <cellStyle name="Normal 2 5 38" xfId="51704"/>
    <cellStyle name="Normal 2 5 39" xfId="53456"/>
    <cellStyle name="Normal 2 5 4" xfId="1045"/>
    <cellStyle name="Normal 2 5 4 10" xfId="9717"/>
    <cellStyle name="Normal 2 5 4 11" xfId="11469"/>
    <cellStyle name="Normal 2 5 4 12" xfId="13221"/>
    <cellStyle name="Normal 2 5 4 13" xfId="14973"/>
    <cellStyle name="Normal 2 5 4 14" xfId="16726"/>
    <cellStyle name="Normal 2 5 4 15" xfId="18478"/>
    <cellStyle name="Normal 2 5 4 16" xfId="20231"/>
    <cellStyle name="Normal 2 5 4 17" xfId="21983"/>
    <cellStyle name="Normal 2 5 4 18" xfId="23735"/>
    <cellStyle name="Normal 2 5 4 19" xfId="25487"/>
    <cellStyle name="Normal 2 5 4 2" xfId="1046"/>
    <cellStyle name="Normal 2 5 4 2 10" xfId="11577"/>
    <cellStyle name="Normal 2 5 4 2 11" xfId="13329"/>
    <cellStyle name="Normal 2 5 4 2 12" xfId="15081"/>
    <cellStyle name="Normal 2 5 4 2 13" xfId="16834"/>
    <cellStyle name="Normal 2 5 4 2 14" xfId="18586"/>
    <cellStyle name="Normal 2 5 4 2 15" xfId="20339"/>
    <cellStyle name="Normal 2 5 4 2 16" xfId="22091"/>
    <cellStyle name="Normal 2 5 4 2 17" xfId="23843"/>
    <cellStyle name="Normal 2 5 4 2 18" xfId="25595"/>
    <cellStyle name="Normal 2 5 4 2 19" xfId="27347"/>
    <cellStyle name="Normal 2 5 4 2 2" xfId="1047"/>
    <cellStyle name="Normal 2 5 4 2 2 10" xfId="13430"/>
    <cellStyle name="Normal 2 5 4 2 2 11" xfId="15182"/>
    <cellStyle name="Normal 2 5 4 2 2 12" xfId="16935"/>
    <cellStyle name="Normal 2 5 4 2 2 13" xfId="18687"/>
    <cellStyle name="Normal 2 5 4 2 2 14" xfId="20440"/>
    <cellStyle name="Normal 2 5 4 2 2 15" xfId="22192"/>
    <cellStyle name="Normal 2 5 4 2 2 16" xfId="23944"/>
    <cellStyle name="Normal 2 5 4 2 2 17" xfId="25696"/>
    <cellStyle name="Normal 2 5 4 2 2 18" xfId="27448"/>
    <cellStyle name="Normal 2 5 4 2 2 19" xfId="29201"/>
    <cellStyle name="Normal 2 5 4 2 2 2" xfId="1048"/>
    <cellStyle name="Normal 2 5 4 2 2 2 10" xfId="15618"/>
    <cellStyle name="Normal 2 5 4 2 2 2 11" xfId="17371"/>
    <cellStyle name="Normal 2 5 4 2 2 2 12" xfId="19123"/>
    <cellStyle name="Normal 2 5 4 2 2 2 13" xfId="20876"/>
    <cellStyle name="Normal 2 5 4 2 2 2 14" xfId="22628"/>
    <cellStyle name="Normal 2 5 4 2 2 2 15" xfId="24380"/>
    <cellStyle name="Normal 2 5 4 2 2 2 16" xfId="26132"/>
    <cellStyle name="Normal 2 5 4 2 2 2 17" xfId="27884"/>
    <cellStyle name="Normal 2 5 4 2 2 2 18" xfId="29637"/>
    <cellStyle name="Normal 2 5 4 2 2 2 19" xfId="31389"/>
    <cellStyle name="Normal 2 5 4 2 2 2 2" xfId="1049"/>
    <cellStyle name="Normal 2 5 4 2 2 2 2 10" xfId="18247"/>
    <cellStyle name="Normal 2 5 4 2 2 2 2 11" xfId="19999"/>
    <cellStyle name="Normal 2 5 4 2 2 2 2 12" xfId="21752"/>
    <cellStyle name="Normal 2 5 4 2 2 2 2 13" xfId="23504"/>
    <cellStyle name="Normal 2 5 4 2 2 2 2 14" xfId="25256"/>
    <cellStyle name="Normal 2 5 4 2 2 2 2 15" xfId="27008"/>
    <cellStyle name="Normal 2 5 4 2 2 2 2 16" xfId="28760"/>
    <cellStyle name="Normal 2 5 4 2 2 2 2 17" xfId="30513"/>
    <cellStyle name="Normal 2 5 4 2 2 2 2 18" xfId="32265"/>
    <cellStyle name="Normal 2 5 4 2 2 2 2 19" xfId="34018"/>
    <cellStyle name="Normal 2 5 4 2 2 2 2 2" xfId="4229"/>
    <cellStyle name="Normal 2 5 4 2 2 2 2 20" xfId="36654"/>
    <cellStyle name="Normal 2 5 4 2 2 2 2 21" xfId="38394"/>
    <cellStyle name="Normal 2 5 4 2 2 2 2 22" xfId="40147"/>
    <cellStyle name="Normal 2 5 4 2 2 2 2 23" xfId="41902"/>
    <cellStyle name="Normal 2 5 4 2 2 2 2 24" xfId="43654"/>
    <cellStyle name="Normal 2 5 4 2 2 2 2 25" xfId="46272"/>
    <cellStyle name="Normal 2 5 4 2 2 2 2 26" xfId="48024"/>
    <cellStyle name="Normal 2 5 4 2 2 2 2 27" xfId="49776"/>
    <cellStyle name="Normal 2 5 4 2 2 2 2 28" xfId="51528"/>
    <cellStyle name="Normal 2 5 4 2 2 2 2 29" xfId="53280"/>
    <cellStyle name="Normal 2 5 4 2 2 2 2 3" xfId="5981"/>
    <cellStyle name="Normal 2 5 4 2 2 2 2 30" xfId="55032"/>
    <cellStyle name="Normal 2 5 4 2 2 2 2 31" xfId="56784"/>
    <cellStyle name="Normal 2 5 4 2 2 2 2 32" xfId="58537"/>
    <cellStyle name="Normal 2 5 4 2 2 2 2 33" xfId="60289"/>
    <cellStyle name="Normal 2 5 4 2 2 2 2 34" xfId="62041"/>
    <cellStyle name="Normal 2 5 4 2 2 2 2 4" xfId="7733"/>
    <cellStyle name="Normal 2 5 4 2 2 2 2 5" xfId="9485"/>
    <cellStyle name="Normal 2 5 4 2 2 2 2 6" xfId="11238"/>
    <cellStyle name="Normal 2 5 4 2 2 2 2 7" xfId="12990"/>
    <cellStyle name="Normal 2 5 4 2 2 2 2 8" xfId="14742"/>
    <cellStyle name="Normal 2 5 4 2 2 2 2 9" xfId="16494"/>
    <cellStyle name="Normal 2 5 4 2 2 2 20" xfId="33142"/>
    <cellStyle name="Normal 2 5 4 2 2 2 21" xfId="34465"/>
    <cellStyle name="Normal 2 5 4 2 2 2 22" xfId="35778"/>
    <cellStyle name="Normal 2 5 4 2 2 2 23" xfId="37086"/>
    <cellStyle name="Normal 2 5 4 2 2 2 24" xfId="39271"/>
    <cellStyle name="Normal 2 5 4 2 2 2 25" xfId="41026"/>
    <cellStyle name="Normal 2 5 4 2 2 2 26" xfId="42778"/>
    <cellStyle name="Normal 2 5 4 2 2 2 27" xfId="44086"/>
    <cellStyle name="Normal 2 5 4 2 2 2 28" xfId="45396"/>
    <cellStyle name="Normal 2 5 4 2 2 2 29" xfId="47148"/>
    <cellStyle name="Normal 2 5 4 2 2 2 3" xfId="3353"/>
    <cellStyle name="Normal 2 5 4 2 2 2 30" xfId="48900"/>
    <cellStyle name="Normal 2 5 4 2 2 2 31" xfId="50652"/>
    <cellStyle name="Normal 2 5 4 2 2 2 32" xfId="52404"/>
    <cellStyle name="Normal 2 5 4 2 2 2 33" xfId="54156"/>
    <cellStyle name="Normal 2 5 4 2 2 2 34" xfId="55908"/>
    <cellStyle name="Normal 2 5 4 2 2 2 35" xfId="57661"/>
    <cellStyle name="Normal 2 5 4 2 2 2 36" xfId="59413"/>
    <cellStyle name="Normal 2 5 4 2 2 2 37" xfId="61165"/>
    <cellStyle name="Normal 2 5 4 2 2 2 38" xfId="62473"/>
    <cellStyle name="Normal 2 5 4 2 2 2 39" xfId="63339"/>
    <cellStyle name="Normal 2 5 4 2 2 2 4" xfId="5105"/>
    <cellStyle name="Normal 2 5 4 2 2 2 5" xfId="6857"/>
    <cellStyle name="Normal 2 5 4 2 2 2 6" xfId="8609"/>
    <cellStyle name="Normal 2 5 4 2 2 2 7" xfId="10362"/>
    <cellStyle name="Normal 2 5 4 2 2 2 8" xfId="12114"/>
    <cellStyle name="Normal 2 5 4 2 2 2 9" xfId="13866"/>
    <cellStyle name="Normal 2 5 4 2 2 20" xfId="30953"/>
    <cellStyle name="Normal 2 5 4 2 2 21" xfId="32706"/>
    <cellStyle name="Normal 2 5 4 2 2 22" xfId="34464"/>
    <cellStyle name="Normal 2 5 4 2 2 23" xfId="35342"/>
    <cellStyle name="Normal 2 5 4 2 2 24" xfId="37085"/>
    <cellStyle name="Normal 2 5 4 2 2 25" xfId="38835"/>
    <cellStyle name="Normal 2 5 4 2 2 26" xfId="40590"/>
    <cellStyle name="Normal 2 5 4 2 2 27" xfId="42342"/>
    <cellStyle name="Normal 2 5 4 2 2 28" xfId="44085"/>
    <cellStyle name="Normal 2 5 4 2 2 29" xfId="44960"/>
    <cellStyle name="Normal 2 5 4 2 2 3" xfId="1050"/>
    <cellStyle name="Normal 2 5 4 2 2 3 10" xfId="17811"/>
    <cellStyle name="Normal 2 5 4 2 2 3 11" xfId="19563"/>
    <cellStyle name="Normal 2 5 4 2 2 3 12" xfId="21316"/>
    <cellStyle name="Normal 2 5 4 2 2 3 13" xfId="23068"/>
    <cellStyle name="Normal 2 5 4 2 2 3 14" xfId="24820"/>
    <cellStyle name="Normal 2 5 4 2 2 3 15" xfId="26572"/>
    <cellStyle name="Normal 2 5 4 2 2 3 16" xfId="28324"/>
    <cellStyle name="Normal 2 5 4 2 2 3 17" xfId="30077"/>
    <cellStyle name="Normal 2 5 4 2 2 3 18" xfId="31829"/>
    <cellStyle name="Normal 2 5 4 2 2 3 19" xfId="33582"/>
    <cellStyle name="Normal 2 5 4 2 2 3 2" xfId="3793"/>
    <cellStyle name="Normal 2 5 4 2 2 3 20" xfId="36218"/>
    <cellStyle name="Normal 2 5 4 2 2 3 21" xfId="37958"/>
    <cellStyle name="Normal 2 5 4 2 2 3 22" xfId="39711"/>
    <cellStyle name="Normal 2 5 4 2 2 3 23" xfId="41466"/>
    <cellStyle name="Normal 2 5 4 2 2 3 24" xfId="43218"/>
    <cellStyle name="Normal 2 5 4 2 2 3 25" xfId="45836"/>
    <cellStyle name="Normal 2 5 4 2 2 3 26" xfId="47588"/>
    <cellStyle name="Normal 2 5 4 2 2 3 27" xfId="49340"/>
    <cellStyle name="Normal 2 5 4 2 2 3 28" xfId="51092"/>
    <cellStyle name="Normal 2 5 4 2 2 3 29" xfId="52844"/>
    <cellStyle name="Normal 2 5 4 2 2 3 3" xfId="5545"/>
    <cellStyle name="Normal 2 5 4 2 2 3 30" xfId="54596"/>
    <cellStyle name="Normal 2 5 4 2 2 3 31" xfId="56348"/>
    <cellStyle name="Normal 2 5 4 2 2 3 32" xfId="58101"/>
    <cellStyle name="Normal 2 5 4 2 2 3 33" xfId="59853"/>
    <cellStyle name="Normal 2 5 4 2 2 3 34" xfId="61605"/>
    <cellStyle name="Normal 2 5 4 2 2 3 4" xfId="7297"/>
    <cellStyle name="Normal 2 5 4 2 2 3 5" xfId="9049"/>
    <cellStyle name="Normal 2 5 4 2 2 3 6" xfId="10802"/>
    <cellStyle name="Normal 2 5 4 2 2 3 7" xfId="12554"/>
    <cellStyle name="Normal 2 5 4 2 2 3 8" xfId="14306"/>
    <cellStyle name="Normal 2 5 4 2 2 3 9" xfId="16058"/>
    <cellStyle name="Normal 2 5 4 2 2 30" xfId="46712"/>
    <cellStyle name="Normal 2 5 4 2 2 31" xfId="48464"/>
    <cellStyle name="Normal 2 5 4 2 2 32" xfId="50216"/>
    <cellStyle name="Normal 2 5 4 2 2 33" xfId="51968"/>
    <cellStyle name="Normal 2 5 4 2 2 34" xfId="53720"/>
    <cellStyle name="Normal 2 5 4 2 2 35" xfId="55472"/>
    <cellStyle name="Normal 2 5 4 2 2 36" xfId="57225"/>
    <cellStyle name="Normal 2 5 4 2 2 37" xfId="58977"/>
    <cellStyle name="Normal 2 5 4 2 2 38" xfId="60729"/>
    <cellStyle name="Normal 2 5 4 2 2 39" xfId="62472"/>
    <cellStyle name="Normal 2 5 4 2 2 4" xfId="2917"/>
    <cellStyle name="Normal 2 5 4 2 2 40" xfId="63338"/>
    <cellStyle name="Normal 2 5 4 2 2 5" xfId="4669"/>
    <cellStyle name="Normal 2 5 4 2 2 6" xfId="6421"/>
    <cellStyle name="Normal 2 5 4 2 2 7" xfId="8173"/>
    <cellStyle name="Normal 2 5 4 2 2 8" xfId="9926"/>
    <cellStyle name="Normal 2 5 4 2 2 9" xfId="11678"/>
    <cellStyle name="Normal 2 5 4 2 20" xfId="29100"/>
    <cellStyle name="Normal 2 5 4 2 21" xfId="30852"/>
    <cellStyle name="Normal 2 5 4 2 22" xfId="32605"/>
    <cellStyle name="Normal 2 5 4 2 23" xfId="34463"/>
    <cellStyle name="Normal 2 5 4 2 24" xfId="35241"/>
    <cellStyle name="Normal 2 5 4 2 25" xfId="37084"/>
    <cellStyle name="Normal 2 5 4 2 26" xfId="38734"/>
    <cellStyle name="Normal 2 5 4 2 27" xfId="40489"/>
    <cellStyle name="Normal 2 5 4 2 28" xfId="42241"/>
    <cellStyle name="Normal 2 5 4 2 29" xfId="44084"/>
    <cellStyle name="Normal 2 5 4 2 3" xfId="1051"/>
    <cellStyle name="Normal 2 5 4 2 3 10" xfId="15517"/>
    <cellStyle name="Normal 2 5 4 2 3 11" xfId="17270"/>
    <cellStyle name="Normal 2 5 4 2 3 12" xfId="19022"/>
    <cellStyle name="Normal 2 5 4 2 3 13" xfId="20775"/>
    <cellStyle name="Normal 2 5 4 2 3 14" xfId="22527"/>
    <cellStyle name="Normal 2 5 4 2 3 15" xfId="24279"/>
    <cellStyle name="Normal 2 5 4 2 3 16" xfId="26031"/>
    <cellStyle name="Normal 2 5 4 2 3 17" xfId="27783"/>
    <cellStyle name="Normal 2 5 4 2 3 18" xfId="29536"/>
    <cellStyle name="Normal 2 5 4 2 3 19" xfId="31288"/>
    <cellStyle name="Normal 2 5 4 2 3 2" xfId="1052"/>
    <cellStyle name="Normal 2 5 4 2 3 2 10" xfId="18146"/>
    <cellStyle name="Normal 2 5 4 2 3 2 11" xfId="19898"/>
    <cellStyle name="Normal 2 5 4 2 3 2 12" xfId="21651"/>
    <cellStyle name="Normal 2 5 4 2 3 2 13" xfId="23403"/>
    <cellStyle name="Normal 2 5 4 2 3 2 14" xfId="25155"/>
    <cellStyle name="Normal 2 5 4 2 3 2 15" xfId="26907"/>
    <cellStyle name="Normal 2 5 4 2 3 2 16" xfId="28659"/>
    <cellStyle name="Normal 2 5 4 2 3 2 17" xfId="30412"/>
    <cellStyle name="Normal 2 5 4 2 3 2 18" xfId="32164"/>
    <cellStyle name="Normal 2 5 4 2 3 2 19" xfId="33917"/>
    <cellStyle name="Normal 2 5 4 2 3 2 2" xfId="4128"/>
    <cellStyle name="Normal 2 5 4 2 3 2 20" xfId="36553"/>
    <cellStyle name="Normal 2 5 4 2 3 2 21" xfId="38293"/>
    <cellStyle name="Normal 2 5 4 2 3 2 22" xfId="40046"/>
    <cellStyle name="Normal 2 5 4 2 3 2 23" xfId="41801"/>
    <cellStyle name="Normal 2 5 4 2 3 2 24" xfId="43553"/>
    <cellStyle name="Normal 2 5 4 2 3 2 25" xfId="46171"/>
    <cellStyle name="Normal 2 5 4 2 3 2 26" xfId="47923"/>
    <cellStyle name="Normal 2 5 4 2 3 2 27" xfId="49675"/>
    <cellStyle name="Normal 2 5 4 2 3 2 28" xfId="51427"/>
    <cellStyle name="Normal 2 5 4 2 3 2 29" xfId="53179"/>
    <cellStyle name="Normal 2 5 4 2 3 2 3" xfId="5880"/>
    <cellStyle name="Normal 2 5 4 2 3 2 30" xfId="54931"/>
    <cellStyle name="Normal 2 5 4 2 3 2 31" xfId="56683"/>
    <cellStyle name="Normal 2 5 4 2 3 2 32" xfId="58436"/>
    <cellStyle name="Normal 2 5 4 2 3 2 33" xfId="60188"/>
    <cellStyle name="Normal 2 5 4 2 3 2 34" xfId="61940"/>
    <cellStyle name="Normal 2 5 4 2 3 2 4" xfId="7632"/>
    <cellStyle name="Normal 2 5 4 2 3 2 5" xfId="9384"/>
    <cellStyle name="Normal 2 5 4 2 3 2 6" xfId="11137"/>
    <cellStyle name="Normal 2 5 4 2 3 2 7" xfId="12889"/>
    <cellStyle name="Normal 2 5 4 2 3 2 8" xfId="14641"/>
    <cellStyle name="Normal 2 5 4 2 3 2 9" xfId="16393"/>
    <cellStyle name="Normal 2 5 4 2 3 20" xfId="33041"/>
    <cellStyle name="Normal 2 5 4 2 3 21" xfId="34466"/>
    <cellStyle name="Normal 2 5 4 2 3 22" xfId="35677"/>
    <cellStyle name="Normal 2 5 4 2 3 23" xfId="37087"/>
    <cellStyle name="Normal 2 5 4 2 3 24" xfId="39170"/>
    <cellStyle name="Normal 2 5 4 2 3 25" xfId="40925"/>
    <cellStyle name="Normal 2 5 4 2 3 26" xfId="42677"/>
    <cellStyle name="Normal 2 5 4 2 3 27" xfId="44087"/>
    <cellStyle name="Normal 2 5 4 2 3 28" xfId="45295"/>
    <cellStyle name="Normal 2 5 4 2 3 29" xfId="47047"/>
    <cellStyle name="Normal 2 5 4 2 3 3" xfId="3252"/>
    <cellStyle name="Normal 2 5 4 2 3 30" xfId="48799"/>
    <cellStyle name="Normal 2 5 4 2 3 31" xfId="50551"/>
    <cellStyle name="Normal 2 5 4 2 3 32" xfId="52303"/>
    <cellStyle name="Normal 2 5 4 2 3 33" xfId="54055"/>
    <cellStyle name="Normal 2 5 4 2 3 34" xfId="55807"/>
    <cellStyle name="Normal 2 5 4 2 3 35" xfId="57560"/>
    <cellStyle name="Normal 2 5 4 2 3 36" xfId="59312"/>
    <cellStyle name="Normal 2 5 4 2 3 37" xfId="61064"/>
    <cellStyle name="Normal 2 5 4 2 3 38" xfId="62474"/>
    <cellStyle name="Normal 2 5 4 2 3 39" xfId="63340"/>
    <cellStyle name="Normal 2 5 4 2 3 4" xfId="5004"/>
    <cellStyle name="Normal 2 5 4 2 3 5" xfId="6756"/>
    <cellStyle name="Normal 2 5 4 2 3 6" xfId="8508"/>
    <cellStyle name="Normal 2 5 4 2 3 7" xfId="10261"/>
    <cellStyle name="Normal 2 5 4 2 3 8" xfId="12013"/>
    <cellStyle name="Normal 2 5 4 2 3 9" xfId="13765"/>
    <cellStyle name="Normal 2 5 4 2 30" xfId="44859"/>
    <cellStyle name="Normal 2 5 4 2 31" xfId="46611"/>
    <cellStyle name="Normal 2 5 4 2 32" xfId="48363"/>
    <cellStyle name="Normal 2 5 4 2 33" xfId="50115"/>
    <cellStyle name="Normal 2 5 4 2 34" xfId="51867"/>
    <cellStyle name="Normal 2 5 4 2 35" xfId="53619"/>
    <cellStyle name="Normal 2 5 4 2 36" xfId="55371"/>
    <cellStyle name="Normal 2 5 4 2 37" xfId="57124"/>
    <cellStyle name="Normal 2 5 4 2 38" xfId="58876"/>
    <cellStyle name="Normal 2 5 4 2 39" xfId="60628"/>
    <cellStyle name="Normal 2 5 4 2 4" xfId="1053"/>
    <cellStyle name="Normal 2 5 4 2 4 10" xfId="17710"/>
    <cellStyle name="Normal 2 5 4 2 4 11" xfId="19462"/>
    <cellStyle name="Normal 2 5 4 2 4 12" xfId="21215"/>
    <cellStyle name="Normal 2 5 4 2 4 13" xfId="22967"/>
    <cellStyle name="Normal 2 5 4 2 4 14" xfId="24719"/>
    <cellStyle name="Normal 2 5 4 2 4 15" xfId="26471"/>
    <cellStyle name="Normal 2 5 4 2 4 16" xfId="28223"/>
    <cellStyle name="Normal 2 5 4 2 4 17" xfId="29976"/>
    <cellStyle name="Normal 2 5 4 2 4 18" xfId="31728"/>
    <cellStyle name="Normal 2 5 4 2 4 19" xfId="33481"/>
    <cellStyle name="Normal 2 5 4 2 4 2" xfId="3692"/>
    <cellStyle name="Normal 2 5 4 2 4 20" xfId="36117"/>
    <cellStyle name="Normal 2 5 4 2 4 21" xfId="37857"/>
    <cellStyle name="Normal 2 5 4 2 4 22" xfId="39610"/>
    <cellStyle name="Normal 2 5 4 2 4 23" xfId="41365"/>
    <cellStyle name="Normal 2 5 4 2 4 24" xfId="43117"/>
    <cellStyle name="Normal 2 5 4 2 4 25" xfId="45735"/>
    <cellStyle name="Normal 2 5 4 2 4 26" xfId="47487"/>
    <cellStyle name="Normal 2 5 4 2 4 27" xfId="49239"/>
    <cellStyle name="Normal 2 5 4 2 4 28" xfId="50991"/>
    <cellStyle name="Normal 2 5 4 2 4 29" xfId="52743"/>
    <cellStyle name="Normal 2 5 4 2 4 3" xfId="5444"/>
    <cellStyle name="Normal 2 5 4 2 4 30" xfId="54495"/>
    <cellStyle name="Normal 2 5 4 2 4 31" xfId="56247"/>
    <cellStyle name="Normal 2 5 4 2 4 32" xfId="58000"/>
    <cellStyle name="Normal 2 5 4 2 4 33" xfId="59752"/>
    <cellStyle name="Normal 2 5 4 2 4 34" xfId="61504"/>
    <cellStyle name="Normal 2 5 4 2 4 4" xfId="7196"/>
    <cellStyle name="Normal 2 5 4 2 4 5" xfId="8948"/>
    <cellStyle name="Normal 2 5 4 2 4 6" xfId="10701"/>
    <cellStyle name="Normal 2 5 4 2 4 7" xfId="12453"/>
    <cellStyle name="Normal 2 5 4 2 4 8" xfId="14205"/>
    <cellStyle name="Normal 2 5 4 2 4 9" xfId="15957"/>
    <cellStyle name="Normal 2 5 4 2 40" xfId="62471"/>
    <cellStyle name="Normal 2 5 4 2 41" xfId="63337"/>
    <cellStyle name="Normal 2 5 4 2 5" xfId="2816"/>
    <cellStyle name="Normal 2 5 4 2 6" xfId="4568"/>
    <cellStyle name="Normal 2 5 4 2 7" xfId="6320"/>
    <cellStyle name="Normal 2 5 4 2 8" xfId="8072"/>
    <cellStyle name="Normal 2 5 4 2 9" xfId="9825"/>
    <cellStyle name="Normal 2 5 4 20" xfId="27239"/>
    <cellStyle name="Normal 2 5 4 21" xfId="28992"/>
    <cellStyle name="Normal 2 5 4 22" xfId="30744"/>
    <cellStyle name="Normal 2 5 4 23" xfId="32497"/>
    <cellStyle name="Normal 2 5 4 24" xfId="34462"/>
    <cellStyle name="Normal 2 5 4 25" xfId="35133"/>
    <cellStyle name="Normal 2 5 4 26" xfId="37083"/>
    <cellStyle name="Normal 2 5 4 27" xfId="38626"/>
    <cellStyle name="Normal 2 5 4 28" xfId="40381"/>
    <cellStyle name="Normal 2 5 4 29" xfId="42133"/>
    <cellStyle name="Normal 2 5 4 3" xfId="1054"/>
    <cellStyle name="Normal 2 5 4 3 10" xfId="13431"/>
    <cellStyle name="Normal 2 5 4 3 11" xfId="15183"/>
    <cellStyle name="Normal 2 5 4 3 12" xfId="16936"/>
    <cellStyle name="Normal 2 5 4 3 13" xfId="18688"/>
    <cellStyle name="Normal 2 5 4 3 14" xfId="20441"/>
    <cellStyle name="Normal 2 5 4 3 15" xfId="22193"/>
    <cellStyle name="Normal 2 5 4 3 16" xfId="23945"/>
    <cellStyle name="Normal 2 5 4 3 17" xfId="25697"/>
    <cellStyle name="Normal 2 5 4 3 18" xfId="27449"/>
    <cellStyle name="Normal 2 5 4 3 19" xfId="29202"/>
    <cellStyle name="Normal 2 5 4 3 2" xfId="1055"/>
    <cellStyle name="Normal 2 5 4 3 2 10" xfId="15619"/>
    <cellStyle name="Normal 2 5 4 3 2 11" xfId="17372"/>
    <cellStyle name="Normal 2 5 4 3 2 12" xfId="19124"/>
    <cellStyle name="Normal 2 5 4 3 2 13" xfId="20877"/>
    <cellStyle name="Normal 2 5 4 3 2 14" xfId="22629"/>
    <cellStyle name="Normal 2 5 4 3 2 15" xfId="24381"/>
    <cellStyle name="Normal 2 5 4 3 2 16" xfId="26133"/>
    <cellStyle name="Normal 2 5 4 3 2 17" xfId="27885"/>
    <cellStyle name="Normal 2 5 4 3 2 18" xfId="29638"/>
    <cellStyle name="Normal 2 5 4 3 2 19" xfId="31390"/>
    <cellStyle name="Normal 2 5 4 3 2 2" xfId="1056"/>
    <cellStyle name="Normal 2 5 4 3 2 2 10" xfId="18248"/>
    <cellStyle name="Normal 2 5 4 3 2 2 11" xfId="20000"/>
    <cellStyle name="Normal 2 5 4 3 2 2 12" xfId="21753"/>
    <cellStyle name="Normal 2 5 4 3 2 2 13" xfId="23505"/>
    <cellStyle name="Normal 2 5 4 3 2 2 14" xfId="25257"/>
    <cellStyle name="Normal 2 5 4 3 2 2 15" xfId="27009"/>
    <cellStyle name="Normal 2 5 4 3 2 2 16" xfId="28761"/>
    <cellStyle name="Normal 2 5 4 3 2 2 17" xfId="30514"/>
    <cellStyle name="Normal 2 5 4 3 2 2 18" xfId="32266"/>
    <cellStyle name="Normal 2 5 4 3 2 2 19" xfId="34019"/>
    <cellStyle name="Normal 2 5 4 3 2 2 2" xfId="4230"/>
    <cellStyle name="Normal 2 5 4 3 2 2 20" xfId="36655"/>
    <cellStyle name="Normal 2 5 4 3 2 2 21" xfId="38395"/>
    <cellStyle name="Normal 2 5 4 3 2 2 22" xfId="40148"/>
    <cellStyle name="Normal 2 5 4 3 2 2 23" xfId="41903"/>
    <cellStyle name="Normal 2 5 4 3 2 2 24" xfId="43655"/>
    <cellStyle name="Normal 2 5 4 3 2 2 25" xfId="46273"/>
    <cellStyle name="Normal 2 5 4 3 2 2 26" xfId="48025"/>
    <cellStyle name="Normal 2 5 4 3 2 2 27" xfId="49777"/>
    <cellStyle name="Normal 2 5 4 3 2 2 28" xfId="51529"/>
    <cellStyle name="Normal 2 5 4 3 2 2 29" xfId="53281"/>
    <cellStyle name="Normal 2 5 4 3 2 2 3" xfId="5982"/>
    <cellStyle name="Normal 2 5 4 3 2 2 30" xfId="55033"/>
    <cellStyle name="Normal 2 5 4 3 2 2 31" xfId="56785"/>
    <cellStyle name="Normal 2 5 4 3 2 2 32" xfId="58538"/>
    <cellStyle name="Normal 2 5 4 3 2 2 33" xfId="60290"/>
    <cellStyle name="Normal 2 5 4 3 2 2 34" xfId="62042"/>
    <cellStyle name="Normal 2 5 4 3 2 2 4" xfId="7734"/>
    <cellStyle name="Normal 2 5 4 3 2 2 5" xfId="9486"/>
    <cellStyle name="Normal 2 5 4 3 2 2 6" xfId="11239"/>
    <cellStyle name="Normal 2 5 4 3 2 2 7" xfId="12991"/>
    <cellStyle name="Normal 2 5 4 3 2 2 8" xfId="14743"/>
    <cellStyle name="Normal 2 5 4 3 2 2 9" xfId="16495"/>
    <cellStyle name="Normal 2 5 4 3 2 20" xfId="33143"/>
    <cellStyle name="Normal 2 5 4 3 2 21" xfId="34468"/>
    <cellStyle name="Normal 2 5 4 3 2 22" xfId="35779"/>
    <cellStyle name="Normal 2 5 4 3 2 23" xfId="37089"/>
    <cellStyle name="Normal 2 5 4 3 2 24" xfId="39272"/>
    <cellStyle name="Normal 2 5 4 3 2 25" xfId="41027"/>
    <cellStyle name="Normal 2 5 4 3 2 26" xfId="42779"/>
    <cellStyle name="Normal 2 5 4 3 2 27" xfId="44089"/>
    <cellStyle name="Normal 2 5 4 3 2 28" xfId="45397"/>
    <cellStyle name="Normal 2 5 4 3 2 29" xfId="47149"/>
    <cellStyle name="Normal 2 5 4 3 2 3" xfId="3354"/>
    <cellStyle name="Normal 2 5 4 3 2 30" xfId="48901"/>
    <cellStyle name="Normal 2 5 4 3 2 31" xfId="50653"/>
    <cellStyle name="Normal 2 5 4 3 2 32" xfId="52405"/>
    <cellStyle name="Normal 2 5 4 3 2 33" xfId="54157"/>
    <cellStyle name="Normal 2 5 4 3 2 34" xfId="55909"/>
    <cellStyle name="Normal 2 5 4 3 2 35" xfId="57662"/>
    <cellStyle name="Normal 2 5 4 3 2 36" xfId="59414"/>
    <cellStyle name="Normal 2 5 4 3 2 37" xfId="61166"/>
    <cellStyle name="Normal 2 5 4 3 2 38" xfId="62476"/>
    <cellStyle name="Normal 2 5 4 3 2 39" xfId="63342"/>
    <cellStyle name="Normal 2 5 4 3 2 4" xfId="5106"/>
    <cellStyle name="Normal 2 5 4 3 2 5" xfId="6858"/>
    <cellStyle name="Normal 2 5 4 3 2 6" xfId="8610"/>
    <cellStyle name="Normal 2 5 4 3 2 7" xfId="10363"/>
    <cellStyle name="Normal 2 5 4 3 2 8" xfId="12115"/>
    <cellStyle name="Normal 2 5 4 3 2 9" xfId="13867"/>
    <cellStyle name="Normal 2 5 4 3 20" xfId="30954"/>
    <cellStyle name="Normal 2 5 4 3 21" xfId="32707"/>
    <cellStyle name="Normal 2 5 4 3 22" xfId="34467"/>
    <cellStyle name="Normal 2 5 4 3 23" xfId="35343"/>
    <cellStyle name="Normal 2 5 4 3 24" xfId="37088"/>
    <cellStyle name="Normal 2 5 4 3 25" xfId="38836"/>
    <cellStyle name="Normal 2 5 4 3 26" xfId="40591"/>
    <cellStyle name="Normal 2 5 4 3 27" xfId="42343"/>
    <cellStyle name="Normal 2 5 4 3 28" xfId="44088"/>
    <cellStyle name="Normal 2 5 4 3 29" xfId="44961"/>
    <cellStyle name="Normal 2 5 4 3 3" xfId="1057"/>
    <cellStyle name="Normal 2 5 4 3 3 10" xfId="17812"/>
    <cellStyle name="Normal 2 5 4 3 3 11" xfId="19564"/>
    <cellStyle name="Normal 2 5 4 3 3 12" xfId="21317"/>
    <cellStyle name="Normal 2 5 4 3 3 13" xfId="23069"/>
    <cellStyle name="Normal 2 5 4 3 3 14" xfId="24821"/>
    <cellStyle name="Normal 2 5 4 3 3 15" xfId="26573"/>
    <cellStyle name="Normal 2 5 4 3 3 16" xfId="28325"/>
    <cellStyle name="Normal 2 5 4 3 3 17" xfId="30078"/>
    <cellStyle name="Normal 2 5 4 3 3 18" xfId="31830"/>
    <cellStyle name="Normal 2 5 4 3 3 19" xfId="33583"/>
    <cellStyle name="Normal 2 5 4 3 3 2" xfId="3794"/>
    <cellStyle name="Normal 2 5 4 3 3 20" xfId="36219"/>
    <cellStyle name="Normal 2 5 4 3 3 21" xfId="37959"/>
    <cellStyle name="Normal 2 5 4 3 3 22" xfId="39712"/>
    <cellStyle name="Normal 2 5 4 3 3 23" xfId="41467"/>
    <cellStyle name="Normal 2 5 4 3 3 24" xfId="43219"/>
    <cellStyle name="Normal 2 5 4 3 3 25" xfId="45837"/>
    <cellStyle name="Normal 2 5 4 3 3 26" xfId="47589"/>
    <cellStyle name="Normal 2 5 4 3 3 27" xfId="49341"/>
    <cellStyle name="Normal 2 5 4 3 3 28" xfId="51093"/>
    <cellStyle name="Normal 2 5 4 3 3 29" xfId="52845"/>
    <cellStyle name="Normal 2 5 4 3 3 3" xfId="5546"/>
    <cellStyle name="Normal 2 5 4 3 3 30" xfId="54597"/>
    <cellStyle name="Normal 2 5 4 3 3 31" xfId="56349"/>
    <cellStyle name="Normal 2 5 4 3 3 32" xfId="58102"/>
    <cellStyle name="Normal 2 5 4 3 3 33" xfId="59854"/>
    <cellStyle name="Normal 2 5 4 3 3 34" xfId="61606"/>
    <cellStyle name="Normal 2 5 4 3 3 4" xfId="7298"/>
    <cellStyle name="Normal 2 5 4 3 3 5" xfId="9050"/>
    <cellStyle name="Normal 2 5 4 3 3 6" xfId="10803"/>
    <cellStyle name="Normal 2 5 4 3 3 7" xfId="12555"/>
    <cellStyle name="Normal 2 5 4 3 3 8" xfId="14307"/>
    <cellStyle name="Normal 2 5 4 3 3 9" xfId="16059"/>
    <cellStyle name="Normal 2 5 4 3 30" xfId="46713"/>
    <cellStyle name="Normal 2 5 4 3 31" xfId="48465"/>
    <cellStyle name="Normal 2 5 4 3 32" xfId="50217"/>
    <cellStyle name="Normal 2 5 4 3 33" xfId="51969"/>
    <cellStyle name="Normal 2 5 4 3 34" xfId="53721"/>
    <cellStyle name="Normal 2 5 4 3 35" xfId="55473"/>
    <cellStyle name="Normal 2 5 4 3 36" xfId="57226"/>
    <cellStyle name="Normal 2 5 4 3 37" xfId="58978"/>
    <cellStyle name="Normal 2 5 4 3 38" xfId="60730"/>
    <cellStyle name="Normal 2 5 4 3 39" xfId="62475"/>
    <cellStyle name="Normal 2 5 4 3 4" xfId="2918"/>
    <cellStyle name="Normal 2 5 4 3 40" xfId="63341"/>
    <cellStyle name="Normal 2 5 4 3 5" xfId="4670"/>
    <cellStyle name="Normal 2 5 4 3 6" xfId="6422"/>
    <cellStyle name="Normal 2 5 4 3 7" xfId="8174"/>
    <cellStyle name="Normal 2 5 4 3 8" xfId="9927"/>
    <cellStyle name="Normal 2 5 4 3 9" xfId="11679"/>
    <cellStyle name="Normal 2 5 4 30" xfId="44083"/>
    <cellStyle name="Normal 2 5 4 31" xfId="44751"/>
    <cellStyle name="Normal 2 5 4 32" xfId="46503"/>
    <cellStyle name="Normal 2 5 4 33" xfId="48255"/>
    <cellStyle name="Normal 2 5 4 34" xfId="50007"/>
    <cellStyle name="Normal 2 5 4 35" xfId="51759"/>
    <cellStyle name="Normal 2 5 4 36" xfId="53511"/>
    <cellStyle name="Normal 2 5 4 37" xfId="55263"/>
    <cellStyle name="Normal 2 5 4 38" xfId="57016"/>
    <cellStyle name="Normal 2 5 4 39" xfId="58768"/>
    <cellStyle name="Normal 2 5 4 4" xfId="1058"/>
    <cellStyle name="Normal 2 5 4 4 10" xfId="15409"/>
    <cellStyle name="Normal 2 5 4 4 11" xfId="17162"/>
    <cellStyle name="Normal 2 5 4 4 12" xfId="18914"/>
    <cellStyle name="Normal 2 5 4 4 13" xfId="20667"/>
    <cellStyle name="Normal 2 5 4 4 14" xfId="22419"/>
    <cellStyle name="Normal 2 5 4 4 15" xfId="24171"/>
    <cellStyle name="Normal 2 5 4 4 16" xfId="25923"/>
    <cellStyle name="Normal 2 5 4 4 17" xfId="27675"/>
    <cellStyle name="Normal 2 5 4 4 18" xfId="29428"/>
    <cellStyle name="Normal 2 5 4 4 19" xfId="31180"/>
    <cellStyle name="Normal 2 5 4 4 2" xfId="1059"/>
    <cellStyle name="Normal 2 5 4 4 2 10" xfId="18038"/>
    <cellStyle name="Normal 2 5 4 4 2 11" xfId="19790"/>
    <cellStyle name="Normal 2 5 4 4 2 12" xfId="21543"/>
    <cellStyle name="Normal 2 5 4 4 2 13" xfId="23295"/>
    <cellStyle name="Normal 2 5 4 4 2 14" xfId="25047"/>
    <cellStyle name="Normal 2 5 4 4 2 15" xfId="26799"/>
    <cellStyle name="Normal 2 5 4 4 2 16" xfId="28551"/>
    <cellStyle name="Normal 2 5 4 4 2 17" xfId="30304"/>
    <cellStyle name="Normal 2 5 4 4 2 18" xfId="32056"/>
    <cellStyle name="Normal 2 5 4 4 2 19" xfId="33809"/>
    <cellStyle name="Normal 2 5 4 4 2 2" xfId="4020"/>
    <cellStyle name="Normal 2 5 4 4 2 20" xfId="36445"/>
    <cellStyle name="Normal 2 5 4 4 2 21" xfId="38185"/>
    <cellStyle name="Normal 2 5 4 4 2 22" xfId="39938"/>
    <cellStyle name="Normal 2 5 4 4 2 23" xfId="41693"/>
    <cellStyle name="Normal 2 5 4 4 2 24" xfId="43445"/>
    <cellStyle name="Normal 2 5 4 4 2 25" xfId="46063"/>
    <cellStyle name="Normal 2 5 4 4 2 26" xfId="47815"/>
    <cellStyle name="Normal 2 5 4 4 2 27" xfId="49567"/>
    <cellStyle name="Normal 2 5 4 4 2 28" xfId="51319"/>
    <cellStyle name="Normal 2 5 4 4 2 29" xfId="53071"/>
    <cellStyle name="Normal 2 5 4 4 2 3" xfId="5772"/>
    <cellStyle name="Normal 2 5 4 4 2 30" xfId="54823"/>
    <cellStyle name="Normal 2 5 4 4 2 31" xfId="56575"/>
    <cellStyle name="Normal 2 5 4 4 2 32" xfId="58328"/>
    <cellStyle name="Normal 2 5 4 4 2 33" xfId="60080"/>
    <cellStyle name="Normal 2 5 4 4 2 34" xfId="61832"/>
    <cellStyle name="Normal 2 5 4 4 2 4" xfId="7524"/>
    <cellStyle name="Normal 2 5 4 4 2 5" xfId="9276"/>
    <cellStyle name="Normal 2 5 4 4 2 6" xfId="11029"/>
    <cellStyle name="Normal 2 5 4 4 2 7" xfId="12781"/>
    <cellStyle name="Normal 2 5 4 4 2 8" xfId="14533"/>
    <cellStyle name="Normal 2 5 4 4 2 9" xfId="16285"/>
    <cellStyle name="Normal 2 5 4 4 20" xfId="32933"/>
    <cellStyle name="Normal 2 5 4 4 21" xfId="34469"/>
    <cellStyle name="Normal 2 5 4 4 22" xfId="35569"/>
    <cellStyle name="Normal 2 5 4 4 23" xfId="37090"/>
    <cellStyle name="Normal 2 5 4 4 24" xfId="39062"/>
    <cellStyle name="Normal 2 5 4 4 25" xfId="40817"/>
    <cellStyle name="Normal 2 5 4 4 26" xfId="42569"/>
    <cellStyle name="Normal 2 5 4 4 27" xfId="44090"/>
    <cellStyle name="Normal 2 5 4 4 28" xfId="45187"/>
    <cellStyle name="Normal 2 5 4 4 29" xfId="46939"/>
    <cellStyle name="Normal 2 5 4 4 3" xfId="3144"/>
    <cellStyle name="Normal 2 5 4 4 30" xfId="48691"/>
    <cellStyle name="Normal 2 5 4 4 31" xfId="50443"/>
    <cellStyle name="Normal 2 5 4 4 32" xfId="52195"/>
    <cellStyle name="Normal 2 5 4 4 33" xfId="53947"/>
    <cellStyle name="Normal 2 5 4 4 34" xfId="55699"/>
    <cellStyle name="Normal 2 5 4 4 35" xfId="57452"/>
    <cellStyle name="Normal 2 5 4 4 36" xfId="59204"/>
    <cellStyle name="Normal 2 5 4 4 37" xfId="60956"/>
    <cellStyle name="Normal 2 5 4 4 38" xfId="62477"/>
    <cellStyle name="Normal 2 5 4 4 39" xfId="63343"/>
    <cellStyle name="Normal 2 5 4 4 4" xfId="4896"/>
    <cellStyle name="Normal 2 5 4 4 5" xfId="6648"/>
    <cellStyle name="Normal 2 5 4 4 6" xfId="8400"/>
    <cellStyle name="Normal 2 5 4 4 7" xfId="10153"/>
    <cellStyle name="Normal 2 5 4 4 8" xfId="11905"/>
    <cellStyle name="Normal 2 5 4 4 9" xfId="13657"/>
    <cellStyle name="Normal 2 5 4 40" xfId="60520"/>
    <cellStyle name="Normal 2 5 4 41" xfId="62470"/>
    <cellStyle name="Normal 2 5 4 42" xfId="63336"/>
    <cellStyle name="Normal 2 5 4 5" xfId="1060"/>
    <cellStyle name="Normal 2 5 4 5 10" xfId="17602"/>
    <cellStyle name="Normal 2 5 4 5 11" xfId="19354"/>
    <cellStyle name="Normal 2 5 4 5 12" xfId="21107"/>
    <cellStyle name="Normal 2 5 4 5 13" xfId="22859"/>
    <cellStyle name="Normal 2 5 4 5 14" xfId="24611"/>
    <cellStyle name="Normal 2 5 4 5 15" xfId="26363"/>
    <cellStyle name="Normal 2 5 4 5 16" xfId="28115"/>
    <cellStyle name="Normal 2 5 4 5 17" xfId="29868"/>
    <cellStyle name="Normal 2 5 4 5 18" xfId="31620"/>
    <cellStyle name="Normal 2 5 4 5 19" xfId="33373"/>
    <cellStyle name="Normal 2 5 4 5 2" xfId="3584"/>
    <cellStyle name="Normal 2 5 4 5 20" xfId="36009"/>
    <cellStyle name="Normal 2 5 4 5 21" xfId="37740"/>
    <cellStyle name="Normal 2 5 4 5 22" xfId="39502"/>
    <cellStyle name="Normal 2 5 4 5 23" xfId="41257"/>
    <cellStyle name="Normal 2 5 4 5 24" xfId="43009"/>
    <cellStyle name="Normal 2 5 4 5 25" xfId="45627"/>
    <cellStyle name="Normal 2 5 4 5 26" xfId="47379"/>
    <cellStyle name="Normal 2 5 4 5 27" xfId="49131"/>
    <cellStyle name="Normal 2 5 4 5 28" xfId="50883"/>
    <cellStyle name="Normal 2 5 4 5 29" xfId="52635"/>
    <cellStyle name="Normal 2 5 4 5 3" xfId="5336"/>
    <cellStyle name="Normal 2 5 4 5 30" xfId="54387"/>
    <cellStyle name="Normal 2 5 4 5 31" xfId="56139"/>
    <cellStyle name="Normal 2 5 4 5 32" xfId="57892"/>
    <cellStyle name="Normal 2 5 4 5 33" xfId="59644"/>
    <cellStyle name="Normal 2 5 4 5 34" xfId="61396"/>
    <cellStyle name="Normal 2 5 4 5 4" xfId="7088"/>
    <cellStyle name="Normal 2 5 4 5 5" xfId="8840"/>
    <cellStyle name="Normal 2 5 4 5 6" xfId="10593"/>
    <cellStyle name="Normal 2 5 4 5 7" xfId="12345"/>
    <cellStyle name="Normal 2 5 4 5 8" xfId="14097"/>
    <cellStyle name="Normal 2 5 4 5 9" xfId="15849"/>
    <cellStyle name="Normal 2 5 4 6" xfId="2708"/>
    <cellStyle name="Normal 2 5 4 7" xfId="4460"/>
    <cellStyle name="Normal 2 5 4 8" xfId="6212"/>
    <cellStyle name="Normal 2 5 4 9" xfId="7964"/>
    <cellStyle name="Normal 2 5 40" xfId="55208"/>
    <cellStyle name="Normal 2 5 41" xfId="56961"/>
    <cellStyle name="Normal 2 5 42" xfId="58713"/>
    <cellStyle name="Normal 2 5 43" xfId="60465"/>
    <cellStyle name="Normal 2 5 44" xfId="62469"/>
    <cellStyle name="Normal 2 5 45" xfId="63335"/>
    <cellStyle name="Normal 2 5 5" xfId="1061"/>
    <cellStyle name="Normal 2 5 5 10" xfId="11522"/>
    <cellStyle name="Normal 2 5 5 11" xfId="13274"/>
    <cellStyle name="Normal 2 5 5 12" xfId="15026"/>
    <cellStyle name="Normal 2 5 5 13" xfId="16779"/>
    <cellStyle name="Normal 2 5 5 14" xfId="18531"/>
    <cellStyle name="Normal 2 5 5 15" xfId="20284"/>
    <cellStyle name="Normal 2 5 5 16" xfId="22036"/>
    <cellStyle name="Normal 2 5 5 17" xfId="23788"/>
    <cellStyle name="Normal 2 5 5 18" xfId="25540"/>
    <cellStyle name="Normal 2 5 5 19" xfId="27292"/>
    <cellStyle name="Normal 2 5 5 2" xfId="1062"/>
    <cellStyle name="Normal 2 5 5 2 10" xfId="13432"/>
    <cellStyle name="Normal 2 5 5 2 11" xfId="15184"/>
    <cellStyle name="Normal 2 5 5 2 12" xfId="16937"/>
    <cellStyle name="Normal 2 5 5 2 13" xfId="18689"/>
    <cellStyle name="Normal 2 5 5 2 14" xfId="20442"/>
    <cellStyle name="Normal 2 5 5 2 15" xfId="22194"/>
    <cellStyle name="Normal 2 5 5 2 16" xfId="23946"/>
    <cellStyle name="Normal 2 5 5 2 17" xfId="25698"/>
    <cellStyle name="Normal 2 5 5 2 18" xfId="27450"/>
    <cellStyle name="Normal 2 5 5 2 19" xfId="29203"/>
    <cellStyle name="Normal 2 5 5 2 2" xfId="1063"/>
    <cellStyle name="Normal 2 5 5 2 2 10" xfId="15620"/>
    <cellStyle name="Normal 2 5 5 2 2 11" xfId="17373"/>
    <cellStyle name="Normal 2 5 5 2 2 12" xfId="19125"/>
    <cellStyle name="Normal 2 5 5 2 2 13" xfId="20878"/>
    <cellStyle name="Normal 2 5 5 2 2 14" xfId="22630"/>
    <cellStyle name="Normal 2 5 5 2 2 15" xfId="24382"/>
    <cellStyle name="Normal 2 5 5 2 2 16" xfId="26134"/>
    <cellStyle name="Normal 2 5 5 2 2 17" xfId="27886"/>
    <cellStyle name="Normal 2 5 5 2 2 18" xfId="29639"/>
    <cellStyle name="Normal 2 5 5 2 2 19" xfId="31391"/>
    <cellStyle name="Normal 2 5 5 2 2 2" xfId="1064"/>
    <cellStyle name="Normal 2 5 5 2 2 2 10" xfId="18249"/>
    <cellStyle name="Normal 2 5 5 2 2 2 11" xfId="20001"/>
    <cellStyle name="Normal 2 5 5 2 2 2 12" xfId="21754"/>
    <cellStyle name="Normal 2 5 5 2 2 2 13" xfId="23506"/>
    <cellStyle name="Normal 2 5 5 2 2 2 14" xfId="25258"/>
    <cellStyle name="Normal 2 5 5 2 2 2 15" xfId="27010"/>
    <cellStyle name="Normal 2 5 5 2 2 2 16" xfId="28762"/>
    <cellStyle name="Normal 2 5 5 2 2 2 17" xfId="30515"/>
    <cellStyle name="Normal 2 5 5 2 2 2 18" xfId="32267"/>
    <cellStyle name="Normal 2 5 5 2 2 2 19" xfId="34020"/>
    <cellStyle name="Normal 2 5 5 2 2 2 2" xfId="4231"/>
    <cellStyle name="Normal 2 5 5 2 2 2 20" xfId="36656"/>
    <cellStyle name="Normal 2 5 5 2 2 2 21" xfId="38396"/>
    <cellStyle name="Normal 2 5 5 2 2 2 22" xfId="40149"/>
    <cellStyle name="Normal 2 5 5 2 2 2 23" xfId="41904"/>
    <cellStyle name="Normal 2 5 5 2 2 2 24" xfId="43656"/>
    <cellStyle name="Normal 2 5 5 2 2 2 25" xfId="46274"/>
    <cellStyle name="Normal 2 5 5 2 2 2 26" xfId="48026"/>
    <cellStyle name="Normal 2 5 5 2 2 2 27" xfId="49778"/>
    <cellStyle name="Normal 2 5 5 2 2 2 28" xfId="51530"/>
    <cellStyle name="Normal 2 5 5 2 2 2 29" xfId="53282"/>
    <cellStyle name="Normal 2 5 5 2 2 2 3" xfId="5983"/>
    <cellStyle name="Normal 2 5 5 2 2 2 30" xfId="55034"/>
    <cellStyle name="Normal 2 5 5 2 2 2 31" xfId="56786"/>
    <cellStyle name="Normal 2 5 5 2 2 2 32" xfId="58539"/>
    <cellStyle name="Normal 2 5 5 2 2 2 33" xfId="60291"/>
    <cellStyle name="Normal 2 5 5 2 2 2 34" xfId="62043"/>
    <cellStyle name="Normal 2 5 5 2 2 2 4" xfId="7735"/>
    <cellStyle name="Normal 2 5 5 2 2 2 5" xfId="9487"/>
    <cellStyle name="Normal 2 5 5 2 2 2 6" xfId="11240"/>
    <cellStyle name="Normal 2 5 5 2 2 2 7" xfId="12992"/>
    <cellStyle name="Normal 2 5 5 2 2 2 8" xfId="14744"/>
    <cellStyle name="Normal 2 5 5 2 2 2 9" xfId="16496"/>
    <cellStyle name="Normal 2 5 5 2 2 20" xfId="33144"/>
    <cellStyle name="Normal 2 5 5 2 2 21" xfId="34472"/>
    <cellStyle name="Normal 2 5 5 2 2 22" xfId="35780"/>
    <cellStyle name="Normal 2 5 5 2 2 23" xfId="37093"/>
    <cellStyle name="Normal 2 5 5 2 2 24" xfId="39273"/>
    <cellStyle name="Normal 2 5 5 2 2 25" xfId="41028"/>
    <cellStyle name="Normal 2 5 5 2 2 26" xfId="42780"/>
    <cellStyle name="Normal 2 5 5 2 2 27" xfId="44093"/>
    <cellStyle name="Normal 2 5 5 2 2 28" xfId="45398"/>
    <cellStyle name="Normal 2 5 5 2 2 29" xfId="47150"/>
    <cellStyle name="Normal 2 5 5 2 2 3" xfId="3355"/>
    <cellStyle name="Normal 2 5 5 2 2 30" xfId="48902"/>
    <cellStyle name="Normal 2 5 5 2 2 31" xfId="50654"/>
    <cellStyle name="Normal 2 5 5 2 2 32" xfId="52406"/>
    <cellStyle name="Normal 2 5 5 2 2 33" xfId="54158"/>
    <cellStyle name="Normal 2 5 5 2 2 34" xfId="55910"/>
    <cellStyle name="Normal 2 5 5 2 2 35" xfId="57663"/>
    <cellStyle name="Normal 2 5 5 2 2 36" xfId="59415"/>
    <cellStyle name="Normal 2 5 5 2 2 37" xfId="61167"/>
    <cellStyle name="Normal 2 5 5 2 2 38" xfId="62480"/>
    <cellStyle name="Normal 2 5 5 2 2 39" xfId="63346"/>
    <cellStyle name="Normal 2 5 5 2 2 4" xfId="5107"/>
    <cellStyle name="Normal 2 5 5 2 2 5" xfId="6859"/>
    <cellStyle name="Normal 2 5 5 2 2 6" xfId="8611"/>
    <cellStyle name="Normal 2 5 5 2 2 7" xfId="10364"/>
    <cellStyle name="Normal 2 5 5 2 2 8" xfId="12116"/>
    <cellStyle name="Normal 2 5 5 2 2 9" xfId="13868"/>
    <cellStyle name="Normal 2 5 5 2 20" xfId="30955"/>
    <cellStyle name="Normal 2 5 5 2 21" xfId="32708"/>
    <cellStyle name="Normal 2 5 5 2 22" xfId="34471"/>
    <cellStyle name="Normal 2 5 5 2 23" xfId="35344"/>
    <cellStyle name="Normal 2 5 5 2 24" xfId="37092"/>
    <cellStyle name="Normal 2 5 5 2 25" xfId="38837"/>
    <cellStyle name="Normal 2 5 5 2 26" xfId="40592"/>
    <cellStyle name="Normal 2 5 5 2 27" xfId="42344"/>
    <cellStyle name="Normal 2 5 5 2 28" xfId="44092"/>
    <cellStyle name="Normal 2 5 5 2 29" xfId="44962"/>
    <cellStyle name="Normal 2 5 5 2 3" xfId="1065"/>
    <cellStyle name="Normal 2 5 5 2 3 10" xfId="17813"/>
    <cellStyle name="Normal 2 5 5 2 3 11" xfId="19565"/>
    <cellStyle name="Normal 2 5 5 2 3 12" xfId="21318"/>
    <cellStyle name="Normal 2 5 5 2 3 13" xfId="23070"/>
    <cellStyle name="Normal 2 5 5 2 3 14" xfId="24822"/>
    <cellStyle name="Normal 2 5 5 2 3 15" xfId="26574"/>
    <cellStyle name="Normal 2 5 5 2 3 16" xfId="28326"/>
    <cellStyle name="Normal 2 5 5 2 3 17" xfId="30079"/>
    <cellStyle name="Normal 2 5 5 2 3 18" xfId="31831"/>
    <cellStyle name="Normal 2 5 5 2 3 19" xfId="33584"/>
    <cellStyle name="Normal 2 5 5 2 3 2" xfId="3795"/>
    <cellStyle name="Normal 2 5 5 2 3 20" xfId="36220"/>
    <cellStyle name="Normal 2 5 5 2 3 21" xfId="37960"/>
    <cellStyle name="Normal 2 5 5 2 3 22" xfId="39713"/>
    <cellStyle name="Normal 2 5 5 2 3 23" xfId="41468"/>
    <cellStyle name="Normal 2 5 5 2 3 24" xfId="43220"/>
    <cellStyle name="Normal 2 5 5 2 3 25" xfId="45838"/>
    <cellStyle name="Normal 2 5 5 2 3 26" xfId="47590"/>
    <cellStyle name="Normal 2 5 5 2 3 27" xfId="49342"/>
    <cellStyle name="Normal 2 5 5 2 3 28" xfId="51094"/>
    <cellStyle name="Normal 2 5 5 2 3 29" xfId="52846"/>
    <cellStyle name="Normal 2 5 5 2 3 3" xfId="5547"/>
    <cellStyle name="Normal 2 5 5 2 3 30" xfId="54598"/>
    <cellStyle name="Normal 2 5 5 2 3 31" xfId="56350"/>
    <cellStyle name="Normal 2 5 5 2 3 32" xfId="58103"/>
    <cellStyle name="Normal 2 5 5 2 3 33" xfId="59855"/>
    <cellStyle name="Normal 2 5 5 2 3 34" xfId="61607"/>
    <cellStyle name="Normal 2 5 5 2 3 4" xfId="7299"/>
    <cellStyle name="Normal 2 5 5 2 3 5" xfId="9051"/>
    <cellStyle name="Normal 2 5 5 2 3 6" xfId="10804"/>
    <cellStyle name="Normal 2 5 5 2 3 7" xfId="12556"/>
    <cellStyle name="Normal 2 5 5 2 3 8" xfId="14308"/>
    <cellStyle name="Normal 2 5 5 2 3 9" xfId="16060"/>
    <cellStyle name="Normal 2 5 5 2 30" xfId="46714"/>
    <cellStyle name="Normal 2 5 5 2 31" xfId="48466"/>
    <cellStyle name="Normal 2 5 5 2 32" xfId="50218"/>
    <cellStyle name="Normal 2 5 5 2 33" xfId="51970"/>
    <cellStyle name="Normal 2 5 5 2 34" xfId="53722"/>
    <cellStyle name="Normal 2 5 5 2 35" xfId="55474"/>
    <cellStyle name="Normal 2 5 5 2 36" xfId="57227"/>
    <cellStyle name="Normal 2 5 5 2 37" xfId="58979"/>
    <cellStyle name="Normal 2 5 5 2 38" xfId="60731"/>
    <cellStyle name="Normal 2 5 5 2 39" xfId="62479"/>
    <cellStyle name="Normal 2 5 5 2 4" xfId="2919"/>
    <cellStyle name="Normal 2 5 5 2 40" xfId="63345"/>
    <cellStyle name="Normal 2 5 5 2 5" xfId="4671"/>
    <cellStyle name="Normal 2 5 5 2 6" xfId="6423"/>
    <cellStyle name="Normal 2 5 5 2 7" xfId="8175"/>
    <cellStyle name="Normal 2 5 5 2 8" xfId="9928"/>
    <cellStyle name="Normal 2 5 5 2 9" xfId="11680"/>
    <cellStyle name="Normal 2 5 5 20" xfId="29045"/>
    <cellStyle name="Normal 2 5 5 21" xfId="30797"/>
    <cellStyle name="Normal 2 5 5 22" xfId="32550"/>
    <cellStyle name="Normal 2 5 5 23" xfId="34470"/>
    <cellStyle name="Normal 2 5 5 24" xfId="35186"/>
    <cellStyle name="Normal 2 5 5 25" xfId="37091"/>
    <cellStyle name="Normal 2 5 5 26" xfId="38679"/>
    <cellStyle name="Normal 2 5 5 27" xfId="40434"/>
    <cellStyle name="Normal 2 5 5 28" xfId="42186"/>
    <cellStyle name="Normal 2 5 5 29" xfId="44091"/>
    <cellStyle name="Normal 2 5 5 3" xfId="1066"/>
    <cellStyle name="Normal 2 5 5 3 10" xfId="15462"/>
    <cellStyle name="Normal 2 5 5 3 11" xfId="17215"/>
    <cellStyle name="Normal 2 5 5 3 12" xfId="18967"/>
    <cellStyle name="Normal 2 5 5 3 13" xfId="20720"/>
    <cellStyle name="Normal 2 5 5 3 14" xfId="22472"/>
    <cellStyle name="Normal 2 5 5 3 15" xfId="24224"/>
    <cellStyle name="Normal 2 5 5 3 16" xfId="25976"/>
    <cellStyle name="Normal 2 5 5 3 17" xfId="27728"/>
    <cellStyle name="Normal 2 5 5 3 18" xfId="29481"/>
    <cellStyle name="Normal 2 5 5 3 19" xfId="31233"/>
    <cellStyle name="Normal 2 5 5 3 2" xfId="1067"/>
    <cellStyle name="Normal 2 5 5 3 2 10" xfId="18091"/>
    <cellStyle name="Normal 2 5 5 3 2 11" xfId="19843"/>
    <cellStyle name="Normal 2 5 5 3 2 12" xfId="21596"/>
    <cellStyle name="Normal 2 5 5 3 2 13" xfId="23348"/>
    <cellStyle name="Normal 2 5 5 3 2 14" xfId="25100"/>
    <cellStyle name="Normal 2 5 5 3 2 15" xfId="26852"/>
    <cellStyle name="Normal 2 5 5 3 2 16" xfId="28604"/>
    <cellStyle name="Normal 2 5 5 3 2 17" xfId="30357"/>
    <cellStyle name="Normal 2 5 5 3 2 18" xfId="32109"/>
    <cellStyle name="Normal 2 5 5 3 2 19" xfId="33862"/>
    <cellStyle name="Normal 2 5 5 3 2 2" xfId="4073"/>
    <cellStyle name="Normal 2 5 5 3 2 20" xfId="36498"/>
    <cellStyle name="Normal 2 5 5 3 2 21" xfId="38238"/>
    <cellStyle name="Normal 2 5 5 3 2 22" xfId="39991"/>
    <cellStyle name="Normal 2 5 5 3 2 23" xfId="41746"/>
    <cellStyle name="Normal 2 5 5 3 2 24" xfId="43498"/>
    <cellStyle name="Normal 2 5 5 3 2 25" xfId="46116"/>
    <cellStyle name="Normal 2 5 5 3 2 26" xfId="47868"/>
    <cellStyle name="Normal 2 5 5 3 2 27" xfId="49620"/>
    <cellStyle name="Normal 2 5 5 3 2 28" xfId="51372"/>
    <cellStyle name="Normal 2 5 5 3 2 29" xfId="53124"/>
    <cellStyle name="Normal 2 5 5 3 2 3" xfId="5825"/>
    <cellStyle name="Normal 2 5 5 3 2 30" xfId="54876"/>
    <cellStyle name="Normal 2 5 5 3 2 31" xfId="56628"/>
    <cellStyle name="Normal 2 5 5 3 2 32" xfId="58381"/>
    <cellStyle name="Normal 2 5 5 3 2 33" xfId="60133"/>
    <cellStyle name="Normal 2 5 5 3 2 34" xfId="61885"/>
    <cellStyle name="Normal 2 5 5 3 2 4" xfId="7577"/>
    <cellStyle name="Normal 2 5 5 3 2 5" xfId="9329"/>
    <cellStyle name="Normal 2 5 5 3 2 6" xfId="11082"/>
    <cellStyle name="Normal 2 5 5 3 2 7" xfId="12834"/>
    <cellStyle name="Normal 2 5 5 3 2 8" xfId="14586"/>
    <cellStyle name="Normal 2 5 5 3 2 9" xfId="16338"/>
    <cellStyle name="Normal 2 5 5 3 20" xfId="32986"/>
    <cellStyle name="Normal 2 5 5 3 21" xfId="34473"/>
    <cellStyle name="Normal 2 5 5 3 22" xfId="35622"/>
    <cellStyle name="Normal 2 5 5 3 23" xfId="37094"/>
    <cellStyle name="Normal 2 5 5 3 24" xfId="39115"/>
    <cellStyle name="Normal 2 5 5 3 25" xfId="40870"/>
    <cellStyle name="Normal 2 5 5 3 26" xfId="42622"/>
    <cellStyle name="Normal 2 5 5 3 27" xfId="44094"/>
    <cellStyle name="Normal 2 5 5 3 28" xfId="45240"/>
    <cellStyle name="Normal 2 5 5 3 29" xfId="46992"/>
    <cellStyle name="Normal 2 5 5 3 3" xfId="3197"/>
    <cellStyle name="Normal 2 5 5 3 30" xfId="48744"/>
    <cellStyle name="Normal 2 5 5 3 31" xfId="50496"/>
    <cellStyle name="Normal 2 5 5 3 32" xfId="52248"/>
    <cellStyle name="Normal 2 5 5 3 33" xfId="54000"/>
    <cellStyle name="Normal 2 5 5 3 34" xfId="55752"/>
    <cellStyle name="Normal 2 5 5 3 35" xfId="57505"/>
    <cellStyle name="Normal 2 5 5 3 36" xfId="59257"/>
    <cellStyle name="Normal 2 5 5 3 37" xfId="61009"/>
    <cellStyle name="Normal 2 5 5 3 38" xfId="62481"/>
    <cellStyle name="Normal 2 5 5 3 39" xfId="63347"/>
    <cellStyle name="Normal 2 5 5 3 4" xfId="4949"/>
    <cellStyle name="Normal 2 5 5 3 5" xfId="6701"/>
    <cellStyle name="Normal 2 5 5 3 6" xfId="8453"/>
    <cellStyle name="Normal 2 5 5 3 7" xfId="10206"/>
    <cellStyle name="Normal 2 5 5 3 8" xfId="11958"/>
    <cellStyle name="Normal 2 5 5 3 9" xfId="13710"/>
    <cellStyle name="Normal 2 5 5 30" xfId="44804"/>
    <cellStyle name="Normal 2 5 5 31" xfId="46556"/>
    <cellStyle name="Normal 2 5 5 32" xfId="48308"/>
    <cellStyle name="Normal 2 5 5 33" xfId="50060"/>
    <cellStyle name="Normal 2 5 5 34" xfId="51812"/>
    <cellStyle name="Normal 2 5 5 35" xfId="53564"/>
    <cellStyle name="Normal 2 5 5 36" xfId="55316"/>
    <cellStyle name="Normal 2 5 5 37" xfId="57069"/>
    <cellStyle name="Normal 2 5 5 38" xfId="58821"/>
    <cellStyle name="Normal 2 5 5 39" xfId="60573"/>
    <cellStyle name="Normal 2 5 5 4" xfId="1068"/>
    <cellStyle name="Normal 2 5 5 4 10" xfId="17655"/>
    <cellStyle name="Normal 2 5 5 4 11" xfId="19407"/>
    <cellStyle name="Normal 2 5 5 4 12" xfId="21160"/>
    <cellStyle name="Normal 2 5 5 4 13" xfId="22912"/>
    <cellStyle name="Normal 2 5 5 4 14" xfId="24664"/>
    <cellStyle name="Normal 2 5 5 4 15" xfId="26416"/>
    <cellStyle name="Normal 2 5 5 4 16" xfId="28168"/>
    <cellStyle name="Normal 2 5 5 4 17" xfId="29921"/>
    <cellStyle name="Normal 2 5 5 4 18" xfId="31673"/>
    <cellStyle name="Normal 2 5 5 4 19" xfId="33426"/>
    <cellStyle name="Normal 2 5 5 4 2" xfId="3637"/>
    <cellStyle name="Normal 2 5 5 4 20" xfId="36062"/>
    <cellStyle name="Normal 2 5 5 4 21" xfId="37802"/>
    <cellStyle name="Normal 2 5 5 4 22" xfId="39555"/>
    <cellStyle name="Normal 2 5 5 4 23" xfId="41310"/>
    <cellStyle name="Normal 2 5 5 4 24" xfId="43062"/>
    <cellStyle name="Normal 2 5 5 4 25" xfId="45680"/>
    <cellStyle name="Normal 2 5 5 4 26" xfId="47432"/>
    <cellStyle name="Normal 2 5 5 4 27" xfId="49184"/>
    <cellStyle name="Normal 2 5 5 4 28" xfId="50936"/>
    <cellStyle name="Normal 2 5 5 4 29" xfId="52688"/>
    <cellStyle name="Normal 2 5 5 4 3" xfId="5389"/>
    <cellStyle name="Normal 2 5 5 4 30" xfId="54440"/>
    <cellStyle name="Normal 2 5 5 4 31" xfId="56192"/>
    <cellStyle name="Normal 2 5 5 4 32" xfId="57945"/>
    <cellStyle name="Normal 2 5 5 4 33" xfId="59697"/>
    <cellStyle name="Normal 2 5 5 4 34" xfId="61449"/>
    <cellStyle name="Normal 2 5 5 4 4" xfId="7141"/>
    <cellStyle name="Normal 2 5 5 4 5" xfId="8893"/>
    <cellStyle name="Normal 2 5 5 4 6" xfId="10646"/>
    <cellStyle name="Normal 2 5 5 4 7" xfId="12398"/>
    <cellStyle name="Normal 2 5 5 4 8" xfId="14150"/>
    <cellStyle name="Normal 2 5 5 4 9" xfId="15902"/>
    <cellStyle name="Normal 2 5 5 40" xfId="62478"/>
    <cellStyle name="Normal 2 5 5 41" xfId="63344"/>
    <cellStyle name="Normal 2 5 5 5" xfId="2761"/>
    <cellStyle name="Normal 2 5 5 6" xfId="4513"/>
    <cellStyle name="Normal 2 5 5 7" xfId="6265"/>
    <cellStyle name="Normal 2 5 5 8" xfId="8017"/>
    <cellStyle name="Normal 2 5 5 9" xfId="9770"/>
    <cellStyle name="Normal 2 5 6" xfId="1069"/>
    <cellStyle name="Normal 2 5 6 10" xfId="13433"/>
    <cellStyle name="Normal 2 5 6 11" xfId="15185"/>
    <cellStyle name="Normal 2 5 6 12" xfId="16938"/>
    <cellStyle name="Normal 2 5 6 13" xfId="18690"/>
    <cellStyle name="Normal 2 5 6 14" xfId="20443"/>
    <cellStyle name="Normal 2 5 6 15" xfId="22195"/>
    <cellStyle name="Normal 2 5 6 16" xfId="23947"/>
    <cellStyle name="Normal 2 5 6 17" xfId="25699"/>
    <cellStyle name="Normal 2 5 6 18" xfId="27451"/>
    <cellStyle name="Normal 2 5 6 19" xfId="29204"/>
    <cellStyle name="Normal 2 5 6 2" xfId="1070"/>
    <cellStyle name="Normal 2 5 6 2 10" xfId="15621"/>
    <cellStyle name="Normal 2 5 6 2 11" xfId="17374"/>
    <cellStyle name="Normal 2 5 6 2 12" xfId="19126"/>
    <cellStyle name="Normal 2 5 6 2 13" xfId="20879"/>
    <cellStyle name="Normal 2 5 6 2 14" xfId="22631"/>
    <cellStyle name="Normal 2 5 6 2 15" xfId="24383"/>
    <cellStyle name="Normal 2 5 6 2 16" xfId="26135"/>
    <cellStyle name="Normal 2 5 6 2 17" xfId="27887"/>
    <cellStyle name="Normal 2 5 6 2 18" xfId="29640"/>
    <cellStyle name="Normal 2 5 6 2 19" xfId="31392"/>
    <cellStyle name="Normal 2 5 6 2 2" xfId="1071"/>
    <cellStyle name="Normal 2 5 6 2 2 10" xfId="18250"/>
    <cellStyle name="Normal 2 5 6 2 2 11" xfId="20002"/>
    <cellStyle name="Normal 2 5 6 2 2 12" xfId="21755"/>
    <cellStyle name="Normal 2 5 6 2 2 13" xfId="23507"/>
    <cellStyle name="Normal 2 5 6 2 2 14" xfId="25259"/>
    <cellStyle name="Normal 2 5 6 2 2 15" xfId="27011"/>
    <cellStyle name="Normal 2 5 6 2 2 16" xfId="28763"/>
    <cellStyle name="Normal 2 5 6 2 2 17" xfId="30516"/>
    <cellStyle name="Normal 2 5 6 2 2 18" xfId="32268"/>
    <cellStyle name="Normal 2 5 6 2 2 19" xfId="34021"/>
    <cellStyle name="Normal 2 5 6 2 2 2" xfId="4232"/>
    <cellStyle name="Normal 2 5 6 2 2 20" xfId="36657"/>
    <cellStyle name="Normal 2 5 6 2 2 21" xfId="38397"/>
    <cellStyle name="Normal 2 5 6 2 2 22" xfId="40150"/>
    <cellStyle name="Normal 2 5 6 2 2 23" xfId="41905"/>
    <cellStyle name="Normal 2 5 6 2 2 24" xfId="43657"/>
    <cellStyle name="Normal 2 5 6 2 2 25" xfId="46275"/>
    <cellStyle name="Normal 2 5 6 2 2 26" xfId="48027"/>
    <cellStyle name="Normal 2 5 6 2 2 27" xfId="49779"/>
    <cellStyle name="Normal 2 5 6 2 2 28" xfId="51531"/>
    <cellStyle name="Normal 2 5 6 2 2 29" xfId="53283"/>
    <cellStyle name="Normal 2 5 6 2 2 3" xfId="5984"/>
    <cellStyle name="Normal 2 5 6 2 2 30" xfId="55035"/>
    <cellStyle name="Normal 2 5 6 2 2 31" xfId="56787"/>
    <cellStyle name="Normal 2 5 6 2 2 32" xfId="58540"/>
    <cellStyle name="Normal 2 5 6 2 2 33" xfId="60292"/>
    <cellStyle name="Normal 2 5 6 2 2 34" xfId="62044"/>
    <cellStyle name="Normal 2 5 6 2 2 4" xfId="7736"/>
    <cellStyle name="Normal 2 5 6 2 2 5" xfId="9488"/>
    <cellStyle name="Normal 2 5 6 2 2 6" xfId="11241"/>
    <cellStyle name="Normal 2 5 6 2 2 7" xfId="12993"/>
    <cellStyle name="Normal 2 5 6 2 2 8" xfId="14745"/>
    <cellStyle name="Normal 2 5 6 2 2 9" xfId="16497"/>
    <cellStyle name="Normal 2 5 6 2 20" xfId="33145"/>
    <cellStyle name="Normal 2 5 6 2 21" xfId="34475"/>
    <cellStyle name="Normal 2 5 6 2 22" xfId="35781"/>
    <cellStyle name="Normal 2 5 6 2 23" xfId="37096"/>
    <cellStyle name="Normal 2 5 6 2 24" xfId="39274"/>
    <cellStyle name="Normal 2 5 6 2 25" xfId="41029"/>
    <cellStyle name="Normal 2 5 6 2 26" xfId="42781"/>
    <cellStyle name="Normal 2 5 6 2 27" xfId="44096"/>
    <cellStyle name="Normal 2 5 6 2 28" xfId="45399"/>
    <cellStyle name="Normal 2 5 6 2 29" xfId="47151"/>
    <cellStyle name="Normal 2 5 6 2 3" xfId="3356"/>
    <cellStyle name="Normal 2 5 6 2 30" xfId="48903"/>
    <cellStyle name="Normal 2 5 6 2 31" xfId="50655"/>
    <cellStyle name="Normal 2 5 6 2 32" xfId="52407"/>
    <cellStyle name="Normal 2 5 6 2 33" xfId="54159"/>
    <cellStyle name="Normal 2 5 6 2 34" xfId="55911"/>
    <cellStyle name="Normal 2 5 6 2 35" xfId="57664"/>
    <cellStyle name="Normal 2 5 6 2 36" xfId="59416"/>
    <cellStyle name="Normal 2 5 6 2 37" xfId="61168"/>
    <cellStyle name="Normal 2 5 6 2 38" xfId="62483"/>
    <cellStyle name="Normal 2 5 6 2 39" xfId="63349"/>
    <cellStyle name="Normal 2 5 6 2 4" xfId="5108"/>
    <cellStyle name="Normal 2 5 6 2 5" xfId="6860"/>
    <cellStyle name="Normal 2 5 6 2 6" xfId="8612"/>
    <cellStyle name="Normal 2 5 6 2 7" xfId="10365"/>
    <cellStyle name="Normal 2 5 6 2 8" xfId="12117"/>
    <cellStyle name="Normal 2 5 6 2 9" xfId="13869"/>
    <cellStyle name="Normal 2 5 6 20" xfId="30956"/>
    <cellStyle name="Normal 2 5 6 21" xfId="32709"/>
    <cellStyle name="Normal 2 5 6 22" xfId="34474"/>
    <cellStyle name="Normal 2 5 6 23" xfId="35345"/>
    <cellStyle name="Normal 2 5 6 24" xfId="37095"/>
    <cellStyle name="Normal 2 5 6 25" xfId="38838"/>
    <cellStyle name="Normal 2 5 6 26" xfId="40593"/>
    <cellStyle name="Normal 2 5 6 27" xfId="42345"/>
    <cellStyle name="Normal 2 5 6 28" xfId="44095"/>
    <cellStyle name="Normal 2 5 6 29" xfId="44963"/>
    <cellStyle name="Normal 2 5 6 3" xfId="1072"/>
    <cellStyle name="Normal 2 5 6 3 10" xfId="17814"/>
    <cellStyle name="Normal 2 5 6 3 11" xfId="19566"/>
    <cellStyle name="Normal 2 5 6 3 12" xfId="21319"/>
    <cellStyle name="Normal 2 5 6 3 13" xfId="23071"/>
    <cellStyle name="Normal 2 5 6 3 14" xfId="24823"/>
    <cellStyle name="Normal 2 5 6 3 15" xfId="26575"/>
    <cellStyle name="Normal 2 5 6 3 16" xfId="28327"/>
    <cellStyle name="Normal 2 5 6 3 17" xfId="30080"/>
    <cellStyle name="Normal 2 5 6 3 18" xfId="31832"/>
    <cellStyle name="Normal 2 5 6 3 19" xfId="33585"/>
    <cellStyle name="Normal 2 5 6 3 2" xfId="3796"/>
    <cellStyle name="Normal 2 5 6 3 20" xfId="36221"/>
    <cellStyle name="Normal 2 5 6 3 21" xfId="37961"/>
    <cellStyle name="Normal 2 5 6 3 22" xfId="39714"/>
    <cellStyle name="Normal 2 5 6 3 23" xfId="41469"/>
    <cellStyle name="Normal 2 5 6 3 24" xfId="43221"/>
    <cellStyle name="Normal 2 5 6 3 25" xfId="45839"/>
    <cellStyle name="Normal 2 5 6 3 26" xfId="47591"/>
    <cellStyle name="Normal 2 5 6 3 27" xfId="49343"/>
    <cellStyle name="Normal 2 5 6 3 28" xfId="51095"/>
    <cellStyle name="Normal 2 5 6 3 29" xfId="52847"/>
    <cellStyle name="Normal 2 5 6 3 3" xfId="5548"/>
    <cellStyle name="Normal 2 5 6 3 30" xfId="54599"/>
    <cellStyle name="Normal 2 5 6 3 31" xfId="56351"/>
    <cellStyle name="Normal 2 5 6 3 32" xfId="58104"/>
    <cellStyle name="Normal 2 5 6 3 33" xfId="59856"/>
    <cellStyle name="Normal 2 5 6 3 34" xfId="61608"/>
    <cellStyle name="Normal 2 5 6 3 4" xfId="7300"/>
    <cellStyle name="Normal 2 5 6 3 5" xfId="9052"/>
    <cellStyle name="Normal 2 5 6 3 6" xfId="10805"/>
    <cellStyle name="Normal 2 5 6 3 7" xfId="12557"/>
    <cellStyle name="Normal 2 5 6 3 8" xfId="14309"/>
    <cellStyle name="Normal 2 5 6 3 9" xfId="16061"/>
    <cellStyle name="Normal 2 5 6 30" xfId="46715"/>
    <cellStyle name="Normal 2 5 6 31" xfId="48467"/>
    <cellStyle name="Normal 2 5 6 32" xfId="50219"/>
    <cellStyle name="Normal 2 5 6 33" xfId="51971"/>
    <cellStyle name="Normal 2 5 6 34" xfId="53723"/>
    <cellStyle name="Normal 2 5 6 35" xfId="55475"/>
    <cellStyle name="Normal 2 5 6 36" xfId="57228"/>
    <cellStyle name="Normal 2 5 6 37" xfId="58980"/>
    <cellStyle name="Normal 2 5 6 38" xfId="60732"/>
    <cellStyle name="Normal 2 5 6 39" xfId="62482"/>
    <cellStyle name="Normal 2 5 6 4" xfId="2920"/>
    <cellStyle name="Normal 2 5 6 40" xfId="63348"/>
    <cellStyle name="Normal 2 5 6 5" xfId="4672"/>
    <cellStyle name="Normal 2 5 6 6" xfId="6424"/>
    <cellStyle name="Normal 2 5 6 7" xfId="8176"/>
    <cellStyle name="Normal 2 5 6 8" xfId="9929"/>
    <cellStyle name="Normal 2 5 6 9" xfId="11681"/>
    <cellStyle name="Normal 2 5 7" xfId="1073"/>
    <cellStyle name="Normal 2 5 7 10" xfId="15354"/>
    <cellStyle name="Normal 2 5 7 11" xfId="17107"/>
    <cellStyle name="Normal 2 5 7 12" xfId="18859"/>
    <cellStyle name="Normal 2 5 7 13" xfId="20612"/>
    <cellStyle name="Normal 2 5 7 14" xfId="22364"/>
    <cellStyle name="Normal 2 5 7 15" xfId="24116"/>
    <cellStyle name="Normal 2 5 7 16" xfId="25868"/>
    <cellStyle name="Normal 2 5 7 17" xfId="27620"/>
    <cellStyle name="Normal 2 5 7 18" xfId="29373"/>
    <cellStyle name="Normal 2 5 7 19" xfId="31125"/>
    <cellStyle name="Normal 2 5 7 2" xfId="1074"/>
    <cellStyle name="Normal 2 5 7 2 10" xfId="17983"/>
    <cellStyle name="Normal 2 5 7 2 11" xfId="19735"/>
    <cellStyle name="Normal 2 5 7 2 12" xfId="21488"/>
    <cellStyle name="Normal 2 5 7 2 13" xfId="23240"/>
    <cellStyle name="Normal 2 5 7 2 14" xfId="24992"/>
    <cellStyle name="Normal 2 5 7 2 15" xfId="26744"/>
    <cellStyle name="Normal 2 5 7 2 16" xfId="28496"/>
    <cellStyle name="Normal 2 5 7 2 17" xfId="30249"/>
    <cellStyle name="Normal 2 5 7 2 18" xfId="32001"/>
    <cellStyle name="Normal 2 5 7 2 19" xfId="33754"/>
    <cellStyle name="Normal 2 5 7 2 2" xfId="3965"/>
    <cellStyle name="Normal 2 5 7 2 20" xfId="36390"/>
    <cellStyle name="Normal 2 5 7 2 21" xfId="38130"/>
    <cellStyle name="Normal 2 5 7 2 22" xfId="39883"/>
    <cellStyle name="Normal 2 5 7 2 23" xfId="41638"/>
    <cellStyle name="Normal 2 5 7 2 24" xfId="43390"/>
    <cellStyle name="Normal 2 5 7 2 25" xfId="46008"/>
    <cellStyle name="Normal 2 5 7 2 26" xfId="47760"/>
    <cellStyle name="Normal 2 5 7 2 27" xfId="49512"/>
    <cellStyle name="Normal 2 5 7 2 28" xfId="51264"/>
    <cellStyle name="Normal 2 5 7 2 29" xfId="53016"/>
    <cellStyle name="Normal 2 5 7 2 3" xfId="5717"/>
    <cellStyle name="Normal 2 5 7 2 30" xfId="54768"/>
    <cellStyle name="Normal 2 5 7 2 31" xfId="56520"/>
    <cellStyle name="Normal 2 5 7 2 32" xfId="58273"/>
    <cellStyle name="Normal 2 5 7 2 33" xfId="60025"/>
    <cellStyle name="Normal 2 5 7 2 34" xfId="61777"/>
    <cellStyle name="Normal 2 5 7 2 4" xfId="7469"/>
    <cellStyle name="Normal 2 5 7 2 5" xfId="9221"/>
    <cellStyle name="Normal 2 5 7 2 6" xfId="10974"/>
    <cellStyle name="Normal 2 5 7 2 7" xfId="12726"/>
    <cellStyle name="Normal 2 5 7 2 8" xfId="14478"/>
    <cellStyle name="Normal 2 5 7 2 9" xfId="16230"/>
    <cellStyle name="Normal 2 5 7 20" xfId="32878"/>
    <cellStyle name="Normal 2 5 7 21" xfId="34476"/>
    <cellStyle name="Normal 2 5 7 22" xfId="35514"/>
    <cellStyle name="Normal 2 5 7 23" xfId="37097"/>
    <cellStyle name="Normal 2 5 7 24" xfId="39007"/>
    <cellStyle name="Normal 2 5 7 25" xfId="40762"/>
    <cellStyle name="Normal 2 5 7 26" xfId="42514"/>
    <cellStyle name="Normal 2 5 7 27" xfId="44097"/>
    <cellStyle name="Normal 2 5 7 28" xfId="45132"/>
    <cellStyle name="Normal 2 5 7 29" xfId="46884"/>
    <cellStyle name="Normal 2 5 7 3" xfId="3089"/>
    <cellStyle name="Normal 2 5 7 30" xfId="48636"/>
    <cellStyle name="Normal 2 5 7 31" xfId="50388"/>
    <cellStyle name="Normal 2 5 7 32" xfId="52140"/>
    <cellStyle name="Normal 2 5 7 33" xfId="53892"/>
    <cellStyle name="Normal 2 5 7 34" xfId="55644"/>
    <cellStyle name="Normal 2 5 7 35" xfId="57397"/>
    <cellStyle name="Normal 2 5 7 36" xfId="59149"/>
    <cellStyle name="Normal 2 5 7 37" xfId="60901"/>
    <cellStyle name="Normal 2 5 7 38" xfId="62484"/>
    <cellStyle name="Normal 2 5 7 39" xfId="63350"/>
    <cellStyle name="Normal 2 5 7 4" xfId="4841"/>
    <cellStyle name="Normal 2 5 7 5" xfId="6593"/>
    <cellStyle name="Normal 2 5 7 6" xfId="8345"/>
    <cellStyle name="Normal 2 5 7 7" xfId="10098"/>
    <cellStyle name="Normal 2 5 7 8" xfId="11850"/>
    <cellStyle name="Normal 2 5 7 9" xfId="13602"/>
    <cellStyle name="Normal 2 5 8" xfId="1075"/>
    <cellStyle name="Normal 2 5 8 10" xfId="17547"/>
    <cellStyle name="Normal 2 5 8 11" xfId="19299"/>
    <cellStyle name="Normal 2 5 8 12" xfId="21052"/>
    <cellStyle name="Normal 2 5 8 13" xfId="22804"/>
    <cellStyle name="Normal 2 5 8 14" xfId="24556"/>
    <cellStyle name="Normal 2 5 8 15" xfId="26308"/>
    <cellStyle name="Normal 2 5 8 16" xfId="28060"/>
    <cellStyle name="Normal 2 5 8 17" xfId="29813"/>
    <cellStyle name="Normal 2 5 8 18" xfId="31565"/>
    <cellStyle name="Normal 2 5 8 19" xfId="33318"/>
    <cellStyle name="Normal 2 5 8 2" xfId="3529"/>
    <cellStyle name="Normal 2 5 8 20" xfId="35954"/>
    <cellStyle name="Normal 2 5 8 21" xfId="37744"/>
    <cellStyle name="Normal 2 5 8 22" xfId="39447"/>
    <cellStyle name="Normal 2 5 8 23" xfId="41202"/>
    <cellStyle name="Normal 2 5 8 24" xfId="42954"/>
    <cellStyle name="Normal 2 5 8 25" xfId="45572"/>
    <cellStyle name="Normal 2 5 8 26" xfId="47324"/>
    <cellStyle name="Normal 2 5 8 27" xfId="49076"/>
    <cellStyle name="Normal 2 5 8 28" xfId="50828"/>
    <cellStyle name="Normal 2 5 8 29" xfId="52580"/>
    <cellStyle name="Normal 2 5 8 3" xfId="5281"/>
    <cellStyle name="Normal 2 5 8 30" xfId="54332"/>
    <cellStyle name="Normal 2 5 8 31" xfId="56084"/>
    <cellStyle name="Normal 2 5 8 32" xfId="57837"/>
    <cellStyle name="Normal 2 5 8 33" xfId="59589"/>
    <cellStyle name="Normal 2 5 8 34" xfId="61341"/>
    <cellStyle name="Normal 2 5 8 4" xfId="7033"/>
    <cellStyle name="Normal 2 5 8 5" xfId="8785"/>
    <cellStyle name="Normal 2 5 8 6" xfId="10538"/>
    <cellStyle name="Normal 2 5 8 7" xfId="12290"/>
    <cellStyle name="Normal 2 5 8 8" xfId="14042"/>
    <cellStyle name="Normal 2 5 8 9" xfId="15794"/>
    <cellStyle name="Normal 2 5 9" xfId="2626"/>
    <cellStyle name="Normal 2 50" xfId="46426"/>
    <cellStyle name="Normal 2 51" xfId="48178"/>
    <cellStyle name="Normal 2 52" xfId="49930"/>
    <cellStyle name="Normal 2 53" xfId="51682"/>
    <cellStyle name="Normal 2 54" xfId="53434"/>
    <cellStyle name="Normal 2 55" xfId="55186"/>
    <cellStyle name="Normal 2 56" xfId="56939"/>
    <cellStyle name="Normal 2 57" xfId="58691"/>
    <cellStyle name="Normal 2 58" xfId="60443"/>
    <cellStyle name="Normal 2 6" xfId="1076"/>
    <cellStyle name="Normal 2 6 10" xfId="4406"/>
    <cellStyle name="Normal 2 6 11" xfId="6158"/>
    <cellStyle name="Normal 2 6 12" xfId="7910"/>
    <cellStyle name="Normal 2 6 13" xfId="9663"/>
    <cellStyle name="Normal 2 6 14" xfId="11415"/>
    <cellStyle name="Normal 2 6 15" xfId="13167"/>
    <cellStyle name="Normal 2 6 16" xfId="14919"/>
    <cellStyle name="Normal 2 6 17" xfId="16672"/>
    <cellStyle name="Normal 2 6 18" xfId="18424"/>
    <cellStyle name="Normal 2 6 19" xfId="20177"/>
    <cellStyle name="Normal 2 6 2" xfId="1077"/>
    <cellStyle name="Normal 2 6 20" xfId="21929"/>
    <cellStyle name="Normal 2 6 21" xfId="23681"/>
    <cellStyle name="Normal 2 6 22" xfId="25433"/>
    <cellStyle name="Normal 2 6 23" xfId="27185"/>
    <cellStyle name="Normal 2 6 24" xfId="28938"/>
    <cellStyle name="Normal 2 6 25" xfId="30690"/>
    <cellStyle name="Normal 2 6 26" xfId="32443"/>
    <cellStyle name="Normal 2 6 27" xfId="34477"/>
    <cellStyle name="Normal 2 6 28" xfId="35079"/>
    <cellStyle name="Normal 2 6 29" xfId="37098"/>
    <cellStyle name="Normal 2 6 3" xfId="1078"/>
    <cellStyle name="Normal 2 6 30" xfId="38572"/>
    <cellStyle name="Normal 2 6 31" xfId="40327"/>
    <cellStyle name="Normal 2 6 32" xfId="42079"/>
    <cellStyle name="Normal 2 6 33" xfId="44098"/>
    <cellStyle name="Normal 2 6 34" xfId="44697"/>
    <cellStyle name="Normal 2 6 35" xfId="46449"/>
    <cellStyle name="Normal 2 6 36" xfId="48201"/>
    <cellStyle name="Normal 2 6 37" xfId="49953"/>
    <cellStyle name="Normal 2 6 38" xfId="51705"/>
    <cellStyle name="Normal 2 6 39" xfId="53457"/>
    <cellStyle name="Normal 2 6 4" xfId="1079"/>
    <cellStyle name="Normal 2 6 4 10" xfId="9718"/>
    <cellStyle name="Normal 2 6 4 11" xfId="11470"/>
    <cellStyle name="Normal 2 6 4 12" xfId="13222"/>
    <cellStyle name="Normal 2 6 4 13" xfId="14974"/>
    <cellStyle name="Normal 2 6 4 14" xfId="16727"/>
    <cellStyle name="Normal 2 6 4 15" xfId="18479"/>
    <cellStyle name="Normal 2 6 4 16" xfId="20232"/>
    <cellStyle name="Normal 2 6 4 17" xfId="21984"/>
    <cellStyle name="Normal 2 6 4 18" xfId="23736"/>
    <cellStyle name="Normal 2 6 4 19" xfId="25488"/>
    <cellStyle name="Normal 2 6 4 2" xfId="1080"/>
    <cellStyle name="Normal 2 6 4 2 10" xfId="11578"/>
    <cellStyle name="Normal 2 6 4 2 11" xfId="13330"/>
    <cellStyle name="Normal 2 6 4 2 12" xfId="15082"/>
    <cellStyle name="Normal 2 6 4 2 13" xfId="16835"/>
    <cellStyle name="Normal 2 6 4 2 14" xfId="18587"/>
    <cellStyle name="Normal 2 6 4 2 15" xfId="20340"/>
    <cellStyle name="Normal 2 6 4 2 16" xfId="22092"/>
    <cellStyle name="Normal 2 6 4 2 17" xfId="23844"/>
    <cellStyle name="Normal 2 6 4 2 18" xfId="25596"/>
    <cellStyle name="Normal 2 6 4 2 19" xfId="27348"/>
    <cellStyle name="Normal 2 6 4 2 2" xfId="1081"/>
    <cellStyle name="Normal 2 6 4 2 2 10" xfId="13434"/>
    <cellStyle name="Normal 2 6 4 2 2 11" xfId="15186"/>
    <cellStyle name="Normal 2 6 4 2 2 12" xfId="16939"/>
    <cellStyle name="Normal 2 6 4 2 2 13" xfId="18691"/>
    <cellStyle name="Normal 2 6 4 2 2 14" xfId="20444"/>
    <cellStyle name="Normal 2 6 4 2 2 15" xfId="22196"/>
    <cellStyle name="Normal 2 6 4 2 2 16" xfId="23948"/>
    <cellStyle name="Normal 2 6 4 2 2 17" xfId="25700"/>
    <cellStyle name="Normal 2 6 4 2 2 18" xfId="27452"/>
    <cellStyle name="Normal 2 6 4 2 2 19" xfId="29205"/>
    <cellStyle name="Normal 2 6 4 2 2 2" xfId="1082"/>
    <cellStyle name="Normal 2 6 4 2 2 2 10" xfId="15622"/>
    <cellStyle name="Normal 2 6 4 2 2 2 11" xfId="17375"/>
    <cellStyle name="Normal 2 6 4 2 2 2 12" xfId="19127"/>
    <cellStyle name="Normal 2 6 4 2 2 2 13" xfId="20880"/>
    <cellStyle name="Normal 2 6 4 2 2 2 14" xfId="22632"/>
    <cellStyle name="Normal 2 6 4 2 2 2 15" xfId="24384"/>
    <cellStyle name="Normal 2 6 4 2 2 2 16" xfId="26136"/>
    <cellStyle name="Normal 2 6 4 2 2 2 17" xfId="27888"/>
    <cellStyle name="Normal 2 6 4 2 2 2 18" xfId="29641"/>
    <cellStyle name="Normal 2 6 4 2 2 2 19" xfId="31393"/>
    <cellStyle name="Normal 2 6 4 2 2 2 2" xfId="1083"/>
    <cellStyle name="Normal 2 6 4 2 2 2 2 10" xfId="18251"/>
    <cellStyle name="Normal 2 6 4 2 2 2 2 11" xfId="20003"/>
    <cellStyle name="Normal 2 6 4 2 2 2 2 12" xfId="21756"/>
    <cellStyle name="Normal 2 6 4 2 2 2 2 13" xfId="23508"/>
    <cellStyle name="Normal 2 6 4 2 2 2 2 14" xfId="25260"/>
    <cellStyle name="Normal 2 6 4 2 2 2 2 15" xfId="27012"/>
    <cellStyle name="Normal 2 6 4 2 2 2 2 16" xfId="28764"/>
    <cellStyle name="Normal 2 6 4 2 2 2 2 17" xfId="30517"/>
    <cellStyle name="Normal 2 6 4 2 2 2 2 18" xfId="32269"/>
    <cellStyle name="Normal 2 6 4 2 2 2 2 19" xfId="34022"/>
    <cellStyle name="Normal 2 6 4 2 2 2 2 2" xfId="4233"/>
    <cellStyle name="Normal 2 6 4 2 2 2 2 20" xfId="36658"/>
    <cellStyle name="Normal 2 6 4 2 2 2 2 21" xfId="38398"/>
    <cellStyle name="Normal 2 6 4 2 2 2 2 22" xfId="40151"/>
    <cellStyle name="Normal 2 6 4 2 2 2 2 23" xfId="41906"/>
    <cellStyle name="Normal 2 6 4 2 2 2 2 24" xfId="43658"/>
    <cellStyle name="Normal 2 6 4 2 2 2 2 25" xfId="46276"/>
    <cellStyle name="Normal 2 6 4 2 2 2 2 26" xfId="48028"/>
    <cellStyle name="Normal 2 6 4 2 2 2 2 27" xfId="49780"/>
    <cellStyle name="Normal 2 6 4 2 2 2 2 28" xfId="51532"/>
    <cellStyle name="Normal 2 6 4 2 2 2 2 29" xfId="53284"/>
    <cellStyle name="Normal 2 6 4 2 2 2 2 3" xfId="5985"/>
    <cellStyle name="Normal 2 6 4 2 2 2 2 30" xfId="55036"/>
    <cellStyle name="Normal 2 6 4 2 2 2 2 31" xfId="56788"/>
    <cellStyle name="Normal 2 6 4 2 2 2 2 32" xfId="58541"/>
    <cellStyle name="Normal 2 6 4 2 2 2 2 33" xfId="60293"/>
    <cellStyle name="Normal 2 6 4 2 2 2 2 34" xfId="62045"/>
    <cellStyle name="Normal 2 6 4 2 2 2 2 4" xfId="7737"/>
    <cellStyle name="Normal 2 6 4 2 2 2 2 5" xfId="9489"/>
    <cellStyle name="Normal 2 6 4 2 2 2 2 6" xfId="11242"/>
    <cellStyle name="Normal 2 6 4 2 2 2 2 7" xfId="12994"/>
    <cellStyle name="Normal 2 6 4 2 2 2 2 8" xfId="14746"/>
    <cellStyle name="Normal 2 6 4 2 2 2 2 9" xfId="16498"/>
    <cellStyle name="Normal 2 6 4 2 2 2 20" xfId="33146"/>
    <cellStyle name="Normal 2 6 4 2 2 2 21" xfId="34481"/>
    <cellStyle name="Normal 2 6 4 2 2 2 22" xfId="35782"/>
    <cellStyle name="Normal 2 6 4 2 2 2 23" xfId="37102"/>
    <cellStyle name="Normal 2 6 4 2 2 2 24" xfId="39275"/>
    <cellStyle name="Normal 2 6 4 2 2 2 25" xfId="41030"/>
    <cellStyle name="Normal 2 6 4 2 2 2 26" xfId="42782"/>
    <cellStyle name="Normal 2 6 4 2 2 2 27" xfId="44102"/>
    <cellStyle name="Normal 2 6 4 2 2 2 28" xfId="45400"/>
    <cellStyle name="Normal 2 6 4 2 2 2 29" xfId="47152"/>
    <cellStyle name="Normal 2 6 4 2 2 2 3" xfId="3357"/>
    <cellStyle name="Normal 2 6 4 2 2 2 30" xfId="48904"/>
    <cellStyle name="Normal 2 6 4 2 2 2 31" xfId="50656"/>
    <cellStyle name="Normal 2 6 4 2 2 2 32" xfId="52408"/>
    <cellStyle name="Normal 2 6 4 2 2 2 33" xfId="54160"/>
    <cellStyle name="Normal 2 6 4 2 2 2 34" xfId="55912"/>
    <cellStyle name="Normal 2 6 4 2 2 2 35" xfId="57665"/>
    <cellStyle name="Normal 2 6 4 2 2 2 36" xfId="59417"/>
    <cellStyle name="Normal 2 6 4 2 2 2 37" xfId="61169"/>
    <cellStyle name="Normal 2 6 4 2 2 2 38" xfId="62489"/>
    <cellStyle name="Normal 2 6 4 2 2 2 39" xfId="63355"/>
    <cellStyle name="Normal 2 6 4 2 2 2 4" xfId="5109"/>
    <cellStyle name="Normal 2 6 4 2 2 2 5" xfId="6861"/>
    <cellStyle name="Normal 2 6 4 2 2 2 6" xfId="8613"/>
    <cellStyle name="Normal 2 6 4 2 2 2 7" xfId="10366"/>
    <cellStyle name="Normal 2 6 4 2 2 2 8" xfId="12118"/>
    <cellStyle name="Normal 2 6 4 2 2 2 9" xfId="13870"/>
    <cellStyle name="Normal 2 6 4 2 2 20" xfId="30957"/>
    <cellStyle name="Normal 2 6 4 2 2 21" xfId="32710"/>
    <cellStyle name="Normal 2 6 4 2 2 22" xfId="34480"/>
    <cellStyle name="Normal 2 6 4 2 2 23" xfId="35346"/>
    <cellStyle name="Normal 2 6 4 2 2 24" xfId="37101"/>
    <cellStyle name="Normal 2 6 4 2 2 25" xfId="38839"/>
    <cellStyle name="Normal 2 6 4 2 2 26" xfId="40594"/>
    <cellStyle name="Normal 2 6 4 2 2 27" xfId="42346"/>
    <cellStyle name="Normal 2 6 4 2 2 28" xfId="44101"/>
    <cellStyle name="Normal 2 6 4 2 2 29" xfId="44964"/>
    <cellStyle name="Normal 2 6 4 2 2 3" xfId="1084"/>
    <cellStyle name="Normal 2 6 4 2 2 3 10" xfId="17815"/>
    <cellStyle name="Normal 2 6 4 2 2 3 11" xfId="19567"/>
    <cellStyle name="Normal 2 6 4 2 2 3 12" xfId="21320"/>
    <cellStyle name="Normal 2 6 4 2 2 3 13" xfId="23072"/>
    <cellStyle name="Normal 2 6 4 2 2 3 14" xfId="24824"/>
    <cellStyle name="Normal 2 6 4 2 2 3 15" xfId="26576"/>
    <cellStyle name="Normal 2 6 4 2 2 3 16" xfId="28328"/>
    <cellStyle name="Normal 2 6 4 2 2 3 17" xfId="30081"/>
    <cellStyle name="Normal 2 6 4 2 2 3 18" xfId="31833"/>
    <cellStyle name="Normal 2 6 4 2 2 3 19" xfId="33586"/>
    <cellStyle name="Normal 2 6 4 2 2 3 2" xfId="3797"/>
    <cellStyle name="Normal 2 6 4 2 2 3 20" xfId="36222"/>
    <cellStyle name="Normal 2 6 4 2 2 3 21" xfId="37962"/>
    <cellStyle name="Normal 2 6 4 2 2 3 22" xfId="39715"/>
    <cellStyle name="Normal 2 6 4 2 2 3 23" xfId="41470"/>
    <cellStyle name="Normal 2 6 4 2 2 3 24" xfId="43222"/>
    <cellStyle name="Normal 2 6 4 2 2 3 25" xfId="45840"/>
    <cellStyle name="Normal 2 6 4 2 2 3 26" xfId="47592"/>
    <cellStyle name="Normal 2 6 4 2 2 3 27" xfId="49344"/>
    <cellStyle name="Normal 2 6 4 2 2 3 28" xfId="51096"/>
    <cellStyle name="Normal 2 6 4 2 2 3 29" xfId="52848"/>
    <cellStyle name="Normal 2 6 4 2 2 3 3" xfId="5549"/>
    <cellStyle name="Normal 2 6 4 2 2 3 30" xfId="54600"/>
    <cellStyle name="Normal 2 6 4 2 2 3 31" xfId="56352"/>
    <cellStyle name="Normal 2 6 4 2 2 3 32" xfId="58105"/>
    <cellStyle name="Normal 2 6 4 2 2 3 33" xfId="59857"/>
    <cellStyle name="Normal 2 6 4 2 2 3 34" xfId="61609"/>
    <cellStyle name="Normal 2 6 4 2 2 3 4" xfId="7301"/>
    <cellStyle name="Normal 2 6 4 2 2 3 5" xfId="9053"/>
    <cellStyle name="Normal 2 6 4 2 2 3 6" xfId="10806"/>
    <cellStyle name="Normal 2 6 4 2 2 3 7" xfId="12558"/>
    <cellStyle name="Normal 2 6 4 2 2 3 8" xfId="14310"/>
    <cellStyle name="Normal 2 6 4 2 2 3 9" xfId="16062"/>
    <cellStyle name="Normal 2 6 4 2 2 30" xfId="46716"/>
    <cellStyle name="Normal 2 6 4 2 2 31" xfId="48468"/>
    <cellStyle name="Normal 2 6 4 2 2 32" xfId="50220"/>
    <cellStyle name="Normal 2 6 4 2 2 33" xfId="51972"/>
    <cellStyle name="Normal 2 6 4 2 2 34" xfId="53724"/>
    <cellStyle name="Normal 2 6 4 2 2 35" xfId="55476"/>
    <cellStyle name="Normal 2 6 4 2 2 36" xfId="57229"/>
    <cellStyle name="Normal 2 6 4 2 2 37" xfId="58981"/>
    <cellStyle name="Normal 2 6 4 2 2 38" xfId="60733"/>
    <cellStyle name="Normal 2 6 4 2 2 39" xfId="62488"/>
    <cellStyle name="Normal 2 6 4 2 2 4" xfId="2921"/>
    <cellStyle name="Normal 2 6 4 2 2 40" xfId="63354"/>
    <cellStyle name="Normal 2 6 4 2 2 5" xfId="4673"/>
    <cellStyle name="Normal 2 6 4 2 2 6" xfId="6425"/>
    <cellStyle name="Normal 2 6 4 2 2 7" xfId="8177"/>
    <cellStyle name="Normal 2 6 4 2 2 8" xfId="9930"/>
    <cellStyle name="Normal 2 6 4 2 2 9" xfId="11682"/>
    <cellStyle name="Normal 2 6 4 2 20" xfId="29101"/>
    <cellStyle name="Normal 2 6 4 2 21" xfId="30853"/>
    <cellStyle name="Normal 2 6 4 2 22" xfId="32606"/>
    <cellStyle name="Normal 2 6 4 2 23" xfId="34479"/>
    <cellStyle name="Normal 2 6 4 2 24" xfId="35242"/>
    <cellStyle name="Normal 2 6 4 2 25" xfId="37100"/>
    <cellStyle name="Normal 2 6 4 2 26" xfId="38735"/>
    <cellStyle name="Normal 2 6 4 2 27" xfId="40490"/>
    <cellStyle name="Normal 2 6 4 2 28" xfId="42242"/>
    <cellStyle name="Normal 2 6 4 2 29" xfId="44100"/>
    <cellStyle name="Normal 2 6 4 2 3" xfId="1085"/>
    <cellStyle name="Normal 2 6 4 2 3 10" xfId="15518"/>
    <cellStyle name="Normal 2 6 4 2 3 11" xfId="17271"/>
    <cellStyle name="Normal 2 6 4 2 3 12" xfId="19023"/>
    <cellStyle name="Normal 2 6 4 2 3 13" xfId="20776"/>
    <cellStyle name="Normal 2 6 4 2 3 14" xfId="22528"/>
    <cellStyle name="Normal 2 6 4 2 3 15" xfId="24280"/>
    <cellStyle name="Normal 2 6 4 2 3 16" xfId="26032"/>
    <cellStyle name="Normal 2 6 4 2 3 17" xfId="27784"/>
    <cellStyle name="Normal 2 6 4 2 3 18" xfId="29537"/>
    <cellStyle name="Normal 2 6 4 2 3 19" xfId="31289"/>
    <cellStyle name="Normal 2 6 4 2 3 2" xfId="1086"/>
    <cellStyle name="Normal 2 6 4 2 3 2 10" xfId="18147"/>
    <cellStyle name="Normal 2 6 4 2 3 2 11" xfId="19899"/>
    <cellStyle name="Normal 2 6 4 2 3 2 12" xfId="21652"/>
    <cellStyle name="Normal 2 6 4 2 3 2 13" xfId="23404"/>
    <cellStyle name="Normal 2 6 4 2 3 2 14" xfId="25156"/>
    <cellStyle name="Normal 2 6 4 2 3 2 15" xfId="26908"/>
    <cellStyle name="Normal 2 6 4 2 3 2 16" xfId="28660"/>
    <cellStyle name="Normal 2 6 4 2 3 2 17" xfId="30413"/>
    <cellStyle name="Normal 2 6 4 2 3 2 18" xfId="32165"/>
    <cellStyle name="Normal 2 6 4 2 3 2 19" xfId="33918"/>
    <cellStyle name="Normal 2 6 4 2 3 2 2" xfId="4129"/>
    <cellStyle name="Normal 2 6 4 2 3 2 20" xfId="36554"/>
    <cellStyle name="Normal 2 6 4 2 3 2 21" xfId="38294"/>
    <cellStyle name="Normal 2 6 4 2 3 2 22" xfId="40047"/>
    <cellStyle name="Normal 2 6 4 2 3 2 23" xfId="41802"/>
    <cellStyle name="Normal 2 6 4 2 3 2 24" xfId="43554"/>
    <cellStyle name="Normal 2 6 4 2 3 2 25" xfId="46172"/>
    <cellStyle name="Normal 2 6 4 2 3 2 26" xfId="47924"/>
    <cellStyle name="Normal 2 6 4 2 3 2 27" xfId="49676"/>
    <cellStyle name="Normal 2 6 4 2 3 2 28" xfId="51428"/>
    <cellStyle name="Normal 2 6 4 2 3 2 29" xfId="53180"/>
    <cellStyle name="Normal 2 6 4 2 3 2 3" xfId="5881"/>
    <cellStyle name="Normal 2 6 4 2 3 2 30" xfId="54932"/>
    <cellStyle name="Normal 2 6 4 2 3 2 31" xfId="56684"/>
    <cellStyle name="Normal 2 6 4 2 3 2 32" xfId="58437"/>
    <cellStyle name="Normal 2 6 4 2 3 2 33" xfId="60189"/>
    <cellStyle name="Normal 2 6 4 2 3 2 34" xfId="61941"/>
    <cellStyle name="Normal 2 6 4 2 3 2 4" xfId="7633"/>
    <cellStyle name="Normal 2 6 4 2 3 2 5" xfId="9385"/>
    <cellStyle name="Normal 2 6 4 2 3 2 6" xfId="11138"/>
    <cellStyle name="Normal 2 6 4 2 3 2 7" xfId="12890"/>
    <cellStyle name="Normal 2 6 4 2 3 2 8" xfId="14642"/>
    <cellStyle name="Normal 2 6 4 2 3 2 9" xfId="16394"/>
    <cellStyle name="Normal 2 6 4 2 3 20" xfId="33042"/>
    <cellStyle name="Normal 2 6 4 2 3 21" xfId="34482"/>
    <cellStyle name="Normal 2 6 4 2 3 22" xfId="35678"/>
    <cellStyle name="Normal 2 6 4 2 3 23" xfId="37103"/>
    <cellStyle name="Normal 2 6 4 2 3 24" xfId="39171"/>
    <cellStyle name="Normal 2 6 4 2 3 25" xfId="40926"/>
    <cellStyle name="Normal 2 6 4 2 3 26" xfId="42678"/>
    <cellStyle name="Normal 2 6 4 2 3 27" xfId="44103"/>
    <cellStyle name="Normal 2 6 4 2 3 28" xfId="45296"/>
    <cellStyle name="Normal 2 6 4 2 3 29" xfId="47048"/>
    <cellStyle name="Normal 2 6 4 2 3 3" xfId="3253"/>
    <cellStyle name="Normal 2 6 4 2 3 30" xfId="48800"/>
    <cellStyle name="Normal 2 6 4 2 3 31" xfId="50552"/>
    <cellStyle name="Normal 2 6 4 2 3 32" xfId="52304"/>
    <cellStyle name="Normal 2 6 4 2 3 33" xfId="54056"/>
    <cellStyle name="Normal 2 6 4 2 3 34" xfId="55808"/>
    <cellStyle name="Normal 2 6 4 2 3 35" xfId="57561"/>
    <cellStyle name="Normal 2 6 4 2 3 36" xfId="59313"/>
    <cellStyle name="Normal 2 6 4 2 3 37" xfId="61065"/>
    <cellStyle name="Normal 2 6 4 2 3 38" xfId="62490"/>
    <cellStyle name="Normal 2 6 4 2 3 39" xfId="63356"/>
    <cellStyle name="Normal 2 6 4 2 3 4" xfId="5005"/>
    <cellStyle name="Normal 2 6 4 2 3 5" xfId="6757"/>
    <cellStyle name="Normal 2 6 4 2 3 6" xfId="8509"/>
    <cellStyle name="Normal 2 6 4 2 3 7" xfId="10262"/>
    <cellStyle name="Normal 2 6 4 2 3 8" xfId="12014"/>
    <cellStyle name="Normal 2 6 4 2 3 9" xfId="13766"/>
    <cellStyle name="Normal 2 6 4 2 30" xfId="44860"/>
    <cellStyle name="Normal 2 6 4 2 31" xfId="46612"/>
    <cellStyle name="Normal 2 6 4 2 32" xfId="48364"/>
    <cellStyle name="Normal 2 6 4 2 33" xfId="50116"/>
    <cellStyle name="Normal 2 6 4 2 34" xfId="51868"/>
    <cellStyle name="Normal 2 6 4 2 35" xfId="53620"/>
    <cellStyle name="Normal 2 6 4 2 36" xfId="55372"/>
    <cellStyle name="Normal 2 6 4 2 37" xfId="57125"/>
    <cellStyle name="Normal 2 6 4 2 38" xfId="58877"/>
    <cellStyle name="Normal 2 6 4 2 39" xfId="60629"/>
    <cellStyle name="Normal 2 6 4 2 4" xfId="1087"/>
    <cellStyle name="Normal 2 6 4 2 4 10" xfId="17711"/>
    <cellStyle name="Normal 2 6 4 2 4 11" xfId="19463"/>
    <cellStyle name="Normal 2 6 4 2 4 12" xfId="21216"/>
    <cellStyle name="Normal 2 6 4 2 4 13" xfId="22968"/>
    <cellStyle name="Normal 2 6 4 2 4 14" xfId="24720"/>
    <cellStyle name="Normal 2 6 4 2 4 15" xfId="26472"/>
    <cellStyle name="Normal 2 6 4 2 4 16" xfId="28224"/>
    <cellStyle name="Normal 2 6 4 2 4 17" xfId="29977"/>
    <cellStyle name="Normal 2 6 4 2 4 18" xfId="31729"/>
    <cellStyle name="Normal 2 6 4 2 4 19" xfId="33482"/>
    <cellStyle name="Normal 2 6 4 2 4 2" xfId="3693"/>
    <cellStyle name="Normal 2 6 4 2 4 20" xfId="36118"/>
    <cellStyle name="Normal 2 6 4 2 4 21" xfId="37858"/>
    <cellStyle name="Normal 2 6 4 2 4 22" xfId="39611"/>
    <cellStyle name="Normal 2 6 4 2 4 23" xfId="41366"/>
    <cellStyle name="Normal 2 6 4 2 4 24" xfId="43118"/>
    <cellStyle name="Normal 2 6 4 2 4 25" xfId="45736"/>
    <cellStyle name="Normal 2 6 4 2 4 26" xfId="47488"/>
    <cellStyle name="Normal 2 6 4 2 4 27" xfId="49240"/>
    <cellStyle name="Normal 2 6 4 2 4 28" xfId="50992"/>
    <cellStyle name="Normal 2 6 4 2 4 29" xfId="52744"/>
    <cellStyle name="Normal 2 6 4 2 4 3" xfId="5445"/>
    <cellStyle name="Normal 2 6 4 2 4 30" xfId="54496"/>
    <cellStyle name="Normal 2 6 4 2 4 31" xfId="56248"/>
    <cellStyle name="Normal 2 6 4 2 4 32" xfId="58001"/>
    <cellStyle name="Normal 2 6 4 2 4 33" xfId="59753"/>
    <cellStyle name="Normal 2 6 4 2 4 34" xfId="61505"/>
    <cellStyle name="Normal 2 6 4 2 4 4" xfId="7197"/>
    <cellStyle name="Normal 2 6 4 2 4 5" xfId="8949"/>
    <cellStyle name="Normal 2 6 4 2 4 6" xfId="10702"/>
    <cellStyle name="Normal 2 6 4 2 4 7" xfId="12454"/>
    <cellStyle name="Normal 2 6 4 2 4 8" xfId="14206"/>
    <cellStyle name="Normal 2 6 4 2 4 9" xfId="15958"/>
    <cellStyle name="Normal 2 6 4 2 40" xfId="62487"/>
    <cellStyle name="Normal 2 6 4 2 41" xfId="63353"/>
    <cellStyle name="Normal 2 6 4 2 5" xfId="2817"/>
    <cellStyle name="Normal 2 6 4 2 6" xfId="4569"/>
    <cellStyle name="Normal 2 6 4 2 7" xfId="6321"/>
    <cellStyle name="Normal 2 6 4 2 8" xfId="8073"/>
    <cellStyle name="Normal 2 6 4 2 9" xfId="9826"/>
    <cellStyle name="Normal 2 6 4 20" xfId="27240"/>
    <cellStyle name="Normal 2 6 4 21" xfId="28993"/>
    <cellStyle name="Normal 2 6 4 22" xfId="30745"/>
    <cellStyle name="Normal 2 6 4 23" xfId="32498"/>
    <cellStyle name="Normal 2 6 4 24" xfId="34478"/>
    <cellStyle name="Normal 2 6 4 25" xfId="35134"/>
    <cellStyle name="Normal 2 6 4 26" xfId="37099"/>
    <cellStyle name="Normal 2 6 4 27" xfId="38627"/>
    <cellStyle name="Normal 2 6 4 28" xfId="40382"/>
    <cellStyle name="Normal 2 6 4 29" xfId="42134"/>
    <cellStyle name="Normal 2 6 4 3" xfId="1088"/>
    <cellStyle name="Normal 2 6 4 3 10" xfId="13435"/>
    <cellStyle name="Normal 2 6 4 3 11" xfId="15187"/>
    <cellStyle name="Normal 2 6 4 3 12" xfId="16940"/>
    <cellStyle name="Normal 2 6 4 3 13" xfId="18692"/>
    <cellStyle name="Normal 2 6 4 3 14" xfId="20445"/>
    <cellStyle name="Normal 2 6 4 3 15" xfId="22197"/>
    <cellStyle name="Normal 2 6 4 3 16" xfId="23949"/>
    <cellStyle name="Normal 2 6 4 3 17" xfId="25701"/>
    <cellStyle name="Normal 2 6 4 3 18" xfId="27453"/>
    <cellStyle name="Normal 2 6 4 3 19" xfId="29206"/>
    <cellStyle name="Normal 2 6 4 3 2" xfId="1089"/>
    <cellStyle name="Normal 2 6 4 3 2 10" xfId="15623"/>
    <cellStyle name="Normal 2 6 4 3 2 11" xfId="17376"/>
    <cellStyle name="Normal 2 6 4 3 2 12" xfId="19128"/>
    <cellStyle name="Normal 2 6 4 3 2 13" xfId="20881"/>
    <cellStyle name="Normal 2 6 4 3 2 14" xfId="22633"/>
    <cellStyle name="Normal 2 6 4 3 2 15" xfId="24385"/>
    <cellStyle name="Normal 2 6 4 3 2 16" xfId="26137"/>
    <cellStyle name="Normal 2 6 4 3 2 17" xfId="27889"/>
    <cellStyle name="Normal 2 6 4 3 2 18" xfId="29642"/>
    <cellStyle name="Normal 2 6 4 3 2 19" xfId="31394"/>
    <cellStyle name="Normal 2 6 4 3 2 2" xfId="1090"/>
    <cellStyle name="Normal 2 6 4 3 2 2 10" xfId="18252"/>
    <cellStyle name="Normal 2 6 4 3 2 2 11" xfId="20004"/>
    <cellStyle name="Normal 2 6 4 3 2 2 12" xfId="21757"/>
    <cellStyle name="Normal 2 6 4 3 2 2 13" xfId="23509"/>
    <cellStyle name="Normal 2 6 4 3 2 2 14" xfId="25261"/>
    <cellStyle name="Normal 2 6 4 3 2 2 15" xfId="27013"/>
    <cellStyle name="Normal 2 6 4 3 2 2 16" xfId="28765"/>
    <cellStyle name="Normal 2 6 4 3 2 2 17" xfId="30518"/>
    <cellStyle name="Normal 2 6 4 3 2 2 18" xfId="32270"/>
    <cellStyle name="Normal 2 6 4 3 2 2 19" xfId="34023"/>
    <cellStyle name="Normal 2 6 4 3 2 2 2" xfId="4234"/>
    <cellStyle name="Normal 2 6 4 3 2 2 20" xfId="36659"/>
    <cellStyle name="Normal 2 6 4 3 2 2 21" xfId="38399"/>
    <cellStyle name="Normal 2 6 4 3 2 2 22" xfId="40152"/>
    <cellStyle name="Normal 2 6 4 3 2 2 23" xfId="41907"/>
    <cellStyle name="Normal 2 6 4 3 2 2 24" xfId="43659"/>
    <cellStyle name="Normal 2 6 4 3 2 2 25" xfId="46277"/>
    <cellStyle name="Normal 2 6 4 3 2 2 26" xfId="48029"/>
    <cellStyle name="Normal 2 6 4 3 2 2 27" xfId="49781"/>
    <cellStyle name="Normal 2 6 4 3 2 2 28" xfId="51533"/>
    <cellStyle name="Normal 2 6 4 3 2 2 29" xfId="53285"/>
    <cellStyle name="Normal 2 6 4 3 2 2 3" xfId="5986"/>
    <cellStyle name="Normal 2 6 4 3 2 2 30" xfId="55037"/>
    <cellStyle name="Normal 2 6 4 3 2 2 31" xfId="56789"/>
    <cellStyle name="Normal 2 6 4 3 2 2 32" xfId="58542"/>
    <cellStyle name="Normal 2 6 4 3 2 2 33" xfId="60294"/>
    <cellStyle name="Normal 2 6 4 3 2 2 34" xfId="62046"/>
    <cellStyle name="Normal 2 6 4 3 2 2 4" xfId="7738"/>
    <cellStyle name="Normal 2 6 4 3 2 2 5" xfId="9490"/>
    <cellStyle name="Normal 2 6 4 3 2 2 6" xfId="11243"/>
    <cellStyle name="Normal 2 6 4 3 2 2 7" xfId="12995"/>
    <cellStyle name="Normal 2 6 4 3 2 2 8" xfId="14747"/>
    <cellStyle name="Normal 2 6 4 3 2 2 9" xfId="16499"/>
    <cellStyle name="Normal 2 6 4 3 2 20" xfId="33147"/>
    <cellStyle name="Normal 2 6 4 3 2 21" xfId="34484"/>
    <cellStyle name="Normal 2 6 4 3 2 22" xfId="35783"/>
    <cellStyle name="Normal 2 6 4 3 2 23" xfId="37105"/>
    <cellStyle name="Normal 2 6 4 3 2 24" xfId="39276"/>
    <cellStyle name="Normal 2 6 4 3 2 25" xfId="41031"/>
    <cellStyle name="Normal 2 6 4 3 2 26" xfId="42783"/>
    <cellStyle name="Normal 2 6 4 3 2 27" xfId="44105"/>
    <cellStyle name="Normal 2 6 4 3 2 28" xfId="45401"/>
    <cellStyle name="Normal 2 6 4 3 2 29" xfId="47153"/>
    <cellStyle name="Normal 2 6 4 3 2 3" xfId="3358"/>
    <cellStyle name="Normal 2 6 4 3 2 30" xfId="48905"/>
    <cellStyle name="Normal 2 6 4 3 2 31" xfId="50657"/>
    <cellStyle name="Normal 2 6 4 3 2 32" xfId="52409"/>
    <cellStyle name="Normal 2 6 4 3 2 33" xfId="54161"/>
    <cellStyle name="Normal 2 6 4 3 2 34" xfId="55913"/>
    <cellStyle name="Normal 2 6 4 3 2 35" xfId="57666"/>
    <cellStyle name="Normal 2 6 4 3 2 36" xfId="59418"/>
    <cellStyle name="Normal 2 6 4 3 2 37" xfId="61170"/>
    <cellStyle name="Normal 2 6 4 3 2 38" xfId="62492"/>
    <cellStyle name="Normal 2 6 4 3 2 39" xfId="63358"/>
    <cellStyle name="Normal 2 6 4 3 2 4" xfId="5110"/>
    <cellStyle name="Normal 2 6 4 3 2 5" xfId="6862"/>
    <cellStyle name="Normal 2 6 4 3 2 6" xfId="8614"/>
    <cellStyle name="Normal 2 6 4 3 2 7" xfId="10367"/>
    <cellStyle name="Normal 2 6 4 3 2 8" xfId="12119"/>
    <cellStyle name="Normal 2 6 4 3 2 9" xfId="13871"/>
    <cellStyle name="Normal 2 6 4 3 20" xfId="30958"/>
    <cellStyle name="Normal 2 6 4 3 21" xfId="32711"/>
    <cellStyle name="Normal 2 6 4 3 22" xfId="34483"/>
    <cellStyle name="Normal 2 6 4 3 23" xfId="35347"/>
    <cellStyle name="Normal 2 6 4 3 24" xfId="37104"/>
    <cellStyle name="Normal 2 6 4 3 25" xfId="38840"/>
    <cellStyle name="Normal 2 6 4 3 26" xfId="40595"/>
    <cellStyle name="Normal 2 6 4 3 27" xfId="42347"/>
    <cellStyle name="Normal 2 6 4 3 28" xfId="44104"/>
    <cellStyle name="Normal 2 6 4 3 29" xfId="44965"/>
    <cellStyle name="Normal 2 6 4 3 3" xfId="1091"/>
    <cellStyle name="Normal 2 6 4 3 3 10" xfId="17816"/>
    <cellStyle name="Normal 2 6 4 3 3 11" xfId="19568"/>
    <cellStyle name="Normal 2 6 4 3 3 12" xfId="21321"/>
    <cellStyle name="Normal 2 6 4 3 3 13" xfId="23073"/>
    <cellStyle name="Normal 2 6 4 3 3 14" xfId="24825"/>
    <cellStyle name="Normal 2 6 4 3 3 15" xfId="26577"/>
    <cellStyle name="Normal 2 6 4 3 3 16" xfId="28329"/>
    <cellStyle name="Normal 2 6 4 3 3 17" xfId="30082"/>
    <cellStyle name="Normal 2 6 4 3 3 18" xfId="31834"/>
    <cellStyle name="Normal 2 6 4 3 3 19" xfId="33587"/>
    <cellStyle name="Normal 2 6 4 3 3 2" xfId="3798"/>
    <cellStyle name="Normal 2 6 4 3 3 20" xfId="36223"/>
    <cellStyle name="Normal 2 6 4 3 3 21" xfId="37963"/>
    <cellStyle name="Normal 2 6 4 3 3 22" xfId="39716"/>
    <cellStyle name="Normal 2 6 4 3 3 23" xfId="41471"/>
    <cellStyle name="Normal 2 6 4 3 3 24" xfId="43223"/>
    <cellStyle name="Normal 2 6 4 3 3 25" xfId="45841"/>
    <cellStyle name="Normal 2 6 4 3 3 26" xfId="47593"/>
    <cellStyle name="Normal 2 6 4 3 3 27" xfId="49345"/>
    <cellStyle name="Normal 2 6 4 3 3 28" xfId="51097"/>
    <cellStyle name="Normal 2 6 4 3 3 29" xfId="52849"/>
    <cellStyle name="Normal 2 6 4 3 3 3" xfId="5550"/>
    <cellStyle name="Normal 2 6 4 3 3 30" xfId="54601"/>
    <cellStyle name="Normal 2 6 4 3 3 31" xfId="56353"/>
    <cellStyle name="Normal 2 6 4 3 3 32" xfId="58106"/>
    <cellStyle name="Normal 2 6 4 3 3 33" xfId="59858"/>
    <cellStyle name="Normal 2 6 4 3 3 34" xfId="61610"/>
    <cellStyle name="Normal 2 6 4 3 3 4" xfId="7302"/>
    <cellStyle name="Normal 2 6 4 3 3 5" xfId="9054"/>
    <cellStyle name="Normal 2 6 4 3 3 6" xfId="10807"/>
    <cellStyle name="Normal 2 6 4 3 3 7" xfId="12559"/>
    <cellStyle name="Normal 2 6 4 3 3 8" xfId="14311"/>
    <cellStyle name="Normal 2 6 4 3 3 9" xfId="16063"/>
    <cellStyle name="Normal 2 6 4 3 30" xfId="46717"/>
    <cellStyle name="Normal 2 6 4 3 31" xfId="48469"/>
    <cellStyle name="Normal 2 6 4 3 32" xfId="50221"/>
    <cellStyle name="Normal 2 6 4 3 33" xfId="51973"/>
    <cellStyle name="Normal 2 6 4 3 34" xfId="53725"/>
    <cellStyle name="Normal 2 6 4 3 35" xfId="55477"/>
    <cellStyle name="Normal 2 6 4 3 36" xfId="57230"/>
    <cellStyle name="Normal 2 6 4 3 37" xfId="58982"/>
    <cellStyle name="Normal 2 6 4 3 38" xfId="60734"/>
    <cellStyle name="Normal 2 6 4 3 39" xfId="62491"/>
    <cellStyle name="Normal 2 6 4 3 4" xfId="2922"/>
    <cellStyle name="Normal 2 6 4 3 40" xfId="63357"/>
    <cellStyle name="Normal 2 6 4 3 5" xfId="4674"/>
    <cellStyle name="Normal 2 6 4 3 6" xfId="6426"/>
    <cellStyle name="Normal 2 6 4 3 7" xfId="8178"/>
    <cellStyle name="Normal 2 6 4 3 8" xfId="9931"/>
    <cellStyle name="Normal 2 6 4 3 9" xfId="11683"/>
    <cellStyle name="Normal 2 6 4 30" xfId="44099"/>
    <cellStyle name="Normal 2 6 4 31" xfId="44752"/>
    <cellStyle name="Normal 2 6 4 32" xfId="46504"/>
    <cellStyle name="Normal 2 6 4 33" xfId="48256"/>
    <cellStyle name="Normal 2 6 4 34" xfId="50008"/>
    <cellStyle name="Normal 2 6 4 35" xfId="51760"/>
    <cellStyle name="Normal 2 6 4 36" xfId="53512"/>
    <cellStyle name="Normal 2 6 4 37" xfId="55264"/>
    <cellStyle name="Normal 2 6 4 38" xfId="57017"/>
    <cellStyle name="Normal 2 6 4 39" xfId="58769"/>
    <cellStyle name="Normal 2 6 4 4" xfId="1092"/>
    <cellStyle name="Normal 2 6 4 4 10" xfId="15410"/>
    <cellStyle name="Normal 2 6 4 4 11" xfId="17163"/>
    <cellStyle name="Normal 2 6 4 4 12" xfId="18915"/>
    <cellStyle name="Normal 2 6 4 4 13" xfId="20668"/>
    <cellStyle name="Normal 2 6 4 4 14" xfId="22420"/>
    <cellStyle name="Normal 2 6 4 4 15" xfId="24172"/>
    <cellStyle name="Normal 2 6 4 4 16" xfId="25924"/>
    <cellStyle name="Normal 2 6 4 4 17" xfId="27676"/>
    <cellStyle name="Normal 2 6 4 4 18" xfId="29429"/>
    <cellStyle name="Normal 2 6 4 4 19" xfId="31181"/>
    <cellStyle name="Normal 2 6 4 4 2" xfId="1093"/>
    <cellStyle name="Normal 2 6 4 4 2 10" xfId="18039"/>
    <cellStyle name="Normal 2 6 4 4 2 11" xfId="19791"/>
    <cellStyle name="Normal 2 6 4 4 2 12" xfId="21544"/>
    <cellStyle name="Normal 2 6 4 4 2 13" xfId="23296"/>
    <cellStyle name="Normal 2 6 4 4 2 14" xfId="25048"/>
    <cellStyle name="Normal 2 6 4 4 2 15" xfId="26800"/>
    <cellStyle name="Normal 2 6 4 4 2 16" xfId="28552"/>
    <cellStyle name="Normal 2 6 4 4 2 17" xfId="30305"/>
    <cellStyle name="Normal 2 6 4 4 2 18" xfId="32057"/>
    <cellStyle name="Normal 2 6 4 4 2 19" xfId="33810"/>
    <cellStyle name="Normal 2 6 4 4 2 2" xfId="4021"/>
    <cellStyle name="Normal 2 6 4 4 2 20" xfId="36446"/>
    <cellStyle name="Normal 2 6 4 4 2 21" xfId="38186"/>
    <cellStyle name="Normal 2 6 4 4 2 22" xfId="39939"/>
    <cellStyle name="Normal 2 6 4 4 2 23" xfId="41694"/>
    <cellStyle name="Normal 2 6 4 4 2 24" xfId="43446"/>
    <cellStyle name="Normal 2 6 4 4 2 25" xfId="46064"/>
    <cellStyle name="Normal 2 6 4 4 2 26" xfId="47816"/>
    <cellStyle name="Normal 2 6 4 4 2 27" xfId="49568"/>
    <cellStyle name="Normal 2 6 4 4 2 28" xfId="51320"/>
    <cellStyle name="Normal 2 6 4 4 2 29" xfId="53072"/>
    <cellStyle name="Normal 2 6 4 4 2 3" xfId="5773"/>
    <cellStyle name="Normal 2 6 4 4 2 30" xfId="54824"/>
    <cellStyle name="Normal 2 6 4 4 2 31" xfId="56576"/>
    <cellStyle name="Normal 2 6 4 4 2 32" xfId="58329"/>
    <cellStyle name="Normal 2 6 4 4 2 33" xfId="60081"/>
    <cellStyle name="Normal 2 6 4 4 2 34" xfId="61833"/>
    <cellStyle name="Normal 2 6 4 4 2 4" xfId="7525"/>
    <cellStyle name="Normal 2 6 4 4 2 5" xfId="9277"/>
    <cellStyle name="Normal 2 6 4 4 2 6" xfId="11030"/>
    <cellStyle name="Normal 2 6 4 4 2 7" xfId="12782"/>
    <cellStyle name="Normal 2 6 4 4 2 8" xfId="14534"/>
    <cellStyle name="Normal 2 6 4 4 2 9" xfId="16286"/>
    <cellStyle name="Normal 2 6 4 4 20" xfId="32934"/>
    <cellStyle name="Normal 2 6 4 4 21" xfId="34485"/>
    <cellStyle name="Normal 2 6 4 4 22" xfId="35570"/>
    <cellStyle name="Normal 2 6 4 4 23" xfId="37106"/>
    <cellStyle name="Normal 2 6 4 4 24" xfId="39063"/>
    <cellStyle name="Normal 2 6 4 4 25" xfId="40818"/>
    <cellStyle name="Normal 2 6 4 4 26" xfId="42570"/>
    <cellStyle name="Normal 2 6 4 4 27" xfId="44106"/>
    <cellStyle name="Normal 2 6 4 4 28" xfId="45188"/>
    <cellStyle name="Normal 2 6 4 4 29" xfId="46940"/>
    <cellStyle name="Normal 2 6 4 4 3" xfId="3145"/>
    <cellStyle name="Normal 2 6 4 4 30" xfId="48692"/>
    <cellStyle name="Normal 2 6 4 4 31" xfId="50444"/>
    <cellStyle name="Normal 2 6 4 4 32" xfId="52196"/>
    <cellStyle name="Normal 2 6 4 4 33" xfId="53948"/>
    <cellStyle name="Normal 2 6 4 4 34" xfId="55700"/>
    <cellStyle name="Normal 2 6 4 4 35" xfId="57453"/>
    <cellStyle name="Normal 2 6 4 4 36" xfId="59205"/>
    <cellStyle name="Normal 2 6 4 4 37" xfId="60957"/>
    <cellStyle name="Normal 2 6 4 4 38" xfId="62493"/>
    <cellStyle name="Normal 2 6 4 4 39" xfId="63359"/>
    <cellStyle name="Normal 2 6 4 4 4" xfId="4897"/>
    <cellStyle name="Normal 2 6 4 4 5" xfId="6649"/>
    <cellStyle name="Normal 2 6 4 4 6" xfId="8401"/>
    <cellStyle name="Normal 2 6 4 4 7" xfId="10154"/>
    <cellStyle name="Normal 2 6 4 4 8" xfId="11906"/>
    <cellStyle name="Normal 2 6 4 4 9" xfId="13658"/>
    <cellStyle name="Normal 2 6 4 40" xfId="60521"/>
    <cellStyle name="Normal 2 6 4 41" xfId="62486"/>
    <cellStyle name="Normal 2 6 4 42" xfId="63352"/>
    <cellStyle name="Normal 2 6 4 5" xfId="1094"/>
    <cellStyle name="Normal 2 6 4 5 10" xfId="17603"/>
    <cellStyle name="Normal 2 6 4 5 11" xfId="19355"/>
    <cellStyle name="Normal 2 6 4 5 12" xfId="21108"/>
    <cellStyle name="Normal 2 6 4 5 13" xfId="22860"/>
    <cellStyle name="Normal 2 6 4 5 14" xfId="24612"/>
    <cellStyle name="Normal 2 6 4 5 15" xfId="26364"/>
    <cellStyle name="Normal 2 6 4 5 16" xfId="28116"/>
    <cellStyle name="Normal 2 6 4 5 17" xfId="29869"/>
    <cellStyle name="Normal 2 6 4 5 18" xfId="31621"/>
    <cellStyle name="Normal 2 6 4 5 19" xfId="33374"/>
    <cellStyle name="Normal 2 6 4 5 2" xfId="3585"/>
    <cellStyle name="Normal 2 6 4 5 20" xfId="36010"/>
    <cellStyle name="Normal 2 6 4 5 21" xfId="37730"/>
    <cellStyle name="Normal 2 6 4 5 22" xfId="39503"/>
    <cellStyle name="Normal 2 6 4 5 23" xfId="41258"/>
    <cellStyle name="Normal 2 6 4 5 24" xfId="43010"/>
    <cellStyle name="Normal 2 6 4 5 25" xfId="45628"/>
    <cellStyle name="Normal 2 6 4 5 26" xfId="47380"/>
    <cellStyle name="Normal 2 6 4 5 27" xfId="49132"/>
    <cellStyle name="Normal 2 6 4 5 28" xfId="50884"/>
    <cellStyle name="Normal 2 6 4 5 29" xfId="52636"/>
    <cellStyle name="Normal 2 6 4 5 3" xfId="5337"/>
    <cellStyle name="Normal 2 6 4 5 30" xfId="54388"/>
    <cellStyle name="Normal 2 6 4 5 31" xfId="56140"/>
    <cellStyle name="Normal 2 6 4 5 32" xfId="57893"/>
    <cellStyle name="Normal 2 6 4 5 33" xfId="59645"/>
    <cellStyle name="Normal 2 6 4 5 34" xfId="61397"/>
    <cellStyle name="Normal 2 6 4 5 4" xfId="7089"/>
    <cellStyle name="Normal 2 6 4 5 5" xfId="8841"/>
    <cellStyle name="Normal 2 6 4 5 6" xfId="10594"/>
    <cellStyle name="Normal 2 6 4 5 7" xfId="12346"/>
    <cellStyle name="Normal 2 6 4 5 8" xfId="14098"/>
    <cellStyle name="Normal 2 6 4 5 9" xfId="15850"/>
    <cellStyle name="Normal 2 6 4 6" xfId="2709"/>
    <cellStyle name="Normal 2 6 4 7" xfId="4461"/>
    <cellStyle name="Normal 2 6 4 8" xfId="6213"/>
    <cellStyle name="Normal 2 6 4 9" xfId="7965"/>
    <cellStyle name="Normal 2 6 40" xfId="55209"/>
    <cellStyle name="Normal 2 6 41" xfId="56962"/>
    <cellStyle name="Normal 2 6 42" xfId="58714"/>
    <cellStyle name="Normal 2 6 43" xfId="60466"/>
    <cellStyle name="Normal 2 6 44" xfId="62485"/>
    <cellStyle name="Normal 2 6 45" xfId="63351"/>
    <cellStyle name="Normal 2 6 5" xfId="1095"/>
    <cellStyle name="Normal 2 6 5 10" xfId="11523"/>
    <cellStyle name="Normal 2 6 5 11" xfId="13275"/>
    <cellStyle name="Normal 2 6 5 12" xfId="15027"/>
    <cellStyle name="Normal 2 6 5 13" xfId="16780"/>
    <cellStyle name="Normal 2 6 5 14" xfId="18532"/>
    <cellStyle name="Normal 2 6 5 15" xfId="20285"/>
    <cellStyle name="Normal 2 6 5 16" xfId="22037"/>
    <cellStyle name="Normal 2 6 5 17" xfId="23789"/>
    <cellStyle name="Normal 2 6 5 18" xfId="25541"/>
    <cellStyle name="Normal 2 6 5 19" xfId="27293"/>
    <cellStyle name="Normal 2 6 5 2" xfId="1096"/>
    <cellStyle name="Normal 2 6 5 2 10" xfId="13436"/>
    <cellStyle name="Normal 2 6 5 2 11" xfId="15188"/>
    <cellStyle name="Normal 2 6 5 2 12" xfId="16941"/>
    <cellStyle name="Normal 2 6 5 2 13" xfId="18693"/>
    <cellStyle name="Normal 2 6 5 2 14" xfId="20446"/>
    <cellStyle name="Normal 2 6 5 2 15" xfId="22198"/>
    <cellStyle name="Normal 2 6 5 2 16" xfId="23950"/>
    <cellStyle name="Normal 2 6 5 2 17" xfId="25702"/>
    <cellStyle name="Normal 2 6 5 2 18" xfId="27454"/>
    <cellStyle name="Normal 2 6 5 2 19" xfId="29207"/>
    <cellStyle name="Normal 2 6 5 2 2" xfId="1097"/>
    <cellStyle name="Normal 2 6 5 2 2 10" xfId="15624"/>
    <cellStyle name="Normal 2 6 5 2 2 11" xfId="17377"/>
    <cellStyle name="Normal 2 6 5 2 2 12" xfId="19129"/>
    <cellStyle name="Normal 2 6 5 2 2 13" xfId="20882"/>
    <cellStyle name="Normal 2 6 5 2 2 14" xfId="22634"/>
    <cellStyle name="Normal 2 6 5 2 2 15" xfId="24386"/>
    <cellStyle name="Normal 2 6 5 2 2 16" xfId="26138"/>
    <cellStyle name="Normal 2 6 5 2 2 17" xfId="27890"/>
    <cellStyle name="Normal 2 6 5 2 2 18" xfId="29643"/>
    <cellStyle name="Normal 2 6 5 2 2 19" xfId="31395"/>
    <cellStyle name="Normal 2 6 5 2 2 2" xfId="1098"/>
    <cellStyle name="Normal 2 6 5 2 2 2 10" xfId="18253"/>
    <cellStyle name="Normal 2 6 5 2 2 2 11" xfId="20005"/>
    <cellStyle name="Normal 2 6 5 2 2 2 12" xfId="21758"/>
    <cellStyle name="Normal 2 6 5 2 2 2 13" xfId="23510"/>
    <cellStyle name="Normal 2 6 5 2 2 2 14" xfId="25262"/>
    <cellStyle name="Normal 2 6 5 2 2 2 15" xfId="27014"/>
    <cellStyle name="Normal 2 6 5 2 2 2 16" xfId="28766"/>
    <cellStyle name="Normal 2 6 5 2 2 2 17" xfId="30519"/>
    <cellStyle name="Normal 2 6 5 2 2 2 18" xfId="32271"/>
    <cellStyle name="Normal 2 6 5 2 2 2 19" xfId="34024"/>
    <cellStyle name="Normal 2 6 5 2 2 2 2" xfId="4235"/>
    <cellStyle name="Normal 2 6 5 2 2 2 20" xfId="36660"/>
    <cellStyle name="Normal 2 6 5 2 2 2 21" xfId="38400"/>
    <cellStyle name="Normal 2 6 5 2 2 2 22" xfId="40153"/>
    <cellStyle name="Normal 2 6 5 2 2 2 23" xfId="41908"/>
    <cellStyle name="Normal 2 6 5 2 2 2 24" xfId="43660"/>
    <cellStyle name="Normal 2 6 5 2 2 2 25" xfId="46278"/>
    <cellStyle name="Normal 2 6 5 2 2 2 26" xfId="48030"/>
    <cellStyle name="Normal 2 6 5 2 2 2 27" xfId="49782"/>
    <cellStyle name="Normal 2 6 5 2 2 2 28" xfId="51534"/>
    <cellStyle name="Normal 2 6 5 2 2 2 29" xfId="53286"/>
    <cellStyle name="Normal 2 6 5 2 2 2 3" xfId="5987"/>
    <cellStyle name="Normal 2 6 5 2 2 2 30" xfId="55038"/>
    <cellStyle name="Normal 2 6 5 2 2 2 31" xfId="56790"/>
    <cellStyle name="Normal 2 6 5 2 2 2 32" xfId="58543"/>
    <cellStyle name="Normal 2 6 5 2 2 2 33" xfId="60295"/>
    <cellStyle name="Normal 2 6 5 2 2 2 34" xfId="62047"/>
    <cellStyle name="Normal 2 6 5 2 2 2 4" xfId="7739"/>
    <cellStyle name="Normal 2 6 5 2 2 2 5" xfId="9491"/>
    <cellStyle name="Normal 2 6 5 2 2 2 6" xfId="11244"/>
    <cellStyle name="Normal 2 6 5 2 2 2 7" xfId="12996"/>
    <cellStyle name="Normal 2 6 5 2 2 2 8" xfId="14748"/>
    <cellStyle name="Normal 2 6 5 2 2 2 9" xfId="16500"/>
    <cellStyle name="Normal 2 6 5 2 2 20" xfId="33148"/>
    <cellStyle name="Normal 2 6 5 2 2 21" xfId="34488"/>
    <cellStyle name="Normal 2 6 5 2 2 22" xfId="35784"/>
    <cellStyle name="Normal 2 6 5 2 2 23" xfId="37109"/>
    <cellStyle name="Normal 2 6 5 2 2 24" xfId="39277"/>
    <cellStyle name="Normal 2 6 5 2 2 25" xfId="41032"/>
    <cellStyle name="Normal 2 6 5 2 2 26" xfId="42784"/>
    <cellStyle name="Normal 2 6 5 2 2 27" xfId="44109"/>
    <cellStyle name="Normal 2 6 5 2 2 28" xfId="45402"/>
    <cellStyle name="Normal 2 6 5 2 2 29" xfId="47154"/>
    <cellStyle name="Normal 2 6 5 2 2 3" xfId="3359"/>
    <cellStyle name="Normal 2 6 5 2 2 30" xfId="48906"/>
    <cellStyle name="Normal 2 6 5 2 2 31" xfId="50658"/>
    <cellStyle name="Normal 2 6 5 2 2 32" xfId="52410"/>
    <cellStyle name="Normal 2 6 5 2 2 33" xfId="54162"/>
    <cellStyle name="Normal 2 6 5 2 2 34" xfId="55914"/>
    <cellStyle name="Normal 2 6 5 2 2 35" xfId="57667"/>
    <cellStyle name="Normal 2 6 5 2 2 36" xfId="59419"/>
    <cellStyle name="Normal 2 6 5 2 2 37" xfId="61171"/>
    <cellStyle name="Normal 2 6 5 2 2 38" xfId="62496"/>
    <cellStyle name="Normal 2 6 5 2 2 39" xfId="63362"/>
    <cellStyle name="Normal 2 6 5 2 2 4" xfId="5111"/>
    <cellStyle name="Normal 2 6 5 2 2 5" xfId="6863"/>
    <cellStyle name="Normal 2 6 5 2 2 6" xfId="8615"/>
    <cellStyle name="Normal 2 6 5 2 2 7" xfId="10368"/>
    <cellStyle name="Normal 2 6 5 2 2 8" xfId="12120"/>
    <cellStyle name="Normal 2 6 5 2 2 9" xfId="13872"/>
    <cellStyle name="Normal 2 6 5 2 20" xfId="30959"/>
    <cellStyle name="Normal 2 6 5 2 21" xfId="32712"/>
    <cellStyle name="Normal 2 6 5 2 22" xfId="34487"/>
    <cellStyle name="Normal 2 6 5 2 23" xfId="35348"/>
    <cellStyle name="Normal 2 6 5 2 24" xfId="37108"/>
    <cellStyle name="Normal 2 6 5 2 25" xfId="38841"/>
    <cellStyle name="Normal 2 6 5 2 26" xfId="40596"/>
    <cellStyle name="Normal 2 6 5 2 27" xfId="42348"/>
    <cellStyle name="Normal 2 6 5 2 28" xfId="44108"/>
    <cellStyle name="Normal 2 6 5 2 29" xfId="44966"/>
    <cellStyle name="Normal 2 6 5 2 3" xfId="1099"/>
    <cellStyle name="Normal 2 6 5 2 3 10" xfId="17817"/>
    <cellStyle name="Normal 2 6 5 2 3 11" xfId="19569"/>
    <cellStyle name="Normal 2 6 5 2 3 12" xfId="21322"/>
    <cellStyle name="Normal 2 6 5 2 3 13" xfId="23074"/>
    <cellStyle name="Normal 2 6 5 2 3 14" xfId="24826"/>
    <cellStyle name="Normal 2 6 5 2 3 15" xfId="26578"/>
    <cellStyle name="Normal 2 6 5 2 3 16" xfId="28330"/>
    <cellStyle name="Normal 2 6 5 2 3 17" xfId="30083"/>
    <cellStyle name="Normal 2 6 5 2 3 18" xfId="31835"/>
    <cellStyle name="Normal 2 6 5 2 3 19" xfId="33588"/>
    <cellStyle name="Normal 2 6 5 2 3 2" xfId="3799"/>
    <cellStyle name="Normal 2 6 5 2 3 20" xfId="36224"/>
    <cellStyle name="Normal 2 6 5 2 3 21" xfId="37964"/>
    <cellStyle name="Normal 2 6 5 2 3 22" xfId="39717"/>
    <cellStyle name="Normal 2 6 5 2 3 23" xfId="41472"/>
    <cellStyle name="Normal 2 6 5 2 3 24" xfId="43224"/>
    <cellStyle name="Normal 2 6 5 2 3 25" xfId="45842"/>
    <cellStyle name="Normal 2 6 5 2 3 26" xfId="47594"/>
    <cellStyle name="Normal 2 6 5 2 3 27" xfId="49346"/>
    <cellStyle name="Normal 2 6 5 2 3 28" xfId="51098"/>
    <cellStyle name="Normal 2 6 5 2 3 29" xfId="52850"/>
    <cellStyle name="Normal 2 6 5 2 3 3" xfId="5551"/>
    <cellStyle name="Normal 2 6 5 2 3 30" xfId="54602"/>
    <cellStyle name="Normal 2 6 5 2 3 31" xfId="56354"/>
    <cellStyle name="Normal 2 6 5 2 3 32" xfId="58107"/>
    <cellStyle name="Normal 2 6 5 2 3 33" xfId="59859"/>
    <cellStyle name="Normal 2 6 5 2 3 34" xfId="61611"/>
    <cellStyle name="Normal 2 6 5 2 3 4" xfId="7303"/>
    <cellStyle name="Normal 2 6 5 2 3 5" xfId="9055"/>
    <cellStyle name="Normal 2 6 5 2 3 6" xfId="10808"/>
    <cellStyle name="Normal 2 6 5 2 3 7" xfId="12560"/>
    <cellStyle name="Normal 2 6 5 2 3 8" xfId="14312"/>
    <cellStyle name="Normal 2 6 5 2 3 9" xfId="16064"/>
    <cellStyle name="Normal 2 6 5 2 30" xfId="46718"/>
    <cellStyle name="Normal 2 6 5 2 31" xfId="48470"/>
    <cellStyle name="Normal 2 6 5 2 32" xfId="50222"/>
    <cellStyle name="Normal 2 6 5 2 33" xfId="51974"/>
    <cellStyle name="Normal 2 6 5 2 34" xfId="53726"/>
    <cellStyle name="Normal 2 6 5 2 35" xfId="55478"/>
    <cellStyle name="Normal 2 6 5 2 36" xfId="57231"/>
    <cellStyle name="Normal 2 6 5 2 37" xfId="58983"/>
    <cellStyle name="Normal 2 6 5 2 38" xfId="60735"/>
    <cellStyle name="Normal 2 6 5 2 39" xfId="62495"/>
    <cellStyle name="Normal 2 6 5 2 4" xfId="2923"/>
    <cellStyle name="Normal 2 6 5 2 40" xfId="63361"/>
    <cellStyle name="Normal 2 6 5 2 5" xfId="4675"/>
    <cellStyle name="Normal 2 6 5 2 6" xfId="6427"/>
    <cellStyle name="Normal 2 6 5 2 7" xfId="8179"/>
    <cellStyle name="Normal 2 6 5 2 8" xfId="9932"/>
    <cellStyle name="Normal 2 6 5 2 9" xfId="11684"/>
    <cellStyle name="Normal 2 6 5 20" xfId="29046"/>
    <cellStyle name="Normal 2 6 5 21" xfId="30798"/>
    <cellStyle name="Normal 2 6 5 22" xfId="32551"/>
    <cellStyle name="Normal 2 6 5 23" xfId="34486"/>
    <cellStyle name="Normal 2 6 5 24" xfId="35187"/>
    <cellStyle name="Normal 2 6 5 25" xfId="37107"/>
    <cellStyle name="Normal 2 6 5 26" xfId="38680"/>
    <cellStyle name="Normal 2 6 5 27" xfId="40435"/>
    <cellStyle name="Normal 2 6 5 28" xfId="42187"/>
    <cellStyle name="Normal 2 6 5 29" xfId="44107"/>
    <cellStyle name="Normal 2 6 5 3" xfId="1100"/>
    <cellStyle name="Normal 2 6 5 3 10" xfId="15463"/>
    <cellStyle name="Normal 2 6 5 3 11" xfId="17216"/>
    <cellStyle name="Normal 2 6 5 3 12" xfId="18968"/>
    <cellStyle name="Normal 2 6 5 3 13" xfId="20721"/>
    <cellStyle name="Normal 2 6 5 3 14" xfId="22473"/>
    <cellStyle name="Normal 2 6 5 3 15" xfId="24225"/>
    <cellStyle name="Normal 2 6 5 3 16" xfId="25977"/>
    <cellStyle name="Normal 2 6 5 3 17" xfId="27729"/>
    <cellStyle name="Normal 2 6 5 3 18" xfId="29482"/>
    <cellStyle name="Normal 2 6 5 3 19" xfId="31234"/>
    <cellStyle name="Normal 2 6 5 3 2" xfId="1101"/>
    <cellStyle name="Normal 2 6 5 3 2 10" xfId="18092"/>
    <cellStyle name="Normal 2 6 5 3 2 11" xfId="19844"/>
    <cellStyle name="Normal 2 6 5 3 2 12" xfId="21597"/>
    <cellStyle name="Normal 2 6 5 3 2 13" xfId="23349"/>
    <cellStyle name="Normal 2 6 5 3 2 14" xfId="25101"/>
    <cellStyle name="Normal 2 6 5 3 2 15" xfId="26853"/>
    <cellStyle name="Normal 2 6 5 3 2 16" xfId="28605"/>
    <cellStyle name="Normal 2 6 5 3 2 17" xfId="30358"/>
    <cellStyle name="Normal 2 6 5 3 2 18" xfId="32110"/>
    <cellStyle name="Normal 2 6 5 3 2 19" xfId="33863"/>
    <cellStyle name="Normal 2 6 5 3 2 2" xfId="4074"/>
    <cellStyle name="Normal 2 6 5 3 2 20" xfId="36499"/>
    <cellStyle name="Normal 2 6 5 3 2 21" xfId="38239"/>
    <cellStyle name="Normal 2 6 5 3 2 22" xfId="39992"/>
    <cellStyle name="Normal 2 6 5 3 2 23" xfId="41747"/>
    <cellStyle name="Normal 2 6 5 3 2 24" xfId="43499"/>
    <cellStyle name="Normal 2 6 5 3 2 25" xfId="46117"/>
    <cellStyle name="Normal 2 6 5 3 2 26" xfId="47869"/>
    <cellStyle name="Normal 2 6 5 3 2 27" xfId="49621"/>
    <cellStyle name="Normal 2 6 5 3 2 28" xfId="51373"/>
    <cellStyle name="Normal 2 6 5 3 2 29" xfId="53125"/>
    <cellStyle name="Normal 2 6 5 3 2 3" xfId="5826"/>
    <cellStyle name="Normal 2 6 5 3 2 30" xfId="54877"/>
    <cellStyle name="Normal 2 6 5 3 2 31" xfId="56629"/>
    <cellStyle name="Normal 2 6 5 3 2 32" xfId="58382"/>
    <cellStyle name="Normal 2 6 5 3 2 33" xfId="60134"/>
    <cellStyle name="Normal 2 6 5 3 2 34" xfId="61886"/>
    <cellStyle name="Normal 2 6 5 3 2 4" xfId="7578"/>
    <cellStyle name="Normal 2 6 5 3 2 5" xfId="9330"/>
    <cellStyle name="Normal 2 6 5 3 2 6" xfId="11083"/>
    <cellStyle name="Normal 2 6 5 3 2 7" xfId="12835"/>
    <cellStyle name="Normal 2 6 5 3 2 8" xfId="14587"/>
    <cellStyle name="Normal 2 6 5 3 2 9" xfId="16339"/>
    <cellStyle name="Normal 2 6 5 3 20" xfId="32987"/>
    <cellStyle name="Normal 2 6 5 3 21" xfId="34489"/>
    <cellStyle name="Normal 2 6 5 3 22" xfId="35623"/>
    <cellStyle name="Normal 2 6 5 3 23" xfId="37110"/>
    <cellStyle name="Normal 2 6 5 3 24" xfId="39116"/>
    <cellStyle name="Normal 2 6 5 3 25" xfId="40871"/>
    <cellStyle name="Normal 2 6 5 3 26" xfId="42623"/>
    <cellStyle name="Normal 2 6 5 3 27" xfId="44110"/>
    <cellStyle name="Normal 2 6 5 3 28" xfId="45241"/>
    <cellStyle name="Normal 2 6 5 3 29" xfId="46993"/>
    <cellStyle name="Normal 2 6 5 3 3" xfId="3198"/>
    <cellStyle name="Normal 2 6 5 3 30" xfId="48745"/>
    <cellStyle name="Normal 2 6 5 3 31" xfId="50497"/>
    <cellStyle name="Normal 2 6 5 3 32" xfId="52249"/>
    <cellStyle name="Normal 2 6 5 3 33" xfId="54001"/>
    <cellStyle name="Normal 2 6 5 3 34" xfId="55753"/>
    <cellStyle name="Normal 2 6 5 3 35" xfId="57506"/>
    <cellStyle name="Normal 2 6 5 3 36" xfId="59258"/>
    <cellStyle name="Normal 2 6 5 3 37" xfId="61010"/>
    <cellStyle name="Normal 2 6 5 3 38" xfId="62497"/>
    <cellStyle name="Normal 2 6 5 3 39" xfId="63363"/>
    <cellStyle name="Normal 2 6 5 3 4" xfId="4950"/>
    <cellStyle name="Normal 2 6 5 3 5" xfId="6702"/>
    <cellStyle name="Normal 2 6 5 3 6" xfId="8454"/>
    <cellStyle name="Normal 2 6 5 3 7" xfId="10207"/>
    <cellStyle name="Normal 2 6 5 3 8" xfId="11959"/>
    <cellStyle name="Normal 2 6 5 3 9" xfId="13711"/>
    <cellStyle name="Normal 2 6 5 30" xfId="44805"/>
    <cellStyle name="Normal 2 6 5 31" xfId="46557"/>
    <cellStyle name="Normal 2 6 5 32" xfId="48309"/>
    <cellStyle name="Normal 2 6 5 33" xfId="50061"/>
    <cellStyle name="Normal 2 6 5 34" xfId="51813"/>
    <cellStyle name="Normal 2 6 5 35" xfId="53565"/>
    <cellStyle name="Normal 2 6 5 36" xfId="55317"/>
    <cellStyle name="Normal 2 6 5 37" xfId="57070"/>
    <cellStyle name="Normal 2 6 5 38" xfId="58822"/>
    <cellStyle name="Normal 2 6 5 39" xfId="60574"/>
    <cellStyle name="Normal 2 6 5 4" xfId="1102"/>
    <cellStyle name="Normal 2 6 5 4 10" xfId="17656"/>
    <cellStyle name="Normal 2 6 5 4 11" xfId="19408"/>
    <cellStyle name="Normal 2 6 5 4 12" xfId="21161"/>
    <cellStyle name="Normal 2 6 5 4 13" xfId="22913"/>
    <cellStyle name="Normal 2 6 5 4 14" xfId="24665"/>
    <cellStyle name="Normal 2 6 5 4 15" xfId="26417"/>
    <cellStyle name="Normal 2 6 5 4 16" xfId="28169"/>
    <cellStyle name="Normal 2 6 5 4 17" xfId="29922"/>
    <cellStyle name="Normal 2 6 5 4 18" xfId="31674"/>
    <cellStyle name="Normal 2 6 5 4 19" xfId="33427"/>
    <cellStyle name="Normal 2 6 5 4 2" xfId="3638"/>
    <cellStyle name="Normal 2 6 5 4 20" xfId="36063"/>
    <cellStyle name="Normal 2 6 5 4 21" xfId="37803"/>
    <cellStyle name="Normal 2 6 5 4 22" xfId="39556"/>
    <cellStyle name="Normal 2 6 5 4 23" xfId="41311"/>
    <cellStyle name="Normal 2 6 5 4 24" xfId="43063"/>
    <cellStyle name="Normal 2 6 5 4 25" xfId="45681"/>
    <cellStyle name="Normal 2 6 5 4 26" xfId="47433"/>
    <cellStyle name="Normal 2 6 5 4 27" xfId="49185"/>
    <cellStyle name="Normal 2 6 5 4 28" xfId="50937"/>
    <cellStyle name="Normal 2 6 5 4 29" xfId="52689"/>
    <cellStyle name="Normal 2 6 5 4 3" xfId="5390"/>
    <cellStyle name="Normal 2 6 5 4 30" xfId="54441"/>
    <cellStyle name="Normal 2 6 5 4 31" xfId="56193"/>
    <cellStyle name="Normal 2 6 5 4 32" xfId="57946"/>
    <cellStyle name="Normal 2 6 5 4 33" xfId="59698"/>
    <cellStyle name="Normal 2 6 5 4 34" xfId="61450"/>
    <cellStyle name="Normal 2 6 5 4 4" xfId="7142"/>
    <cellStyle name="Normal 2 6 5 4 5" xfId="8894"/>
    <cellStyle name="Normal 2 6 5 4 6" xfId="10647"/>
    <cellStyle name="Normal 2 6 5 4 7" xfId="12399"/>
    <cellStyle name="Normal 2 6 5 4 8" xfId="14151"/>
    <cellStyle name="Normal 2 6 5 4 9" xfId="15903"/>
    <cellStyle name="Normal 2 6 5 40" xfId="62494"/>
    <cellStyle name="Normal 2 6 5 41" xfId="63360"/>
    <cellStyle name="Normal 2 6 5 5" xfId="2762"/>
    <cellStyle name="Normal 2 6 5 6" xfId="4514"/>
    <cellStyle name="Normal 2 6 5 7" xfId="6266"/>
    <cellStyle name="Normal 2 6 5 8" xfId="8018"/>
    <cellStyle name="Normal 2 6 5 9" xfId="9771"/>
    <cellStyle name="Normal 2 6 6" xfId="1103"/>
    <cellStyle name="Normal 2 6 6 10" xfId="13437"/>
    <cellStyle name="Normal 2 6 6 11" xfId="15189"/>
    <cellStyle name="Normal 2 6 6 12" xfId="16942"/>
    <cellStyle name="Normal 2 6 6 13" xfId="18694"/>
    <cellStyle name="Normal 2 6 6 14" xfId="20447"/>
    <cellStyle name="Normal 2 6 6 15" xfId="22199"/>
    <cellStyle name="Normal 2 6 6 16" xfId="23951"/>
    <cellStyle name="Normal 2 6 6 17" xfId="25703"/>
    <cellStyle name="Normal 2 6 6 18" xfId="27455"/>
    <cellStyle name="Normal 2 6 6 19" xfId="29208"/>
    <cellStyle name="Normal 2 6 6 2" xfId="1104"/>
    <cellStyle name="Normal 2 6 6 2 10" xfId="15625"/>
    <cellStyle name="Normal 2 6 6 2 11" xfId="17378"/>
    <cellStyle name="Normal 2 6 6 2 12" xfId="19130"/>
    <cellStyle name="Normal 2 6 6 2 13" xfId="20883"/>
    <cellStyle name="Normal 2 6 6 2 14" xfId="22635"/>
    <cellStyle name="Normal 2 6 6 2 15" xfId="24387"/>
    <cellStyle name="Normal 2 6 6 2 16" xfId="26139"/>
    <cellStyle name="Normal 2 6 6 2 17" xfId="27891"/>
    <cellStyle name="Normal 2 6 6 2 18" xfId="29644"/>
    <cellStyle name="Normal 2 6 6 2 19" xfId="31396"/>
    <cellStyle name="Normal 2 6 6 2 2" xfId="1105"/>
    <cellStyle name="Normal 2 6 6 2 2 10" xfId="18254"/>
    <cellStyle name="Normal 2 6 6 2 2 11" xfId="20006"/>
    <cellStyle name="Normal 2 6 6 2 2 12" xfId="21759"/>
    <cellStyle name="Normal 2 6 6 2 2 13" xfId="23511"/>
    <cellStyle name="Normal 2 6 6 2 2 14" xfId="25263"/>
    <cellStyle name="Normal 2 6 6 2 2 15" xfId="27015"/>
    <cellStyle name="Normal 2 6 6 2 2 16" xfId="28767"/>
    <cellStyle name="Normal 2 6 6 2 2 17" xfId="30520"/>
    <cellStyle name="Normal 2 6 6 2 2 18" xfId="32272"/>
    <cellStyle name="Normal 2 6 6 2 2 19" xfId="34025"/>
    <cellStyle name="Normal 2 6 6 2 2 2" xfId="4236"/>
    <cellStyle name="Normal 2 6 6 2 2 20" xfId="36661"/>
    <cellStyle name="Normal 2 6 6 2 2 21" xfId="38401"/>
    <cellStyle name="Normal 2 6 6 2 2 22" xfId="40154"/>
    <cellStyle name="Normal 2 6 6 2 2 23" xfId="41909"/>
    <cellStyle name="Normal 2 6 6 2 2 24" xfId="43661"/>
    <cellStyle name="Normal 2 6 6 2 2 25" xfId="46279"/>
    <cellStyle name="Normal 2 6 6 2 2 26" xfId="48031"/>
    <cellStyle name="Normal 2 6 6 2 2 27" xfId="49783"/>
    <cellStyle name="Normal 2 6 6 2 2 28" xfId="51535"/>
    <cellStyle name="Normal 2 6 6 2 2 29" xfId="53287"/>
    <cellStyle name="Normal 2 6 6 2 2 3" xfId="5988"/>
    <cellStyle name="Normal 2 6 6 2 2 30" xfId="55039"/>
    <cellStyle name="Normal 2 6 6 2 2 31" xfId="56791"/>
    <cellStyle name="Normal 2 6 6 2 2 32" xfId="58544"/>
    <cellStyle name="Normal 2 6 6 2 2 33" xfId="60296"/>
    <cellStyle name="Normal 2 6 6 2 2 34" xfId="62048"/>
    <cellStyle name="Normal 2 6 6 2 2 4" xfId="7740"/>
    <cellStyle name="Normal 2 6 6 2 2 5" xfId="9492"/>
    <cellStyle name="Normal 2 6 6 2 2 6" xfId="11245"/>
    <cellStyle name="Normal 2 6 6 2 2 7" xfId="12997"/>
    <cellStyle name="Normal 2 6 6 2 2 8" xfId="14749"/>
    <cellStyle name="Normal 2 6 6 2 2 9" xfId="16501"/>
    <cellStyle name="Normal 2 6 6 2 20" xfId="33149"/>
    <cellStyle name="Normal 2 6 6 2 21" xfId="34491"/>
    <cellStyle name="Normal 2 6 6 2 22" xfId="35785"/>
    <cellStyle name="Normal 2 6 6 2 23" xfId="37112"/>
    <cellStyle name="Normal 2 6 6 2 24" xfId="39278"/>
    <cellStyle name="Normal 2 6 6 2 25" xfId="41033"/>
    <cellStyle name="Normal 2 6 6 2 26" xfId="42785"/>
    <cellStyle name="Normal 2 6 6 2 27" xfId="44112"/>
    <cellStyle name="Normal 2 6 6 2 28" xfId="45403"/>
    <cellStyle name="Normal 2 6 6 2 29" xfId="47155"/>
    <cellStyle name="Normal 2 6 6 2 3" xfId="3360"/>
    <cellStyle name="Normal 2 6 6 2 30" xfId="48907"/>
    <cellStyle name="Normal 2 6 6 2 31" xfId="50659"/>
    <cellStyle name="Normal 2 6 6 2 32" xfId="52411"/>
    <cellStyle name="Normal 2 6 6 2 33" xfId="54163"/>
    <cellStyle name="Normal 2 6 6 2 34" xfId="55915"/>
    <cellStyle name="Normal 2 6 6 2 35" xfId="57668"/>
    <cellStyle name="Normal 2 6 6 2 36" xfId="59420"/>
    <cellStyle name="Normal 2 6 6 2 37" xfId="61172"/>
    <cellStyle name="Normal 2 6 6 2 38" xfId="62499"/>
    <cellStyle name="Normal 2 6 6 2 39" xfId="63365"/>
    <cellStyle name="Normal 2 6 6 2 4" xfId="5112"/>
    <cellStyle name="Normal 2 6 6 2 5" xfId="6864"/>
    <cellStyle name="Normal 2 6 6 2 6" xfId="8616"/>
    <cellStyle name="Normal 2 6 6 2 7" xfId="10369"/>
    <cellStyle name="Normal 2 6 6 2 8" xfId="12121"/>
    <cellStyle name="Normal 2 6 6 2 9" xfId="13873"/>
    <cellStyle name="Normal 2 6 6 20" xfId="30960"/>
    <cellStyle name="Normal 2 6 6 21" xfId="32713"/>
    <cellStyle name="Normal 2 6 6 22" xfId="34490"/>
    <cellStyle name="Normal 2 6 6 23" xfId="35349"/>
    <cellStyle name="Normal 2 6 6 24" xfId="37111"/>
    <cellStyle name="Normal 2 6 6 25" xfId="38842"/>
    <cellStyle name="Normal 2 6 6 26" xfId="40597"/>
    <cellStyle name="Normal 2 6 6 27" xfId="42349"/>
    <cellStyle name="Normal 2 6 6 28" xfId="44111"/>
    <cellStyle name="Normal 2 6 6 29" xfId="44967"/>
    <cellStyle name="Normal 2 6 6 3" xfId="1106"/>
    <cellStyle name="Normal 2 6 6 3 10" xfId="17818"/>
    <cellStyle name="Normal 2 6 6 3 11" xfId="19570"/>
    <cellStyle name="Normal 2 6 6 3 12" xfId="21323"/>
    <cellStyle name="Normal 2 6 6 3 13" xfId="23075"/>
    <cellStyle name="Normal 2 6 6 3 14" xfId="24827"/>
    <cellStyle name="Normal 2 6 6 3 15" xfId="26579"/>
    <cellStyle name="Normal 2 6 6 3 16" xfId="28331"/>
    <cellStyle name="Normal 2 6 6 3 17" xfId="30084"/>
    <cellStyle name="Normal 2 6 6 3 18" xfId="31836"/>
    <cellStyle name="Normal 2 6 6 3 19" xfId="33589"/>
    <cellStyle name="Normal 2 6 6 3 2" xfId="3800"/>
    <cellStyle name="Normal 2 6 6 3 20" xfId="36225"/>
    <cellStyle name="Normal 2 6 6 3 21" xfId="37965"/>
    <cellStyle name="Normal 2 6 6 3 22" xfId="39718"/>
    <cellStyle name="Normal 2 6 6 3 23" xfId="41473"/>
    <cellStyle name="Normal 2 6 6 3 24" xfId="43225"/>
    <cellStyle name="Normal 2 6 6 3 25" xfId="45843"/>
    <cellStyle name="Normal 2 6 6 3 26" xfId="47595"/>
    <cellStyle name="Normal 2 6 6 3 27" xfId="49347"/>
    <cellStyle name="Normal 2 6 6 3 28" xfId="51099"/>
    <cellStyle name="Normal 2 6 6 3 29" xfId="52851"/>
    <cellStyle name="Normal 2 6 6 3 3" xfId="5552"/>
    <cellStyle name="Normal 2 6 6 3 30" xfId="54603"/>
    <cellStyle name="Normal 2 6 6 3 31" xfId="56355"/>
    <cellStyle name="Normal 2 6 6 3 32" xfId="58108"/>
    <cellStyle name="Normal 2 6 6 3 33" xfId="59860"/>
    <cellStyle name="Normal 2 6 6 3 34" xfId="61612"/>
    <cellStyle name="Normal 2 6 6 3 4" xfId="7304"/>
    <cellStyle name="Normal 2 6 6 3 5" xfId="9056"/>
    <cellStyle name="Normal 2 6 6 3 6" xfId="10809"/>
    <cellStyle name="Normal 2 6 6 3 7" xfId="12561"/>
    <cellStyle name="Normal 2 6 6 3 8" xfId="14313"/>
    <cellStyle name="Normal 2 6 6 3 9" xfId="16065"/>
    <cellStyle name="Normal 2 6 6 30" xfId="46719"/>
    <cellStyle name="Normal 2 6 6 31" xfId="48471"/>
    <cellStyle name="Normal 2 6 6 32" xfId="50223"/>
    <cellStyle name="Normal 2 6 6 33" xfId="51975"/>
    <cellStyle name="Normal 2 6 6 34" xfId="53727"/>
    <cellStyle name="Normal 2 6 6 35" xfId="55479"/>
    <cellStyle name="Normal 2 6 6 36" xfId="57232"/>
    <cellStyle name="Normal 2 6 6 37" xfId="58984"/>
    <cellStyle name="Normal 2 6 6 38" xfId="60736"/>
    <cellStyle name="Normal 2 6 6 39" xfId="62498"/>
    <cellStyle name="Normal 2 6 6 4" xfId="2924"/>
    <cellStyle name="Normal 2 6 6 40" xfId="63364"/>
    <cellStyle name="Normal 2 6 6 5" xfId="4676"/>
    <cellStyle name="Normal 2 6 6 6" xfId="6428"/>
    <cellStyle name="Normal 2 6 6 7" xfId="8180"/>
    <cellStyle name="Normal 2 6 6 8" xfId="9933"/>
    <cellStyle name="Normal 2 6 6 9" xfId="11685"/>
    <cellStyle name="Normal 2 6 7" xfId="1107"/>
    <cellStyle name="Normal 2 6 7 10" xfId="15355"/>
    <cellStyle name="Normal 2 6 7 11" xfId="17108"/>
    <cellStyle name="Normal 2 6 7 12" xfId="18860"/>
    <cellStyle name="Normal 2 6 7 13" xfId="20613"/>
    <cellStyle name="Normal 2 6 7 14" xfId="22365"/>
    <cellStyle name="Normal 2 6 7 15" xfId="24117"/>
    <cellStyle name="Normal 2 6 7 16" xfId="25869"/>
    <cellStyle name="Normal 2 6 7 17" xfId="27621"/>
    <cellStyle name="Normal 2 6 7 18" xfId="29374"/>
    <cellStyle name="Normal 2 6 7 19" xfId="31126"/>
    <cellStyle name="Normal 2 6 7 2" xfId="1108"/>
    <cellStyle name="Normal 2 6 7 2 10" xfId="17984"/>
    <cellStyle name="Normal 2 6 7 2 11" xfId="19736"/>
    <cellStyle name="Normal 2 6 7 2 12" xfId="21489"/>
    <cellStyle name="Normal 2 6 7 2 13" xfId="23241"/>
    <cellStyle name="Normal 2 6 7 2 14" xfId="24993"/>
    <cellStyle name="Normal 2 6 7 2 15" xfId="26745"/>
    <cellStyle name="Normal 2 6 7 2 16" xfId="28497"/>
    <cellStyle name="Normal 2 6 7 2 17" xfId="30250"/>
    <cellStyle name="Normal 2 6 7 2 18" xfId="32002"/>
    <cellStyle name="Normal 2 6 7 2 19" xfId="33755"/>
    <cellStyle name="Normal 2 6 7 2 2" xfId="3966"/>
    <cellStyle name="Normal 2 6 7 2 20" xfId="36391"/>
    <cellStyle name="Normal 2 6 7 2 21" xfId="38131"/>
    <cellStyle name="Normal 2 6 7 2 22" xfId="39884"/>
    <cellStyle name="Normal 2 6 7 2 23" xfId="41639"/>
    <cellStyle name="Normal 2 6 7 2 24" xfId="43391"/>
    <cellStyle name="Normal 2 6 7 2 25" xfId="46009"/>
    <cellStyle name="Normal 2 6 7 2 26" xfId="47761"/>
    <cellStyle name="Normal 2 6 7 2 27" xfId="49513"/>
    <cellStyle name="Normal 2 6 7 2 28" xfId="51265"/>
    <cellStyle name="Normal 2 6 7 2 29" xfId="53017"/>
    <cellStyle name="Normal 2 6 7 2 3" xfId="5718"/>
    <cellStyle name="Normal 2 6 7 2 30" xfId="54769"/>
    <cellStyle name="Normal 2 6 7 2 31" xfId="56521"/>
    <cellStyle name="Normal 2 6 7 2 32" xfId="58274"/>
    <cellStyle name="Normal 2 6 7 2 33" xfId="60026"/>
    <cellStyle name="Normal 2 6 7 2 34" xfId="61778"/>
    <cellStyle name="Normal 2 6 7 2 4" xfId="7470"/>
    <cellStyle name="Normal 2 6 7 2 5" xfId="9222"/>
    <cellStyle name="Normal 2 6 7 2 6" xfId="10975"/>
    <cellStyle name="Normal 2 6 7 2 7" xfId="12727"/>
    <cellStyle name="Normal 2 6 7 2 8" xfId="14479"/>
    <cellStyle name="Normal 2 6 7 2 9" xfId="16231"/>
    <cellStyle name="Normal 2 6 7 20" xfId="32879"/>
    <cellStyle name="Normal 2 6 7 21" xfId="34492"/>
    <cellStyle name="Normal 2 6 7 22" xfId="35515"/>
    <cellStyle name="Normal 2 6 7 23" xfId="37113"/>
    <cellStyle name="Normal 2 6 7 24" xfId="39008"/>
    <cellStyle name="Normal 2 6 7 25" xfId="40763"/>
    <cellStyle name="Normal 2 6 7 26" xfId="42515"/>
    <cellStyle name="Normal 2 6 7 27" xfId="44113"/>
    <cellStyle name="Normal 2 6 7 28" xfId="45133"/>
    <cellStyle name="Normal 2 6 7 29" xfId="46885"/>
    <cellStyle name="Normal 2 6 7 3" xfId="3090"/>
    <cellStyle name="Normal 2 6 7 30" xfId="48637"/>
    <cellStyle name="Normal 2 6 7 31" xfId="50389"/>
    <cellStyle name="Normal 2 6 7 32" xfId="52141"/>
    <cellStyle name="Normal 2 6 7 33" xfId="53893"/>
    <cellStyle name="Normal 2 6 7 34" xfId="55645"/>
    <cellStyle name="Normal 2 6 7 35" xfId="57398"/>
    <cellStyle name="Normal 2 6 7 36" xfId="59150"/>
    <cellStyle name="Normal 2 6 7 37" xfId="60902"/>
    <cellStyle name="Normal 2 6 7 38" xfId="62500"/>
    <cellStyle name="Normal 2 6 7 39" xfId="63366"/>
    <cellStyle name="Normal 2 6 7 4" xfId="4842"/>
    <cellStyle name="Normal 2 6 7 5" xfId="6594"/>
    <cellStyle name="Normal 2 6 7 6" xfId="8346"/>
    <cellStyle name="Normal 2 6 7 7" xfId="10099"/>
    <cellStyle name="Normal 2 6 7 8" xfId="11851"/>
    <cellStyle name="Normal 2 6 7 9" xfId="13603"/>
    <cellStyle name="Normal 2 6 8" xfId="1109"/>
    <cellStyle name="Normal 2 6 8 10" xfId="17548"/>
    <cellStyle name="Normal 2 6 8 11" xfId="19300"/>
    <cellStyle name="Normal 2 6 8 12" xfId="21053"/>
    <cellStyle name="Normal 2 6 8 13" xfId="22805"/>
    <cellStyle name="Normal 2 6 8 14" xfId="24557"/>
    <cellStyle name="Normal 2 6 8 15" xfId="26309"/>
    <cellStyle name="Normal 2 6 8 16" xfId="28061"/>
    <cellStyle name="Normal 2 6 8 17" xfId="29814"/>
    <cellStyle name="Normal 2 6 8 18" xfId="31566"/>
    <cellStyle name="Normal 2 6 8 19" xfId="33319"/>
    <cellStyle name="Normal 2 6 8 2" xfId="3530"/>
    <cellStyle name="Normal 2 6 8 20" xfId="35955"/>
    <cellStyle name="Normal 2 6 8 21" xfId="37696"/>
    <cellStyle name="Normal 2 6 8 22" xfId="39448"/>
    <cellStyle name="Normal 2 6 8 23" xfId="41203"/>
    <cellStyle name="Normal 2 6 8 24" xfId="42955"/>
    <cellStyle name="Normal 2 6 8 25" xfId="45573"/>
    <cellStyle name="Normal 2 6 8 26" xfId="47325"/>
    <cellStyle name="Normal 2 6 8 27" xfId="49077"/>
    <cellStyle name="Normal 2 6 8 28" xfId="50829"/>
    <cellStyle name="Normal 2 6 8 29" xfId="52581"/>
    <cellStyle name="Normal 2 6 8 3" xfId="5282"/>
    <cellStyle name="Normal 2 6 8 30" xfId="54333"/>
    <cellStyle name="Normal 2 6 8 31" xfId="56085"/>
    <cellStyle name="Normal 2 6 8 32" xfId="57838"/>
    <cellStyle name="Normal 2 6 8 33" xfId="59590"/>
    <cellStyle name="Normal 2 6 8 34" xfId="61342"/>
    <cellStyle name="Normal 2 6 8 4" xfId="7034"/>
    <cellStyle name="Normal 2 6 8 5" xfId="8786"/>
    <cellStyle name="Normal 2 6 8 6" xfId="10539"/>
    <cellStyle name="Normal 2 6 8 7" xfId="12291"/>
    <cellStyle name="Normal 2 6 8 8" xfId="14043"/>
    <cellStyle name="Normal 2 6 8 9" xfId="15795"/>
    <cellStyle name="Normal 2 6 9" xfId="2627"/>
    <cellStyle name="Normal 2 7" xfId="1110"/>
    <cellStyle name="Normal 2 7 10" xfId="4407"/>
    <cellStyle name="Normal 2 7 11" xfId="6159"/>
    <cellStyle name="Normal 2 7 12" xfId="7911"/>
    <cellStyle name="Normal 2 7 13" xfId="9664"/>
    <cellStyle name="Normal 2 7 14" xfId="11416"/>
    <cellStyle name="Normal 2 7 15" xfId="13168"/>
    <cellStyle name="Normal 2 7 16" xfId="14920"/>
    <cellStyle name="Normal 2 7 17" xfId="16673"/>
    <cellStyle name="Normal 2 7 18" xfId="18425"/>
    <cellStyle name="Normal 2 7 19" xfId="20178"/>
    <cellStyle name="Normal 2 7 2" xfId="1111"/>
    <cellStyle name="Normal 2 7 20" xfId="21930"/>
    <cellStyle name="Normal 2 7 21" xfId="23682"/>
    <cellStyle name="Normal 2 7 22" xfId="25434"/>
    <cellStyle name="Normal 2 7 23" xfId="27186"/>
    <cellStyle name="Normal 2 7 24" xfId="28939"/>
    <cellStyle name="Normal 2 7 25" xfId="30691"/>
    <cellStyle name="Normal 2 7 26" xfId="32444"/>
    <cellStyle name="Normal 2 7 27" xfId="34493"/>
    <cellStyle name="Normal 2 7 28" xfId="35080"/>
    <cellStyle name="Normal 2 7 29" xfId="37114"/>
    <cellStyle name="Normal 2 7 3" xfId="1112"/>
    <cellStyle name="Normal 2 7 30" xfId="38573"/>
    <cellStyle name="Normal 2 7 31" xfId="40328"/>
    <cellStyle name="Normal 2 7 32" xfId="42080"/>
    <cellStyle name="Normal 2 7 33" xfId="44114"/>
    <cellStyle name="Normal 2 7 34" xfId="44698"/>
    <cellStyle name="Normal 2 7 35" xfId="46450"/>
    <cellStyle name="Normal 2 7 36" xfId="48202"/>
    <cellStyle name="Normal 2 7 37" xfId="49954"/>
    <cellStyle name="Normal 2 7 38" xfId="51706"/>
    <cellStyle name="Normal 2 7 39" xfId="53458"/>
    <cellStyle name="Normal 2 7 4" xfId="1113"/>
    <cellStyle name="Normal 2 7 4 10" xfId="9719"/>
    <cellStyle name="Normal 2 7 4 11" xfId="11471"/>
    <cellStyle name="Normal 2 7 4 12" xfId="13223"/>
    <cellStyle name="Normal 2 7 4 13" xfId="14975"/>
    <cellStyle name="Normal 2 7 4 14" xfId="16728"/>
    <cellStyle name="Normal 2 7 4 15" xfId="18480"/>
    <cellStyle name="Normal 2 7 4 16" xfId="20233"/>
    <cellStyle name="Normal 2 7 4 17" xfId="21985"/>
    <cellStyle name="Normal 2 7 4 18" xfId="23737"/>
    <cellStyle name="Normal 2 7 4 19" xfId="25489"/>
    <cellStyle name="Normal 2 7 4 2" xfId="1114"/>
    <cellStyle name="Normal 2 7 4 2 10" xfId="11579"/>
    <cellStyle name="Normal 2 7 4 2 11" xfId="13331"/>
    <cellStyle name="Normal 2 7 4 2 12" xfId="15083"/>
    <cellStyle name="Normal 2 7 4 2 13" xfId="16836"/>
    <cellStyle name="Normal 2 7 4 2 14" xfId="18588"/>
    <cellStyle name="Normal 2 7 4 2 15" xfId="20341"/>
    <cellStyle name="Normal 2 7 4 2 16" xfId="22093"/>
    <cellStyle name="Normal 2 7 4 2 17" xfId="23845"/>
    <cellStyle name="Normal 2 7 4 2 18" xfId="25597"/>
    <cellStyle name="Normal 2 7 4 2 19" xfId="27349"/>
    <cellStyle name="Normal 2 7 4 2 2" xfId="1115"/>
    <cellStyle name="Normal 2 7 4 2 2 10" xfId="13438"/>
    <cellStyle name="Normal 2 7 4 2 2 11" xfId="15190"/>
    <cellStyle name="Normal 2 7 4 2 2 12" xfId="16943"/>
    <cellStyle name="Normal 2 7 4 2 2 13" xfId="18695"/>
    <cellStyle name="Normal 2 7 4 2 2 14" xfId="20448"/>
    <cellStyle name="Normal 2 7 4 2 2 15" xfId="22200"/>
    <cellStyle name="Normal 2 7 4 2 2 16" xfId="23952"/>
    <cellStyle name="Normal 2 7 4 2 2 17" xfId="25704"/>
    <cellStyle name="Normal 2 7 4 2 2 18" xfId="27456"/>
    <cellStyle name="Normal 2 7 4 2 2 19" xfId="29209"/>
    <cellStyle name="Normal 2 7 4 2 2 2" xfId="1116"/>
    <cellStyle name="Normal 2 7 4 2 2 2 10" xfId="15626"/>
    <cellStyle name="Normal 2 7 4 2 2 2 11" xfId="17379"/>
    <cellStyle name="Normal 2 7 4 2 2 2 12" xfId="19131"/>
    <cellStyle name="Normal 2 7 4 2 2 2 13" xfId="20884"/>
    <cellStyle name="Normal 2 7 4 2 2 2 14" xfId="22636"/>
    <cellStyle name="Normal 2 7 4 2 2 2 15" xfId="24388"/>
    <cellStyle name="Normal 2 7 4 2 2 2 16" xfId="26140"/>
    <cellStyle name="Normal 2 7 4 2 2 2 17" xfId="27892"/>
    <cellStyle name="Normal 2 7 4 2 2 2 18" xfId="29645"/>
    <cellStyle name="Normal 2 7 4 2 2 2 19" xfId="31397"/>
    <cellStyle name="Normal 2 7 4 2 2 2 2" xfId="1117"/>
    <cellStyle name="Normal 2 7 4 2 2 2 2 10" xfId="18255"/>
    <cellStyle name="Normal 2 7 4 2 2 2 2 11" xfId="20007"/>
    <cellStyle name="Normal 2 7 4 2 2 2 2 12" xfId="21760"/>
    <cellStyle name="Normal 2 7 4 2 2 2 2 13" xfId="23512"/>
    <cellStyle name="Normal 2 7 4 2 2 2 2 14" xfId="25264"/>
    <cellStyle name="Normal 2 7 4 2 2 2 2 15" xfId="27016"/>
    <cellStyle name="Normal 2 7 4 2 2 2 2 16" xfId="28768"/>
    <cellStyle name="Normal 2 7 4 2 2 2 2 17" xfId="30521"/>
    <cellStyle name="Normal 2 7 4 2 2 2 2 18" xfId="32273"/>
    <cellStyle name="Normal 2 7 4 2 2 2 2 19" xfId="34026"/>
    <cellStyle name="Normal 2 7 4 2 2 2 2 2" xfId="4237"/>
    <cellStyle name="Normal 2 7 4 2 2 2 2 20" xfId="36662"/>
    <cellStyle name="Normal 2 7 4 2 2 2 2 21" xfId="38402"/>
    <cellStyle name="Normal 2 7 4 2 2 2 2 22" xfId="40155"/>
    <cellStyle name="Normal 2 7 4 2 2 2 2 23" xfId="41910"/>
    <cellStyle name="Normal 2 7 4 2 2 2 2 24" xfId="43662"/>
    <cellStyle name="Normal 2 7 4 2 2 2 2 25" xfId="46280"/>
    <cellStyle name="Normal 2 7 4 2 2 2 2 26" xfId="48032"/>
    <cellStyle name="Normal 2 7 4 2 2 2 2 27" xfId="49784"/>
    <cellStyle name="Normal 2 7 4 2 2 2 2 28" xfId="51536"/>
    <cellStyle name="Normal 2 7 4 2 2 2 2 29" xfId="53288"/>
    <cellStyle name="Normal 2 7 4 2 2 2 2 3" xfId="5989"/>
    <cellStyle name="Normal 2 7 4 2 2 2 2 30" xfId="55040"/>
    <cellStyle name="Normal 2 7 4 2 2 2 2 31" xfId="56792"/>
    <cellStyle name="Normal 2 7 4 2 2 2 2 32" xfId="58545"/>
    <cellStyle name="Normal 2 7 4 2 2 2 2 33" xfId="60297"/>
    <cellStyle name="Normal 2 7 4 2 2 2 2 34" xfId="62049"/>
    <cellStyle name="Normal 2 7 4 2 2 2 2 4" xfId="7741"/>
    <cellStyle name="Normal 2 7 4 2 2 2 2 5" xfId="9493"/>
    <cellStyle name="Normal 2 7 4 2 2 2 2 6" xfId="11246"/>
    <cellStyle name="Normal 2 7 4 2 2 2 2 7" xfId="12998"/>
    <cellStyle name="Normal 2 7 4 2 2 2 2 8" xfId="14750"/>
    <cellStyle name="Normal 2 7 4 2 2 2 2 9" xfId="16502"/>
    <cellStyle name="Normal 2 7 4 2 2 2 20" xfId="33150"/>
    <cellStyle name="Normal 2 7 4 2 2 2 21" xfId="34497"/>
    <cellStyle name="Normal 2 7 4 2 2 2 22" xfId="35786"/>
    <cellStyle name="Normal 2 7 4 2 2 2 23" xfId="37118"/>
    <cellStyle name="Normal 2 7 4 2 2 2 24" xfId="39279"/>
    <cellStyle name="Normal 2 7 4 2 2 2 25" xfId="41034"/>
    <cellStyle name="Normal 2 7 4 2 2 2 26" xfId="42786"/>
    <cellStyle name="Normal 2 7 4 2 2 2 27" xfId="44118"/>
    <cellStyle name="Normal 2 7 4 2 2 2 28" xfId="45404"/>
    <cellStyle name="Normal 2 7 4 2 2 2 29" xfId="47156"/>
    <cellStyle name="Normal 2 7 4 2 2 2 3" xfId="3361"/>
    <cellStyle name="Normal 2 7 4 2 2 2 30" xfId="48908"/>
    <cellStyle name="Normal 2 7 4 2 2 2 31" xfId="50660"/>
    <cellStyle name="Normal 2 7 4 2 2 2 32" xfId="52412"/>
    <cellStyle name="Normal 2 7 4 2 2 2 33" xfId="54164"/>
    <cellStyle name="Normal 2 7 4 2 2 2 34" xfId="55916"/>
    <cellStyle name="Normal 2 7 4 2 2 2 35" xfId="57669"/>
    <cellStyle name="Normal 2 7 4 2 2 2 36" xfId="59421"/>
    <cellStyle name="Normal 2 7 4 2 2 2 37" xfId="61173"/>
    <cellStyle name="Normal 2 7 4 2 2 2 38" xfId="62505"/>
    <cellStyle name="Normal 2 7 4 2 2 2 39" xfId="63371"/>
    <cellStyle name="Normal 2 7 4 2 2 2 4" xfId="5113"/>
    <cellStyle name="Normal 2 7 4 2 2 2 5" xfId="6865"/>
    <cellStyle name="Normal 2 7 4 2 2 2 6" xfId="8617"/>
    <cellStyle name="Normal 2 7 4 2 2 2 7" xfId="10370"/>
    <cellStyle name="Normal 2 7 4 2 2 2 8" xfId="12122"/>
    <cellStyle name="Normal 2 7 4 2 2 2 9" xfId="13874"/>
    <cellStyle name="Normal 2 7 4 2 2 20" xfId="30961"/>
    <cellStyle name="Normal 2 7 4 2 2 21" xfId="32714"/>
    <cellStyle name="Normal 2 7 4 2 2 22" xfId="34496"/>
    <cellStyle name="Normal 2 7 4 2 2 23" xfId="35350"/>
    <cellStyle name="Normal 2 7 4 2 2 24" xfId="37117"/>
    <cellStyle name="Normal 2 7 4 2 2 25" xfId="38843"/>
    <cellStyle name="Normal 2 7 4 2 2 26" xfId="40598"/>
    <cellStyle name="Normal 2 7 4 2 2 27" xfId="42350"/>
    <cellStyle name="Normal 2 7 4 2 2 28" xfId="44117"/>
    <cellStyle name="Normal 2 7 4 2 2 29" xfId="44968"/>
    <cellStyle name="Normal 2 7 4 2 2 3" xfId="1118"/>
    <cellStyle name="Normal 2 7 4 2 2 3 10" xfId="17819"/>
    <cellStyle name="Normal 2 7 4 2 2 3 11" xfId="19571"/>
    <cellStyle name="Normal 2 7 4 2 2 3 12" xfId="21324"/>
    <cellStyle name="Normal 2 7 4 2 2 3 13" xfId="23076"/>
    <cellStyle name="Normal 2 7 4 2 2 3 14" xfId="24828"/>
    <cellStyle name="Normal 2 7 4 2 2 3 15" xfId="26580"/>
    <cellStyle name="Normal 2 7 4 2 2 3 16" xfId="28332"/>
    <cellStyle name="Normal 2 7 4 2 2 3 17" xfId="30085"/>
    <cellStyle name="Normal 2 7 4 2 2 3 18" xfId="31837"/>
    <cellStyle name="Normal 2 7 4 2 2 3 19" xfId="33590"/>
    <cellStyle name="Normal 2 7 4 2 2 3 2" xfId="3801"/>
    <cellStyle name="Normal 2 7 4 2 2 3 20" xfId="36226"/>
    <cellStyle name="Normal 2 7 4 2 2 3 21" xfId="37966"/>
    <cellStyle name="Normal 2 7 4 2 2 3 22" xfId="39719"/>
    <cellStyle name="Normal 2 7 4 2 2 3 23" xfId="41474"/>
    <cellStyle name="Normal 2 7 4 2 2 3 24" xfId="43226"/>
    <cellStyle name="Normal 2 7 4 2 2 3 25" xfId="45844"/>
    <cellStyle name="Normal 2 7 4 2 2 3 26" xfId="47596"/>
    <cellStyle name="Normal 2 7 4 2 2 3 27" xfId="49348"/>
    <cellStyle name="Normal 2 7 4 2 2 3 28" xfId="51100"/>
    <cellStyle name="Normal 2 7 4 2 2 3 29" xfId="52852"/>
    <cellStyle name="Normal 2 7 4 2 2 3 3" xfId="5553"/>
    <cellStyle name="Normal 2 7 4 2 2 3 30" xfId="54604"/>
    <cellStyle name="Normal 2 7 4 2 2 3 31" xfId="56356"/>
    <cellStyle name="Normal 2 7 4 2 2 3 32" xfId="58109"/>
    <cellStyle name="Normal 2 7 4 2 2 3 33" xfId="59861"/>
    <cellStyle name="Normal 2 7 4 2 2 3 34" xfId="61613"/>
    <cellStyle name="Normal 2 7 4 2 2 3 4" xfId="7305"/>
    <cellStyle name="Normal 2 7 4 2 2 3 5" xfId="9057"/>
    <cellStyle name="Normal 2 7 4 2 2 3 6" xfId="10810"/>
    <cellStyle name="Normal 2 7 4 2 2 3 7" xfId="12562"/>
    <cellStyle name="Normal 2 7 4 2 2 3 8" xfId="14314"/>
    <cellStyle name="Normal 2 7 4 2 2 3 9" xfId="16066"/>
    <cellStyle name="Normal 2 7 4 2 2 30" xfId="46720"/>
    <cellStyle name="Normal 2 7 4 2 2 31" xfId="48472"/>
    <cellStyle name="Normal 2 7 4 2 2 32" xfId="50224"/>
    <cellStyle name="Normal 2 7 4 2 2 33" xfId="51976"/>
    <cellStyle name="Normal 2 7 4 2 2 34" xfId="53728"/>
    <cellStyle name="Normal 2 7 4 2 2 35" xfId="55480"/>
    <cellStyle name="Normal 2 7 4 2 2 36" xfId="57233"/>
    <cellStyle name="Normal 2 7 4 2 2 37" xfId="58985"/>
    <cellStyle name="Normal 2 7 4 2 2 38" xfId="60737"/>
    <cellStyle name="Normal 2 7 4 2 2 39" xfId="62504"/>
    <cellStyle name="Normal 2 7 4 2 2 4" xfId="2925"/>
    <cellStyle name="Normal 2 7 4 2 2 40" xfId="63370"/>
    <cellStyle name="Normal 2 7 4 2 2 5" xfId="4677"/>
    <cellStyle name="Normal 2 7 4 2 2 6" xfId="6429"/>
    <cellStyle name="Normal 2 7 4 2 2 7" xfId="8181"/>
    <cellStyle name="Normal 2 7 4 2 2 8" xfId="9934"/>
    <cellStyle name="Normal 2 7 4 2 2 9" xfId="11686"/>
    <cellStyle name="Normal 2 7 4 2 20" xfId="29102"/>
    <cellStyle name="Normal 2 7 4 2 21" xfId="30854"/>
    <cellStyle name="Normal 2 7 4 2 22" xfId="32607"/>
    <cellStyle name="Normal 2 7 4 2 23" xfId="34495"/>
    <cellStyle name="Normal 2 7 4 2 24" xfId="35243"/>
    <cellStyle name="Normal 2 7 4 2 25" xfId="37116"/>
    <cellStyle name="Normal 2 7 4 2 26" xfId="38736"/>
    <cellStyle name="Normal 2 7 4 2 27" xfId="40491"/>
    <cellStyle name="Normal 2 7 4 2 28" xfId="42243"/>
    <cellStyle name="Normal 2 7 4 2 29" xfId="44116"/>
    <cellStyle name="Normal 2 7 4 2 3" xfId="1119"/>
    <cellStyle name="Normal 2 7 4 2 3 10" xfId="15519"/>
    <cellStyle name="Normal 2 7 4 2 3 11" xfId="17272"/>
    <cellStyle name="Normal 2 7 4 2 3 12" xfId="19024"/>
    <cellStyle name="Normal 2 7 4 2 3 13" xfId="20777"/>
    <cellStyle name="Normal 2 7 4 2 3 14" xfId="22529"/>
    <cellStyle name="Normal 2 7 4 2 3 15" xfId="24281"/>
    <cellStyle name="Normal 2 7 4 2 3 16" xfId="26033"/>
    <cellStyle name="Normal 2 7 4 2 3 17" xfId="27785"/>
    <cellStyle name="Normal 2 7 4 2 3 18" xfId="29538"/>
    <cellStyle name="Normal 2 7 4 2 3 19" xfId="31290"/>
    <cellStyle name="Normal 2 7 4 2 3 2" xfId="1120"/>
    <cellStyle name="Normal 2 7 4 2 3 2 10" xfId="18148"/>
    <cellStyle name="Normal 2 7 4 2 3 2 11" xfId="19900"/>
    <cellStyle name="Normal 2 7 4 2 3 2 12" xfId="21653"/>
    <cellStyle name="Normal 2 7 4 2 3 2 13" xfId="23405"/>
    <cellStyle name="Normal 2 7 4 2 3 2 14" xfId="25157"/>
    <cellStyle name="Normal 2 7 4 2 3 2 15" xfId="26909"/>
    <cellStyle name="Normal 2 7 4 2 3 2 16" xfId="28661"/>
    <cellStyle name="Normal 2 7 4 2 3 2 17" xfId="30414"/>
    <cellStyle name="Normal 2 7 4 2 3 2 18" xfId="32166"/>
    <cellStyle name="Normal 2 7 4 2 3 2 19" xfId="33919"/>
    <cellStyle name="Normal 2 7 4 2 3 2 2" xfId="4130"/>
    <cellStyle name="Normal 2 7 4 2 3 2 20" xfId="36555"/>
    <cellStyle name="Normal 2 7 4 2 3 2 21" xfId="38295"/>
    <cellStyle name="Normal 2 7 4 2 3 2 22" xfId="40048"/>
    <cellStyle name="Normal 2 7 4 2 3 2 23" xfId="41803"/>
    <cellStyle name="Normal 2 7 4 2 3 2 24" xfId="43555"/>
    <cellStyle name="Normal 2 7 4 2 3 2 25" xfId="46173"/>
    <cellStyle name="Normal 2 7 4 2 3 2 26" xfId="47925"/>
    <cellStyle name="Normal 2 7 4 2 3 2 27" xfId="49677"/>
    <cellStyle name="Normal 2 7 4 2 3 2 28" xfId="51429"/>
    <cellStyle name="Normal 2 7 4 2 3 2 29" xfId="53181"/>
    <cellStyle name="Normal 2 7 4 2 3 2 3" xfId="5882"/>
    <cellStyle name="Normal 2 7 4 2 3 2 30" xfId="54933"/>
    <cellStyle name="Normal 2 7 4 2 3 2 31" xfId="56685"/>
    <cellStyle name="Normal 2 7 4 2 3 2 32" xfId="58438"/>
    <cellStyle name="Normal 2 7 4 2 3 2 33" xfId="60190"/>
    <cellStyle name="Normal 2 7 4 2 3 2 34" xfId="61942"/>
    <cellStyle name="Normal 2 7 4 2 3 2 4" xfId="7634"/>
    <cellStyle name="Normal 2 7 4 2 3 2 5" xfId="9386"/>
    <cellStyle name="Normal 2 7 4 2 3 2 6" xfId="11139"/>
    <cellStyle name="Normal 2 7 4 2 3 2 7" xfId="12891"/>
    <cellStyle name="Normal 2 7 4 2 3 2 8" xfId="14643"/>
    <cellStyle name="Normal 2 7 4 2 3 2 9" xfId="16395"/>
    <cellStyle name="Normal 2 7 4 2 3 20" xfId="33043"/>
    <cellStyle name="Normal 2 7 4 2 3 21" xfId="34498"/>
    <cellStyle name="Normal 2 7 4 2 3 22" xfId="35679"/>
    <cellStyle name="Normal 2 7 4 2 3 23" xfId="37119"/>
    <cellStyle name="Normal 2 7 4 2 3 24" xfId="39172"/>
    <cellStyle name="Normal 2 7 4 2 3 25" xfId="40927"/>
    <cellStyle name="Normal 2 7 4 2 3 26" xfId="42679"/>
    <cellStyle name="Normal 2 7 4 2 3 27" xfId="44119"/>
    <cellStyle name="Normal 2 7 4 2 3 28" xfId="45297"/>
    <cellStyle name="Normal 2 7 4 2 3 29" xfId="47049"/>
    <cellStyle name="Normal 2 7 4 2 3 3" xfId="3254"/>
    <cellStyle name="Normal 2 7 4 2 3 30" xfId="48801"/>
    <cellStyle name="Normal 2 7 4 2 3 31" xfId="50553"/>
    <cellStyle name="Normal 2 7 4 2 3 32" xfId="52305"/>
    <cellStyle name="Normal 2 7 4 2 3 33" xfId="54057"/>
    <cellStyle name="Normal 2 7 4 2 3 34" xfId="55809"/>
    <cellStyle name="Normal 2 7 4 2 3 35" xfId="57562"/>
    <cellStyle name="Normal 2 7 4 2 3 36" xfId="59314"/>
    <cellStyle name="Normal 2 7 4 2 3 37" xfId="61066"/>
    <cellStyle name="Normal 2 7 4 2 3 38" xfId="62506"/>
    <cellStyle name="Normal 2 7 4 2 3 39" xfId="63372"/>
    <cellStyle name="Normal 2 7 4 2 3 4" xfId="5006"/>
    <cellStyle name="Normal 2 7 4 2 3 5" xfId="6758"/>
    <cellStyle name="Normal 2 7 4 2 3 6" xfId="8510"/>
    <cellStyle name="Normal 2 7 4 2 3 7" xfId="10263"/>
    <cellStyle name="Normal 2 7 4 2 3 8" xfId="12015"/>
    <cellStyle name="Normal 2 7 4 2 3 9" xfId="13767"/>
    <cellStyle name="Normal 2 7 4 2 30" xfId="44861"/>
    <cellStyle name="Normal 2 7 4 2 31" xfId="46613"/>
    <cellStyle name="Normal 2 7 4 2 32" xfId="48365"/>
    <cellStyle name="Normal 2 7 4 2 33" xfId="50117"/>
    <cellStyle name="Normal 2 7 4 2 34" xfId="51869"/>
    <cellStyle name="Normal 2 7 4 2 35" xfId="53621"/>
    <cellStyle name="Normal 2 7 4 2 36" xfId="55373"/>
    <cellStyle name="Normal 2 7 4 2 37" xfId="57126"/>
    <cellStyle name="Normal 2 7 4 2 38" xfId="58878"/>
    <cellStyle name="Normal 2 7 4 2 39" xfId="60630"/>
    <cellStyle name="Normal 2 7 4 2 4" xfId="1121"/>
    <cellStyle name="Normal 2 7 4 2 4 10" xfId="17712"/>
    <cellStyle name="Normal 2 7 4 2 4 11" xfId="19464"/>
    <cellStyle name="Normal 2 7 4 2 4 12" xfId="21217"/>
    <cellStyle name="Normal 2 7 4 2 4 13" xfId="22969"/>
    <cellStyle name="Normal 2 7 4 2 4 14" xfId="24721"/>
    <cellStyle name="Normal 2 7 4 2 4 15" xfId="26473"/>
    <cellStyle name="Normal 2 7 4 2 4 16" xfId="28225"/>
    <cellStyle name="Normal 2 7 4 2 4 17" xfId="29978"/>
    <cellStyle name="Normal 2 7 4 2 4 18" xfId="31730"/>
    <cellStyle name="Normal 2 7 4 2 4 19" xfId="33483"/>
    <cellStyle name="Normal 2 7 4 2 4 2" xfId="3694"/>
    <cellStyle name="Normal 2 7 4 2 4 20" xfId="36119"/>
    <cellStyle name="Normal 2 7 4 2 4 21" xfId="37859"/>
    <cellStyle name="Normal 2 7 4 2 4 22" xfId="39612"/>
    <cellStyle name="Normal 2 7 4 2 4 23" xfId="41367"/>
    <cellStyle name="Normal 2 7 4 2 4 24" xfId="43119"/>
    <cellStyle name="Normal 2 7 4 2 4 25" xfId="45737"/>
    <cellStyle name="Normal 2 7 4 2 4 26" xfId="47489"/>
    <cellStyle name="Normal 2 7 4 2 4 27" xfId="49241"/>
    <cellStyle name="Normal 2 7 4 2 4 28" xfId="50993"/>
    <cellStyle name="Normal 2 7 4 2 4 29" xfId="52745"/>
    <cellStyle name="Normal 2 7 4 2 4 3" xfId="5446"/>
    <cellStyle name="Normal 2 7 4 2 4 30" xfId="54497"/>
    <cellStyle name="Normal 2 7 4 2 4 31" xfId="56249"/>
    <cellStyle name="Normal 2 7 4 2 4 32" xfId="58002"/>
    <cellStyle name="Normal 2 7 4 2 4 33" xfId="59754"/>
    <cellStyle name="Normal 2 7 4 2 4 34" xfId="61506"/>
    <cellStyle name="Normal 2 7 4 2 4 4" xfId="7198"/>
    <cellStyle name="Normal 2 7 4 2 4 5" xfId="8950"/>
    <cellStyle name="Normal 2 7 4 2 4 6" xfId="10703"/>
    <cellStyle name="Normal 2 7 4 2 4 7" xfId="12455"/>
    <cellStyle name="Normal 2 7 4 2 4 8" xfId="14207"/>
    <cellStyle name="Normal 2 7 4 2 4 9" xfId="15959"/>
    <cellStyle name="Normal 2 7 4 2 40" xfId="62503"/>
    <cellStyle name="Normal 2 7 4 2 41" xfId="63369"/>
    <cellStyle name="Normal 2 7 4 2 5" xfId="2818"/>
    <cellStyle name="Normal 2 7 4 2 6" xfId="4570"/>
    <cellStyle name="Normal 2 7 4 2 7" xfId="6322"/>
    <cellStyle name="Normal 2 7 4 2 8" xfId="8074"/>
    <cellStyle name="Normal 2 7 4 2 9" xfId="9827"/>
    <cellStyle name="Normal 2 7 4 20" xfId="27241"/>
    <cellStyle name="Normal 2 7 4 21" xfId="28994"/>
    <cellStyle name="Normal 2 7 4 22" xfId="30746"/>
    <cellStyle name="Normal 2 7 4 23" xfId="32499"/>
    <cellStyle name="Normal 2 7 4 24" xfId="34494"/>
    <cellStyle name="Normal 2 7 4 25" xfId="35135"/>
    <cellStyle name="Normal 2 7 4 26" xfId="37115"/>
    <cellStyle name="Normal 2 7 4 27" xfId="38628"/>
    <cellStyle name="Normal 2 7 4 28" xfId="40383"/>
    <cellStyle name="Normal 2 7 4 29" xfId="42135"/>
    <cellStyle name="Normal 2 7 4 3" xfId="1122"/>
    <cellStyle name="Normal 2 7 4 3 10" xfId="13439"/>
    <cellStyle name="Normal 2 7 4 3 11" xfId="15191"/>
    <cellStyle name="Normal 2 7 4 3 12" xfId="16944"/>
    <cellStyle name="Normal 2 7 4 3 13" xfId="18696"/>
    <cellStyle name="Normal 2 7 4 3 14" xfId="20449"/>
    <cellStyle name="Normal 2 7 4 3 15" xfId="22201"/>
    <cellStyle name="Normal 2 7 4 3 16" xfId="23953"/>
    <cellStyle name="Normal 2 7 4 3 17" xfId="25705"/>
    <cellStyle name="Normal 2 7 4 3 18" xfId="27457"/>
    <cellStyle name="Normal 2 7 4 3 19" xfId="29210"/>
    <cellStyle name="Normal 2 7 4 3 2" xfId="1123"/>
    <cellStyle name="Normal 2 7 4 3 2 10" xfId="15627"/>
    <cellStyle name="Normal 2 7 4 3 2 11" xfId="17380"/>
    <cellStyle name="Normal 2 7 4 3 2 12" xfId="19132"/>
    <cellStyle name="Normal 2 7 4 3 2 13" xfId="20885"/>
    <cellStyle name="Normal 2 7 4 3 2 14" xfId="22637"/>
    <cellStyle name="Normal 2 7 4 3 2 15" xfId="24389"/>
    <cellStyle name="Normal 2 7 4 3 2 16" xfId="26141"/>
    <cellStyle name="Normal 2 7 4 3 2 17" xfId="27893"/>
    <cellStyle name="Normal 2 7 4 3 2 18" xfId="29646"/>
    <cellStyle name="Normal 2 7 4 3 2 19" xfId="31398"/>
    <cellStyle name="Normal 2 7 4 3 2 2" xfId="1124"/>
    <cellStyle name="Normal 2 7 4 3 2 2 10" xfId="18256"/>
    <cellStyle name="Normal 2 7 4 3 2 2 11" xfId="20008"/>
    <cellStyle name="Normal 2 7 4 3 2 2 12" xfId="21761"/>
    <cellStyle name="Normal 2 7 4 3 2 2 13" xfId="23513"/>
    <cellStyle name="Normal 2 7 4 3 2 2 14" xfId="25265"/>
    <cellStyle name="Normal 2 7 4 3 2 2 15" xfId="27017"/>
    <cellStyle name="Normal 2 7 4 3 2 2 16" xfId="28769"/>
    <cellStyle name="Normal 2 7 4 3 2 2 17" xfId="30522"/>
    <cellStyle name="Normal 2 7 4 3 2 2 18" xfId="32274"/>
    <cellStyle name="Normal 2 7 4 3 2 2 19" xfId="34027"/>
    <cellStyle name="Normal 2 7 4 3 2 2 2" xfId="4238"/>
    <cellStyle name="Normal 2 7 4 3 2 2 20" xfId="36663"/>
    <cellStyle name="Normal 2 7 4 3 2 2 21" xfId="38403"/>
    <cellStyle name="Normal 2 7 4 3 2 2 22" xfId="40156"/>
    <cellStyle name="Normal 2 7 4 3 2 2 23" xfId="41911"/>
    <cellStyle name="Normal 2 7 4 3 2 2 24" xfId="43663"/>
    <cellStyle name="Normal 2 7 4 3 2 2 25" xfId="46281"/>
    <cellStyle name="Normal 2 7 4 3 2 2 26" xfId="48033"/>
    <cellStyle name="Normal 2 7 4 3 2 2 27" xfId="49785"/>
    <cellStyle name="Normal 2 7 4 3 2 2 28" xfId="51537"/>
    <cellStyle name="Normal 2 7 4 3 2 2 29" xfId="53289"/>
    <cellStyle name="Normal 2 7 4 3 2 2 3" xfId="5990"/>
    <cellStyle name="Normal 2 7 4 3 2 2 30" xfId="55041"/>
    <cellStyle name="Normal 2 7 4 3 2 2 31" xfId="56793"/>
    <cellStyle name="Normal 2 7 4 3 2 2 32" xfId="58546"/>
    <cellStyle name="Normal 2 7 4 3 2 2 33" xfId="60298"/>
    <cellStyle name="Normal 2 7 4 3 2 2 34" xfId="62050"/>
    <cellStyle name="Normal 2 7 4 3 2 2 4" xfId="7742"/>
    <cellStyle name="Normal 2 7 4 3 2 2 5" xfId="9494"/>
    <cellStyle name="Normal 2 7 4 3 2 2 6" xfId="11247"/>
    <cellStyle name="Normal 2 7 4 3 2 2 7" xfId="12999"/>
    <cellStyle name="Normal 2 7 4 3 2 2 8" xfId="14751"/>
    <cellStyle name="Normal 2 7 4 3 2 2 9" xfId="16503"/>
    <cellStyle name="Normal 2 7 4 3 2 20" xfId="33151"/>
    <cellStyle name="Normal 2 7 4 3 2 21" xfId="34500"/>
    <cellStyle name="Normal 2 7 4 3 2 22" xfId="35787"/>
    <cellStyle name="Normal 2 7 4 3 2 23" xfId="37121"/>
    <cellStyle name="Normal 2 7 4 3 2 24" xfId="39280"/>
    <cellStyle name="Normal 2 7 4 3 2 25" xfId="41035"/>
    <cellStyle name="Normal 2 7 4 3 2 26" xfId="42787"/>
    <cellStyle name="Normal 2 7 4 3 2 27" xfId="44121"/>
    <cellStyle name="Normal 2 7 4 3 2 28" xfId="45405"/>
    <cellStyle name="Normal 2 7 4 3 2 29" xfId="47157"/>
    <cellStyle name="Normal 2 7 4 3 2 3" xfId="3362"/>
    <cellStyle name="Normal 2 7 4 3 2 30" xfId="48909"/>
    <cellStyle name="Normal 2 7 4 3 2 31" xfId="50661"/>
    <cellStyle name="Normal 2 7 4 3 2 32" xfId="52413"/>
    <cellStyle name="Normal 2 7 4 3 2 33" xfId="54165"/>
    <cellStyle name="Normal 2 7 4 3 2 34" xfId="55917"/>
    <cellStyle name="Normal 2 7 4 3 2 35" xfId="57670"/>
    <cellStyle name="Normal 2 7 4 3 2 36" xfId="59422"/>
    <cellStyle name="Normal 2 7 4 3 2 37" xfId="61174"/>
    <cellStyle name="Normal 2 7 4 3 2 38" xfId="62508"/>
    <cellStyle name="Normal 2 7 4 3 2 39" xfId="63374"/>
    <cellStyle name="Normal 2 7 4 3 2 4" xfId="5114"/>
    <cellStyle name="Normal 2 7 4 3 2 5" xfId="6866"/>
    <cellStyle name="Normal 2 7 4 3 2 6" xfId="8618"/>
    <cellStyle name="Normal 2 7 4 3 2 7" xfId="10371"/>
    <cellStyle name="Normal 2 7 4 3 2 8" xfId="12123"/>
    <cellStyle name="Normal 2 7 4 3 2 9" xfId="13875"/>
    <cellStyle name="Normal 2 7 4 3 20" xfId="30962"/>
    <cellStyle name="Normal 2 7 4 3 21" xfId="32715"/>
    <cellStyle name="Normal 2 7 4 3 22" xfId="34499"/>
    <cellStyle name="Normal 2 7 4 3 23" xfId="35351"/>
    <cellStyle name="Normal 2 7 4 3 24" xfId="37120"/>
    <cellStyle name="Normal 2 7 4 3 25" xfId="38844"/>
    <cellStyle name="Normal 2 7 4 3 26" xfId="40599"/>
    <cellStyle name="Normal 2 7 4 3 27" xfId="42351"/>
    <cellStyle name="Normal 2 7 4 3 28" xfId="44120"/>
    <cellStyle name="Normal 2 7 4 3 29" xfId="44969"/>
    <cellStyle name="Normal 2 7 4 3 3" xfId="1125"/>
    <cellStyle name="Normal 2 7 4 3 3 10" xfId="17820"/>
    <cellStyle name="Normal 2 7 4 3 3 11" xfId="19572"/>
    <cellStyle name="Normal 2 7 4 3 3 12" xfId="21325"/>
    <cellStyle name="Normal 2 7 4 3 3 13" xfId="23077"/>
    <cellStyle name="Normal 2 7 4 3 3 14" xfId="24829"/>
    <cellStyle name="Normal 2 7 4 3 3 15" xfId="26581"/>
    <cellStyle name="Normal 2 7 4 3 3 16" xfId="28333"/>
    <cellStyle name="Normal 2 7 4 3 3 17" xfId="30086"/>
    <cellStyle name="Normal 2 7 4 3 3 18" xfId="31838"/>
    <cellStyle name="Normal 2 7 4 3 3 19" xfId="33591"/>
    <cellStyle name="Normal 2 7 4 3 3 2" xfId="3802"/>
    <cellStyle name="Normal 2 7 4 3 3 20" xfId="36227"/>
    <cellStyle name="Normal 2 7 4 3 3 21" xfId="37967"/>
    <cellStyle name="Normal 2 7 4 3 3 22" xfId="39720"/>
    <cellStyle name="Normal 2 7 4 3 3 23" xfId="41475"/>
    <cellStyle name="Normal 2 7 4 3 3 24" xfId="43227"/>
    <cellStyle name="Normal 2 7 4 3 3 25" xfId="45845"/>
    <cellStyle name="Normal 2 7 4 3 3 26" xfId="47597"/>
    <cellStyle name="Normal 2 7 4 3 3 27" xfId="49349"/>
    <cellStyle name="Normal 2 7 4 3 3 28" xfId="51101"/>
    <cellStyle name="Normal 2 7 4 3 3 29" xfId="52853"/>
    <cellStyle name="Normal 2 7 4 3 3 3" xfId="5554"/>
    <cellStyle name="Normal 2 7 4 3 3 30" xfId="54605"/>
    <cellStyle name="Normal 2 7 4 3 3 31" xfId="56357"/>
    <cellStyle name="Normal 2 7 4 3 3 32" xfId="58110"/>
    <cellStyle name="Normal 2 7 4 3 3 33" xfId="59862"/>
    <cellStyle name="Normal 2 7 4 3 3 34" xfId="61614"/>
    <cellStyle name="Normal 2 7 4 3 3 4" xfId="7306"/>
    <cellStyle name="Normal 2 7 4 3 3 5" xfId="9058"/>
    <cellStyle name="Normal 2 7 4 3 3 6" xfId="10811"/>
    <cellStyle name="Normal 2 7 4 3 3 7" xfId="12563"/>
    <cellStyle name="Normal 2 7 4 3 3 8" xfId="14315"/>
    <cellStyle name="Normal 2 7 4 3 3 9" xfId="16067"/>
    <cellStyle name="Normal 2 7 4 3 30" xfId="46721"/>
    <cellStyle name="Normal 2 7 4 3 31" xfId="48473"/>
    <cellStyle name="Normal 2 7 4 3 32" xfId="50225"/>
    <cellStyle name="Normal 2 7 4 3 33" xfId="51977"/>
    <cellStyle name="Normal 2 7 4 3 34" xfId="53729"/>
    <cellStyle name="Normal 2 7 4 3 35" xfId="55481"/>
    <cellStyle name="Normal 2 7 4 3 36" xfId="57234"/>
    <cellStyle name="Normal 2 7 4 3 37" xfId="58986"/>
    <cellStyle name="Normal 2 7 4 3 38" xfId="60738"/>
    <cellStyle name="Normal 2 7 4 3 39" xfId="62507"/>
    <cellStyle name="Normal 2 7 4 3 4" xfId="2926"/>
    <cellStyle name="Normal 2 7 4 3 40" xfId="63373"/>
    <cellStyle name="Normal 2 7 4 3 5" xfId="4678"/>
    <cellStyle name="Normal 2 7 4 3 6" xfId="6430"/>
    <cellStyle name="Normal 2 7 4 3 7" xfId="8182"/>
    <cellStyle name="Normal 2 7 4 3 8" xfId="9935"/>
    <cellStyle name="Normal 2 7 4 3 9" xfId="11687"/>
    <cellStyle name="Normal 2 7 4 30" xfId="44115"/>
    <cellStyle name="Normal 2 7 4 31" xfId="44753"/>
    <cellStyle name="Normal 2 7 4 32" xfId="46505"/>
    <cellStyle name="Normal 2 7 4 33" xfId="48257"/>
    <cellStyle name="Normal 2 7 4 34" xfId="50009"/>
    <cellStyle name="Normal 2 7 4 35" xfId="51761"/>
    <cellStyle name="Normal 2 7 4 36" xfId="53513"/>
    <cellStyle name="Normal 2 7 4 37" xfId="55265"/>
    <cellStyle name="Normal 2 7 4 38" xfId="57018"/>
    <cellStyle name="Normal 2 7 4 39" xfId="58770"/>
    <cellStyle name="Normal 2 7 4 4" xfId="1126"/>
    <cellStyle name="Normal 2 7 4 4 10" xfId="15411"/>
    <cellStyle name="Normal 2 7 4 4 11" xfId="17164"/>
    <cellStyle name="Normal 2 7 4 4 12" xfId="18916"/>
    <cellStyle name="Normal 2 7 4 4 13" xfId="20669"/>
    <cellStyle name="Normal 2 7 4 4 14" xfId="22421"/>
    <cellStyle name="Normal 2 7 4 4 15" xfId="24173"/>
    <cellStyle name="Normal 2 7 4 4 16" xfId="25925"/>
    <cellStyle name="Normal 2 7 4 4 17" xfId="27677"/>
    <cellStyle name="Normal 2 7 4 4 18" xfId="29430"/>
    <cellStyle name="Normal 2 7 4 4 19" xfId="31182"/>
    <cellStyle name="Normal 2 7 4 4 2" xfId="1127"/>
    <cellStyle name="Normal 2 7 4 4 2 10" xfId="18040"/>
    <cellStyle name="Normal 2 7 4 4 2 11" xfId="19792"/>
    <cellStyle name="Normal 2 7 4 4 2 12" xfId="21545"/>
    <cellStyle name="Normal 2 7 4 4 2 13" xfId="23297"/>
    <cellStyle name="Normal 2 7 4 4 2 14" xfId="25049"/>
    <cellStyle name="Normal 2 7 4 4 2 15" xfId="26801"/>
    <cellStyle name="Normal 2 7 4 4 2 16" xfId="28553"/>
    <cellStyle name="Normal 2 7 4 4 2 17" xfId="30306"/>
    <cellStyle name="Normal 2 7 4 4 2 18" xfId="32058"/>
    <cellStyle name="Normal 2 7 4 4 2 19" xfId="33811"/>
    <cellStyle name="Normal 2 7 4 4 2 2" xfId="4022"/>
    <cellStyle name="Normal 2 7 4 4 2 20" xfId="36447"/>
    <cellStyle name="Normal 2 7 4 4 2 21" xfId="38187"/>
    <cellStyle name="Normal 2 7 4 4 2 22" xfId="39940"/>
    <cellStyle name="Normal 2 7 4 4 2 23" xfId="41695"/>
    <cellStyle name="Normal 2 7 4 4 2 24" xfId="43447"/>
    <cellStyle name="Normal 2 7 4 4 2 25" xfId="46065"/>
    <cellStyle name="Normal 2 7 4 4 2 26" xfId="47817"/>
    <cellStyle name="Normal 2 7 4 4 2 27" xfId="49569"/>
    <cellStyle name="Normal 2 7 4 4 2 28" xfId="51321"/>
    <cellStyle name="Normal 2 7 4 4 2 29" xfId="53073"/>
    <cellStyle name="Normal 2 7 4 4 2 3" xfId="5774"/>
    <cellStyle name="Normal 2 7 4 4 2 30" xfId="54825"/>
    <cellStyle name="Normal 2 7 4 4 2 31" xfId="56577"/>
    <cellStyle name="Normal 2 7 4 4 2 32" xfId="58330"/>
    <cellStyle name="Normal 2 7 4 4 2 33" xfId="60082"/>
    <cellStyle name="Normal 2 7 4 4 2 34" xfId="61834"/>
    <cellStyle name="Normal 2 7 4 4 2 4" xfId="7526"/>
    <cellStyle name="Normal 2 7 4 4 2 5" xfId="9278"/>
    <cellStyle name="Normal 2 7 4 4 2 6" xfId="11031"/>
    <cellStyle name="Normal 2 7 4 4 2 7" xfId="12783"/>
    <cellStyle name="Normal 2 7 4 4 2 8" xfId="14535"/>
    <cellStyle name="Normal 2 7 4 4 2 9" xfId="16287"/>
    <cellStyle name="Normal 2 7 4 4 20" xfId="32935"/>
    <cellStyle name="Normal 2 7 4 4 21" xfId="34501"/>
    <cellStyle name="Normal 2 7 4 4 22" xfId="35571"/>
    <cellStyle name="Normal 2 7 4 4 23" xfId="37122"/>
    <cellStyle name="Normal 2 7 4 4 24" xfId="39064"/>
    <cellStyle name="Normal 2 7 4 4 25" xfId="40819"/>
    <cellStyle name="Normal 2 7 4 4 26" xfId="42571"/>
    <cellStyle name="Normal 2 7 4 4 27" xfId="44122"/>
    <cellStyle name="Normal 2 7 4 4 28" xfId="45189"/>
    <cellStyle name="Normal 2 7 4 4 29" xfId="46941"/>
    <cellStyle name="Normal 2 7 4 4 3" xfId="3146"/>
    <cellStyle name="Normal 2 7 4 4 30" xfId="48693"/>
    <cellStyle name="Normal 2 7 4 4 31" xfId="50445"/>
    <cellStyle name="Normal 2 7 4 4 32" xfId="52197"/>
    <cellStyle name="Normal 2 7 4 4 33" xfId="53949"/>
    <cellStyle name="Normal 2 7 4 4 34" xfId="55701"/>
    <cellStyle name="Normal 2 7 4 4 35" xfId="57454"/>
    <cellStyle name="Normal 2 7 4 4 36" xfId="59206"/>
    <cellStyle name="Normal 2 7 4 4 37" xfId="60958"/>
    <cellStyle name="Normal 2 7 4 4 38" xfId="62509"/>
    <cellStyle name="Normal 2 7 4 4 39" xfId="63375"/>
    <cellStyle name="Normal 2 7 4 4 4" xfId="4898"/>
    <cellStyle name="Normal 2 7 4 4 5" xfId="6650"/>
    <cellStyle name="Normal 2 7 4 4 6" xfId="8402"/>
    <cellStyle name="Normal 2 7 4 4 7" xfId="10155"/>
    <cellStyle name="Normal 2 7 4 4 8" xfId="11907"/>
    <cellStyle name="Normal 2 7 4 4 9" xfId="13659"/>
    <cellStyle name="Normal 2 7 4 40" xfId="60522"/>
    <cellStyle name="Normal 2 7 4 41" xfId="62502"/>
    <cellStyle name="Normal 2 7 4 42" xfId="63368"/>
    <cellStyle name="Normal 2 7 4 5" xfId="1128"/>
    <cellStyle name="Normal 2 7 4 5 10" xfId="17604"/>
    <cellStyle name="Normal 2 7 4 5 11" xfId="19356"/>
    <cellStyle name="Normal 2 7 4 5 12" xfId="21109"/>
    <cellStyle name="Normal 2 7 4 5 13" xfId="22861"/>
    <cellStyle name="Normal 2 7 4 5 14" xfId="24613"/>
    <cellStyle name="Normal 2 7 4 5 15" xfId="26365"/>
    <cellStyle name="Normal 2 7 4 5 16" xfId="28117"/>
    <cellStyle name="Normal 2 7 4 5 17" xfId="29870"/>
    <cellStyle name="Normal 2 7 4 5 18" xfId="31622"/>
    <cellStyle name="Normal 2 7 4 5 19" xfId="33375"/>
    <cellStyle name="Normal 2 7 4 5 2" xfId="3586"/>
    <cellStyle name="Normal 2 7 4 5 20" xfId="36011"/>
    <cellStyle name="Normal 2 7 4 5 21" xfId="37753"/>
    <cellStyle name="Normal 2 7 4 5 22" xfId="39504"/>
    <cellStyle name="Normal 2 7 4 5 23" xfId="41259"/>
    <cellStyle name="Normal 2 7 4 5 24" xfId="43011"/>
    <cellStyle name="Normal 2 7 4 5 25" xfId="45629"/>
    <cellStyle name="Normal 2 7 4 5 26" xfId="47381"/>
    <cellStyle name="Normal 2 7 4 5 27" xfId="49133"/>
    <cellStyle name="Normal 2 7 4 5 28" xfId="50885"/>
    <cellStyle name="Normal 2 7 4 5 29" xfId="52637"/>
    <cellStyle name="Normal 2 7 4 5 3" xfId="5338"/>
    <cellStyle name="Normal 2 7 4 5 30" xfId="54389"/>
    <cellStyle name="Normal 2 7 4 5 31" xfId="56141"/>
    <cellStyle name="Normal 2 7 4 5 32" xfId="57894"/>
    <cellStyle name="Normal 2 7 4 5 33" xfId="59646"/>
    <cellStyle name="Normal 2 7 4 5 34" xfId="61398"/>
    <cellStyle name="Normal 2 7 4 5 4" xfId="7090"/>
    <cellStyle name="Normal 2 7 4 5 5" xfId="8842"/>
    <cellStyle name="Normal 2 7 4 5 6" xfId="10595"/>
    <cellStyle name="Normal 2 7 4 5 7" xfId="12347"/>
    <cellStyle name="Normal 2 7 4 5 8" xfId="14099"/>
    <cellStyle name="Normal 2 7 4 5 9" xfId="15851"/>
    <cellStyle name="Normal 2 7 4 6" xfId="2710"/>
    <cellStyle name="Normal 2 7 4 7" xfId="4462"/>
    <cellStyle name="Normal 2 7 4 8" xfId="6214"/>
    <cellStyle name="Normal 2 7 4 9" xfId="7966"/>
    <cellStyle name="Normal 2 7 40" xfId="55210"/>
    <cellStyle name="Normal 2 7 41" xfId="56963"/>
    <cellStyle name="Normal 2 7 42" xfId="58715"/>
    <cellStyle name="Normal 2 7 43" xfId="60467"/>
    <cellStyle name="Normal 2 7 44" xfId="62501"/>
    <cellStyle name="Normal 2 7 45" xfId="63367"/>
    <cellStyle name="Normal 2 7 5" xfId="1129"/>
    <cellStyle name="Normal 2 7 5 10" xfId="11524"/>
    <cellStyle name="Normal 2 7 5 11" xfId="13276"/>
    <cellStyle name="Normal 2 7 5 12" xfId="15028"/>
    <cellStyle name="Normal 2 7 5 13" xfId="16781"/>
    <cellStyle name="Normal 2 7 5 14" xfId="18533"/>
    <cellStyle name="Normal 2 7 5 15" xfId="20286"/>
    <cellStyle name="Normal 2 7 5 16" xfId="22038"/>
    <cellStyle name="Normal 2 7 5 17" xfId="23790"/>
    <cellStyle name="Normal 2 7 5 18" xfId="25542"/>
    <cellStyle name="Normal 2 7 5 19" xfId="27294"/>
    <cellStyle name="Normal 2 7 5 2" xfId="1130"/>
    <cellStyle name="Normal 2 7 5 2 10" xfId="13440"/>
    <cellStyle name="Normal 2 7 5 2 11" xfId="15192"/>
    <cellStyle name="Normal 2 7 5 2 12" xfId="16945"/>
    <cellStyle name="Normal 2 7 5 2 13" xfId="18697"/>
    <cellStyle name="Normal 2 7 5 2 14" xfId="20450"/>
    <cellStyle name="Normal 2 7 5 2 15" xfId="22202"/>
    <cellStyle name="Normal 2 7 5 2 16" xfId="23954"/>
    <cellStyle name="Normal 2 7 5 2 17" xfId="25706"/>
    <cellStyle name="Normal 2 7 5 2 18" xfId="27458"/>
    <cellStyle name="Normal 2 7 5 2 19" xfId="29211"/>
    <cellStyle name="Normal 2 7 5 2 2" xfId="1131"/>
    <cellStyle name="Normal 2 7 5 2 2 10" xfId="15628"/>
    <cellStyle name="Normal 2 7 5 2 2 11" xfId="17381"/>
    <cellStyle name="Normal 2 7 5 2 2 12" xfId="19133"/>
    <cellStyle name="Normal 2 7 5 2 2 13" xfId="20886"/>
    <cellStyle name="Normal 2 7 5 2 2 14" xfId="22638"/>
    <cellStyle name="Normal 2 7 5 2 2 15" xfId="24390"/>
    <cellStyle name="Normal 2 7 5 2 2 16" xfId="26142"/>
    <cellStyle name="Normal 2 7 5 2 2 17" xfId="27894"/>
    <cellStyle name="Normal 2 7 5 2 2 18" xfId="29647"/>
    <cellStyle name="Normal 2 7 5 2 2 19" xfId="31399"/>
    <cellStyle name="Normal 2 7 5 2 2 2" xfId="1132"/>
    <cellStyle name="Normal 2 7 5 2 2 2 10" xfId="18257"/>
    <cellStyle name="Normal 2 7 5 2 2 2 11" xfId="20009"/>
    <cellStyle name="Normal 2 7 5 2 2 2 12" xfId="21762"/>
    <cellStyle name="Normal 2 7 5 2 2 2 13" xfId="23514"/>
    <cellStyle name="Normal 2 7 5 2 2 2 14" xfId="25266"/>
    <cellStyle name="Normal 2 7 5 2 2 2 15" xfId="27018"/>
    <cellStyle name="Normal 2 7 5 2 2 2 16" xfId="28770"/>
    <cellStyle name="Normal 2 7 5 2 2 2 17" xfId="30523"/>
    <cellStyle name="Normal 2 7 5 2 2 2 18" xfId="32275"/>
    <cellStyle name="Normal 2 7 5 2 2 2 19" xfId="34028"/>
    <cellStyle name="Normal 2 7 5 2 2 2 2" xfId="4239"/>
    <cellStyle name="Normal 2 7 5 2 2 2 20" xfId="36664"/>
    <cellStyle name="Normal 2 7 5 2 2 2 21" xfId="38404"/>
    <cellStyle name="Normal 2 7 5 2 2 2 22" xfId="40157"/>
    <cellStyle name="Normal 2 7 5 2 2 2 23" xfId="41912"/>
    <cellStyle name="Normal 2 7 5 2 2 2 24" xfId="43664"/>
    <cellStyle name="Normal 2 7 5 2 2 2 25" xfId="46282"/>
    <cellStyle name="Normal 2 7 5 2 2 2 26" xfId="48034"/>
    <cellStyle name="Normal 2 7 5 2 2 2 27" xfId="49786"/>
    <cellStyle name="Normal 2 7 5 2 2 2 28" xfId="51538"/>
    <cellStyle name="Normal 2 7 5 2 2 2 29" xfId="53290"/>
    <cellStyle name="Normal 2 7 5 2 2 2 3" xfId="5991"/>
    <cellStyle name="Normal 2 7 5 2 2 2 30" xfId="55042"/>
    <cellStyle name="Normal 2 7 5 2 2 2 31" xfId="56794"/>
    <cellStyle name="Normal 2 7 5 2 2 2 32" xfId="58547"/>
    <cellStyle name="Normal 2 7 5 2 2 2 33" xfId="60299"/>
    <cellStyle name="Normal 2 7 5 2 2 2 34" xfId="62051"/>
    <cellStyle name="Normal 2 7 5 2 2 2 4" xfId="7743"/>
    <cellStyle name="Normal 2 7 5 2 2 2 5" xfId="9495"/>
    <cellStyle name="Normal 2 7 5 2 2 2 6" xfId="11248"/>
    <cellStyle name="Normal 2 7 5 2 2 2 7" xfId="13000"/>
    <cellStyle name="Normal 2 7 5 2 2 2 8" xfId="14752"/>
    <cellStyle name="Normal 2 7 5 2 2 2 9" xfId="16504"/>
    <cellStyle name="Normal 2 7 5 2 2 20" xfId="33152"/>
    <cellStyle name="Normal 2 7 5 2 2 21" xfId="34504"/>
    <cellStyle name="Normal 2 7 5 2 2 22" xfId="35788"/>
    <cellStyle name="Normal 2 7 5 2 2 23" xfId="37125"/>
    <cellStyle name="Normal 2 7 5 2 2 24" xfId="39281"/>
    <cellStyle name="Normal 2 7 5 2 2 25" xfId="41036"/>
    <cellStyle name="Normal 2 7 5 2 2 26" xfId="42788"/>
    <cellStyle name="Normal 2 7 5 2 2 27" xfId="44125"/>
    <cellStyle name="Normal 2 7 5 2 2 28" xfId="45406"/>
    <cellStyle name="Normal 2 7 5 2 2 29" xfId="47158"/>
    <cellStyle name="Normal 2 7 5 2 2 3" xfId="3363"/>
    <cellStyle name="Normal 2 7 5 2 2 30" xfId="48910"/>
    <cellStyle name="Normal 2 7 5 2 2 31" xfId="50662"/>
    <cellStyle name="Normal 2 7 5 2 2 32" xfId="52414"/>
    <cellStyle name="Normal 2 7 5 2 2 33" xfId="54166"/>
    <cellStyle name="Normal 2 7 5 2 2 34" xfId="55918"/>
    <cellStyle name="Normal 2 7 5 2 2 35" xfId="57671"/>
    <cellStyle name="Normal 2 7 5 2 2 36" xfId="59423"/>
    <cellStyle name="Normal 2 7 5 2 2 37" xfId="61175"/>
    <cellStyle name="Normal 2 7 5 2 2 38" xfId="62512"/>
    <cellStyle name="Normal 2 7 5 2 2 39" xfId="63378"/>
    <cellStyle name="Normal 2 7 5 2 2 4" xfId="5115"/>
    <cellStyle name="Normal 2 7 5 2 2 5" xfId="6867"/>
    <cellStyle name="Normal 2 7 5 2 2 6" xfId="8619"/>
    <cellStyle name="Normal 2 7 5 2 2 7" xfId="10372"/>
    <cellStyle name="Normal 2 7 5 2 2 8" xfId="12124"/>
    <cellStyle name="Normal 2 7 5 2 2 9" xfId="13876"/>
    <cellStyle name="Normal 2 7 5 2 20" xfId="30963"/>
    <cellStyle name="Normal 2 7 5 2 21" xfId="32716"/>
    <cellStyle name="Normal 2 7 5 2 22" xfId="34503"/>
    <cellStyle name="Normal 2 7 5 2 23" xfId="35352"/>
    <cellStyle name="Normal 2 7 5 2 24" xfId="37124"/>
    <cellStyle name="Normal 2 7 5 2 25" xfId="38845"/>
    <cellStyle name="Normal 2 7 5 2 26" xfId="40600"/>
    <cellStyle name="Normal 2 7 5 2 27" xfId="42352"/>
    <cellStyle name="Normal 2 7 5 2 28" xfId="44124"/>
    <cellStyle name="Normal 2 7 5 2 29" xfId="44970"/>
    <cellStyle name="Normal 2 7 5 2 3" xfId="1133"/>
    <cellStyle name="Normal 2 7 5 2 3 10" xfId="17821"/>
    <cellStyle name="Normal 2 7 5 2 3 11" xfId="19573"/>
    <cellStyle name="Normal 2 7 5 2 3 12" xfId="21326"/>
    <cellStyle name="Normal 2 7 5 2 3 13" xfId="23078"/>
    <cellStyle name="Normal 2 7 5 2 3 14" xfId="24830"/>
    <cellStyle name="Normal 2 7 5 2 3 15" xfId="26582"/>
    <cellStyle name="Normal 2 7 5 2 3 16" xfId="28334"/>
    <cellStyle name="Normal 2 7 5 2 3 17" xfId="30087"/>
    <cellStyle name="Normal 2 7 5 2 3 18" xfId="31839"/>
    <cellStyle name="Normal 2 7 5 2 3 19" xfId="33592"/>
    <cellStyle name="Normal 2 7 5 2 3 2" xfId="3803"/>
    <cellStyle name="Normal 2 7 5 2 3 20" xfId="36228"/>
    <cellStyle name="Normal 2 7 5 2 3 21" xfId="37968"/>
    <cellStyle name="Normal 2 7 5 2 3 22" xfId="39721"/>
    <cellStyle name="Normal 2 7 5 2 3 23" xfId="41476"/>
    <cellStyle name="Normal 2 7 5 2 3 24" xfId="43228"/>
    <cellStyle name="Normal 2 7 5 2 3 25" xfId="45846"/>
    <cellStyle name="Normal 2 7 5 2 3 26" xfId="47598"/>
    <cellStyle name="Normal 2 7 5 2 3 27" xfId="49350"/>
    <cellStyle name="Normal 2 7 5 2 3 28" xfId="51102"/>
    <cellStyle name="Normal 2 7 5 2 3 29" xfId="52854"/>
    <cellStyle name="Normal 2 7 5 2 3 3" xfId="5555"/>
    <cellStyle name="Normal 2 7 5 2 3 30" xfId="54606"/>
    <cellStyle name="Normal 2 7 5 2 3 31" xfId="56358"/>
    <cellStyle name="Normal 2 7 5 2 3 32" xfId="58111"/>
    <cellStyle name="Normal 2 7 5 2 3 33" xfId="59863"/>
    <cellStyle name="Normal 2 7 5 2 3 34" xfId="61615"/>
    <cellStyle name="Normal 2 7 5 2 3 4" xfId="7307"/>
    <cellStyle name="Normal 2 7 5 2 3 5" xfId="9059"/>
    <cellStyle name="Normal 2 7 5 2 3 6" xfId="10812"/>
    <cellStyle name="Normal 2 7 5 2 3 7" xfId="12564"/>
    <cellStyle name="Normal 2 7 5 2 3 8" xfId="14316"/>
    <cellStyle name="Normal 2 7 5 2 3 9" xfId="16068"/>
    <cellStyle name="Normal 2 7 5 2 30" xfId="46722"/>
    <cellStyle name="Normal 2 7 5 2 31" xfId="48474"/>
    <cellStyle name="Normal 2 7 5 2 32" xfId="50226"/>
    <cellStyle name="Normal 2 7 5 2 33" xfId="51978"/>
    <cellStyle name="Normal 2 7 5 2 34" xfId="53730"/>
    <cellStyle name="Normal 2 7 5 2 35" xfId="55482"/>
    <cellStyle name="Normal 2 7 5 2 36" xfId="57235"/>
    <cellStyle name="Normal 2 7 5 2 37" xfId="58987"/>
    <cellStyle name="Normal 2 7 5 2 38" xfId="60739"/>
    <cellStyle name="Normal 2 7 5 2 39" xfId="62511"/>
    <cellStyle name="Normal 2 7 5 2 4" xfId="2927"/>
    <cellStyle name="Normal 2 7 5 2 40" xfId="63377"/>
    <cellStyle name="Normal 2 7 5 2 5" xfId="4679"/>
    <cellStyle name="Normal 2 7 5 2 6" xfId="6431"/>
    <cellStyle name="Normal 2 7 5 2 7" xfId="8183"/>
    <cellStyle name="Normal 2 7 5 2 8" xfId="9936"/>
    <cellStyle name="Normal 2 7 5 2 9" xfId="11688"/>
    <cellStyle name="Normal 2 7 5 20" xfId="29047"/>
    <cellStyle name="Normal 2 7 5 21" xfId="30799"/>
    <cellStyle name="Normal 2 7 5 22" xfId="32552"/>
    <cellStyle name="Normal 2 7 5 23" xfId="34502"/>
    <cellStyle name="Normal 2 7 5 24" xfId="35188"/>
    <cellStyle name="Normal 2 7 5 25" xfId="37123"/>
    <cellStyle name="Normal 2 7 5 26" xfId="38681"/>
    <cellStyle name="Normal 2 7 5 27" xfId="40436"/>
    <cellStyle name="Normal 2 7 5 28" xfId="42188"/>
    <cellStyle name="Normal 2 7 5 29" xfId="44123"/>
    <cellStyle name="Normal 2 7 5 3" xfId="1134"/>
    <cellStyle name="Normal 2 7 5 3 10" xfId="15464"/>
    <cellStyle name="Normal 2 7 5 3 11" xfId="17217"/>
    <cellStyle name="Normal 2 7 5 3 12" xfId="18969"/>
    <cellStyle name="Normal 2 7 5 3 13" xfId="20722"/>
    <cellStyle name="Normal 2 7 5 3 14" xfId="22474"/>
    <cellStyle name="Normal 2 7 5 3 15" xfId="24226"/>
    <cellStyle name="Normal 2 7 5 3 16" xfId="25978"/>
    <cellStyle name="Normal 2 7 5 3 17" xfId="27730"/>
    <cellStyle name="Normal 2 7 5 3 18" xfId="29483"/>
    <cellStyle name="Normal 2 7 5 3 19" xfId="31235"/>
    <cellStyle name="Normal 2 7 5 3 2" xfId="1135"/>
    <cellStyle name="Normal 2 7 5 3 2 10" xfId="18093"/>
    <cellStyle name="Normal 2 7 5 3 2 11" xfId="19845"/>
    <cellStyle name="Normal 2 7 5 3 2 12" xfId="21598"/>
    <cellStyle name="Normal 2 7 5 3 2 13" xfId="23350"/>
    <cellStyle name="Normal 2 7 5 3 2 14" xfId="25102"/>
    <cellStyle name="Normal 2 7 5 3 2 15" xfId="26854"/>
    <cellStyle name="Normal 2 7 5 3 2 16" xfId="28606"/>
    <cellStyle name="Normal 2 7 5 3 2 17" xfId="30359"/>
    <cellStyle name="Normal 2 7 5 3 2 18" xfId="32111"/>
    <cellStyle name="Normal 2 7 5 3 2 19" xfId="33864"/>
    <cellStyle name="Normal 2 7 5 3 2 2" xfId="4075"/>
    <cellStyle name="Normal 2 7 5 3 2 20" xfId="36500"/>
    <cellStyle name="Normal 2 7 5 3 2 21" xfId="38240"/>
    <cellStyle name="Normal 2 7 5 3 2 22" xfId="39993"/>
    <cellStyle name="Normal 2 7 5 3 2 23" xfId="41748"/>
    <cellStyle name="Normal 2 7 5 3 2 24" xfId="43500"/>
    <cellStyle name="Normal 2 7 5 3 2 25" xfId="46118"/>
    <cellStyle name="Normal 2 7 5 3 2 26" xfId="47870"/>
    <cellStyle name="Normal 2 7 5 3 2 27" xfId="49622"/>
    <cellStyle name="Normal 2 7 5 3 2 28" xfId="51374"/>
    <cellStyle name="Normal 2 7 5 3 2 29" xfId="53126"/>
    <cellStyle name="Normal 2 7 5 3 2 3" xfId="5827"/>
    <cellStyle name="Normal 2 7 5 3 2 30" xfId="54878"/>
    <cellStyle name="Normal 2 7 5 3 2 31" xfId="56630"/>
    <cellStyle name="Normal 2 7 5 3 2 32" xfId="58383"/>
    <cellStyle name="Normal 2 7 5 3 2 33" xfId="60135"/>
    <cellStyle name="Normal 2 7 5 3 2 34" xfId="61887"/>
    <cellStyle name="Normal 2 7 5 3 2 4" xfId="7579"/>
    <cellStyle name="Normal 2 7 5 3 2 5" xfId="9331"/>
    <cellStyle name="Normal 2 7 5 3 2 6" xfId="11084"/>
    <cellStyle name="Normal 2 7 5 3 2 7" xfId="12836"/>
    <cellStyle name="Normal 2 7 5 3 2 8" xfId="14588"/>
    <cellStyle name="Normal 2 7 5 3 2 9" xfId="16340"/>
    <cellStyle name="Normal 2 7 5 3 20" xfId="32988"/>
    <cellStyle name="Normal 2 7 5 3 21" xfId="34505"/>
    <cellStyle name="Normal 2 7 5 3 22" xfId="35624"/>
    <cellStyle name="Normal 2 7 5 3 23" xfId="37126"/>
    <cellStyle name="Normal 2 7 5 3 24" xfId="39117"/>
    <cellStyle name="Normal 2 7 5 3 25" xfId="40872"/>
    <cellStyle name="Normal 2 7 5 3 26" xfId="42624"/>
    <cellStyle name="Normal 2 7 5 3 27" xfId="44126"/>
    <cellStyle name="Normal 2 7 5 3 28" xfId="45242"/>
    <cellStyle name="Normal 2 7 5 3 29" xfId="46994"/>
    <cellStyle name="Normal 2 7 5 3 3" xfId="3199"/>
    <cellStyle name="Normal 2 7 5 3 30" xfId="48746"/>
    <cellStyle name="Normal 2 7 5 3 31" xfId="50498"/>
    <cellStyle name="Normal 2 7 5 3 32" xfId="52250"/>
    <cellStyle name="Normal 2 7 5 3 33" xfId="54002"/>
    <cellStyle name="Normal 2 7 5 3 34" xfId="55754"/>
    <cellStyle name="Normal 2 7 5 3 35" xfId="57507"/>
    <cellStyle name="Normal 2 7 5 3 36" xfId="59259"/>
    <cellStyle name="Normal 2 7 5 3 37" xfId="61011"/>
    <cellStyle name="Normal 2 7 5 3 38" xfId="62513"/>
    <cellStyle name="Normal 2 7 5 3 39" xfId="63379"/>
    <cellStyle name="Normal 2 7 5 3 4" xfId="4951"/>
    <cellStyle name="Normal 2 7 5 3 5" xfId="6703"/>
    <cellStyle name="Normal 2 7 5 3 6" xfId="8455"/>
    <cellStyle name="Normal 2 7 5 3 7" xfId="10208"/>
    <cellStyle name="Normal 2 7 5 3 8" xfId="11960"/>
    <cellStyle name="Normal 2 7 5 3 9" xfId="13712"/>
    <cellStyle name="Normal 2 7 5 30" xfId="44806"/>
    <cellStyle name="Normal 2 7 5 31" xfId="46558"/>
    <cellStyle name="Normal 2 7 5 32" xfId="48310"/>
    <cellStyle name="Normal 2 7 5 33" xfId="50062"/>
    <cellStyle name="Normal 2 7 5 34" xfId="51814"/>
    <cellStyle name="Normal 2 7 5 35" xfId="53566"/>
    <cellStyle name="Normal 2 7 5 36" xfId="55318"/>
    <cellStyle name="Normal 2 7 5 37" xfId="57071"/>
    <cellStyle name="Normal 2 7 5 38" xfId="58823"/>
    <cellStyle name="Normal 2 7 5 39" xfId="60575"/>
    <cellStyle name="Normal 2 7 5 4" xfId="1136"/>
    <cellStyle name="Normal 2 7 5 4 10" xfId="17657"/>
    <cellStyle name="Normal 2 7 5 4 11" xfId="19409"/>
    <cellStyle name="Normal 2 7 5 4 12" xfId="21162"/>
    <cellStyle name="Normal 2 7 5 4 13" xfId="22914"/>
    <cellStyle name="Normal 2 7 5 4 14" xfId="24666"/>
    <cellStyle name="Normal 2 7 5 4 15" xfId="26418"/>
    <cellStyle name="Normal 2 7 5 4 16" xfId="28170"/>
    <cellStyle name="Normal 2 7 5 4 17" xfId="29923"/>
    <cellStyle name="Normal 2 7 5 4 18" xfId="31675"/>
    <cellStyle name="Normal 2 7 5 4 19" xfId="33428"/>
    <cellStyle name="Normal 2 7 5 4 2" xfId="3639"/>
    <cellStyle name="Normal 2 7 5 4 20" xfId="36064"/>
    <cellStyle name="Normal 2 7 5 4 21" xfId="37804"/>
    <cellStyle name="Normal 2 7 5 4 22" xfId="39557"/>
    <cellStyle name="Normal 2 7 5 4 23" xfId="41312"/>
    <cellStyle name="Normal 2 7 5 4 24" xfId="43064"/>
    <cellStyle name="Normal 2 7 5 4 25" xfId="45682"/>
    <cellStyle name="Normal 2 7 5 4 26" xfId="47434"/>
    <cellStyle name="Normal 2 7 5 4 27" xfId="49186"/>
    <cellStyle name="Normal 2 7 5 4 28" xfId="50938"/>
    <cellStyle name="Normal 2 7 5 4 29" xfId="52690"/>
    <cellStyle name="Normal 2 7 5 4 3" xfId="5391"/>
    <cellStyle name="Normal 2 7 5 4 30" xfId="54442"/>
    <cellStyle name="Normal 2 7 5 4 31" xfId="56194"/>
    <cellStyle name="Normal 2 7 5 4 32" xfId="57947"/>
    <cellStyle name="Normal 2 7 5 4 33" xfId="59699"/>
    <cellStyle name="Normal 2 7 5 4 34" xfId="61451"/>
    <cellStyle name="Normal 2 7 5 4 4" xfId="7143"/>
    <cellStyle name="Normal 2 7 5 4 5" xfId="8895"/>
    <cellStyle name="Normal 2 7 5 4 6" xfId="10648"/>
    <cellStyle name="Normal 2 7 5 4 7" xfId="12400"/>
    <cellStyle name="Normal 2 7 5 4 8" xfId="14152"/>
    <cellStyle name="Normal 2 7 5 4 9" xfId="15904"/>
    <cellStyle name="Normal 2 7 5 40" xfId="62510"/>
    <cellStyle name="Normal 2 7 5 41" xfId="63376"/>
    <cellStyle name="Normal 2 7 5 5" xfId="2763"/>
    <cellStyle name="Normal 2 7 5 6" xfId="4515"/>
    <cellStyle name="Normal 2 7 5 7" xfId="6267"/>
    <cellStyle name="Normal 2 7 5 8" xfId="8019"/>
    <cellStyle name="Normal 2 7 5 9" xfId="9772"/>
    <cellStyle name="Normal 2 7 6" xfId="1137"/>
    <cellStyle name="Normal 2 7 6 10" xfId="13441"/>
    <cellStyle name="Normal 2 7 6 11" xfId="15193"/>
    <cellStyle name="Normal 2 7 6 12" xfId="16946"/>
    <cellStyle name="Normal 2 7 6 13" xfId="18698"/>
    <cellStyle name="Normal 2 7 6 14" xfId="20451"/>
    <cellStyle name="Normal 2 7 6 15" xfId="22203"/>
    <cellStyle name="Normal 2 7 6 16" xfId="23955"/>
    <cellStyle name="Normal 2 7 6 17" xfId="25707"/>
    <cellStyle name="Normal 2 7 6 18" xfId="27459"/>
    <cellStyle name="Normal 2 7 6 19" xfId="29212"/>
    <cellStyle name="Normal 2 7 6 2" xfId="1138"/>
    <cellStyle name="Normal 2 7 6 2 10" xfId="15629"/>
    <cellStyle name="Normal 2 7 6 2 11" xfId="17382"/>
    <cellStyle name="Normal 2 7 6 2 12" xfId="19134"/>
    <cellStyle name="Normal 2 7 6 2 13" xfId="20887"/>
    <cellStyle name="Normal 2 7 6 2 14" xfId="22639"/>
    <cellStyle name="Normal 2 7 6 2 15" xfId="24391"/>
    <cellStyle name="Normal 2 7 6 2 16" xfId="26143"/>
    <cellStyle name="Normal 2 7 6 2 17" xfId="27895"/>
    <cellStyle name="Normal 2 7 6 2 18" xfId="29648"/>
    <cellStyle name="Normal 2 7 6 2 19" xfId="31400"/>
    <cellStyle name="Normal 2 7 6 2 2" xfId="1139"/>
    <cellStyle name="Normal 2 7 6 2 2 10" xfId="18258"/>
    <cellStyle name="Normal 2 7 6 2 2 11" xfId="20010"/>
    <cellStyle name="Normal 2 7 6 2 2 12" xfId="21763"/>
    <cellStyle name="Normal 2 7 6 2 2 13" xfId="23515"/>
    <cellStyle name="Normal 2 7 6 2 2 14" xfId="25267"/>
    <cellStyle name="Normal 2 7 6 2 2 15" xfId="27019"/>
    <cellStyle name="Normal 2 7 6 2 2 16" xfId="28771"/>
    <cellStyle name="Normal 2 7 6 2 2 17" xfId="30524"/>
    <cellStyle name="Normal 2 7 6 2 2 18" xfId="32276"/>
    <cellStyle name="Normal 2 7 6 2 2 19" xfId="34029"/>
    <cellStyle name="Normal 2 7 6 2 2 2" xfId="4240"/>
    <cellStyle name="Normal 2 7 6 2 2 20" xfId="36665"/>
    <cellStyle name="Normal 2 7 6 2 2 21" xfId="38405"/>
    <cellStyle name="Normal 2 7 6 2 2 22" xfId="40158"/>
    <cellStyle name="Normal 2 7 6 2 2 23" xfId="41913"/>
    <cellStyle name="Normal 2 7 6 2 2 24" xfId="43665"/>
    <cellStyle name="Normal 2 7 6 2 2 25" xfId="46283"/>
    <cellStyle name="Normal 2 7 6 2 2 26" xfId="48035"/>
    <cellStyle name="Normal 2 7 6 2 2 27" xfId="49787"/>
    <cellStyle name="Normal 2 7 6 2 2 28" xfId="51539"/>
    <cellStyle name="Normal 2 7 6 2 2 29" xfId="53291"/>
    <cellStyle name="Normal 2 7 6 2 2 3" xfId="5992"/>
    <cellStyle name="Normal 2 7 6 2 2 30" xfId="55043"/>
    <cellStyle name="Normal 2 7 6 2 2 31" xfId="56795"/>
    <cellStyle name="Normal 2 7 6 2 2 32" xfId="58548"/>
    <cellStyle name="Normal 2 7 6 2 2 33" xfId="60300"/>
    <cellStyle name="Normal 2 7 6 2 2 34" xfId="62052"/>
    <cellStyle name="Normal 2 7 6 2 2 4" xfId="7744"/>
    <cellStyle name="Normal 2 7 6 2 2 5" xfId="9496"/>
    <cellStyle name="Normal 2 7 6 2 2 6" xfId="11249"/>
    <cellStyle name="Normal 2 7 6 2 2 7" xfId="13001"/>
    <cellStyle name="Normal 2 7 6 2 2 8" xfId="14753"/>
    <cellStyle name="Normal 2 7 6 2 2 9" xfId="16505"/>
    <cellStyle name="Normal 2 7 6 2 20" xfId="33153"/>
    <cellStyle name="Normal 2 7 6 2 21" xfId="34507"/>
    <cellStyle name="Normal 2 7 6 2 22" xfId="35789"/>
    <cellStyle name="Normal 2 7 6 2 23" xfId="37128"/>
    <cellStyle name="Normal 2 7 6 2 24" xfId="39282"/>
    <cellStyle name="Normal 2 7 6 2 25" xfId="41037"/>
    <cellStyle name="Normal 2 7 6 2 26" xfId="42789"/>
    <cellStyle name="Normal 2 7 6 2 27" xfId="44128"/>
    <cellStyle name="Normal 2 7 6 2 28" xfId="45407"/>
    <cellStyle name="Normal 2 7 6 2 29" xfId="47159"/>
    <cellStyle name="Normal 2 7 6 2 3" xfId="3364"/>
    <cellStyle name="Normal 2 7 6 2 30" xfId="48911"/>
    <cellStyle name="Normal 2 7 6 2 31" xfId="50663"/>
    <cellStyle name="Normal 2 7 6 2 32" xfId="52415"/>
    <cellStyle name="Normal 2 7 6 2 33" xfId="54167"/>
    <cellStyle name="Normal 2 7 6 2 34" xfId="55919"/>
    <cellStyle name="Normal 2 7 6 2 35" xfId="57672"/>
    <cellStyle name="Normal 2 7 6 2 36" xfId="59424"/>
    <cellStyle name="Normal 2 7 6 2 37" xfId="61176"/>
    <cellStyle name="Normal 2 7 6 2 38" xfId="62515"/>
    <cellStyle name="Normal 2 7 6 2 39" xfId="63381"/>
    <cellStyle name="Normal 2 7 6 2 4" xfId="5116"/>
    <cellStyle name="Normal 2 7 6 2 5" xfId="6868"/>
    <cellStyle name="Normal 2 7 6 2 6" xfId="8620"/>
    <cellStyle name="Normal 2 7 6 2 7" xfId="10373"/>
    <cellStyle name="Normal 2 7 6 2 8" xfId="12125"/>
    <cellStyle name="Normal 2 7 6 2 9" xfId="13877"/>
    <cellStyle name="Normal 2 7 6 20" xfId="30964"/>
    <cellStyle name="Normal 2 7 6 21" xfId="32717"/>
    <cellStyle name="Normal 2 7 6 22" xfId="34506"/>
    <cellStyle name="Normal 2 7 6 23" xfId="35353"/>
    <cellStyle name="Normal 2 7 6 24" xfId="37127"/>
    <cellStyle name="Normal 2 7 6 25" xfId="38846"/>
    <cellStyle name="Normal 2 7 6 26" xfId="40601"/>
    <cellStyle name="Normal 2 7 6 27" xfId="42353"/>
    <cellStyle name="Normal 2 7 6 28" xfId="44127"/>
    <cellStyle name="Normal 2 7 6 29" xfId="44971"/>
    <cellStyle name="Normal 2 7 6 3" xfId="1140"/>
    <cellStyle name="Normal 2 7 6 3 10" xfId="17822"/>
    <cellStyle name="Normal 2 7 6 3 11" xfId="19574"/>
    <cellStyle name="Normal 2 7 6 3 12" xfId="21327"/>
    <cellStyle name="Normal 2 7 6 3 13" xfId="23079"/>
    <cellStyle name="Normal 2 7 6 3 14" xfId="24831"/>
    <cellStyle name="Normal 2 7 6 3 15" xfId="26583"/>
    <cellStyle name="Normal 2 7 6 3 16" xfId="28335"/>
    <cellStyle name="Normal 2 7 6 3 17" xfId="30088"/>
    <cellStyle name="Normal 2 7 6 3 18" xfId="31840"/>
    <cellStyle name="Normal 2 7 6 3 19" xfId="33593"/>
    <cellStyle name="Normal 2 7 6 3 2" xfId="3804"/>
    <cellStyle name="Normal 2 7 6 3 20" xfId="36229"/>
    <cellStyle name="Normal 2 7 6 3 21" xfId="37969"/>
    <cellStyle name="Normal 2 7 6 3 22" xfId="39722"/>
    <cellStyle name="Normal 2 7 6 3 23" xfId="41477"/>
    <cellStyle name="Normal 2 7 6 3 24" xfId="43229"/>
    <cellStyle name="Normal 2 7 6 3 25" xfId="45847"/>
    <cellStyle name="Normal 2 7 6 3 26" xfId="47599"/>
    <cellStyle name="Normal 2 7 6 3 27" xfId="49351"/>
    <cellStyle name="Normal 2 7 6 3 28" xfId="51103"/>
    <cellStyle name="Normal 2 7 6 3 29" xfId="52855"/>
    <cellStyle name="Normal 2 7 6 3 3" xfId="5556"/>
    <cellStyle name="Normal 2 7 6 3 30" xfId="54607"/>
    <cellStyle name="Normal 2 7 6 3 31" xfId="56359"/>
    <cellStyle name="Normal 2 7 6 3 32" xfId="58112"/>
    <cellStyle name="Normal 2 7 6 3 33" xfId="59864"/>
    <cellStyle name="Normal 2 7 6 3 34" xfId="61616"/>
    <cellStyle name="Normal 2 7 6 3 4" xfId="7308"/>
    <cellStyle name="Normal 2 7 6 3 5" xfId="9060"/>
    <cellStyle name="Normal 2 7 6 3 6" xfId="10813"/>
    <cellStyle name="Normal 2 7 6 3 7" xfId="12565"/>
    <cellStyle name="Normal 2 7 6 3 8" xfId="14317"/>
    <cellStyle name="Normal 2 7 6 3 9" xfId="16069"/>
    <cellStyle name="Normal 2 7 6 30" xfId="46723"/>
    <cellStyle name="Normal 2 7 6 31" xfId="48475"/>
    <cellStyle name="Normal 2 7 6 32" xfId="50227"/>
    <cellStyle name="Normal 2 7 6 33" xfId="51979"/>
    <cellStyle name="Normal 2 7 6 34" xfId="53731"/>
    <cellStyle name="Normal 2 7 6 35" xfId="55483"/>
    <cellStyle name="Normal 2 7 6 36" xfId="57236"/>
    <cellStyle name="Normal 2 7 6 37" xfId="58988"/>
    <cellStyle name="Normal 2 7 6 38" xfId="60740"/>
    <cellStyle name="Normal 2 7 6 39" xfId="62514"/>
    <cellStyle name="Normal 2 7 6 4" xfId="2928"/>
    <cellStyle name="Normal 2 7 6 40" xfId="63380"/>
    <cellStyle name="Normal 2 7 6 5" xfId="4680"/>
    <cellStyle name="Normal 2 7 6 6" xfId="6432"/>
    <cellStyle name="Normal 2 7 6 7" xfId="8184"/>
    <cellStyle name="Normal 2 7 6 8" xfId="9937"/>
    <cellStyle name="Normal 2 7 6 9" xfId="11689"/>
    <cellStyle name="Normal 2 7 7" xfId="1141"/>
    <cellStyle name="Normal 2 7 7 10" xfId="15356"/>
    <cellStyle name="Normal 2 7 7 11" xfId="17109"/>
    <cellStyle name="Normal 2 7 7 12" xfId="18861"/>
    <cellStyle name="Normal 2 7 7 13" xfId="20614"/>
    <cellStyle name="Normal 2 7 7 14" xfId="22366"/>
    <cellStyle name="Normal 2 7 7 15" xfId="24118"/>
    <cellStyle name="Normal 2 7 7 16" xfId="25870"/>
    <cellStyle name="Normal 2 7 7 17" xfId="27622"/>
    <cellStyle name="Normal 2 7 7 18" xfId="29375"/>
    <cellStyle name="Normal 2 7 7 19" xfId="31127"/>
    <cellStyle name="Normal 2 7 7 2" xfId="1142"/>
    <cellStyle name="Normal 2 7 7 2 10" xfId="17985"/>
    <cellStyle name="Normal 2 7 7 2 11" xfId="19737"/>
    <cellStyle name="Normal 2 7 7 2 12" xfId="21490"/>
    <cellStyle name="Normal 2 7 7 2 13" xfId="23242"/>
    <cellStyle name="Normal 2 7 7 2 14" xfId="24994"/>
    <cellStyle name="Normal 2 7 7 2 15" xfId="26746"/>
    <cellStyle name="Normal 2 7 7 2 16" xfId="28498"/>
    <cellStyle name="Normal 2 7 7 2 17" xfId="30251"/>
    <cellStyle name="Normal 2 7 7 2 18" xfId="32003"/>
    <cellStyle name="Normal 2 7 7 2 19" xfId="33756"/>
    <cellStyle name="Normal 2 7 7 2 2" xfId="3967"/>
    <cellStyle name="Normal 2 7 7 2 20" xfId="36392"/>
    <cellStyle name="Normal 2 7 7 2 21" xfId="38132"/>
    <cellStyle name="Normal 2 7 7 2 22" xfId="39885"/>
    <cellStyle name="Normal 2 7 7 2 23" xfId="41640"/>
    <cellStyle name="Normal 2 7 7 2 24" xfId="43392"/>
    <cellStyle name="Normal 2 7 7 2 25" xfId="46010"/>
    <cellStyle name="Normal 2 7 7 2 26" xfId="47762"/>
    <cellStyle name="Normal 2 7 7 2 27" xfId="49514"/>
    <cellStyle name="Normal 2 7 7 2 28" xfId="51266"/>
    <cellStyle name="Normal 2 7 7 2 29" xfId="53018"/>
    <cellStyle name="Normal 2 7 7 2 3" xfId="5719"/>
    <cellStyle name="Normal 2 7 7 2 30" xfId="54770"/>
    <cellStyle name="Normal 2 7 7 2 31" xfId="56522"/>
    <cellStyle name="Normal 2 7 7 2 32" xfId="58275"/>
    <cellStyle name="Normal 2 7 7 2 33" xfId="60027"/>
    <cellStyle name="Normal 2 7 7 2 34" xfId="61779"/>
    <cellStyle name="Normal 2 7 7 2 4" xfId="7471"/>
    <cellStyle name="Normal 2 7 7 2 5" xfId="9223"/>
    <cellStyle name="Normal 2 7 7 2 6" xfId="10976"/>
    <cellStyle name="Normal 2 7 7 2 7" xfId="12728"/>
    <cellStyle name="Normal 2 7 7 2 8" xfId="14480"/>
    <cellStyle name="Normal 2 7 7 2 9" xfId="16232"/>
    <cellStyle name="Normal 2 7 7 20" xfId="32880"/>
    <cellStyle name="Normal 2 7 7 21" xfId="34508"/>
    <cellStyle name="Normal 2 7 7 22" xfId="35516"/>
    <cellStyle name="Normal 2 7 7 23" xfId="37129"/>
    <cellStyle name="Normal 2 7 7 24" xfId="39009"/>
    <cellStyle name="Normal 2 7 7 25" xfId="40764"/>
    <cellStyle name="Normal 2 7 7 26" xfId="42516"/>
    <cellStyle name="Normal 2 7 7 27" xfId="44129"/>
    <cellStyle name="Normal 2 7 7 28" xfId="45134"/>
    <cellStyle name="Normal 2 7 7 29" xfId="46886"/>
    <cellStyle name="Normal 2 7 7 3" xfId="3091"/>
    <cellStyle name="Normal 2 7 7 30" xfId="48638"/>
    <cellStyle name="Normal 2 7 7 31" xfId="50390"/>
    <cellStyle name="Normal 2 7 7 32" xfId="52142"/>
    <cellStyle name="Normal 2 7 7 33" xfId="53894"/>
    <cellStyle name="Normal 2 7 7 34" xfId="55646"/>
    <cellStyle name="Normal 2 7 7 35" xfId="57399"/>
    <cellStyle name="Normal 2 7 7 36" xfId="59151"/>
    <cellStyle name="Normal 2 7 7 37" xfId="60903"/>
    <cellStyle name="Normal 2 7 7 38" xfId="62516"/>
    <cellStyle name="Normal 2 7 7 39" xfId="63382"/>
    <cellStyle name="Normal 2 7 7 4" xfId="4843"/>
    <cellStyle name="Normal 2 7 7 5" xfId="6595"/>
    <cellStyle name="Normal 2 7 7 6" xfId="8347"/>
    <cellStyle name="Normal 2 7 7 7" xfId="10100"/>
    <cellStyle name="Normal 2 7 7 8" xfId="11852"/>
    <cellStyle name="Normal 2 7 7 9" xfId="13604"/>
    <cellStyle name="Normal 2 7 8" xfId="1143"/>
    <cellStyle name="Normal 2 7 8 10" xfId="17549"/>
    <cellStyle name="Normal 2 7 8 11" xfId="19301"/>
    <cellStyle name="Normal 2 7 8 12" xfId="21054"/>
    <cellStyle name="Normal 2 7 8 13" xfId="22806"/>
    <cellStyle name="Normal 2 7 8 14" xfId="24558"/>
    <cellStyle name="Normal 2 7 8 15" xfId="26310"/>
    <cellStyle name="Normal 2 7 8 16" xfId="28062"/>
    <cellStyle name="Normal 2 7 8 17" xfId="29815"/>
    <cellStyle name="Normal 2 7 8 18" xfId="31567"/>
    <cellStyle name="Normal 2 7 8 19" xfId="33320"/>
    <cellStyle name="Normal 2 7 8 2" xfId="3531"/>
    <cellStyle name="Normal 2 7 8 20" xfId="35956"/>
    <cellStyle name="Normal 2 7 8 21" xfId="37697"/>
    <cellStyle name="Normal 2 7 8 22" xfId="39449"/>
    <cellStyle name="Normal 2 7 8 23" xfId="41204"/>
    <cellStyle name="Normal 2 7 8 24" xfId="42956"/>
    <cellStyle name="Normal 2 7 8 25" xfId="45574"/>
    <cellStyle name="Normal 2 7 8 26" xfId="47326"/>
    <cellStyle name="Normal 2 7 8 27" xfId="49078"/>
    <cellStyle name="Normal 2 7 8 28" xfId="50830"/>
    <cellStyle name="Normal 2 7 8 29" xfId="52582"/>
    <cellStyle name="Normal 2 7 8 3" xfId="5283"/>
    <cellStyle name="Normal 2 7 8 30" xfId="54334"/>
    <cellStyle name="Normal 2 7 8 31" xfId="56086"/>
    <cellStyle name="Normal 2 7 8 32" xfId="57839"/>
    <cellStyle name="Normal 2 7 8 33" xfId="59591"/>
    <cellStyle name="Normal 2 7 8 34" xfId="61343"/>
    <cellStyle name="Normal 2 7 8 4" xfId="7035"/>
    <cellStyle name="Normal 2 7 8 5" xfId="8787"/>
    <cellStyle name="Normal 2 7 8 6" xfId="10540"/>
    <cellStyle name="Normal 2 7 8 7" xfId="12292"/>
    <cellStyle name="Normal 2 7 8 8" xfId="14044"/>
    <cellStyle name="Normal 2 7 8 9" xfId="15796"/>
    <cellStyle name="Normal 2 7 9" xfId="2628"/>
    <cellStyle name="Normal 2 8" xfId="1144"/>
    <cellStyle name="Normal 2 8 10" xfId="7912"/>
    <cellStyle name="Normal 2 8 11" xfId="9665"/>
    <cellStyle name="Normal 2 8 12" xfId="11417"/>
    <cellStyle name="Normal 2 8 13" xfId="13169"/>
    <cellStyle name="Normal 2 8 14" xfId="14921"/>
    <cellStyle name="Normal 2 8 15" xfId="16674"/>
    <cellStyle name="Normal 2 8 16" xfId="18426"/>
    <cellStyle name="Normal 2 8 17" xfId="20179"/>
    <cellStyle name="Normal 2 8 18" xfId="21931"/>
    <cellStyle name="Normal 2 8 19" xfId="23683"/>
    <cellStyle name="Normal 2 8 2" xfId="1145"/>
    <cellStyle name="Normal 2 8 2 10" xfId="9720"/>
    <cellStyle name="Normal 2 8 2 11" xfId="11472"/>
    <cellStyle name="Normal 2 8 2 12" xfId="13224"/>
    <cellStyle name="Normal 2 8 2 13" xfId="14976"/>
    <cellStyle name="Normal 2 8 2 14" xfId="16729"/>
    <cellStyle name="Normal 2 8 2 15" xfId="18481"/>
    <cellStyle name="Normal 2 8 2 16" xfId="20234"/>
    <cellStyle name="Normal 2 8 2 17" xfId="21986"/>
    <cellStyle name="Normal 2 8 2 18" xfId="23738"/>
    <cellStyle name="Normal 2 8 2 19" xfId="25490"/>
    <cellStyle name="Normal 2 8 2 2" xfId="1146"/>
    <cellStyle name="Normal 2 8 2 2 10" xfId="11580"/>
    <cellStyle name="Normal 2 8 2 2 11" xfId="13332"/>
    <cellStyle name="Normal 2 8 2 2 12" xfId="15084"/>
    <cellStyle name="Normal 2 8 2 2 13" xfId="16837"/>
    <cellStyle name="Normal 2 8 2 2 14" xfId="18589"/>
    <cellStyle name="Normal 2 8 2 2 15" xfId="20342"/>
    <cellStyle name="Normal 2 8 2 2 16" xfId="22094"/>
    <cellStyle name="Normal 2 8 2 2 17" xfId="23846"/>
    <cellStyle name="Normal 2 8 2 2 18" xfId="25598"/>
    <cellStyle name="Normal 2 8 2 2 19" xfId="27350"/>
    <cellStyle name="Normal 2 8 2 2 2" xfId="1147"/>
    <cellStyle name="Normal 2 8 2 2 2 10" xfId="13442"/>
    <cellStyle name="Normal 2 8 2 2 2 11" xfId="15194"/>
    <cellStyle name="Normal 2 8 2 2 2 12" xfId="16947"/>
    <cellStyle name="Normal 2 8 2 2 2 13" xfId="18699"/>
    <cellStyle name="Normal 2 8 2 2 2 14" xfId="20452"/>
    <cellStyle name="Normal 2 8 2 2 2 15" xfId="22204"/>
    <cellStyle name="Normal 2 8 2 2 2 16" xfId="23956"/>
    <cellStyle name="Normal 2 8 2 2 2 17" xfId="25708"/>
    <cellStyle name="Normal 2 8 2 2 2 18" xfId="27460"/>
    <cellStyle name="Normal 2 8 2 2 2 19" xfId="29213"/>
    <cellStyle name="Normal 2 8 2 2 2 2" xfId="1148"/>
    <cellStyle name="Normal 2 8 2 2 2 2 10" xfId="15630"/>
    <cellStyle name="Normal 2 8 2 2 2 2 11" xfId="17383"/>
    <cellStyle name="Normal 2 8 2 2 2 2 12" xfId="19135"/>
    <cellStyle name="Normal 2 8 2 2 2 2 13" xfId="20888"/>
    <cellStyle name="Normal 2 8 2 2 2 2 14" xfId="22640"/>
    <cellStyle name="Normal 2 8 2 2 2 2 15" xfId="24392"/>
    <cellStyle name="Normal 2 8 2 2 2 2 16" xfId="26144"/>
    <cellStyle name="Normal 2 8 2 2 2 2 17" xfId="27896"/>
    <cellStyle name="Normal 2 8 2 2 2 2 18" xfId="29649"/>
    <cellStyle name="Normal 2 8 2 2 2 2 19" xfId="31401"/>
    <cellStyle name="Normal 2 8 2 2 2 2 2" xfId="1149"/>
    <cellStyle name="Normal 2 8 2 2 2 2 2 10" xfId="18259"/>
    <cellStyle name="Normal 2 8 2 2 2 2 2 11" xfId="20011"/>
    <cellStyle name="Normal 2 8 2 2 2 2 2 12" xfId="21764"/>
    <cellStyle name="Normal 2 8 2 2 2 2 2 13" xfId="23516"/>
    <cellStyle name="Normal 2 8 2 2 2 2 2 14" xfId="25268"/>
    <cellStyle name="Normal 2 8 2 2 2 2 2 15" xfId="27020"/>
    <cellStyle name="Normal 2 8 2 2 2 2 2 16" xfId="28772"/>
    <cellStyle name="Normal 2 8 2 2 2 2 2 17" xfId="30525"/>
    <cellStyle name="Normal 2 8 2 2 2 2 2 18" xfId="32277"/>
    <cellStyle name="Normal 2 8 2 2 2 2 2 19" xfId="34030"/>
    <cellStyle name="Normal 2 8 2 2 2 2 2 2" xfId="4241"/>
    <cellStyle name="Normal 2 8 2 2 2 2 2 20" xfId="36666"/>
    <cellStyle name="Normal 2 8 2 2 2 2 2 21" xfId="38406"/>
    <cellStyle name="Normal 2 8 2 2 2 2 2 22" xfId="40159"/>
    <cellStyle name="Normal 2 8 2 2 2 2 2 23" xfId="41914"/>
    <cellStyle name="Normal 2 8 2 2 2 2 2 24" xfId="43666"/>
    <cellStyle name="Normal 2 8 2 2 2 2 2 25" xfId="46284"/>
    <cellStyle name="Normal 2 8 2 2 2 2 2 26" xfId="48036"/>
    <cellStyle name="Normal 2 8 2 2 2 2 2 27" xfId="49788"/>
    <cellStyle name="Normal 2 8 2 2 2 2 2 28" xfId="51540"/>
    <cellStyle name="Normal 2 8 2 2 2 2 2 29" xfId="53292"/>
    <cellStyle name="Normal 2 8 2 2 2 2 2 3" xfId="5993"/>
    <cellStyle name="Normal 2 8 2 2 2 2 2 30" xfId="55044"/>
    <cellStyle name="Normal 2 8 2 2 2 2 2 31" xfId="56796"/>
    <cellStyle name="Normal 2 8 2 2 2 2 2 32" xfId="58549"/>
    <cellStyle name="Normal 2 8 2 2 2 2 2 33" xfId="60301"/>
    <cellStyle name="Normal 2 8 2 2 2 2 2 34" xfId="62053"/>
    <cellStyle name="Normal 2 8 2 2 2 2 2 4" xfId="7745"/>
    <cellStyle name="Normal 2 8 2 2 2 2 2 5" xfId="9497"/>
    <cellStyle name="Normal 2 8 2 2 2 2 2 6" xfId="11250"/>
    <cellStyle name="Normal 2 8 2 2 2 2 2 7" xfId="13002"/>
    <cellStyle name="Normal 2 8 2 2 2 2 2 8" xfId="14754"/>
    <cellStyle name="Normal 2 8 2 2 2 2 2 9" xfId="16506"/>
    <cellStyle name="Normal 2 8 2 2 2 2 20" xfId="33154"/>
    <cellStyle name="Normal 2 8 2 2 2 2 21" xfId="34513"/>
    <cellStyle name="Normal 2 8 2 2 2 2 22" xfId="35790"/>
    <cellStyle name="Normal 2 8 2 2 2 2 23" xfId="37134"/>
    <cellStyle name="Normal 2 8 2 2 2 2 24" xfId="39283"/>
    <cellStyle name="Normal 2 8 2 2 2 2 25" xfId="41038"/>
    <cellStyle name="Normal 2 8 2 2 2 2 26" xfId="42790"/>
    <cellStyle name="Normal 2 8 2 2 2 2 27" xfId="44134"/>
    <cellStyle name="Normal 2 8 2 2 2 2 28" xfId="45408"/>
    <cellStyle name="Normal 2 8 2 2 2 2 29" xfId="47160"/>
    <cellStyle name="Normal 2 8 2 2 2 2 3" xfId="3365"/>
    <cellStyle name="Normal 2 8 2 2 2 2 30" xfId="48912"/>
    <cellStyle name="Normal 2 8 2 2 2 2 31" xfId="50664"/>
    <cellStyle name="Normal 2 8 2 2 2 2 32" xfId="52416"/>
    <cellStyle name="Normal 2 8 2 2 2 2 33" xfId="54168"/>
    <cellStyle name="Normal 2 8 2 2 2 2 34" xfId="55920"/>
    <cellStyle name="Normal 2 8 2 2 2 2 35" xfId="57673"/>
    <cellStyle name="Normal 2 8 2 2 2 2 36" xfId="59425"/>
    <cellStyle name="Normal 2 8 2 2 2 2 37" xfId="61177"/>
    <cellStyle name="Normal 2 8 2 2 2 2 38" xfId="62521"/>
    <cellStyle name="Normal 2 8 2 2 2 2 39" xfId="63387"/>
    <cellStyle name="Normal 2 8 2 2 2 2 4" xfId="5117"/>
    <cellStyle name="Normal 2 8 2 2 2 2 5" xfId="6869"/>
    <cellStyle name="Normal 2 8 2 2 2 2 6" xfId="8621"/>
    <cellStyle name="Normal 2 8 2 2 2 2 7" xfId="10374"/>
    <cellStyle name="Normal 2 8 2 2 2 2 8" xfId="12126"/>
    <cellStyle name="Normal 2 8 2 2 2 2 9" xfId="13878"/>
    <cellStyle name="Normal 2 8 2 2 2 20" xfId="30965"/>
    <cellStyle name="Normal 2 8 2 2 2 21" xfId="32718"/>
    <cellStyle name="Normal 2 8 2 2 2 22" xfId="34512"/>
    <cellStyle name="Normal 2 8 2 2 2 23" xfId="35354"/>
    <cellStyle name="Normal 2 8 2 2 2 24" xfId="37133"/>
    <cellStyle name="Normal 2 8 2 2 2 25" xfId="38847"/>
    <cellStyle name="Normal 2 8 2 2 2 26" xfId="40602"/>
    <cellStyle name="Normal 2 8 2 2 2 27" xfId="42354"/>
    <cellStyle name="Normal 2 8 2 2 2 28" xfId="44133"/>
    <cellStyle name="Normal 2 8 2 2 2 29" xfId="44972"/>
    <cellStyle name="Normal 2 8 2 2 2 3" xfId="1150"/>
    <cellStyle name="Normal 2 8 2 2 2 3 10" xfId="17823"/>
    <cellStyle name="Normal 2 8 2 2 2 3 11" xfId="19575"/>
    <cellStyle name="Normal 2 8 2 2 2 3 12" xfId="21328"/>
    <cellStyle name="Normal 2 8 2 2 2 3 13" xfId="23080"/>
    <cellStyle name="Normal 2 8 2 2 2 3 14" xfId="24832"/>
    <cellStyle name="Normal 2 8 2 2 2 3 15" xfId="26584"/>
    <cellStyle name="Normal 2 8 2 2 2 3 16" xfId="28336"/>
    <cellStyle name="Normal 2 8 2 2 2 3 17" xfId="30089"/>
    <cellStyle name="Normal 2 8 2 2 2 3 18" xfId="31841"/>
    <cellStyle name="Normal 2 8 2 2 2 3 19" xfId="33594"/>
    <cellStyle name="Normal 2 8 2 2 2 3 2" xfId="3805"/>
    <cellStyle name="Normal 2 8 2 2 2 3 20" xfId="36230"/>
    <cellStyle name="Normal 2 8 2 2 2 3 21" xfId="37970"/>
    <cellStyle name="Normal 2 8 2 2 2 3 22" xfId="39723"/>
    <cellStyle name="Normal 2 8 2 2 2 3 23" xfId="41478"/>
    <cellStyle name="Normal 2 8 2 2 2 3 24" xfId="43230"/>
    <cellStyle name="Normal 2 8 2 2 2 3 25" xfId="45848"/>
    <cellStyle name="Normal 2 8 2 2 2 3 26" xfId="47600"/>
    <cellStyle name="Normal 2 8 2 2 2 3 27" xfId="49352"/>
    <cellStyle name="Normal 2 8 2 2 2 3 28" xfId="51104"/>
    <cellStyle name="Normal 2 8 2 2 2 3 29" xfId="52856"/>
    <cellStyle name="Normal 2 8 2 2 2 3 3" xfId="5557"/>
    <cellStyle name="Normal 2 8 2 2 2 3 30" xfId="54608"/>
    <cellStyle name="Normal 2 8 2 2 2 3 31" xfId="56360"/>
    <cellStyle name="Normal 2 8 2 2 2 3 32" xfId="58113"/>
    <cellStyle name="Normal 2 8 2 2 2 3 33" xfId="59865"/>
    <cellStyle name="Normal 2 8 2 2 2 3 34" xfId="61617"/>
    <cellStyle name="Normal 2 8 2 2 2 3 4" xfId="7309"/>
    <cellStyle name="Normal 2 8 2 2 2 3 5" xfId="9061"/>
    <cellStyle name="Normal 2 8 2 2 2 3 6" xfId="10814"/>
    <cellStyle name="Normal 2 8 2 2 2 3 7" xfId="12566"/>
    <cellStyle name="Normal 2 8 2 2 2 3 8" xfId="14318"/>
    <cellStyle name="Normal 2 8 2 2 2 3 9" xfId="16070"/>
    <cellStyle name="Normal 2 8 2 2 2 30" xfId="46724"/>
    <cellStyle name="Normal 2 8 2 2 2 31" xfId="48476"/>
    <cellStyle name="Normal 2 8 2 2 2 32" xfId="50228"/>
    <cellStyle name="Normal 2 8 2 2 2 33" xfId="51980"/>
    <cellStyle name="Normal 2 8 2 2 2 34" xfId="53732"/>
    <cellStyle name="Normal 2 8 2 2 2 35" xfId="55484"/>
    <cellStyle name="Normal 2 8 2 2 2 36" xfId="57237"/>
    <cellStyle name="Normal 2 8 2 2 2 37" xfId="58989"/>
    <cellStyle name="Normal 2 8 2 2 2 38" xfId="60741"/>
    <cellStyle name="Normal 2 8 2 2 2 39" xfId="62520"/>
    <cellStyle name="Normal 2 8 2 2 2 4" xfId="2929"/>
    <cellStyle name="Normal 2 8 2 2 2 40" xfId="63386"/>
    <cellStyle name="Normal 2 8 2 2 2 5" xfId="4681"/>
    <cellStyle name="Normal 2 8 2 2 2 6" xfId="6433"/>
    <cellStyle name="Normal 2 8 2 2 2 7" xfId="8185"/>
    <cellStyle name="Normal 2 8 2 2 2 8" xfId="9938"/>
    <cellStyle name="Normal 2 8 2 2 2 9" xfId="11690"/>
    <cellStyle name="Normal 2 8 2 2 20" xfId="29103"/>
    <cellStyle name="Normal 2 8 2 2 21" xfId="30855"/>
    <cellStyle name="Normal 2 8 2 2 22" xfId="32608"/>
    <cellStyle name="Normal 2 8 2 2 23" xfId="34511"/>
    <cellStyle name="Normal 2 8 2 2 24" xfId="35244"/>
    <cellStyle name="Normal 2 8 2 2 25" xfId="37132"/>
    <cellStyle name="Normal 2 8 2 2 26" xfId="38737"/>
    <cellStyle name="Normal 2 8 2 2 27" xfId="40492"/>
    <cellStyle name="Normal 2 8 2 2 28" xfId="42244"/>
    <cellStyle name="Normal 2 8 2 2 29" xfId="44132"/>
    <cellStyle name="Normal 2 8 2 2 3" xfId="1151"/>
    <cellStyle name="Normal 2 8 2 2 3 10" xfId="15520"/>
    <cellStyle name="Normal 2 8 2 2 3 11" xfId="17273"/>
    <cellStyle name="Normal 2 8 2 2 3 12" xfId="19025"/>
    <cellStyle name="Normal 2 8 2 2 3 13" xfId="20778"/>
    <cellStyle name="Normal 2 8 2 2 3 14" xfId="22530"/>
    <cellStyle name="Normal 2 8 2 2 3 15" xfId="24282"/>
    <cellStyle name="Normal 2 8 2 2 3 16" xfId="26034"/>
    <cellStyle name="Normal 2 8 2 2 3 17" xfId="27786"/>
    <cellStyle name="Normal 2 8 2 2 3 18" xfId="29539"/>
    <cellStyle name="Normal 2 8 2 2 3 19" xfId="31291"/>
    <cellStyle name="Normal 2 8 2 2 3 2" xfId="1152"/>
    <cellStyle name="Normal 2 8 2 2 3 2 10" xfId="18149"/>
    <cellStyle name="Normal 2 8 2 2 3 2 11" xfId="19901"/>
    <cellStyle name="Normal 2 8 2 2 3 2 12" xfId="21654"/>
    <cellStyle name="Normal 2 8 2 2 3 2 13" xfId="23406"/>
    <cellStyle name="Normal 2 8 2 2 3 2 14" xfId="25158"/>
    <cellStyle name="Normal 2 8 2 2 3 2 15" xfId="26910"/>
    <cellStyle name="Normal 2 8 2 2 3 2 16" xfId="28662"/>
    <cellStyle name="Normal 2 8 2 2 3 2 17" xfId="30415"/>
    <cellStyle name="Normal 2 8 2 2 3 2 18" xfId="32167"/>
    <cellStyle name="Normal 2 8 2 2 3 2 19" xfId="33920"/>
    <cellStyle name="Normal 2 8 2 2 3 2 2" xfId="4131"/>
    <cellStyle name="Normal 2 8 2 2 3 2 20" xfId="36556"/>
    <cellStyle name="Normal 2 8 2 2 3 2 21" xfId="38296"/>
    <cellStyle name="Normal 2 8 2 2 3 2 22" xfId="40049"/>
    <cellStyle name="Normal 2 8 2 2 3 2 23" xfId="41804"/>
    <cellStyle name="Normal 2 8 2 2 3 2 24" xfId="43556"/>
    <cellStyle name="Normal 2 8 2 2 3 2 25" xfId="46174"/>
    <cellStyle name="Normal 2 8 2 2 3 2 26" xfId="47926"/>
    <cellStyle name="Normal 2 8 2 2 3 2 27" xfId="49678"/>
    <cellStyle name="Normal 2 8 2 2 3 2 28" xfId="51430"/>
    <cellStyle name="Normal 2 8 2 2 3 2 29" xfId="53182"/>
    <cellStyle name="Normal 2 8 2 2 3 2 3" xfId="5883"/>
    <cellStyle name="Normal 2 8 2 2 3 2 30" xfId="54934"/>
    <cellStyle name="Normal 2 8 2 2 3 2 31" xfId="56686"/>
    <cellStyle name="Normal 2 8 2 2 3 2 32" xfId="58439"/>
    <cellStyle name="Normal 2 8 2 2 3 2 33" xfId="60191"/>
    <cellStyle name="Normal 2 8 2 2 3 2 34" xfId="61943"/>
    <cellStyle name="Normal 2 8 2 2 3 2 4" xfId="7635"/>
    <cellStyle name="Normal 2 8 2 2 3 2 5" xfId="9387"/>
    <cellStyle name="Normal 2 8 2 2 3 2 6" xfId="11140"/>
    <cellStyle name="Normal 2 8 2 2 3 2 7" xfId="12892"/>
    <cellStyle name="Normal 2 8 2 2 3 2 8" xfId="14644"/>
    <cellStyle name="Normal 2 8 2 2 3 2 9" xfId="16396"/>
    <cellStyle name="Normal 2 8 2 2 3 20" xfId="33044"/>
    <cellStyle name="Normal 2 8 2 2 3 21" xfId="34514"/>
    <cellStyle name="Normal 2 8 2 2 3 22" xfId="35680"/>
    <cellStyle name="Normal 2 8 2 2 3 23" xfId="37135"/>
    <cellStyle name="Normal 2 8 2 2 3 24" xfId="39173"/>
    <cellStyle name="Normal 2 8 2 2 3 25" xfId="40928"/>
    <cellStyle name="Normal 2 8 2 2 3 26" xfId="42680"/>
    <cellStyle name="Normal 2 8 2 2 3 27" xfId="44135"/>
    <cellStyle name="Normal 2 8 2 2 3 28" xfId="45298"/>
    <cellStyle name="Normal 2 8 2 2 3 29" xfId="47050"/>
    <cellStyle name="Normal 2 8 2 2 3 3" xfId="3255"/>
    <cellStyle name="Normal 2 8 2 2 3 30" xfId="48802"/>
    <cellStyle name="Normal 2 8 2 2 3 31" xfId="50554"/>
    <cellStyle name="Normal 2 8 2 2 3 32" xfId="52306"/>
    <cellStyle name="Normal 2 8 2 2 3 33" xfId="54058"/>
    <cellStyle name="Normal 2 8 2 2 3 34" xfId="55810"/>
    <cellStyle name="Normal 2 8 2 2 3 35" xfId="57563"/>
    <cellStyle name="Normal 2 8 2 2 3 36" xfId="59315"/>
    <cellStyle name="Normal 2 8 2 2 3 37" xfId="61067"/>
    <cellStyle name="Normal 2 8 2 2 3 38" xfId="62522"/>
    <cellStyle name="Normal 2 8 2 2 3 39" xfId="63388"/>
    <cellStyle name="Normal 2 8 2 2 3 4" xfId="5007"/>
    <cellStyle name="Normal 2 8 2 2 3 5" xfId="6759"/>
    <cellStyle name="Normal 2 8 2 2 3 6" xfId="8511"/>
    <cellStyle name="Normal 2 8 2 2 3 7" xfId="10264"/>
    <cellStyle name="Normal 2 8 2 2 3 8" xfId="12016"/>
    <cellStyle name="Normal 2 8 2 2 3 9" xfId="13768"/>
    <cellStyle name="Normal 2 8 2 2 30" xfId="44862"/>
    <cellStyle name="Normal 2 8 2 2 31" xfId="46614"/>
    <cellStyle name="Normal 2 8 2 2 32" xfId="48366"/>
    <cellStyle name="Normal 2 8 2 2 33" xfId="50118"/>
    <cellStyle name="Normal 2 8 2 2 34" xfId="51870"/>
    <cellStyle name="Normal 2 8 2 2 35" xfId="53622"/>
    <cellStyle name="Normal 2 8 2 2 36" xfId="55374"/>
    <cellStyle name="Normal 2 8 2 2 37" xfId="57127"/>
    <cellStyle name="Normal 2 8 2 2 38" xfId="58879"/>
    <cellStyle name="Normal 2 8 2 2 39" xfId="60631"/>
    <cellStyle name="Normal 2 8 2 2 4" xfId="1153"/>
    <cellStyle name="Normal 2 8 2 2 4 10" xfId="17713"/>
    <cellStyle name="Normal 2 8 2 2 4 11" xfId="19465"/>
    <cellStyle name="Normal 2 8 2 2 4 12" xfId="21218"/>
    <cellStyle name="Normal 2 8 2 2 4 13" xfId="22970"/>
    <cellStyle name="Normal 2 8 2 2 4 14" xfId="24722"/>
    <cellStyle name="Normal 2 8 2 2 4 15" xfId="26474"/>
    <cellStyle name="Normal 2 8 2 2 4 16" xfId="28226"/>
    <cellStyle name="Normal 2 8 2 2 4 17" xfId="29979"/>
    <cellStyle name="Normal 2 8 2 2 4 18" xfId="31731"/>
    <cellStyle name="Normal 2 8 2 2 4 19" xfId="33484"/>
    <cellStyle name="Normal 2 8 2 2 4 2" xfId="3695"/>
    <cellStyle name="Normal 2 8 2 2 4 20" xfId="36120"/>
    <cellStyle name="Normal 2 8 2 2 4 21" xfId="37860"/>
    <cellStyle name="Normal 2 8 2 2 4 22" xfId="39613"/>
    <cellStyle name="Normal 2 8 2 2 4 23" xfId="41368"/>
    <cellStyle name="Normal 2 8 2 2 4 24" xfId="43120"/>
    <cellStyle name="Normal 2 8 2 2 4 25" xfId="45738"/>
    <cellStyle name="Normal 2 8 2 2 4 26" xfId="47490"/>
    <cellStyle name="Normal 2 8 2 2 4 27" xfId="49242"/>
    <cellStyle name="Normal 2 8 2 2 4 28" xfId="50994"/>
    <cellStyle name="Normal 2 8 2 2 4 29" xfId="52746"/>
    <cellStyle name="Normal 2 8 2 2 4 3" xfId="5447"/>
    <cellStyle name="Normal 2 8 2 2 4 30" xfId="54498"/>
    <cellStyle name="Normal 2 8 2 2 4 31" xfId="56250"/>
    <cellStyle name="Normal 2 8 2 2 4 32" xfId="58003"/>
    <cellStyle name="Normal 2 8 2 2 4 33" xfId="59755"/>
    <cellStyle name="Normal 2 8 2 2 4 34" xfId="61507"/>
    <cellStyle name="Normal 2 8 2 2 4 4" xfId="7199"/>
    <cellStyle name="Normal 2 8 2 2 4 5" xfId="8951"/>
    <cellStyle name="Normal 2 8 2 2 4 6" xfId="10704"/>
    <cellStyle name="Normal 2 8 2 2 4 7" xfId="12456"/>
    <cellStyle name="Normal 2 8 2 2 4 8" xfId="14208"/>
    <cellStyle name="Normal 2 8 2 2 4 9" xfId="15960"/>
    <cellStyle name="Normal 2 8 2 2 40" xfId="62519"/>
    <cellStyle name="Normal 2 8 2 2 41" xfId="63385"/>
    <cellStyle name="Normal 2 8 2 2 5" xfId="2819"/>
    <cellStyle name="Normal 2 8 2 2 6" xfId="4571"/>
    <cellStyle name="Normal 2 8 2 2 7" xfId="6323"/>
    <cellStyle name="Normal 2 8 2 2 8" xfId="8075"/>
    <cellStyle name="Normal 2 8 2 2 9" xfId="9828"/>
    <cellStyle name="Normal 2 8 2 20" xfId="27242"/>
    <cellStyle name="Normal 2 8 2 21" xfId="28995"/>
    <cellStyle name="Normal 2 8 2 22" xfId="30747"/>
    <cellStyle name="Normal 2 8 2 23" xfId="32500"/>
    <cellStyle name="Normal 2 8 2 24" xfId="34510"/>
    <cellStyle name="Normal 2 8 2 25" xfId="35136"/>
    <cellStyle name="Normal 2 8 2 26" xfId="37131"/>
    <cellStyle name="Normal 2 8 2 27" xfId="38629"/>
    <cellStyle name="Normal 2 8 2 28" xfId="40384"/>
    <cellStyle name="Normal 2 8 2 29" xfId="42136"/>
    <cellStyle name="Normal 2 8 2 3" xfId="1154"/>
    <cellStyle name="Normal 2 8 2 3 10" xfId="13443"/>
    <cellStyle name="Normal 2 8 2 3 11" xfId="15195"/>
    <cellStyle name="Normal 2 8 2 3 12" xfId="16948"/>
    <cellStyle name="Normal 2 8 2 3 13" xfId="18700"/>
    <cellStyle name="Normal 2 8 2 3 14" xfId="20453"/>
    <cellStyle name="Normal 2 8 2 3 15" xfId="22205"/>
    <cellStyle name="Normal 2 8 2 3 16" xfId="23957"/>
    <cellStyle name="Normal 2 8 2 3 17" xfId="25709"/>
    <cellStyle name="Normal 2 8 2 3 18" xfId="27461"/>
    <cellStyle name="Normal 2 8 2 3 19" xfId="29214"/>
    <cellStyle name="Normal 2 8 2 3 2" xfId="1155"/>
    <cellStyle name="Normal 2 8 2 3 2 10" xfId="15631"/>
    <cellStyle name="Normal 2 8 2 3 2 11" xfId="17384"/>
    <cellStyle name="Normal 2 8 2 3 2 12" xfId="19136"/>
    <cellStyle name="Normal 2 8 2 3 2 13" xfId="20889"/>
    <cellStyle name="Normal 2 8 2 3 2 14" xfId="22641"/>
    <cellStyle name="Normal 2 8 2 3 2 15" xfId="24393"/>
    <cellStyle name="Normal 2 8 2 3 2 16" xfId="26145"/>
    <cellStyle name="Normal 2 8 2 3 2 17" xfId="27897"/>
    <cellStyle name="Normal 2 8 2 3 2 18" xfId="29650"/>
    <cellStyle name="Normal 2 8 2 3 2 19" xfId="31402"/>
    <cellStyle name="Normal 2 8 2 3 2 2" xfId="1156"/>
    <cellStyle name="Normal 2 8 2 3 2 2 10" xfId="18260"/>
    <cellStyle name="Normal 2 8 2 3 2 2 11" xfId="20012"/>
    <cellStyle name="Normal 2 8 2 3 2 2 12" xfId="21765"/>
    <cellStyle name="Normal 2 8 2 3 2 2 13" xfId="23517"/>
    <cellStyle name="Normal 2 8 2 3 2 2 14" xfId="25269"/>
    <cellStyle name="Normal 2 8 2 3 2 2 15" xfId="27021"/>
    <cellStyle name="Normal 2 8 2 3 2 2 16" xfId="28773"/>
    <cellStyle name="Normal 2 8 2 3 2 2 17" xfId="30526"/>
    <cellStyle name="Normal 2 8 2 3 2 2 18" xfId="32278"/>
    <cellStyle name="Normal 2 8 2 3 2 2 19" xfId="34031"/>
    <cellStyle name="Normal 2 8 2 3 2 2 2" xfId="4242"/>
    <cellStyle name="Normal 2 8 2 3 2 2 20" xfId="36667"/>
    <cellStyle name="Normal 2 8 2 3 2 2 21" xfId="38407"/>
    <cellStyle name="Normal 2 8 2 3 2 2 22" xfId="40160"/>
    <cellStyle name="Normal 2 8 2 3 2 2 23" xfId="41915"/>
    <cellStyle name="Normal 2 8 2 3 2 2 24" xfId="43667"/>
    <cellStyle name="Normal 2 8 2 3 2 2 25" xfId="46285"/>
    <cellStyle name="Normal 2 8 2 3 2 2 26" xfId="48037"/>
    <cellStyle name="Normal 2 8 2 3 2 2 27" xfId="49789"/>
    <cellStyle name="Normal 2 8 2 3 2 2 28" xfId="51541"/>
    <cellStyle name="Normal 2 8 2 3 2 2 29" xfId="53293"/>
    <cellStyle name="Normal 2 8 2 3 2 2 3" xfId="5994"/>
    <cellStyle name="Normal 2 8 2 3 2 2 30" xfId="55045"/>
    <cellStyle name="Normal 2 8 2 3 2 2 31" xfId="56797"/>
    <cellStyle name="Normal 2 8 2 3 2 2 32" xfId="58550"/>
    <cellStyle name="Normal 2 8 2 3 2 2 33" xfId="60302"/>
    <cellStyle name="Normal 2 8 2 3 2 2 34" xfId="62054"/>
    <cellStyle name="Normal 2 8 2 3 2 2 4" xfId="7746"/>
    <cellStyle name="Normal 2 8 2 3 2 2 5" xfId="9498"/>
    <cellStyle name="Normal 2 8 2 3 2 2 6" xfId="11251"/>
    <cellStyle name="Normal 2 8 2 3 2 2 7" xfId="13003"/>
    <cellStyle name="Normal 2 8 2 3 2 2 8" xfId="14755"/>
    <cellStyle name="Normal 2 8 2 3 2 2 9" xfId="16507"/>
    <cellStyle name="Normal 2 8 2 3 2 20" xfId="33155"/>
    <cellStyle name="Normal 2 8 2 3 2 21" xfId="34516"/>
    <cellStyle name="Normal 2 8 2 3 2 22" xfId="35791"/>
    <cellStyle name="Normal 2 8 2 3 2 23" xfId="37137"/>
    <cellStyle name="Normal 2 8 2 3 2 24" xfId="39284"/>
    <cellStyle name="Normal 2 8 2 3 2 25" xfId="41039"/>
    <cellStyle name="Normal 2 8 2 3 2 26" xfId="42791"/>
    <cellStyle name="Normal 2 8 2 3 2 27" xfId="44137"/>
    <cellStyle name="Normal 2 8 2 3 2 28" xfId="45409"/>
    <cellStyle name="Normal 2 8 2 3 2 29" xfId="47161"/>
    <cellStyle name="Normal 2 8 2 3 2 3" xfId="3366"/>
    <cellStyle name="Normal 2 8 2 3 2 30" xfId="48913"/>
    <cellStyle name="Normal 2 8 2 3 2 31" xfId="50665"/>
    <cellStyle name="Normal 2 8 2 3 2 32" xfId="52417"/>
    <cellStyle name="Normal 2 8 2 3 2 33" xfId="54169"/>
    <cellStyle name="Normal 2 8 2 3 2 34" xfId="55921"/>
    <cellStyle name="Normal 2 8 2 3 2 35" xfId="57674"/>
    <cellStyle name="Normal 2 8 2 3 2 36" xfId="59426"/>
    <cellStyle name="Normal 2 8 2 3 2 37" xfId="61178"/>
    <cellStyle name="Normal 2 8 2 3 2 38" xfId="62524"/>
    <cellStyle name="Normal 2 8 2 3 2 39" xfId="63390"/>
    <cellStyle name="Normal 2 8 2 3 2 4" xfId="5118"/>
    <cellStyle name="Normal 2 8 2 3 2 5" xfId="6870"/>
    <cellStyle name="Normal 2 8 2 3 2 6" xfId="8622"/>
    <cellStyle name="Normal 2 8 2 3 2 7" xfId="10375"/>
    <cellStyle name="Normal 2 8 2 3 2 8" xfId="12127"/>
    <cellStyle name="Normal 2 8 2 3 2 9" xfId="13879"/>
    <cellStyle name="Normal 2 8 2 3 20" xfId="30966"/>
    <cellStyle name="Normal 2 8 2 3 21" xfId="32719"/>
    <cellStyle name="Normal 2 8 2 3 22" xfId="34515"/>
    <cellStyle name="Normal 2 8 2 3 23" xfId="35355"/>
    <cellStyle name="Normal 2 8 2 3 24" xfId="37136"/>
    <cellStyle name="Normal 2 8 2 3 25" xfId="38848"/>
    <cellStyle name="Normal 2 8 2 3 26" xfId="40603"/>
    <cellStyle name="Normal 2 8 2 3 27" xfId="42355"/>
    <cellStyle name="Normal 2 8 2 3 28" xfId="44136"/>
    <cellStyle name="Normal 2 8 2 3 29" xfId="44973"/>
    <cellStyle name="Normal 2 8 2 3 3" xfId="1157"/>
    <cellStyle name="Normal 2 8 2 3 3 10" xfId="17824"/>
    <cellStyle name="Normal 2 8 2 3 3 11" xfId="19576"/>
    <cellStyle name="Normal 2 8 2 3 3 12" xfId="21329"/>
    <cellStyle name="Normal 2 8 2 3 3 13" xfId="23081"/>
    <cellStyle name="Normal 2 8 2 3 3 14" xfId="24833"/>
    <cellStyle name="Normal 2 8 2 3 3 15" xfId="26585"/>
    <cellStyle name="Normal 2 8 2 3 3 16" xfId="28337"/>
    <cellStyle name="Normal 2 8 2 3 3 17" xfId="30090"/>
    <cellStyle name="Normal 2 8 2 3 3 18" xfId="31842"/>
    <cellStyle name="Normal 2 8 2 3 3 19" xfId="33595"/>
    <cellStyle name="Normal 2 8 2 3 3 2" xfId="3806"/>
    <cellStyle name="Normal 2 8 2 3 3 20" xfId="36231"/>
    <cellStyle name="Normal 2 8 2 3 3 21" xfId="37971"/>
    <cellStyle name="Normal 2 8 2 3 3 22" xfId="39724"/>
    <cellStyle name="Normal 2 8 2 3 3 23" xfId="41479"/>
    <cellStyle name="Normal 2 8 2 3 3 24" xfId="43231"/>
    <cellStyle name="Normal 2 8 2 3 3 25" xfId="45849"/>
    <cellStyle name="Normal 2 8 2 3 3 26" xfId="47601"/>
    <cellStyle name="Normal 2 8 2 3 3 27" xfId="49353"/>
    <cellStyle name="Normal 2 8 2 3 3 28" xfId="51105"/>
    <cellStyle name="Normal 2 8 2 3 3 29" xfId="52857"/>
    <cellStyle name="Normal 2 8 2 3 3 3" xfId="5558"/>
    <cellStyle name="Normal 2 8 2 3 3 30" xfId="54609"/>
    <cellStyle name="Normal 2 8 2 3 3 31" xfId="56361"/>
    <cellStyle name="Normal 2 8 2 3 3 32" xfId="58114"/>
    <cellStyle name="Normal 2 8 2 3 3 33" xfId="59866"/>
    <cellStyle name="Normal 2 8 2 3 3 34" xfId="61618"/>
    <cellStyle name="Normal 2 8 2 3 3 4" xfId="7310"/>
    <cellStyle name="Normal 2 8 2 3 3 5" xfId="9062"/>
    <cellStyle name="Normal 2 8 2 3 3 6" xfId="10815"/>
    <cellStyle name="Normal 2 8 2 3 3 7" xfId="12567"/>
    <cellStyle name="Normal 2 8 2 3 3 8" xfId="14319"/>
    <cellStyle name="Normal 2 8 2 3 3 9" xfId="16071"/>
    <cellStyle name="Normal 2 8 2 3 30" xfId="46725"/>
    <cellStyle name="Normal 2 8 2 3 31" xfId="48477"/>
    <cellStyle name="Normal 2 8 2 3 32" xfId="50229"/>
    <cellStyle name="Normal 2 8 2 3 33" xfId="51981"/>
    <cellStyle name="Normal 2 8 2 3 34" xfId="53733"/>
    <cellStyle name="Normal 2 8 2 3 35" xfId="55485"/>
    <cellStyle name="Normal 2 8 2 3 36" xfId="57238"/>
    <cellStyle name="Normal 2 8 2 3 37" xfId="58990"/>
    <cellStyle name="Normal 2 8 2 3 38" xfId="60742"/>
    <cellStyle name="Normal 2 8 2 3 39" xfId="62523"/>
    <cellStyle name="Normal 2 8 2 3 4" xfId="2930"/>
    <cellStyle name="Normal 2 8 2 3 40" xfId="63389"/>
    <cellStyle name="Normal 2 8 2 3 5" xfId="4682"/>
    <cellStyle name="Normal 2 8 2 3 6" xfId="6434"/>
    <cellStyle name="Normal 2 8 2 3 7" xfId="8186"/>
    <cellStyle name="Normal 2 8 2 3 8" xfId="9939"/>
    <cellStyle name="Normal 2 8 2 3 9" xfId="11691"/>
    <cellStyle name="Normal 2 8 2 30" xfId="44131"/>
    <cellStyle name="Normal 2 8 2 31" xfId="44754"/>
    <cellStyle name="Normal 2 8 2 32" xfId="46506"/>
    <cellStyle name="Normal 2 8 2 33" xfId="48258"/>
    <cellStyle name="Normal 2 8 2 34" xfId="50010"/>
    <cellStyle name="Normal 2 8 2 35" xfId="51762"/>
    <cellStyle name="Normal 2 8 2 36" xfId="53514"/>
    <cellStyle name="Normal 2 8 2 37" xfId="55266"/>
    <cellStyle name="Normal 2 8 2 38" xfId="57019"/>
    <cellStyle name="Normal 2 8 2 39" xfId="58771"/>
    <cellStyle name="Normal 2 8 2 4" xfId="1158"/>
    <cellStyle name="Normal 2 8 2 4 10" xfId="15412"/>
    <cellStyle name="Normal 2 8 2 4 11" xfId="17165"/>
    <cellStyle name="Normal 2 8 2 4 12" xfId="18917"/>
    <cellStyle name="Normal 2 8 2 4 13" xfId="20670"/>
    <cellStyle name="Normal 2 8 2 4 14" xfId="22422"/>
    <cellStyle name="Normal 2 8 2 4 15" xfId="24174"/>
    <cellStyle name="Normal 2 8 2 4 16" xfId="25926"/>
    <cellStyle name="Normal 2 8 2 4 17" xfId="27678"/>
    <cellStyle name="Normal 2 8 2 4 18" xfId="29431"/>
    <cellStyle name="Normal 2 8 2 4 19" xfId="31183"/>
    <cellStyle name="Normal 2 8 2 4 2" xfId="1159"/>
    <cellStyle name="Normal 2 8 2 4 2 10" xfId="18041"/>
    <cellStyle name="Normal 2 8 2 4 2 11" xfId="19793"/>
    <cellStyle name="Normal 2 8 2 4 2 12" xfId="21546"/>
    <cellStyle name="Normal 2 8 2 4 2 13" xfId="23298"/>
    <cellStyle name="Normal 2 8 2 4 2 14" xfId="25050"/>
    <cellStyle name="Normal 2 8 2 4 2 15" xfId="26802"/>
    <cellStyle name="Normal 2 8 2 4 2 16" xfId="28554"/>
    <cellStyle name="Normal 2 8 2 4 2 17" xfId="30307"/>
    <cellStyle name="Normal 2 8 2 4 2 18" xfId="32059"/>
    <cellStyle name="Normal 2 8 2 4 2 19" xfId="33812"/>
    <cellStyle name="Normal 2 8 2 4 2 2" xfId="4023"/>
    <cellStyle name="Normal 2 8 2 4 2 20" xfId="36448"/>
    <cellStyle name="Normal 2 8 2 4 2 21" xfId="38188"/>
    <cellStyle name="Normal 2 8 2 4 2 22" xfId="39941"/>
    <cellStyle name="Normal 2 8 2 4 2 23" xfId="41696"/>
    <cellStyle name="Normal 2 8 2 4 2 24" xfId="43448"/>
    <cellStyle name="Normal 2 8 2 4 2 25" xfId="46066"/>
    <cellStyle name="Normal 2 8 2 4 2 26" xfId="47818"/>
    <cellStyle name="Normal 2 8 2 4 2 27" xfId="49570"/>
    <cellStyle name="Normal 2 8 2 4 2 28" xfId="51322"/>
    <cellStyle name="Normal 2 8 2 4 2 29" xfId="53074"/>
    <cellStyle name="Normal 2 8 2 4 2 3" xfId="5775"/>
    <cellStyle name="Normal 2 8 2 4 2 30" xfId="54826"/>
    <cellStyle name="Normal 2 8 2 4 2 31" xfId="56578"/>
    <cellStyle name="Normal 2 8 2 4 2 32" xfId="58331"/>
    <cellStyle name="Normal 2 8 2 4 2 33" xfId="60083"/>
    <cellStyle name="Normal 2 8 2 4 2 34" xfId="61835"/>
    <cellStyle name="Normal 2 8 2 4 2 4" xfId="7527"/>
    <cellStyle name="Normal 2 8 2 4 2 5" xfId="9279"/>
    <cellStyle name="Normal 2 8 2 4 2 6" xfId="11032"/>
    <cellStyle name="Normal 2 8 2 4 2 7" xfId="12784"/>
    <cellStyle name="Normal 2 8 2 4 2 8" xfId="14536"/>
    <cellStyle name="Normal 2 8 2 4 2 9" xfId="16288"/>
    <cellStyle name="Normal 2 8 2 4 20" xfId="32936"/>
    <cellStyle name="Normal 2 8 2 4 21" xfId="34517"/>
    <cellStyle name="Normal 2 8 2 4 22" xfId="35572"/>
    <cellStyle name="Normal 2 8 2 4 23" xfId="37138"/>
    <cellStyle name="Normal 2 8 2 4 24" xfId="39065"/>
    <cellStyle name="Normal 2 8 2 4 25" xfId="40820"/>
    <cellStyle name="Normal 2 8 2 4 26" xfId="42572"/>
    <cellStyle name="Normal 2 8 2 4 27" xfId="44138"/>
    <cellStyle name="Normal 2 8 2 4 28" xfId="45190"/>
    <cellStyle name="Normal 2 8 2 4 29" xfId="46942"/>
    <cellStyle name="Normal 2 8 2 4 3" xfId="3147"/>
    <cellStyle name="Normal 2 8 2 4 30" xfId="48694"/>
    <cellStyle name="Normal 2 8 2 4 31" xfId="50446"/>
    <cellStyle name="Normal 2 8 2 4 32" xfId="52198"/>
    <cellStyle name="Normal 2 8 2 4 33" xfId="53950"/>
    <cellStyle name="Normal 2 8 2 4 34" xfId="55702"/>
    <cellStyle name="Normal 2 8 2 4 35" xfId="57455"/>
    <cellStyle name="Normal 2 8 2 4 36" xfId="59207"/>
    <cellStyle name="Normal 2 8 2 4 37" xfId="60959"/>
    <cellStyle name="Normal 2 8 2 4 38" xfId="62525"/>
    <cellStyle name="Normal 2 8 2 4 39" xfId="63391"/>
    <cellStyle name="Normal 2 8 2 4 4" xfId="4899"/>
    <cellStyle name="Normal 2 8 2 4 5" xfId="6651"/>
    <cellStyle name="Normal 2 8 2 4 6" xfId="8403"/>
    <cellStyle name="Normal 2 8 2 4 7" xfId="10156"/>
    <cellStyle name="Normal 2 8 2 4 8" xfId="11908"/>
    <cellStyle name="Normal 2 8 2 4 9" xfId="13660"/>
    <cellStyle name="Normal 2 8 2 40" xfId="60523"/>
    <cellStyle name="Normal 2 8 2 41" xfId="62518"/>
    <cellStyle name="Normal 2 8 2 42" xfId="63384"/>
    <cellStyle name="Normal 2 8 2 5" xfId="1160"/>
    <cellStyle name="Normal 2 8 2 5 10" xfId="17605"/>
    <cellStyle name="Normal 2 8 2 5 11" xfId="19357"/>
    <cellStyle name="Normal 2 8 2 5 12" xfId="21110"/>
    <cellStyle name="Normal 2 8 2 5 13" xfId="22862"/>
    <cellStyle name="Normal 2 8 2 5 14" xfId="24614"/>
    <cellStyle name="Normal 2 8 2 5 15" xfId="26366"/>
    <cellStyle name="Normal 2 8 2 5 16" xfId="28118"/>
    <cellStyle name="Normal 2 8 2 5 17" xfId="29871"/>
    <cellStyle name="Normal 2 8 2 5 18" xfId="31623"/>
    <cellStyle name="Normal 2 8 2 5 19" xfId="33376"/>
    <cellStyle name="Normal 2 8 2 5 2" xfId="3587"/>
    <cellStyle name="Normal 2 8 2 5 20" xfId="36012"/>
    <cellStyle name="Normal 2 8 2 5 21" xfId="37731"/>
    <cellStyle name="Normal 2 8 2 5 22" xfId="39505"/>
    <cellStyle name="Normal 2 8 2 5 23" xfId="41260"/>
    <cellStyle name="Normal 2 8 2 5 24" xfId="43012"/>
    <cellStyle name="Normal 2 8 2 5 25" xfId="45630"/>
    <cellStyle name="Normal 2 8 2 5 26" xfId="47382"/>
    <cellStyle name="Normal 2 8 2 5 27" xfId="49134"/>
    <cellStyle name="Normal 2 8 2 5 28" xfId="50886"/>
    <cellStyle name="Normal 2 8 2 5 29" xfId="52638"/>
    <cellStyle name="Normal 2 8 2 5 3" xfId="5339"/>
    <cellStyle name="Normal 2 8 2 5 30" xfId="54390"/>
    <cellStyle name="Normal 2 8 2 5 31" xfId="56142"/>
    <cellStyle name="Normal 2 8 2 5 32" xfId="57895"/>
    <cellStyle name="Normal 2 8 2 5 33" xfId="59647"/>
    <cellStyle name="Normal 2 8 2 5 34" xfId="61399"/>
    <cellStyle name="Normal 2 8 2 5 4" xfId="7091"/>
    <cellStyle name="Normal 2 8 2 5 5" xfId="8843"/>
    <cellStyle name="Normal 2 8 2 5 6" xfId="10596"/>
    <cellStyle name="Normal 2 8 2 5 7" xfId="12348"/>
    <cellStyle name="Normal 2 8 2 5 8" xfId="14100"/>
    <cellStyle name="Normal 2 8 2 5 9" xfId="15852"/>
    <cellStyle name="Normal 2 8 2 6" xfId="2711"/>
    <cellStyle name="Normal 2 8 2 7" xfId="4463"/>
    <cellStyle name="Normal 2 8 2 8" xfId="6215"/>
    <cellStyle name="Normal 2 8 2 9" xfId="7967"/>
    <cellStyle name="Normal 2 8 20" xfId="25435"/>
    <cellStyle name="Normal 2 8 21" xfId="27187"/>
    <cellStyle name="Normal 2 8 22" xfId="28940"/>
    <cellStyle name="Normal 2 8 23" xfId="30692"/>
    <cellStyle name="Normal 2 8 24" xfId="32445"/>
    <cellStyle name="Normal 2 8 25" xfId="34509"/>
    <cellStyle name="Normal 2 8 26" xfId="35081"/>
    <cellStyle name="Normal 2 8 27" xfId="37130"/>
    <cellStyle name="Normal 2 8 28" xfId="38574"/>
    <cellStyle name="Normal 2 8 29" xfId="40329"/>
    <cellStyle name="Normal 2 8 3" xfId="1161"/>
    <cellStyle name="Normal 2 8 3 10" xfId="11525"/>
    <cellStyle name="Normal 2 8 3 11" xfId="13277"/>
    <cellStyle name="Normal 2 8 3 12" xfId="15029"/>
    <cellStyle name="Normal 2 8 3 13" xfId="16782"/>
    <cellStyle name="Normal 2 8 3 14" xfId="18534"/>
    <cellStyle name="Normal 2 8 3 15" xfId="20287"/>
    <cellStyle name="Normal 2 8 3 16" xfId="22039"/>
    <cellStyle name="Normal 2 8 3 17" xfId="23791"/>
    <cellStyle name="Normal 2 8 3 18" xfId="25543"/>
    <cellStyle name="Normal 2 8 3 19" xfId="27295"/>
    <cellStyle name="Normal 2 8 3 2" xfId="1162"/>
    <cellStyle name="Normal 2 8 3 2 10" xfId="13444"/>
    <cellStyle name="Normal 2 8 3 2 11" xfId="15196"/>
    <cellStyle name="Normal 2 8 3 2 12" xfId="16949"/>
    <cellStyle name="Normal 2 8 3 2 13" xfId="18701"/>
    <cellStyle name="Normal 2 8 3 2 14" xfId="20454"/>
    <cellStyle name="Normal 2 8 3 2 15" xfId="22206"/>
    <cellStyle name="Normal 2 8 3 2 16" xfId="23958"/>
    <cellStyle name="Normal 2 8 3 2 17" xfId="25710"/>
    <cellStyle name="Normal 2 8 3 2 18" xfId="27462"/>
    <cellStyle name="Normal 2 8 3 2 19" xfId="29215"/>
    <cellStyle name="Normal 2 8 3 2 2" xfId="1163"/>
    <cellStyle name="Normal 2 8 3 2 2 10" xfId="15632"/>
    <cellStyle name="Normal 2 8 3 2 2 11" xfId="17385"/>
    <cellStyle name="Normal 2 8 3 2 2 12" xfId="19137"/>
    <cellStyle name="Normal 2 8 3 2 2 13" xfId="20890"/>
    <cellStyle name="Normal 2 8 3 2 2 14" xfId="22642"/>
    <cellStyle name="Normal 2 8 3 2 2 15" xfId="24394"/>
    <cellStyle name="Normal 2 8 3 2 2 16" xfId="26146"/>
    <cellStyle name="Normal 2 8 3 2 2 17" xfId="27898"/>
    <cellStyle name="Normal 2 8 3 2 2 18" xfId="29651"/>
    <cellStyle name="Normal 2 8 3 2 2 19" xfId="31403"/>
    <cellStyle name="Normal 2 8 3 2 2 2" xfId="1164"/>
    <cellStyle name="Normal 2 8 3 2 2 2 10" xfId="18261"/>
    <cellStyle name="Normal 2 8 3 2 2 2 11" xfId="20013"/>
    <cellStyle name="Normal 2 8 3 2 2 2 12" xfId="21766"/>
    <cellStyle name="Normal 2 8 3 2 2 2 13" xfId="23518"/>
    <cellStyle name="Normal 2 8 3 2 2 2 14" xfId="25270"/>
    <cellStyle name="Normal 2 8 3 2 2 2 15" xfId="27022"/>
    <cellStyle name="Normal 2 8 3 2 2 2 16" xfId="28774"/>
    <cellStyle name="Normal 2 8 3 2 2 2 17" xfId="30527"/>
    <cellStyle name="Normal 2 8 3 2 2 2 18" xfId="32279"/>
    <cellStyle name="Normal 2 8 3 2 2 2 19" xfId="34032"/>
    <cellStyle name="Normal 2 8 3 2 2 2 2" xfId="4243"/>
    <cellStyle name="Normal 2 8 3 2 2 2 20" xfId="36668"/>
    <cellStyle name="Normal 2 8 3 2 2 2 21" xfId="38408"/>
    <cellStyle name="Normal 2 8 3 2 2 2 22" xfId="40161"/>
    <cellStyle name="Normal 2 8 3 2 2 2 23" xfId="41916"/>
    <cellStyle name="Normal 2 8 3 2 2 2 24" xfId="43668"/>
    <cellStyle name="Normal 2 8 3 2 2 2 25" xfId="46286"/>
    <cellStyle name="Normal 2 8 3 2 2 2 26" xfId="48038"/>
    <cellStyle name="Normal 2 8 3 2 2 2 27" xfId="49790"/>
    <cellStyle name="Normal 2 8 3 2 2 2 28" xfId="51542"/>
    <cellStyle name="Normal 2 8 3 2 2 2 29" xfId="53294"/>
    <cellStyle name="Normal 2 8 3 2 2 2 3" xfId="5995"/>
    <cellStyle name="Normal 2 8 3 2 2 2 30" xfId="55046"/>
    <cellStyle name="Normal 2 8 3 2 2 2 31" xfId="56798"/>
    <cellStyle name="Normal 2 8 3 2 2 2 32" xfId="58551"/>
    <cellStyle name="Normal 2 8 3 2 2 2 33" xfId="60303"/>
    <cellStyle name="Normal 2 8 3 2 2 2 34" xfId="62055"/>
    <cellStyle name="Normal 2 8 3 2 2 2 4" xfId="7747"/>
    <cellStyle name="Normal 2 8 3 2 2 2 5" xfId="9499"/>
    <cellStyle name="Normal 2 8 3 2 2 2 6" xfId="11252"/>
    <cellStyle name="Normal 2 8 3 2 2 2 7" xfId="13004"/>
    <cellStyle name="Normal 2 8 3 2 2 2 8" xfId="14756"/>
    <cellStyle name="Normal 2 8 3 2 2 2 9" xfId="16508"/>
    <cellStyle name="Normal 2 8 3 2 2 20" xfId="33156"/>
    <cellStyle name="Normal 2 8 3 2 2 21" xfId="34520"/>
    <cellStyle name="Normal 2 8 3 2 2 22" xfId="35792"/>
    <cellStyle name="Normal 2 8 3 2 2 23" xfId="37141"/>
    <cellStyle name="Normal 2 8 3 2 2 24" xfId="39285"/>
    <cellStyle name="Normal 2 8 3 2 2 25" xfId="41040"/>
    <cellStyle name="Normal 2 8 3 2 2 26" xfId="42792"/>
    <cellStyle name="Normal 2 8 3 2 2 27" xfId="44141"/>
    <cellStyle name="Normal 2 8 3 2 2 28" xfId="45410"/>
    <cellStyle name="Normal 2 8 3 2 2 29" xfId="47162"/>
    <cellStyle name="Normal 2 8 3 2 2 3" xfId="3367"/>
    <cellStyle name="Normal 2 8 3 2 2 30" xfId="48914"/>
    <cellStyle name="Normal 2 8 3 2 2 31" xfId="50666"/>
    <cellStyle name="Normal 2 8 3 2 2 32" xfId="52418"/>
    <cellStyle name="Normal 2 8 3 2 2 33" xfId="54170"/>
    <cellStyle name="Normal 2 8 3 2 2 34" xfId="55922"/>
    <cellStyle name="Normal 2 8 3 2 2 35" xfId="57675"/>
    <cellStyle name="Normal 2 8 3 2 2 36" xfId="59427"/>
    <cellStyle name="Normal 2 8 3 2 2 37" xfId="61179"/>
    <cellStyle name="Normal 2 8 3 2 2 38" xfId="62528"/>
    <cellStyle name="Normal 2 8 3 2 2 39" xfId="63394"/>
    <cellStyle name="Normal 2 8 3 2 2 4" xfId="5119"/>
    <cellStyle name="Normal 2 8 3 2 2 5" xfId="6871"/>
    <cellStyle name="Normal 2 8 3 2 2 6" xfId="8623"/>
    <cellStyle name="Normal 2 8 3 2 2 7" xfId="10376"/>
    <cellStyle name="Normal 2 8 3 2 2 8" xfId="12128"/>
    <cellStyle name="Normal 2 8 3 2 2 9" xfId="13880"/>
    <cellStyle name="Normal 2 8 3 2 20" xfId="30967"/>
    <cellStyle name="Normal 2 8 3 2 21" xfId="32720"/>
    <cellStyle name="Normal 2 8 3 2 22" xfId="34519"/>
    <cellStyle name="Normal 2 8 3 2 23" xfId="35356"/>
    <cellStyle name="Normal 2 8 3 2 24" xfId="37140"/>
    <cellStyle name="Normal 2 8 3 2 25" xfId="38849"/>
    <cellStyle name="Normal 2 8 3 2 26" xfId="40604"/>
    <cellStyle name="Normal 2 8 3 2 27" xfId="42356"/>
    <cellStyle name="Normal 2 8 3 2 28" xfId="44140"/>
    <cellStyle name="Normal 2 8 3 2 29" xfId="44974"/>
    <cellStyle name="Normal 2 8 3 2 3" xfId="1165"/>
    <cellStyle name="Normal 2 8 3 2 3 10" xfId="17825"/>
    <cellStyle name="Normal 2 8 3 2 3 11" xfId="19577"/>
    <cellStyle name="Normal 2 8 3 2 3 12" xfId="21330"/>
    <cellStyle name="Normal 2 8 3 2 3 13" xfId="23082"/>
    <cellStyle name="Normal 2 8 3 2 3 14" xfId="24834"/>
    <cellStyle name="Normal 2 8 3 2 3 15" xfId="26586"/>
    <cellStyle name="Normal 2 8 3 2 3 16" xfId="28338"/>
    <cellStyle name="Normal 2 8 3 2 3 17" xfId="30091"/>
    <cellStyle name="Normal 2 8 3 2 3 18" xfId="31843"/>
    <cellStyle name="Normal 2 8 3 2 3 19" xfId="33596"/>
    <cellStyle name="Normal 2 8 3 2 3 2" xfId="3807"/>
    <cellStyle name="Normal 2 8 3 2 3 20" xfId="36232"/>
    <cellStyle name="Normal 2 8 3 2 3 21" xfId="37972"/>
    <cellStyle name="Normal 2 8 3 2 3 22" xfId="39725"/>
    <cellStyle name="Normal 2 8 3 2 3 23" xfId="41480"/>
    <cellStyle name="Normal 2 8 3 2 3 24" xfId="43232"/>
    <cellStyle name="Normal 2 8 3 2 3 25" xfId="45850"/>
    <cellStyle name="Normal 2 8 3 2 3 26" xfId="47602"/>
    <cellStyle name="Normal 2 8 3 2 3 27" xfId="49354"/>
    <cellStyle name="Normal 2 8 3 2 3 28" xfId="51106"/>
    <cellStyle name="Normal 2 8 3 2 3 29" xfId="52858"/>
    <cellStyle name="Normal 2 8 3 2 3 3" xfId="5559"/>
    <cellStyle name="Normal 2 8 3 2 3 30" xfId="54610"/>
    <cellStyle name="Normal 2 8 3 2 3 31" xfId="56362"/>
    <cellStyle name="Normal 2 8 3 2 3 32" xfId="58115"/>
    <cellStyle name="Normal 2 8 3 2 3 33" xfId="59867"/>
    <cellStyle name="Normal 2 8 3 2 3 34" xfId="61619"/>
    <cellStyle name="Normal 2 8 3 2 3 4" xfId="7311"/>
    <cellStyle name="Normal 2 8 3 2 3 5" xfId="9063"/>
    <cellStyle name="Normal 2 8 3 2 3 6" xfId="10816"/>
    <cellStyle name="Normal 2 8 3 2 3 7" xfId="12568"/>
    <cellStyle name="Normal 2 8 3 2 3 8" xfId="14320"/>
    <cellStyle name="Normal 2 8 3 2 3 9" xfId="16072"/>
    <cellStyle name="Normal 2 8 3 2 30" xfId="46726"/>
    <cellStyle name="Normal 2 8 3 2 31" xfId="48478"/>
    <cellStyle name="Normal 2 8 3 2 32" xfId="50230"/>
    <cellStyle name="Normal 2 8 3 2 33" xfId="51982"/>
    <cellStyle name="Normal 2 8 3 2 34" xfId="53734"/>
    <cellStyle name="Normal 2 8 3 2 35" xfId="55486"/>
    <cellStyle name="Normal 2 8 3 2 36" xfId="57239"/>
    <cellStyle name="Normal 2 8 3 2 37" xfId="58991"/>
    <cellStyle name="Normal 2 8 3 2 38" xfId="60743"/>
    <cellStyle name="Normal 2 8 3 2 39" xfId="62527"/>
    <cellStyle name="Normal 2 8 3 2 4" xfId="2931"/>
    <cellStyle name="Normal 2 8 3 2 40" xfId="63393"/>
    <cellStyle name="Normal 2 8 3 2 5" xfId="4683"/>
    <cellStyle name="Normal 2 8 3 2 6" xfId="6435"/>
    <cellStyle name="Normal 2 8 3 2 7" xfId="8187"/>
    <cellStyle name="Normal 2 8 3 2 8" xfId="9940"/>
    <cellStyle name="Normal 2 8 3 2 9" xfId="11692"/>
    <cellStyle name="Normal 2 8 3 20" xfId="29048"/>
    <cellStyle name="Normal 2 8 3 21" xfId="30800"/>
    <cellStyle name="Normal 2 8 3 22" xfId="32553"/>
    <cellStyle name="Normal 2 8 3 23" xfId="34518"/>
    <cellStyle name="Normal 2 8 3 24" xfId="35189"/>
    <cellStyle name="Normal 2 8 3 25" xfId="37139"/>
    <cellStyle name="Normal 2 8 3 26" xfId="38682"/>
    <cellStyle name="Normal 2 8 3 27" xfId="40437"/>
    <cellStyle name="Normal 2 8 3 28" xfId="42189"/>
    <cellStyle name="Normal 2 8 3 29" xfId="44139"/>
    <cellStyle name="Normal 2 8 3 3" xfId="1166"/>
    <cellStyle name="Normal 2 8 3 3 10" xfId="15465"/>
    <cellStyle name="Normal 2 8 3 3 11" xfId="17218"/>
    <cellStyle name="Normal 2 8 3 3 12" xfId="18970"/>
    <cellStyle name="Normal 2 8 3 3 13" xfId="20723"/>
    <cellStyle name="Normal 2 8 3 3 14" xfId="22475"/>
    <cellStyle name="Normal 2 8 3 3 15" xfId="24227"/>
    <cellStyle name="Normal 2 8 3 3 16" xfId="25979"/>
    <cellStyle name="Normal 2 8 3 3 17" xfId="27731"/>
    <cellStyle name="Normal 2 8 3 3 18" xfId="29484"/>
    <cellStyle name="Normal 2 8 3 3 19" xfId="31236"/>
    <cellStyle name="Normal 2 8 3 3 2" xfId="1167"/>
    <cellStyle name="Normal 2 8 3 3 2 10" xfId="18094"/>
    <cellStyle name="Normal 2 8 3 3 2 11" xfId="19846"/>
    <cellStyle name="Normal 2 8 3 3 2 12" xfId="21599"/>
    <cellStyle name="Normal 2 8 3 3 2 13" xfId="23351"/>
    <cellStyle name="Normal 2 8 3 3 2 14" xfId="25103"/>
    <cellStyle name="Normal 2 8 3 3 2 15" xfId="26855"/>
    <cellStyle name="Normal 2 8 3 3 2 16" xfId="28607"/>
    <cellStyle name="Normal 2 8 3 3 2 17" xfId="30360"/>
    <cellStyle name="Normal 2 8 3 3 2 18" xfId="32112"/>
    <cellStyle name="Normal 2 8 3 3 2 19" xfId="33865"/>
    <cellStyle name="Normal 2 8 3 3 2 2" xfId="4076"/>
    <cellStyle name="Normal 2 8 3 3 2 20" xfId="36501"/>
    <cellStyle name="Normal 2 8 3 3 2 21" xfId="38241"/>
    <cellStyle name="Normal 2 8 3 3 2 22" xfId="39994"/>
    <cellStyle name="Normal 2 8 3 3 2 23" xfId="41749"/>
    <cellStyle name="Normal 2 8 3 3 2 24" xfId="43501"/>
    <cellStyle name="Normal 2 8 3 3 2 25" xfId="46119"/>
    <cellStyle name="Normal 2 8 3 3 2 26" xfId="47871"/>
    <cellStyle name="Normal 2 8 3 3 2 27" xfId="49623"/>
    <cellStyle name="Normal 2 8 3 3 2 28" xfId="51375"/>
    <cellStyle name="Normal 2 8 3 3 2 29" xfId="53127"/>
    <cellStyle name="Normal 2 8 3 3 2 3" xfId="5828"/>
    <cellStyle name="Normal 2 8 3 3 2 30" xfId="54879"/>
    <cellStyle name="Normal 2 8 3 3 2 31" xfId="56631"/>
    <cellStyle name="Normal 2 8 3 3 2 32" xfId="58384"/>
    <cellStyle name="Normal 2 8 3 3 2 33" xfId="60136"/>
    <cellStyle name="Normal 2 8 3 3 2 34" xfId="61888"/>
    <cellStyle name="Normal 2 8 3 3 2 4" xfId="7580"/>
    <cellStyle name="Normal 2 8 3 3 2 5" xfId="9332"/>
    <cellStyle name="Normal 2 8 3 3 2 6" xfId="11085"/>
    <cellStyle name="Normal 2 8 3 3 2 7" xfId="12837"/>
    <cellStyle name="Normal 2 8 3 3 2 8" xfId="14589"/>
    <cellStyle name="Normal 2 8 3 3 2 9" xfId="16341"/>
    <cellStyle name="Normal 2 8 3 3 20" xfId="32989"/>
    <cellStyle name="Normal 2 8 3 3 21" xfId="34521"/>
    <cellStyle name="Normal 2 8 3 3 22" xfId="35625"/>
    <cellStyle name="Normal 2 8 3 3 23" xfId="37142"/>
    <cellStyle name="Normal 2 8 3 3 24" xfId="39118"/>
    <cellStyle name="Normal 2 8 3 3 25" xfId="40873"/>
    <cellStyle name="Normal 2 8 3 3 26" xfId="42625"/>
    <cellStyle name="Normal 2 8 3 3 27" xfId="44142"/>
    <cellStyle name="Normal 2 8 3 3 28" xfId="45243"/>
    <cellStyle name="Normal 2 8 3 3 29" xfId="46995"/>
    <cellStyle name="Normal 2 8 3 3 3" xfId="3200"/>
    <cellStyle name="Normal 2 8 3 3 30" xfId="48747"/>
    <cellStyle name="Normal 2 8 3 3 31" xfId="50499"/>
    <cellStyle name="Normal 2 8 3 3 32" xfId="52251"/>
    <cellStyle name="Normal 2 8 3 3 33" xfId="54003"/>
    <cellStyle name="Normal 2 8 3 3 34" xfId="55755"/>
    <cellStyle name="Normal 2 8 3 3 35" xfId="57508"/>
    <cellStyle name="Normal 2 8 3 3 36" xfId="59260"/>
    <cellStyle name="Normal 2 8 3 3 37" xfId="61012"/>
    <cellStyle name="Normal 2 8 3 3 38" xfId="62529"/>
    <cellStyle name="Normal 2 8 3 3 39" xfId="63395"/>
    <cellStyle name="Normal 2 8 3 3 4" xfId="4952"/>
    <cellStyle name="Normal 2 8 3 3 5" xfId="6704"/>
    <cellStyle name="Normal 2 8 3 3 6" xfId="8456"/>
    <cellStyle name="Normal 2 8 3 3 7" xfId="10209"/>
    <cellStyle name="Normal 2 8 3 3 8" xfId="11961"/>
    <cellStyle name="Normal 2 8 3 3 9" xfId="13713"/>
    <cellStyle name="Normal 2 8 3 30" xfId="44807"/>
    <cellStyle name="Normal 2 8 3 31" xfId="46559"/>
    <cellStyle name="Normal 2 8 3 32" xfId="48311"/>
    <cellStyle name="Normal 2 8 3 33" xfId="50063"/>
    <cellStyle name="Normal 2 8 3 34" xfId="51815"/>
    <cellStyle name="Normal 2 8 3 35" xfId="53567"/>
    <cellStyle name="Normal 2 8 3 36" xfId="55319"/>
    <cellStyle name="Normal 2 8 3 37" xfId="57072"/>
    <cellStyle name="Normal 2 8 3 38" xfId="58824"/>
    <cellStyle name="Normal 2 8 3 39" xfId="60576"/>
    <cellStyle name="Normal 2 8 3 4" xfId="1168"/>
    <cellStyle name="Normal 2 8 3 4 10" xfId="17658"/>
    <cellStyle name="Normal 2 8 3 4 11" xfId="19410"/>
    <cellStyle name="Normal 2 8 3 4 12" xfId="21163"/>
    <cellStyle name="Normal 2 8 3 4 13" xfId="22915"/>
    <cellStyle name="Normal 2 8 3 4 14" xfId="24667"/>
    <cellStyle name="Normal 2 8 3 4 15" xfId="26419"/>
    <cellStyle name="Normal 2 8 3 4 16" xfId="28171"/>
    <cellStyle name="Normal 2 8 3 4 17" xfId="29924"/>
    <cellStyle name="Normal 2 8 3 4 18" xfId="31676"/>
    <cellStyle name="Normal 2 8 3 4 19" xfId="33429"/>
    <cellStyle name="Normal 2 8 3 4 2" xfId="3640"/>
    <cellStyle name="Normal 2 8 3 4 20" xfId="36065"/>
    <cellStyle name="Normal 2 8 3 4 21" xfId="37805"/>
    <cellStyle name="Normal 2 8 3 4 22" xfId="39558"/>
    <cellStyle name="Normal 2 8 3 4 23" xfId="41313"/>
    <cellStyle name="Normal 2 8 3 4 24" xfId="43065"/>
    <cellStyle name="Normal 2 8 3 4 25" xfId="45683"/>
    <cellStyle name="Normal 2 8 3 4 26" xfId="47435"/>
    <cellStyle name="Normal 2 8 3 4 27" xfId="49187"/>
    <cellStyle name="Normal 2 8 3 4 28" xfId="50939"/>
    <cellStyle name="Normal 2 8 3 4 29" xfId="52691"/>
    <cellStyle name="Normal 2 8 3 4 3" xfId="5392"/>
    <cellStyle name="Normal 2 8 3 4 30" xfId="54443"/>
    <cellStyle name="Normal 2 8 3 4 31" xfId="56195"/>
    <cellStyle name="Normal 2 8 3 4 32" xfId="57948"/>
    <cellStyle name="Normal 2 8 3 4 33" xfId="59700"/>
    <cellStyle name="Normal 2 8 3 4 34" xfId="61452"/>
    <cellStyle name="Normal 2 8 3 4 4" xfId="7144"/>
    <cellStyle name="Normal 2 8 3 4 5" xfId="8896"/>
    <cellStyle name="Normal 2 8 3 4 6" xfId="10649"/>
    <cellStyle name="Normal 2 8 3 4 7" xfId="12401"/>
    <cellStyle name="Normal 2 8 3 4 8" xfId="14153"/>
    <cellStyle name="Normal 2 8 3 4 9" xfId="15905"/>
    <cellStyle name="Normal 2 8 3 40" xfId="62526"/>
    <cellStyle name="Normal 2 8 3 41" xfId="63392"/>
    <cellStyle name="Normal 2 8 3 5" xfId="2764"/>
    <cellStyle name="Normal 2 8 3 6" xfId="4516"/>
    <cellStyle name="Normal 2 8 3 7" xfId="6268"/>
    <cellStyle name="Normal 2 8 3 8" xfId="8020"/>
    <cellStyle name="Normal 2 8 3 9" xfId="9773"/>
    <cellStyle name="Normal 2 8 30" xfId="42081"/>
    <cellStyle name="Normal 2 8 31" xfId="44130"/>
    <cellStyle name="Normal 2 8 32" xfId="44699"/>
    <cellStyle name="Normal 2 8 33" xfId="46451"/>
    <cellStyle name="Normal 2 8 34" xfId="48203"/>
    <cellStyle name="Normal 2 8 35" xfId="49955"/>
    <cellStyle name="Normal 2 8 36" xfId="51707"/>
    <cellStyle name="Normal 2 8 37" xfId="53459"/>
    <cellStyle name="Normal 2 8 38" xfId="55211"/>
    <cellStyle name="Normal 2 8 39" xfId="56964"/>
    <cellStyle name="Normal 2 8 4" xfId="1169"/>
    <cellStyle name="Normal 2 8 4 10" xfId="13445"/>
    <cellStyle name="Normal 2 8 4 11" xfId="15197"/>
    <cellStyle name="Normal 2 8 4 12" xfId="16950"/>
    <cellStyle name="Normal 2 8 4 13" xfId="18702"/>
    <cellStyle name="Normal 2 8 4 14" xfId="20455"/>
    <cellStyle name="Normal 2 8 4 15" xfId="22207"/>
    <cellStyle name="Normal 2 8 4 16" xfId="23959"/>
    <cellStyle name="Normal 2 8 4 17" xfId="25711"/>
    <cellStyle name="Normal 2 8 4 18" xfId="27463"/>
    <cellStyle name="Normal 2 8 4 19" xfId="29216"/>
    <cellStyle name="Normal 2 8 4 2" xfId="1170"/>
    <cellStyle name="Normal 2 8 4 2 10" xfId="15633"/>
    <cellStyle name="Normal 2 8 4 2 11" xfId="17386"/>
    <cellStyle name="Normal 2 8 4 2 12" xfId="19138"/>
    <cellStyle name="Normal 2 8 4 2 13" xfId="20891"/>
    <cellStyle name="Normal 2 8 4 2 14" xfId="22643"/>
    <cellStyle name="Normal 2 8 4 2 15" xfId="24395"/>
    <cellStyle name="Normal 2 8 4 2 16" xfId="26147"/>
    <cellStyle name="Normal 2 8 4 2 17" xfId="27899"/>
    <cellStyle name="Normal 2 8 4 2 18" xfId="29652"/>
    <cellStyle name="Normal 2 8 4 2 19" xfId="31404"/>
    <cellStyle name="Normal 2 8 4 2 2" xfId="1171"/>
    <cellStyle name="Normal 2 8 4 2 2 10" xfId="18262"/>
    <cellStyle name="Normal 2 8 4 2 2 11" xfId="20014"/>
    <cellStyle name="Normal 2 8 4 2 2 12" xfId="21767"/>
    <cellStyle name="Normal 2 8 4 2 2 13" xfId="23519"/>
    <cellStyle name="Normal 2 8 4 2 2 14" xfId="25271"/>
    <cellStyle name="Normal 2 8 4 2 2 15" xfId="27023"/>
    <cellStyle name="Normal 2 8 4 2 2 16" xfId="28775"/>
    <cellStyle name="Normal 2 8 4 2 2 17" xfId="30528"/>
    <cellStyle name="Normal 2 8 4 2 2 18" xfId="32280"/>
    <cellStyle name="Normal 2 8 4 2 2 19" xfId="34033"/>
    <cellStyle name="Normal 2 8 4 2 2 2" xfId="4244"/>
    <cellStyle name="Normal 2 8 4 2 2 20" xfId="36669"/>
    <cellStyle name="Normal 2 8 4 2 2 21" xfId="38409"/>
    <cellStyle name="Normal 2 8 4 2 2 22" xfId="40162"/>
    <cellStyle name="Normal 2 8 4 2 2 23" xfId="41917"/>
    <cellStyle name="Normal 2 8 4 2 2 24" xfId="43669"/>
    <cellStyle name="Normal 2 8 4 2 2 25" xfId="46287"/>
    <cellStyle name="Normal 2 8 4 2 2 26" xfId="48039"/>
    <cellStyle name="Normal 2 8 4 2 2 27" xfId="49791"/>
    <cellStyle name="Normal 2 8 4 2 2 28" xfId="51543"/>
    <cellStyle name="Normal 2 8 4 2 2 29" xfId="53295"/>
    <cellStyle name="Normal 2 8 4 2 2 3" xfId="5996"/>
    <cellStyle name="Normal 2 8 4 2 2 30" xfId="55047"/>
    <cellStyle name="Normal 2 8 4 2 2 31" xfId="56799"/>
    <cellStyle name="Normal 2 8 4 2 2 32" xfId="58552"/>
    <cellStyle name="Normal 2 8 4 2 2 33" xfId="60304"/>
    <cellStyle name="Normal 2 8 4 2 2 34" xfId="62056"/>
    <cellStyle name="Normal 2 8 4 2 2 4" xfId="7748"/>
    <cellStyle name="Normal 2 8 4 2 2 5" xfId="9500"/>
    <cellStyle name="Normal 2 8 4 2 2 6" xfId="11253"/>
    <cellStyle name="Normal 2 8 4 2 2 7" xfId="13005"/>
    <cellStyle name="Normal 2 8 4 2 2 8" xfId="14757"/>
    <cellStyle name="Normal 2 8 4 2 2 9" xfId="16509"/>
    <cellStyle name="Normal 2 8 4 2 20" xfId="33157"/>
    <cellStyle name="Normal 2 8 4 2 21" xfId="34523"/>
    <cellStyle name="Normal 2 8 4 2 22" xfId="35793"/>
    <cellStyle name="Normal 2 8 4 2 23" xfId="37144"/>
    <cellStyle name="Normal 2 8 4 2 24" xfId="39286"/>
    <cellStyle name="Normal 2 8 4 2 25" xfId="41041"/>
    <cellStyle name="Normal 2 8 4 2 26" xfId="42793"/>
    <cellStyle name="Normal 2 8 4 2 27" xfId="44144"/>
    <cellStyle name="Normal 2 8 4 2 28" xfId="45411"/>
    <cellStyle name="Normal 2 8 4 2 29" xfId="47163"/>
    <cellStyle name="Normal 2 8 4 2 3" xfId="3368"/>
    <cellStyle name="Normal 2 8 4 2 30" xfId="48915"/>
    <cellStyle name="Normal 2 8 4 2 31" xfId="50667"/>
    <cellStyle name="Normal 2 8 4 2 32" xfId="52419"/>
    <cellStyle name="Normal 2 8 4 2 33" xfId="54171"/>
    <cellStyle name="Normal 2 8 4 2 34" xfId="55923"/>
    <cellStyle name="Normal 2 8 4 2 35" xfId="57676"/>
    <cellStyle name="Normal 2 8 4 2 36" xfId="59428"/>
    <cellStyle name="Normal 2 8 4 2 37" xfId="61180"/>
    <cellStyle name="Normal 2 8 4 2 38" xfId="62531"/>
    <cellStyle name="Normal 2 8 4 2 39" xfId="63397"/>
    <cellStyle name="Normal 2 8 4 2 4" xfId="5120"/>
    <cellStyle name="Normal 2 8 4 2 5" xfId="6872"/>
    <cellStyle name="Normal 2 8 4 2 6" xfId="8624"/>
    <cellStyle name="Normal 2 8 4 2 7" xfId="10377"/>
    <cellStyle name="Normal 2 8 4 2 8" xfId="12129"/>
    <cellStyle name="Normal 2 8 4 2 9" xfId="13881"/>
    <cellStyle name="Normal 2 8 4 20" xfId="30968"/>
    <cellStyle name="Normal 2 8 4 21" xfId="32721"/>
    <cellStyle name="Normal 2 8 4 22" xfId="34522"/>
    <cellStyle name="Normal 2 8 4 23" xfId="35357"/>
    <cellStyle name="Normal 2 8 4 24" xfId="37143"/>
    <cellStyle name="Normal 2 8 4 25" xfId="38850"/>
    <cellStyle name="Normal 2 8 4 26" xfId="40605"/>
    <cellStyle name="Normal 2 8 4 27" xfId="42357"/>
    <cellStyle name="Normal 2 8 4 28" xfId="44143"/>
    <cellStyle name="Normal 2 8 4 29" xfId="44975"/>
    <cellStyle name="Normal 2 8 4 3" xfId="1172"/>
    <cellStyle name="Normal 2 8 4 3 10" xfId="17826"/>
    <cellStyle name="Normal 2 8 4 3 11" xfId="19578"/>
    <cellStyle name="Normal 2 8 4 3 12" xfId="21331"/>
    <cellStyle name="Normal 2 8 4 3 13" xfId="23083"/>
    <cellStyle name="Normal 2 8 4 3 14" xfId="24835"/>
    <cellStyle name="Normal 2 8 4 3 15" xfId="26587"/>
    <cellStyle name="Normal 2 8 4 3 16" xfId="28339"/>
    <cellStyle name="Normal 2 8 4 3 17" xfId="30092"/>
    <cellStyle name="Normal 2 8 4 3 18" xfId="31844"/>
    <cellStyle name="Normal 2 8 4 3 19" xfId="33597"/>
    <cellStyle name="Normal 2 8 4 3 2" xfId="3808"/>
    <cellStyle name="Normal 2 8 4 3 20" xfId="36233"/>
    <cellStyle name="Normal 2 8 4 3 21" xfId="37973"/>
    <cellStyle name="Normal 2 8 4 3 22" xfId="39726"/>
    <cellStyle name="Normal 2 8 4 3 23" xfId="41481"/>
    <cellStyle name="Normal 2 8 4 3 24" xfId="43233"/>
    <cellStyle name="Normal 2 8 4 3 25" xfId="45851"/>
    <cellStyle name="Normal 2 8 4 3 26" xfId="47603"/>
    <cellStyle name="Normal 2 8 4 3 27" xfId="49355"/>
    <cellStyle name="Normal 2 8 4 3 28" xfId="51107"/>
    <cellStyle name="Normal 2 8 4 3 29" xfId="52859"/>
    <cellStyle name="Normal 2 8 4 3 3" xfId="5560"/>
    <cellStyle name="Normal 2 8 4 3 30" xfId="54611"/>
    <cellStyle name="Normal 2 8 4 3 31" xfId="56363"/>
    <cellStyle name="Normal 2 8 4 3 32" xfId="58116"/>
    <cellStyle name="Normal 2 8 4 3 33" xfId="59868"/>
    <cellStyle name="Normal 2 8 4 3 34" xfId="61620"/>
    <cellStyle name="Normal 2 8 4 3 4" xfId="7312"/>
    <cellStyle name="Normal 2 8 4 3 5" xfId="9064"/>
    <cellStyle name="Normal 2 8 4 3 6" xfId="10817"/>
    <cellStyle name="Normal 2 8 4 3 7" xfId="12569"/>
    <cellStyle name="Normal 2 8 4 3 8" xfId="14321"/>
    <cellStyle name="Normal 2 8 4 3 9" xfId="16073"/>
    <cellStyle name="Normal 2 8 4 30" xfId="46727"/>
    <cellStyle name="Normal 2 8 4 31" xfId="48479"/>
    <cellStyle name="Normal 2 8 4 32" xfId="50231"/>
    <cellStyle name="Normal 2 8 4 33" xfId="51983"/>
    <cellStyle name="Normal 2 8 4 34" xfId="53735"/>
    <cellStyle name="Normal 2 8 4 35" xfId="55487"/>
    <cellStyle name="Normal 2 8 4 36" xfId="57240"/>
    <cellStyle name="Normal 2 8 4 37" xfId="58992"/>
    <cellStyle name="Normal 2 8 4 38" xfId="60744"/>
    <cellStyle name="Normal 2 8 4 39" xfId="62530"/>
    <cellStyle name="Normal 2 8 4 4" xfId="2932"/>
    <cellStyle name="Normal 2 8 4 40" xfId="63396"/>
    <cellStyle name="Normal 2 8 4 5" xfId="4684"/>
    <cellStyle name="Normal 2 8 4 6" xfId="6436"/>
    <cellStyle name="Normal 2 8 4 7" xfId="8188"/>
    <cellStyle name="Normal 2 8 4 8" xfId="9941"/>
    <cellStyle name="Normal 2 8 4 9" xfId="11693"/>
    <cellStyle name="Normal 2 8 40" xfId="58716"/>
    <cellStyle name="Normal 2 8 41" xfId="60468"/>
    <cellStyle name="Normal 2 8 42" xfId="62517"/>
    <cellStyle name="Normal 2 8 43" xfId="63383"/>
    <cellStyle name="Normal 2 8 5" xfId="1173"/>
    <cellStyle name="Normal 2 8 5 10" xfId="15357"/>
    <cellStyle name="Normal 2 8 5 11" xfId="17110"/>
    <cellStyle name="Normal 2 8 5 12" xfId="18862"/>
    <cellStyle name="Normal 2 8 5 13" xfId="20615"/>
    <cellStyle name="Normal 2 8 5 14" xfId="22367"/>
    <cellStyle name="Normal 2 8 5 15" xfId="24119"/>
    <cellStyle name="Normal 2 8 5 16" xfId="25871"/>
    <cellStyle name="Normal 2 8 5 17" xfId="27623"/>
    <cellStyle name="Normal 2 8 5 18" xfId="29376"/>
    <cellStyle name="Normal 2 8 5 19" xfId="31128"/>
    <cellStyle name="Normal 2 8 5 2" xfId="1174"/>
    <cellStyle name="Normal 2 8 5 2 10" xfId="17986"/>
    <cellStyle name="Normal 2 8 5 2 11" xfId="19738"/>
    <cellStyle name="Normal 2 8 5 2 12" xfId="21491"/>
    <cellStyle name="Normal 2 8 5 2 13" xfId="23243"/>
    <cellStyle name="Normal 2 8 5 2 14" xfId="24995"/>
    <cellStyle name="Normal 2 8 5 2 15" xfId="26747"/>
    <cellStyle name="Normal 2 8 5 2 16" xfId="28499"/>
    <cellStyle name="Normal 2 8 5 2 17" xfId="30252"/>
    <cellStyle name="Normal 2 8 5 2 18" xfId="32004"/>
    <cellStyle name="Normal 2 8 5 2 19" xfId="33757"/>
    <cellStyle name="Normal 2 8 5 2 2" xfId="3968"/>
    <cellStyle name="Normal 2 8 5 2 20" xfId="36393"/>
    <cellStyle name="Normal 2 8 5 2 21" xfId="38133"/>
    <cellStyle name="Normal 2 8 5 2 22" xfId="39886"/>
    <cellStyle name="Normal 2 8 5 2 23" xfId="41641"/>
    <cellStyle name="Normal 2 8 5 2 24" xfId="43393"/>
    <cellStyle name="Normal 2 8 5 2 25" xfId="46011"/>
    <cellStyle name="Normal 2 8 5 2 26" xfId="47763"/>
    <cellStyle name="Normal 2 8 5 2 27" xfId="49515"/>
    <cellStyle name="Normal 2 8 5 2 28" xfId="51267"/>
    <cellStyle name="Normal 2 8 5 2 29" xfId="53019"/>
    <cellStyle name="Normal 2 8 5 2 3" xfId="5720"/>
    <cellStyle name="Normal 2 8 5 2 30" xfId="54771"/>
    <cellStyle name="Normal 2 8 5 2 31" xfId="56523"/>
    <cellStyle name="Normal 2 8 5 2 32" xfId="58276"/>
    <cellStyle name="Normal 2 8 5 2 33" xfId="60028"/>
    <cellStyle name="Normal 2 8 5 2 34" xfId="61780"/>
    <cellStyle name="Normal 2 8 5 2 4" xfId="7472"/>
    <cellStyle name="Normal 2 8 5 2 5" xfId="9224"/>
    <cellStyle name="Normal 2 8 5 2 6" xfId="10977"/>
    <cellStyle name="Normal 2 8 5 2 7" xfId="12729"/>
    <cellStyle name="Normal 2 8 5 2 8" xfId="14481"/>
    <cellStyle name="Normal 2 8 5 2 9" xfId="16233"/>
    <cellStyle name="Normal 2 8 5 20" xfId="32881"/>
    <cellStyle name="Normal 2 8 5 21" xfId="34524"/>
    <cellStyle name="Normal 2 8 5 22" xfId="35517"/>
    <cellStyle name="Normal 2 8 5 23" xfId="37145"/>
    <cellStyle name="Normal 2 8 5 24" xfId="39010"/>
    <cellStyle name="Normal 2 8 5 25" xfId="40765"/>
    <cellStyle name="Normal 2 8 5 26" xfId="42517"/>
    <cellStyle name="Normal 2 8 5 27" xfId="44145"/>
    <cellStyle name="Normal 2 8 5 28" xfId="45135"/>
    <cellStyle name="Normal 2 8 5 29" xfId="46887"/>
    <cellStyle name="Normal 2 8 5 3" xfId="3092"/>
    <cellStyle name="Normal 2 8 5 30" xfId="48639"/>
    <cellStyle name="Normal 2 8 5 31" xfId="50391"/>
    <cellStyle name="Normal 2 8 5 32" xfId="52143"/>
    <cellStyle name="Normal 2 8 5 33" xfId="53895"/>
    <cellStyle name="Normal 2 8 5 34" xfId="55647"/>
    <cellStyle name="Normal 2 8 5 35" xfId="57400"/>
    <cellStyle name="Normal 2 8 5 36" xfId="59152"/>
    <cellStyle name="Normal 2 8 5 37" xfId="60904"/>
    <cellStyle name="Normal 2 8 5 38" xfId="62532"/>
    <cellStyle name="Normal 2 8 5 39" xfId="63398"/>
    <cellStyle name="Normal 2 8 5 4" xfId="4844"/>
    <cellStyle name="Normal 2 8 5 5" xfId="6596"/>
    <cellStyle name="Normal 2 8 5 6" xfId="8348"/>
    <cellStyle name="Normal 2 8 5 7" xfId="10101"/>
    <cellStyle name="Normal 2 8 5 8" xfId="11853"/>
    <cellStyle name="Normal 2 8 5 9" xfId="13605"/>
    <cellStyle name="Normal 2 8 6" xfId="1175"/>
    <cellStyle name="Normal 2 8 6 10" xfId="17550"/>
    <cellStyle name="Normal 2 8 6 11" xfId="19302"/>
    <cellStyle name="Normal 2 8 6 12" xfId="21055"/>
    <cellStyle name="Normal 2 8 6 13" xfId="22807"/>
    <cellStyle name="Normal 2 8 6 14" xfId="24559"/>
    <cellStyle name="Normal 2 8 6 15" xfId="26311"/>
    <cellStyle name="Normal 2 8 6 16" xfId="28063"/>
    <cellStyle name="Normal 2 8 6 17" xfId="29816"/>
    <cellStyle name="Normal 2 8 6 18" xfId="31568"/>
    <cellStyle name="Normal 2 8 6 19" xfId="33321"/>
    <cellStyle name="Normal 2 8 6 2" xfId="3532"/>
    <cellStyle name="Normal 2 8 6 20" xfId="35957"/>
    <cellStyle name="Normal 2 8 6 21" xfId="37698"/>
    <cellStyle name="Normal 2 8 6 22" xfId="39450"/>
    <cellStyle name="Normal 2 8 6 23" xfId="41205"/>
    <cellStyle name="Normal 2 8 6 24" xfId="42957"/>
    <cellStyle name="Normal 2 8 6 25" xfId="45575"/>
    <cellStyle name="Normal 2 8 6 26" xfId="47327"/>
    <cellStyle name="Normal 2 8 6 27" xfId="49079"/>
    <cellStyle name="Normal 2 8 6 28" xfId="50831"/>
    <cellStyle name="Normal 2 8 6 29" xfId="52583"/>
    <cellStyle name="Normal 2 8 6 3" xfId="5284"/>
    <cellStyle name="Normal 2 8 6 30" xfId="54335"/>
    <cellStyle name="Normal 2 8 6 31" xfId="56087"/>
    <cellStyle name="Normal 2 8 6 32" xfId="57840"/>
    <cellStyle name="Normal 2 8 6 33" xfId="59592"/>
    <cellStyle name="Normal 2 8 6 34" xfId="61344"/>
    <cellStyle name="Normal 2 8 6 4" xfId="7036"/>
    <cellStyle name="Normal 2 8 6 5" xfId="8788"/>
    <cellStyle name="Normal 2 8 6 6" xfId="10541"/>
    <cellStyle name="Normal 2 8 6 7" xfId="12293"/>
    <cellStyle name="Normal 2 8 6 8" xfId="14045"/>
    <cellStyle name="Normal 2 8 6 9" xfId="15797"/>
    <cellStyle name="Normal 2 8 7" xfId="2629"/>
    <cellStyle name="Normal 2 8 8" xfId="4408"/>
    <cellStyle name="Normal 2 8 9" xfId="6160"/>
    <cellStyle name="Normal 2 9" xfId="1176"/>
    <cellStyle name="Normal 2 9 10" xfId="7913"/>
    <cellStyle name="Normal 2 9 11" xfId="9666"/>
    <cellStyle name="Normal 2 9 12" xfId="11418"/>
    <cellStyle name="Normal 2 9 13" xfId="13170"/>
    <cellStyle name="Normal 2 9 14" xfId="14922"/>
    <cellStyle name="Normal 2 9 15" xfId="16675"/>
    <cellStyle name="Normal 2 9 16" xfId="18427"/>
    <cellStyle name="Normal 2 9 17" xfId="20180"/>
    <cellStyle name="Normal 2 9 18" xfId="21932"/>
    <cellStyle name="Normal 2 9 19" xfId="23684"/>
    <cellStyle name="Normal 2 9 2" xfId="1177"/>
    <cellStyle name="Normal 2 9 2 10" xfId="9721"/>
    <cellStyle name="Normal 2 9 2 11" xfId="11473"/>
    <cellStyle name="Normal 2 9 2 12" xfId="13225"/>
    <cellStyle name="Normal 2 9 2 13" xfId="14977"/>
    <cellStyle name="Normal 2 9 2 14" xfId="16730"/>
    <cellStyle name="Normal 2 9 2 15" xfId="18482"/>
    <cellStyle name="Normal 2 9 2 16" xfId="20235"/>
    <cellStyle name="Normal 2 9 2 17" xfId="21987"/>
    <cellStyle name="Normal 2 9 2 18" xfId="23739"/>
    <cellStyle name="Normal 2 9 2 19" xfId="25491"/>
    <cellStyle name="Normal 2 9 2 2" xfId="1178"/>
    <cellStyle name="Normal 2 9 2 2 10" xfId="11581"/>
    <cellStyle name="Normal 2 9 2 2 11" xfId="13333"/>
    <cellStyle name="Normal 2 9 2 2 12" xfId="15085"/>
    <cellStyle name="Normal 2 9 2 2 13" xfId="16838"/>
    <cellStyle name="Normal 2 9 2 2 14" xfId="18590"/>
    <cellStyle name="Normal 2 9 2 2 15" xfId="20343"/>
    <cellStyle name="Normal 2 9 2 2 16" xfId="22095"/>
    <cellStyle name="Normal 2 9 2 2 17" xfId="23847"/>
    <cellStyle name="Normal 2 9 2 2 18" xfId="25599"/>
    <cellStyle name="Normal 2 9 2 2 19" xfId="27351"/>
    <cellStyle name="Normal 2 9 2 2 2" xfId="1179"/>
    <cellStyle name="Normal 2 9 2 2 2 10" xfId="13446"/>
    <cellStyle name="Normal 2 9 2 2 2 11" xfId="15198"/>
    <cellStyle name="Normal 2 9 2 2 2 12" xfId="16951"/>
    <cellStyle name="Normal 2 9 2 2 2 13" xfId="18703"/>
    <cellStyle name="Normal 2 9 2 2 2 14" xfId="20456"/>
    <cellStyle name="Normal 2 9 2 2 2 15" xfId="22208"/>
    <cellStyle name="Normal 2 9 2 2 2 16" xfId="23960"/>
    <cellStyle name="Normal 2 9 2 2 2 17" xfId="25712"/>
    <cellStyle name="Normal 2 9 2 2 2 18" xfId="27464"/>
    <cellStyle name="Normal 2 9 2 2 2 19" xfId="29217"/>
    <cellStyle name="Normal 2 9 2 2 2 2" xfId="1180"/>
    <cellStyle name="Normal 2 9 2 2 2 2 10" xfId="15634"/>
    <cellStyle name="Normal 2 9 2 2 2 2 11" xfId="17387"/>
    <cellStyle name="Normal 2 9 2 2 2 2 12" xfId="19139"/>
    <cellStyle name="Normal 2 9 2 2 2 2 13" xfId="20892"/>
    <cellStyle name="Normal 2 9 2 2 2 2 14" xfId="22644"/>
    <cellStyle name="Normal 2 9 2 2 2 2 15" xfId="24396"/>
    <cellStyle name="Normal 2 9 2 2 2 2 16" xfId="26148"/>
    <cellStyle name="Normal 2 9 2 2 2 2 17" xfId="27900"/>
    <cellStyle name="Normal 2 9 2 2 2 2 18" xfId="29653"/>
    <cellStyle name="Normal 2 9 2 2 2 2 19" xfId="31405"/>
    <cellStyle name="Normal 2 9 2 2 2 2 2" xfId="1181"/>
    <cellStyle name="Normal 2 9 2 2 2 2 2 10" xfId="18263"/>
    <cellStyle name="Normal 2 9 2 2 2 2 2 11" xfId="20015"/>
    <cellStyle name="Normal 2 9 2 2 2 2 2 12" xfId="21768"/>
    <cellStyle name="Normal 2 9 2 2 2 2 2 13" xfId="23520"/>
    <cellStyle name="Normal 2 9 2 2 2 2 2 14" xfId="25272"/>
    <cellStyle name="Normal 2 9 2 2 2 2 2 15" xfId="27024"/>
    <cellStyle name="Normal 2 9 2 2 2 2 2 16" xfId="28776"/>
    <cellStyle name="Normal 2 9 2 2 2 2 2 17" xfId="30529"/>
    <cellStyle name="Normal 2 9 2 2 2 2 2 18" xfId="32281"/>
    <cellStyle name="Normal 2 9 2 2 2 2 2 19" xfId="34034"/>
    <cellStyle name="Normal 2 9 2 2 2 2 2 2" xfId="4245"/>
    <cellStyle name="Normal 2 9 2 2 2 2 2 20" xfId="36670"/>
    <cellStyle name="Normal 2 9 2 2 2 2 2 21" xfId="38410"/>
    <cellStyle name="Normal 2 9 2 2 2 2 2 22" xfId="40163"/>
    <cellStyle name="Normal 2 9 2 2 2 2 2 23" xfId="41918"/>
    <cellStyle name="Normal 2 9 2 2 2 2 2 24" xfId="43670"/>
    <cellStyle name="Normal 2 9 2 2 2 2 2 25" xfId="46288"/>
    <cellStyle name="Normal 2 9 2 2 2 2 2 26" xfId="48040"/>
    <cellStyle name="Normal 2 9 2 2 2 2 2 27" xfId="49792"/>
    <cellStyle name="Normal 2 9 2 2 2 2 2 28" xfId="51544"/>
    <cellStyle name="Normal 2 9 2 2 2 2 2 29" xfId="53296"/>
    <cellStyle name="Normal 2 9 2 2 2 2 2 3" xfId="5997"/>
    <cellStyle name="Normal 2 9 2 2 2 2 2 30" xfId="55048"/>
    <cellStyle name="Normal 2 9 2 2 2 2 2 31" xfId="56800"/>
    <cellStyle name="Normal 2 9 2 2 2 2 2 32" xfId="58553"/>
    <cellStyle name="Normal 2 9 2 2 2 2 2 33" xfId="60305"/>
    <cellStyle name="Normal 2 9 2 2 2 2 2 34" xfId="62057"/>
    <cellStyle name="Normal 2 9 2 2 2 2 2 4" xfId="7749"/>
    <cellStyle name="Normal 2 9 2 2 2 2 2 5" xfId="9501"/>
    <cellStyle name="Normal 2 9 2 2 2 2 2 6" xfId="11254"/>
    <cellStyle name="Normal 2 9 2 2 2 2 2 7" xfId="13006"/>
    <cellStyle name="Normal 2 9 2 2 2 2 2 8" xfId="14758"/>
    <cellStyle name="Normal 2 9 2 2 2 2 2 9" xfId="16510"/>
    <cellStyle name="Normal 2 9 2 2 2 2 20" xfId="33158"/>
    <cellStyle name="Normal 2 9 2 2 2 2 21" xfId="34529"/>
    <cellStyle name="Normal 2 9 2 2 2 2 22" xfId="35794"/>
    <cellStyle name="Normal 2 9 2 2 2 2 23" xfId="37150"/>
    <cellStyle name="Normal 2 9 2 2 2 2 24" xfId="39287"/>
    <cellStyle name="Normal 2 9 2 2 2 2 25" xfId="41042"/>
    <cellStyle name="Normal 2 9 2 2 2 2 26" xfId="42794"/>
    <cellStyle name="Normal 2 9 2 2 2 2 27" xfId="44150"/>
    <cellStyle name="Normal 2 9 2 2 2 2 28" xfId="45412"/>
    <cellStyle name="Normal 2 9 2 2 2 2 29" xfId="47164"/>
    <cellStyle name="Normal 2 9 2 2 2 2 3" xfId="3369"/>
    <cellStyle name="Normal 2 9 2 2 2 2 30" xfId="48916"/>
    <cellStyle name="Normal 2 9 2 2 2 2 31" xfId="50668"/>
    <cellStyle name="Normal 2 9 2 2 2 2 32" xfId="52420"/>
    <cellStyle name="Normal 2 9 2 2 2 2 33" xfId="54172"/>
    <cellStyle name="Normal 2 9 2 2 2 2 34" xfId="55924"/>
    <cellStyle name="Normal 2 9 2 2 2 2 35" xfId="57677"/>
    <cellStyle name="Normal 2 9 2 2 2 2 36" xfId="59429"/>
    <cellStyle name="Normal 2 9 2 2 2 2 37" xfId="61181"/>
    <cellStyle name="Normal 2 9 2 2 2 2 38" xfId="62537"/>
    <cellStyle name="Normal 2 9 2 2 2 2 39" xfId="63403"/>
    <cellStyle name="Normal 2 9 2 2 2 2 4" xfId="5121"/>
    <cellStyle name="Normal 2 9 2 2 2 2 5" xfId="6873"/>
    <cellStyle name="Normal 2 9 2 2 2 2 6" xfId="8625"/>
    <cellStyle name="Normal 2 9 2 2 2 2 7" xfId="10378"/>
    <cellStyle name="Normal 2 9 2 2 2 2 8" xfId="12130"/>
    <cellStyle name="Normal 2 9 2 2 2 2 9" xfId="13882"/>
    <cellStyle name="Normal 2 9 2 2 2 20" xfId="30969"/>
    <cellStyle name="Normal 2 9 2 2 2 21" xfId="32722"/>
    <cellStyle name="Normal 2 9 2 2 2 22" xfId="34528"/>
    <cellStyle name="Normal 2 9 2 2 2 23" xfId="35358"/>
    <cellStyle name="Normal 2 9 2 2 2 24" xfId="37149"/>
    <cellStyle name="Normal 2 9 2 2 2 25" xfId="38851"/>
    <cellStyle name="Normal 2 9 2 2 2 26" xfId="40606"/>
    <cellStyle name="Normal 2 9 2 2 2 27" xfId="42358"/>
    <cellStyle name="Normal 2 9 2 2 2 28" xfId="44149"/>
    <cellStyle name="Normal 2 9 2 2 2 29" xfId="44976"/>
    <cellStyle name="Normal 2 9 2 2 2 3" xfId="1182"/>
    <cellStyle name="Normal 2 9 2 2 2 3 10" xfId="17827"/>
    <cellStyle name="Normal 2 9 2 2 2 3 11" xfId="19579"/>
    <cellStyle name="Normal 2 9 2 2 2 3 12" xfId="21332"/>
    <cellStyle name="Normal 2 9 2 2 2 3 13" xfId="23084"/>
    <cellStyle name="Normal 2 9 2 2 2 3 14" xfId="24836"/>
    <cellStyle name="Normal 2 9 2 2 2 3 15" xfId="26588"/>
    <cellStyle name="Normal 2 9 2 2 2 3 16" xfId="28340"/>
    <cellStyle name="Normal 2 9 2 2 2 3 17" xfId="30093"/>
    <cellStyle name="Normal 2 9 2 2 2 3 18" xfId="31845"/>
    <cellStyle name="Normal 2 9 2 2 2 3 19" xfId="33598"/>
    <cellStyle name="Normal 2 9 2 2 2 3 2" xfId="3809"/>
    <cellStyle name="Normal 2 9 2 2 2 3 20" xfId="36234"/>
    <cellStyle name="Normal 2 9 2 2 2 3 21" xfId="37974"/>
    <cellStyle name="Normal 2 9 2 2 2 3 22" xfId="39727"/>
    <cellStyle name="Normal 2 9 2 2 2 3 23" xfId="41482"/>
    <cellStyle name="Normal 2 9 2 2 2 3 24" xfId="43234"/>
    <cellStyle name="Normal 2 9 2 2 2 3 25" xfId="45852"/>
    <cellStyle name="Normal 2 9 2 2 2 3 26" xfId="47604"/>
    <cellStyle name="Normal 2 9 2 2 2 3 27" xfId="49356"/>
    <cellStyle name="Normal 2 9 2 2 2 3 28" xfId="51108"/>
    <cellStyle name="Normal 2 9 2 2 2 3 29" xfId="52860"/>
    <cellStyle name="Normal 2 9 2 2 2 3 3" xfId="5561"/>
    <cellStyle name="Normal 2 9 2 2 2 3 30" xfId="54612"/>
    <cellStyle name="Normal 2 9 2 2 2 3 31" xfId="56364"/>
    <cellStyle name="Normal 2 9 2 2 2 3 32" xfId="58117"/>
    <cellStyle name="Normal 2 9 2 2 2 3 33" xfId="59869"/>
    <cellStyle name="Normal 2 9 2 2 2 3 34" xfId="61621"/>
    <cellStyle name="Normal 2 9 2 2 2 3 4" xfId="7313"/>
    <cellStyle name="Normal 2 9 2 2 2 3 5" xfId="9065"/>
    <cellStyle name="Normal 2 9 2 2 2 3 6" xfId="10818"/>
    <cellStyle name="Normal 2 9 2 2 2 3 7" xfId="12570"/>
    <cellStyle name="Normal 2 9 2 2 2 3 8" xfId="14322"/>
    <cellStyle name="Normal 2 9 2 2 2 3 9" xfId="16074"/>
    <cellStyle name="Normal 2 9 2 2 2 30" xfId="46728"/>
    <cellStyle name="Normal 2 9 2 2 2 31" xfId="48480"/>
    <cellStyle name="Normal 2 9 2 2 2 32" xfId="50232"/>
    <cellStyle name="Normal 2 9 2 2 2 33" xfId="51984"/>
    <cellStyle name="Normal 2 9 2 2 2 34" xfId="53736"/>
    <cellStyle name="Normal 2 9 2 2 2 35" xfId="55488"/>
    <cellStyle name="Normal 2 9 2 2 2 36" xfId="57241"/>
    <cellStyle name="Normal 2 9 2 2 2 37" xfId="58993"/>
    <cellStyle name="Normal 2 9 2 2 2 38" xfId="60745"/>
    <cellStyle name="Normal 2 9 2 2 2 39" xfId="62536"/>
    <cellStyle name="Normal 2 9 2 2 2 4" xfId="2933"/>
    <cellStyle name="Normal 2 9 2 2 2 40" xfId="63402"/>
    <cellStyle name="Normal 2 9 2 2 2 5" xfId="4685"/>
    <cellStyle name="Normal 2 9 2 2 2 6" xfId="6437"/>
    <cellStyle name="Normal 2 9 2 2 2 7" xfId="8189"/>
    <cellStyle name="Normal 2 9 2 2 2 8" xfId="9942"/>
    <cellStyle name="Normal 2 9 2 2 2 9" xfId="11694"/>
    <cellStyle name="Normal 2 9 2 2 20" xfId="29104"/>
    <cellStyle name="Normal 2 9 2 2 21" xfId="30856"/>
    <cellStyle name="Normal 2 9 2 2 22" xfId="32609"/>
    <cellStyle name="Normal 2 9 2 2 23" xfId="34527"/>
    <cellStyle name="Normal 2 9 2 2 24" xfId="35245"/>
    <cellStyle name="Normal 2 9 2 2 25" xfId="37148"/>
    <cellStyle name="Normal 2 9 2 2 26" xfId="38738"/>
    <cellStyle name="Normal 2 9 2 2 27" xfId="40493"/>
    <cellStyle name="Normal 2 9 2 2 28" xfId="42245"/>
    <cellStyle name="Normal 2 9 2 2 29" xfId="44148"/>
    <cellStyle name="Normal 2 9 2 2 3" xfId="1183"/>
    <cellStyle name="Normal 2 9 2 2 3 10" xfId="15521"/>
    <cellStyle name="Normal 2 9 2 2 3 11" xfId="17274"/>
    <cellStyle name="Normal 2 9 2 2 3 12" xfId="19026"/>
    <cellStyle name="Normal 2 9 2 2 3 13" xfId="20779"/>
    <cellStyle name="Normal 2 9 2 2 3 14" xfId="22531"/>
    <cellStyle name="Normal 2 9 2 2 3 15" xfId="24283"/>
    <cellStyle name="Normal 2 9 2 2 3 16" xfId="26035"/>
    <cellStyle name="Normal 2 9 2 2 3 17" xfId="27787"/>
    <cellStyle name="Normal 2 9 2 2 3 18" xfId="29540"/>
    <cellStyle name="Normal 2 9 2 2 3 19" xfId="31292"/>
    <cellStyle name="Normal 2 9 2 2 3 2" xfId="1184"/>
    <cellStyle name="Normal 2 9 2 2 3 2 10" xfId="18150"/>
    <cellStyle name="Normal 2 9 2 2 3 2 11" xfId="19902"/>
    <cellStyle name="Normal 2 9 2 2 3 2 12" xfId="21655"/>
    <cellStyle name="Normal 2 9 2 2 3 2 13" xfId="23407"/>
    <cellStyle name="Normal 2 9 2 2 3 2 14" xfId="25159"/>
    <cellStyle name="Normal 2 9 2 2 3 2 15" xfId="26911"/>
    <cellStyle name="Normal 2 9 2 2 3 2 16" xfId="28663"/>
    <cellStyle name="Normal 2 9 2 2 3 2 17" xfId="30416"/>
    <cellStyle name="Normal 2 9 2 2 3 2 18" xfId="32168"/>
    <cellStyle name="Normal 2 9 2 2 3 2 19" xfId="33921"/>
    <cellStyle name="Normal 2 9 2 2 3 2 2" xfId="4132"/>
    <cellStyle name="Normal 2 9 2 2 3 2 20" xfId="36557"/>
    <cellStyle name="Normal 2 9 2 2 3 2 21" xfId="38297"/>
    <cellStyle name="Normal 2 9 2 2 3 2 22" xfId="40050"/>
    <cellStyle name="Normal 2 9 2 2 3 2 23" xfId="41805"/>
    <cellStyle name="Normal 2 9 2 2 3 2 24" xfId="43557"/>
    <cellStyle name="Normal 2 9 2 2 3 2 25" xfId="46175"/>
    <cellStyle name="Normal 2 9 2 2 3 2 26" xfId="47927"/>
    <cellStyle name="Normal 2 9 2 2 3 2 27" xfId="49679"/>
    <cellStyle name="Normal 2 9 2 2 3 2 28" xfId="51431"/>
    <cellStyle name="Normal 2 9 2 2 3 2 29" xfId="53183"/>
    <cellStyle name="Normal 2 9 2 2 3 2 3" xfId="5884"/>
    <cellStyle name="Normal 2 9 2 2 3 2 30" xfId="54935"/>
    <cellStyle name="Normal 2 9 2 2 3 2 31" xfId="56687"/>
    <cellStyle name="Normal 2 9 2 2 3 2 32" xfId="58440"/>
    <cellStyle name="Normal 2 9 2 2 3 2 33" xfId="60192"/>
    <cellStyle name="Normal 2 9 2 2 3 2 34" xfId="61944"/>
    <cellStyle name="Normal 2 9 2 2 3 2 4" xfId="7636"/>
    <cellStyle name="Normal 2 9 2 2 3 2 5" xfId="9388"/>
    <cellStyle name="Normal 2 9 2 2 3 2 6" xfId="11141"/>
    <cellStyle name="Normal 2 9 2 2 3 2 7" xfId="12893"/>
    <cellStyle name="Normal 2 9 2 2 3 2 8" xfId="14645"/>
    <cellStyle name="Normal 2 9 2 2 3 2 9" xfId="16397"/>
    <cellStyle name="Normal 2 9 2 2 3 20" xfId="33045"/>
    <cellStyle name="Normal 2 9 2 2 3 21" xfId="34530"/>
    <cellStyle name="Normal 2 9 2 2 3 22" xfId="35681"/>
    <cellStyle name="Normal 2 9 2 2 3 23" xfId="37151"/>
    <cellStyle name="Normal 2 9 2 2 3 24" xfId="39174"/>
    <cellStyle name="Normal 2 9 2 2 3 25" xfId="40929"/>
    <cellStyle name="Normal 2 9 2 2 3 26" xfId="42681"/>
    <cellStyle name="Normal 2 9 2 2 3 27" xfId="44151"/>
    <cellStyle name="Normal 2 9 2 2 3 28" xfId="45299"/>
    <cellStyle name="Normal 2 9 2 2 3 29" xfId="47051"/>
    <cellStyle name="Normal 2 9 2 2 3 3" xfId="3256"/>
    <cellStyle name="Normal 2 9 2 2 3 30" xfId="48803"/>
    <cellStyle name="Normal 2 9 2 2 3 31" xfId="50555"/>
    <cellStyle name="Normal 2 9 2 2 3 32" xfId="52307"/>
    <cellStyle name="Normal 2 9 2 2 3 33" xfId="54059"/>
    <cellStyle name="Normal 2 9 2 2 3 34" xfId="55811"/>
    <cellStyle name="Normal 2 9 2 2 3 35" xfId="57564"/>
    <cellStyle name="Normal 2 9 2 2 3 36" xfId="59316"/>
    <cellStyle name="Normal 2 9 2 2 3 37" xfId="61068"/>
    <cellStyle name="Normal 2 9 2 2 3 38" xfId="62538"/>
    <cellStyle name="Normal 2 9 2 2 3 39" xfId="63404"/>
    <cellStyle name="Normal 2 9 2 2 3 4" xfId="5008"/>
    <cellStyle name="Normal 2 9 2 2 3 5" xfId="6760"/>
    <cellStyle name="Normal 2 9 2 2 3 6" xfId="8512"/>
    <cellStyle name="Normal 2 9 2 2 3 7" xfId="10265"/>
    <cellStyle name="Normal 2 9 2 2 3 8" xfId="12017"/>
    <cellStyle name="Normal 2 9 2 2 3 9" xfId="13769"/>
    <cellStyle name="Normal 2 9 2 2 30" xfId="44863"/>
    <cellStyle name="Normal 2 9 2 2 31" xfId="46615"/>
    <cellStyle name="Normal 2 9 2 2 32" xfId="48367"/>
    <cellStyle name="Normal 2 9 2 2 33" xfId="50119"/>
    <cellStyle name="Normal 2 9 2 2 34" xfId="51871"/>
    <cellStyle name="Normal 2 9 2 2 35" xfId="53623"/>
    <cellStyle name="Normal 2 9 2 2 36" xfId="55375"/>
    <cellStyle name="Normal 2 9 2 2 37" xfId="57128"/>
    <cellStyle name="Normal 2 9 2 2 38" xfId="58880"/>
    <cellStyle name="Normal 2 9 2 2 39" xfId="60632"/>
    <cellStyle name="Normal 2 9 2 2 4" xfId="1185"/>
    <cellStyle name="Normal 2 9 2 2 4 10" xfId="17714"/>
    <cellStyle name="Normal 2 9 2 2 4 11" xfId="19466"/>
    <cellStyle name="Normal 2 9 2 2 4 12" xfId="21219"/>
    <cellStyle name="Normal 2 9 2 2 4 13" xfId="22971"/>
    <cellStyle name="Normal 2 9 2 2 4 14" xfId="24723"/>
    <cellStyle name="Normal 2 9 2 2 4 15" xfId="26475"/>
    <cellStyle name="Normal 2 9 2 2 4 16" xfId="28227"/>
    <cellStyle name="Normal 2 9 2 2 4 17" xfId="29980"/>
    <cellStyle name="Normal 2 9 2 2 4 18" xfId="31732"/>
    <cellStyle name="Normal 2 9 2 2 4 19" xfId="33485"/>
    <cellStyle name="Normal 2 9 2 2 4 2" xfId="3696"/>
    <cellStyle name="Normal 2 9 2 2 4 20" xfId="36121"/>
    <cellStyle name="Normal 2 9 2 2 4 21" xfId="37861"/>
    <cellStyle name="Normal 2 9 2 2 4 22" xfId="39614"/>
    <cellStyle name="Normal 2 9 2 2 4 23" xfId="41369"/>
    <cellStyle name="Normal 2 9 2 2 4 24" xfId="43121"/>
    <cellStyle name="Normal 2 9 2 2 4 25" xfId="45739"/>
    <cellStyle name="Normal 2 9 2 2 4 26" xfId="47491"/>
    <cellStyle name="Normal 2 9 2 2 4 27" xfId="49243"/>
    <cellStyle name="Normal 2 9 2 2 4 28" xfId="50995"/>
    <cellStyle name="Normal 2 9 2 2 4 29" xfId="52747"/>
    <cellStyle name="Normal 2 9 2 2 4 3" xfId="5448"/>
    <cellStyle name="Normal 2 9 2 2 4 30" xfId="54499"/>
    <cellStyle name="Normal 2 9 2 2 4 31" xfId="56251"/>
    <cellStyle name="Normal 2 9 2 2 4 32" xfId="58004"/>
    <cellStyle name="Normal 2 9 2 2 4 33" xfId="59756"/>
    <cellStyle name="Normal 2 9 2 2 4 34" xfId="61508"/>
    <cellStyle name="Normal 2 9 2 2 4 4" xfId="7200"/>
    <cellStyle name="Normal 2 9 2 2 4 5" xfId="8952"/>
    <cellStyle name="Normal 2 9 2 2 4 6" xfId="10705"/>
    <cellStyle name="Normal 2 9 2 2 4 7" xfId="12457"/>
    <cellStyle name="Normal 2 9 2 2 4 8" xfId="14209"/>
    <cellStyle name="Normal 2 9 2 2 4 9" xfId="15961"/>
    <cellStyle name="Normal 2 9 2 2 40" xfId="62535"/>
    <cellStyle name="Normal 2 9 2 2 41" xfId="63401"/>
    <cellStyle name="Normal 2 9 2 2 5" xfId="2820"/>
    <cellStyle name="Normal 2 9 2 2 6" xfId="4572"/>
    <cellStyle name="Normal 2 9 2 2 7" xfId="6324"/>
    <cellStyle name="Normal 2 9 2 2 8" xfId="8076"/>
    <cellStyle name="Normal 2 9 2 2 9" xfId="9829"/>
    <cellStyle name="Normal 2 9 2 20" xfId="27243"/>
    <cellStyle name="Normal 2 9 2 21" xfId="28996"/>
    <cellStyle name="Normal 2 9 2 22" xfId="30748"/>
    <cellStyle name="Normal 2 9 2 23" xfId="32501"/>
    <cellStyle name="Normal 2 9 2 24" xfId="34526"/>
    <cellStyle name="Normal 2 9 2 25" xfId="35137"/>
    <cellStyle name="Normal 2 9 2 26" xfId="37147"/>
    <cellStyle name="Normal 2 9 2 27" xfId="38630"/>
    <cellStyle name="Normal 2 9 2 28" xfId="40385"/>
    <cellStyle name="Normal 2 9 2 29" xfId="42137"/>
    <cellStyle name="Normal 2 9 2 3" xfId="1186"/>
    <cellStyle name="Normal 2 9 2 3 10" xfId="13447"/>
    <cellStyle name="Normal 2 9 2 3 11" xfId="15199"/>
    <cellStyle name="Normal 2 9 2 3 12" xfId="16952"/>
    <cellStyle name="Normal 2 9 2 3 13" xfId="18704"/>
    <cellStyle name="Normal 2 9 2 3 14" xfId="20457"/>
    <cellStyle name="Normal 2 9 2 3 15" xfId="22209"/>
    <cellStyle name="Normal 2 9 2 3 16" xfId="23961"/>
    <cellStyle name="Normal 2 9 2 3 17" xfId="25713"/>
    <cellStyle name="Normal 2 9 2 3 18" xfId="27465"/>
    <cellStyle name="Normal 2 9 2 3 19" xfId="29218"/>
    <cellStyle name="Normal 2 9 2 3 2" xfId="1187"/>
    <cellStyle name="Normal 2 9 2 3 2 10" xfId="15635"/>
    <cellStyle name="Normal 2 9 2 3 2 11" xfId="17388"/>
    <cellStyle name="Normal 2 9 2 3 2 12" xfId="19140"/>
    <cellStyle name="Normal 2 9 2 3 2 13" xfId="20893"/>
    <cellStyle name="Normal 2 9 2 3 2 14" xfId="22645"/>
    <cellStyle name="Normal 2 9 2 3 2 15" xfId="24397"/>
    <cellStyle name="Normal 2 9 2 3 2 16" xfId="26149"/>
    <cellStyle name="Normal 2 9 2 3 2 17" xfId="27901"/>
    <cellStyle name="Normal 2 9 2 3 2 18" xfId="29654"/>
    <cellStyle name="Normal 2 9 2 3 2 19" xfId="31406"/>
    <cellStyle name="Normal 2 9 2 3 2 2" xfId="1188"/>
    <cellStyle name="Normal 2 9 2 3 2 2 10" xfId="18264"/>
    <cellStyle name="Normal 2 9 2 3 2 2 11" xfId="20016"/>
    <cellStyle name="Normal 2 9 2 3 2 2 12" xfId="21769"/>
    <cellStyle name="Normal 2 9 2 3 2 2 13" xfId="23521"/>
    <cellStyle name="Normal 2 9 2 3 2 2 14" xfId="25273"/>
    <cellStyle name="Normal 2 9 2 3 2 2 15" xfId="27025"/>
    <cellStyle name="Normal 2 9 2 3 2 2 16" xfId="28777"/>
    <cellStyle name="Normal 2 9 2 3 2 2 17" xfId="30530"/>
    <cellStyle name="Normal 2 9 2 3 2 2 18" xfId="32282"/>
    <cellStyle name="Normal 2 9 2 3 2 2 19" xfId="34035"/>
    <cellStyle name="Normal 2 9 2 3 2 2 2" xfId="4246"/>
    <cellStyle name="Normal 2 9 2 3 2 2 20" xfId="36671"/>
    <cellStyle name="Normal 2 9 2 3 2 2 21" xfId="38411"/>
    <cellStyle name="Normal 2 9 2 3 2 2 22" xfId="40164"/>
    <cellStyle name="Normal 2 9 2 3 2 2 23" xfId="41919"/>
    <cellStyle name="Normal 2 9 2 3 2 2 24" xfId="43671"/>
    <cellStyle name="Normal 2 9 2 3 2 2 25" xfId="46289"/>
    <cellStyle name="Normal 2 9 2 3 2 2 26" xfId="48041"/>
    <cellStyle name="Normal 2 9 2 3 2 2 27" xfId="49793"/>
    <cellStyle name="Normal 2 9 2 3 2 2 28" xfId="51545"/>
    <cellStyle name="Normal 2 9 2 3 2 2 29" xfId="53297"/>
    <cellStyle name="Normal 2 9 2 3 2 2 3" xfId="5998"/>
    <cellStyle name="Normal 2 9 2 3 2 2 30" xfId="55049"/>
    <cellStyle name="Normal 2 9 2 3 2 2 31" xfId="56801"/>
    <cellStyle name="Normal 2 9 2 3 2 2 32" xfId="58554"/>
    <cellStyle name="Normal 2 9 2 3 2 2 33" xfId="60306"/>
    <cellStyle name="Normal 2 9 2 3 2 2 34" xfId="62058"/>
    <cellStyle name="Normal 2 9 2 3 2 2 4" xfId="7750"/>
    <cellStyle name="Normal 2 9 2 3 2 2 5" xfId="9502"/>
    <cellStyle name="Normal 2 9 2 3 2 2 6" xfId="11255"/>
    <cellStyle name="Normal 2 9 2 3 2 2 7" xfId="13007"/>
    <cellStyle name="Normal 2 9 2 3 2 2 8" xfId="14759"/>
    <cellStyle name="Normal 2 9 2 3 2 2 9" xfId="16511"/>
    <cellStyle name="Normal 2 9 2 3 2 20" xfId="33159"/>
    <cellStyle name="Normal 2 9 2 3 2 21" xfId="34532"/>
    <cellStyle name="Normal 2 9 2 3 2 22" xfId="35795"/>
    <cellStyle name="Normal 2 9 2 3 2 23" xfId="37153"/>
    <cellStyle name="Normal 2 9 2 3 2 24" xfId="39288"/>
    <cellStyle name="Normal 2 9 2 3 2 25" xfId="41043"/>
    <cellStyle name="Normal 2 9 2 3 2 26" xfId="42795"/>
    <cellStyle name="Normal 2 9 2 3 2 27" xfId="44153"/>
    <cellStyle name="Normal 2 9 2 3 2 28" xfId="45413"/>
    <cellStyle name="Normal 2 9 2 3 2 29" xfId="47165"/>
    <cellStyle name="Normal 2 9 2 3 2 3" xfId="3370"/>
    <cellStyle name="Normal 2 9 2 3 2 30" xfId="48917"/>
    <cellStyle name="Normal 2 9 2 3 2 31" xfId="50669"/>
    <cellStyle name="Normal 2 9 2 3 2 32" xfId="52421"/>
    <cellStyle name="Normal 2 9 2 3 2 33" xfId="54173"/>
    <cellStyle name="Normal 2 9 2 3 2 34" xfId="55925"/>
    <cellStyle name="Normal 2 9 2 3 2 35" xfId="57678"/>
    <cellStyle name="Normal 2 9 2 3 2 36" xfId="59430"/>
    <cellStyle name="Normal 2 9 2 3 2 37" xfId="61182"/>
    <cellStyle name="Normal 2 9 2 3 2 38" xfId="62540"/>
    <cellStyle name="Normal 2 9 2 3 2 39" xfId="63406"/>
    <cellStyle name="Normal 2 9 2 3 2 4" xfId="5122"/>
    <cellStyle name="Normal 2 9 2 3 2 5" xfId="6874"/>
    <cellStyle name="Normal 2 9 2 3 2 6" xfId="8626"/>
    <cellStyle name="Normal 2 9 2 3 2 7" xfId="10379"/>
    <cellStyle name="Normal 2 9 2 3 2 8" xfId="12131"/>
    <cellStyle name="Normal 2 9 2 3 2 9" xfId="13883"/>
    <cellStyle name="Normal 2 9 2 3 20" xfId="30970"/>
    <cellStyle name="Normal 2 9 2 3 21" xfId="32723"/>
    <cellStyle name="Normal 2 9 2 3 22" xfId="34531"/>
    <cellStyle name="Normal 2 9 2 3 23" xfId="35359"/>
    <cellStyle name="Normal 2 9 2 3 24" xfId="37152"/>
    <cellStyle name="Normal 2 9 2 3 25" xfId="38852"/>
    <cellStyle name="Normal 2 9 2 3 26" xfId="40607"/>
    <cellStyle name="Normal 2 9 2 3 27" xfId="42359"/>
    <cellStyle name="Normal 2 9 2 3 28" xfId="44152"/>
    <cellStyle name="Normal 2 9 2 3 29" xfId="44977"/>
    <cellStyle name="Normal 2 9 2 3 3" xfId="1189"/>
    <cellStyle name="Normal 2 9 2 3 3 10" xfId="17828"/>
    <cellStyle name="Normal 2 9 2 3 3 11" xfId="19580"/>
    <cellStyle name="Normal 2 9 2 3 3 12" xfId="21333"/>
    <cellStyle name="Normal 2 9 2 3 3 13" xfId="23085"/>
    <cellStyle name="Normal 2 9 2 3 3 14" xfId="24837"/>
    <cellStyle name="Normal 2 9 2 3 3 15" xfId="26589"/>
    <cellStyle name="Normal 2 9 2 3 3 16" xfId="28341"/>
    <cellStyle name="Normal 2 9 2 3 3 17" xfId="30094"/>
    <cellStyle name="Normal 2 9 2 3 3 18" xfId="31846"/>
    <cellStyle name="Normal 2 9 2 3 3 19" xfId="33599"/>
    <cellStyle name="Normal 2 9 2 3 3 2" xfId="3810"/>
    <cellStyle name="Normal 2 9 2 3 3 20" xfId="36235"/>
    <cellStyle name="Normal 2 9 2 3 3 21" xfId="37975"/>
    <cellStyle name="Normal 2 9 2 3 3 22" xfId="39728"/>
    <cellStyle name="Normal 2 9 2 3 3 23" xfId="41483"/>
    <cellStyle name="Normal 2 9 2 3 3 24" xfId="43235"/>
    <cellStyle name="Normal 2 9 2 3 3 25" xfId="45853"/>
    <cellStyle name="Normal 2 9 2 3 3 26" xfId="47605"/>
    <cellStyle name="Normal 2 9 2 3 3 27" xfId="49357"/>
    <cellStyle name="Normal 2 9 2 3 3 28" xfId="51109"/>
    <cellStyle name="Normal 2 9 2 3 3 29" xfId="52861"/>
    <cellStyle name="Normal 2 9 2 3 3 3" xfId="5562"/>
    <cellStyle name="Normal 2 9 2 3 3 30" xfId="54613"/>
    <cellStyle name="Normal 2 9 2 3 3 31" xfId="56365"/>
    <cellStyle name="Normal 2 9 2 3 3 32" xfId="58118"/>
    <cellStyle name="Normal 2 9 2 3 3 33" xfId="59870"/>
    <cellStyle name="Normal 2 9 2 3 3 34" xfId="61622"/>
    <cellStyle name="Normal 2 9 2 3 3 4" xfId="7314"/>
    <cellStyle name="Normal 2 9 2 3 3 5" xfId="9066"/>
    <cellStyle name="Normal 2 9 2 3 3 6" xfId="10819"/>
    <cellStyle name="Normal 2 9 2 3 3 7" xfId="12571"/>
    <cellStyle name="Normal 2 9 2 3 3 8" xfId="14323"/>
    <cellStyle name="Normal 2 9 2 3 3 9" xfId="16075"/>
    <cellStyle name="Normal 2 9 2 3 30" xfId="46729"/>
    <cellStyle name="Normal 2 9 2 3 31" xfId="48481"/>
    <cellStyle name="Normal 2 9 2 3 32" xfId="50233"/>
    <cellStyle name="Normal 2 9 2 3 33" xfId="51985"/>
    <cellStyle name="Normal 2 9 2 3 34" xfId="53737"/>
    <cellStyle name="Normal 2 9 2 3 35" xfId="55489"/>
    <cellStyle name="Normal 2 9 2 3 36" xfId="57242"/>
    <cellStyle name="Normal 2 9 2 3 37" xfId="58994"/>
    <cellStyle name="Normal 2 9 2 3 38" xfId="60746"/>
    <cellStyle name="Normal 2 9 2 3 39" xfId="62539"/>
    <cellStyle name="Normal 2 9 2 3 4" xfId="2934"/>
    <cellStyle name="Normal 2 9 2 3 40" xfId="63405"/>
    <cellStyle name="Normal 2 9 2 3 5" xfId="4686"/>
    <cellStyle name="Normal 2 9 2 3 6" xfId="6438"/>
    <cellStyle name="Normal 2 9 2 3 7" xfId="8190"/>
    <cellStyle name="Normal 2 9 2 3 8" xfId="9943"/>
    <cellStyle name="Normal 2 9 2 3 9" xfId="11695"/>
    <cellStyle name="Normal 2 9 2 30" xfId="44147"/>
    <cellStyle name="Normal 2 9 2 31" xfId="44755"/>
    <cellStyle name="Normal 2 9 2 32" xfId="46507"/>
    <cellStyle name="Normal 2 9 2 33" xfId="48259"/>
    <cellStyle name="Normal 2 9 2 34" xfId="50011"/>
    <cellStyle name="Normal 2 9 2 35" xfId="51763"/>
    <cellStyle name="Normal 2 9 2 36" xfId="53515"/>
    <cellStyle name="Normal 2 9 2 37" xfId="55267"/>
    <cellStyle name="Normal 2 9 2 38" xfId="57020"/>
    <cellStyle name="Normal 2 9 2 39" xfId="58772"/>
    <cellStyle name="Normal 2 9 2 4" xfId="1190"/>
    <cellStyle name="Normal 2 9 2 4 10" xfId="15413"/>
    <cellStyle name="Normal 2 9 2 4 11" xfId="17166"/>
    <cellStyle name="Normal 2 9 2 4 12" xfId="18918"/>
    <cellStyle name="Normal 2 9 2 4 13" xfId="20671"/>
    <cellStyle name="Normal 2 9 2 4 14" xfId="22423"/>
    <cellStyle name="Normal 2 9 2 4 15" xfId="24175"/>
    <cellStyle name="Normal 2 9 2 4 16" xfId="25927"/>
    <cellStyle name="Normal 2 9 2 4 17" xfId="27679"/>
    <cellStyle name="Normal 2 9 2 4 18" xfId="29432"/>
    <cellStyle name="Normal 2 9 2 4 19" xfId="31184"/>
    <cellStyle name="Normal 2 9 2 4 2" xfId="1191"/>
    <cellStyle name="Normal 2 9 2 4 2 10" xfId="18042"/>
    <cellStyle name="Normal 2 9 2 4 2 11" xfId="19794"/>
    <cellStyle name="Normal 2 9 2 4 2 12" xfId="21547"/>
    <cellStyle name="Normal 2 9 2 4 2 13" xfId="23299"/>
    <cellStyle name="Normal 2 9 2 4 2 14" xfId="25051"/>
    <cellStyle name="Normal 2 9 2 4 2 15" xfId="26803"/>
    <cellStyle name="Normal 2 9 2 4 2 16" xfId="28555"/>
    <cellStyle name="Normal 2 9 2 4 2 17" xfId="30308"/>
    <cellStyle name="Normal 2 9 2 4 2 18" xfId="32060"/>
    <cellStyle name="Normal 2 9 2 4 2 19" xfId="33813"/>
    <cellStyle name="Normal 2 9 2 4 2 2" xfId="4024"/>
    <cellStyle name="Normal 2 9 2 4 2 20" xfId="36449"/>
    <cellStyle name="Normal 2 9 2 4 2 21" xfId="38189"/>
    <cellStyle name="Normal 2 9 2 4 2 22" xfId="39942"/>
    <cellStyle name="Normal 2 9 2 4 2 23" xfId="41697"/>
    <cellStyle name="Normal 2 9 2 4 2 24" xfId="43449"/>
    <cellStyle name="Normal 2 9 2 4 2 25" xfId="46067"/>
    <cellStyle name="Normal 2 9 2 4 2 26" xfId="47819"/>
    <cellStyle name="Normal 2 9 2 4 2 27" xfId="49571"/>
    <cellStyle name="Normal 2 9 2 4 2 28" xfId="51323"/>
    <cellStyle name="Normal 2 9 2 4 2 29" xfId="53075"/>
    <cellStyle name="Normal 2 9 2 4 2 3" xfId="5776"/>
    <cellStyle name="Normal 2 9 2 4 2 30" xfId="54827"/>
    <cellStyle name="Normal 2 9 2 4 2 31" xfId="56579"/>
    <cellStyle name="Normal 2 9 2 4 2 32" xfId="58332"/>
    <cellStyle name="Normal 2 9 2 4 2 33" xfId="60084"/>
    <cellStyle name="Normal 2 9 2 4 2 34" xfId="61836"/>
    <cellStyle name="Normal 2 9 2 4 2 4" xfId="7528"/>
    <cellStyle name="Normal 2 9 2 4 2 5" xfId="9280"/>
    <cellStyle name="Normal 2 9 2 4 2 6" xfId="11033"/>
    <cellStyle name="Normal 2 9 2 4 2 7" xfId="12785"/>
    <cellStyle name="Normal 2 9 2 4 2 8" xfId="14537"/>
    <cellStyle name="Normal 2 9 2 4 2 9" xfId="16289"/>
    <cellStyle name="Normal 2 9 2 4 20" xfId="32937"/>
    <cellStyle name="Normal 2 9 2 4 21" xfId="34533"/>
    <cellStyle name="Normal 2 9 2 4 22" xfId="35573"/>
    <cellStyle name="Normal 2 9 2 4 23" xfId="37154"/>
    <cellStyle name="Normal 2 9 2 4 24" xfId="39066"/>
    <cellStyle name="Normal 2 9 2 4 25" xfId="40821"/>
    <cellStyle name="Normal 2 9 2 4 26" xfId="42573"/>
    <cellStyle name="Normal 2 9 2 4 27" xfId="44154"/>
    <cellStyle name="Normal 2 9 2 4 28" xfId="45191"/>
    <cellStyle name="Normal 2 9 2 4 29" xfId="46943"/>
    <cellStyle name="Normal 2 9 2 4 3" xfId="3148"/>
    <cellStyle name="Normal 2 9 2 4 30" xfId="48695"/>
    <cellStyle name="Normal 2 9 2 4 31" xfId="50447"/>
    <cellStyle name="Normal 2 9 2 4 32" xfId="52199"/>
    <cellStyle name="Normal 2 9 2 4 33" xfId="53951"/>
    <cellStyle name="Normal 2 9 2 4 34" xfId="55703"/>
    <cellStyle name="Normal 2 9 2 4 35" xfId="57456"/>
    <cellStyle name="Normal 2 9 2 4 36" xfId="59208"/>
    <cellStyle name="Normal 2 9 2 4 37" xfId="60960"/>
    <cellStyle name="Normal 2 9 2 4 38" xfId="62541"/>
    <cellStyle name="Normal 2 9 2 4 39" xfId="63407"/>
    <cellStyle name="Normal 2 9 2 4 4" xfId="4900"/>
    <cellStyle name="Normal 2 9 2 4 5" xfId="6652"/>
    <cellStyle name="Normal 2 9 2 4 6" xfId="8404"/>
    <cellStyle name="Normal 2 9 2 4 7" xfId="10157"/>
    <cellStyle name="Normal 2 9 2 4 8" xfId="11909"/>
    <cellStyle name="Normal 2 9 2 4 9" xfId="13661"/>
    <cellStyle name="Normal 2 9 2 40" xfId="60524"/>
    <cellStyle name="Normal 2 9 2 41" xfId="62534"/>
    <cellStyle name="Normal 2 9 2 42" xfId="63400"/>
    <cellStyle name="Normal 2 9 2 5" xfId="1192"/>
    <cellStyle name="Normal 2 9 2 5 10" xfId="17606"/>
    <cellStyle name="Normal 2 9 2 5 11" xfId="19358"/>
    <cellStyle name="Normal 2 9 2 5 12" xfId="21111"/>
    <cellStyle name="Normal 2 9 2 5 13" xfId="22863"/>
    <cellStyle name="Normal 2 9 2 5 14" xfId="24615"/>
    <cellStyle name="Normal 2 9 2 5 15" xfId="26367"/>
    <cellStyle name="Normal 2 9 2 5 16" xfId="28119"/>
    <cellStyle name="Normal 2 9 2 5 17" xfId="29872"/>
    <cellStyle name="Normal 2 9 2 5 18" xfId="31624"/>
    <cellStyle name="Normal 2 9 2 5 19" xfId="33377"/>
    <cellStyle name="Normal 2 9 2 5 2" xfId="3588"/>
    <cellStyle name="Normal 2 9 2 5 20" xfId="36013"/>
    <cellStyle name="Normal 2 9 2 5 21" xfId="37741"/>
    <cellStyle name="Normal 2 9 2 5 22" xfId="39506"/>
    <cellStyle name="Normal 2 9 2 5 23" xfId="41261"/>
    <cellStyle name="Normal 2 9 2 5 24" xfId="43013"/>
    <cellStyle name="Normal 2 9 2 5 25" xfId="45631"/>
    <cellStyle name="Normal 2 9 2 5 26" xfId="47383"/>
    <cellStyle name="Normal 2 9 2 5 27" xfId="49135"/>
    <cellStyle name="Normal 2 9 2 5 28" xfId="50887"/>
    <cellStyle name="Normal 2 9 2 5 29" xfId="52639"/>
    <cellStyle name="Normal 2 9 2 5 3" xfId="5340"/>
    <cellStyle name="Normal 2 9 2 5 30" xfId="54391"/>
    <cellStyle name="Normal 2 9 2 5 31" xfId="56143"/>
    <cellStyle name="Normal 2 9 2 5 32" xfId="57896"/>
    <cellStyle name="Normal 2 9 2 5 33" xfId="59648"/>
    <cellStyle name="Normal 2 9 2 5 34" xfId="61400"/>
    <cellStyle name="Normal 2 9 2 5 4" xfId="7092"/>
    <cellStyle name="Normal 2 9 2 5 5" xfId="8844"/>
    <cellStyle name="Normal 2 9 2 5 6" xfId="10597"/>
    <cellStyle name="Normal 2 9 2 5 7" xfId="12349"/>
    <cellStyle name="Normal 2 9 2 5 8" xfId="14101"/>
    <cellStyle name="Normal 2 9 2 5 9" xfId="15853"/>
    <cellStyle name="Normal 2 9 2 6" xfId="2712"/>
    <cellStyle name="Normal 2 9 2 7" xfId="4464"/>
    <cellStyle name="Normal 2 9 2 8" xfId="6216"/>
    <cellStyle name="Normal 2 9 2 9" xfId="7968"/>
    <cellStyle name="Normal 2 9 20" xfId="25436"/>
    <cellStyle name="Normal 2 9 21" xfId="27188"/>
    <cellStyle name="Normal 2 9 22" xfId="28941"/>
    <cellStyle name="Normal 2 9 23" xfId="30693"/>
    <cellStyle name="Normal 2 9 24" xfId="32446"/>
    <cellStyle name="Normal 2 9 25" xfId="34525"/>
    <cellStyle name="Normal 2 9 26" xfId="35082"/>
    <cellStyle name="Normal 2 9 27" xfId="37146"/>
    <cellStyle name="Normal 2 9 28" xfId="38575"/>
    <cellStyle name="Normal 2 9 29" xfId="40330"/>
    <cellStyle name="Normal 2 9 3" xfId="1193"/>
    <cellStyle name="Normal 2 9 3 10" xfId="11526"/>
    <cellStyle name="Normal 2 9 3 11" xfId="13278"/>
    <cellStyle name="Normal 2 9 3 12" xfId="15030"/>
    <cellStyle name="Normal 2 9 3 13" xfId="16783"/>
    <cellStyle name="Normal 2 9 3 14" xfId="18535"/>
    <cellStyle name="Normal 2 9 3 15" xfId="20288"/>
    <cellStyle name="Normal 2 9 3 16" xfId="22040"/>
    <cellStyle name="Normal 2 9 3 17" xfId="23792"/>
    <cellStyle name="Normal 2 9 3 18" xfId="25544"/>
    <cellStyle name="Normal 2 9 3 19" xfId="27296"/>
    <cellStyle name="Normal 2 9 3 2" xfId="1194"/>
    <cellStyle name="Normal 2 9 3 2 10" xfId="13448"/>
    <cellStyle name="Normal 2 9 3 2 11" xfId="15200"/>
    <cellStyle name="Normal 2 9 3 2 12" xfId="16953"/>
    <cellStyle name="Normal 2 9 3 2 13" xfId="18705"/>
    <cellStyle name="Normal 2 9 3 2 14" xfId="20458"/>
    <cellStyle name="Normal 2 9 3 2 15" xfId="22210"/>
    <cellStyle name="Normal 2 9 3 2 16" xfId="23962"/>
    <cellStyle name="Normal 2 9 3 2 17" xfId="25714"/>
    <cellStyle name="Normal 2 9 3 2 18" xfId="27466"/>
    <cellStyle name="Normal 2 9 3 2 19" xfId="29219"/>
    <cellStyle name="Normal 2 9 3 2 2" xfId="1195"/>
    <cellStyle name="Normal 2 9 3 2 2 10" xfId="15636"/>
    <cellStyle name="Normal 2 9 3 2 2 11" xfId="17389"/>
    <cellStyle name="Normal 2 9 3 2 2 12" xfId="19141"/>
    <cellStyle name="Normal 2 9 3 2 2 13" xfId="20894"/>
    <cellStyle name="Normal 2 9 3 2 2 14" xfId="22646"/>
    <cellStyle name="Normal 2 9 3 2 2 15" xfId="24398"/>
    <cellStyle name="Normal 2 9 3 2 2 16" xfId="26150"/>
    <cellStyle name="Normal 2 9 3 2 2 17" xfId="27902"/>
    <cellStyle name="Normal 2 9 3 2 2 18" xfId="29655"/>
    <cellStyle name="Normal 2 9 3 2 2 19" xfId="31407"/>
    <cellStyle name="Normal 2 9 3 2 2 2" xfId="1196"/>
    <cellStyle name="Normal 2 9 3 2 2 2 10" xfId="18265"/>
    <cellStyle name="Normal 2 9 3 2 2 2 11" xfId="20017"/>
    <cellStyle name="Normal 2 9 3 2 2 2 12" xfId="21770"/>
    <cellStyle name="Normal 2 9 3 2 2 2 13" xfId="23522"/>
    <cellStyle name="Normal 2 9 3 2 2 2 14" xfId="25274"/>
    <cellStyle name="Normal 2 9 3 2 2 2 15" xfId="27026"/>
    <cellStyle name="Normal 2 9 3 2 2 2 16" xfId="28778"/>
    <cellStyle name="Normal 2 9 3 2 2 2 17" xfId="30531"/>
    <cellStyle name="Normal 2 9 3 2 2 2 18" xfId="32283"/>
    <cellStyle name="Normal 2 9 3 2 2 2 19" xfId="34036"/>
    <cellStyle name="Normal 2 9 3 2 2 2 2" xfId="4247"/>
    <cellStyle name="Normal 2 9 3 2 2 2 20" xfId="36672"/>
    <cellStyle name="Normal 2 9 3 2 2 2 21" xfId="38412"/>
    <cellStyle name="Normal 2 9 3 2 2 2 22" xfId="40165"/>
    <cellStyle name="Normal 2 9 3 2 2 2 23" xfId="41920"/>
    <cellStyle name="Normal 2 9 3 2 2 2 24" xfId="43672"/>
    <cellStyle name="Normal 2 9 3 2 2 2 25" xfId="46290"/>
    <cellStyle name="Normal 2 9 3 2 2 2 26" xfId="48042"/>
    <cellStyle name="Normal 2 9 3 2 2 2 27" xfId="49794"/>
    <cellStyle name="Normal 2 9 3 2 2 2 28" xfId="51546"/>
    <cellStyle name="Normal 2 9 3 2 2 2 29" xfId="53298"/>
    <cellStyle name="Normal 2 9 3 2 2 2 3" xfId="5999"/>
    <cellStyle name="Normal 2 9 3 2 2 2 30" xfId="55050"/>
    <cellStyle name="Normal 2 9 3 2 2 2 31" xfId="56802"/>
    <cellStyle name="Normal 2 9 3 2 2 2 32" xfId="58555"/>
    <cellStyle name="Normal 2 9 3 2 2 2 33" xfId="60307"/>
    <cellStyle name="Normal 2 9 3 2 2 2 34" xfId="62059"/>
    <cellStyle name="Normal 2 9 3 2 2 2 4" xfId="7751"/>
    <cellStyle name="Normal 2 9 3 2 2 2 5" xfId="9503"/>
    <cellStyle name="Normal 2 9 3 2 2 2 6" xfId="11256"/>
    <cellStyle name="Normal 2 9 3 2 2 2 7" xfId="13008"/>
    <cellStyle name="Normal 2 9 3 2 2 2 8" xfId="14760"/>
    <cellStyle name="Normal 2 9 3 2 2 2 9" xfId="16512"/>
    <cellStyle name="Normal 2 9 3 2 2 20" xfId="33160"/>
    <cellStyle name="Normal 2 9 3 2 2 21" xfId="34536"/>
    <cellStyle name="Normal 2 9 3 2 2 22" xfId="35796"/>
    <cellStyle name="Normal 2 9 3 2 2 23" xfId="37157"/>
    <cellStyle name="Normal 2 9 3 2 2 24" xfId="39289"/>
    <cellStyle name="Normal 2 9 3 2 2 25" xfId="41044"/>
    <cellStyle name="Normal 2 9 3 2 2 26" xfId="42796"/>
    <cellStyle name="Normal 2 9 3 2 2 27" xfId="44157"/>
    <cellStyle name="Normal 2 9 3 2 2 28" xfId="45414"/>
    <cellStyle name="Normal 2 9 3 2 2 29" xfId="47166"/>
    <cellStyle name="Normal 2 9 3 2 2 3" xfId="3371"/>
    <cellStyle name="Normal 2 9 3 2 2 30" xfId="48918"/>
    <cellStyle name="Normal 2 9 3 2 2 31" xfId="50670"/>
    <cellStyle name="Normal 2 9 3 2 2 32" xfId="52422"/>
    <cellStyle name="Normal 2 9 3 2 2 33" xfId="54174"/>
    <cellStyle name="Normal 2 9 3 2 2 34" xfId="55926"/>
    <cellStyle name="Normal 2 9 3 2 2 35" xfId="57679"/>
    <cellStyle name="Normal 2 9 3 2 2 36" xfId="59431"/>
    <cellStyle name="Normal 2 9 3 2 2 37" xfId="61183"/>
    <cellStyle name="Normal 2 9 3 2 2 38" xfId="62544"/>
    <cellStyle name="Normal 2 9 3 2 2 39" xfId="63410"/>
    <cellStyle name="Normal 2 9 3 2 2 4" xfId="5123"/>
    <cellStyle name="Normal 2 9 3 2 2 5" xfId="6875"/>
    <cellStyle name="Normal 2 9 3 2 2 6" xfId="8627"/>
    <cellStyle name="Normal 2 9 3 2 2 7" xfId="10380"/>
    <cellStyle name="Normal 2 9 3 2 2 8" xfId="12132"/>
    <cellStyle name="Normal 2 9 3 2 2 9" xfId="13884"/>
    <cellStyle name="Normal 2 9 3 2 20" xfId="30971"/>
    <cellStyle name="Normal 2 9 3 2 21" xfId="32724"/>
    <cellStyle name="Normal 2 9 3 2 22" xfId="34535"/>
    <cellStyle name="Normal 2 9 3 2 23" xfId="35360"/>
    <cellStyle name="Normal 2 9 3 2 24" xfId="37156"/>
    <cellStyle name="Normal 2 9 3 2 25" xfId="38853"/>
    <cellStyle name="Normal 2 9 3 2 26" xfId="40608"/>
    <cellStyle name="Normal 2 9 3 2 27" xfId="42360"/>
    <cellStyle name="Normal 2 9 3 2 28" xfId="44156"/>
    <cellStyle name="Normal 2 9 3 2 29" xfId="44978"/>
    <cellStyle name="Normal 2 9 3 2 3" xfId="1197"/>
    <cellStyle name="Normal 2 9 3 2 3 10" xfId="17829"/>
    <cellStyle name="Normal 2 9 3 2 3 11" xfId="19581"/>
    <cellStyle name="Normal 2 9 3 2 3 12" xfId="21334"/>
    <cellStyle name="Normal 2 9 3 2 3 13" xfId="23086"/>
    <cellStyle name="Normal 2 9 3 2 3 14" xfId="24838"/>
    <cellStyle name="Normal 2 9 3 2 3 15" xfId="26590"/>
    <cellStyle name="Normal 2 9 3 2 3 16" xfId="28342"/>
    <cellStyle name="Normal 2 9 3 2 3 17" xfId="30095"/>
    <cellStyle name="Normal 2 9 3 2 3 18" xfId="31847"/>
    <cellStyle name="Normal 2 9 3 2 3 19" xfId="33600"/>
    <cellStyle name="Normal 2 9 3 2 3 2" xfId="3811"/>
    <cellStyle name="Normal 2 9 3 2 3 20" xfId="36236"/>
    <cellStyle name="Normal 2 9 3 2 3 21" xfId="37976"/>
    <cellStyle name="Normal 2 9 3 2 3 22" xfId="39729"/>
    <cellStyle name="Normal 2 9 3 2 3 23" xfId="41484"/>
    <cellStyle name="Normal 2 9 3 2 3 24" xfId="43236"/>
    <cellStyle name="Normal 2 9 3 2 3 25" xfId="45854"/>
    <cellStyle name="Normal 2 9 3 2 3 26" xfId="47606"/>
    <cellStyle name="Normal 2 9 3 2 3 27" xfId="49358"/>
    <cellStyle name="Normal 2 9 3 2 3 28" xfId="51110"/>
    <cellStyle name="Normal 2 9 3 2 3 29" xfId="52862"/>
    <cellStyle name="Normal 2 9 3 2 3 3" xfId="5563"/>
    <cellStyle name="Normal 2 9 3 2 3 30" xfId="54614"/>
    <cellStyle name="Normal 2 9 3 2 3 31" xfId="56366"/>
    <cellStyle name="Normal 2 9 3 2 3 32" xfId="58119"/>
    <cellStyle name="Normal 2 9 3 2 3 33" xfId="59871"/>
    <cellStyle name="Normal 2 9 3 2 3 34" xfId="61623"/>
    <cellStyle name="Normal 2 9 3 2 3 4" xfId="7315"/>
    <cellStyle name="Normal 2 9 3 2 3 5" xfId="9067"/>
    <cellStyle name="Normal 2 9 3 2 3 6" xfId="10820"/>
    <cellStyle name="Normal 2 9 3 2 3 7" xfId="12572"/>
    <cellStyle name="Normal 2 9 3 2 3 8" xfId="14324"/>
    <cellStyle name="Normal 2 9 3 2 3 9" xfId="16076"/>
    <cellStyle name="Normal 2 9 3 2 30" xfId="46730"/>
    <cellStyle name="Normal 2 9 3 2 31" xfId="48482"/>
    <cellStyle name="Normal 2 9 3 2 32" xfId="50234"/>
    <cellStyle name="Normal 2 9 3 2 33" xfId="51986"/>
    <cellStyle name="Normal 2 9 3 2 34" xfId="53738"/>
    <cellStyle name="Normal 2 9 3 2 35" xfId="55490"/>
    <cellStyle name="Normal 2 9 3 2 36" xfId="57243"/>
    <cellStyle name="Normal 2 9 3 2 37" xfId="58995"/>
    <cellStyle name="Normal 2 9 3 2 38" xfId="60747"/>
    <cellStyle name="Normal 2 9 3 2 39" xfId="62543"/>
    <cellStyle name="Normal 2 9 3 2 4" xfId="2935"/>
    <cellStyle name="Normal 2 9 3 2 40" xfId="63409"/>
    <cellStyle name="Normal 2 9 3 2 5" xfId="4687"/>
    <cellStyle name="Normal 2 9 3 2 6" xfId="6439"/>
    <cellStyle name="Normal 2 9 3 2 7" xfId="8191"/>
    <cellStyle name="Normal 2 9 3 2 8" xfId="9944"/>
    <cellStyle name="Normal 2 9 3 2 9" xfId="11696"/>
    <cellStyle name="Normal 2 9 3 20" xfId="29049"/>
    <cellStyle name="Normal 2 9 3 21" xfId="30801"/>
    <cellStyle name="Normal 2 9 3 22" xfId="32554"/>
    <cellStyle name="Normal 2 9 3 23" xfId="34534"/>
    <cellStyle name="Normal 2 9 3 24" xfId="35190"/>
    <cellStyle name="Normal 2 9 3 25" xfId="37155"/>
    <cellStyle name="Normal 2 9 3 26" xfId="38683"/>
    <cellStyle name="Normal 2 9 3 27" xfId="40438"/>
    <cellStyle name="Normal 2 9 3 28" xfId="42190"/>
    <cellStyle name="Normal 2 9 3 29" xfId="44155"/>
    <cellStyle name="Normal 2 9 3 3" xfId="1198"/>
    <cellStyle name="Normal 2 9 3 3 10" xfId="15466"/>
    <cellStyle name="Normal 2 9 3 3 11" xfId="17219"/>
    <cellStyle name="Normal 2 9 3 3 12" xfId="18971"/>
    <cellStyle name="Normal 2 9 3 3 13" xfId="20724"/>
    <cellStyle name="Normal 2 9 3 3 14" xfId="22476"/>
    <cellStyle name="Normal 2 9 3 3 15" xfId="24228"/>
    <cellStyle name="Normal 2 9 3 3 16" xfId="25980"/>
    <cellStyle name="Normal 2 9 3 3 17" xfId="27732"/>
    <cellStyle name="Normal 2 9 3 3 18" xfId="29485"/>
    <cellStyle name="Normal 2 9 3 3 19" xfId="31237"/>
    <cellStyle name="Normal 2 9 3 3 2" xfId="1199"/>
    <cellStyle name="Normal 2 9 3 3 2 10" xfId="18095"/>
    <cellStyle name="Normal 2 9 3 3 2 11" xfId="19847"/>
    <cellStyle name="Normal 2 9 3 3 2 12" xfId="21600"/>
    <cellStyle name="Normal 2 9 3 3 2 13" xfId="23352"/>
    <cellStyle name="Normal 2 9 3 3 2 14" xfId="25104"/>
    <cellStyle name="Normal 2 9 3 3 2 15" xfId="26856"/>
    <cellStyle name="Normal 2 9 3 3 2 16" xfId="28608"/>
    <cellStyle name="Normal 2 9 3 3 2 17" xfId="30361"/>
    <cellStyle name="Normal 2 9 3 3 2 18" xfId="32113"/>
    <cellStyle name="Normal 2 9 3 3 2 19" xfId="33866"/>
    <cellStyle name="Normal 2 9 3 3 2 2" xfId="4077"/>
    <cellStyle name="Normal 2 9 3 3 2 20" xfId="36502"/>
    <cellStyle name="Normal 2 9 3 3 2 21" xfId="38242"/>
    <cellStyle name="Normal 2 9 3 3 2 22" xfId="39995"/>
    <cellStyle name="Normal 2 9 3 3 2 23" xfId="41750"/>
    <cellStyle name="Normal 2 9 3 3 2 24" xfId="43502"/>
    <cellStyle name="Normal 2 9 3 3 2 25" xfId="46120"/>
    <cellStyle name="Normal 2 9 3 3 2 26" xfId="47872"/>
    <cellStyle name="Normal 2 9 3 3 2 27" xfId="49624"/>
    <cellStyle name="Normal 2 9 3 3 2 28" xfId="51376"/>
    <cellStyle name="Normal 2 9 3 3 2 29" xfId="53128"/>
    <cellStyle name="Normal 2 9 3 3 2 3" xfId="5829"/>
    <cellStyle name="Normal 2 9 3 3 2 30" xfId="54880"/>
    <cellStyle name="Normal 2 9 3 3 2 31" xfId="56632"/>
    <cellStyle name="Normal 2 9 3 3 2 32" xfId="58385"/>
    <cellStyle name="Normal 2 9 3 3 2 33" xfId="60137"/>
    <cellStyle name="Normal 2 9 3 3 2 34" xfId="61889"/>
    <cellStyle name="Normal 2 9 3 3 2 4" xfId="7581"/>
    <cellStyle name="Normal 2 9 3 3 2 5" xfId="9333"/>
    <cellStyle name="Normal 2 9 3 3 2 6" xfId="11086"/>
    <cellStyle name="Normal 2 9 3 3 2 7" xfId="12838"/>
    <cellStyle name="Normal 2 9 3 3 2 8" xfId="14590"/>
    <cellStyle name="Normal 2 9 3 3 2 9" xfId="16342"/>
    <cellStyle name="Normal 2 9 3 3 20" xfId="32990"/>
    <cellStyle name="Normal 2 9 3 3 21" xfId="34537"/>
    <cellStyle name="Normal 2 9 3 3 22" xfId="35626"/>
    <cellStyle name="Normal 2 9 3 3 23" xfId="37158"/>
    <cellStyle name="Normal 2 9 3 3 24" xfId="39119"/>
    <cellStyle name="Normal 2 9 3 3 25" xfId="40874"/>
    <cellStyle name="Normal 2 9 3 3 26" xfId="42626"/>
    <cellStyle name="Normal 2 9 3 3 27" xfId="44158"/>
    <cellStyle name="Normal 2 9 3 3 28" xfId="45244"/>
    <cellStyle name="Normal 2 9 3 3 29" xfId="46996"/>
    <cellStyle name="Normal 2 9 3 3 3" xfId="3201"/>
    <cellStyle name="Normal 2 9 3 3 30" xfId="48748"/>
    <cellStyle name="Normal 2 9 3 3 31" xfId="50500"/>
    <cellStyle name="Normal 2 9 3 3 32" xfId="52252"/>
    <cellStyle name="Normal 2 9 3 3 33" xfId="54004"/>
    <cellStyle name="Normal 2 9 3 3 34" xfId="55756"/>
    <cellStyle name="Normal 2 9 3 3 35" xfId="57509"/>
    <cellStyle name="Normal 2 9 3 3 36" xfId="59261"/>
    <cellStyle name="Normal 2 9 3 3 37" xfId="61013"/>
    <cellStyle name="Normal 2 9 3 3 38" xfId="62545"/>
    <cellStyle name="Normal 2 9 3 3 39" xfId="63411"/>
    <cellStyle name="Normal 2 9 3 3 4" xfId="4953"/>
    <cellStyle name="Normal 2 9 3 3 5" xfId="6705"/>
    <cellStyle name="Normal 2 9 3 3 6" xfId="8457"/>
    <cellStyle name="Normal 2 9 3 3 7" xfId="10210"/>
    <cellStyle name="Normal 2 9 3 3 8" xfId="11962"/>
    <cellStyle name="Normal 2 9 3 3 9" xfId="13714"/>
    <cellStyle name="Normal 2 9 3 30" xfId="44808"/>
    <cellStyle name="Normal 2 9 3 31" xfId="46560"/>
    <cellStyle name="Normal 2 9 3 32" xfId="48312"/>
    <cellStyle name="Normal 2 9 3 33" xfId="50064"/>
    <cellStyle name="Normal 2 9 3 34" xfId="51816"/>
    <cellStyle name="Normal 2 9 3 35" xfId="53568"/>
    <cellStyle name="Normal 2 9 3 36" xfId="55320"/>
    <cellStyle name="Normal 2 9 3 37" xfId="57073"/>
    <cellStyle name="Normal 2 9 3 38" xfId="58825"/>
    <cellStyle name="Normal 2 9 3 39" xfId="60577"/>
    <cellStyle name="Normal 2 9 3 4" xfId="1200"/>
    <cellStyle name="Normal 2 9 3 4 10" xfId="17659"/>
    <cellStyle name="Normal 2 9 3 4 11" xfId="19411"/>
    <cellStyle name="Normal 2 9 3 4 12" xfId="21164"/>
    <cellStyle name="Normal 2 9 3 4 13" xfId="22916"/>
    <cellStyle name="Normal 2 9 3 4 14" xfId="24668"/>
    <cellStyle name="Normal 2 9 3 4 15" xfId="26420"/>
    <cellStyle name="Normal 2 9 3 4 16" xfId="28172"/>
    <cellStyle name="Normal 2 9 3 4 17" xfId="29925"/>
    <cellStyle name="Normal 2 9 3 4 18" xfId="31677"/>
    <cellStyle name="Normal 2 9 3 4 19" xfId="33430"/>
    <cellStyle name="Normal 2 9 3 4 2" xfId="3641"/>
    <cellStyle name="Normal 2 9 3 4 20" xfId="36066"/>
    <cellStyle name="Normal 2 9 3 4 21" xfId="37806"/>
    <cellStyle name="Normal 2 9 3 4 22" xfId="39559"/>
    <cellStyle name="Normal 2 9 3 4 23" xfId="41314"/>
    <cellStyle name="Normal 2 9 3 4 24" xfId="43066"/>
    <cellStyle name="Normal 2 9 3 4 25" xfId="45684"/>
    <cellStyle name="Normal 2 9 3 4 26" xfId="47436"/>
    <cellStyle name="Normal 2 9 3 4 27" xfId="49188"/>
    <cellStyle name="Normal 2 9 3 4 28" xfId="50940"/>
    <cellStyle name="Normal 2 9 3 4 29" xfId="52692"/>
    <cellStyle name="Normal 2 9 3 4 3" xfId="5393"/>
    <cellStyle name="Normal 2 9 3 4 30" xfId="54444"/>
    <cellStyle name="Normal 2 9 3 4 31" xfId="56196"/>
    <cellStyle name="Normal 2 9 3 4 32" xfId="57949"/>
    <cellStyle name="Normal 2 9 3 4 33" xfId="59701"/>
    <cellStyle name="Normal 2 9 3 4 34" xfId="61453"/>
    <cellStyle name="Normal 2 9 3 4 4" xfId="7145"/>
    <cellStyle name="Normal 2 9 3 4 5" xfId="8897"/>
    <cellStyle name="Normal 2 9 3 4 6" xfId="10650"/>
    <cellStyle name="Normal 2 9 3 4 7" xfId="12402"/>
    <cellStyle name="Normal 2 9 3 4 8" xfId="14154"/>
    <cellStyle name="Normal 2 9 3 4 9" xfId="15906"/>
    <cellStyle name="Normal 2 9 3 40" xfId="62542"/>
    <cellStyle name="Normal 2 9 3 41" xfId="63408"/>
    <cellStyle name="Normal 2 9 3 5" xfId="2765"/>
    <cellStyle name="Normal 2 9 3 6" xfId="4517"/>
    <cellStyle name="Normal 2 9 3 7" xfId="6269"/>
    <cellStyle name="Normal 2 9 3 8" xfId="8021"/>
    <cellStyle name="Normal 2 9 3 9" xfId="9774"/>
    <cellStyle name="Normal 2 9 30" xfId="42082"/>
    <cellStyle name="Normal 2 9 31" xfId="44146"/>
    <cellStyle name="Normal 2 9 32" xfId="44700"/>
    <cellStyle name="Normal 2 9 33" xfId="46452"/>
    <cellStyle name="Normal 2 9 34" xfId="48204"/>
    <cellStyle name="Normal 2 9 35" xfId="49956"/>
    <cellStyle name="Normal 2 9 36" xfId="51708"/>
    <cellStyle name="Normal 2 9 37" xfId="53460"/>
    <cellStyle name="Normal 2 9 38" xfId="55212"/>
    <cellStyle name="Normal 2 9 39" xfId="56965"/>
    <cellStyle name="Normal 2 9 4" xfId="1201"/>
    <cellStyle name="Normal 2 9 4 10" xfId="13449"/>
    <cellStyle name="Normal 2 9 4 11" xfId="15201"/>
    <cellStyle name="Normal 2 9 4 12" xfId="16954"/>
    <cellStyle name="Normal 2 9 4 13" xfId="18706"/>
    <cellStyle name="Normal 2 9 4 14" xfId="20459"/>
    <cellStyle name="Normal 2 9 4 15" xfId="22211"/>
    <cellStyle name="Normal 2 9 4 16" xfId="23963"/>
    <cellStyle name="Normal 2 9 4 17" xfId="25715"/>
    <cellStyle name="Normal 2 9 4 18" xfId="27467"/>
    <cellStyle name="Normal 2 9 4 19" xfId="29220"/>
    <cellStyle name="Normal 2 9 4 2" xfId="1202"/>
    <cellStyle name="Normal 2 9 4 2 10" xfId="15637"/>
    <cellStyle name="Normal 2 9 4 2 11" xfId="17390"/>
    <cellStyle name="Normal 2 9 4 2 12" xfId="19142"/>
    <cellStyle name="Normal 2 9 4 2 13" xfId="20895"/>
    <cellStyle name="Normal 2 9 4 2 14" xfId="22647"/>
    <cellStyle name="Normal 2 9 4 2 15" xfId="24399"/>
    <cellStyle name="Normal 2 9 4 2 16" xfId="26151"/>
    <cellStyle name="Normal 2 9 4 2 17" xfId="27903"/>
    <cellStyle name="Normal 2 9 4 2 18" xfId="29656"/>
    <cellStyle name="Normal 2 9 4 2 19" xfId="31408"/>
    <cellStyle name="Normal 2 9 4 2 2" xfId="1203"/>
    <cellStyle name="Normal 2 9 4 2 2 10" xfId="18266"/>
    <cellStyle name="Normal 2 9 4 2 2 11" xfId="20018"/>
    <cellStyle name="Normal 2 9 4 2 2 12" xfId="21771"/>
    <cellStyle name="Normal 2 9 4 2 2 13" xfId="23523"/>
    <cellStyle name="Normal 2 9 4 2 2 14" xfId="25275"/>
    <cellStyle name="Normal 2 9 4 2 2 15" xfId="27027"/>
    <cellStyle name="Normal 2 9 4 2 2 16" xfId="28779"/>
    <cellStyle name="Normal 2 9 4 2 2 17" xfId="30532"/>
    <cellStyle name="Normal 2 9 4 2 2 18" xfId="32284"/>
    <cellStyle name="Normal 2 9 4 2 2 19" xfId="34037"/>
    <cellStyle name="Normal 2 9 4 2 2 2" xfId="4248"/>
    <cellStyle name="Normal 2 9 4 2 2 20" xfId="36673"/>
    <cellStyle name="Normal 2 9 4 2 2 21" xfId="38413"/>
    <cellStyle name="Normal 2 9 4 2 2 22" xfId="40166"/>
    <cellStyle name="Normal 2 9 4 2 2 23" xfId="41921"/>
    <cellStyle name="Normal 2 9 4 2 2 24" xfId="43673"/>
    <cellStyle name="Normal 2 9 4 2 2 25" xfId="46291"/>
    <cellStyle name="Normal 2 9 4 2 2 26" xfId="48043"/>
    <cellStyle name="Normal 2 9 4 2 2 27" xfId="49795"/>
    <cellStyle name="Normal 2 9 4 2 2 28" xfId="51547"/>
    <cellStyle name="Normal 2 9 4 2 2 29" xfId="53299"/>
    <cellStyle name="Normal 2 9 4 2 2 3" xfId="6000"/>
    <cellStyle name="Normal 2 9 4 2 2 30" xfId="55051"/>
    <cellStyle name="Normal 2 9 4 2 2 31" xfId="56803"/>
    <cellStyle name="Normal 2 9 4 2 2 32" xfId="58556"/>
    <cellStyle name="Normal 2 9 4 2 2 33" xfId="60308"/>
    <cellStyle name="Normal 2 9 4 2 2 34" xfId="62060"/>
    <cellStyle name="Normal 2 9 4 2 2 4" xfId="7752"/>
    <cellStyle name="Normal 2 9 4 2 2 5" xfId="9504"/>
    <cellStyle name="Normal 2 9 4 2 2 6" xfId="11257"/>
    <cellStyle name="Normal 2 9 4 2 2 7" xfId="13009"/>
    <cellStyle name="Normal 2 9 4 2 2 8" xfId="14761"/>
    <cellStyle name="Normal 2 9 4 2 2 9" xfId="16513"/>
    <cellStyle name="Normal 2 9 4 2 20" xfId="33161"/>
    <cellStyle name="Normal 2 9 4 2 21" xfId="34539"/>
    <cellStyle name="Normal 2 9 4 2 22" xfId="35797"/>
    <cellStyle name="Normal 2 9 4 2 23" xfId="37160"/>
    <cellStyle name="Normal 2 9 4 2 24" xfId="39290"/>
    <cellStyle name="Normal 2 9 4 2 25" xfId="41045"/>
    <cellStyle name="Normal 2 9 4 2 26" xfId="42797"/>
    <cellStyle name="Normal 2 9 4 2 27" xfId="44160"/>
    <cellStyle name="Normal 2 9 4 2 28" xfId="45415"/>
    <cellStyle name="Normal 2 9 4 2 29" xfId="47167"/>
    <cellStyle name="Normal 2 9 4 2 3" xfId="3372"/>
    <cellStyle name="Normal 2 9 4 2 30" xfId="48919"/>
    <cellStyle name="Normal 2 9 4 2 31" xfId="50671"/>
    <cellStyle name="Normal 2 9 4 2 32" xfId="52423"/>
    <cellStyle name="Normal 2 9 4 2 33" xfId="54175"/>
    <cellStyle name="Normal 2 9 4 2 34" xfId="55927"/>
    <cellStyle name="Normal 2 9 4 2 35" xfId="57680"/>
    <cellStyle name="Normal 2 9 4 2 36" xfId="59432"/>
    <cellStyle name="Normal 2 9 4 2 37" xfId="61184"/>
    <cellStyle name="Normal 2 9 4 2 38" xfId="62547"/>
    <cellStyle name="Normal 2 9 4 2 39" xfId="63413"/>
    <cellStyle name="Normal 2 9 4 2 4" xfId="5124"/>
    <cellStyle name="Normal 2 9 4 2 5" xfId="6876"/>
    <cellStyle name="Normal 2 9 4 2 6" xfId="8628"/>
    <cellStyle name="Normal 2 9 4 2 7" xfId="10381"/>
    <cellStyle name="Normal 2 9 4 2 8" xfId="12133"/>
    <cellStyle name="Normal 2 9 4 2 9" xfId="13885"/>
    <cellStyle name="Normal 2 9 4 20" xfId="30972"/>
    <cellStyle name="Normal 2 9 4 21" xfId="32725"/>
    <cellStyle name="Normal 2 9 4 22" xfId="34538"/>
    <cellStyle name="Normal 2 9 4 23" xfId="35361"/>
    <cellStyle name="Normal 2 9 4 24" xfId="37159"/>
    <cellStyle name="Normal 2 9 4 25" xfId="38854"/>
    <cellStyle name="Normal 2 9 4 26" xfId="40609"/>
    <cellStyle name="Normal 2 9 4 27" xfId="42361"/>
    <cellStyle name="Normal 2 9 4 28" xfId="44159"/>
    <cellStyle name="Normal 2 9 4 29" xfId="44979"/>
    <cellStyle name="Normal 2 9 4 3" xfId="1204"/>
    <cellStyle name="Normal 2 9 4 3 10" xfId="17830"/>
    <cellStyle name="Normal 2 9 4 3 11" xfId="19582"/>
    <cellStyle name="Normal 2 9 4 3 12" xfId="21335"/>
    <cellStyle name="Normal 2 9 4 3 13" xfId="23087"/>
    <cellStyle name="Normal 2 9 4 3 14" xfId="24839"/>
    <cellStyle name="Normal 2 9 4 3 15" xfId="26591"/>
    <cellStyle name="Normal 2 9 4 3 16" xfId="28343"/>
    <cellStyle name="Normal 2 9 4 3 17" xfId="30096"/>
    <cellStyle name="Normal 2 9 4 3 18" xfId="31848"/>
    <cellStyle name="Normal 2 9 4 3 19" xfId="33601"/>
    <cellStyle name="Normal 2 9 4 3 2" xfId="3812"/>
    <cellStyle name="Normal 2 9 4 3 20" xfId="36237"/>
    <cellStyle name="Normal 2 9 4 3 21" xfId="37977"/>
    <cellStyle name="Normal 2 9 4 3 22" xfId="39730"/>
    <cellStyle name="Normal 2 9 4 3 23" xfId="41485"/>
    <cellStyle name="Normal 2 9 4 3 24" xfId="43237"/>
    <cellStyle name="Normal 2 9 4 3 25" xfId="45855"/>
    <cellStyle name="Normal 2 9 4 3 26" xfId="47607"/>
    <cellStyle name="Normal 2 9 4 3 27" xfId="49359"/>
    <cellStyle name="Normal 2 9 4 3 28" xfId="51111"/>
    <cellStyle name="Normal 2 9 4 3 29" xfId="52863"/>
    <cellStyle name="Normal 2 9 4 3 3" xfId="5564"/>
    <cellStyle name="Normal 2 9 4 3 30" xfId="54615"/>
    <cellStyle name="Normal 2 9 4 3 31" xfId="56367"/>
    <cellStyle name="Normal 2 9 4 3 32" xfId="58120"/>
    <cellStyle name="Normal 2 9 4 3 33" xfId="59872"/>
    <cellStyle name="Normal 2 9 4 3 34" xfId="61624"/>
    <cellStyle name="Normal 2 9 4 3 4" xfId="7316"/>
    <cellStyle name="Normal 2 9 4 3 5" xfId="9068"/>
    <cellStyle name="Normal 2 9 4 3 6" xfId="10821"/>
    <cellStyle name="Normal 2 9 4 3 7" xfId="12573"/>
    <cellStyle name="Normal 2 9 4 3 8" xfId="14325"/>
    <cellStyle name="Normal 2 9 4 3 9" xfId="16077"/>
    <cellStyle name="Normal 2 9 4 30" xfId="46731"/>
    <cellStyle name="Normal 2 9 4 31" xfId="48483"/>
    <cellStyle name="Normal 2 9 4 32" xfId="50235"/>
    <cellStyle name="Normal 2 9 4 33" xfId="51987"/>
    <cellStyle name="Normal 2 9 4 34" xfId="53739"/>
    <cellStyle name="Normal 2 9 4 35" xfId="55491"/>
    <cellStyle name="Normal 2 9 4 36" xfId="57244"/>
    <cellStyle name="Normal 2 9 4 37" xfId="58996"/>
    <cellStyle name="Normal 2 9 4 38" xfId="60748"/>
    <cellStyle name="Normal 2 9 4 39" xfId="62546"/>
    <cellStyle name="Normal 2 9 4 4" xfId="2936"/>
    <cellStyle name="Normal 2 9 4 40" xfId="63412"/>
    <cellStyle name="Normal 2 9 4 5" xfId="4688"/>
    <cellStyle name="Normal 2 9 4 6" xfId="6440"/>
    <cellStyle name="Normal 2 9 4 7" xfId="8192"/>
    <cellStyle name="Normal 2 9 4 8" xfId="9945"/>
    <cellStyle name="Normal 2 9 4 9" xfId="11697"/>
    <cellStyle name="Normal 2 9 40" xfId="58717"/>
    <cellStyle name="Normal 2 9 41" xfId="60469"/>
    <cellStyle name="Normal 2 9 42" xfId="62533"/>
    <cellStyle name="Normal 2 9 43" xfId="63399"/>
    <cellStyle name="Normal 2 9 5" xfId="1205"/>
    <cellStyle name="Normal 2 9 5 10" xfId="15358"/>
    <cellStyle name="Normal 2 9 5 11" xfId="17111"/>
    <cellStyle name="Normal 2 9 5 12" xfId="18863"/>
    <cellStyle name="Normal 2 9 5 13" xfId="20616"/>
    <cellStyle name="Normal 2 9 5 14" xfId="22368"/>
    <cellStyle name="Normal 2 9 5 15" xfId="24120"/>
    <cellStyle name="Normal 2 9 5 16" xfId="25872"/>
    <cellStyle name="Normal 2 9 5 17" xfId="27624"/>
    <cellStyle name="Normal 2 9 5 18" xfId="29377"/>
    <cellStyle name="Normal 2 9 5 19" xfId="31129"/>
    <cellStyle name="Normal 2 9 5 2" xfId="1206"/>
    <cellStyle name="Normal 2 9 5 2 10" xfId="17987"/>
    <cellStyle name="Normal 2 9 5 2 11" xfId="19739"/>
    <cellStyle name="Normal 2 9 5 2 12" xfId="21492"/>
    <cellStyle name="Normal 2 9 5 2 13" xfId="23244"/>
    <cellStyle name="Normal 2 9 5 2 14" xfId="24996"/>
    <cellStyle name="Normal 2 9 5 2 15" xfId="26748"/>
    <cellStyle name="Normal 2 9 5 2 16" xfId="28500"/>
    <cellStyle name="Normal 2 9 5 2 17" xfId="30253"/>
    <cellStyle name="Normal 2 9 5 2 18" xfId="32005"/>
    <cellStyle name="Normal 2 9 5 2 19" xfId="33758"/>
    <cellStyle name="Normal 2 9 5 2 2" xfId="3969"/>
    <cellStyle name="Normal 2 9 5 2 20" xfId="36394"/>
    <cellStyle name="Normal 2 9 5 2 21" xfId="38134"/>
    <cellStyle name="Normal 2 9 5 2 22" xfId="39887"/>
    <cellStyle name="Normal 2 9 5 2 23" xfId="41642"/>
    <cellStyle name="Normal 2 9 5 2 24" xfId="43394"/>
    <cellStyle name="Normal 2 9 5 2 25" xfId="46012"/>
    <cellStyle name="Normal 2 9 5 2 26" xfId="47764"/>
    <cellStyle name="Normal 2 9 5 2 27" xfId="49516"/>
    <cellStyle name="Normal 2 9 5 2 28" xfId="51268"/>
    <cellStyle name="Normal 2 9 5 2 29" xfId="53020"/>
    <cellStyle name="Normal 2 9 5 2 3" xfId="5721"/>
    <cellStyle name="Normal 2 9 5 2 30" xfId="54772"/>
    <cellStyle name="Normal 2 9 5 2 31" xfId="56524"/>
    <cellStyle name="Normal 2 9 5 2 32" xfId="58277"/>
    <cellStyle name="Normal 2 9 5 2 33" xfId="60029"/>
    <cellStyle name="Normal 2 9 5 2 34" xfId="61781"/>
    <cellStyle name="Normal 2 9 5 2 4" xfId="7473"/>
    <cellStyle name="Normal 2 9 5 2 5" xfId="9225"/>
    <cellStyle name="Normal 2 9 5 2 6" xfId="10978"/>
    <cellStyle name="Normal 2 9 5 2 7" xfId="12730"/>
    <cellStyle name="Normal 2 9 5 2 8" xfId="14482"/>
    <cellStyle name="Normal 2 9 5 2 9" xfId="16234"/>
    <cellStyle name="Normal 2 9 5 20" xfId="32882"/>
    <cellStyle name="Normal 2 9 5 21" xfId="34540"/>
    <cellStyle name="Normal 2 9 5 22" xfId="35518"/>
    <cellStyle name="Normal 2 9 5 23" xfId="37161"/>
    <cellStyle name="Normal 2 9 5 24" xfId="39011"/>
    <cellStyle name="Normal 2 9 5 25" xfId="40766"/>
    <cellStyle name="Normal 2 9 5 26" xfId="42518"/>
    <cellStyle name="Normal 2 9 5 27" xfId="44161"/>
    <cellStyle name="Normal 2 9 5 28" xfId="45136"/>
    <cellStyle name="Normal 2 9 5 29" xfId="46888"/>
    <cellStyle name="Normal 2 9 5 3" xfId="3093"/>
    <cellStyle name="Normal 2 9 5 30" xfId="48640"/>
    <cellStyle name="Normal 2 9 5 31" xfId="50392"/>
    <cellStyle name="Normal 2 9 5 32" xfId="52144"/>
    <cellStyle name="Normal 2 9 5 33" xfId="53896"/>
    <cellStyle name="Normal 2 9 5 34" xfId="55648"/>
    <cellStyle name="Normal 2 9 5 35" xfId="57401"/>
    <cellStyle name="Normal 2 9 5 36" xfId="59153"/>
    <cellStyle name="Normal 2 9 5 37" xfId="60905"/>
    <cellStyle name="Normal 2 9 5 38" xfId="62548"/>
    <cellStyle name="Normal 2 9 5 39" xfId="63414"/>
    <cellStyle name="Normal 2 9 5 4" xfId="4845"/>
    <cellStyle name="Normal 2 9 5 5" xfId="6597"/>
    <cellStyle name="Normal 2 9 5 6" xfId="8349"/>
    <cellStyle name="Normal 2 9 5 7" xfId="10102"/>
    <cellStyle name="Normal 2 9 5 8" xfId="11854"/>
    <cellStyle name="Normal 2 9 5 9" xfId="13606"/>
    <cellStyle name="Normal 2 9 6" xfId="1207"/>
    <cellStyle name="Normal 2 9 6 10" xfId="17551"/>
    <cellStyle name="Normal 2 9 6 11" xfId="19303"/>
    <cellStyle name="Normal 2 9 6 12" xfId="21056"/>
    <cellStyle name="Normal 2 9 6 13" xfId="22808"/>
    <cellStyle name="Normal 2 9 6 14" xfId="24560"/>
    <cellStyle name="Normal 2 9 6 15" xfId="26312"/>
    <cellStyle name="Normal 2 9 6 16" xfId="28064"/>
    <cellStyle name="Normal 2 9 6 17" xfId="29817"/>
    <cellStyle name="Normal 2 9 6 18" xfId="31569"/>
    <cellStyle name="Normal 2 9 6 19" xfId="33322"/>
    <cellStyle name="Normal 2 9 6 2" xfId="3533"/>
    <cellStyle name="Normal 2 9 6 20" xfId="35958"/>
    <cellStyle name="Normal 2 9 6 21" xfId="37699"/>
    <cellStyle name="Normal 2 9 6 22" xfId="39451"/>
    <cellStyle name="Normal 2 9 6 23" xfId="41206"/>
    <cellStyle name="Normal 2 9 6 24" xfId="42958"/>
    <cellStyle name="Normal 2 9 6 25" xfId="45576"/>
    <cellStyle name="Normal 2 9 6 26" xfId="47328"/>
    <cellStyle name="Normal 2 9 6 27" xfId="49080"/>
    <cellStyle name="Normal 2 9 6 28" xfId="50832"/>
    <cellStyle name="Normal 2 9 6 29" xfId="52584"/>
    <cellStyle name="Normal 2 9 6 3" xfId="5285"/>
    <cellStyle name="Normal 2 9 6 30" xfId="54336"/>
    <cellStyle name="Normal 2 9 6 31" xfId="56088"/>
    <cellStyle name="Normal 2 9 6 32" xfId="57841"/>
    <cellStyle name="Normal 2 9 6 33" xfId="59593"/>
    <cellStyle name="Normal 2 9 6 34" xfId="61345"/>
    <cellStyle name="Normal 2 9 6 4" xfId="7037"/>
    <cellStyle name="Normal 2 9 6 5" xfId="8789"/>
    <cellStyle name="Normal 2 9 6 6" xfId="10542"/>
    <cellStyle name="Normal 2 9 6 7" xfId="12294"/>
    <cellStyle name="Normal 2 9 6 8" xfId="14046"/>
    <cellStyle name="Normal 2 9 6 9" xfId="15798"/>
    <cellStyle name="Normal 2 9 7" xfId="2630"/>
    <cellStyle name="Normal 2 9 8" xfId="4409"/>
    <cellStyle name="Normal 2 9 9" xfId="6161"/>
    <cellStyle name="Normal 20" xfId="1208"/>
    <cellStyle name="Normal 21" xfId="1209"/>
    <cellStyle name="Normal 22" xfId="1210"/>
    <cellStyle name="Normal 23" xfId="1211"/>
    <cellStyle name="Normal 24" xfId="1212"/>
    <cellStyle name="Normal 25" xfId="1213"/>
    <cellStyle name="Normal 26" xfId="1214"/>
    <cellStyle name="Normal 26 10" xfId="7914"/>
    <cellStyle name="Normal 26 11" xfId="9667"/>
    <cellStyle name="Normal 26 12" xfId="11419"/>
    <cellStyle name="Normal 26 13" xfId="13171"/>
    <cellStyle name="Normal 26 14" xfId="14923"/>
    <cellStyle name="Normal 26 15" xfId="16676"/>
    <cellStyle name="Normal 26 16" xfId="18428"/>
    <cellStyle name="Normal 26 17" xfId="20181"/>
    <cellStyle name="Normal 26 18" xfId="21933"/>
    <cellStyle name="Normal 26 19" xfId="23685"/>
    <cellStyle name="Normal 26 2" xfId="1215"/>
    <cellStyle name="Normal 26 2 10" xfId="9722"/>
    <cellStyle name="Normal 26 2 11" xfId="11474"/>
    <cellStyle name="Normal 26 2 12" xfId="13226"/>
    <cellStyle name="Normal 26 2 13" xfId="14978"/>
    <cellStyle name="Normal 26 2 14" xfId="16731"/>
    <cellStyle name="Normal 26 2 15" xfId="18483"/>
    <cellStyle name="Normal 26 2 16" xfId="20236"/>
    <cellStyle name="Normal 26 2 17" xfId="21988"/>
    <cellStyle name="Normal 26 2 18" xfId="23740"/>
    <cellStyle name="Normal 26 2 19" xfId="25492"/>
    <cellStyle name="Normal 26 2 2" xfId="1216"/>
    <cellStyle name="Normal 26 2 2 10" xfId="11582"/>
    <cellStyle name="Normal 26 2 2 11" xfId="13334"/>
    <cellStyle name="Normal 26 2 2 12" xfId="15086"/>
    <cellStyle name="Normal 26 2 2 13" xfId="16839"/>
    <cellStyle name="Normal 26 2 2 14" xfId="18591"/>
    <cellStyle name="Normal 26 2 2 15" xfId="20344"/>
    <cellStyle name="Normal 26 2 2 16" xfId="22096"/>
    <cellStyle name="Normal 26 2 2 17" xfId="23848"/>
    <cellStyle name="Normal 26 2 2 18" xfId="25600"/>
    <cellStyle name="Normal 26 2 2 19" xfId="27352"/>
    <cellStyle name="Normal 26 2 2 2" xfId="1217"/>
    <cellStyle name="Normal 26 2 2 2 10" xfId="13450"/>
    <cellStyle name="Normal 26 2 2 2 11" xfId="15202"/>
    <cellStyle name="Normal 26 2 2 2 12" xfId="16955"/>
    <cellStyle name="Normal 26 2 2 2 13" xfId="18707"/>
    <cellStyle name="Normal 26 2 2 2 14" xfId="20460"/>
    <cellStyle name="Normal 26 2 2 2 15" xfId="22212"/>
    <cellStyle name="Normal 26 2 2 2 16" xfId="23964"/>
    <cellStyle name="Normal 26 2 2 2 17" xfId="25716"/>
    <cellStyle name="Normal 26 2 2 2 18" xfId="27468"/>
    <cellStyle name="Normal 26 2 2 2 19" xfId="29221"/>
    <cellStyle name="Normal 26 2 2 2 2" xfId="1218"/>
    <cellStyle name="Normal 26 2 2 2 2 10" xfId="15638"/>
    <cellStyle name="Normal 26 2 2 2 2 11" xfId="17391"/>
    <cellStyle name="Normal 26 2 2 2 2 12" xfId="19143"/>
    <cellStyle name="Normal 26 2 2 2 2 13" xfId="20896"/>
    <cellStyle name="Normal 26 2 2 2 2 14" xfId="22648"/>
    <cellStyle name="Normal 26 2 2 2 2 15" xfId="24400"/>
    <cellStyle name="Normal 26 2 2 2 2 16" xfId="26152"/>
    <cellStyle name="Normal 26 2 2 2 2 17" xfId="27904"/>
    <cellStyle name="Normal 26 2 2 2 2 18" xfId="29657"/>
    <cellStyle name="Normal 26 2 2 2 2 19" xfId="31409"/>
    <cellStyle name="Normal 26 2 2 2 2 2" xfId="1219"/>
    <cellStyle name="Normal 26 2 2 2 2 2 10" xfId="18267"/>
    <cellStyle name="Normal 26 2 2 2 2 2 11" xfId="20019"/>
    <cellStyle name="Normal 26 2 2 2 2 2 12" xfId="21772"/>
    <cellStyle name="Normal 26 2 2 2 2 2 13" xfId="23524"/>
    <cellStyle name="Normal 26 2 2 2 2 2 14" xfId="25276"/>
    <cellStyle name="Normal 26 2 2 2 2 2 15" xfId="27028"/>
    <cellStyle name="Normal 26 2 2 2 2 2 16" xfId="28780"/>
    <cellStyle name="Normal 26 2 2 2 2 2 17" xfId="30533"/>
    <cellStyle name="Normal 26 2 2 2 2 2 18" xfId="32285"/>
    <cellStyle name="Normal 26 2 2 2 2 2 19" xfId="34038"/>
    <cellStyle name="Normal 26 2 2 2 2 2 2" xfId="4249"/>
    <cellStyle name="Normal 26 2 2 2 2 2 20" xfId="36674"/>
    <cellStyle name="Normal 26 2 2 2 2 2 21" xfId="38414"/>
    <cellStyle name="Normal 26 2 2 2 2 2 22" xfId="40167"/>
    <cellStyle name="Normal 26 2 2 2 2 2 23" xfId="41922"/>
    <cellStyle name="Normal 26 2 2 2 2 2 24" xfId="43674"/>
    <cellStyle name="Normal 26 2 2 2 2 2 25" xfId="46292"/>
    <cellStyle name="Normal 26 2 2 2 2 2 26" xfId="48044"/>
    <cellStyle name="Normal 26 2 2 2 2 2 27" xfId="49796"/>
    <cellStyle name="Normal 26 2 2 2 2 2 28" xfId="51548"/>
    <cellStyle name="Normal 26 2 2 2 2 2 29" xfId="53300"/>
    <cellStyle name="Normal 26 2 2 2 2 2 3" xfId="6001"/>
    <cellStyle name="Normal 26 2 2 2 2 2 30" xfId="55052"/>
    <cellStyle name="Normal 26 2 2 2 2 2 31" xfId="56804"/>
    <cellStyle name="Normal 26 2 2 2 2 2 32" xfId="58557"/>
    <cellStyle name="Normal 26 2 2 2 2 2 33" xfId="60309"/>
    <cellStyle name="Normal 26 2 2 2 2 2 34" xfId="62061"/>
    <cellStyle name="Normal 26 2 2 2 2 2 4" xfId="7753"/>
    <cellStyle name="Normal 26 2 2 2 2 2 5" xfId="9505"/>
    <cellStyle name="Normal 26 2 2 2 2 2 6" xfId="11258"/>
    <cellStyle name="Normal 26 2 2 2 2 2 7" xfId="13010"/>
    <cellStyle name="Normal 26 2 2 2 2 2 8" xfId="14762"/>
    <cellStyle name="Normal 26 2 2 2 2 2 9" xfId="16514"/>
    <cellStyle name="Normal 26 2 2 2 2 20" xfId="33162"/>
    <cellStyle name="Normal 26 2 2 2 2 21" xfId="34545"/>
    <cellStyle name="Normal 26 2 2 2 2 22" xfId="35798"/>
    <cellStyle name="Normal 26 2 2 2 2 23" xfId="37166"/>
    <cellStyle name="Normal 26 2 2 2 2 24" xfId="39291"/>
    <cellStyle name="Normal 26 2 2 2 2 25" xfId="41046"/>
    <cellStyle name="Normal 26 2 2 2 2 26" xfId="42798"/>
    <cellStyle name="Normal 26 2 2 2 2 27" xfId="44166"/>
    <cellStyle name="Normal 26 2 2 2 2 28" xfId="45416"/>
    <cellStyle name="Normal 26 2 2 2 2 29" xfId="47168"/>
    <cellStyle name="Normal 26 2 2 2 2 3" xfId="3373"/>
    <cellStyle name="Normal 26 2 2 2 2 30" xfId="48920"/>
    <cellStyle name="Normal 26 2 2 2 2 31" xfId="50672"/>
    <cellStyle name="Normal 26 2 2 2 2 32" xfId="52424"/>
    <cellStyle name="Normal 26 2 2 2 2 33" xfId="54176"/>
    <cellStyle name="Normal 26 2 2 2 2 34" xfId="55928"/>
    <cellStyle name="Normal 26 2 2 2 2 35" xfId="57681"/>
    <cellStyle name="Normal 26 2 2 2 2 36" xfId="59433"/>
    <cellStyle name="Normal 26 2 2 2 2 37" xfId="61185"/>
    <cellStyle name="Normal 26 2 2 2 2 38" xfId="62553"/>
    <cellStyle name="Normal 26 2 2 2 2 39" xfId="63419"/>
    <cellStyle name="Normal 26 2 2 2 2 4" xfId="5125"/>
    <cellStyle name="Normal 26 2 2 2 2 5" xfId="6877"/>
    <cellStyle name="Normal 26 2 2 2 2 6" xfId="8629"/>
    <cellStyle name="Normal 26 2 2 2 2 7" xfId="10382"/>
    <cellStyle name="Normal 26 2 2 2 2 8" xfId="12134"/>
    <cellStyle name="Normal 26 2 2 2 2 9" xfId="13886"/>
    <cellStyle name="Normal 26 2 2 2 20" xfId="30973"/>
    <cellStyle name="Normal 26 2 2 2 21" xfId="32726"/>
    <cellStyle name="Normal 26 2 2 2 22" xfId="34544"/>
    <cellStyle name="Normal 26 2 2 2 23" xfId="35362"/>
    <cellStyle name="Normal 26 2 2 2 24" xfId="37165"/>
    <cellStyle name="Normal 26 2 2 2 25" xfId="38855"/>
    <cellStyle name="Normal 26 2 2 2 26" xfId="40610"/>
    <cellStyle name="Normal 26 2 2 2 27" xfId="42362"/>
    <cellStyle name="Normal 26 2 2 2 28" xfId="44165"/>
    <cellStyle name="Normal 26 2 2 2 29" xfId="44980"/>
    <cellStyle name="Normal 26 2 2 2 3" xfId="1220"/>
    <cellStyle name="Normal 26 2 2 2 3 10" xfId="17831"/>
    <cellStyle name="Normal 26 2 2 2 3 11" xfId="19583"/>
    <cellStyle name="Normal 26 2 2 2 3 12" xfId="21336"/>
    <cellStyle name="Normal 26 2 2 2 3 13" xfId="23088"/>
    <cellStyle name="Normal 26 2 2 2 3 14" xfId="24840"/>
    <cellStyle name="Normal 26 2 2 2 3 15" xfId="26592"/>
    <cellStyle name="Normal 26 2 2 2 3 16" xfId="28344"/>
    <cellStyle name="Normal 26 2 2 2 3 17" xfId="30097"/>
    <cellStyle name="Normal 26 2 2 2 3 18" xfId="31849"/>
    <cellStyle name="Normal 26 2 2 2 3 19" xfId="33602"/>
    <cellStyle name="Normal 26 2 2 2 3 2" xfId="3813"/>
    <cellStyle name="Normal 26 2 2 2 3 20" xfId="36238"/>
    <cellStyle name="Normal 26 2 2 2 3 21" xfId="37978"/>
    <cellStyle name="Normal 26 2 2 2 3 22" xfId="39731"/>
    <cellStyle name="Normal 26 2 2 2 3 23" xfId="41486"/>
    <cellStyle name="Normal 26 2 2 2 3 24" xfId="43238"/>
    <cellStyle name="Normal 26 2 2 2 3 25" xfId="45856"/>
    <cellStyle name="Normal 26 2 2 2 3 26" xfId="47608"/>
    <cellStyle name="Normal 26 2 2 2 3 27" xfId="49360"/>
    <cellStyle name="Normal 26 2 2 2 3 28" xfId="51112"/>
    <cellStyle name="Normal 26 2 2 2 3 29" xfId="52864"/>
    <cellStyle name="Normal 26 2 2 2 3 3" xfId="5565"/>
    <cellStyle name="Normal 26 2 2 2 3 30" xfId="54616"/>
    <cellStyle name="Normal 26 2 2 2 3 31" xfId="56368"/>
    <cellStyle name="Normal 26 2 2 2 3 32" xfId="58121"/>
    <cellStyle name="Normal 26 2 2 2 3 33" xfId="59873"/>
    <cellStyle name="Normal 26 2 2 2 3 34" xfId="61625"/>
    <cellStyle name="Normal 26 2 2 2 3 4" xfId="7317"/>
    <cellStyle name="Normal 26 2 2 2 3 5" xfId="9069"/>
    <cellStyle name="Normal 26 2 2 2 3 6" xfId="10822"/>
    <cellStyle name="Normal 26 2 2 2 3 7" xfId="12574"/>
    <cellStyle name="Normal 26 2 2 2 3 8" xfId="14326"/>
    <cellStyle name="Normal 26 2 2 2 3 9" xfId="16078"/>
    <cellStyle name="Normal 26 2 2 2 30" xfId="46732"/>
    <cellStyle name="Normal 26 2 2 2 31" xfId="48484"/>
    <cellStyle name="Normal 26 2 2 2 32" xfId="50236"/>
    <cellStyle name="Normal 26 2 2 2 33" xfId="51988"/>
    <cellStyle name="Normal 26 2 2 2 34" xfId="53740"/>
    <cellStyle name="Normal 26 2 2 2 35" xfId="55492"/>
    <cellStyle name="Normal 26 2 2 2 36" xfId="57245"/>
    <cellStyle name="Normal 26 2 2 2 37" xfId="58997"/>
    <cellStyle name="Normal 26 2 2 2 38" xfId="60749"/>
    <cellStyle name="Normal 26 2 2 2 39" xfId="62552"/>
    <cellStyle name="Normal 26 2 2 2 4" xfId="2937"/>
    <cellStyle name="Normal 26 2 2 2 40" xfId="63418"/>
    <cellStyle name="Normal 26 2 2 2 5" xfId="4689"/>
    <cellStyle name="Normal 26 2 2 2 6" xfId="6441"/>
    <cellStyle name="Normal 26 2 2 2 7" xfId="8193"/>
    <cellStyle name="Normal 26 2 2 2 8" xfId="9946"/>
    <cellStyle name="Normal 26 2 2 2 9" xfId="11698"/>
    <cellStyle name="Normal 26 2 2 20" xfId="29105"/>
    <cellStyle name="Normal 26 2 2 21" xfId="30857"/>
    <cellStyle name="Normal 26 2 2 22" xfId="32610"/>
    <cellStyle name="Normal 26 2 2 23" xfId="34543"/>
    <cellStyle name="Normal 26 2 2 24" xfId="35246"/>
    <cellStyle name="Normal 26 2 2 25" xfId="37164"/>
    <cellStyle name="Normal 26 2 2 26" xfId="38739"/>
    <cellStyle name="Normal 26 2 2 27" xfId="40494"/>
    <cellStyle name="Normal 26 2 2 28" xfId="42246"/>
    <cellStyle name="Normal 26 2 2 29" xfId="44164"/>
    <cellStyle name="Normal 26 2 2 3" xfId="1221"/>
    <cellStyle name="Normal 26 2 2 3 10" xfId="15522"/>
    <cellStyle name="Normal 26 2 2 3 11" xfId="17275"/>
    <cellStyle name="Normal 26 2 2 3 12" xfId="19027"/>
    <cellStyle name="Normal 26 2 2 3 13" xfId="20780"/>
    <cellStyle name="Normal 26 2 2 3 14" xfId="22532"/>
    <cellStyle name="Normal 26 2 2 3 15" xfId="24284"/>
    <cellStyle name="Normal 26 2 2 3 16" xfId="26036"/>
    <cellStyle name="Normal 26 2 2 3 17" xfId="27788"/>
    <cellStyle name="Normal 26 2 2 3 18" xfId="29541"/>
    <cellStyle name="Normal 26 2 2 3 19" xfId="31293"/>
    <cellStyle name="Normal 26 2 2 3 2" xfId="1222"/>
    <cellStyle name="Normal 26 2 2 3 2 10" xfId="18151"/>
    <cellStyle name="Normal 26 2 2 3 2 11" xfId="19903"/>
    <cellStyle name="Normal 26 2 2 3 2 12" xfId="21656"/>
    <cellStyle name="Normal 26 2 2 3 2 13" xfId="23408"/>
    <cellStyle name="Normal 26 2 2 3 2 14" xfId="25160"/>
    <cellStyle name="Normal 26 2 2 3 2 15" xfId="26912"/>
    <cellStyle name="Normal 26 2 2 3 2 16" xfId="28664"/>
    <cellStyle name="Normal 26 2 2 3 2 17" xfId="30417"/>
    <cellStyle name="Normal 26 2 2 3 2 18" xfId="32169"/>
    <cellStyle name="Normal 26 2 2 3 2 19" xfId="33922"/>
    <cellStyle name="Normal 26 2 2 3 2 2" xfId="4133"/>
    <cellStyle name="Normal 26 2 2 3 2 20" xfId="36558"/>
    <cellStyle name="Normal 26 2 2 3 2 21" xfId="38298"/>
    <cellStyle name="Normal 26 2 2 3 2 22" xfId="40051"/>
    <cellStyle name="Normal 26 2 2 3 2 23" xfId="41806"/>
    <cellStyle name="Normal 26 2 2 3 2 24" xfId="43558"/>
    <cellStyle name="Normal 26 2 2 3 2 25" xfId="46176"/>
    <cellStyle name="Normal 26 2 2 3 2 26" xfId="47928"/>
    <cellStyle name="Normal 26 2 2 3 2 27" xfId="49680"/>
    <cellStyle name="Normal 26 2 2 3 2 28" xfId="51432"/>
    <cellStyle name="Normal 26 2 2 3 2 29" xfId="53184"/>
    <cellStyle name="Normal 26 2 2 3 2 3" xfId="5885"/>
    <cellStyle name="Normal 26 2 2 3 2 30" xfId="54936"/>
    <cellStyle name="Normal 26 2 2 3 2 31" xfId="56688"/>
    <cellStyle name="Normal 26 2 2 3 2 32" xfId="58441"/>
    <cellStyle name="Normal 26 2 2 3 2 33" xfId="60193"/>
    <cellStyle name="Normal 26 2 2 3 2 34" xfId="61945"/>
    <cellStyle name="Normal 26 2 2 3 2 4" xfId="7637"/>
    <cellStyle name="Normal 26 2 2 3 2 5" xfId="9389"/>
    <cellStyle name="Normal 26 2 2 3 2 6" xfId="11142"/>
    <cellStyle name="Normal 26 2 2 3 2 7" xfId="12894"/>
    <cellStyle name="Normal 26 2 2 3 2 8" xfId="14646"/>
    <cellStyle name="Normal 26 2 2 3 2 9" xfId="16398"/>
    <cellStyle name="Normal 26 2 2 3 20" xfId="33046"/>
    <cellStyle name="Normal 26 2 2 3 21" xfId="34546"/>
    <cellStyle name="Normal 26 2 2 3 22" xfId="35682"/>
    <cellStyle name="Normal 26 2 2 3 23" xfId="37167"/>
    <cellStyle name="Normal 26 2 2 3 24" xfId="39175"/>
    <cellStyle name="Normal 26 2 2 3 25" xfId="40930"/>
    <cellStyle name="Normal 26 2 2 3 26" xfId="42682"/>
    <cellStyle name="Normal 26 2 2 3 27" xfId="44167"/>
    <cellStyle name="Normal 26 2 2 3 28" xfId="45300"/>
    <cellStyle name="Normal 26 2 2 3 29" xfId="47052"/>
    <cellStyle name="Normal 26 2 2 3 3" xfId="3257"/>
    <cellStyle name="Normal 26 2 2 3 30" xfId="48804"/>
    <cellStyle name="Normal 26 2 2 3 31" xfId="50556"/>
    <cellStyle name="Normal 26 2 2 3 32" xfId="52308"/>
    <cellStyle name="Normal 26 2 2 3 33" xfId="54060"/>
    <cellStyle name="Normal 26 2 2 3 34" xfId="55812"/>
    <cellStyle name="Normal 26 2 2 3 35" xfId="57565"/>
    <cellStyle name="Normal 26 2 2 3 36" xfId="59317"/>
    <cellStyle name="Normal 26 2 2 3 37" xfId="61069"/>
    <cellStyle name="Normal 26 2 2 3 38" xfId="62554"/>
    <cellStyle name="Normal 26 2 2 3 39" xfId="63420"/>
    <cellStyle name="Normal 26 2 2 3 4" xfId="5009"/>
    <cellStyle name="Normal 26 2 2 3 5" xfId="6761"/>
    <cellStyle name="Normal 26 2 2 3 6" xfId="8513"/>
    <cellStyle name="Normal 26 2 2 3 7" xfId="10266"/>
    <cellStyle name="Normal 26 2 2 3 8" xfId="12018"/>
    <cellStyle name="Normal 26 2 2 3 9" xfId="13770"/>
    <cellStyle name="Normal 26 2 2 30" xfId="44864"/>
    <cellStyle name="Normal 26 2 2 31" xfId="46616"/>
    <cellStyle name="Normal 26 2 2 32" xfId="48368"/>
    <cellStyle name="Normal 26 2 2 33" xfId="50120"/>
    <cellStyle name="Normal 26 2 2 34" xfId="51872"/>
    <cellStyle name="Normal 26 2 2 35" xfId="53624"/>
    <cellStyle name="Normal 26 2 2 36" xfId="55376"/>
    <cellStyle name="Normal 26 2 2 37" xfId="57129"/>
    <cellStyle name="Normal 26 2 2 38" xfId="58881"/>
    <cellStyle name="Normal 26 2 2 39" xfId="60633"/>
    <cellStyle name="Normal 26 2 2 4" xfId="1223"/>
    <cellStyle name="Normal 26 2 2 4 10" xfId="17715"/>
    <cellStyle name="Normal 26 2 2 4 11" xfId="19467"/>
    <cellStyle name="Normal 26 2 2 4 12" xfId="21220"/>
    <cellStyle name="Normal 26 2 2 4 13" xfId="22972"/>
    <cellStyle name="Normal 26 2 2 4 14" xfId="24724"/>
    <cellStyle name="Normal 26 2 2 4 15" xfId="26476"/>
    <cellStyle name="Normal 26 2 2 4 16" xfId="28228"/>
    <cellStyle name="Normal 26 2 2 4 17" xfId="29981"/>
    <cellStyle name="Normal 26 2 2 4 18" xfId="31733"/>
    <cellStyle name="Normal 26 2 2 4 19" xfId="33486"/>
    <cellStyle name="Normal 26 2 2 4 2" xfId="3697"/>
    <cellStyle name="Normal 26 2 2 4 20" xfId="36122"/>
    <cellStyle name="Normal 26 2 2 4 21" xfId="37862"/>
    <cellStyle name="Normal 26 2 2 4 22" xfId="39615"/>
    <cellStyle name="Normal 26 2 2 4 23" xfId="41370"/>
    <cellStyle name="Normal 26 2 2 4 24" xfId="43122"/>
    <cellStyle name="Normal 26 2 2 4 25" xfId="45740"/>
    <cellStyle name="Normal 26 2 2 4 26" xfId="47492"/>
    <cellStyle name="Normal 26 2 2 4 27" xfId="49244"/>
    <cellStyle name="Normal 26 2 2 4 28" xfId="50996"/>
    <cellStyle name="Normal 26 2 2 4 29" xfId="52748"/>
    <cellStyle name="Normal 26 2 2 4 3" xfId="5449"/>
    <cellStyle name="Normal 26 2 2 4 30" xfId="54500"/>
    <cellStyle name="Normal 26 2 2 4 31" xfId="56252"/>
    <cellStyle name="Normal 26 2 2 4 32" xfId="58005"/>
    <cellStyle name="Normal 26 2 2 4 33" xfId="59757"/>
    <cellStyle name="Normal 26 2 2 4 34" xfId="61509"/>
    <cellStyle name="Normal 26 2 2 4 4" xfId="7201"/>
    <cellStyle name="Normal 26 2 2 4 5" xfId="8953"/>
    <cellStyle name="Normal 26 2 2 4 6" xfId="10706"/>
    <cellStyle name="Normal 26 2 2 4 7" xfId="12458"/>
    <cellStyle name="Normal 26 2 2 4 8" xfId="14210"/>
    <cellStyle name="Normal 26 2 2 4 9" xfId="15962"/>
    <cellStyle name="Normal 26 2 2 40" xfId="62551"/>
    <cellStyle name="Normal 26 2 2 41" xfId="63417"/>
    <cellStyle name="Normal 26 2 2 5" xfId="2821"/>
    <cellStyle name="Normal 26 2 2 6" xfId="4573"/>
    <cellStyle name="Normal 26 2 2 7" xfId="6325"/>
    <cellStyle name="Normal 26 2 2 8" xfId="8077"/>
    <cellStyle name="Normal 26 2 2 9" xfId="9830"/>
    <cellStyle name="Normal 26 2 20" xfId="27244"/>
    <cellStyle name="Normal 26 2 21" xfId="28997"/>
    <cellStyle name="Normal 26 2 22" xfId="30749"/>
    <cellStyle name="Normal 26 2 23" xfId="32502"/>
    <cellStyle name="Normal 26 2 24" xfId="34542"/>
    <cellStyle name="Normal 26 2 25" xfId="35138"/>
    <cellStyle name="Normal 26 2 26" xfId="37163"/>
    <cellStyle name="Normal 26 2 27" xfId="38631"/>
    <cellStyle name="Normal 26 2 28" xfId="40386"/>
    <cellStyle name="Normal 26 2 29" xfId="42138"/>
    <cellStyle name="Normal 26 2 3" xfId="1224"/>
    <cellStyle name="Normal 26 2 3 10" xfId="13451"/>
    <cellStyle name="Normal 26 2 3 11" xfId="15203"/>
    <cellStyle name="Normal 26 2 3 12" xfId="16956"/>
    <cellStyle name="Normal 26 2 3 13" xfId="18708"/>
    <cellStyle name="Normal 26 2 3 14" xfId="20461"/>
    <cellStyle name="Normal 26 2 3 15" xfId="22213"/>
    <cellStyle name="Normal 26 2 3 16" xfId="23965"/>
    <cellStyle name="Normal 26 2 3 17" xfId="25717"/>
    <cellStyle name="Normal 26 2 3 18" xfId="27469"/>
    <cellStyle name="Normal 26 2 3 19" xfId="29222"/>
    <cellStyle name="Normal 26 2 3 2" xfId="1225"/>
    <cellStyle name="Normal 26 2 3 2 10" xfId="15639"/>
    <cellStyle name="Normal 26 2 3 2 11" xfId="17392"/>
    <cellStyle name="Normal 26 2 3 2 12" xfId="19144"/>
    <cellStyle name="Normal 26 2 3 2 13" xfId="20897"/>
    <cellStyle name="Normal 26 2 3 2 14" xfId="22649"/>
    <cellStyle name="Normal 26 2 3 2 15" xfId="24401"/>
    <cellStyle name="Normal 26 2 3 2 16" xfId="26153"/>
    <cellStyle name="Normal 26 2 3 2 17" xfId="27905"/>
    <cellStyle name="Normal 26 2 3 2 18" xfId="29658"/>
    <cellStyle name="Normal 26 2 3 2 19" xfId="31410"/>
    <cellStyle name="Normal 26 2 3 2 2" xfId="1226"/>
    <cellStyle name="Normal 26 2 3 2 2 10" xfId="18268"/>
    <cellStyle name="Normal 26 2 3 2 2 11" xfId="20020"/>
    <cellStyle name="Normal 26 2 3 2 2 12" xfId="21773"/>
    <cellStyle name="Normal 26 2 3 2 2 13" xfId="23525"/>
    <cellStyle name="Normal 26 2 3 2 2 14" xfId="25277"/>
    <cellStyle name="Normal 26 2 3 2 2 15" xfId="27029"/>
    <cellStyle name="Normal 26 2 3 2 2 16" xfId="28781"/>
    <cellStyle name="Normal 26 2 3 2 2 17" xfId="30534"/>
    <cellStyle name="Normal 26 2 3 2 2 18" xfId="32286"/>
    <cellStyle name="Normal 26 2 3 2 2 19" xfId="34039"/>
    <cellStyle name="Normal 26 2 3 2 2 2" xfId="4250"/>
    <cellStyle name="Normal 26 2 3 2 2 20" xfId="36675"/>
    <cellStyle name="Normal 26 2 3 2 2 21" xfId="38415"/>
    <cellStyle name="Normal 26 2 3 2 2 22" xfId="40168"/>
    <cellStyle name="Normal 26 2 3 2 2 23" xfId="41923"/>
    <cellStyle name="Normal 26 2 3 2 2 24" xfId="43675"/>
    <cellStyle name="Normal 26 2 3 2 2 25" xfId="46293"/>
    <cellStyle name="Normal 26 2 3 2 2 26" xfId="48045"/>
    <cellStyle name="Normal 26 2 3 2 2 27" xfId="49797"/>
    <cellStyle name="Normal 26 2 3 2 2 28" xfId="51549"/>
    <cellStyle name="Normal 26 2 3 2 2 29" xfId="53301"/>
    <cellStyle name="Normal 26 2 3 2 2 3" xfId="6002"/>
    <cellStyle name="Normal 26 2 3 2 2 30" xfId="55053"/>
    <cellStyle name="Normal 26 2 3 2 2 31" xfId="56805"/>
    <cellStyle name="Normal 26 2 3 2 2 32" xfId="58558"/>
    <cellStyle name="Normal 26 2 3 2 2 33" xfId="60310"/>
    <cellStyle name="Normal 26 2 3 2 2 34" xfId="62062"/>
    <cellStyle name="Normal 26 2 3 2 2 4" xfId="7754"/>
    <cellStyle name="Normal 26 2 3 2 2 5" xfId="9506"/>
    <cellStyle name="Normal 26 2 3 2 2 6" xfId="11259"/>
    <cellStyle name="Normal 26 2 3 2 2 7" xfId="13011"/>
    <cellStyle name="Normal 26 2 3 2 2 8" xfId="14763"/>
    <cellStyle name="Normal 26 2 3 2 2 9" xfId="16515"/>
    <cellStyle name="Normal 26 2 3 2 20" xfId="33163"/>
    <cellStyle name="Normal 26 2 3 2 21" xfId="34548"/>
    <cellStyle name="Normal 26 2 3 2 22" xfId="35799"/>
    <cellStyle name="Normal 26 2 3 2 23" xfId="37169"/>
    <cellStyle name="Normal 26 2 3 2 24" xfId="39292"/>
    <cellStyle name="Normal 26 2 3 2 25" xfId="41047"/>
    <cellStyle name="Normal 26 2 3 2 26" xfId="42799"/>
    <cellStyle name="Normal 26 2 3 2 27" xfId="44169"/>
    <cellStyle name="Normal 26 2 3 2 28" xfId="45417"/>
    <cellStyle name="Normal 26 2 3 2 29" xfId="47169"/>
    <cellStyle name="Normal 26 2 3 2 3" xfId="3374"/>
    <cellStyle name="Normal 26 2 3 2 30" xfId="48921"/>
    <cellStyle name="Normal 26 2 3 2 31" xfId="50673"/>
    <cellStyle name="Normal 26 2 3 2 32" xfId="52425"/>
    <cellStyle name="Normal 26 2 3 2 33" xfId="54177"/>
    <cellStyle name="Normal 26 2 3 2 34" xfId="55929"/>
    <cellStyle name="Normal 26 2 3 2 35" xfId="57682"/>
    <cellStyle name="Normal 26 2 3 2 36" xfId="59434"/>
    <cellStyle name="Normal 26 2 3 2 37" xfId="61186"/>
    <cellStyle name="Normal 26 2 3 2 38" xfId="62556"/>
    <cellStyle name="Normal 26 2 3 2 39" xfId="63422"/>
    <cellStyle name="Normal 26 2 3 2 4" xfId="5126"/>
    <cellStyle name="Normal 26 2 3 2 5" xfId="6878"/>
    <cellStyle name="Normal 26 2 3 2 6" xfId="8630"/>
    <cellStyle name="Normal 26 2 3 2 7" xfId="10383"/>
    <cellStyle name="Normal 26 2 3 2 8" xfId="12135"/>
    <cellStyle name="Normal 26 2 3 2 9" xfId="13887"/>
    <cellStyle name="Normal 26 2 3 20" xfId="30974"/>
    <cellStyle name="Normal 26 2 3 21" xfId="32727"/>
    <cellStyle name="Normal 26 2 3 22" xfId="34547"/>
    <cellStyle name="Normal 26 2 3 23" xfId="35363"/>
    <cellStyle name="Normal 26 2 3 24" xfId="37168"/>
    <cellStyle name="Normal 26 2 3 25" xfId="38856"/>
    <cellStyle name="Normal 26 2 3 26" xfId="40611"/>
    <cellStyle name="Normal 26 2 3 27" xfId="42363"/>
    <cellStyle name="Normal 26 2 3 28" xfId="44168"/>
    <cellStyle name="Normal 26 2 3 29" xfId="44981"/>
    <cellStyle name="Normal 26 2 3 3" xfId="1227"/>
    <cellStyle name="Normal 26 2 3 3 10" xfId="17832"/>
    <cellStyle name="Normal 26 2 3 3 11" xfId="19584"/>
    <cellStyle name="Normal 26 2 3 3 12" xfId="21337"/>
    <cellStyle name="Normal 26 2 3 3 13" xfId="23089"/>
    <cellStyle name="Normal 26 2 3 3 14" xfId="24841"/>
    <cellStyle name="Normal 26 2 3 3 15" xfId="26593"/>
    <cellStyle name="Normal 26 2 3 3 16" xfId="28345"/>
    <cellStyle name="Normal 26 2 3 3 17" xfId="30098"/>
    <cellStyle name="Normal 26 2 3 3 18" xfId="31850"/>
    <cellStyle name="Normal 26 2 3 3 19" xfId="33603"/>
    <cellStyle name="Normal 26 2 3 3 2" xfId="3814"/>
    <cellStyle name="Normal 26 2 3 3 20" xfId="36239"/>
    <cellStyle name="Normal 26 2 3 3 21" xfId="37979"/>
    <cellStyle name="Normal 26 2 3 3 22" xfId="39732"/>
    <cellStyle name="Normal 26 2 3 3 23" xfId="41487"/>
    <cellStyle name="Normal 26 2 3 3 24" xfId="43239"/>
    <cellStyle name="Normal 26 2 3 3 25" xfId="45857"/>
    <cellStyle name="Normal 26 2 3 3 26" xfId="47609"/>
    <cellStyle name="Normal 26 2 3 3 27" xfId="49361"/>
    <cellStyle name="Normal 26 2 3 3 28" xfId="51113"/>
    <cellStyle name="Normal 26 2 3 3 29" xfId="52865"/>
    <cellStyle name="Normal 26 2 3 3 3" xfId="5566"/>
    <cellStyle name="Normal 26 2 3 3 30" xfId="54617"/>
    <cellStyle name="Normal 26 2 3 3 31" xfId="56369"/>
    <cellStyle name="Normal 26 2 3 3 32" xfId="58122"/>
    <cellStyle name="Normal 26 2 3 3 33" xfId="59874"/>
    <cellStyle name="Normal 26 2 3 3 34" xfId="61626"/>
    <cellStyle name="Normal 26 2 3 3 4" xfId="7318"/>
    <cellStyle name="Normal 26 2 3 3 5" xfId="9070"/>
    <cellStyle name="Normal 26 2 3 3 6" xfId="10823"/>
    <cellStyle name="Normal 26 2 3 3 7" xfId="12575"/>
    <cellStyle name="Normal 26 2 3 3 8" xfId="14327"/>
    <cellStyle name="Normal 26 2 3 3 9" xfId="16079"/>
    <cellStyle name="Normal 26 2 3 30" xfId="46733"/>
    <cellStyle name="Normal 26 2 3 31" xfId="48485"/>
    <cellStyle name="Normal 26 2 3 32" xfId="50237"/>
    <cellStyle name="Normal 26 2 3 33" xfId="51989"/>
    <cellStyle name="Normal 26 2 3 34" xfId="53741"/>
    <cellStyle name="Normal 26 2 3 35" xfId="55493"/>
    <cellStyle name="Normal 26 2 3 36" xfId="57246"/>
    <cellStyle name="Normal 26 2 3 37" xfId="58998"/>
    <cellStyle name="Normal 26 2 3 38" xfId="60750"/>
    <cellStyle name="Normal 26 2 3 39" xfId="62555"/>
    <cellStyle name="Normal 26 2 3 4" xfId="2938"/>
    <cellStyle name="Normal 26 2 3 40" xfId="63421"/>
    <cellStyle name="Normal 26 2 3 5" xfId="4690"/>
    <cellStyle name="Normal 26 2 3 6" xfId="6442"/>
    <cellStyle name="Normal 26 2 3 7" xfId="8194"/>
    <cellStyle name="Normal 26 2 3 8" xfId="9947"/>
    <cellStyle name="Normal 26 2 3 9" xfId="11699"/>
    <cellStyle name="Normal 26 2 30" xfId="44163"/>
    <cellStyle name="Normal 26 2 31" xfId="44756"/>
    <cellStyle name="Normal 26 2 32" xfId="46508"/>
    <cellStyle name="Normal 26 2 33" xfId="48260"/>
    <cellStyle name="Normal 26 2 34" xfId="50012"/>
    <cellStyle name="Normal 26 2 35" xfId="51764"/>
    <cellStyle name="Normal 26 2 36" xfId="53516"/>
    <cellStyle name="Normal 26 2 37" xfId="55268"/>
    <cellStyle name="Normal 26 2 38" xfId="57021"/>
    <cellStyle name="Normal 26 2 39" xfId="58773"/>
    <cellStyle name="Normal 26 2 4" xfId="1228"/>
    <cellStyle name="Normal 26 2 4 10" xfId="15414"/>
    <cellStyle name="Normal 26 2 4 11" xfId="17167"/>
    <cellStyle name="Normal 26 2 4 12" xfId="18919"/>
    <cellStyle name="Normal 26 2 4 13" xfId="20672"/>
    <cellStyle name="Normal 26 2 4 14" xfId="22424"/>
    <cellStyle name="Normal 26 2 4 15" xfId="24176"/>
    <cellStyle name="Normal 26 2 4 16" xfId="25928"/>
    <cellStyle name="Normal 26 2 4 17" xfId="27680"/>
    <cellStyle name="Normal 26 2 4 18" xfId="29433"/>
    <cellStyle name="Normal 26 2 4 19" xfId="31185"/>
    <cellStyle name="Normal 26 2 4 2" xfId="1229"/>
    <cellStyle name="Normal 26 2 4 2 10" xfId="18043"/>
    <cellStyle name="Normal 26 2 4 2 11" xfId="19795"/>
    <cellStyle name="Normal 26 2 4 2 12" xfId="21548"/>
    <cellStyle name="Normal 26 2 4 2 13" xfId="23300"/>
    <cellStyle name="Normal 26 2 4 2 14" xfId="25052"/>
    <cellStyle name="Normal 26 2 4 2 15" xfId="26804"/>
    <cellStyle name="Normal 26 2 4 2 16" xfId="28556"/>
    <cellStyle name="Normal 26 2 4 2 17" xfId="30309"/>
    <cellStyle name="Normal 26 2 4 2 18" xfId="32061"/>
    <cellStyle name="Normal 26 2 4 2 19" xfId="33814"/>
    <cellStyle name="Normal 26 2 4 2 2" xfId="4025"/>
    <cellStyle name="Normal 26 2 4 2 20" xfId="36450"/>
    <cellStyle name="Normal 26 2 4 2 21" xfId="38190"/>
    <cellStyle name="Normal 26 2 4 2 22" xfId="39943"/>
    <cellStyle name="Normal 26 2 4 2 23" xfId="41698"/>
    <cellStyle name="Normal 26 2 4 2 24" xfId="43450"/>
    <cellStyle name="Normal 26 2 4 2 25" xfId="46068"/>
    <cellStyle name="Normal 26 2 4 2 26" xfId="47820"/>
    <cellStyle name="Normal 26 2 4 2 27" xfId="49572"/>
    <cellStyle name="Normal 26 2 4 2 28" xfId="51324"/>
    <cellStyle name="Normal 26 2 4 2 29" xfId="53076"/>
    <cellStyle name="Normal 26 2 4 2 3" xfId="5777"/>
    <cellStyle name="Normal 26 2 4 2 30" xfId="54828"/>
    <cellStyle name="Normal 26 2 4 2 31" xfId="56580"/>
    <cellStyle name="Normal 26 2 4 2 32" xfId="58333"/>
    <cellStyle name="Normal 26 2 4 2 33" xfId="60085"/>
    <cellStyle name="Normal 26 2 4 2 34" xfId="61837"/>
    <cellStyle name="Normal 26 2 4 2 4" xfId="7529"/>
    <cellStyle name="Normal 26 2 4 2 5" xfId="9281"/>
    <cellStyle name="Normal 26 2 4 2 6" xfId="11034"/>
    <cellStyle name="Normal 26 2 4 2 7" xfId="12786"/>
    <cellStyle name="Normal 26 2 4 2 8" xfId="14538"/>
    <cellStyle name="Normal 26 2 4 2 9" xfId="16290"/>
    <cellStyle name="Normal 26 2 4 20" xfId="32938"/>
    <cellStyle name="Normal 26 2 4 21" xfId="34549"/>
    <cellStyle name="Normal 26 2 4 22" xfId="35574"/>
    <cellStyle name="Normal 26 2 4 23" xfId="37170"/>
    <cellStyle name="Normal 26 2 4 24" xfId="39067"/>
    <cellStyle name="Normal 26 2 4 25" xfId="40822"/>
    <cellStyle name="Normal 26 2 4 26" xfId="42574"/>
    <cellStyle name="Normal 26 2 4 27" xfId="44170"/>
    <cellStyle name="Normal 26 2 4 28" xfId="45192"/>
    <cellStyle name="Normal 26 2 4 29" xfId="46944"/>
    <cellStyle name="Normal 26 2 4 3" xfId="3149"/>
    <cellStyle name="Normal 26 2 4 30" xfId="48696"/>
    <cellStyle name="Normal 26 2 4 31" xfId="50448"/>
    <cellStyle name="Normal 26 2 4 32" xfId="52200"/>
    <cellStyle name="Normal 26 2 4 33" xfId="53952"/>
    <cellStyle name="Normal 26 2 4 34" xfId="55704"/>
    <cellStyle name="Normal 26 2 4 35" xfId="57457"/>
    <cellStyle name="Normal 26 2 4 36" xfId="59209"/>
    <cellStyle name="Normal 26 2 4 37" xfId="60961"/>
    <cellStyle name="Normal 26 2 4 38" xfId="62557"/>
    <cellStyle name="Normal 26 2 4 39" xfId="63423"/>
    <cellStyle name="Normal 26 2 4 4" xfId="4901"/>
    <cellStyle name="Normal 26 2 4 5" xfId="6653"/>
    <cellStyle name="Normal 26 2 4 6" xfId="8405"/>
    <cellStyle name="Normal 26 2 4 7" xfId="10158"/>
    <cellStyle name="Normal 26 2 4 8" xfId="11910"/>
    <cellStyle name="Normal 26 2 4 9" xfId="13662"/>
    <cellStyle name="Normal 26 2 40" xfId="60525"/>
    <cellStyle name="Normal 26 2 41" xfId="62550"/>
    <cellStyle name="Normal 26 2 42" xfId="63416"/>
    <cellStyle name="Normal 26 2 5" xfId="1230"/>
    <cellStyle name="Normal 26 2 5 10" xfId="17607"/>
    <cellStyle name="Normal 26 2 5 11" xfId="19359"/>
    <cellStyle name="Normal 26 2 5 12" xfId="21112"/>
    <cellStyle name="Normal 26 2 5 13" xfId="22864"/>
    <cellStyle name="Normal 26 2 5 14" xfId="24616"/>
    <cellStyle name="Normal 26 2 5 15" xfId="26368"/>
    <cellStyle name="Normal 26 2 5 16" xfId="28120"/>
    <cellStyle name="Normal 26 2 5 17" xfId="29873"/>
    <cellStyle name="Normal 26 2 5 18" xfId="31625"/>
    <cellStyle name="Normal 26 2 5 19" xfId="33378"/>
    <cellStyle name="Normal 26 2 5 2" xfId="3589"/>
    <cellStyle name="Normal 26 2 5 20" xfId="36014"/>
    <cellStyle name="Normal 26 2 5 21" xfId="37754"/>
    <cellStyle name="Normal 26 2 5 22" xfId="39507"/>
    <cellStyle name="Normal 26 2 5 23" xfId="41262"/>
    <cellStyle name="Normal 26 2 5 24" xfId="43014"/>
    <cellStyle name="Normal 26 2 5 25" xfId="45632"/>
    <cellStyle name="Normal 26 2 5 26" xfId="47384"/>
    <cellStyle name="Normal 26 2 5 27" xfId="49136"/>
    <cellStyle name="Normal 26 2 5 28" xfId="50888"/>
    <cellStyle name="Normal 26 2 5 29" xfId="52640"/>
    <cellStyle name="Normal 26 2 5 3" xfId="5341"/>
    <cellStyle name="Normal 26 2 5 30" xfId="54392"/>
    <cellStyle name="Normal 26 2 5 31" xfId="56144"/>
    <cellStyle name="Normal 26 2 5 32" xfId="57897"/>
    <cellStyle name="Normal 26 2 5 33" xfId="59649"/>
    <cellStyle name="Normal 26 2 5 34" xfId="61401"/>
    <cellStyle name="Normal 26 2 5 4" xfId="7093"/>
    <cellStyle name="Normal 26 2 5 5" xfId="8845"/>
    <cellStyle name="Normal 26 2 5 6" xfId="10598"/>
    <cellStyle name="Normal 26 2 5 7" xfId="12350"/>
    <cellStyle name="Normal 26 2 5 8" xfId="14102"/>
    <cellStyle name="Normal 26 2 5 9" xfId="15854"/>
    <cellStyle name="Normal 26 2 6" xfId="2713"/>
    <cellStyle name="Normal 26 2 7" xfId="4465"/>
    <cellStyle name="Normal 26 2 8" xfId="6217"/>
    <cellStyle name="Normal 26 2 9" xfId="7969"/>
    <cellStyle name="Normal 26 20" xfId="25437"/>
    <cellStyle name="Normal 26 21" xfId="27189"/>
    <cellStyle name="Normal 26 22" xfId="28942"/>
    <cellStyle name="Normal 26 23" xfId="30694"/>
    <cellStyle name="Normal 26 24" xfId="32447"/>
    <cellStyle name="Normal 26 25" xfId="34541"/>
    <cellStyle name="Normal 26 26" xfId="35083"/>
    <cellStyle name="Normal 26 27" xfId="37162"/>
    <cellStyle name="Normal 26 28" xfId="38576"/>
    <cellStyle name="Normal 26 29" xfId="40331"/>
    <cellStyle name="Normal 26 3" xfId="1231"/>
    <cellStyle name="Normal 26 3 10" xfId="11527"/>
    <cellStyle name="Normal 26 3 11" xfId="13279"/>
    <cellStyle name="Normal 26 3 12" xfId="15031"/>
    <cellStyle name="Normal 26 3 13" xfId="16784"/>
    <cellStyle name="Normal 26 3 14" xfId="18536"/>
    <cellStyle name="Normal 26 3 15" xfId="20289"/>
    <cellStyle name="Normal 26 3 16" xfId="22041"/>
    <cellStyle name="Normal 26 3 17" xfId="23793"/>
    <cellStyle name="Normal 26 3 18" xfId="25545"/>
    <cellStyle name="Normal 26 3 19" xfId="27297"/>
    <cellStyle name="Normal 26 3 2" xfId="1232"/>
    <cellStyle name="Normal 26 3 2 10" xfId="13452"/>
    <cellStyle name="Normal 26 3 2 11" xfId="15204"/>
    <cellStyle name="Normal 26 3 2 12" xfId="16957"/>
    <cellStyle name="Normal 26 3 2 13" xfId="18709"/>
    <cellStyle name="Normal 26 3 2 14" xfId="20462"/>
    <cellStyle name="Normal 26 3 2 15" xfId="22214"/>
    <cellStyle name="Normal 26 3 2 16" xfId="23966"/>
    <cellStyle name="Normal 26 3 2 17" xfId="25718"/>
    <cellStyle name="Normal 26 3 2 18" xfId="27470"/>
    <cellStyle name="Normal 26 3 2 19" xfId="29223"/>
    <cellStyle name="Normal 26 3 2 2" xfId="1233"/>
    <cellStyle name="Normal 26 3 2 2 10" xfId="15640"/>
    <cellStyle name="Normal 26 3 2 2 11" xfId="17393"/>
    <cellStyle name="Normal 26 3 2 2 12" xfId="19145"/>
    <cellStyle name="Normal 26 3 2 2 13" xfId="20898"/>
    <cellStyle name="Normal 26 3 2 2 14" xfId="22650"/>
    <cellStyle name="Normal 26 3 2 2 15" xfId="24402"/>
    <cellStyle name="Normal 26 3 2 2 16" xfId="26154"/>
    <cellStyle name="Normal 26 3 2 2 17" xfId="27906"/>
    <cellStyle name="Normal 26 3 2 2 18" xfId="29659"/>
    <cellStyle name="Normal 26 3 2 2 19" xfId="31411"/>
    <cellStyle name="Normal 26 3 2 2 2" xfId="1234"/>
    <cellStyle name="Normal 26 3 2 2 2 10" xfId="18269"/>
    <cellStyle name="Normal 26 3 2 2 2 11" xfId="20021"/>
    <cellStyle name="Normal 26 3 2 2 2 12" xfId="21774"/>
    <cellStyle name="Normal 26 3 2 2 2 13" xfId="23526"/>
    <cellStyle name="Normal 26 3 2 2 2 14" xfId="25278"/>
    <cellStyle name="Normal 26 3 2 2 2 15" xfId="27030"/>
    <cellStyle name="Normal 26 3 2 2 2 16" xfId="28782"/>
    <cellStyle name="Normal 26 3 2 2 2 17" xfId="30535"/>
    <cellStyle name="Normal 26 3 2 2 2 18" xfId="32287"/>
    <cellStyle name="Normal 26 3 2 2 2 19" xfId="34040"/>
    <cellStyle name="Normal 26 3 2 2 2 2" xfId="4251"/>
    <cellStyle name="Normal 26 3 2 2 2 20" xfId="36676"/>
    <cellStyle name="Normal 26 3 2 2 2 21" xfId="38416"/>
    <cellStyle name="Normal 26 3 2 2 2 22" xfId="40169"/>
    <cellStyle name="Normal 26 3 2 2 2 23" xfId="41924"/>
    <cellStyle name="Normal 26 3 2 2 2 24" xfId="43676"/>
    <cellStyle name="Normal 26 3 2 2 2 25" xfId="46294"/>
    <cellStyle name="Normal 26 3 2 2 2 26" xfId="48046"/>
    <cellStyle name="Normal 26 3 2 2 2 27" xfId="49798"/>
    <cellStyle name="Normal 26 3 2 2 2 28" xfId="51550"/>
    <cellStyle name="Normal 26 3 2 2 2 29" xfId="53302"/>
    <cellStyle name="Normal 26 3 2 2 2 3" xfId="6003"/>
    <cellStyle name="Normal 26 3 2 2 2 30" xfId="55054"/>
    <cellStyle name="Normal 26 3 2 2 2 31" xfId="56806"/>
    <cellStyle name="Normal 26 3 2 2 2 32" xfId="58559"/>
    <cellStyle name="Normal 26 3 2 2 2 33" xfId="60311"/>
    <cellStyle name="Normal 26 3 2 2 2 34" xfId="62063"/>
    <cellStyle name="Normal 26 3 2 2 2 4" xfId="7755"/>
    <cellStyle name="Normal 26 3 2 2 2 5" xfId="9507"/>
    <cellStyle name="Normal 26 3 2 2 2 6" xfId="11260"/>
    <cellStyle name="Normal 26 3 2 2 2 7" xfId="13012"/>
    <cellStyle name="Normal 26 3 2 2 2 8" xfId="14764"/>
    <cellStyle name="Normal 26 3 2 2 2 9" xfId="16516"/>
    <cellStyle name="Normal 26 3 2 2 20" xfId="33164"/>
    <cellStyle name="Normal 26 3 2 2 21" xfId="34552"/>
    <cellStyle name="Normal 26 3 2 2 22" xfId="35800"/>
    <cellStyle name="Normal 26 3 2 2 23" xfId="37173"/>
    <cellStyle name="Normal 26 3 2 2 24" xfId="39293"/>
    <cellStyle name="Normal 26 3 2 2 25" xfId="41048"/>
    <cellStyle name="Normal 26 3 2 2 26" xfId="42800"/>
    <cellStyle name="Normal 26 3 2 2 27" xfId="44173"/>
    <cellStyle name="Normal 26 3 2 2 28" xfId="45418"/>
    <cellStyle name="Normal 26 3 2 2 29" xfId="47170"/>
    <cellStyle name="Normal 26 3 2 2 3" xfId="3375"/>
    <cellStyle name="Normal 26 3 2 2 30" xfId="48922"/>
    <cellStyle name="Normal 26 3 2 2 31" xfId="50674"/>
    <cellStyle name="Normal 26 3 2 2 32" xfId="52426"/>
    <cellStyle name="Normal 26 3 2 2 33" xfId="54178"/>
    <cellStyle name="Normal 26 3 2 2 34" xfId="55930"/>
    <cellStyle name="Normal 26 3 2 2 35" xfId="57683"/>
    <cellStyle name="Normal 26 3 2 2 36" xfId="59435"/>
    <cellStyle name="Normal 26 3 2 2 37" xfId="61187"/>
    <cellStyle name="Normal 26 3 2 2 38" xfId="62560"/>
    <cellStyle name="Normal 26 3 2 2 39" xfId="63426"/>
    <cellStyle name="Normal 26 3 2 2 4" xfId="5127"/>
    <cellStyle name="Normal 26 3 2 2 5" xfId="6879"/>
    <cellStyle name="Normal 26 3 2 2 6" xfId="8631"/>
    <cellStyle name="Normal 26 3 2 2 7" xfId="10384"/>
    <cellStyle name="Normal 26 3 2 2 8" xfId="12136"/>
    <cellStyle name="Normal 26 3 2 2 9" xfId="13888"/>
    <cellStyle name="Normal 26 3 2 20" xfId="30975"/>
    <cellStyle name="Normal 26 3 2 21" xfId="32728"/>
    <cellStyle name="Normal 26 3 2 22" xfId="34551"/>
    <cellStyle name="Normal 26 3 2 23" xfId="35364"/>
    <cellStyle name="Normal 26 3 2 24" xfId="37172"/>
    <cellStyle name="Normal 26 3 2 25" xfId="38857"/>
    <cellStyle name="Normal 26 3 2 26" xfId="40612"/>
    <cellStyle name="Normal 26 3 2 27" xfId="42364"/>
    <cellStyle name="Normal 26 3 2 28" xfId="44172"/>
    <cellStyle name="Normal 26 3 2 29" xfId="44982"/>
    <cellStyle name="Normal 26 3 2 3" xfId="1235"/>
    <cellStyle name="Normal 26 3 2 3 10" xfId="17833"/>
    <cellStyle name="Normal 26 3 2 3 11" xfId="19585"/>
    <cellStyle name="Normal 26 3 2 3 12" xfId="21338"/>
    <cellStyle name="Normal 26 3 2 3 13" xfId="23090"/>
    <cellStyle name="Normal 26 3 2 3 14" xfId="24842"/>
    <cellStyle name="Normal 26 3 2 3 15" xfId="26594"/>
    <cellStyle name="Normal 26 3 2 3 16" xfId="28346"/>
    <cellStyle name="Normal 26 3 2 3 17" xfId="30099"/>
    <cellStyle name="Normal 26 3 2 3 18" xfId="31851"/>
    <cellStyle name="Normal 26 3 2 3 19" xfId="33604"/>
    <cellStyle name="Normal 26 3 2 3 2" xfId="3815"/>
    <cellStyle name="Normal 26 3 2 3 20" xfId="36240"/>
    <cellStyle name="Normal 26 3 2 3 21" xfId="37980"/>
    <cellStyle name="Normal 26 3 2 3 22" xfId="39733"/>
    <cellStyle name="Normal 26 3 2 3 23" xfId="41488"/>
    <cellStyle name="Normal 26 3 2 3 24" xfId="43240"/>
    <cellStyle name="Normal 26 3 2 3 25" xfId="45858"/>
    <cellStyle name="Normal 26 3 2 3 26" xfId="47610"/>
    <cellStyle name="Normal 26 3 2 3 27" xfId="49362"/>
    <cellStyle name="Normal 26 3 2 3 28" xfId="51114"/>
    <cellStyle name="Normal 26 3 2 3 29" xfId="52866"/>
    <cellStyle name="Normal 26 3 2 3 3" xfId="5567"/>
    <cellStyle name="Normal 26 3 2 3 30" xfId="54618"/>
    <cellStyle name="Normal 26 3 2 3 31" xfId="56370"/>
    <cellStyle name="Normal 26 3 2 3 32" xfId="58123"/>
    <cellStyle name="Normal 26 3 2 3 33" xfId="59875"/>
    <cellStyle name="Normal 26 3 2 3 34" xfId="61627"/>
    <cellStyle name="Normal 26 3 2 3 4" xfId="7319"/>
    <cellStyle name="Normal 26 3 2 3 5" xfId="9071"/>
    <cellStyle name="Normal 26 3 2 3 6" xfId="10824"/>
    <cellStyle name="Normal 26 3 2 3 7" xfId="12576"/>
    <cellStyle name="Normal 26 3 2 3 8" xfId="14328"/>
    <cellStyle name="Normal 26 3 2 3 9" xfId="16080"/>
    <cellStyle name="Normal 26 3 2 30" xfId="46734"/>
    <cellStyle name="Normal 26 3 2 31" xfId="48486"/>
    <cellStyle name="Normal 26 3 2 32" xfId="50238"/>
    <cellStyle name="Normal 26 3 2 33" xfId="51990"/>
    <cellStyle name="Normal 26 3 2 34" xfId="53742"/>
    <cellStyle name="Normal 26 3 2 35" xfId="55494"/>
    <cellStyle name="Normal 26 3 2 36" xfId="57247"/>
    <cellStyle name="Normal 26 3 2 37" xfId="58999"/>
    <cellStyle name="Normal 26 3 2 38" xfId="60751"/>
    <cellStyle name="Normal 26 3 2 39" xfId="62559"/>
    <cellStyle name="Normal 26 3 2 4" xfId="2939"/>
    <cellStyle name="Normal 26 3 2 40" xfId="63425"/>
    <cellStyle name="Normal 26 3 2 5" xfId="4691"/>
    <cellStyle name="Normal 26 3 2 6" xfId="6443"/>
    <cellStyle name="Normal 26 3 2 7" xfId="8195"/>
    <cellStyle name="Normal 26 3 2 8" xfId="9948"/>
    <cellStyle name="Normal 26 3 2 9" xfId="11700"/>
    <cellStyle name="Normal 26 3 20" xfId="29050"/>
    <cellStyle name="Normal 26 3 21" xfId="30802"/>
    <cellStyle name="Normal 26 3 22" xfId="32555"/>
    <cellStyle name="Normal 26 3 23" xfId="34550"/>
    <cellStyle name="Normal 26 3 24" xfId="35191"/>
    <cellStyle name="Normal 26 3 25" xfId="37171"/>
    <cellStyle name="Normal 26 3 26" xfId="38684"/>
    <cellStyle name="Normal 26 3 27" xfId="40439"/>
    <cellStyle name="Normal 26 3 28" xfId="42191"/>
    <cellStyle name="Normal 26 3 29" xfId="44171"/>
    <cellStyle name="Normal 26 3 3" xfId="1236"/>
    <cellStyle name="Normal 26 3 3 10" xfId="15467"/>
    <cellStyle name="Normal 26 3 3 11" xfId="17220"/>
    <cellStyle name="Normal 26 3 3 12" xfId="18972"/>
    <cellStyle name="Normal 26 3 3 13" xfId="20725"/>
    <cellStyle name="Normal 26 3 3 14" xfId="22477"/>
    <cellStyle name="Normal 26 3 3 15" xfId="24229"/>
    <cellStyle name="Normal 26 3 3 16" xfId="25981"/>
    <cellStyle name="Normal 26 3 3 17" xfId="27733"/>
    <cellStyle name="Normal 26 3 3 18" xfId="29486"/>
    <cellStyle name="Normal 26 3 3 19" xfId="31238"/>
    <cellStyle name="Normal 26 3 3 2" xfId="1237"/>
    <cellStyle name="Normal 26 3 3 2 10" xfId="18096"/>
    <cellStyle name="Normal 26 3 3 2 11" xfId="19848"/>
    <cellStyle name="Normal 26 3 3 2 12" xfId="21601"/>
    <cellStyle name="Normal 26 3 3 2 13" xfId="23353"/>
    <cellStyle name="Normal 26 3 3 2 14" xfId="25105"/>
    <cellStyle name="Normal 26 3 3 2 15" xfId="26857"/>
    <cellStyle name="Normal 26 3 3 2 16" xfId="28609"/>
    <cellStyle name="Normal 26 3 3 2 17" xfId="30362"/>
    <cellStyle name="Normal 26 3 3 2 18" xfId="32114"/>
    <cellStyle name="Normal 26 3 3 2 19" xfId="33867"/>
    <cellStyle name="Normal 26 3 3 2 2" xfId="4078"/>
    <cellStyle name="Normal 26 3 3 2 20" xfId="36503"/>
    <cellStyle name="Normal 26 3 3 2 21" xfId="38243"/>
    <cellStyle name="Normal 26 3 3 2 22" xfId="39996"/>
    <cellStyle name="Normal 26 3 3 2 23" xfId="41751"/>
    <cellStyle name="Normal 26 3 3 2 24" xfId="43503"/>
    <cellStyle name="Normal 26 3 3 2 25" xfId="46121"/>
    <cellStyle name="Normal 26 3 3 2 26" xfId="47873"/>
    <cellStyle name="Normal 26 3 3 2 27" xfId="49625"/>
    <cellStyle name="Normal 26 3 3 2 28" xfId="51377"/>
    <cellStyle name="Normal 26 3 3 2 29" xfId="53129"/>
    <cellStyle name="Normal 26 3 3 2 3" xfId="5830"/>
    <cellStyle name="Normal 26 3 3 2 30" xfId="54881"/>
    <cellStyle name="Normal 26 3 3 2 31" xfId="56633"/>
    <cellStyle name="Normal 26 3 3 2 32" xfId="58386"/>
    <cellStyle name="Normal 26 3 3 2 33" xfId="60138"/>
    <cellStyle name="Normal 26 3 3 2 34" xfId="61890"/>
    <cellStyle name="Normal 26 3 3 2 4" xfId="7582"/>
    <cellStyle name="Normal 26 3 3 2 5" xfId="9334"/>
    <cellStyle name="Normal 26 3 3 2 6" xfId="11087"/>
    <cellStyle name="Normal 26 3 3 2 7" xfId="12839"/>
    <cellStyle name="Normal 26 3 3 2 8" xfId="14591"/>
    <cellStyle name="Normal 26 3 3 2 9" xfId="16343"/>
    <cellStyle name="Normal 26 3 3 20" xfId="32991"/>
    <cellStyle name="Normal 26 3 3 21" xfId="34553"/>
    <cellStyle name="Normal 26 3 3 22" xfId="35627"/>
    <cellStyle name="Normal 26 3 3 23" xfId="37174"/>
    <cellStyle name="Normal 26 3 3 24" xfId="39120"/>
    <cellStyle name="Normal 26 3 3 25" xfId="40875"/>
    <cellStyle name="Normal 26 3 3 26" xfId="42627"/>
    <cellStyle name="Normal 26 3 3 27" xfId="44174"/>
    <cellStyle name="Normal 26 3 3 28" xfId="45245"/>
    <cellStyle name="Normal 26 3 3 29" xfId="46997"/>
    <cellStyle name="Normal 26 3 3 3" xfId="3202"/>
    <cellStyle name="Normal 26 3 3 30" xfId="48749"/>
    <cellStyle name="Normal 26 3 3 31" xfId="50501"/>
    <cellStyle name="Normal 26 3 3 32" xfId="52253"/>
    <cellStyle name="Normal 26 3 3 33" xfId="54005"/>
    <cellStyle name="Normal 26 3 3 34" xfId="55757"/>
    <cellStyle name="Normal 26 3 3 35" xfId="57510"/>
    <cellStyle name="Normal 26 3 3 36" xfId="59262"/>
    <cellStyle name="Normal 26 3 3 37" xfId="61014"/>
    <cellStyle name="Normal 26 3 3 38" xfId="62561"/>
    <cellStyle name="Normal 26 3 3 39" xfId="63427"/>
    <cellStyle name="Normal 26 3 3 4" xfId="4954"/>
    <cellStyle name="Normal 26 3 3 5" xfId="6706"/>
    <cellStyle name="Normal 26 3 3 6" xfId="8458"/>
    <cellStyle name="Normal 26 3 3 7" xfId="10211"/>
    <cellStyle name="Normal 26 3 3 8" xfId="11963"/>
    <cellStyle name="Normal 26 3 3 9" xfId="13715"/>
    <cellStyle name="Normal 26 3 30" xfId="44809"/>
    <cellStyle name="Normal 26 3 31" xfId="46561"/>
    <cellStyle name="Normal 26 3 32" xfId="48313"/>
    <cellStyle name="Normal 26 3 33" xfId="50065"/>
    <cellStyle name="Normal 26 3 34" xfId="51817"/>
    <cellStyle name="Normal 26 3 35" xfId="53569"/>
    <cellStyle name="Normal 26 3 36" xfId="55321"/>
    <cellStyle name="Normal 26 3 37" xfId="57074"/>
    <cellStyle name="Normal 26 3 38" xfId="58826"/>
    <cellStyle name="Normal 26 3 39" xfId="60578"/>
    <cellStyle name="Normal 26 3 4" xfId="1238"/>
    <cellStyle name="Normal 26 3 4 10" xfId="17660"/>
    <cellStyle name="Normal 26 3 4 11" xfId="19412"/>
    <cellStyle name="Normal 26 3 4 12" xfId="21165"/>
    <cellStyle name="Normal 26 3 4 13" xfId="22917"/>
    <cellStyle name="Normal 26 3 4 14" xfId="24669"/>
    <cellStyle name="Normal 26 3 4 15" xfId="26421"/>
    <cellStyle name="Normal 26 3 4 16" xfId="28173"/>
    <cellStyle name="Normal 26 3 4 17" xfId="29926"/>
    <cellStyle name="Normal 26 3 4 18" xfId="31678"/>
    <cellStyle name="Normal 26 3 4 19" xfId="33431"/>
    <cellStyle name="Normal 26 3 4 2" xfId="3642"/>
    <cellStyle name="Normal 26 3 4 20" xfId="36067"/>
    <cellStyle name="Normal 26 3 4 21" xfId="37807"/>
    <cellStyle name="Normal 26 3 4 22" xfId="39560"/>
    <cellStyle name="Normal 26 3 4 23" xfId="41315"/>
    <cellStyle name="Normal 26 3 4 24" xfId="43067"/>
    <cellStyle name="Normal 26 3 4 25" xfId="45685"/>
    <cellStyle name="Normal 26 3 4 26" xfId="47437"/>
    <cellStyle name="Normal 26 3 4 27" xfId="49189"/>
    <cellStyle name="Normal 26 3 4 28" xfId="50941"/>
    <cellStyle name="Normal 26 3 4 29" xfId="52693"/>
    <cellStyle name="Normal 26 3 4 3" xfId="5394"/>
    <cellStyle name="Normal 26 3 4 30" xfId="54445"/>
    <cellStyle name="Normal 26 3 4 31" xfId="56197"/>
    <cellStyle name="Normal 26 3 4 32" xfId="57950"/>
    <cellStyle name="Normal 26 3 4 33" xfId="59702"/>
    <cellStyle name="Normal 26 3 4 34" xfId="61454"/>
    <cellStyle name="Normal 26 3 4 4" xfId="7146"/>
    <cellStyle name="Normal 26 3 4 5" xfId="8898"/>
    <cellStyle name="Normal 26 3 4 6" xfId="10651"/>
    <cellStyle name="Normal 26 3 4 7" xfId="12403"/>
    <cellStyle name="Normal 26 3 4 8" xfId="14155"/>
    <cellStyle name="Normal 26 3 4 9" xfId="15907"/>
    <cellStyle name="Normal 26 3 40" xfId="62558"/>
    <cellStyle name="Normal 26 3 41" xfId="63424"/>
    <cellStyle name="Normal 26 3 5" xfId="2766"/>
    <cellStyle name="Normal 26 3 6" xfId="4518"/>
    <cellStyle name="Normal 26 3 7" xfId="6270"/>
    <cellStyle name="Normal 26 3 8" xfId="8022"/>
    <cellStyle name="Normal 26 3 9" xfId="9775"/>
    <cellStyle name="Normal 26 30" xfId="42083"/>
    <cellStyle name="Normal 26 31" xfId="44162"/>
    <cellStyle name="Normal 26 32" xfId="44701"/>
    <cellStyle name="Normal 26 33" xfId="46453"/>
    <cellStyle name="Normal 26 34" xfId="48205"/>
    <cellStyle name="Normal 26 35" xfId="49957"/>
    <cellStyle name="Normal 26 36" xfId="51709"/>
    <cellStyle name="Normal 26 37" xfId="53461"/>
    <cellStyle name="Normal 26 38" xfId="55213"/>
    <cellStyle name="Normal 26 39" xfId="56966"/>
    <cellStyle name="Normal 26 4" xfId="1239"/>
    <cellStyle name="Normal 26 4 10" xfId="13453"/>
    <cellStyle name="Normal 26 4 11" xfId="15205"/>
    <cellStyle name="Normal 26 4 12" xfId="16958"/>
    <cellStyle name="Normal 26 4 13" xfId="18710"/>
    <cellStyle name="Normal 26 4 14" xfId="20463"/>
    <cellStyle name="Normal 26 4 15" xfId="22215"/>
    <cellStyle name="Normal 26 4 16" xfId="23967"/>
    <cellStyle name="Normal 26 4 17" xfId="25719"/>
    <cellStyle name="Normal 26 4 18" xfId="27471"/>
    <cellStyle name="Normal 26 4 19" xfId="29224"/>
    <cellStyle name="Normal 26 4 2" xfId="1240"/>
    <cellStyle name="Normal 26 4 2 10" xfId="15641"/>
    <cellStyle name="Normal 26 4 2 11" xfId="17394"/>
    <cellStyle name="Normal 26 4 2 12" xfId="19146"/>
    <cellStyle name="Normal 26 4 2 13" xfId="20899"/>
    <cellStyle name="Normal 26 4 2 14" xfId="22651"/>
    <cellStyle name="Normal 26 4 2 15" xfId="24403"/>
    <cellStyle name="Normal 26 4 2 16" xfId="26155"/>
    <cellStyle name="Normal 26 4 2 17" xfId="27907"/>
    <cellStyle name="Normal 26 4 2 18" xfId="29660"/>
    <cellStyle name="Normal 26 4 2 19" xfId="31412"/>
    <cellStyle name="Normal 26 4 2 2" xfId="1241"/>
    <cellStyle name="Normal 26 4 2 2 10" xfId="18270"/>
    <cellStyle name="Normal 26 4 2 2 11" xfId="20022"/>
    <cellStyle name="Normal 26 4 2 2 12" xfId="21775"/>
    <cellStyle name="Normal 26 4 2 2 13" xfId="23527"/>
    <cellStyle name="Normal 26 4 2 2 14" xfId="25279"/>
    <cellStyle name="Normal 26 4 2 2 15" xfId="27031"/>
    <cellStyle name="Normal 26 4 2 2 16" xfId="28783"/>
    <cellStyle name="Normal 26 4 2 2 17" xfId="30536"/>
    <cellStyle name="Normal 26 4 2 2 18" xfId="32288"/>
    <cellStyle name="Normal 26 4 2 2 19" xfId="34041"/>
    <cellStyle name="Normal 26 4 2 2 2" xfId="4252"/>
    <cellStyle name="Normal 26 4 2 2 20" xfId="36677"/>
    <cellStyle name="Normal 26 4 2 2 21" xfId="38417"/>
    <cellStyle name="Normal 26 4 2 2 22" xfId="40170"/>
    <cellStyle name="Normal 26 4 2 2 23" xfId="41925"/>
    <cellStyle name="Normal 26 4 2 2 24" xfId="43677"/>
    <cellStyle name="Normal 26 4 2 2 25" xfId="46295"/>
    <cellStyle name="Normal 26 4 2 2 26" xfId="48047"/>
    <cellStyle name="Normal 26 4 2 2 27" xfId="49799"/>
    <cellStyle name="Normal 26 4 2 2 28" xfId="51551"/>
    <cellStyle name="Normal 26 4 2 2 29" xfId="53303"/>
    <cellStyle name="Normal 26 4 2 2 3" xfId="6004"/>
    <cellStyle name="Normal 26 4 2 2 30" xfId="55055"/>
    <cellStyle name="Normal 26 4 2 2 31" xfId="56807"/>
    <cellStyle name="Normal 26 4 2 2 32" xfId="58560"/>
    <cellStyle name="Normal 26 4 2 2 33" xfId="60312"/>
    <cellStyle name="Normal 26 4 2 2 34" xfId="62064"/>
    <cellStyle name="Normal 26 4 2 2 4" xfId="7756"/>
    <cellStyle name="Normal 26 4 2 2 5" xfId="9508"/>
    <cellStyle name="Normal 26 4 2 2 6" xfId="11261"/>
    <cellStyle name="Normal 26 4 2 2 7" xfId="13013"/>
    <cellStyle name="Normal 26 4 2 2 8" xfId="14765"/>
    <cellStyle name="Normal 26 4 2 2 9" xfId="16517"/>
    <cellStyle name="Normal 26 4 2 20" xfId="33165"/>
    <cellStyle name="Normal 26 4 2 21" xfId="34555"/>
    <cellStyle name="Normal 26 4 2 22" xfId="35801"/>
    <cellStyle name="Normal 26 4 2 23" xfId="37176"/>
    <cellStyle name="Normal 26 4 2 24" xfId="39294"/>
    <cellStyle name="Normal 26 4 2 25" xfId="41049"/>
    <cellStyle name="Normal 26 4 2 26" xfId="42801"/>
    <cellStyle name="Normal 26 4 2 27" xfId="44176"/>
    <cellStyle name="Normal 26 4 2 28" xfId="45419"/>
    <cellStyle name="Normal 26 4 2 29" xfId="47171"/>
    <cellStyle name="Normal 26 4 2 3" xfId="3376"/>
    <cellStyle name="Normal 26 4 2 30" xfId="48923"/>
    <cellStyle name="Normal 26 4 2 31" xfId="50675"/>
    <cellStyle name="Normal 26 4 2 32" xfId="52427"/>
    <cellStyle name="Normal 26 4 2 33" xfId="54179"/>
    <cellStyle name="Normal 26 4 2 34" xfId="55931"/>
    <cellStyle name="Normal 26 4 2 35" xfId="57684"/>
    <cellStyle name="Normal 26 4 2 36" xfId="59436"/>
    <cellStyle name="Normal 26 4 2 37" xfId="61188"/>
    <cellStyle name="Normal 26 4 2 38" xfId="62563"/>
    <cellStyle name="Normal 26 4 2 39" xfId="63429"/>
    <cellStyle name="Normal 26 4 2 4" xfId="5128"/>
    <cellStyle name="Normal 26 4 2 5" xfId="6880"/>
    <cellStyle name="Normal 26 4 2 6" xfId="8632"/>
    <cellStyle name="Normal 26 4 2 7" xfId="10385"/>
    <cellStyle name="Normal 26 4 2 8" xfId="12137"/>
    <cellStyle name="Normal 26 4 2 9" xfId="13889"/>
    <cellStyle name="Normal 26 4 20" xfId="30976"/>
    <cellStyle name="Normal 26 4 21" xfId="32729"/>
    <cellStyle name="Normal 26 4 22" xfId="34554"/>
    <cellStyle name="Normal 26 4 23" xfId="35365"/>
    <cellStyle name="Normal 26 4 24" xfId="37175"/>
    <cellStyle name="Normal 26 4 25" xfId="38858"/>
    <cellStyle name="Normal 26 4 26" xfId="40613"/>
    <cellStyle name="Normal 26 4 27" xfId="42365"/>
    <cellStyle name="Normal 26 4 28" xfId="44175"/>
    <cellStyle name="Normal 26 4 29" xfId="44983"/>
    <cellStyle name="Normal 26 4 3" xfId="1242"/>
    <cellStyle name="Normal 26 4 3 10" xfId="17834"/>
    <cellStyle name="Normal 26 4 3 11" xfId="19586"/>
    <cellStyle name="Normal 26 4 3 12" xfId="21339"/>
    <cellStyle name="Normal 26 4 3 13" xfId="23091"/>
    <cellStyle name="Normal 26 4 3 14" xfId="24843"/>
    <cellStyle name="Normal 26 4 3 15" xfId="26595"/>
    <cellStyle name="Normal 26 4 3 16" xfId="28347"/>
    <cellStyle name="Normal 26 4 3 17" xfId="30100"/>
    <cellStyle name="Normal 26 4 3 18" xfId="31852"/>
    <cellStyle name="Normal 26 4 3 19" xfId="33605"/>
    <cellStyle name="Normal 26 4 3 2" xfId="3816"/>
    <cellStyle name="Normal 26 4 3 20" xfId="36241"/>
    <cellStyle name="Normal 26 4 3 21" xfId="37981"/>
    <cellStyle name="Normal 26 4 3 22" xfId="39734"/>
    <cellStyle name="Normal 26 4 3 23" xfId="41489"/>
    <cellStyle name="Normal 26 4 3 24" xfId="43241"/>
    <cellStyle name="Normal 26 4 3 25" xfId="45859"/>
    <cellStyle name="Normal 26 4 3 26" xfId="47611"/>
    <cellStyle name="Normal 26 4 3 27" xfId="49363"/>
    <cellStyle name="Normal 26 4 3 28" xfId="51115"/>
    <cellStyle name="Normal 26 4 3 29" xfId="52867"/>
    <cellStyle name="Normal 26 4 3 3" xfId="5568"/>
    <cellStyle name="Normal 26 4 3 30" xfId="54619"/>
    <cellStyle name="Normal 26 4 3 31" xfId="56371"/>
    <cellStyle name="Normal 26 4 3 32" xfId="58124"/>
    <cellStyle name="Normal 26 4 3 33" xfId="59876"/>
    <cellStyle name="Normal 26 4 3 34" xfId="61628"/>
    <cellStyle name="Normal 26 4 3 4" xfId="7320"/>
    <cellStyle name="Normal 26 4 3 5" xfId="9072"/>
    <cellStyle name="Normal 26 4 3 6" xfId="10825"/>
    <cellStyle name="Normal 26 4 3 7" xfId="12577"/>
    <cellStyle name="Normal 26 4 3 8" xfId="14329"/>
    <cellStyle name="Normal 26 4 3 9" xfId="16081"/>
    <cellStyle name="Normal 26 4 30" xfId="46735"/>
    <cellStyle name="Normal 26 4 31" xfId="48487"/>
    <cellStyle name="Normal 26 4 32" xfId="50239"/>
    <cellStyle name="Normal 26 4 33" xfId="51991"/>
    <cellStyle name="Normal 26 4 34" xfId="53743"/>
    <cellStyle name="Normal 26 4 35" xfId="55495"/>
    <cellStyle name="Normal 26 4 36" xfId="57248"/>
    <cellStyle name="Normal 26 4 37" xfId="59000"/>
    <cellStyle name="Normal 26 4 38" xfId="60752"/>
    <cellStyle name="Normal 26 4 39" xfId="62562"/>
    <cellStyle name="Normal 26 4 4" xfId="2940"/>
    <cellStyle name="Normal 26 4 40" xfId="63428"/>
    <cellStyle name="Normal 26 4 5" xfId="4692"/>
    <cellStyle name="Normal 26 4 6" xfId="6444"/>
    <cellStyle name="Normal 26 4 7" xfId="8196"/>
    <cellStyle name="Normal 26 4 8" xfId="9949"/>
    <cellStyle name="Normal 26 4 9" xfId="11701"/>
    <cellStyle name="Normal 26 40" xfId="58718"/>
    <cellStyle name="Normal 26 41" xfId="60470"/>
    <cellStyle name="Normal 26 42" xfId="62549"/>
    <cellStyle name="Normal 26 43" xfId="63415"/>
    <cellStyle name="Normal 26 5" xfId="1243"/>
    <cellStyle name="Normal 26 5 10" xfId="15359"/>
    <cellStyle name="Normal 26 5 11" xfId="17112"/>
    <cellStyle name="Normal 26 5 12" xfId="18864"/>
    <cellStyle name="Normal 26 5 13" xfId="20617"/>
    <cellStyle name="Normal 26 5 14" xfId="22369"/>
    <cellStyle name="Normal 26 5 15" xfId="24121"/>
    <cellStyle name="Normal 26 5 16" xfId="25873"/>
    <cellStyle name="Normal 26 5 17" xfId="27625"/>
    <cellStyle name="Normal 26 5 18" xfId="29378"/>
    <cellStyle name="Normal 26 5 19" xfId="31130"/>
    <cellStyle name="Normal 26 5 2" xfId="1244"/>
    <cellStyle name="Normal 26 5 2 10" xfId="17988"/>
    <cellStyle name="Normal 26 5 2 11" xfId="19740"/>
    <cellStyle name="Normal 26 5 2 12" xfId="21493"/>
    <cellStyle name="Normal 26 5 2 13" xfId="23245"/>
    <cellStyle name="Normal 26 5 2 14" xfId="24997"/>
    <cellStyle name="Normal 26 5 2 15" xfId="26749"/>
    <cellStyle name="Normal 26 5 2 16" xfId="28501"/>
    <cellStyle name="Normal 26 5 2 17" xfId="30254"/>
    <cellStyle name="Normal 26 5 2 18" xfId="32006"/>
    <cellStyle name="Normal 26 5 2 19" xfId="33759"/>
    <cellStyle name="Normal 26 5 2 2" xfId="3970"/>
    <cellStyle name="Normal 26 5 2 20" xfId="36395"/>
    <cellStyle name="Normal 26 5 2 21" xfId="38135"/>
    <cellStyle name="Normal 26 5 2 22" xfId="39888"/>
    <cellStyle name="Normal 26 5 2 23" xfId="41643"/>
    <cellStyle name="Normal 26 5 2 24" xfId="43395"/>
    <cellStyle name="Normal 26 5 2 25" xfId="46013"/>
    <cellStyle name="Normal 26 5 2 26" xfId="47765"/>
    <cellStyle name="Normal 26 5 2 27" xfId="49517"/>
    <cellStyle name="Normal 26 5 2 28" xfId="51269"/>
    <cellStyle name="Normal 26 5 2 29" xfId="53021"/>
    <cellStyle name="Normal 26 5 2 3" xfId="5722"/>
    <cellStyle name="Normal 26 5 2 30" xfId="54773"/>
    <cellStyle name="Normal 26 5 2 31" xfId="56525"/>
    <cellStyle name="Normal 26 5 2 32" xfId="58278"/>
    <cellStyle name="Normal 26 5 2 33" xfId="60030"/>
    <cellStyle name="Normal 26 5 2 34" xfId="61782"/>
    <cellStyle name="Normal 26 5 2 4" xfId="7474"/>
    <cellStyle name="Normal 26 5 2 5" xfId="9226"/>
    <cellStyle name="Normal 26 5 2 6" xfId="10979"/>
    <cellStyle name="Normal 26 5 2 7" xfId="12731"/>
    <cellStyle name="Normal 26 5 2 8" xfId="14483"/>
    <cellStyle name="Normal 26 5 2 9" xfId="16235"/>
    <cellStyle name="Normal 26 5 20" xfId="32883"/>
    <cellStyle name="Normal 26 5 21" xfId="34556"/>
    <cellStyle name="Normal 26 5 22" xfId="35519"/>
    <cellStyle name="Normal 26 5 23" xfId="37177"/>
    <cellStyle name="Normal 26 5 24" xfId="39012"/>
    <cellStyle name="Normal 26 5 25" xfId="40767"/>
    <cellStyle name="Normal 26 5 26" xfId="42519"/>
    <cellStyle name="Normal 26 5 27" xfId="44177"/>
    <cellStyle name="Normal 26 5 28" xfId="45137"/>
    <cellStyle name="Normal 26 5 29" xfId="46889"/>
    <cellStyle name="Normal 26 5 3" xfId="3094"/>
    <cellStyle name="Normal 26 5 30" xfId="48641"/>
    <cellStyle name="Normal 26 5 31" xfId="50393"/>
    <cellStyle name="Normal 26 5 32" xfId="52145"/>
    <cellStyle name="Normal 26 5 33" xfId="53897"/>
    <cellStyle name="Normal 26 5 34" xfId="55649"/>
    <cellStyle name="Normal 26 5 35" xfId="57402"/>
    <cellStyle name="Normal 26 5 36" xfId="59154"/>
    <cellStyle name="Normal 26 5 37" xfId="60906"/>
    <cellStyle name="Normal 26 5 38" xfId="62564"/>
    <cellStyle name="Normal 26 5 39" xfId="63430"/>
    <cellStyle name="Normal 26 5 4" xfId="4846"/>
    <cellStyle name="Normal 26 5 5" xfId="6598"/>
    <cellStyle name="Normal 26 5 6" xfId="8350"/>
    <cellStyle name="Normal 26 5 7" xfId="10103"/>
    <cellStyle name="Normal 26 5 8" xfId="11855"/>
    <cellStyle name="Normal 26 5 9" xfId="13607"/>
    <cellStyle name="Normal 26 6" xfId="1245"/>
    <cellStyle name="Normal 26 6 10" xfId="17552"/>
    <cellStyle name="Normal 26 6 11" xfId="19304"/>
    <cellStyle name="Normal 26 6 12" xfId="21057"/>
    <cellStyle name="Normal 26 6 13" xfId="22809"/>
    <cellStyle name="Normal 26 6 14" xfId="24561"/>
    <cellStyle name="Normal 26 6 15" xfId="26313"/>
    <cellStyle name="Normal 26 6 16" xfId="28065"/>
    <cellStyle name="Normal 26 6 17" xfId="29818"/>
    <cellStyle name="Normal 26 6 18" xfId="31570"/>
    <cellStyle name="Normal 26 6 19" xfId="33323"/>
    <cellStyle name="Normal 26 6 2" xfId="3534"/>
    <cellStyle name="Normal 26 6 20" xfId="35959"/>
    <cellStyle name="Normal 26 6 21" xfId="37700"/>
    <cellStyle name="Normal 26 6 22" xfId="39452"/>
    <cellStyle name="Normal 26 6 23" xfId="41207"/>
    <cellStyle name="Normal 26 6 24" xfId="42959"/>
    <cellStyle name="Normal 26 6 25" xfId="45577"/>
    <cellStyle name="Normal 26 6 26" xfId="47329"/>
    <cellStyle name="Normal 26 6 27" xfId="49081"/>
    <cellStyle name="Normal 26 6 28" xfId="50833"/>
    <cellStyle name="Normal 26 6 29" xfId="52585"/>
    <cellStyle name="Normal 26 6 3" xfId="5286"/>
    <cellStyle name="Normal 26 6 30" xfId="54337"/>
    <cellStyle name="Normal 26 6 31" xfId="56089"/>
    <cellStyle name="Normal 26 6 32" xfId="57842"/>
    <cellStyle name="Normal 26 6 33" xfId="59594"/>
    <cellStyle name="Normal 26 6 34" xfId="61346"/>
    <cellStyle name="Normal 26 6 4" xfId="7038"/>
    <cellStyle name="Normal 26 6 5" xfId="8790"/>
    <cellStyle name="Normal 26 6 6" xfId="10543"/>
    <cellStyle name="Normal 26 6 7" xfId="12295"/>
    <cellStyle name="Normal 26 6 8" xfId="14047"/>
    <cellStyle name="Normal 26 6 9" xfId="15799"/>
    <cellStyle name="Normal 26 7" xfId="2658"/>
    <cellStyle name="Normal 26 8" xfId="4410"/>
    <cellStyle name="Normal 26 9" xfId="6162"/>
    <cellStyle name="Normal 27" xfId="1246"/>
    <cellStyle name="Normal 28" xfId="1247"/>
    <cellStyle name="Normal 28 10" xfId="7915"/>
    <cellStyle name="Normal 28 11" xfId="9668"/>
    <cellStyle name="Normal 28 12" xfId="11420"/>
    <cellStyle name="Normal 28 13" xfId="13172"/>
    <cellStyle name="Normal 28 14" xfId="14924"/>
    <cellStyle name="Normal 28 15" xfId="16677"/>
    <cellStyle name="Normal 28 16" xfId="18429"/>
    <cellStyle name="Normal 28 17" xfId="20182"/>
    <cellStyle name="Normal 28 18" xfId="21934"/>
    <cellStyle name="Normal 28 19" xfId="23686"/>
    <cellStyle name="Normal 28 2" xfId="1248"/>
    <cellStyle name="Normal 28 2 10" xfId="9723"/>
    <cellStyle name="Normal 28 2 11" xfId="11475"/>
    <cellStyle name="Normal 28 2 12" xfId="13227"/>
    <cellStyle name="Normal 28 2 13" xfId="14979"/>
    <cellStyle name="Normal 28 2 14" xfId="16732"/>
    <cellStyle name="Normal 28 2 15" xfId="18484"/>
    <cellStyle name="Normal 28 2 16" xfId="20237"/>
    <cellStyle name="Normal 28 2 17" xfId="21989"/>
    <cellStyle name="Normal 28 2 18" xfId="23741"/>
    <cellStyle name="Normal 28 2 19" xfId="25493"/>
    <cellStyle name="Normal 28 2 2" xfId="1249"/>
    <cellStyle name="Normal 28 2 2 10" xfId="11583"/>
    <cellStyle name="Normal 28 2 2 11" xfId="13335"/>
    <cellStyle name="Normal 28 2 2 12" xfId="15087"/>
    <cellStyle name="Normal 28 2 2 13" xfId="16840"/>
    <cellStyle name="Normal 28 2 2 14" xfId="18592"/>
    <cellStyle name="Normal 28 2 2 15" xfId="20345"/>
    <cellStyle name="Normal 28 2 2 16" xfId="22097"/>
    <cellStyle name="Normal 28 2 2 17" xfId="23849"/>
    <cellStyle name="Normal 28 2 2 18" xfId="25601"/>
    <cellStyle name="Normal 28 2 2 19" xfId="27353"/>
    <cellStyle name="Normal 28 2 2 2" xfId="1250"/>
    <cellStyle name="Normal 28 2 2 2 10" xfId="13454"/>
    <cellStyle name="Normal 28 2 2 2 11" xfId="15206"/>
    <cellStyle name="Normal 28 2 2 2 12" xfId="16959"/>
    <cellStyle name="Normal 28 2 2 2 13" xfId="18711"/>
    <cellStyle name="Normal 28 2 2 2 14" xfId="20464"/>
    <cellStyle name="Normal 28 2 2 2 15" xfId="22216"/>
    <cellStyle name="Normal 28 2 2 2 16" xfId="23968"/>
    <cellStyle name="Normal 28 2 2 2 17" xfId="25720"/>
    <cellStyle name="Normal 28 2 2 2 18" xfId="27472"/>
    <cellStyle name="Normal 28 2 2 2 19" xfId="29225"/>
    <cellStyle name="Normal 28 2 2 2 2" xfId="1251"/>
    <cellStyle name="Normal 28 2 2 2 2 10" xfId="15642"/>
    <cellStyle name="Normal 28 2 2 2 2 11" xfId="17395"/>
    <cellStyle name="Normal 28 2 2 2 2 12" xfId="19147"/>
    <cellStyle name="Normal 28 2 2 2 2 13" xfId="20900"/>
    <cellStyle name="Normal 28 2 2 2 2 14" xfId="22652"/>
    <cellStyle name="Normal 28 2 2 2 2 15" xfId="24404"/>
    <cellStyle name="Normal 28 2 2 2 2 16" xfId="26156"/>
    <cellStyle name="Normal 28 2 2 2 2 17" xfId="27908"/>
    <cellStyle name="Normal 28 2 2 2 2 18" xfId="29661"/>
    <cellStyle name="Normal 28 2 2 2 2 19" xfId="31413"/>
    <cellStyle name="Normal 28 2 2 2 2 2" xfId="1252"/>
    <cellStyle name="Normal 28 2 2 2 2 2 10" xfId="18271"/>
    <cellStyle name="Normal 28 2 2 2 2 2 11" xfId="20023"/>
    <cellStyle name="Normal 28 2 2 2 2 2 12" xfId="21776"/>
    <cellStyle name="Normal 28 2 2 2 2 2 13" xfId="23528"/>
    <cellStyle name="Normal 28 2 2 2 2 2 14" xfId="25280"/>
    <cellStyle name="Normal 28 2 2 2 2 2 15" xfId="27032"/>
    <cellStyle name="Normal 28 2 2 2 2 2 16" xfId="28784"/>
    <cellStyle name="Normal 28 2 2 2 2 2 17" xfId="30537"/>
    <cellStyle name="Normal 28 2 2 2 2 2 18" xfId="32289"/>
    <cellStyle name="Normal 28 2 2 2 2 2 19" xfId="34042"/>
    <cellStyle name="Normal 28 2 2 2 2 2 2" xfId="4253"/>
    <cellStyle name="Normal 28 2 2 2 2 2 20" xfId="36678"/>
    <cellStyle name="Normal 28 2 2 2 2 2 21" xfId="38418"/>
    <cellStyle name="Normal 28 2 2 2 2 2 22" xfId="40171"/>
    <cellStyle name="Normal 28 2 2 2 2 2 23" xfId="41926"/>
    <cellStyle name="Normal 28 2 2 2 2 2 24" xfId="43678"/>
    <cellStyle name="Normal 28 2 2 2 2 2 25" xfId="46296"/>
    <cellStyle name="Normal 28 2 2 2 2 2 26" xfId="48048"/>
    <cellStyle name="Normal 28 2 2 2 2 2 27" xfId="49800"/>
    <cellStyle name="Normal 28 2 2 2 2 2 28" xfId="51552"/>
    <cellStyle name="Normal 28 2 2 2 2 2 29" xfId="53304"/>
    <cellStyle name="Normal 28 2 2 2 2 2 3" xfId="6005"/>
    <cellStyle name="Normal 28 2 2 2 2 2 30" xfId="55056"/>
    <cellStyle name="Normal 28 2 2 2 2 2 31" xfId="56808"/>
    <cellStyle name="Normal 28 2 2 2 2 2 32" xfId="58561"/>
    <cellStyle name="Normal 28 2 2 2 2 2 33" xfId="60313"/>
    <cellStyle name="Normal 28 2 2 2 2 2 34" xfId="62065"/>
    <cellStyle name="Normal 28 2 2 2 2 2 4" xfId="7757"/>
    <cellStyle name="Normal 28 2 2 2 2 2 5" xfId="9509"/>
    <cellStyle name="Normal 28 2 2 2 2 2 6" xfId="11262"/>
    <cellStyle name="Normal 28 2 2 2 2 2 7" xfId="13014"/>
    <cellStyle name="Normal 28 2 2 2 2 2 8" xfId="14766"/>
    <cellStyle name="Normal 28 2 2 2 2 2 9" xfId="16518"/>
    <cellStyle name="Normal 28 2 2 2 2 20" xfId="33166"/>
    <cellStyle name="Normal 28 2 2 2 2 21" xfId="34561"/>
    <cellStyle name="Normal 28 2 2 2 2 22" xfId="35802"/>
    <cellStyle name="Normal 28 2 2 2 2 23" xfId="37182"/>
    <cellStyle name="Normal 28 2 2 2 2 24" xfId="39295"/>
    <cellStyle name="Normal 28 2 2 2 2 25" xfId="41050"/>
    <cellStyle name="Normal 28 2 2 2 2 26" xfId="42802"/>
    <cellStyle name="Normal 28 2 2 2 2 27" xfId="44182"/>
    <cellStyle name="Normal 28 2 2 2 2 28" xfId="45420"/>
    <cellStyle name="Normal 28 2 2 2 2 29" xfId="47172"/>
    <cellStyle name="Normal 28 2 2 2 2 3" xfId="3377"/>
    <cellStyle name="Normal 28 2 2 2 2 30" xfId="48924"/>
    <cellStyle name="Normal 28 2 2 2 2 31" xfId="50676"/>
    <cellStyle name="Normal 28 2 2 2 2 32" xfId="52428"/>
    <cellStyle name="Normal 28 2 2 2 2 33" xfId="54180"/>
    <cellStyle name="Normal 28 2 2 2 2 34" xfId="55932"/>
    <cellStyle name="Normal 28 2 2 2 2 35" xfId="57685"/>
    <cellStyle name="Normal 28 2 2 2 2 36" xfId="59437"/>
    <cellStyle name="Normal 28 2 2 2 2 37" xfId="61189"/>
    <cellStyle name="Normal 28 2 2 2 2 38" xfId="62569"/>
    <cellStyle name="Normal 28 2 2 2 2 39" xfId="63435"/>
    <cellStyle name="Normal 28 2 2 2 2 4" xfId="5129"/>
    <cellStyle name="Normal 28 2 2 2 2 5" xfId="6881"/>
    <cellStyle name="Normal 28 2 2 2 2 6" xfId="8633"/>
    <cellStyle name="Normal 28 2 2 2 2 7" xfId="10386"/>
    <cellStyle name="Normal 28 2 2 2 2 8" xfId="12138"/>
    <cellStyle name="Normal 28 2 2 2 2 9" xfId="13890"/>
    <cellStyle name="Normal 28 2 2 2 20" xfId="30977"/>
    <cellStyle name="Normal 28 2 2 2 21" xfId="32730"/>
    <cellStyle name="Normal 28 2 2 2 22" xfId="34560"/>
    <cellStyle name="Normal 28 2 2 2 23" xfId="35366"/>
    <cellStyle name="Normal 28 2 2 2 24" xfId="37181"/>
    <cellStyle name="Normal 28 2 2 2 25" xfId="38859"/>
    <cellStyle name="Normal 28 2 2 2 26" xfId="40614"/>
    <cellStyle name="Normal 28 2 2 2 27" xfId="42366"/>
    <cellStyle name="Normal 28 2 2 2 28" xfId="44181"/>
    <cellStyle name="Normal 28 2 2 2 29" xfId="44984"/>
    <cellStyle name="Normal 28 2 2 2 3" xfId="1253"/>
    <cellStyle name="Normal 28 2 2 2 3 10" xfId="17835"/>
    <cellStyle name="Normal 28 2 2 2 3 11" xfId="19587"/>
    <cellStyle name="Normal 28 2 2 2 3 12" xfId="21340"/>
    <cellStyle name="Normal 28 2 2 2 3 13" xfId="23092"/>
    <cellStyle name="Normal 28 2 2 2 3 14" xfId="24844"/>
    <cellStyle name="Normal 28 2 2 2 3 15" xfId="26596"/>
    <cellStyle name="Normal 28 2 2 2 3 16" xfId="28348"/>
    <cellStyle name="Normal 28 2 2 2 3 17" xfId="30101"/>
    <cellStyle name="Normal 28 2 2 2 3 18" xfId="31853"/>
    <cellStyle name="Normal 28 2 2 2 3 19" xfId="33606"/>
    <cellStyle name="Normal 28 2 2 2 3 2" xfId="3817"/>
    <cellStyle name="Normal 28 2 2 2 3 20" xfId="36242"/>
    <cellStyle name="Normal 28 2 2 2 3 21" xfId="37982"/>
    <cellStyle name="Normal 28 2 2 2 3 22" xfId="39735"/>
    <cellStyle name="Normal 28 2 2 2 3 23" xfId="41490"/>
    <cellStyle name="Normal 28 2 2 2 3 24" xfId="43242"/>
    <cellStyle name="Normal 28 2 2 2 3 25" xfId="45860"/>
    <cellStyle name="Normal 28 2 2 2 3 26" xfId="47612"/>
    <cellStyle name="Normal 28 2 2 2 3 27" xfId="49364"/>
    <cellStyle name="Normal 28 2 2 2 3 28" xfId="51116"/>
    <cellStyle name="Normal 28 2 2 2 3 29" xfId="52868"/>
    <cellStyle name="Normal 28 2 2 2 3 3" xfId="5569"/>
    <cellStyle name="Normal 28 2 2 2 3 30" xfId="54620"/>
    <cellStyle name="Normal 28 2 2 2 3 31" xfId="56372"/>
    <cellStyle name="Normal 28 2 2 2 3 32" xfId="58125"/>
    <cellStyle name="Normal 28 2 2 2 3 33" xfId="59877"/>
    <cellStyle name="Normal 28 2 2 2 3 34" xfId="61629"/>
    <cellStyle name="Normal 28 2 2 2 3 4" xfId="7321"/>
    <cellStyle name="Normal 28 2 2 2 3 5" xfId="9073"/>
    <cellStyle name="Normal 28 2 2 2 3 6" xfId="10826"/>
    <cellStyle name="Normal 28 2 2 2 3 7" xfId="12578"/>
    <cellStyle name="Normal 28 2 2 2 3 8" xfId="14330"/>
    <cellStyle name="Normal 28 2 2 2 3 9" xfId="16082"/>
    <cellStyle name="Normal 28 2 2 2 30" xfId="46736"/>
    <cellStyle name="Normal 28 2 2 2 31" xfId="48488"/>
    <cellStyle name="Normal 28 2 2 2 32" xfId="50240"/>
    <cellStyle name="Normal 28 2 2 2 33" xfId="51992"/>
    <cellStyle name="Normal 28 2 2 2 34" xfId="53744"/>
    <cellStyle name="Normal 28 2 2 2 35" xfId="55496"/>
    <cellStyle name="Normal 28 2 2 2 36" xfId="57249"/>
    <cellStyle name="Normal 28 2 2 2 37" xfId="59001"/>
    <cellStyle name="Normal 28 2 2 2 38" xfId="60753"/>
    <cellStyle name="Normal 28 2 2 2 39" xfId="62568"/>
    <cellStyle name="Normal 28 2 2 2 4" xfId="2941"/>
    <cellStyle name="Normal 28 2 2 2 40" xfId="63434"/>
    <cellStyle name="Normal 28 2 2 2 5" xfId="4693"/>
    <cellStyle name="Normal 28 2 2 2 6" xfId="6445"/>
    <cellStyle name="Normal 28 2 2 2 7" xfId="8197"/>
    <cellStyle name="Normal 28 2 2 2 8" xfId="9950"/>
    <cellStyle name="Normal 28 2 2 2 9" xfId="11702"/>
    <cellStyle name="Normal 28 2 2 20" xfId="29106"/>
    <cellStyle name="Normal 28 2 2 21" xfId="30858"/>
    <cellStyle name="Normal 28 2 2 22" xfId="32611"/>
    <cellStyle name="Normal 28 2 2 23" xfId="34559"/>
    <cellStyle name="Normal 28 2 2 24" xfId="35247"/>
    <cellStyle name="Normal 28 2 2 25" xfId="37180"/>
    <cellStyle name="Normal 28 2 2 26" xfId="38740"/>
    <cellStyle name="Normal 28 2 2 27" xfId="40495"/>
    <cellStyle name="Normal 28 2 2 28" xfId="42247"/>
    <cellStyle name="Normal 28 2 2 29" xfId="44180"/>
    <cellStyle name="Normal 28 2 2 3" xfId="1254"/>
    <cellStyle name="Normal 28 2 2 3 10" xfId="15523"/>
    <cellStyle name="Normal 28 2 2 3 11" xfId="17276"/>
    <cellStyle name="Normal 28 2 2 3 12" xfId="19028"/>
    <cellStyle name="Normal 28 2 2 3 13" xfId="20781"/>
    <cellStyle name="Normal 28 2 2 3 14" xfId="22533"/>
    <cellStyle name="Normal 28 2 2 3 15" xfId="24285"/>
    <cellStyle name="Normal 28 2 2 3 16" xfId="26037"/>
    <cellStyle name="Normal 28 2 2 3 17" xfId="27789"/>
    <cellStyle name="Normal 28 2 2 3 18" xfId="29542"/>
    <cellStyle name="Normal 28 2 2 3 19" xfId="31294"/>
    <cellStyle name="Normal 28 2 2 3 2" xfId="1255"/>
    <cellStyle name="Normal 28 2 2 3 2 10" xfId="18152"/>
    <cellStyle name="Normal 28 2 2 3 2 11" xfId="19904"/>
    <cellStyle name="Normal 28 2 2 3 2 12" xfId="21657"/>
    <cellStyle name="Normal 28 2 2 3 2 13" xfId="23409"/>
    <cellStyle name="Normal 28 2 2 3 2 14" xfId="25161"/>
    <cellStyle name="Normal 28 2 2 3 2 15" xfId="26913"/>
    <cellStyle name="Normal 28 2 2 3 2 16" xfId="28665"/>
    <cellStyle name="Normal 28 2 2 3 2 17" xfId="30418"/>
    <cellStyle name="Normal 28 2 2 3 2 18" xfId="32170"/>
    <cellStyle name="Normal 28 2 2 3 2 19" xfId="33923"/>
    <cellStyle name="Normal 28 2 2 3 2 2" xfId="4134"/>
    <cellStyle name="Normal 28 2 2 3 2 20" xfId="36559"/>
    <cellStyle name="Normal 28 2 2 3 2 21" xfId="38299"/>
    <cellStyle name="Normal 28 2 2 3 2 22" xfId="40052"/>
    <cellStyle name="Normal 28 2 2 3 2 23" xfId="41807"/>
    <cellStyle name="Normal 28 2 2 3 2 24" xfId="43559"/>
    <cellStyle name="Normal 28 2 2 3 2 25" xfId="46177"/>
    <cellStyle name="Normal 28 2 2 3 2 26" xfId="47929"/>
    <cellStyle name="Normal 28 2 2 3 2 27" xfId="49681"/>
    <cellStyle name="Normal 28 2 2 3 2 28" xfId="51433"/>
    <cellStyle name="Normal 28 2 2 3 2 29" xfId="53185"/>
    <cellStyle name="Normal 28 2 2 3 2 3" xfId="5886"/>
    <cellStyle name="Normal 28 2 2 3 2 30" xfId="54937"/>
    <cellStyle name="Normal 28 2 2 3 2 31" xfId="56689"/>
    <cellStyle name="Normal 28 2 2 3 2 32" xfId="58442"/>
    <cellStyle name="Normal 28 2 2 3 2 33" xfId="60194"/>
    <cellStyle name="Normal 28 2 2 3 2 34" xfId="61946"/>
    <cellStyle name="Normal 28 2 2 3 2 4" xfId="7638"/>
    <cellStyle name="Normal 28 2 2 3 2 5" xfId="9390"/>
    <cellStyle name="Normal 28 2 2 3 2 6" xfId="11143"/>
    <cellStyle name="Normal 28 2 2 3 2 7" xfId="12895"/>
    <cellStyle name="Normal 28 2 2 3 2 8" xfId="14647"/>
    <cellStyle name="Normal 28 2 2 3 2 9" xfId="16399"/>
    <cellStyle name="Normal 28 2 2 3 20" xfId="33047"/>
    <cellStyle name="Normal 28 2 2 3 21" xfId="34562"/>
    <cellStyle name="Normal 28 2 2 3 22" xfId="35683"/>
    <cellStyle name="Normal 28 2 2 3 23" xfId="37183"/>
    <cellStyle name="Normal 28 2 2 3 24" xfId="39176"/>
    <cellStyle name="Normal 28 2 2 3 25" xfId="40931"/>
    <cellStyle name="Normal 28 2 2 3 26" xfId="42683"/>
    <cellStyle name="Normal 28 2 2 3 27" xfId="44183"/>
    <cellStyle name="Normal 28 2 2 3 28" xfId="45301"/>
    <cellStyle name="Normal 28 2 2 3 29" xfId="47053"/>
    <cellStyle name="Normal 28 2 2 3 3" xfId="3258"/>
    <cellStyle name="Normal 28 2 2 3 30" xfId="48805"/>
    <cellStyle name="Normal 28 2 2 3 31" xfId="50557"/>
    <cellStyle name="Normal 28 2 2 3 32" xfId="52309"/>
    <cellStyle name="Normal 28 2 2 3 33" xfId="54061"/>
    <cellStyle name="Normal 28 2 2 3 34" xfId="55813"/>
    <cellStyle name="Normal 28 2 2 3 35" xfId="57566"/>
    <cellStyle name="Normal 28 2 2 3 36" xfId="59318"/>
    <cellStyle name="Normal 28 2 2 3 37" xfId="61070"/>
    <cellStyle name="Normal 28 2 2 3 38" xfId="62570"/>
    <cellStyle name="Normal 28 2 2 3 39" xfId="63436"/>
    <cellStyle name="Normal 28 2 2 3 4" xfId="5010"/>
    <cellStyle name="Normal 28 2 2 3 5" xfId="6762"/>
    <cellStyle name="Normal 28 2 2 3 6" xfId="8514"/>
    <cellStyle name="Normal 28 2 2 3 7" xfId="10267"/>
    <cellStyle name="Normal 28 2 2 3 8" xfId="12019"/>
    <cellStyle name="Normal 28 2 2 3 9" xfId="13771"/>
    <cellStyle name="Normal 28 2 2 30" xfId="44865"/>
    <cellStyle name="Normal 28 2 2 31" xfId="46617"/>
    <cellStyle name="Normal 28 2 2 32" xfId="48369"/>
    <cellStyle name="Normal 28 2 2 33" xfId="50121"/>
    <cellStyle name="Normal 28 2 2 34" xfId="51873"/>
    <cellStyle name="Normal 28 2 2 35" xfId="53625"/>
    <cellStyle name="Normal 28 2 2 36" xfId="55377"/>
    <cellStyle name="Normal 28 2 2 37" xfId="57130"/>
    <cellStyle name="Normal 28 2 2 38" xfId="58882"/>
    <cellStyle name="Normal 28 2 2 39" xfId="60634"/>
    <cellStyle name="Normal 28 2 2 4" xfId="1256"/>
    <cellStyle name="Normal 28 2 2 4 10" xfId="17716"/>
    <cellStyle name="Normal 28 2 2 4 11" xfId="19468"/>
    <cellStyle name="Normal 28 2 2 4 12" xfId="21221"/>
    <cellStyle name="Normal 28 2 2 4 13" xfId="22973"/>
    <cellStyle name="Normal 28 2 2 4 14" xfId="24725"/>
    <cellStyle name="Normal 28 2 2 4 15" xfId="26477"/>
    <cellStyle name="Normal 28 2 2 4 16" xfId="28229"/>
    <cellStyle name="Normal 28 2 2 4 17" xfId="29982"/>
    <cellStyle name="Normal 28 2 2 4 18" xfId="31734"/>
    <cellStyle name="Normal 28 2 2 4 19" xfId="33487"/>
    <cellStyle name="Normal 28 2 2 4 2" xfId="3698"/>
    <cellStyle name="Normal 28 2 2 4 20" xfId="36123"/>
    <cellStyle name="Normal 28 2 2 4 21" xfId="37863"/>
    <cellStyle name="Normal 28 2 2 4 22" xfId="39616"/>
    <cellStyle name="Normal 28 2 2 4 23" xfId="41371"/>
    <cellStyle name="Normal 28 2 2 4 24" xfId="43123"/>
    <cellStyle name="Normal 28 2 2 4 25" xfId="45741"/>
    <cellStyle name="Normal 28 2 2 4 26" xfId="47493"/>
    <cellStyle name="Normal 28 2 2 4 27" xfId="49245"/>
    <cellStyle name="Normal 28 2 2 4 28" xfId="50997"/>
    <cellStyle name="Normal 28 2 2 4 29" xfId="52749"/>
    <cellStyle name="Normal 28 2 2 4 3" xfId="5450"/>
    <cellStyle name="Normal 28 2 2 4 30" xfId="54501"/>
    <cellStyle name="Normal 28 2 2 4 31" xfId="56253"/>
    <cellStyle name="Normal 28 2 2 4 32" xfId="58006"/>
    <cellStyle name="Normal 28 2 2 4 33" xfId="59758"/>
    <cellStyle name="Normal 28 2 2 4 34" xfId="61510"/>
    <cellStyle name="Normal 28 2 2 4 4" xfId="7202"/>
    <cellStyle name="Normal 28 2 2 4 5" xfId="8954"/>
    <cellStyle name="Normal 28 2 2 4 6" xfId="10707"/>
    <cellStyle name="Normal 28 2 2 4 7" xfId="12459"/>
    <cellStyle name="Normal 28 2 2 4 8" xfId="14211"/>
    <cellStyle name="Normal 28 2 2 4 9" xfId="15963"/>
    <cellStyle name="Normal 28 2 2 40" xfId="62567"/>
    <cellStyle name="Normal 28 2 2 41" xfId="63433"/>
    <cellStyle name="Normal 28 2 2 5" xfId="2822"/>
    <cellStyle name="Normal 28 2 2 6" xfId="4574"/>
    <cellStyle name="Normal 28 2 2 7" xfId="6326"/>
    <cellStyle name="Normal 28 2 2 8" xfId="8078"/>
    <cellStyle name="Normal 28 2 2 9" xfId="9831"/>
    <cellStyle name="Normal 28 2 20" xfId="27245"/>
    <cellStyle name="Normal 28 2 21" xfId="28998"/>
    <cellStyle name="Normal 28 2 22" xfId="30750"/>
    <cellStyle name="Normal 28 2 23" xfId="32503"/>
    <cellStyle name="Normal 28 2 24" xfId="34558"/>
    <cellStyle name="Normal 28 2 25" xfId="35139"/>
    <cellStyle name="Normal 28 2 26" xfId="37179"/>
    <cellStyle name="Normal 28 2 27" xfId="38632"/>
    <cellStyle name="Normal 28 2 28" xfId="40387"/>
    <cellStyle name="Normal 28 2 29" xfId="42139"/>
    <cellStyle name="Normal 28 2 3" xfId="1257"/>
    <cellStyle name="Normal 28 2 3 10" xfId="13455"/>
    <cellStyle name="Normal 28 2 3 11" xfId="15207"/>
    <cellStyle name="Normal 28 2 3 12" xfId="16960"/>
    <cellStyle name="Normal 28 2 3 13" xfId="18712"/>
    <cellStyle name="Normal 28 2 3 14" xfId="20465"/>
    <cellStyle name="Normal 28 2 3 15" xfId="22217"/>
    <cellStyle name="Normal 28 2 3 16" xfId="23969"/>
    <cellStyle name="Normal 28 2 3 17" xfId="25721"/>
    <cellStyle name="Normal 28 2 3 18" xfId="27473"/>
    <cellStyle name="Normal 28 2 3 19" xfId="29226"/>
    <cellStyle name="Normal 28 2 3 2" xfId="1258"/>
    <cellStyle name="Normal 28 2 3 2 10" xfId="15643"/>
    <cellStyle name="Normal 28 2 3 2 11" xfId="17396"/>
    <cellStyle name="Normal 28 2 3 2 12" xfId="19148"/>
    <cellStyle name="Normal 28 2 3 2 13" xfId="20901"/>
    <cellStyle name="Normal 28 2 3 2 14" xfId="22653"/>
    <cellStyle name="Normal 28 2 3 2 15" xfId="24405"/>
    <cellStyle name="Normal 28 2 3 2 16" xfId="26157"/>
    <cellStyle name="Normal 28 2 3 2 17" xfId="27909"/>
    <cellStyle name="Normal 28 2 3 2 18" xfId="29662"/>
    <cellStyle name="Normal 28 2 3 2 19" xfId="31414"/>
    <cellStyle name="Normal 28 2 3 2 2" xfId="1259"/>
    <cellStyle name="Normal 28 2 3 2 2 10" xfId="18272"/>
    <cellStyle name="Normal 28 2 3 2 2 11" xfId="20024"/>
    <cellStyle name="Normal 28 2 3 2 2 12" xfId="21777"/>
    <cellStyle name="Normal 28 2 3 2 2 13" xfId="23529"/>
    <cellStyle name="Normal 28 2 3 2 2 14" xfId="25281"/>
    <cellStyle name="Normal 28 2 3 2 2 15" xfId="27033"/>
    <cellStyle name="Normal 28 2 3 2 2 16" xfId="28785"/>
    <cellStyle name="Normal 28 2 3 2 2 17" xfId="30538"/>
    <cellStyle name="Normal 28 2 3 2 2 18" xfId="32290"/>
    <cellStyle name="Normal 28 2 3 2 2 19" xfId="34043"/>
    <cellStyle name="Normal 28 2 3 2 2 2" xfId="4254"/>
    <cellStyle name="Normal 28 2 3 2 2 20" xfId="36679"/>
    <cellStyle name="Normal 28 2 3 2 2 21" xfId="38419"/>
    <cellStyle name="Normal 28 2 3 2 2 22" xfId="40172"/>
    <cellStyle name="Normal 28 2 3 2 2 23" xfId="41927"/>
    <cellStyle name="Normal 28 2 3 2 2 24" xfId="43679"/>
    <cellStyle name="Normal 28 2 3 2 2 25" xfId="46297"/>
    <cellStyle name="Normal 28 2 3 2 2 26" xfId="48049"/>
    <cellStyle name="Normal 28 2 3 2 2 27" xfId="49801"/>
    <cellStyle name="Normal 28 2 3 2 2 28" xfId="51553"/>
    <cellStyle name="Normal 28 2 3 2 2 29" xfId="53305"/>
    <cellStyle name="Normal 28 2 3 2 2 3" xfId="6006"/>
    <cellStyle name="Normal 28 2 3 2 2 30" xfId="55057"/>
    <cellStyle name="Normal 28 2 3 2 2 31" xfId="56809"/>
    <cellStyle name="Normal 28 2 3 2 2 32" xfId="58562"/>
    <cellStyle name="Normal 28 2 3 2 2 33" xfId="60314"/>
    <cellStyle name="Normal 28 2 3 2 2 34" xfId="62066"/>
    <cellStyle name="Normal 28 2 3 2 2 4" xfId="7758"/>
    <cellStyle name="Normal 28 2 3 2 2 5" xfId="9510"/>
    <cellStyle name="Normal 28 2 3 2 2 6" xfId="11263"/>
    <cellStyle name="Normal 28 2 3 2 2 7" xfId="13015"/>
    <cellStyle name="Normal 28 2 3 2 2 8" xfId="14767"/>
    <cellStyle name="Normal 28 2 3 2 2 9" xfId="16519"/>
    <cellStyle name="Normal 28 2 3 2 20" xfId="33167"/>
    <cellStyle name="Normal 28 2 3 2 21" xfId="34564"/>
    <cellStyle name="Normal 28 2 3 2 22" xfId="35803"/>
    <cellStyle name="Normal 28 2 3 2 23" xfId="37185"/>
    <cellStyle name="Normal 28 2 3 2 24" xfId="39296"/>
    <cellStyle name="Normal 28 2 3 2 25" xfId="41051"/>
    <cellStyle name="Normal 28 2 3 2 26" xfId="42803"/>
    <cellStyle name="Normal 28 2 3 2 27" xfId="44185"/>
    <cellStyle name="Normal 28 2 3 2 28" xfId="45421"/>
    <cellStyle name="Normal 28 2 3 2 29" xfId="47173"/>
    <cellStyle name="Normal 28 2 3 2 3" xfId="3378"/>
    <cellStyle name="Normal 28 2 3 2 30" xfId="48925"/>
    <cellStyle name="Normal 28 2 3 2 31" xfId="50677"/>
    <cellStyle name="Normal 28 2 3 2 32" xfId="52429"/>
    <cellStyle name="Normal 28 2 3 2 33" xfId="54181"/>
    <cellStyle name="Normal 28 2 3 2 34" xfId="55933"/>
    <cellStyle name="Normal 28 2 3 2 35" xfId="57686"/>
    <cellStyle name="Normal 28 2 3 2 36" xfId="59438"/>
    <cellStyle name="Normal 28 2 3 2 37" xfId="61190"/>
    <cellStyle name="Normal 28 2 3 2 38" xfId="62572"/>
    <cellStyle name="Normal 28 2 3 2 39" xfId="63438"/>
    <cellStyle name="Normal 28 2 3 2 4" xfId="5130"/>
    <cellStyle name="Normal 28 2 3 2 5" xfId="6882"/>
    <cellStyle name="Normal 28 2 3 2 6" xfId="8634"/>
    <cellStyle name="Normal 28 2 3 2 7" xfId="10387"/>
    <cellStyle name="Normal 28 2 3 2 8" xfId="12139"/>
    <cellStyle name="Normal 28 2 3 2 9" xfId="13891"/>
    <cellStyle name="Normal 28 2 3 20" xfId="30978"/>
    <cellStyle name="Normal 28 2 3 21" xfId="32731"/>
    <cellStyle name="Normal 28 2 3 22" xfId="34563"/>
    <cellStyle name="Normal 28 2 3 23" xfId="35367"/>
    <cellStyle name="Normal 28 2 3 24" xfId="37184"/>
    <cellStyle name="Normal 28 2 3 25" xfId="38860"/>
    <cellStyle name="Normal 28 2 3 26" xfId="40615"/>
    <cellStyle name="Normal 28 2 3 27" xfId="42367"/>
    <cellStyle name="Normal 28 2 3 28" xfId="44184"/>
    <cellStyle name="Normal 28 2 3 29" xfId="44985"/>
    <cellStyle name="Normal 28 2 3 3" xfId="1260"/>
    <cellStyle name="Normal 28 2 3 3 10" xfId="17836"/>
    <cellStyle name="Normal 28 2 3 3 11" xfId="19588"/>
    <cellStyle name="Normal 28 2 3 3 12" xfId="21341"/>
    <cellStyle name="Normal 28 2 3 3 13" xfId="23093"/>
    <cellStyle name="Normal 28 2 3 3 14" xfId="24845"/>
    <cellStyle name="Normal 28 2 3 3 15" xfId="26597"/>
    <cellStyle name="Normal 28 2 3 3 16" xfId="28349"/>
    <cellStyle name="Normal 28 2 3 3 17" xfId="30102"/>
    <cellStyle name="Normal 28 2 3 3 18" xfId="31854"/>
    <cellStyle name="Normal 28 2 3 3 19" xfId="33607"/>
    <cellStyle name="Normal 28 2 3 3 2" xfId="3818"/>
    <cellStyle name="Normal 28 2 3 3 20" xfId="36243"/>
    <cellStyle name="Normal 28 2 3 3 21" xfId="37983"/>
    <cellStyle name="Normal 28 2 3 3 22" xfId="39736"/>
    <cellStyle name="Normal 28 2 3 3 23" xfId="41491"/>
    <cellStyle name="Normal 28 2 3 3 24" xfId="43243"/>
    <cellStyle name="Normal 28 2 3 3 25" xfId="45861"/>
    <cellStyle name="Normal 28 2 3 3 26" xfId="47613"/>
    <cellStyle name="Normal 28 2 3 3 27" xfId="49365"/>
    <cellStyle name="Normal 28 2 3 3 28" xfId="51117"/>
    <cellStyle name="Normal 28 2 3 3 29" xfId="52869"/>
    <cellStyle name="Normal 28 2 3 3 3" xfId="5570"/>
    <cellStyle name="Normal 28 2 3 3 30" xfId="54621"/>
    <cellStyle name="Normal 28 2 3 3 31" xfId="56373"/>
    <cellStyle name="Normal 28 2 3 3 32" xfId="58126"/>
    <cellStyle name="Normal 28 2 3 3 33" xfId="59878"/>
    <cellStyle name="Normal 28 2 3 3 34" xfId="61630"/>
    <cellStyle name="Normal 28 2 3 3 4" xfId="7322"/>
    <cellStyle name="Normal 28 2 3 3 5" xfId="9074"/>
    <cellStyle name="Normal 28 2 3 3 6" xfId="10827"/>
    <cellStyle name="Normal 28 2 3 3 7" xfId="12579"/>
    <cellStyle name="Normal 28 2 3 3 8" xfId="14331"/>
    <cellStyle name="Normal 28 2 3 3 9" xfId="16083"/>
    <cellStyle name="Normal 28 2 3 30" xfId="46737"/>
    <cellStyle name="Normal 28 2 3 31" xfId="48489"/>
    <cellStyle name="Normal 28 2 3 32" xfId="50241"/>
    <cellStyle name="Normal 28 2 3 33" xfId="51993"/>
    <cellStyle name="Normal 28 2 3 34" xfId="53745"/>
    <cellStyle name="Normal 28 2 3 35" xfId="55497"/>
    <cellStyle name="Normal 28 2 3 36" xfId="57250"/>
    <cellStyle name="Normal 28 2 3 37" xfId="59002"/>
    <cellStyle name="Normal 28 2 3 38" xfId="60754"/>
    <cellStyle name="Normal 28 2 3 39" xfId="62571"/>
    <cellStyle name="Normal 28 2 3 4" xfId="2942"/>
    <cellStyle name="Normal 28 2 3 40" xfId="63437"/>
    <cellStyle name="Normal 28 2 3 5" xfId="4694"/>
    <cellStyle name="Normal 28 2 3 6" xfId="6446"/>
    <cellStyle name="Normal 28 2 3 7" xfId="8198"/>
    <cellStyle name="Normal 28 2 3 8" xfId="9951"/>
    <cellStyle name="Normal 28 2 3 9" xfId="11703"/>
    <cellStyle name="Normal 28 2 30" xfId="44179"/>
    <cellStyle name="Normal 28 2 31" xfId="44757"/>
    <cellStyle name="Normal 28 2 32" xfId="46509"/>
    <cellStyle name="Normal 28 2 33" xfId="48261"/>
    <cellStyle name="Normal 28 2 34" xfId="50013"/>
    <cellStyle name="Normal 28 2 35" xfId="51765"/>
    <cellStyle name="Normal 28 2 36" xfId="53517"/>
    <cellStyle name="Normal 28 2 37" xfId="55269"/>
    <cellStyle name="Normal 28 2 38" xfId="57022"/>
    <cellStyle name="Normal 28 2 39" xfId="58774"/>
    <cellStyle name="Normal 28 2 4" xfId="1261"/>
    <cellStyle name="Normal 28 2 4 10" xfId="15415"/>
    <cellStyle name="Normal 28 2 4 11" xfId="17168"/>
    <cellStyle name="Normal 28 2 4 12" xfId="18920"/>
    <cellStyle name="Normal 28 2 4 13" xfId="20673"/>
    <cellStyle name="Normal 28 2 4 14" xfId="22425"/>
    <cellStyle name="Normal 28 2 4 15" xfId="24177"/>
    <cellStyle name="Normal 28 2 4 16" xfId="25929"/>
    <cellStyle name="Normal 28 2 4 17" xfId="27681"/>
    <cellStyle name="Normal 28 2 4 18" xfId="29434"/>
    <cellStyle name="Normal 28 2 4 19" xfId="31186"/>
    <cellStyle name="Normal 28 2 4 2" xfId="1262"/>
    <cellStyle name="Normal 28 2 4 2 10" xfId="18044"/>
    <cellStyle name="Normal 28 2 4 2 11" xfId="19796"/>
    <cellStyle name="Normal 28 2 4 2 12" xfId="21549"/>
    <cellStyle name="Normal 28 2 4 2 13" xfId="23301"/>
    <cellStyle name="Normal 28 2 4 2 14" xfId="25053"/>
    <cellStyle name="Normal 28 2 4 2 15" xfId="26805"/>
    <cellStyle name="Normal 28 2 4 2 16" xfId="28557"/>
    <cellStyle name="Normal 28 2 4 2 17" xfId="30310"/>
    <cellStyle name="Normal 28 2 4 2 18" xfId="32062"/>
    <cellStyle name="Normal 28 2 4 2 19" xfId="33815"/>
    <cellStyle name="Normal 28 2 4 2 2" xfId="4026"/>
    <cellStyle name="Normal 28 2 4 2 20" xfId="36451"/>
    <cellStyle name="Normal 28 2 4 2 21" xfId="38191"/>
    <cellStyle name="Normal 28 2 4 2 22" xfId="39944"/>
    <cellStyle name="Normal 28 2 4 2 23" xfId="41699"/>
    <cellStyle name="Normal 28 2 4 2 24" xfId="43451"/>
    <cellStyle name="Normal 28 2 4 2 25" xfId="46069"/>
    <cellStyle name="Normal 28 2 4 2 26" xfId="47821"/>
    <cellStyle name="Normal 28 2 4 2 27" xfId="49573"/>
    <cellStyle name="Normal 28 2 4 2 28" xfId="51325"/>
    <cellStyle name="Normal 28 2 4 2 29" xfId="53077"/>
    <cellStyle name="Normal 28 2 4 2 3" xfId="5778"/>
    <cellStyle name="Normal 28 2 4 2 30" xfId="54829"/>
    <cellStyle name="Normal 28 2 4 2 31" xfId="56581"/>
    <cellStyle name="Normal 28 2 4 2 32" xfId="58334"/>
    <cellStyle name="Normal 28 2 4 2 33" xfId="60086"/>
    <cellStyle name="Normal 28 2 4 2 34" xfId="61838"/>
    <cellStyle name="Normal 28 2 4 2 4" xfId="7530"/>
    <cellStyle name="Normal 28 2 4 2 5" xfId="9282"/>
    <cellStyle name="Normal 28 2 4 2 6" xfId="11035"/>
    <cellStyle name="Normal 28 2 4 2 7" xfId="12787"/>
    <cellStyle name="Normal 28 2 4 2 8" xfId="14539"/>
    <cellStyle name="Normal 28 2 4 2 9" xfId="16291"/>
    <cellStyle name="Normal 28 2 4 20" xfId="32939"/>
    <cellStyle name="Normal 28 2 4 21" xfId="34565"/>
    <cellStyle name="Normal 28 2 4 22" xfId="35575"/>
    <cellStyle name="Normal 28 2 4 23" xfId="37186"/>
    <cellStyle name="Normal 28 2 4 24" xfId="39068"/>
    <cellStyle name="Normal 28 2 4 25" xfId="40823"/>
    <cellStyle name="Normal 28 2 4 26" xfId="42575"/>
    <cellStyle name="Normal 28 2 4 27" xfId="44186"/>
    <cellStyle name="Normal 28 2 4 28" xfId="45193"/>
    <cellStyle name="Normal 28 2 4 29" xfId="46945"/>
    <cellStyle name="Normal 28 2 4 3" xfId="3150"/>
    <cellStyle name="Normal 28 2 4 30" xfId="48697"/>
    <cellStyle name="Normal 28 2 4 31" xfId="50449"/>
    <cellStyle name="Normal 28 2 4 32" xfId="52201"/>
    <cellStyle name="Normal 28 2 4 33" xfId="53953"/>
    <cellStyle name="Normal 28 2 4 34" xfId="55705"/>
    <cellStyle name="Normal 28 2 4 35" xfId="57458"/>
    <cellStyle name="Normal 28 2 4 36" xfId="59210"/>
    <cellStyle name="Normal 28 2 4 37" xfId="60962"/>
    <cellStyle name="Normal 28 2 4 38" xfId="62573"/>
    <cellStyle name="Normal 28 2 4 39" xfId="63439"/>
    <cellStyle name="Normal 28 2 4 4" xfId="4902"/>
    <cellStyle name="Normal 28 2 4 5" xfId="6654"/>
    <cellStyle name="Normal 28 2 4 6" xfId="8406"/>
    <cellStyle name="Normal 28 2 4 7" xfId="10159"/>
    <cellStyle name="Normal 28 2 4 8" xfId="11911"/>
    <cellStyle name="Normal 28 2 4 9" xfId="13663"/>
    <cellStyle name="Normal 28 2 40" xfId="60526"/>
    <cellStyle name="Normal 28 2 41" xfId="62566"/>
    <cellStyle name="Normal 28 2 42" xfId="63432"/>
    <cellStyle name="Normal 28 2 5" xfId="1263"/>
    <cellStyle name="Normal 28 2 5 10" xfId="17608"/>
    <cellStyle name="Normal 28 2 5 11" xfId="19360"/>
    <cellStyle name="Normal 28 2 5 12" xfId="21113"/>
    <cellStyle name="Normal 28 2 5 13" xfId="22865"/>
    <cellStyle name="Normal 28 2 5 14" xfId="24617"/>
    <cellStyle name="Normal 28 2 5 15" xfId="26369"/>
    <cellStyle name="Normal 28 2 5 16" xfId="28121"/>
    <cellStyle name="Normal 28 2 5 17" xfId="29874"/>
    <cellStyle name="Normal 28 2 5 18" xfId="31626"/>
    <cellStyle name="Normal 28 2 5 19" xfId="33379"/>
    <cellStyle name="Normal 28 2 5 2" xfId="3590"/>
    <cellStyle name="Normal 28 2 5 20" xfId="36015"/>
    <cellStyle name="Normal 28 2 5 21" xfId="37755"/>
    <cellStyle name="Normal 28 2 5 22" xfId="39508"/>
    <cellStyle name="Normal 28 2 5 23" xfId="41263"/>
    <cellStyle name="Normal 28 2 5 24" xfId="43015"/>
    <cellStyle name="Normal 28 2 5 25" xfId="45633"/>
    <cellStyle name="Normal 28 2 5 26" xfId="47385"/>
    <cellStyle name="Normal 28 2 5 27" xfId="49137"/>
    <cellStyle name="Normal 28 2 5 28" xfId="50889"/>
    <cellStyle name="Normal 28 2 5 29" xfId="52641"/>
    <cellStyle name="Normal 28 2 5 3" xfId="5342"/>
    <cellStyle name="Normal 28 2 5 30" xfId="54393"/>
    <cellStyle name="Normal 28 2 5 31" xfId="56145"/>
    <cellStyle name="Normal 28 2 5 32" xfId="57898"/>
    <cellStyle name="Normal 28 2 5 33" xfId="59650"/>
    <cellStyle name="Normal 28 2 5 34" xfId="61402"/>
    <cellStyle name="Normal 28 2 5 4" xfId="7094"/>
    <cellStyle name="Normal 28 2 5 5" xfId="8846"/>
    <cellStyle name="Normal 28 2 5 6" xfId="10599"/>
    <cellStyle name="Normal 28 2 5 7" xfId="12351"/>
    <cellStyle name="Normal 28 2 5 8" xfId="14103"/>
    <cellStyle name="Normal 28 2 5 9" xfId="15855"/>
    <cellStyle name="Normal 28 2 6" xfId="2714"/>
    <cellStyle name="Normal 28 2 7" xfId="4466"/>
    <cellStyle name="Normal 28 2 8" xfId="6218"/>
    <cellStyle name="Normal 28 2 9" xfId="7970"/>
    <cellStyle name="Normal 28 20" xfId="25438"/>
    <cellStyle name="Normal 28 21" xfId="27190"/>
    <cellStyle name="Normal 28 22" xfId="28943"/>
    <cellStyle name="Normal 28 23" xfId="30695"/>
    <cellStyle name="Normal 28 24" xfId="32448"/>
    <cellStyle name="Normal 28 25" xfId="34557"/>
    <cellStyle name="Normal 28 26" xfId="35084"/>
    <cellStyle name="Normal 28 27" xfId="37178"/>
    <cellStyle name="Normal 28 28" xfId="38577"/>
    <cellStyle name="Normal 28 29" xfId="40332"/>
    <cellStyle name="Normal 28 3" xfId="1264"/>
    <cellStyle name="Normal 28 3 10" xfId="11528"/>
    <cellStyle name="Normal 28 3 11" xfId="13280"/>
    <cellStyle name="Normal 28 3 12" xfId="15032"/>
    <cellStyle name="Normal 28 3 13" xfId="16785"/>
    <cellStyle name="Normal 28 3 14" xfId="18537"/>
    <cellStyle name="Normal 28 3 15" xfId="20290"/>
    <cellStyle name="Normal 28 3 16" xfId="22042"/>
    <cellStyle name="Normal 28 3 17" xfId="23794"/>
    <cellStyle name="Normal 28 3 18" xfId="25546"/>
    <cellStyle name="Normal 28 3 19" xfId="27298"/>
    <cellStyle name="Normal 28 3 2" xfId="1265"/>
    <cellStyle name="Normal 28 3 2 10" xfId="13456"/>
    <cellStyle name="Normal 28 3 2 11" xfId="15208"/>
    <cellStyle name="Normal 28 3 2 12" xfId="16961"/>
    <cellStyle name="Normal 28 3 2 13" xfId="18713"/>
    <cellStyle name="Normal 28 3 2 14" xfId="20466"/>
    <cellStyle name="Normal 28 3 2 15" xfId="22218"/>
    <cellStyle name="Normal 28 3 2 16" xfId="23970"/>
    <cellStyle name="Normal 28 3 2 17" xfId="25722"/>
    <cellStyle name="Normal 28 3 2 18" xfId="27474"/>
    <cellStyle name="Normal 28 3 2 19" xfId="29227"/>
    <cellStyle name="Normal 28 3 2 2" xfId="1266"/>
    <cellStyle name="Normal 28 3 2 2 10" xfId="15644"/>
    <cellStyle name="Normal 28 3 2 2 11" xfId="17397"/>
    <cellStyle name="Normal 28 3 2 2 12" xfId="19149"/>
    <cellStyle name="Normal 28 3 2 2 13" xfId="20902"/>
    <cellStyle name="Normal 28 3 2 2 14" xfId="22654"/>
    <cellStyle name="Normal 28 3 2 2 15" xfId="24406"/>
    <cellStyle name="Normal 28 3 2 2 16" xfId="26158"/>
    <cellStyle name="Normal 28 3 2 2 17" xfId="27910"/>
    <cellStyle name="Normal 28 3 2 2 18" xfId="29663"/>
    <cellStyle name="Normal 28 3 2 2 19" xfId="31415"/>
    <cellStyle name="Normal 28 3 2 2 2" xfId="1267"/>
    <cellStyle name="Normal 28 3 2 2 2 10" xfId="18273"/>
    <cellStyle name="Normal 28 3 2 2 2 11" xfId="20025"/>
    <cellStyle name="Normal 28 3 2 2 2 12" xfId="21778"/>
    <cellStyle name="Normal 28 3 2 2 2 13" xfId="23530"/>
    <cellStyle name="Normal 28 3 2 2 2 14" xfId="25282"/>
    <cellStyle name="Normal 28 3 2 2 2 15" xfId="27034"/>
    <cellStyle name="Normal 28 3 2 2 2 16" xfId="28786"/>
    <cellStyle name="Normal 28 3 2 2 2 17" xfId="30539"/>
    <cellStyle name="Normal 28 3 2 2 2 18" xfId="32291"/>
    <cellStyle name="Normal 28 3 2 2 2 19" xfId="34044"/>
    <cellStyle name="Normal 28 3 2 2 2 2" xfId="4255"/>
    <cellStyle name="Normal 28 3 2 2 2 20" xfId="36680"/>
    <cellStyle name="Normal 28 3 2 2 2 21" xfId="38420"/>
    <cellStyle name="Normal 28 3 2 2 2 22" xfId="40173"/>
    <cellStyle name="Normal 28 3 2 2 2 23" xfId="41928"/>
    <cellStyle name="Normal 28 3 2 2 2 24" xfId="43680"/>
    <cellStyle name="Normal 28 3 2 2 2 25" xfId="46298"/>
    <cellStyle name="Normal 28 3 2 2 2 26" xfId="48050"/>
    <cellStyle name="Normal 28 3 2 2 2 27" xfId="49802"/>
    <cellStyle name="Normal 28 3 2 2 2 28" xfId="51554"/>
    <cellStyle name="Normal 28 3 2 2 2 29" xfId="53306"/>
    <cellStyle name="Normal 28 3 2 2 2 3" xfId="6007"/>
    <cellStyle name="Normal 28 3 2 2 2 30" xfId="55058"/>
    <cellStyle name="Normal 28 3 2 2 2 31" xfId="56810"/>
    <cellStyle name="Normal 28 3 2 2 2 32" xfId="58563"/>
    <cellStyle name="Normal 28 3 2 2 2 33" xfId="60315"/>
    <cellStyle name="Normal 28 3 2 2 2 34" xfId="62067"/>
    <cellStyle name="Normal 28 3 2 2 2 4" xfId="7759"/>
    <cellStyle name="Normal 28 3 2 2 2 5" xfId="9511"/>
    <cellStyle name="Normal 28 3 2 2 2 6" xfId="11264"/>
    <cellStyle name="Normal 28 3 2 2 2 7" xfId="13016"/>
    <cellStyle name="Normal 28 3 2 2 2 8" xfId="14768"/>
    <cellStyle name="Normal 28 3 2 2 2 9" xfId="16520"/>
    <cellStyle name="Normal 28 3 2 2 20" xfId="33168"/>
    <cellStyle name="Normal 28 3 2 2 21" xfId="34568"/>
    <cellStyle name="Normal 28 3 2 2 22" xfId="35804"/>
    <cellStyle name="Normal 28 3 2 2 23" xfId="37189"/>
    <cellStyle name="Normal 28 3 2 2 24" xfId="39297"/>
    <cellStyle name="Normal 28 3 2 2 25" xfId="41052"/>
    <cellStyle name="Normal 28 3 2 2 26" xfId="42804"/>
    <cellStyle name="Normal 28 3 2 2 27" xfId="44189"/>
    <cellStyle name="Normal 28 3 2 2 28" xfId="45422"/>
    <cellStyle name="Normal 28 3 2 2 29" xfId="47174"/>
    <cellStyle name="Normal 28 3 2 2 3" xfId="3379"/>
    <cellStyle name="Normal 28 3 2 2 30" xfId="48926"/>
    <cellStyle name="Normal 28 3 2 2 31" xfId="50678"/>
    <cellStyle name="Normal 28 3 2 2 32" xfId="52430"/>
    <cellStyle name="Normal 28 3 2 2 33" xfId="54182"/>
    <cellStyle name="Normal 28 3 2 2 34" xfId="55934"/>
    <cellStyle name="Normal 28 3 2 2 35" xfId="57687"/>
    <cellStyle name="Normal 28 3 2 2 36" xfId="59439"/>
    <cellStyle name="Normal 28 3 2 2 37" xfId="61191"/>
    <cellStyle name="Normal 28 3 2 2 38" xfId="62576"/>
    <cellStyle name="Normal 28 3 2 2 39" xfId="63442"/>
    <cellStyle name="Normal 28 3 2 2 4" xfId="5131"/>
    <cellStyle name="Normal 28 3 2 2 5" xfId="6883"/>
    <cellStyle name="Normal 28 3 2 2 6" xfId="8635"/>
    <cellStyle name="Normal 28 3 2 2 7" xfId="10388"/>
    <cellStyle name="Normal 28 3 2 2 8" xfId="12140"/>
    <cellStyle name="Normal 28 3 2 2 9" xfId="13892"/>
    <cellStyle name="Normal 28 3 2 20" xfId="30979"/>
    <cellStyle name="Normal 28 3 2 21" xfId="32732"/>
    <cellStyle name="Normal 28 3 2 22" xfId="34567"/>
    <cellStyle name="Normal 28 3 2 23" xfId="35368"/>
    <cellStyle name="Normal 28 3 2 24" xfId="37188"/>
    <cellStyle name="Normal 28 3 2 25" xfId="38861"/>
    <cellStyle name="Normal 28 3 2 26" xfId="40616"/>
    <cellStyle name="Normal 28 3 2 27" xfId="42368"/>
    <cellStyle name="Normal 28 3 2 28" xfId="44188"/>
    <cellStyle name="Normal 28 3 2 29" xfId="44986"/>
    <cellStyle name="Normal 28 3 2 3" xfId="1268"/>
    <cellStyle name="Normal 28 3 2 3 10" xfId="17837"/>
    <cellStyle name="Normal 28 3 2 3 11" xfId="19589"/>
    <cellStyle name="Normal 28 3 2 3 12" xfId="21342"/>
    <cellStyle name="Normal 28 3 2 3 13" xfId="23094"/>
    <cellStyle name="Normal 28 3 2 3 14" xfId="24846"/>
    <cellStyle name="Normal 28 3 2 3 15" xfId="26598"/>
    <cellStyle name="Normal 28 3 2 3 16" xfId="28350"/>
    <cellStyle name="Normal 28 3 2 3 17" xfId="30103"/>
    <cellStyle name="Normal 28 3 2 3 18" xfId="31855"/>
    <cellStyle name="Normal 28 3 2 3 19" xfId="33608"/>
    <cellStyle name="Normal 28 3 2 3 2" xfId="3819"/>
    <cellStyle name="Normal 28 3 2 3 20" xfId="36244"/>
    <cellStyle name="Normal 28 3 2 3 21" xfId="37984"/>
    <cellStyle name="Normal 28 3 2 3 22" xfId="39737"/>
    <cellStyle name="Normal 28 3 2 3 23" xfId="41492"/>
    <cellStyle name="Normal 28 3 2 3 24" xfId="43244"/>
    <cellStyle name="Normal 28 3 2 3 25" xfId="45862"/>
    <cellStyle name="Normal 28 3 2 3 26" xfId="47614"/>
    <cellStyle name="Normal 28 3 2 3 27" xfId="49366"/>
    <cellStyle name="Normal 28 3 2 3 28" xfId="51118"/>
    <cellStyle name="Normal 28 3 2 3 29" xfId="52870"/>
    <cellStyle name="Normal 28 3 2 3 3" xfId="5571"/>
    <cellStyle name="Normal 28 3 2 3 30" xfId="54622"/>
    <cellStyle name="Normal 28 3 2 3 31" xfId="56374"/>
    <cellStyle name="Normal 28 3 2 3 32" xfId="58127"/>
    <cellStyle name="Normal 28 3 2 3 33" xfId="59879"/>
    <cellStyle name="Normal 28 3 2 3 34" xfId="61631"/>
    <cellStyle name="Normal 28 3 2 3 4" xfId="7323"/>
    <cellStyle name="Normal 28 3 2 3 5" xfId="9075"/>
    <cellStyle name="Normal 28 3 2 3 6" xfId="10828"/>
    <cellStyle name="Normal 28 3 2 3 7" xfId="12580"/>
    <cellStyle name="Normal 28 3 2 3 8" xfId="14332"/>
    <cellStyle name="Normal 28 3 2 3 9" xfId="16084"/>
    <cellStyle name="Normal 28 3 2 30" xfId="46738"/>
    <cellStyle name="Normal 28 3 2 31" xfId="48490"/>
    <cellStyle name="Normal 28 3 2 32" xfId="50242"/>
    <cellStyle name="Normal 28 3 2 33" xfId="51994"/>
    <cellStyle name="Normal 28 3 2 34" xfId="53746"/>
    <cellStyle name="Normal 28 3 2 35" xfId="55498"/>
    <cellStyle name="Normal 28 3 2 36" xfId="57251"/>
    <cellStyle name="Normal 28 3 2 37" xfId="59003"/>
    <cellStyle name="Normal 28 3 2 38" xfId="60755"/>
    <cellStyle name="Normal 28 3 2 39" xfId="62575"/>
    <cellStyle name="Normal 28 3 2 4" xfId="2943"/>
    <cellStyle name="Normal 28 3 2 40" xfId="63441"/>
    <cellStyle name="Normal 28 3 2 5" xfId="4695"/>
    <cellStyle name="Normal 28 3 2 6" xfId="6447"/>
    <cellStyle name="Normal 28 3 2 7" xfId="8199"/>
    <cellStyle name="Normal 28 3 2 8" xfId="9952"/>
    <cellStyle name="Normal 28 3 2 9" xfId="11704"/>
    <cellStyle name="Normal 28 3 20" xfId="29051"/>
    <cellStyle name="Normal 28 3 21" xfId="30803"/>
    <cellStyle name="Normal 28 3 22" xfId="32556"/>
    <cellStyle name="Normal 28 3 23" xfId="34566"/>
    <cellStyle name="Normal 28 3 24" xfId="35192"/>
    <cellStyle name="Normal 28 3 25" xfId="37187"/>
    <cellStyle name="Normal 28 3 26" xfId="38685"/>
    <cellStyle name="Normal 28 3 27" xfId="40440"/>
    <cellStyle name="Normal 28 3 28" xfId="42192"/>
    <cellStyle name="Normal 28 3 29" xfId="44187"/>
    <cellStyle name="Normal 28 3 3" xfId="1269"/>
    <cellStyle name="Normal 28 3 3 10" xfId="15468"/>
    <cellStyle name="Normal 28 3 3 11" xfId="17221"/>
    <cellStyle name="Normal 28 3 3 12" xfId="18973"/>
    <cellStyle name="Normal 28 3 3 13" xfId="20726"/>
    <cellStyle name="Normal 28 3 3 14" xfId="22478"/>
    <cellStyle name="Normal 28 3 3 15" xfId="24230"/>
    <cellStyle name="Normal 28 3 3 16" xfId="25982"/>
    <cellStyle name="Normal 28 3 3 17" xfId="27734"/>
    <cellStyle name="Normal 28 3 3 18" xfId="29487"/>
    <cellStyle name="Normal 28 3 3 19" xfId="31239"/>
    <cellStyle name="Normal 28 3 3 2" xfId="1270"/>
    <cellStyle name="Normal 28 3 3 2 10" xfId="18097"/>
    <cellStyle name="Normal 28 3 3 2 11" xfId="19849"/>
    <cellStyle name="Normal 28 3 3 2 12" xfId="21602"/>
    <cellStyle name="Normal 28 3 3 2 13" xfId="23354"/>
    <cellStyle name="Normal 28 3 3 2 14" xfId="25106"/>
    <cellStyle name="Normal 28 3 3 2 15" xfId="26858"/>
    <cellStyle name="Normal 28 3 3 2 16" xfId="28610"/>
    <cellStyle name="Normal 28 3 3 2 17" xfId="30363"/>
    <cellStyle name="Normal 28 3 3 2 18" xfId="32115"/>
    <cellStyle name="Normal 28 3 3 2 19" xfId="33868"/>
    <cellStyle name="Normal 28 3 3 2 2" xfId="4079"/>
    <cellStyle name="Normal 28 3 3 2 20" xfId="36504"/>
    <cellStyle name="Normal 28 3 3 2 21" xfId="38244"/>
    <cellStyle name="Normal 28 3 3 2 22" xfId="39997"/>
    <cellStyle name="Normal 28 3 3 2 23" xfId="41752"/>
    <cellStyle name="Normal 28 3 3 2 24" xfId="43504"/>
    <cellStyle name="Normal 28 3 3 2 25" xfId="46122"/>
    <cellStyle name="Normal 28 3 3 2 26" xfId="47874"/>
    <cellStyle name="Normal 28 3 3 2 27" xfId="49626"/>
    <cellStyle name="Normal 28 3 3 2 28" xfId="51378"/>
    <cellStyle name="Normal 28 3 3 2 29" xfId="53130"/>
    <cellStyle name="Normal 28 3 3 2 3" xfId="5831"/>
    <cellStyle name="Normal 28 3 3 2 30" xfId="54882"/>
    <cellStyle name="Normal 28 3 3 2 31" xfId="56634"/>
    <cellStyle name="Normal 28 3 3 2 32" xfId="58387"/>
    <cellStyle name="Normal 28 3 3 2 33" xfId="60139"/>
    <cellStyle name="Normal 28 3 3 2 34" xfId="61891"/>
    <cellStyle name="Normal 28 3 3 2 4" xfId="7583"/>
    <cellStyle name="Normal 28 3 3 2 5" xfId="9335"/>
    <cellStyle name="Normal 28 3 3 2 6" xfId="11088"/>
    <cellStyle name="Normal 28 3 3 2 7" xfId="12840"/>
    <cellStyle name="Normal 28 3 3 2 8" xfId="14592"/>
    <cellStyle name="Normal 28 3 3 2 9" xfId="16344"/>
    <cellStyle name="Normal 28 3 3 20" xfId="32992"/>
    <cellStyle name="Normal 28 3 3 21" xfId="34569"/>
    <cellStyle name="Normal 28 3 3 22" xfId="35628"/>
    <cellStyle name="Normal 28 3 3 23" xfId="37190"/>
    <cellStyle name="Normal 28 3 3 24" xfId="39121"/>
    <cellStyle name="Normal 28 3 3 25" xfId="40876"/>
    <cellStyle name="Normal 28 3 3 26" xfId="42628"/>
    <cellStyle name="Normal 28 3 3 27" xfId="44190"/>
    <cellStyle name="Normal 28 3 3 28" xfId="45246"/>
    <cellStyle name="Normal 28 3 3 29" xfId="46998"/>
    <cellStyle name="Normal 28 3 3 3" xfId="3203"/>
    <cellStyle name="Normal 28 3 3 30" xfId="48750"/>
    <cellStyle name="Normal 28 3 3 31" xfId="50502"/>
    <cellStyle name="Normal 28 3 3 32" xfId="52254"/>
    <cellStyle name="Normal 28 3 3 33" xfId="54006"/>
    <cellStyle name="Normal 28 3 3 34" xfId="55758"/>
    <cellStyle name="Normal 28 3 3 35" xfId="57511"/>
    <cellStyle name="Normal 28 3 3 36" xfId="59263"/>
    <cellStyle name="Normal 28 3 3 37" xfId="61015"/>
    <cellStyle name="Normal 28 3 3 38" xfId="62577"/>
    <cellStyle name="Normal 28 3 3 39" xfId="63443"/>
    <cellStyle name="Normal 28 3 3 4" xfId="4955"/>
    <cellStyle name="Normal 28 3 3 5" xfId="6707"/>
    <cellStyle name="Normal 28 3 3 6" xfId="8459"/>
    <cellStyle name="Normal 28 3 3 7" xfId="10212"/>
    <cellStyle name="Normal 28 3 3 8" xfId="11964"/>
    <cellStyle name="Normal 28 3 3 9" xfId="13716"/>
    <cellStyle name="Normal 28 3 30" xfId="44810"/>
    <cellStyle name="Normal 28 3 31" xfId="46562"/>
    <cellStyle name="Normal 28 3 32" xfId="48314"/>
    <cellStyle name="Normal 28 3 33" xfId="50066"/>
    <cellStyle name="Normal 28 3 34" xfId="51818"/>
    <cellStyle name="Normal 28 3 35" xfId="53570"/>
    <cellStyle name="Normal 28 3 36" xfId="55322"/>
    <cellStyle name="Normal 28 3 37" xfId="57075"/>
    <cellStyle name="Normal 28 3 38" xfId="58827"/>
    <cellStyle name="Normal 28 3 39" xfId="60579"/>
    <cellStyle name="Normal 28 3 4" xfId="1271"/>
    <cellStyle name="Normal 28 3 4 10" xfId="17661"/>
    <cellStyle name="Normal 28 3 4 11" xfId="19413"/>
    <cellStyle name="Normal 28 3 4 12" xfId="21166"/>
    <cellStyle name="Normal 28 3 4 13" xfId="22918"/>
    <cellStyle name="Normal 28 3 4 14" xfId="24670"/>
    <cellStyle name="Normal 28 3 4 15" xfId="26422"/>
    <cellStyle name="Normal 28 3 4 16" xfId="28174"/>
    <cellStyle name="Normal 28 3 4 17" xfId="29927"/>
    <cellStyle name="Normal 28 3 4 18" xfId="31679"/>
    <cellStyle name="Normal 28 3 4 19" xfId="33432"/>
    <cellStyle name="Normal 28 3 4 2" xfId="3643"/>
    <cellStyle name="Normal 28 3 4 20" xfId="36068"/>
    <cellStyle name="Normal 28 3 4 21" xfId="37808"/>
    <cellStyle name="Normal 28 3 4 22" xfId="39561"/>
    <cellStyle name="Normal 28 3 4 23" xfId="41316"/>
    <cellStyle name="Normal 28 3 4 24" xfId="43068"/>
    <cellStyle name="Normal 28 3 4 25" xfId="45686"/>
    <cellStyle name="Normal 28 3 4 26" xfId="47438"/>
    <cellStyle name="Normal 28 3 4 27" xfId="49190"/>
    <cellStyle name="Normal 28 3 4 28" xfId="50942"/>
    <cellStyle name="Normal 28 3 4 29" xfId="52694"/>
    <cellStyle name="Normal 28 3 4 3" xfId="5395"/>
    <cellStyle name="Normal 28 3 4 30" xfId="54446"/>
    <cellStyle name="Normal 28 3 4 31" xfId="56198"/>
    <cellStyle name="Normal 28 3 4 32" xfId="57951"/>
    <cellStyle name="Normal 28 3 4 33" xfId="59703"/>
    <cellStyle name="Normal 28 3 4 34" xfId="61455"/>
    <cellStyle name="Normal 28 3 4 4" xfId="7147"/>
    <cellStyle name="Normal 28 3 4 5" xfId="8899"/>
    <cellStyle name="Normal 28 3 4 6" xfId="10652"/>
    <cellStyle name="Normal 28 3 4 7" xfId="12404"/>
    <cellStyle name="Normal 28 3 4 8" xfId="14156"/>
    <cellStyle name="Normal 28 3 4 9" xfId="15908"/>
    <cellStyle name="Normal 28 3 40" xfId="62574"/>
    <cellStyle name="Normal 28 3 41" xfId="63440"/>
    <cellStyle name="Normal 28 3 5" xfId="2767"/>
    <cellStyle name="Normal 28 3 6" xfId="4519"/>
    <cellStyle name="Normal 28 3 7" xfId="6271"/>
    <cellStyle name="Normal 28 3 8" xfId="8023"/>
    <cellStyle name="Normal 28 3 9" xfId="9776"/>
    <cellStyle name="Normal 28 30" xfId="42084"/>
    <cellStyle name="Normal 28 31" xfId="44178"/>
    <cellStyle name="Normal 28 32" xfId="44702"/>
    <cellStyle name="Normal 28 33" xfId="46454"/>
    <cellStyle name="Normal 28 34" xfId="48206"/>
    <cellStyle name="Normal 28 35" xfId="49958"/>
    <cellStyle name="Normal 28 36" xfId="51710"/>
    <cellStyle name="Normal 28 37" xfId="53462"/>
    <cellStyle name="Normal 28 38" xfId="55214"/>
    <cellStyle name="Normal 28 39" xfId="56967"/>
    <cellStyle name="Normal 28 4" xfId="1272"/>
    <cellStyle name="Normal 28 4 10" xfId="13457"/>
    <cellStyle name="Normal 28 4 11" xfId="15209"/>
    <cellStyle name="Normal 28 4 12" xfId="16962"/>
    <cellStyle name="Normal 28 4 13" xfId="18714"/>
    <cellStyle name="Normal 28 4 14" xfId="20467"/>
    <cellStyle name="Normal 28 4 15" xfId="22219"/>
    <cellStyle name="Normal 28 4 16" xfId="23971"/>
    <cellStyle name="Normal 28 4 17" xfId="25723"/>
    <cellStyle name="Normal 28 4 18" xfId="27475"/>
    <cellStyle name="Normal 28 4 19" xfId="29228"/>
    <cellStyle name="Normal 28 4 2" xfId="1273"/>
    <cellStyle name="Normal 28 4 2 10" xfId="15645"/>
    <cellStyle name="Normal 28 4 2 11" xfId="17398"/>
    <cellStyle name="Normal 28 4 2 12" xfId="19150"/>
    <cellStyle name="Normal 28 4 2 13" xfId="20903"/>
    <cellStyle name="Normal 28 4 2 14" xfId="22655"/>
    <cellStyle name="Normal 28 4 2 15" xfId="24407"/>
    <cellStyle name="Normal 28 4 2 16" xfId="26159"/>
    <cellStyle name="Normal 28 4 2 17" xfId="27911"/>
    <cellStyle name="Normal 28 4 2 18" xfId="29664"/>
    <cellStyle name="Normal 28 4 2 19" xfId="31416"/>
    <cellStyle name="Normal 28 4 2 2" xfId="1274"/>
    <cellStyle name="Normal 28 4 2 2 10" xfId="18274"/>
    <cellStyle name="Normal 28 4 2 2 11" xfId="20026"/>
    <cellStyle name="Normal 28 4 2 2 12" xfId="21779"/>
    <cellStyle name="Normal 28 4 2 2 13" xfId="23531"/>
    <cellStyle name="Normal 28 4 2 2 14" xfId="25283"/>
    <cellStyle name="Normal 28 4 2 2 15" xfId="27035"/>
    <cellStyle name="Normal 28 4 2 2 16" xfId="28787"/>
    <cellStyle name="Normal 28 4 2 2 17" xfId="30540"/>
    <cellStyle name="Normal 28 4 2 2 18" xfId="32292"/>
    <cellStyle name="Normal 28 4 2 2 19" xfId="34045"/>
    <cellStyle name="Normal 28 4 2 2 2" xfId="4256"/>
    <cellStyle name="Normal 28 4 2 2 20" xfId="36681"/>
    <cellStyle name="Normal 28 4 2 2 21" xfId="38421"/>
    <cellStyle name="Normal 28 4 2 2 22" xfId="40174"/>
    <cellStyle name="Normal 28 4 2 2 23" xfId="41929"/>
    <cellStyle name="Normal 28 4 2 2 24" xfId="43681"/>
    <cellStyle name="Normal 28 4 2 2 25" xfId="46299"/>
    <cellStyle name="Normal 28 4 2 2 26" xfId="48051"/>
    <cellStyle name="Normal 28 4 2 2 27" xfId="49803"/>
    <cellStyle name="Normal 28 4 2 2 28" xfId="51555"/>
    <cellStyle name="Normal 28 4 2 2 29" xfId="53307"/>
    <cellStyle name="Normal 28 4 2 2 3" xfId="6008"/>
    <cellStyle name="Normal 28 4 2 2 30" xfId="55059"/>
    <cellStyle name="Normal 28 4 2 2 31" xfId="56811"/>
    <cellStyle name="Normal 28 4 2 2 32" xfId="58564"/>
    <cellStyle name="Normal 28 4 2 2 33" xfId="60316"/>
    <cellStyle name="Normal 28 4 2 2 34" xfId="62068"/>
    <cellStyle name="Normal 28 4 2 2 4" xfId="7760"/>
    <cellStyle name="Normal 28 4 2 2 5" xfId="9512"/>
    <cellStyle name="Normal 28 4 2 2 6" xfId="11265"/>
    <cellStyle name="Normal 28 4 2 2 7" xfId="13017"/>
    <cellStyle name="Normal 28 4 2 2 8" xfId="14769"/>
    <cellStyle name="Normal 28 4 2 2 9" xfId="16521"/>
    <cellStyle name="Normal 28 4 2 20" xfId="33169"/>
    <cellStyle name="Normal 28 4 2 21" xfId="34571"/>
    <cellStyle name="Normal 28 4 2 22" xfId="35805"/>
    <cellStyle name="Normal 28 4 2 23" xfId="37192"/>
    <cellStyle name="Normal 28 4 2 24" xfId="39298"/>
    <cellStyle name="Normal 28 4 2 25" xfId="41053"/>
    <cellStyle name="Normal 28 4 2 26" xfId="42805"/>
    <cellStyle name="Normal 28 4 2 27" xfId="44192"/>
    <cellStyle name="Normal 28 4 2 28" xfId="45423"/>
    <cellStyle name="Normal 28 4 2 29" xfId="47175"/>
    <cellStyle name="Normal 28 4 2 3" xfId="3380"/>
    <cellStyle name="Normal 28 4 2 30" xfId="48927"/>
    <cellStyle name="Normal 28 4 2 31" xfId="50679"/>
    <cellStyle name="Normal 28 4 2 32" xfId="52431"/>
    <cellStyle name="Normal 28 4 2 33" xfId="54183"/>
    <cellStyle name="Normal 28 4 2 34" xfId="55935"/>
    <cellStyle name="Normal 28 4 2 35" xfId="57688"/>
    <cellStyle name="Normal 28 4 2 36" xfId="59440"/>
    <cellStyle name="Normal 28 4 2 37" xfId="61192"/>
    <cellStyle name="Normal 28 4 2 38" xfId="62579"/>
    <cellStyle name="Normal 28 4 2 39" xfId="63445"/>
    <cellStyle name="Normal 28 4 2 4" xfId="5132"/>
    <cellStyle name="Normal 28 4 2 5" xfId="6884"/>
    <cellStyle name="Normal 28 4 2 6" xfId="8636"/>
    <cellStyle name="Normal 28 4 2 7" xfId="10389"/>
    <cellStyle name="Normal 28 4 2 8" xfId="12141"/>
    <cellStyle name="Normal 28 4 2 9" xfId="13893"/>
    <cellStyle name="Normal 28 4 20" xfId="30980"/>
    <cellStyle name="Normal 28 4 21" xfId="32733"/>
    <cellStyle name="Normal 28 4 22" xfId="34570"/>
    <cellStyle name="Normal 28 4 23" xfId="35369"/>
    <cellStyle name="Normal 28 4 24" xfId="37191"/>
    <cellStyle name="Normal 28 4 25" xfId="38862"/>
    <cellStyle name="Normal 28 4 26" xfId="40617"/>
    <cellStyle name="Normal 28 4 27" xfId="42369"/>
    <cellStyle name="Normal 28 4 28" xfId="44191"/>
    <cellStyle name="Normal 28 4 29" xfId="44987"/>
    <cellStyle name="Normal 28 4 3" xfId="1275"/>
    <cellStyle name="Normal 28 4 3 10" xfId="17838"/>
    <cellStyle name="Normal 28 4 3 11" xfId="19590"/>
    <cellStyle name="Normal 28 4 3 12" xfId="21343"/>
    <cellStyle name="Normal 28 4 3 13" xfId="23095"/>
    <cellStyle name="Normal 28 4 3 14" xfId="24847"/>
    <cellStyle name="Normal 28 4 3 15" xfId="26599"/>
    <cellStyle name="Normal 28 4 3 16" xfId="28351"/>
    <cellStyle name="Normal 28 4 3 17" xfId="30104"/>
    <cellStyle name="Normal 28 4 3 18" xfId="31856"/>
    <cellStyle name="Normal 28 4 3 19" xfId="33609"/>
    <cellStyle name="Normal 28 4 3 2" xfId="3820"/>
    <cellStyle name="Normal 28 4 3 20" xfId="36245"/>
    <cellStyle name="Normal 28 4 3 21" xfId="37985"/>
    <cellStyle name="Normal 28 4 3 22" xfId="39738"/>
    <cellStyle name="Normal 28 4 3 23" xfId="41493"/>
    <cellStyle name="Normal 28 4 3 24" xfId="43245"/>
    <cellStyle name="Normal 28 4 3 25" xfId="45863"/>
    <cellStyle name="Normal 28 4 3 26" xfId="47615"/>
    <cellStyle name="Normal 28 4 3 27" xfId="49367"/>
    <cellStyle name="Normal 28 4 3 28" xfId="51119"/>
    <cellStyle name="Normal 28 4 3 29" xfId="52871"/>
    <cellStyle name="Normal 28 4 3 3" xfId="5572"/>
    <cellStyle name="Normal 28 4 3 30" xfId="54623"/>
    <cellStyle name="Normal 28 4 3 31" xfId="56375"/>
    <cellStyle name="Normal 28 4 3 32" xfId="58128"/>
    <cellStyle name="Normal 28 4 3 33" xfId="59880"/>
    <cellStyle name="Normal 28 4 3 34" xfId="61632"/>
    <cellStyle name="Normal 28 4 3 4" xfId="7324"/>
    <cellStyle name="Normal 28 4 3 5" xfId="9076"/>
    <cellStyle name="Normal 28 4 3 6" xfId="10829"/>
    <cellStyle name="Normal 28 4 3 7" xfId="12581"/>
    <cellStyle name="Normal 28 4 3 8" xfId="14333"/>
    <cellStyle name="Normal 28 4 3 9" xfId="16085"/>
    <cellStyle name="Normal 28 4 30" xfId="46739"/>
    <cellStyle name="Normal 28 4 31" xfId="48491"/>
    <cellStyle name="Normal 28 4 32" xfId="50243"/>
    <cellStyle name="Normal 28 4 33" xfId="51995"/>
    <cellStyle name="Normal 28 4 34" xfId="53747"/>
    <cellStyle name="Normal 28 4 35" xfId="55499"/>
    <cellStyle name="Normal 28 4 36" xfId="57252"/>
    <cellStyle name="Normal 28 4 37" xfId="59004"/>
    <cellStyle name="Normal 28 4 38" xfId="60756"/>
    <cellStyle name="Normal 28 4 39" xfId="62578"/>
    <cellStyle name="Normal 28 4 4" xfId="2944"/>
    <cellStyle name="Normal 28 4 40" xfId="63444"/>
    <cellStyle name="Normal 28 4 5" xfId="4696"/>
    <cellStyle name="Normal 28 4 6" xfId="6448"/>
    <cellStyle name="Normal 28 4 7" xfId="8200"/>
    <cellStyle name="Normal 28 4 8" xfId="9953"/>
    <cellStyle name="Normal 28 4 9" xfId="11705"/>
    <cellStyle name="Normal 28 40" xfId="58719"/>
    <cellStyle name="Normal 28 41" xfId="60471"/>
    <cellStyle name="Normal 28 42" xfId="62565"/>
    <cellStyle name="Normal 28 43" xfId="63431"/>
    <cellStyle name="Normal 28 5" xfId="1276"/>
    <cellStyle name="Normal 28 5 10" xfId="15360"/>
    <cellStyle name="Normal 28 5 11" xfId="17113"/>
    <cellStyle name="Normal 28 5 12" xfId="18865"/>
    <cellStyle name="Normal 28 5 13" xfId="20618"/>
    <cellStyle name="Normal 28 5 14" xfId="22370"/>
    <cellStyle name="Normal 28 5 15" xfId="24122"/>
    <cellStyle name="Normal 28 5 16" xfId="25874"/>
    <cellStyle name="Normal 28 5 17" xfId="27626"/>
    <cellStyle name="Normal 28 5 18" xfId="29379"/>
    <cellStyle name="Normal 28 5 19" xfId="31131"/>
    <cellStyle name="Normal 28 5 2" xfId="1277"/>
    <cellStyle name="Normal 28 5 2 10" xfId="17989"/>
    <cellStyle name="Normal 28 5 2 11" xfId="19741"/>
    <cellStyle name="Normal 28 5 2 12" xfId="21494"/>
    <cellStyle name="Normal 28 5 2 13" xfId="23246"/>
    <cellStyle name="Normal 28 5 2 14" xfId="24998"/>
    <cellStyle name="Normal 28 5 2 15" xfId="26750"/>
    <cellStyle name="Normal 28 5 2 16" xfId="28502"/>
    <cellStyle name="Normal 28 5 2 17" xfId="30255"/>
    <cellStyle name="Normal 28 5 2 18" xfId="32007"/>
    <cellStyle name="Normal 28 5 2 19" xfId="33760"/>
    <cellStyle name="Normal 28 5 2 2" xfId="3971"/>
    <cellStyle name="Normal 28 5 2 20" xfId="36396"/>
    <cellStyle name="Normal 28 5 2 21" xfId="38136"/>
    <cellStyle name="Normal 28 5 2 22" xfId="39889"/>
    <cellStyle name="Normal 28 5 2 23" xfId="41644"/>
    <cellStyle name="Normal 28 5 2 24" xfId="43396"/>
    <cellStyle name="Normal 28 5 2 25" xfId="46014"/>
    <cellStyle name="Normal 28 5 2 26" xfId="47766"/>
    <cellStyle name="Normal 28 5 2 27" xfId="49518"/>
    <cellStyle name="Normal 28 5 2 28" xfId="51270"/>
    <cellStyle name="Normal 28 5 2 29" xfId="53022"/>
    <cellStyle name="Normal 28 5 2 3" xfId="5723"/>
    <cellStyle name="Normal 28 5 2 30" xfId="54774"/>
    <cellStyle name="Normal 28 5 2 31" xfId="56526"/>
    <cellStyle name="Normal 28 5 2 32" xfId="58279"/>
    <cellStyle name="Normal 28 5 2 33" xfId="60031"/>
    <cellStyle name="Normal 28 5 2 34" xfId="61783"/>
    <cellStyle name="Normal 28 5 2 4" xfId="7475"/>
    <cellStyle name="Normal 28 5 2 5" xfId="9227"/>
    <cellStyle name="Normal 28 5 2 6" xfId="10980"/>
    <cellStyle name="Normal 28 5 2 7" xfId="12732"/>
    <cellStyle name="Normal 28 5 2 8" xfId="14484"/>
    <cellStyle name="Normal 28 5 2 9" xfId="16236"/>
    <cellStyle name="Normal 28 5 20" xfId="32884"/>
    <cellStyle name="Normal 28 5 21" xfId="34572"/>
    <cellStyle name="Normal 28 5 22" xfId="35520"/>
    <cellStyle name="Normal 28 5 23" xfId="37193"/>
    <cellStyle name="Normal 28 5 24" xfId="39013"/>
    <cellStyle name="Normal 28 5 25" xfId="40768"/>
    <cellStyle name="Normal 28 5 26" xfId="42520"/>
    <cellStyle name="Normal 28 5 27" xfId="44193"/>
    <cellStyle name="Normal 28 5 28" xfId="45138"/>
    <cellStyle name="Normal 28 5 29" xfId="46890"/>
    <cellStyle name="Normal 28 5 3" xfId="3095"/>
    <cellStyle name="Normal 28 5 30" xfId="48642"/>
    <cellStyle name="Normal 28 5 31" xfId="50394"/>
    <cellStyle name="Normal 28 5 32" xfId="52146"/>
    <cellStyle name="Normal 28 5 33" xfId="53898"/>
    <cellStyle name="Normal 28 5 34" xfId="55650"/>
    <cellStyle name="Normal 28 5 35" xfId="57403"/>
    <cellStyle name="Normal 28 5 36" xfId="59155"/>
    <cellStyle name="Normal 28 5 37" xfId="60907"/>
    <cellStyle name="Normal 28 5 38" xfId="62580"/>
    <cellStyle name="Normal 28 5 39" xfId="63446"/>
    <cellStyle name="Normal 28 5 4" xfId="4847"/>
    <cellStyle name="Normal 28 5 5" xfId="6599"/>
    <cellStyle name="Normal 28 5 6" xfId="8351"/>
    <cellStyle name="Normal 28 5 7" xfId="10104"/>
    <cellStyle name="Normal 28 5 8" xfId="11856"/>
    <cellStyle name="Normal 28 5 9" xfId="13608"/>
    <cellStyle name="Normal 28 6" xfId="1278"/>
    <cellStyle name="Normal 28 6 10" xfId="17553"/>
    <cellStyle name="Normal 28 6 11" xfId="19305"/>
    <cellStyle name="Normal 28 6 12" xfId="21058"/>
    <cellStyle name="Normal 28 6 13" xfId="22810"/>
    <cellStyle name="Normal 28 6 14" xfId="24562"/>
    <cellStyle name="Normal 28 6 15" xfId="26314"/>
    <cellStyle name="Normal 28 6 16" xfId="28066"/>
    <cellStyle name="Normal 28 6 17" xfId="29819"/>
    <cellStyle name="Normal 28 6 18" xfId="31571"/>
    <cellStyle name="Normal 28 6 19" xfId="33324"/>
    <cellStyle name="Normal 28 6 2" xfId="3535"/>
    <cellStyle name="Normal 28 6 20" xfId="35960"/>
    <cellStyle name="Normal 28 6 21" xfId="37748"/>
    <cellStyle name="Normal 28 6 22" xfId="39453"/>
    <cellStyle name="Normal 28 6 23" xfId="41208"/>
    <cellStyle name="Normal 28 6 24" xfId="42960"/>
    <cellStyle name="Normal 28 6 25" xfId="45578"/>
    <cellStyle name="Normal 28 6 26" xfId="47330"/>
    <cellStyle name="Normal 28 6 27" xfId="49082"/>
    <cellStyle name="Normal 28 6 28" xfId="50834"/>
    <cellStyle name="Normal 28 6 29" xfId="52586"/>
    <cellStyle name="Normal 28 6 3" xfId="5287"/>
    <cellStyle name="Normal 28 6 30" xfId="54338"/>
    <cellStyle name="Normal 28 6 31" xfId="56090"/>
    <cellStyle name="Normal 28 6 32" xfId="57843"/>
    <cellStyle name="Normal 28 6 33" xfId="59595"/>
    <cellStyle name="Normal 28 6 34" xfId="61347"/>
    <cellStyle name="Normal 28 6 4" xfId="7039"/>
    <cellStyle name="Normal 28 6 5" xfId="8791"/>
    <cellStyle name="Normal 28 6 6" xfId="10544"/>
    <cellStyle name="Normal 28 6 7" xfId="12296"/>
    <cellStyle name="Normal 28 6 8" xfId="14048"/>
    <cellStyle name="Normal 28 6 9" xfId="15800"/>
    <cellStyle name="Normal 28 7" xfId="2659"/>
    <cellStyle name="Normal 28 8" xfId="4411"/>
    <cellStyle name="Normal 28 9" xfId="6163"/>
    <cellStyle name="Normal 29" xfId="1279"/>
    <cellStyle name="Normal 29 10" xfId="7916"/>
    <cellStyle name="Normal 29 11" xfId="9669"/>
    <cellStyle name="Normal 29 12" xfId="11421"/>
    <cellStyle name="Normal 29 13" xfId="13173"/>
    <cellStyle name="Normal 29 14" xfId="14925"/>
    <cellStyle name="Normal 29 15" xfId="16678"/>
    <cellStyle name="Normal 29 16" xfId="18430"/>
    <cellStyle name="Normal 29 17" xfId="20183"/>
    <cellStyle name="Normal 29 18" xfId="21935"/>
    <cellStyle name="Normal 29 19" xfId="23687"/>
    <cellStyle name="Normal 29 2" xfId="1280"/>
    <cellStyle name="Normal 29 2 10" xfId="9724"/>
    <cellStyle name="Normal 29 2 11" xfId="11476"/>
    <cellStyle name="Normal 29 2 12" xfId="13228"/>
    <cellStyle name="Normal 29 2 13" xfId="14980"/>
    <cellStyle name="Normal 29 2 14" xfId="16733"/>
    <cellStyle name="Normal 29 2 15" xfId="18485"/>
    <cellStyle name="Normal 29 2 16" xfId="20238"/>
    <cellStyle name="Normal 29 2 17" xfId="21990"/>
    <cellStyle name="Normal 29 2 18" xfId="23742"/>
    <cellStyle name="Normal 29 2 19" xfId="25494"/>
    <cellStyle name="Normal 29 2 2" xfId="1281"/>
    <cellStyle name="Normal 29 2 2 10" xfId="11584"/>
    <cellStyle name="Normal 29 2 2 11" xfId="13336"/>
    <cellStyle name="Normal 29 2 2 12" xfId="15088"/>
    <cellStyle name="Normal 29 2 2 13" xfId="16841"/>
    <cellStyle name="Normal 29 2 2 14" xfId="18593"/>
    <cellStyle name="Normal 29 2 2 15" xfId="20346"/>
    <cellStyle name="Normal 29 2 2 16" xfId="22098"/>
    <cellStyle name="Normal 29 2 2 17" xfId="23850"/>
    <cellStyle name="Normal 29 2 2 18" xfId="25602"/>
    <cellStyle name="Normal 29 2 2 19" xfId="27354"/>
    <cellStyle name="Normal 29 2 2 2" xfId="1282"/>
    <cellStyle name="Normal 29 2 2 2 10" xfId="13458"/>
    <cellStyle name="Normal 29 2 2 2 11" xfId="15210"/>
    <cellStyle name="Normal 29 2 2 2 12" xfId="16963"/>
    <cellStyle name="Normal 29 2 2 2 13" xfId="18715"/>
    <cellStyle name="Normal 29 2 2 2 14" xfId="20468"/>
    <cellStyle name="Normal 29 2 2 2 15" xfId="22220"/>
    <cellStyle name="Normal 29 2 2 2 16" xfId="23972"/>
    <cellStyle name="Normal 29 2 2 2 17" xfId="25724"/>
    <cellStyle name="Normal 29 2 2 2 18" xfId="27476"/>
    <cellStyle name="Normal 29 2 2 2 19" xfId="29229"/>
    <cellStyle name="Normal 29 2 2 2 2" xfId="1283"/>
    <cellStyle name="Normal 29 2 2 2 2 10" xfId="15646"/>
    <cellStyle name="Normal 29 2 2 2 2 11" xfId="17399"/>
    <cellStyle name="Normal 29 2 2 2 2 12" xfId="19151"/>
    <cellStyle name="Normal 29 2 2 2 2 13" xfId="20904"/>
    <cellStyle name="Normal 29 2 2 2 2 14" xfId="22656"/>
    <cellStyle name="Normal 29 2 2 2 2 15" xfId="24408"/>
    <cellStyle name="Normal 29 2 2 2 2 16" xfId="26160"/>
    <cellStyle name="Normal 29 2 2 2 2 17" xfId="27912"/>
    <cellStyle name="Normal 29 2 2 2 2 18" xfId="29665"/>
    <cellStyle name="Normal 29 2 2 2 2 19" xfId="31417"/>
    <cellStyle name="Normal 29 2 2 2 2 2" xfId="1284"/>
    <cellStyle name="Normal 29 2 2 2 2 2 10" xfId="18275"/>
    <cellStyle name="Normal 29 2 2 2 2 2 11" xfId="20027"/>
    <cellStyle name="Normal 29 2 2 2 2 2 12" xfId="21780"/>
    <cellStyle name="Normal 29 2 2 2 2 2 13" xfId="23532"/>
    <cellStyle name="Normal 29 2 2 2 2 2 14" xfId="25284"/>
    <cellStyle name="Normal 29 2 2 2 2 2 15" xfId="27036"/>
    <cellStyle name="Normal 29 2 2 2 2 2 16" xfId="28788"/>
    <cellStyle name="Normal 29 2 2 2 2 2 17" xfId="30541"/>
    <cellStyle name="Normal 29 2 2 2 2 2 18" xfId="32293"/>
    <cellStyle name="Normal 29 2 2 2 2 2 19" xfId="34046"/>
    <cellStyle name="Normal 29 2 2 2 2 2 2" xfId="4257"/>
    <cellStyle name="Normal 29 2 2 2 2 2 20" xfId="36682"/>
    <cellStyle name="Normal 29 2 2 2 2 2 21" xfId="38422"/>
    <cellStyle name="Normal 29 2 2 2 2 2 22" xfId="40175"/>
    <cellStyle name="Normal 29 2 2 2 2 2 23" xfId="41930"/>
    <cellStyle name="Normal 29 2 2 2 2 2 24" xfId="43682"/>
    <cellStyle name="Normal 29 2 2 2 2 2 25" xfId="46300"/>
    <cellStyle name="Normal 29 2 2 2 2 2 26" xfId="48052"/>
    <cellStyle name="Normal 29 2 2 2 2 2 27" xfId="49804"/>
    <cellStyle name="Normal 29 2 2 2 2 2 28" xfId="51556"/>
    <cellStyle name="Normal 29 2 2 2 2 2 29" xfId="53308"/>
    <cellStyle name="Normal 29 2 2 2 2 2 3" xfId="6009"/>
    <cellStyle name="Normal 29 2 2 2 2 2 30" xfId="55060"/>
    <cellStyle name="Normal 29 2 2 2 2 2 31" xfId="56812"/>
    <cellStyle name="Normal 29 2 2 2 2 2 32" xfId="58565"/>
    <cellStyle name="Normal 29 2 2 2 2 2 33" xfId="60317"/>
    <cellStyle name="Normal 29 2 2 2 2 2 34" xfId="62069"/>
    <cellStyle name="Normal 29 2 2 2 2 2 4" xfId="7761"/>
    <cellStyle name="Normal 29 2 2 2 2 2 5" xfId="9513"/>
    <cellStyle name="Normal 29 2 2 2 2 2 6" xfId="11266"/>
    <cellStyle name="Normal 29 2 2 2 2 2 7" xfId="13018"/>
    <cellStyle name="Normal 29 2 2 2 2 2 8" xfId="14770"/>
    <cellStyle name="Normal 29 2 2 2 2 2 9" xfId="16522"/>
    <cellStyle name="Normal 29 2 2 2 2 20" xfId="33170"/>
    <cellStyle name="Normal 29 2 2 2 2 21" xfId="34577"/>
    <cellStyle name="Normal 29 2 2 2 2 22" xfId="35806"/>
    <cellStyle name="Normal 29 2 2 2 2 23" xfId="37198"/>
    <cellStyle name="Normal 29 2 2 2 2 24" xfId="39299"/>
    <cellStyle name="Normal 29 2 2 2 2 25" xfId="41054"/>
    <cellStyle name="Normal 29 2 2 2 2 26" xfId="42806"/>
    <cellStyle name="Normal 29 2 2 2 2 27" xfId="44198"/>
    <cellStyle name="Normal 29 2 2 2 2 28" xfId="45424"/>
    <cellStyle name="Normal 29 2 2 2 2 29" xfId="47176"/>
    <cellStyle name="Normal 29 2 2 2 2 3" xfId="3381"/>
    <cellStyle name="Normal 29 2 2 2 2 30" xfId="48928"/>
    <cellStyle name="Normal 29 2 2 2 2 31" xfId="50680"/>
    <cellStyle name="Normal 29 2 2 2 2 32" xfId="52432"/>
    <cellStyle name="Normal 29 2 2 2 2 33" xfId="54184"/>
    <cellStyle name="Normal 29 2 2 2 2 34" xfId="55936"/>
    <cellStyle name="Normal 29 2 2 2 2 35" xfId="57689"/>
    <cellStyle name="Normal 29 2 2 2 2 36" xfId="59441"/>
    <cellStyle name="Normal 29 2 2 2 2 37" xfId="61193"/>
    <cellStyle name="Normal 29 2 2 2 2 38" xfId="62585"/>
    <cellStyle name="Normal 29 2 2 2 2 39" xfId="63451"/>
    <cellStyle name="Normal 29 2 2 2 2 4" xfId="5133"/>
    <cellStyle name="Normal 29 2 2 2 2 5" xfId="6885"/>
    <cellStyle name="Normal 29 2 2 2 2 6" xfId="8637"/>
    <cellStyle name="Normal 29 2 2 2 2 7" xfId="10390"/>
    <cellStyle name="Normal 29 2 2 2 2 8" xfId="12142"/>
    <cellStyle name="Normal 29 2 2 2 2 9" xfId="13894"/>
    <cellStyle name="Normal 29 2 2 2 20" xfId="30981"/>
    <cellStyle name="Normal 29 2 2 2 21" xfId="32734"/>
    <cellStyle name="Normal 29 2 2 2 22" xfId="34576"/>
    <cellStyle name="Normal 29 2 2 2 23" xfId="35370"/>
    <cellStyle name="Normal 29 2 2 2 24" xfId="37197"/>
    <cellStyle name="Normal 29 2 2 2 25" xfId="38863"/>
    <cellStyle name="Normal 29 2 2 2 26" xfId="40618"/>
    <cellStyle name="Normal 29 2 2 2 27" xfId="42370"/>
    <cellStyle name="Normal 29 2 2 2 28" xfId="44197"/>
    <cellStyle name="Normal 29 2 2 2 29" xfId="44988"/>
    <cellStyle name="Normal 29 2 2 2 3" xfId="1285"/>
    <cellStyle name="Normal 29 2 2 2 3 10" xfId="17839"/>
    <cellStyle name="Normal 29 2 2 2 3 11" xfId="19591"/>
    <cellStyle name="Normal 29 2 2 2 3 12" xfId="21344"/>
    <cellStyle name="Normal 29 2 2 2 3 13" xfId="23096"/>
    <cellStyle name="Normal 29 2 2 2 3 14" xfId="24848"/>
    <cellStyle name="Normal 29 2 2 2 3 15" xfId="26600"/>
    <cellStyle name="Normal 29 2 2 2 3 16" xfId="28352"/>
    <cellStyle name="Normal 29 2 2 2 3 17" xfId="30105"/>
    <cellStyle name="Normal 29 2 2 2 3 18" xfId="31857"/>
    <cellStyle name="Normal 29 2 2 2 3 19" xfId="33610"/>
    <cellStyle name="Normal 29 2 2 2 3 2" xfId="3821"/>
    <cellStyle name="Normal 29 2 2 2 3 20" xfId="36246"/>
    <cellStyle name="Normal 29 2 2 2 3 21" xfId="37986"/>
    <cellStyle name="Normal 29 2 2 2 3 22" xfId="39739"/>
    <cellStyle name="Normal 29 2 2 2 3 23" xfId="41494"/>
    <cellStyle name="Normal 29 2 2 2 3 24" xfId="43246"/>
    <cellStyle name="Normal 29 2 2 2 3 25" xfId="45864"/>
    <cellStyle name="Normal 29 2 2 2 3 26" xfId="47616"/>
    <cellStyle name="Normal 29 2 2 2 3 27" xfId="49368"/>
    <cellStyle name="Normal 29 2 2 2 3 28" xfId="51120"/>
    <cellStyle name="Normal 29 2 2 2 3 29" xfId="52872"/>
    <cellStyle name="Normal 29 2 2 2 3 3" xfId="5573"/>
    <cellStyle name="Normal 29 2 2 2 3 30" xfId="54624"/>
    <cellStyle name="Normal 29 2 2 2 3 31" xfId="56376"/>
    <cellStyle name="Normal 29 2 2 2 3 32" xfId="58129"/>
    <cellStyle name="Normal 29 2 2 2 3 33" xfId="59881"/>
    <cellStyle name="Normal 29 2 2 2 3 34" xfId="61633"/>
    <cellStyle name="Normal 29 2 2 2 3 4" xfId="7325"/>
    <cellStyle name="Normal 29 2 2 2 3 5" xfId="9077"/>
    <cellStyle name="Normal 29 2 2 2 3 6" xfId="10830"/>
    <cellStyle name="Normal 29 2 2 2 3 7" xfId="12582"/>
    <cellStyle name="Normal 29 2 2 2 3 8" xfId="14334"/>
    <cellStyle name="Normal 29 2 2 2 3 9" xfId="16086"/>
    <cellStyle name="Normal 29 2 2 2 30" xfId="46740"/>
    <cellStyle name="Normal 29 2 2 2 31" xfId="48492"/>
    <cellStyle name="Normal 29 2 2 2 32" xfId="50244"/>
    <cellStyle name="Normal 29 2 2 2 33" xfId="51996"/>
    <cellStyle name="Normal 29 2 2 2 34" xfId="53748"/>
    <cellStyle name="Normal 29 2 2 2 35" xfId="55500"/>
    <cellStyle name="Normal 29 2 2 2 36" xfId="57253"/>
    <cellStyle name="Normal 29 2 2 2 37" xfId="59005"/>
    <cellStyle name="Normal 29 2 2 2 38" xfId="60757"/>
    <cellStyle name="Normal 29 2 2 2 39" xfId="62584"/>
    <cellStyle name="Normal 29 2 2 2 4" xfId="2945"/>
    <cellStyle name="Normal 29 2 2 2 40" xfId="63450"/>
    <cellStyle name="Normal 29 2 2 2 5" xfId="4697"/>
    <cellStyle name="Normal 29 2 2 2 6" xfId="6449"/>
    <cellStyle name="Normal 29 2 2 2 7" xfId="8201"/>
    <cellStyle name="Normal 29 2 2 2 8" xfId="9954"/>
    <cellStyle name="Normal 29 2 2 2 9" xfId="11706"/>
    <cellStyle name="Normal 29 2 2 20" xfId="29107"/>
    <cellStyle name="Normal 29 2 2 21" xfId="30859"/>
    <cellStyle name="Normal 29 2 2 22" xfId="32612"/>
    <cellStyle name="Normal 29 2 2 23" xfId="34575"/>
    <cellStyle name="Normal 29 2 2 24" xfId="35248"/>
    <cellStyle name="Normal 29 2 2 25" xfId="37196"/>
    <cellStyle name="Normal 29 2 2 26" xfId="38741"/>
    <cellStyle name="Normal 29 2 2 27" xfId="40496"/>
    <cellStyle name="Normal 29 2 2 28" xfId="42248"/>
    <cellStyle name="Normal 29 2 2 29" xfId="44196"/>
    <cellStyle name="Normal 29 2 2 3" xfId="1286"/>
    <cellStyle name="Normal 29 2 2 3 10" xfId="15524"/>
    <cellStyle name="Normal 29 2 2 3 11" xfId="17277"/>
    <cellStyle name="Normal 29 2 2 3 12" xfId="19029"/>
    <cellStyle name="Normal 29 2 2 3 13" xfId="20782"/>
    <cellStyle name="Normal 29 2 2 3 14" xfId="22534"/>
    <cellStyle name="Normal 29 2 2 3 15" xfId="24286"/>
    <cellStyle name="Normal 29 2 2 3 16" xfId="26038"/>
    <cellStyle name="Normal 29 2 2 3 17" xfId="27790"/>
    <cellStyle name="Normal 29 2 2 3 18" xfId="29543"/>
    <cellStyle name="Normal 29 2 2 3 19" xfId="31295"/>
    <cellStyle name="Normal 29 2 2 3 2" xfId="1287"/>
    <cellStyle name="Normal 29 2 2 3 2 10" xfId="18153"/>
    <cellStyle name="Normal 29 2 2 3 2 11" xfId="19905"/>
    <cellStyle name="Normal 29 2 2 3 2 12" xfId="21658"/>
    <cellStyle name="Normal 29 2 2 3 2 13" xfId="23410"/>
    <cellStyle name="Normal 29 2 2 3 2 14" xfId="25162"/>
    <cellStyle name="Normal 29 2 2 3 2 15" xfId="26914"/>
    <cellStyle name="Normal 29 2 2 3 2 16" xfId="28666"/>
    <cellStyle name="Normal 29 2 2 3 2 17" xfId="30419"/>
    <cellStyle name="Normal 29 2 2 3 2 18" xfId="32171"/>
    <cellStyle name="Normal 29 2 2 3 2 19" xfId="33924"/>
    <cellStyle name="Normal 29 2 2 3 2 2" xfId="4135"/>
    <cellStyle name="Normal 29 2 2 3 2 20" xfId="36560"/>
    <cellStyle name="Normal 29 2 2 3 2 21" xfId="38300"/>
    <cellStyle name="Normal 29 2 2 3 2 22" xfId="40053"/>
    <cellStyle name="Normal 29 2 2 3 2 23" xfId="41808"/>
    <cellStyle name="Normal 29 2 2 3 2 24" xfId="43560"/>
    <cellStyle name="Normal 29 2 2 3 2 25" xfId="46178"/>
    <cellStyle name="Normal 29 2 2 3 2 26" xfId="47930"/>
    <cellStyle name="Normal 29 2 2 3 2 27" xfId="49682"/>
    <cellStyle name="Normal 29 2 2 3 2 28" xfId="51434"/>
    <cellStyle name="Normal 29 2 2 3 2 29" xfId="53186"/>
    <cellStyle name="Normal 29 2 2 3 2 3" xfId="5887"/>
    <cellStyle name="Normal 29 2 2 3 2 30" xfId="54938"/>
    <cellStyle name="Normal 29 2 2 3 2 31" xfId="56690"/>
    <cellStyle name="Normal 29 2 2 3 2 32" xfId="58443"/>
    <cellStyle name="Normal 29 2 2 3 2 33" xfId="60195"/>
    <cellStyle name="Normal 29 2 2 3 2 34" xfId="61947"/>
    <cellStyle name="Normal 29 2 2 3 2 4" xfId="7639"/>
    <cellStyle name="Normal 29 2 2 3 2 5" xfId="9391"/>
    <cellStyle name="Normal 29 2 2 3 2 6" xfId="11144"/>
    <cellStyle name="Normal 29 2 2 3 2 7" xfId="12896"/>
    <cellStyle name="Normal 29 2 2 3 2 8" xfId="14648"/>
    <cellStyle name="Normal 29 2 2 3 2 9" xfId="16400"/>
    <cellStyle name="Normal 29 2 2 3 20" xfId="33048"/>
    <cellStyle name="Normal 29 2 2 3 21" xfId="34578"/>
    <cellStyle name="Normal 29 2 2 3 22" xfId="35684"/>
    <cellStyle name="Normal 29 2 2 3 23" xfId="37199"/>
    <cellStyle name="Normal 29 2 2 3 24" xfId="39177"/>
    <cellStyle name="Normal 29 2 2 3 25" xfId="40932"/>
    <cellStyle name="Normal 29 2 2 3 26" xfId="42684"/>
    <cellStyle name="Normal 29 2 2 3 27" xfId="44199"/>
    <cellStyle name="Normal 29 2 2 3 28" xfId="45302"/>
    <cellStyle name="Normal 29 2 2 3 29" xfId="47054"/>
    <cellStyle name="Normal 29 2 2 3 3" xfId="3259"/>
    <cellStyle name="Normal 29 2 2 3 30" xfId="48806"/>
    <cellStyle name="Normal 29 2 2 3 31" xfId="50558"/>
    <cellStyle name="Normal 29 2 2 3 32" xfId="52310"/>
    <cellStyle name="Normal 29 2 2 3 33" xfId="54062"/>
    <cellStyle name="Normal 29 2 2 3 34" xfId="55814"/>
    <cellStyle name="Normal 29 2 2 3 35" xfId="57567"/>
    <cellStyle name="Normal 29 2 2 3 36" xfId="59319"/>
    <cellStyle name="Normal 29 2 2 3 37" xfId="61071"/>
    <cellStyle name="Normal 29 2 2 3 38" xfId="62586"/>
    <cellStyle name="Normal 29 2 2 3 39" xfId="63452"/>
    <cellStyle name="Normal 29 2 2 3 4" xfId="5011"/>
    <cellStyle name="Normal 29 2 2 3 5" xfId="6763"/>
    <cellStyle name="Normal 29 2 2 3 6" xfId="8515"/>
    <cellStyle name="Normal 29 2 2 3 7" xfId="10268"/>
    <cellStyle name="Normal 29 2 2 3 8" xfId="12020"/>
    <cellStyle name="Normal 29 2 2 3 9" xfId="13772"/>
    <cellStyle name="Normal 29 2 2 30" xfId="44866"/>
    <cellStyle name="Normal 29 2 2 31" xfId="46618"/>
    <cellStyle name="Normal 29 2 2 32" xfId="48370"/>
    <cellStyle name="Normal 29 2 2 33" xfId="50122"/>
    <cellStyle name="Normal 29 2 2 34" xfId="51874"/>
    <cellStyle name="Normal 29 2 2 35" xfId="53626"/>
    <cellStyle name="Normal 29 2 2 36" xfId="55378"/>
    <cellStyle name="Normal 29 2 2 37" xfId="57131"/>
    <cellStyle name="Normal 29 2 2 38" xfId="58883"/>
    <cellStyle name="Normal 29 2 2 39" xfId="60635"/>
    <cellStyle name="Normal 29 2 2 4" xfId="1288"/>
    <cellStyle name="Normal 29 2 2 4 10" xfId="17717"/>
    <cellStyle name="Normal 29 2 2 4 11" xfId="19469"/>
    <cellStyle name="Normal 29 2 2 4 12" xfId="21222"/>
    <cellStyle name="Normal 29 2 2 4 13" xfId="22974"/>
    <cellStyle name="Normal 29 2 2 4 14" xfId="24726"/>
    <cellStyle name="Normal 29 2 2 4 15" xfId="26478"/>
    <cellStyle name="Normal 29 2 2 4 16" xfId="28230"/>
    <cellStyle name="Normal 29 2 2 4 17" xfId="29983"/>
    <cellStyle name="Normal 29 2 2 4 18" xfId="31735"/>
    <cellStyle name="Normal 29 2 2 4 19" xfId="33488"/>
    <cellStyle name="Normal 29 2 2 4 2" xfId="3699"/>
    <cellStyle name="Normal 29 2 2 4 20" xfId="36124"/>
    <cellStyle name="Normal 29 2 2 4 21" xfId="37864"/>
    <cellStyle name="Normal 29 2 2 4 22" xfId="39617"/>
    <cellStyle name="Normal 29 2 2 4 23" xfId="41372"/>
    <cellStyle name="Normal 29 2 2 4 24" xfId="43124"/>
    <cellStyle name="Normal 29 2 2 4 25" xfId="45742"/>
    <cellStyle name="Normal 29 2 2 4 26" xfId="47494"/>
    <cellStyle name="Normal 29 2 2 4 27" xfId="49246"/>
    <cellStyle name="Normal 29 2 2 4 28" xfId="50998"/>
    <cellStyle name="Normal 29 2 2 4 29" xfId="52750"/>
    <cellStyle name="Normal 29 2 2 4 3" xfId="5451"/>
    <cellStyle name="Normal 29 2 2 4 30" xfId="54502"/>
    <cellStyle name="Normal 29 2 2 4 31" xfId="56254"/>
    <cellStyle name="Normal 29 2 2 4 32" xfId="58007"/>
    <cellStyle name="Normal 29 2 2 4 33" xfId="59759"/>
    <cellStyle name="Normal 29 2 2 4 34" xfId="61511"/>
    <cellStyle name="Normal 29 2 2 4 4" xfId="7203"/>
    <cellStyle name="Normal 29 2 2 4 5" xfId="8955"/>
    <cellStyle name="Normal 29 2 2 4 6" xfId="10708"/>
    <cellStyle name="Normal 29 2 2 4 7" xfId="12460"/>
    <cellStyle name="Normal 29 2 2 4 8" xfId="14212"/>
    <cellStyle name="Normal 29 2 2 4 9" xfId="15964"/>
    <cellStyle name="Normal 29 2 2 40" xfId="62583"/>
    <cellStyle name="Normal 29 2 2 41" xfId="63449"/>
    <cellStyle name="Normal 29 2 2 5" xfId="2823"/>
    <cellStyle name="Normal 29 2 2 6" xfId="4575"/>
    <cellStyle name="Normal 29 2 2 7" xfId="6327"/>
    <cellStyle name="Normal 29 2 2 8" xfId="8079"/>
    <cellStyle name="Normal 29 2 2 9" xfId="9832"/>
    <cellStyle name="Normal 29 2 20" xfId="27246"/>
    <cellStyle name="Normal 29 2 21" xfId="28999"/>
    <cellStyle name="Normal 29 2 22" xfId="30751"/>
    <cellStyle name="Normal 29 2 23" xfId="32504"/>
    <cellStyle name="Normal 29 2 24" xfId="34574"/>
    <cellStyle name="Normal 29 2 25" xfId="35140"/>
    <cellStyle name="Normal 29 2 26" xfId="37195"/>
    <cellStyle name="Normal 29 2 27" xfId="38633"/>
    <cellStyle name="Normal 29 2 28" xfId="40388"/>
    <cellStyle name="Normal 29 2 29" xfId="42140"/>
    <cellStyle name="Normal 29 2 3" xfId="1289"/>
    <cellStyle name="Normal 29 2 3 10" xfId="13459"/>
    <cellStyle name="Normal 29 2 3 11" xfId="15211"/>
    <cellStyle name="Normal 29 2 3 12" xfId="16964"/>
    <cellStyle name="Normal 29 2 3 13" xfId="18716"/>
    <cellStyle name="Normal 29 2 3 14" xfId="20469"/>
    <cellStyle name="Normal 29 2 3 15" xfId="22221"/>
    <cellStyle name="Normal 29 2 3 16" xfId="23973"/>
    <cellStyle name="Normal 29 2 3 17" xfId="25725"/>
    <cellStyle name="Normal 29 2 3 18" xfId="27477"/>
    <cellStyle name="Normal 29 2 3 19" xfId="29230"/>
    <cellStyle name="Normal 29 2 3 2" xfId="1290"/>
    <cellStyle name="Normal 29 2 3 2 10" xfId="15647"/>
    <cellStyle name="Normal 29 2 3 2 11" xfId="17400"/>
    <cellStyle name="Normal 29 2 3 2 12" xfId="19152"/>
    <cellStyle name="Normal 29 2 3 2 13" xfId="20905"/>
    <cellStyle name="Normal 29 2 3 2 14" xfId="22657"/>
    <cellStyle name="Normal 29 2 3 2 15" xfId="24409"/>
    <cellStyle name="Normal 29 2 3 2 16" xfId="26161"/>
    <cellStyle name="Normal 29 2 3 2 17" xfId="27913"/>
    <cellStyle name="Normal 29 2 3 2 18" xfId="29666"/>
    <cellStyle name="Normal 29 2 3 2 19" xfId="31418"/>
    <cellStyle name="Normal 29 2 3 2 2" xfId="1291"/>
    <cellStyle name="Normal 29 2 3 2 2 10" xfId="18276"/>
    <cellStyle name="Normal 29 2 3 2 2 11" xfId="20028"/>
    <cellStyle name="Normal 29 2 3 2 2 12" xfId="21781"/>
    <cellStyle name="Normal 29 2 3 2 2 13" xfId="23533"/>
    <cellStyle name="Normal 29 2 3 2 2 14" xfId="25285"/>
    <cellStyle name="Normal 29 2 3 2 2 15" xfId="27037"/>
    <cellStyle name="Normal 29 2 3 2 2 16" xfId="28789"/>
    <cellStyle name="Normal 29 2 3 2 2 17" xfId="30542"/>
    <cellStyle name="Normal 29 2 3 2 2 18" xfId="32294"/>
    <cellStyle name="Normal 29 2 3 2 2 19" xfId="34047"/>
    <cellStyle name="Normal 29 2 3 2 2 2" xfId="4258"/>
    <cellStyle name="Normal 29 2 3 2 2 20" xfId="36683"/>
    <cellStyle name="Normal 29 2 3 2 2 21" xfId="38423"/>
    <cellStyle name="Normal 29 2 3 2 2 22" xfId="40176"/>
    <cellStyle name="Normal 29 2 3 2 2 23" xfId="41931"/>
    <cellStyle name="Normal 29 2 3 2 2 24" xfId="43683"/>
    <cellStyle name="Normal 29 2 3 2 2 25" xfId="46301"/>
    <cellStyle name="Normal 29 2 3 2 2 26" xfId="48053"/>
    <cellStyle name="Normal 29 2 3 2 2 27" xfId="49805"/>
    <cellStyle name="Normal 29 2 3 2 2 28" xfId="51557"/>
    <cellStyle name="Normal 29 2 3 2 2 29" xfId="53309"/>
    <cellStyle name="Normal 29 2 3 2 2 3" xfId="6010"/>
    <cellStyle name="Normal 29 2 3 2 2 30" xfId="55061"/>
    <cellStyle name="Normal 29 2 3 2 2 31" xfId="56813"/>
    <cellStyle name="Normal 29 2 3 2 2 32" xfId="58566"/>
    <cellStyle name="Normal 29 2 3 2 2 33" xfId="60318"/>
    <cellStyle name="Normal 29 2 3 2 2 34" xfId="62070"/>
    <cellStyle name="Normal 29 2 3 2 2 4" xfId="7762"/>
    <cellStyle name="Normal 29 2 3 2 2 5" xfId="9514"/>
    <cellStyle name="Normal 29 2 3 2 2 6" xfId="11267"/>
    <cellStyle name="Normal 29 2 3 2 2 7" xfId="13019"/>
    <cellStyle name="Normal 29 2 3 2 2 8" xfId="14771"/>
    <cellStyle name="Normal 29 2 3 2 2 9" xfId="16523"/>
    <cellStyle name="Normal 29 2 3 2 20" xfId="33171"/>
    <cellStyle name="Normal 29 2 3 2 21" xfId="34580"/>
    <cellStyle name="Normal 29 2 3 2 22" xfId="35807"/>
    <cellStyle name="Normal 29 2 3 2 23" xfId="37201"/>
    <cellStyle name="Normal 29 2 3 2 24" xfId="39300"/>
    <cellStyle name="Normal 29 2 3 2 25" xfId="41055"/>
    <cellStyle name="Normal 29 2 3 2 26" xfId="42807"/>
    <cellStyle name="Normal 29 2 3 2 27" xfId="44201"/>
    <cellStyle name="Normal 29 2 3 2 28" xfId="45425"/>
    <cellStyle name="Normal 29 2 3 2 29" xfId="47177"/>
    <cellStyle name="Normal 29 2 3 2 3" xfId="3382"/>
    <cellStyle name="Normal 29 2 3 2 30" xfId="48929"/>
    <cellStyle name="Normal 29 2 3 2 31" xfId="50681"/>
    <cellStyle name="Normal 29 2 3 2 32" xfId="52433"/>
    <cellStyle name="Normal 29 2 3 2 33" xfId="54185"/>
    <cellStyle name="Normal 29 2 3 2 34" xfId="55937"/>
    <cellStyle name="Normal 29 2 3 2 35" xfId="57690"/>
    <cellStyle name="Normal 29 2 3 2 36" xfId="59442"/>
    <cellStyle name="Normal 29 2 3 2 37" xfId="61194"/>
    <cellStyle name="Normal 29 2 3 2 38" xfId="62588"/>
    <cellStyle name="Normal 29 2 3 2 39" xfId="63454"/>
    <cellStyle name="Normal 29 2 3 2 4" xfId="5134"/>
    <cellStyle name="Normal 29 2 3 2 5" xfId="6886"/>
    <cellStyle name="Normal 29 2 3 2 6" xfId="8638"/>
    <cellStyle name="Normal 29 2 3 2 7" xfId="10391"/>
    <cellStyle name="Normal 29 2 3 2 8" xfId="12143"/>
    <cellStyle name="Normal 29 2 3 2 9" xfId="13895"/>
    <cellStyle name="Normal 29 2 3 20" xfId="30982"/>
    <cellStyle name="Normal 29 2 3 21" xfId="32735"/>
    <cellStyle name="Normal 29 2 3 22" xfId="34579"/>
    <cellStyle name="Normal 29 2 3 23" xfId="35371"/>
    <cellStyle name="Normal 29 2 3 24" xfId="37200"/>
    <cellStyle name="Normal 29 2 3 25" xfId="38864"/>
    <cellStyle name="Normal 29 2 3 26" xfId="40619"/>
    <cellStyle name="Normal 29 2 3 27" xfId="42371"/>
    <cellStyle name="Normal 29 2 3 28" xfId="44200"/>
    <cellStyle name="Normal 29 2 3 29" xfId="44989"/>
    <cellStyle name="Normal 29 2 3 3" xfId="1292"/>
    <cellStyle name="Normal 29 2 3 3 10" xfId="17840"/>
    <cellStyle name="Normal 29 2 3 3 11" xfId="19592"/>
    <cellStyle name="Normal 29 2 3 3 12" xfId="21345"/>
    <cellStyle name="Normal 29 2 3 3 13" xfId="23097"/>
    <cellStyle name="Normal 29 2 3 3 14" xfId="24849"/>
    <cellStyle name="Normal 29 2 3 3 15" xfId="26601"/>
    <cellStyle name="Normal 29 2 3 3 16" xfId="28353"/>
    <cellStyle name="Normal 29 2 3 3 17" xfId="30106"/>
    <cellStyle name="Normal 29 2 3 3 18" xfId="31858"/>
    <cellStyle name="Normal 29 2 3 3 19" xfId="33611"/>
    <cellStyle name="Normal 29 2 3 3 2" xfId="3822"/>
    <cellStyle name="Normal 29 2 3 3 20" xfId="36247"/>
    <cellStyle name="Normal 29 2 3 3 21" xfId="37987"/>
    <cellStyle name="Normal 29 2 3 3 22" xfId="39740"/>
    <cellStyle name="Normal 29 2 3 3 23" xfId="41495"/>
    <cellStyle name="Normal 29 2 3 3 24" xfId="43247"/>
    <cellStyle name="Normal 29 2 3 3 25" xfId="45865"/>
    <cellStyle name="Normal 29 2 3 3 26" xfId="47617"/>
    <cellStyle name="Normal 29 2 3 3 27" xfId="49369"/>
    <cellStyle name="Normal 29 2 3 3 28" xfId="51121"/>
    <cellStyle name="Normal 29 2 3 3 29" xfId="52873"/>
    <cellStyle name="Normal 29 2 3 3 3" xfId="5574"/>
    <cellStyle name="Normal 29 2 3 3 30" xfId="54625"/>
    <cellStyle name="Normal 29 2 3 3 31" xfId="56377"/>
    <cellStyle name="Normal 29 2 3 3 32" xfId="58130"/>
    <cellStyle name="Normal 29 2 3 3 33" xfId="59882"/>
    <cellStyle name="Normal 29 2 3 3 34" xfId="61634"/>
    <cellStyle name="Normal 29 2 3 3 4" xfId="7326"/>
    <cellStyle name="Normal 29 2 3 3 5" xfId="9078"/>
    <cellStyle name="Normal 29 2 3 3 6" xfId="10831"/>
    <cellStyle name="Normal 29 2 3 3 7" xfId="12583"/>
    <cellStyle name="Normal 29 2 3 3 8" xfId="14335"/>
    <cellStyle name="Normal 29 2 3 3 9" xfId="16087"/>
    <cellStyle name="Normal 29 2 3 30" xfId="46741"/>
    <cellStyle name="Normal 29 2 3 31" xfId="48493"/>
    <cellStyle name="Normal 29 2 3 32" xfId="50245"/>
    <cellStyle name="Normal 29 2 3 33" xfId="51997"/>
    <cellStyle name="Normal 29 2 3 34" xfId="53749"/>
    <cellStyle name="Normal 29 2 3 35" xfId="55501"/>
    <cellStyle name="Normal 29 2 3 36" xfId="57254"/>
    <cellStyle name="Normal 29 2 3 37" xfId="59006"/>
    <cellStyle name="Normal 29 2 3 38" xfId="60758"/>
    <cellStyle name="Normal 29 2 3 39" xfId="62587"/>
    <cellStyle name="Normal 29 2 3 4" xfId="2946"/>
    <cellStyle name="Normal 29 2 3 40" xfId="63453"/>
    <cellStyle name="Normal 29 2 3 5" xfId="4698"/>
    <cellStyle name="Normal 29 2 3 6" xfId="6450"/>
    <cellStyle name="Normal 29 2 3 7" xfId="8202"/>
    <cellStyle name="Normal 29 2 3 8" xfId="9955"/>
    <cellStyle name="Normal 29 2 3 9" xfId="11707"/>
    <cellStyle name="Normal 29 2 30" xfId="44195"/>
    <cellStyle name="Normal 29 2 31" xfId="44758"/>
    <cellStyle name="Normal 29 2 32" xfId="46510"/>
    <cellStyle name="Normal 29 2 33" xfId="48262"/>
    <cellStyle name="Normal 29 2 34" xfId="50014"/>
    <cellStyle name="Normal 29 2 35" xfId="51766"/>
    <cellStyle name="Normal 29 2 36" xfId="53518"/>
    <cellStyle name="Normal 29 2 37" xfId="55270"/>
    <cellStyle name="Normal 29 2 38" xfId="57023"/>
    <cellStyle name="Normal 29 2 39" xfId="58775"/>
    <cellStyle name="Normal 29 2 4" xfId="1293"/>
    <cellStyle name="Normal 29 2 4 10" xfId="15416"/>
    <cellStyle name="Normal 29 2 4 11" xfId="17169"/>
    <cellStyle name="Normal 29 2 4 12" xfId="18921"/>
    <cellStyle name="Normal 29 2 4 13" xfId="20674"/>
    <cellStyle name="Normal 29 2 4 14" xfId="22426"/>
    <cellStyle name="Normal 29 2 4 15" xfId="24178"/>
    <cellStyle name="Normal 29 2 4 16" xfId="25930"/>
    <cellStyle name="Normal 29 2 4 17" xfId="27682"/>
    <cellStyle name="Normal 29 2 4 18" xfId="29435"/>
    <cellStyle name="Normal 29 2 4 19" xfId="31187"/>
    <cellStyle name="Normal 29 2 4 2" xfId="1294"/>
    <cellStyle name="Normal 29 2 4 2 10" xfId="18045"/>
    <cellStyle name="Normal 29 2 4 2 11" xfId="19797"/>
    <cellStyle name="Normal 29 2 4 2 12" xfId="21550"/>
    <cellStyle name="Normal 29 2 4 2 13" xfId="23302"/>
    <cellStyle name="Normal 29 2 4 2 14" xfId="25054"/>
    <cellStyle name="Normal 29 2 4 2 15" xfId="26806"/>
    <cellStyle name="Normal 29 2 4 2 16" xfId="28558"/>
    <cellStyle name="Normal 29 2 4 2 17" xfId="30311"/>
    <cellStyle name="Normal 29 2 4 2 18" xfId="32063"/>
    <cellStyle name="Normal 29 2 4 2 19" xfId="33816"/>
    <cellStyle name="Normal 29 2 4 2 2" xfId="4027"/>
    <cellStyle name="Normal 29 2 4 2 20" xfId="36452"/>
    <cellStyle name="Normal 29 2 4 2 21" xfId="38192"/>
    <cellStyle name="Normal 29 2 4 2 22" xfId="39945"/>
    <cellStyle name="Normal 29 2 4 2 23" xfId="41700"/>
    <cellStyle name="Normal 29 2 4 2 24" xfId="43452"/>
    <cellStyle name="Normal 29 2 4 2 25" xfId="46070"/>
    <cellStyle name="Normal 29 2 4 2 26" xfId="47822"/>
    <cellStyle name="Normal 29 2 4 2 27" xfId="49574"/>
    <cellStyle name="Normal 29 2 4 2 28" xfId="51326"/>
    <cellStyle name="Normal 29 2 4 2 29" xfId="53078"/>
    <cellStyle name="Normal 29 2 4 2 3" xfId="5779"/>
    <cellStyle name="Normal 29 2 4 2 30" xfId="54830"/>
    <cellStyle name="Normal 29 2 4 2 31" xfId="56582"/>
    <cellStyle name="Normal 29 2 4 2 32" xfId="58335"/>
    <cellStyle name="Normal 29 2 4 2 33" xfId="60087"/>
    <cellStyle name="Normal 29 2 4 2 34" xfId="61839"/>
    <cellStyle name="Normal 29 2 4 2 4" xfId="7531"/>
    <cellStyle name="Normal 29 2 4 2 5" xfId="9283"/>
    <cellStyle name="Normal 29 2 4 2 6" xfId="11036"/>
    <cellStyle name="Normal 29 2 4 2 7" xfId="12788"/>
    <cellStyle name="Normal 29 2 4 2 8" xfId="14540"/>
    <cellStyle name="Normal 29 2 4 2 9" xfId="16292"/>
    <cellStyle name="Normal 29 2 4 20" xfId="32940"/>
    <cellStyle name="Normal 29 2 4 21" xfId="34581"/>
    <cellStyle name="Normal 29 2 4 22" xfId="35576"/>
    <cellStyle name="Normal 29 2 4 23" xfId="37202"/>
    <cellStyle name="Normal 29 2 4 24" xfId="39069"/>
    <cellStyle name="Normal 29 2 4 25" xfId="40824"/>
    <cellStyle name="Normal 29 2 4 26" xfId="42576"/>
    <cellStyle name="Normal 29 2 4 27" xfId="44202"/>
    <cellStyle name="Normal 29 2 4 28" xfId="45194"/>
    <cellStyle name="Normal 29 2 4 29" xfId="46946"/>
    <cellStyle name="Normal 29 2 4 3" xfId="3151"/>
    <cellStyle name="Normal 29 2 4 30" xfId="48698"/>
    <cellStyle name="Normal 29 2 4 31" xfId="50450"/>
    <cellStyle name="Normal 29 2 4 32" xfId="52202"/>
    <cellStyle name="Normal 29 2 4 33" xfId="53954"/>
    <cellStyle name="Normal 29 2 4 34" xfId="55706"/>
    <cellStyle name="Normal 29 2 4 35" xfId="57459"/>
    <cellStyle name="Normal 29 2 4 36" xfId="59211"/>
    <cellStyle name="Normal 29 2 4 37" xfId="60963"/>
    <cellStyle name="Normal 29 2 4 38" xfId="62589"/>
    <cellStyle name="Normal 29 2 4 39" xfId="63455"/>
    <cellStyle name="Normal 29 2 4 4" xfId="4903"/>
    <cellStyle name="Normal 29 2 4 5" xfId="6655"/>
    <cellStyle name="Normal 29 2 4 6" xfId="8407"/>
    <cellStyle name="Normal 29 2 4 7" xfId="10160"/>
    <cellStyle name="Normal 29 2 4 8" xfId="11912"/>
    <cellStyle name="Normal 29 2 4 9" xfId="13664"/>
    <cellStyle name="Normal 29 2 40" xfId="60527"/>
    <cellStyle name="Normal 29 2 41" xfId="62582"/>
    <cellStyle name="Normal 29 2 42" xfId="63448"/>
    <cellStyle name="Normal 29 2 5" xfId="1295"/>
    <cellStyle name="Normal 29 2 5 10" xfId="17609"/>
    <cellStyle name="Normal 29 2 5 11" xfId="19361"/>
    <cellStyle name="Normal 29 2 5 12" xfId="21114"/>
    <cellStyle name="Normal 29 2 5 13" xfId="22866"/>
    <cellStyle name="Normal 29 2 5 14" xfId="24618"/>
    <cellStyle name="Normal 29 2 5 15" xfId="26370"/>
    <cellStyle name="Normal 29 2 5 16" xfId="28122"/>
    <cellStyle name="Normal 29 2 5 17" xfId="29875"/>
    <cellStyle name="Normal 29 2 5 18" xfId="31627"/>
    <cellStyle name="Normal 29 2 5 19" xfId="33380"/>
    <cellStyle name="Normal 29 2 5 2" xfId="3591"/>
    <cellStyle name="Normal 29 2 5 20" xfId="36016"/>
    <cellStyle name="Normal 29 2 5 21" xfId="37756"/>
    <cellStyle name="Normal 29 2 5 22" xfId="39509"/>
    <cellStyle name="Normal 29 2 5 23" xfId="41264"/>
    <cellStyle name="Normal 29 2 5 24" xfId="43016"/>
    <cellStyle name="Normal 29 2 5 25" xfId="45634"/>
    <cellStyle name="Normal 29 2 5 26" xfId="47386"/>
    <cellStyle name="Normal 29 2 5 27" xfId="49138"/>
    <cellStyle name="Normal 29 2 5 28" xfId="50890"/>
    <cellStyle name="Normal 29 2 5 29" xfId="52642"/>
    <cellStyle name="Normal 29 2 5 3" xfId="5343"/>
    <cellStyle name="Normal 29 2 5 30" xfId="54394"/>
    <cellStyle name="Normal 29 2 5 31" xfId="56146"/>
    <cellStyle name="Normal 29 2 5 32" xfId="57899"/>
    <cellStyle name="Normal 29 2 5 33" xfId="59651"/>
    <cellStyle name="Normal 29 2 5 34" xfId="61403"/>
    <cellStyle name="Normal 29 2 5 4" xfId="7095"/>
    <cellStyle name="Normal 29 2 5 5" xfId="8847"/>
    <cellStyle name="Normal 29 2 5 6" xfId="10600"/>
    <cellStyle name="Normal 29 2 5 7" xfId="12352"/>
    <cellStyle name="Normal 29 2 5 8" xfId="14104"/>
    <cellStyle name="Normal 29 2 5 9" xfId="15856"/>
    <cellStyle name="Normal 29 2 6" xfId="2715"/>
    <cellStyle name="Normal 29 2 7" xfId="4467"/>
    <cellStyle name="Normal 29 2 8" xfId="6219"/>
    <cellStyle name="Normal 29 2 9" xfId="7971"/>
    <cellStyle name="Normal 29 20" xfId="25439"/>
    <cellStyle name="Normal 29 21" xfId="27191"/>
    <cellStyle name="Normal 29 22" xfId="28944"/>
    <cellStyle name="Normal 29 23" xfId="30696"/>
    <cellStyle name="Normal 29 24" xfId="32449"/>
    <cellStyle name="Normal 29 25" xfId="34573"/>
    <cellStyle name="Normal 29 26" xfId="35085"/>
    <cellStyle name="Normal 29 27" xfId="37194"/>
    <cellStyle name="Normal 29 28" xfId="38578"/>
    <cellStyle name="Normal 29 29" xfId="40333"/>
    <cellStyle name="Normal 29 3" xfId="1296"/>
    <cellStyle name="Normal 29 3 10" xfId="11529"/>
    <cellStyle name="Normal 29 3 11" xfId="13281"/>
    <cellStyle name="Normal 29 3 12" xfId="15033"/>
    <cellStyle name="Normal 29 3 13" xfId="16786"/>
    <cellStyle name="Normal 29 3 14" xfId="18538"/>
    <cellStyle name="Normal 29 3 15" xfId="20291"/>
    <cellStyle name="Normal 29 3 16" xfId="22043"/>
    <cellStyle name="Normal 29 3 17" xfId="23795"/>
    <cellStyle name="Normal 29 3 18" xfId="25547"/>
    <cellStyle name="Normal 29 3 19" xfId="27299"/>
    <cellStyle name="Normal 29 3 2" xfId="1297"/>
    <cellStyle name="Normal 29 3 2 10" xfId="13460"/>
    <cellStyle name="Normal 29 3 2 11" xfId="15212"/>
    <cellStyle name="Normal 29 3 2 12" xfId="16965"/>
    <cellStyle name="Normal 29 3 2 13" xfId="18717"/>
    <cellStyle name="Normal 29 3 2 14" xfId="20470"/>
    <cellStyle name="Normal 29 3 2 15" xfId="22222"/>
    <cellStyle name="Normal 29 3 2 16" xfId="23974"/>
    <cellStyle name="Normal 29 3 2 17" xfId="25726"/>
    <cellStyle name="Normal 29 3 2 18" xfId="27478"/>
    <cellStyle name="Normal 29 3 2 19" xfId="29231"/>
    <cellStyle name="Normal 29 3 2 2" xfId="1298"/>
    <cellStyle name="Normal 29 3 2 2 10" xfId="15648"/>
    <cellStyle name="Normal 29 3 2 2 11" xfId="17401"/>
    <cellStyle name="Normal 29 3 2 2 12" xfId="19153"/>
    <cellStyle name="Normal 29 3 2 2 13" xfId="20906"/>
    <cellStyle name="Normal 29 3 2 2 14" xfId="22658"/>
    <cellStyle name="Normal 29 3 2 2 15" xfId="24410"/>
    <cellStyle name="Normal 29 3 2 2 16" xfId="26162"/>
    <cellStyle name="Normal 29 3 2 2 17" xfId="27914"/>
    <cellStyle name="Normal 29 3 2 2 18" xfId="29667"/>
    <cellStyle name="Normal 29 3 2 2 19" xfId="31419"/>
    <cellStyle name="Normal 29 3 2 2 2" xfId="1299"/>
    <cellStyle name="Normal 29 3 2 2 2 10" xfId="18277"/>
    <cellStyle name="Normal 29 3 2 2 2 11" xfId="20029"/>
    <cellStyle name="Normal 29 3 2 2 2 12" xfId="21782"/>
    <cellStyle name="Normal 29 3 2 2 2 13" xfId="23534"/>
    <cellStyle name="Normal 29 3 2 2 2 14" xfId="25286"/>
    <cellStyle name="Normal 29 3 2 2 2 15" xfId="27038"/>
    <cellStyle name="Normal 29 3 2 2 2 16" xfId="28790"/>
    <cellStyle name="Normal 29 3 2 2 2 17" xfId="30543"/>
    <cellStyle name="Normal 29 3 2 2 2 18" xfId="32295"/>
    <cellStyle name="Normal 29 3 2 2 2 19" xfId="34048"/>
    <cellStyle name="Normal 29 3 2 2 2 2" xfId="4259"/>
    <cellStyle name="Normal 29 3 2 2 2 20" xfId="36684"/>
    <cellStyle name="Normal 29 3 2 2 2 21" xfId="38424"/>
    <cellStyle name="Normal 29 3 2 2 2 22" xfId="40177"/>
    <cellStyle name="Normal 29 3 2 2 2 23" xfId="41932"/>
    <cellStyle name="Normal 29 3 2 2 2 24" xfId="43684"/>
    <cellStyle name="Normal 29 3 2 2 2 25" xfId="46302"/>
    <cellStyle name="Normal 29 3 2 2 2 26" xfId="48054"/>
    <cellStyle name="Normal 29 3 2 2 2 27" xfId="49806"/>
    <cellStyle name="Normal 29 3 2 2 2 28" xfId="51558"/>
    <cellStyle name="Normal 29 3 2 2 2 29" xfId="53310"/>
    <cellStyle name="Normal 29 3 2 2 2 3" xfId="6011"/>
    <cellStyle name="Normal 29 3 2 2 2 30" xfId="55062"/>
    <cellStyle name="Normal 29 3 2 2 2 31" xfId="56814"/>
    <cellStyle name="Normal 29 3 2 2 2 32" xfId="58567"/>
    <cellStyle name="Normal 29 3 2 2 2 33" xfId="60319"/>
    <cellStyle name="Normal 29 3 2 2 2 34" xfId="62071"/>
    <cellStyle name="Normal 29 3 2 2 2 4" xfId="7763"/>
    <cellStyle name="Normal 29 3 2 2 2 5" xfId="9515"/>
    <cellStyle name="Normal 29 3 2 2 2 6" xfId="11268"/>
    <cellStyle name="Normal 29 3 2 2 2 7" xfId="13020"/>
    <cellStyle name="Normal 29 3 2 2 2 8" xfId="14772"/>
    <cellStyle name="Normal 29 3 2 2 2 9" xfId="16524"/>
    <cellStyle name="Normal 29 3 2 2 20" xfId="33172"/>
    <cellStyle name="Normal 29 3 2 2 21" xfId="34584"/>
    <cellStyle name="Normal 29 3 2 2 22" xfId="35808"/>
    <cellStyle name="Normal 29 3 2 2 23" xfId="37205"/>
    <cellStyle name="Normal 29 3 2 2 24" xfId="39301"/>
    <cellStyle name="Normal 29 3 2 2 25" xfId="41056"/>
    <cellStyle name="Normal 29 3 2 2 26" xfId="42808"/>
    <cellStyle name="Normal 29 3 2 2 27" xfId="44205"/>
    <cellStyle name="Normal 29 3 2 2 28" xfId="45426"/>
    <cellStyle name="Normal 29 3 2 2 29" xfId="47178"/>
    <cellStyle name="Normal 29 3 2 2 3" xfId="3383"/>
    <cellStyle name="Normal 29 3 2 2 30" xfId="48930"/>
    <cellStyle name="Normal 29 3 2 2 31" xfId="50682"/>
    <cellStyle name="Normal 29 3 2 2 32" xfId="52434"/>
    <cellStyle name="Normal 29 3 2 2 33" xfId="54186"/>
    <cellStyle name="Normal 29 3 2 2 34" xfId="55938"/>
    <cellStyle name="Normal 29 3 2 2 35" xfId="57691"/>
    <cellStyle name="Normal 29 3 2 2 36" xfId="59443"/>
    <cellStyle name="Normal 29 3 2 2 37" xfId="61195"/>
    <cellStyle name="Normal 29 3 2 2 38" xfId="62592"/>
    <cellStyle name="Normal 29 3 2 2 39" xfId="63458"/>
    <cellStyle name="Normal 29 3 2 2 4" xfId="5135"/>
    <cellStyle name="Normal 29 3 2 2 5" xfId="6887"/>
    <cellStyle name="Normal 29 3 2 2 6" xfId="8639"/>
    <cellStyle name="Normal 29 3 2 2 7" xfId="10392"/>
    <cellStyle name="Normal 29 3 2 2 8" xfId="12144"/>
    <cellStyle name="Normal 29 3 2 2 9" xfId="13896"/>
    <cellStyle name="Normal 29 3 2 20" xfId="30983"/>
    <cellStyle name="Normal 29 3 2 21" xfId="32736"/>
    <cellStyle name="Normal 29 3 2 22" xfId="34583"/>
    <cellStyle name="Normal 29 3 2 23" xfId="35372"/>
    <cellStyle name="Normal 29 3 2 24" xfId="37204"/>
    <cellStyle name="Normal 29 3 2 25" xfId="38865"/>
    <cellStyle name="Normal 29 3 2 26" xfId="40620"/>
    <cellStyle name="Normal 29 3 2 27" xfId="42372"/>
    <cellStyle name="Normal 29 3 2 28" xfId="44204"/>
    <cellStyle name="Normal 29 3 2 29" xfId="44990"/>
    <cellStyle name="Normal 29 3 2 3" xfId="1300"/>
    <cellStyle name="Normal 29 3 2 3 10" xfId="17841"/>
    <cellStyle name="Normal 29 3 2 3 11" xfId="19593"/>
    <cellStyle name="Normal 29 3 2 3 12" xfId="21346"/>
    <cellStyle name="Normal 29 3 2 3 13" xfId="23098"/>
    <cellStyle name="Normal 29 3 2 3 14" xfId="24850"/>
    <cellStyle name="Normal 29 3 2 3 15" xfId="26602"/>
    <cellStyle name="Normal 29 3 2 3 16" xfId="28354"/>
    <cellStyle name="Normal 29 3 2 3 17" xfId="30107"/>
    <cellStyle name="Normal 29 3 2 3 18" xfId="31859"/>
    <cellStyle name="Normal 29 3 2 3 19" xfId="33612"/>
    <cellStyle name="Normal 29 3 2 3 2" xfId="3823"/>
    <cellStyle name="Normal 29 3 2 3 20" xfId="36248"/>
    <cellStyle name="Normal 29 3 2 3 21" xfId="37988"/>
    <cellStyle name="Normal 29 3 2 3 22" xfId="39741"/>
    <cellStyle name="Normal 29 3 2 3 23" xfId="41496"/>
    <cellStyle name="Normal 29 3 2 3 24" xfId="43248"/>
    <cellStyle name="Normal 29 3 2 3 25" xfId="45866"/>
    <cellStyle name="Normal 29 3 2 3 26" xfId="47618"/>
    <cellStyle name="Normal 29 3 2 3 27" xfId="49370"/>
    <cellStyle name="Normal 29 3 2 3 28" xfId="51122"/>
    <cellStyle name="Normal 29 3 2 3 29" xfId="52874"/>
    <cellStyle name="Normal 29 3 2 3 3" xfId="5575"/>
    <cellStyle name="Normal 29 3 2 3 30" xfId="54626"/>
    <cellStyle name="Normal 29 3 2 3 31" xfId="56378"/>
    <cellStyle name="Normal 29 3 2 3 32" xfId="58131"/>
    <cellStyle name="Normal 29 3 2 3 33" xfId="59883"/>
    <cellStyle name="Normal 29 3 2 3 34" xfId="61635"/>
    <cellStyle name="Normal 29 3 2 3 4" xfId="7327"/>
    <cellStyle name="Normal 29 3 2 3 5" xfId="9079"/>
    <cellStyle name="Normal 29 3 2 3 6" xfId="10832"/>
    <cellStyle name="Normal 29 3 2 3 7" xfId="12584"/>
    <cellStyle name="Normal 29 3 2 3 8" xfId="14336"/>
    <cellStyle name="Normal 29 3 2 3 9" xfId="16088"/>
    <cellStyle name="Normal 29 3 2 30" xfId="46742"/>
    <cellStyle name="Normal 29 3 2 31" xfId="48494"/>
    <cellStyle name="Normal 29 3 2 32" xfId="50246"/>
    <cellStyle name="Normal 29 3 2 33" xfId="51998"/>
    <cellStyle name="Normal 29 3 2 34" xfId="53750"/>
    <cellStyle name="Normal 29 3 2 35" xfId="55502"/>
    <cellStyle name="Normal 29 3 2 36" xfId="57255"/>
    <cellStyle name="Normal 29 3 2 37" xfId="59007"/>
    <cellStyle name="Normal 29 3 2 38" xfId="60759"/>
    <cellStyle name="Normal 29 3 2 39" xfId="62591"/>
    <cellStyle name="Normal 29 3 2 4" xfId="2947"/>
    <cellStyle name="Normal 29 3 2 40" xfId="63457"/>
    <cellStyle name="Normal 29 3 2 5" xfId="4699"/>
    <cellStyle name="Normal 29 3 2 6" xfId="6451"/>
    <cellStyle name="Normal 29 3 2 7" xfId="8203"/>
    <cellStyle name="Normal 29 3 2 8" xfId="9956"/>
    <cellStyle name="Normal 29 3 2 9" xfId="11708"/>
    <cellStyle name="Normal 29 3 20" xfId="29052"/>
    <cellStyle name="Normal 29 3 21" xfId="30804"/>
    <cellStyle name="Normal 29 3 22" xfId="32557"/>
    <cellStyle name="Normal 29 3 23" xfId="34582"/>
    <cellStyle name="Normal 29 3 24" xfId="35193"/>
    <cellStyle name="Normal 29 3 25" xfId="37203"/>
    <cellStyle name="Normal 29 3 26" xfId="38686"/>
    <cellStyle name="Normal 29 3 27" xfId="40441"/>
    <cellStyle name="Normal 29 3 28" xfId="42193"/>
    <cellStyle name="Normal 29 3 29" xfId="44203"/>
    <cellStyle name="Normal 29 3 3" xfId="1301"/>
    <cellStyle name="Normal 29 3 3 10" xfId="15469"/>
    <cellStyle name="Normal 29 3 3 11" xfId="17222"/>
    <cellStyle name="Normal 29 3 3 12" xfId="18974"/>
    <cellStyle name="Normal 29 3 3 13" xfId="20727"/>
    <cellStyle name="Normal 29 3 3 14" xfId="22479"/>
    <cellStyle name="Normal 29 3 3 15" xfId="24231"/>
    <cellStyle name="Normal 29 3 3 16" xfId="25983"/>
    <cellStyle name="Normal 29 3 3 17" xfId="27735"/>
    <cellStyle name="Normal 29 3 3 18" xfId="29488"/>
    <cellStyle name="Normal 29 3 3 19" xfId="31240"/>
    <cellStyle name="Normal 29 3 3 2" xfId="1302"/>
    <cellStyle name="Normal 29 3 3 2 10" xfId="18098"/>
    <cellStyle name="Normal 29 3 3 2 11" xfId="19850"/>
    <cellStyle name="Normal 29 3 3 2 12" xfId="21603"/>
    <cellStyle name="Normal 29 3 3 2 13" xfId="23355"/>
    <cellStyle name="Normal 29 3 3 2 14" xfId="25107"/>
    <cellStyle name="Normal 29 3 3 2 15" xfId="26859"/>
    <cellStyle name="Normal 29 3 3 2 16" xfId="28611"/>
    <cellStyle name="Normal 29 3 3 2 17" xfId="30364"/>
    <cellStyle name="Normal 29 3 3 2 18" xfId="32116"/>
    <cellStyle name="Normal 29 3 3 2 19" xfId="33869"/>
    <cellStyle name="Normal 29 3 3 2 2" xfId="4080"/>
    <cellStyle name="Normal 29 3 3 2 20" xfId="36505"/>
    <cellStyle name="Normal 29 3 3 2 21" xfId="38245"/>
    <cellStyle name="Normal 29 3 3 2 22" xfId="39998"/>
    <cellStyle name="Normal 29 3 3 2 23" xfId="41753"/>
    <cellStyle name="Normal 29 3 3 2 24" xfId="43505"/>
    <cellStyle name="Normal 29 3 3 2 25" xfId="46123"/>
    <cellStyle name="Normal 29 3 3 2 26" xfId="47875"/>
    <cellStyle name="Normal 29 3 3 2 27" xfId="49627"/>
    <cellStyle name="Normal 29 3 3 2 28" xfId="51379"/>
    <cellStyle name="Normal 29 3 3 2 29" xfId="53131"/>
    <cellStyle name="Normal 29 3 3 2 3" xfId="5832"/>
    <cellStyle name="Normal 29 3 3 2 30" xfId="54883"/>
    <cellStyle name="Normal 29 3 3 2 31" xfId="56635"/>
    <cellStyle name="Normal 29 3 3 2 32" xfId="58388"/>
    <cellStyle name="Normal 29 3 3 2 33" xfId="60140"/>
    <cellStyle name="Normal 29 3 3 2 34" xfId="61892"/>
    <cellStyle name="Normal 29 3 3 2 4" xfId="7584"/>
    <cellStyle name="Normal 29 3 3 2 5" xfId="9336"/>
    <cellStyle name="Normal 29 3 3 2 6" xfId="11089"/>
    <cellStyle name="Normal 29 3 3 2 7" xfId="12841"/>
    <cellStyle name="Normal 29 3 3 2 8" xfId="14593"/>
    <cellStyle name="Normal 29 3 3 2 9" xfId="16345"/>
    <cellStyle name="Normal 29 3 3 20" xfId="32993"/>
    <cellStyle name="Normal 29 3 3 21" xfId="34585"/>
    <cellStyle name="Normal 29 3 3 22" xfId="35629"/>
    <cellStyle name="Normal 29 3 3 23" xfId="37206"/>
    <cellStyle name="Normal 29 3 3 24" xfId="39122"/>
    <cellStyle name="Normal 29 3 3 25" xfId="40877"/>
    <cellStyle name="Normal 29 3 3 26" xfId="42629"/>
    <cellStyle name="Normal 29 3 3 27" xfId="44206"/>
    <cellStyle name="Normal 29 3 3 28" xfId="45247"/>
    <cellStyle name="Normal 29 3 3 29" xfId="46999"/>
    <cellStyle name="Normal 29 3 3 3" xfId="3204"/>
    <cellStyle name="Normal 29 3 3 30" xfId="48751"/>
    <cellStyle name="Normal 29 3 3 31" xfId="50503"/>
    <cellStyle name="Normal 29 3 3 32" xfId="52255"/>
    <cellStyle name="Normal 29 3 3 33" xfId="54007"/>
    <cellStyle name="Normal 29 3 3 34" xfId="55759"/>
    <cellStyle name="Normal 29 3 3 35" xfId="57512"/>
    <cellStyle name="Normal 29 3 3 36" xfId="59264"/>
    <cellStyle name="Normal 29 3 3 37" xfId="61016"/>
    <cellStyle name="Normal 29 3 3 38" xfId="62593"/>
    <cellStyle name="Normal 29 3 3 39" xfId="63459"/>
    <cellStyle name="Normal 29 3 3 4" xfId="4956"/>
    <cellStyle name="Normal 29 3 3 5" xfId="6708"/>
    <cellStyle name="Normal 29 3 3 6" xfId="8460"/>
    <cellStyle name="Normal 29 3 3 7" xfId="10213"/>
    <cellStyle name="Normal 29 3 3 8" xfId="11965"/>
    <cellStyle name="Normal 29 3 3 9" xfId="13717"/>
    <cellStyle name="Normal 29 3 30" xfId="44811"/>
    <cellStyle name="Normal 29 3 31" xfId="46563"/>
    <cellStyle name="Normal 29 3 32" xfId="48315"/>
    <cellStyle name="Normal 29 3 33" xfId="50067"/>
    <cellStyle name="Normal 29 3 34" xfId="51819"/>
    <cellStyle name="Normal 29 3 35" xfId="53571"/>
    <cellStyle name="Normal 29 3 36" xfId="55323"/>
    <cellStyle name="Normal 29 3 37" xfId="57076"/>
    <cellStyle name="Normal 29 3 38" xfId="58828"/>
    <cellStyle name="Normal 29 3 39" xfId="60580"/>
    <cellStyle name="Normal 29 3 4" xfId="1303"/>
    <cellStyle name="Normal 29 3 4 10" xfId="17662"/>
    <cellStyle name="Normal 29 3 4 11" xfId="19414"/>
    <cellStyle name="Normal 29 3 4 12" xfId="21167"/>
    <cellStyle name="Normal 29 3 4 13" xfId="22919"/>
    <cellStyle name="Normal 29 3 4 14" xfId="24671"/>
    <cellStyle name="Normal 29 3 4 15" xfId="26423"/>
    <cellStyle name="Normal 29 3 4 16" xfId="28175"/>
    <cellStyle name="Normal 29 3 4 17" xfId="29928"/>
    <cellStyle name="Normal 29 3 4 18" xfId="31680"/>
    <cellStyle name="Normal 29 3 4 19" xfId="33433"/>
    <cellStyle name="Normal 29 3 4 2" xfId="3644"/>
    <cellStyle name="Normal 29 3 4 20" xfId="36069"/>
    <cellStyle name="Normal 29 3 4 21" xfId="37809"/>
    <cellStyle name="Normal 29 3 4 22" xfId="39562"/>
    <cellStyle name="Normal 29 3 4 23" xfId="41317"/>
    <cellStyle name="Normal 29 3 4 24" xfId="43069"/>
    <cellStyle name="Normal 29 3 4 25" xfId="45687"/>
    <cellStyle name="Normal 29 3 4 26" xfId="47439"/>
    <cellStyle name="Normal 29 3 4 27" xfId="49191"/>
    <cellStyle name="Normal 29 3 4 28" xfId="50943"/>
    <cellStyle name="Normal 29 3 4 29" xfId="52695"/>
    <cellStyle name="Normal 29 3 4 3" xfId="5396"/>
    <cellStyle name="Normal 29 3 4 30" xfId="54447"/>
    <cellStyle name="Normal 29 3 4 31" xfId="56199"/>
    <cellStyle name="Normal 29 3 4 32" xfId="57952"/>
    <cellStyle name="Normal 29 3 4 33" xfId="59704"/>
    <cellStyle name="Normal 29 3 4 34" xfId="61456"/>
    <cellStyle name="Normal 29 3 4 4" xfId="7148"/>
    <cellStyle name="Normal 29 3 4 5" xfId="8900"/>
    <cellStyle name="Normal 29 3 4 6" xfId="10653"/>
    <cellStyle name="Normal 29 3 4 7" xfId="12405"/>
    <cellStyle name="Normal 29 3 4 8" xfId="14157"/>
    <cellStyle name="Normal 29 3 4 9" xfId="15909"/>
    <cellStyle name="Normal 29 3 40" xfId="62590"/>
    <cellStyle name="Normal 29 3 41" xfId="63456"/>
    <cellStyle name="Normal 29 3 5" xfId="2768"/>
    <cellStyle name="Normal 29 3 6" xfId="4520"/>
    <cellStyle name="Normal 29 3 7" xfId="6272"/>
    <cellStyle name="Normal 29 3 8" xfId="8024"/>
    <cellStyle name="Normal 29 3 9" xfId="9777"/>
    <cellStyle name="Normal 29 30" xfId="42085"/>
    <cellStyle name="Normal 29 31" xfId="44194"/>
    <cellStyle name="Normal 29 32" xfId="44703"/>
    <cellStyle name="Normal 29 33" xfId="46455"/>
    <cellStyle name="Normal 29 34" xfId="48207"/>
    <cellStyle name="Normal 29 35" xfId="49959"/>
    <cellStyle name="Normal 29 36" xfId="51711"/>
    <cellStyle name="Normal 29 37" xfId="53463"/>
    <cellStyle name="Normal 29 38" xfId="55215"/>
    <cellStyle name="Normal 29 39" xfId="56968"/>
    <cellStyle name="Normal 29 4" xfId="1304"/>
    <cellStyle name="Normal 29 4 10" xfId="13461"/>
    <cellStyle name="Normal 29 4 11" xfId="15213"/>
    <cellStyle name="Normal 29 4 12" xfId="16966"/>
    <cellStyle name="Normal 29 4 13" xfId="18718"/>
    <cellStyle name="Normal 29 4 14" xfId="20471"/>
    <cellStyle name="Normal 29 4 15" xfId="22223"/>
    <cellStyle name="Normal 29 4 16" xfId="23975"/>
    <cellStyle name="Normal 29 4 17" xfId="25727"/>
    <cellStyle name="Normal 29 4 18" xfId="27479"/>
    <cellStyle name="Normal 29 4 19" xfId="29232"/>
    <cellStyle name="Normal 29 4 2" xfId="1305"/>
    <cellStyle name="Normal 29 4 2 10" xfId="15649"/>
    <cellStyle name="Normal 29 4 2 11" xfId="17402"/>
    <cellStyle name="Normal 29 4 2 12" xfId="19154"/>
    <cellStyle name="Normal 29 4 2 13" xfId="20907"/>
    <cellStyle name="Normal 29 4 2 14" xfId="22659"/>
    <cellStyle name="Normal 29 4 2 15" xfId="24411"/>
    <cellStyle name="Normal 29 4 2 16" xfId="26163"/>
    <cellStyle name="Normal 29 4 2 17" xfId="27915"/>
    <cellStyle name="Normal 29 4 2 18" xfId="29668"/>
    <cellStyle name="Normal 29 4 2 19" xfId="31420"/>
    <cellStyle name="Normal 29 4 2 2" xfId="1306"/>
    <cellStyle name="Normal 29 4 2 2 10" xfId="18278"/>
    <cellStyle name="Normal 29 4 2 2 11" xfId="20030"/>
    <cellStyle name="Normal 29 4 2 2 12" xfId="21783"/>
    <cellStyle name="Normal 29 4 2 2 13" xfId="23535"/>
    <cellStyle name="Normal 29 4 2 2 14" xfId="25287"/>
    <cellStyle name="Normal 29 4 2 2 15" xfId="27039"/>
    <cellStyle name="Normal 29 4 2 2 16" xfId="28791"/>
    <cellStyle name="Normal 29 4 2 2 17" xfId="30544"/>
    <cellStyle name="Normal 29 4 2 2 18" xfId="32296"/>
    <cellStyle name="Normal 29 4 2 2 19" xfId="34049"/>
    <cellStyle name="Normal 29 4 2 2 2" xfId="4260"/>
    <cellStyle name="Normal 29 4 2 2 20" xfId="36685"/>
    <cellStyle name="Normal 29 4 2 2 21" xfId="38425"/>
    <cellStyle name="Normal 29 4 2 2 22" xfId="40178"/>
    <cellStyle name="Normal 29 4 2 2 23" xfId="41933"/>
    <cellStyle name="Normal 29 4 2 2 24" xfId="43685"/>
    <cellStyle name="Normal 29 4 2 2 25" xfId="46303"/>
    <cellStyle name="Normal 29 4 2 2 26" xfId="48055"/>
    <cellStyle name="Normal 29 4 2 2 27" xfId="49807"/>
    <cellStyle name="Normal 29 4 2 2 28" xfId="51559"/>
    <cellStyle name="Normal 29 4 2 2 29" xfId="53311"/>
    <cellStyle name="Normal 29 4 2 2 3" xfId="6012"/>
    <cellStyle name="Normal 29 4 2 2 30" xfId="55063"/>
    <cellStyle name="Normal 29 4 2 2 31" xfId="56815"/>
    <cellStyle name="Normal 29 4 2 2 32" xfId="58568"/>
    <cellStyle name="Normal 29 4 2 2 33" xfId="60320"/>
    <cellStyle name="Normal 29 4 2 2 34" xfId="62072"/>
    <cellStyle name="Normal 29 4 2 2 4" xfId="7764"/>
    <cellStyle name="Normal 29 4 2 2 5" xfId="9516"/>
    <cellStyle name="Normal 29 4 2 2 6" xfId="11269"/>
    <cellStyle name="Normal 29 4 2 2 7" xfId="13021"/>
    <cellStyle name="Normal 29 4 2 2 8" xfId="14773"/>
    <cellStyle name="Normal 29 4 2 2 9" xfId="16525"/>
    <cellStyle name="Normal 29 4 2 20" xfId="33173"/>
    <cellStyle name="Normal 29 4 2 21" xfId="34587"/>
    <cellStyle name="Normal 29 4 2 22" xfId="35809"/>
    <cellStyle name="Normal 29 4 2 23" xfId="37208"/>
    <cellStyle name="Normal 29 4 2 24" xfId="39302"/>
    <cellStyle name="Normal 29 4 2 25" xfId="41057"/>
    <cellStyle name="Normal 29 4 2 26" xfId="42809"/>
    <cellStyle name="Normal 29 4 2 27" xfId="44208"/>
    <cellStyle name="Normal 29 4 2 28" xfId="45427"/>
    <cellStyle name="Normal 29 4 2 29" xfId="47179"/>
    <cellStyle name="Normal 29 4 2 3" xfId="3384"/>
    <cellStyle name="Normal 29 4 2 30" xfId="48931"/>
    <cellStyle name="Normal 29 4 2 31" xfId="50683"/>
    <cellStyle name="Normal 29 4 2 32" xfId="52435"/>
    <cellStyle name="Normal 29 4 2 33" xfId="54187"/>
    <cellStyle name="Normal 29 4 2 34" xfId="55939"/>
    <cellStyle name="Normal 29 4 2 35" xfId="57692"/>
    <cellStyle name="Normal 29 4 2 36" xfId="59444"/>
    <cellStyle name="Normal 29 4 2 37" xfId="61196"/>
    <cellStyle name="Normal 29 4 2 38" xfId="62595"/>
    <cellStyle name="Normal 29 4 2 39" xfId="63461"/>
    <cellStyle name="Normal 29 4 2 4" xfId="5136"/>
    <cellStyle name="Normal 29 4 2 5" xfId="6888"/>
    <cellStyle name="Normal 29 4 2 6" xfId="8640"/>
    <cellStyle name="Normal 29 4 2 7" xfId="10393"/>
    <cellStyle name="Normal 29 4 2 8" xfId="12145"/>
    <cellStyle name="Normal 29 4 2 9" xfId="13897"/>
    <cellStyle name="Normal 29 4 20" xfId="30984"/>
    <cellStyle name="Normal 29 4 21" xfId="32737"/>
    <cellStyle name="Normal 29 4 22" xfId="34586"/>
    <cellStyle name="Normal 29 4 23" xfId="35373"/>
    <cellStyle name="Normal 29 4 24" xfId="37207"/>
    <cellStyle name="Normal 29 4 25" xfId="38866"/>
    <cellStyle name="Normal 29 4 26" xfId="40621"/>
    <cellStyle name="Normal 29 4 27" xfId="42373"/>
    <cellStyle name="Normal 29 4 28" xfId="44207"/>
    <cellStyle name="Normal 29 4 29" xfId="44991"/>
    <cellStyle name="Normal 29 4 3" xfId="1307"/>
    <cellStyle name="Normal 29 4 3 10" xfId="17842"/>
    <cellStyle name="Normal 29 4 3 11" xfId="19594"/>
    <cellStyle name="Normal 29 4 3 12" xfId="21347"/>
    <cellStyle name="Normal 29 4 3 13" xfId="23099"/>
    <cellStyle name="Normal 29 4 3 14" xfId="24851"/>
    <cellStyle name="Normal 29 4 3 15" xfId="26603"/>
    <cellStyle name="Normal 29 4 3 16" xfId="28355"/>
    <cellStyle name="Normal 29 4 3 17" xfId="30108"/>
    <cellStyle name="Normal 29 4 3 18" xfId="31860"/>
    <cellStyle name="Normal 29 4 3 19" xfId="33613"/>
    <cellStyle name="Normal 29 4 3 2" xfId="3824"/>
    <cellStyle name="Normal 29 4 3 20" xfId="36249"/>
    <cellStyle name="Normal 29 4 3 21" xfId="37989"/>
    <cellStyle name="Normal 29 4 3 22" xfId="39742"/>
    <cellStyle name="Normal 29 4 3 23" xfId="41497"/>
    <cellStyle name="Normal 29 4 3 24" xfId="43249"/>
    <cellStyle name="Normal 29 4 3 25" xfId="45867"/>
    <cellStyle name="Normal 29 4 3 26" xfId="47619"/>
    <cellStyle name="Normal 29 4 3 27" xfId="49371"/>
    <cellStyle name="Normal 29 4 3 28" xfId="51123"/>
    <cellStyle name="Normal 29 4 3 29" xfId="52875"/>
    <cellStyle name="Normal 29 4 3 3" xfId="5576"/>
    <cellStyle name="Normal 29 4 3 30" xfId="54627"/>
    <cellStyle name="Normal 29 4 3 31" xfId="56379"/>
    <cellStyle name="Normal 29 4 3 32" xfId="58132"/>
    <cellStyle name="Normal 29 4 3 33" xfId="59884"/>
    <cellStyle name="Normal 29 4 3 34" xfId="61636"/>
    <cellStyle name="Normal 29 4 3 4" xfId="7328"/>
    <cellStyle name="Normal 29 4 3 5" xfId="9080"/>
    <cellStyle name="Normal 29 4 3 6" xfId="10833"/>
    <cellStyle name="Normal 29 4 3 7" xfId="12585"/>
    <cellStyle name="Normal 29 4 3 8" xfId="14337"/>
    <cellStyle name="Normal 29 4 3 9" xfId="16089"/>
    <cellStyle name="Normal 29 4 30" xfId="46743"/>
    <cellStyle name="Normal 29 4 31" xfId="48495"/>
    <cellStyle name="Normal 29 4 32" xfId="50247"/>
    <cellStyle name="Normal 29 4 33" xfId="51999"/>
    <cellStyle name="Normal 29 4 34" xfId="53751"/>
    <cellStyle name="Normal 29 4 35" xfId="55503"/>
    <cellStyle name="Normal 29 4 36" xfId="57256"/>
    <cellStyle name="Normal 29 4 37" xfId="59008"/>
    <cellStyle name="Normal 29 4 38" xfId="60760"/>
    <cellStyle name="Normal 29 4 39" xfId="62594"/>
    <cellStyle name="Normal 29 4 4" xfId="2948"/>
    <cellStyle name="Normal 29 4 40" xfId="63460"/>
    <cellStyle name="Normal 29 4 5" xfId="4700"/>
    <cellStyle name="Normal 29 4 6" xfId="6452"/>
    <cellStyle name="Normal 29 4 7" xfId="8204"/>
    <cellStyle name="Normal 29 4 8" xfId="9957"/>
    <cellStyle name="Normal 29 4 9" xfId="11709"/>
    <cellStyle name="Normal 29 40" xfId="58720"/>
    <cellStyle name="Normal 29 41" xfId="60472"/>
    <cellStyle name="Normal 29 42" xfId="62581"/>
    <cellStyle name="Normal 29 43" xfId="63447"/>
    <cellStyle name="Normal 29 5" xfId="1308"/>
    <cellStyle name="Normal 29 5 10" xfId="15361"/>
    <cellStyle name="Normal 29 5 11" xfId="17114"/>
    <cellStyle name="Normal 29 5 12" xfId="18866"/>
    <cellStyle name="Normal 29 5 13" xfId="20619"/>
    <cellStyle name="Normal 29 5 14" xfId="22371"/>
    <cellStyle name="Normal 29 5 15" xfId="24123"/>
    <cellStyle name="Normal 29 5 16" xfId="25875"/>
    <cellStyle name="Normal 29 5 17" xfId="27627"/>
    <cellStyle name="Normal 29 5 18" xfId="29380"/>
    <cellStyle name="Normal 29 5 19" xfId="31132"/>
    <cellStyle name="Normal 29 5 2" xfId="1309"/>
    <cellStyle name="Normal 29 5 2 10" xfId="17990"/>
    <cellStyle name="Normal 29 5 2 11" xfId="19742"/>
    <cellStyle name="Normal 29 5 2 12" xfId="21495"/>
    <cellStyle name="Normal 29 5 2 13" xfId="23247"/>
    <cellStyle name="Normal 29 5 2 14" xfId="24999"/>
    <cellStyle name="Normal 29 5 2 15" xfId="26751"/>
    <cellStyle name="Normal 29 5 2 16" xfId="28503"/>
    <cellStyle name="Normal 29 5 2 17" xfId="30256"/>
    <cellStyle name="Normal 29 5 2 18" xfId="32008"/>
    <cellStyle name="Normal 29 5 2 19" xfId="33761"/>
    <cellStyle name="Normal 29 5 2 2" xfId="3972"/>
    <cellStyle name="Normal 29 5 2 20" xfId="36397"/>
    <cellStyle name="Normal 29 5 2 21" xfId="38137"/>
    <cellStyle name="Normal 29 5 2 22" xfId="39890"/>
    <cellStyle name="Normal 29 5 2 23" xfId="41645"/>
    <cellStyle name="Normal 29 5 2 24" xfId="43397"/>
    <cellStyle name="Normal 29 5 2 25" xfId="46015"/>
    <cellStyle name="Normal 29 5 2 26" xfId="47767"/>
    <cellStyle name="Normal 29 5 2 27" xfId="49519"/>
    <cellStyle name="Normal 29 5 2 28" xfId="51271"/>
    <cellStyle name="Normal 29 5 2 29" xfId="53023"/>
    <cellStyle name="Normal 29 5 2 3" xfId="5724"/>
    <cellStyle name="Normal 29 5 2 30" xfId="54775"/>
    <cellStyle name="Normal 29 5 2 31" xfId="56527"/>
    <cellStyle name="Normal 29 5 2 32" xfId="58280"/>
    <cellStyle name="Normal 29 5 2 33" xfId="60032"/>
    <cellStyle name="Normal 29 5 2 34" xfId="61784"/>
    <cellStyle name="Normal 29 5 2 4" xfId="7476"/>
    <cellStyle name="Normal 29 5 2 5" xfId="9228"/>
    <cellStyle name="Normal 29 5 2 6" xfId="10981"/>
    <cellStyle name="Normal 29 5 2 7" xfId="12733"/>
    <cellStyle name="Normal 29 5 2 8" xfId="14485"/>
    <cellStyle name="Normal 29 5 2 9" xfId="16237"/>
    <cellStyle name="Normal 29 5 20" xfId="32885"/>
    <cellStyle name="Normal 29 5 21" xfId="34588"/>
    <cellStyle name="Normal 29 5 22" xfId="35521"/>
    <cellStyle name="Normal 29 5 23" xfId="37209"/>
    <cellStyle name="Normal 29 5 24" xfId="39014"/>
    <cellStyle name="Normal 29 5 25" xfId="40769"/>
    <cellStyle name="Normal 29 5 26" xfId="42521"/>
    <cellStyle name="Normal 29 5 27" xfId="44209"/>
    <cellStyle name="Normal 29 5 28" xfId="45139"/>
    <cellStyle name="Normal 29 5 29" xfId="46891"/>
    <cellStyle name="Normal 29 5 3" xfId="3096"/>
    <cellStyle name="Normal 29 5 30" xfId="48643"/>
    <cellStyle name="Normal 29 5 31" xfId="50395"/>
    <cellStyle name="Normal 29 5 32" xfId="52147"/>
    <cellStyle name="Normal 29 5 33" xfId="53899"/>
    <cellStyle name="Normal 29 5 34" xfId="55651"/>
    <cellStyle name="Normal 29 5 35" xfId="57404"/>
    <cellStyle name="Normal 29 5 36" xfId="59156"/>
    <cellStyle name="Normal 29 5 37" xfId="60908"/>
    <cellStyle name="Normal 29 5 38" xfId="62596"/>
    <cellStyle name="Normal 29 5 39" xfId="63462"/>
    <cellStyle name="Normal 29 5 4" xfId="4848"/>
    <cellStyle name="Normal 29 5 5" xfId="6600"/>
    <cellStyle name="Normal 29 5 6" xfId="8352"/>
    <cellStyle name="Normal 29 5 7" xfId="10105"/>
    <cellStyle name="Normal 29 5 8" xfId="11857"/>
    <cellStyle name="Normal 29 5 9" xfId="13609"/>
    <cellStyle name="Normal 29 6" xfId="1310"/>
    <cellStyle name="Normal 29 6 10" xfId="17554"/>
    <cellStyle name="Normal 29 6 11" xfId="19306"/>
    <cellStyle name="Normal 29 6 12" xfId="21059"/>
    <cellStyle name="Normal 29 6 13" xfId="22811"/>
    <cellStyle name="Normal 29 6 14" xfId="24563"/>
    <cellStyle name="Normal 29 6 15" xfId="26315"/>
    <cellStyle name="Normal 29 6 16" xfId="28067"/>
    <cellStyle name="Normal 29 6 17" xfId="29820"/>
    <cellStyle name="Normal 29 6 18" xfId="31572"/>
    <cellStyle name="Normal 29 6 19" xfId="33325"/>
    <cellStyle name="Normal 29 6 2" xfId="3536"/>
    <cellStyle name="Normal 29 6 20" xfId="35961"/>
    <cellStyle name="Normal 29 6 21" xfId="37701"/>
    <cellStyle name="Normal 29 6 22" xfId="39454"/>
    <cellStyle name="Normal 29 6 23" xfId="41209"/>
    <cellStyle name="Normal 29 6 24" xfId="42961"/>
    <cellStyle name="Normal 29 6 25" xfId="45579"/>
    <cellStyle name="Normal 29 6 26" xfId="47331"/>
    <cellStyle name="Normal 29 6 27" xfId="49083"/>
    <cellStyle name="Normal 29 6 28" xfId="50835"/>
    <cellStyle name="Normal 29 6 29" xfId="52587"/>
    <cellStyle name="Normal 29 6 3" xfId="5288"/>
    <cellStyle name="Normal 29 6 30" xfId="54339"/>
    <cellStyle name="Normal 29 6 31" xfId="56091"/>
    <cellStyle name="Normal 29 6 32" xfId="57844"/>
    <cellStyle name="Normal 29 6 33" xfId="59596"/>
    <cellStyle name="Normal 29 6 34" xfId="61348"/>
    <cellStyle name="Normal 29 6 4" xfId="7040"/>
    <cellStyle name="Normal 29 6 5" xfId="8792"/>
    <cellStyle name="Normal 29 6 6" xfId="10545"/>
    <cellStyle name="Normal 29 6 7" xfId="12297"/>
    <cellStyle name="Normal 29 6 8" xfId="14049"/>
    <cellStyle name="Normal 29 6 9" xfId="15801"/>
    <cellStyle name="Normal 29 7" xfId="2660"/>
    <cellStyle name="Normal 29 8" xfId="4412"/>
    <cellStyle name="Normal 29 9" xfId="6164"/>
    <cellStyle name="Normal 3" xfId="1311"/>
    <cellStyle name="Normal 3 10" xfId="2457"/>
    <cellStyle name="Normal 3 11" xfId="4384"/>
    <cellStyle name="Normal 3 12" xfId="6136"/>
    <cellStyle name="Normal 3 13" xfId="7888"/>
    <cellStyle name="Normal 3 14" xfId="9641"/>
    <cellStyle name="Normal 3 15" xfId="11393"/>
    <cellStyle name="Normal 3 16" xfId="13145"/>
    <cellStyle name="Normal 3 17" xfId="14897"/>
    <cellStyle name="Normal 3 18" xfId="16650"/>
    <cellStyle name="Normal 3 19" xfId="18402"/>
    <cellStyle name="Normal 3 2" xfId="1312"/>
    <cellStyle name="Normal 3 2 10" xfId="2458"/>
    <cellStyle name="Normal 3 2 11" xfId="4385"/>
    <cellStyle name="Normal 3 2 12" xfId="6137"/>
    <cellStyle name="Normal 3 2 13" xfId="7889"/>
    <cellStyle name="Normal 3 2 14" xfId="9642"/>
    <cellStyle name="Normal 3 2 15" xfId="11394"/>
    <cellStyle name="Normal 3 2 16" xfId="13146"/>
    <cellStyle name="Normal 3 2 17" xfId="14898"/>
    <cellStyle name="Normal 3 2 18" xfId="16651"/>
    <cellStyle name="Normal 3 2 19" xfId="18403"/>
    <cellStyle name="Normal 3 2 2" xfId="1313"/>
    <cellStyle name="Normal 3 2 2 10" xfId="7890"/>
    <cellStyle name="Normal 3 2 2 11" xfId="9643"/>
    <cellStyle name="Normal 3 2 2 12" xfId="11395"/>
    <cellStyle name="Normal 3 2 2 13" xfId="13147"/>
    <cellStyle name="Normal 3 2 2 14" xfId="14899"/>
    <cellStyle name="Normal 3 2 2 15" xfId="16652"/>
    <cellStyle name="Normal 3 2 2 16" xfId="18404"/>
    <cellStyle name="Normal 3 2 2 17" xfId="20157"/>
    <cellStyle name="Normal 3 2 2 18" xfId="21909"/>
    <cellStyle name="Normal 3 2 2 19" xfId="23661"/>
    <cellStyle name="Normal 3 2 2 2" xfId="1314"/>
    <cellStyle name="Normal 3 2 2 2 10" xfId="9698"/>
    <cellStyle name="Normal 3 2 2 2 11" xfId="11450"/>
    <cellStyle name="Normal 3 2 2 2 12" xfId="13202"/>
    <cellStyle name="Normal 3 2 2 2 13" xfId="14954"/>
    <cellStyle name="Normal 3 2 2 2 14" xfId="16707"/>
    <cellStyle name="Normal 3 2 2 2 15" xfId="18459"/>
    <cellStyle name="Normal 3 2 2 2 16" xfId="20212"/>
    <cellStyle name="Normal 3 2 2 2 17" xfId="21964"/>
    <cellStyle name="Normal 3 2 2 2 18" xfId="23716"/>
    <cellStyle name="Normal 3 2 2 2 19" xfId="25468"/>
    <cellStyle name="Normal 3 2 2 2 2" xfId="1315"/>
    <cellStyle name="Normal 3 2 2 2 2 10" xfId="11558"/>
    <cellStyle name="Normal 3 2 2 2 2 11" xfId="13310"/>
    <cellStyle name="Normal 3 2 2 2 2 12" xfId="15062"/>
    <cellStyle name="Normal 3 2 2 2 2 13" xfId="16815"/>
    <cellStyle name="Normal 3 2 2 2 2 14" xfId="18567"/>
    <cellStyle name="Normal 3 2 2 2 2 15" xfId="20320"/>
    <cellStyle name="Normal 3 2 2 2 2 16" xfId="22072"/>
    <cellStyle name="Normal 3 2 2 2 2 17" xfId="23824"/>
    <cellStyle name="Normal 3 2 2 2 2 18" xfId="25576"/>
    <cellStyle name="Normal 3 2 2 2 2 19" xfId="27328"/>
    <cellStyle name="Normal 3 2 2 2 2 2" xfId="1316"/>
    <cellStyle name="Normal 3 2 2 2 2 2 10" xfId="13462"/>
    <cellStyle name="Normal 3 2 2 2 2 2 11" xfId="15214"/>
    <cellStyle name="Normal 3 2 2 2 2 2 12" xfId="16967"/>
    <cellStyle name="Normal 3 2 2 2 2 2 13" xfId="18719"/>
    <cellStyle name="Normal 3 2 2 2 2 2 14" xfId="20472"/>
    <cellStyle name="Normal 3 2 2 2 2 2 15" xfId="22224"/>
    <cellStyle name="Normal 3 2 2 2 2 2 16" xfId="23976"/>
    <cellStyle name="Normal 3 2 2 2 2 2 17" xfId="25728"/>
    <cellStyle name="Normal 3 2 2 2 2 2 18" xfId="27480"/>
    <cellStyle name="Normal 3 2 2 2 2 2 19" xfId="29233"/>
    <cellStyle name="Normal 3 2 2 2 2 2 2" xfId="1317"/>
    <cellStyle name="Normal 3 2 2 2 2 2 2 10" xfId="15650"/>
    <cellStyle name="Normal 3 2 2 2 2 2 2 11" xfId="17403"/>
    <cellStyle name="Normal 3 2 2 2 2 2 2 12" xfId="19155"/>
    <cellStyle name="Normal 3 2 2 2 2 2 2 13" xfId="20908"/>
    <cellStyle name="Normal 3 2 2 2 2 2 2 14" xfId="22660"/>
    <cellStyle name="Normal 3 2 2 2 2 2 2 15" xfId="24412"/>
    <cellStyle name="Normal 3 2 2 2 2 2 2 16" xfId="26164"/>
    <cellStyle name="Normal 3 2 2 2 2 2 2 17" xfId="27916"/>
    <cellStyle name="Normal 3 2 2 2 2 2 2 18" xfId="29669"/>
    <cellStyle name="Normal 3 2 2 2 2 2 2 19" xfId="31421"/>
    <cellStyle name="Normal 3 2 2 2 2 2 2 2" xfId="1318"/>
    <cellStyle name="Normal 3 2 2 2 2 2 2 2 10" xfId="18279"/>
    <cellStyle name="Normal 3 2 2 2 2 2 2 2 11" xfId="20031"/>
    <cellStyle name="Normal 3 2 2 2 2 2 2 2 12" xfId="21784"/>
    <cellStyle name="Normal 3 2 2 2 2 2 2 2 13" xfId="23536"/>
    <cellStyle name="Normal 3 2 2 2 2 2 2 2 14" xfId="25288"/>
    <cellStyle name="Normal 3 2 2 2 2 2 2 2 15" xfId="27040"/>
    <cellStyle name="Normal 3 2 2 2 2 2 2 2 16" xfId="28792"/>
    <cellStyle name="Normal 3 2 2 2 2 2 2 2 17" xfId="30545"/>
    <cellStyle name="Normal 3 2 2 2 2 2 2 2 18" xfId="32297"/>
    <cellStyle name="Normal 3 2 2 2 2 2 2 2 19" xfId="34050"/>
    <cellStyle name="Normal 3 2 2 2 2 2 2 2 2" xfId="4261"/>
    <cellStyle name="Normal 3 2 2 2 2 2 2 2 20" xfId="36686"/>
    <cellStyle name="Normal 3 2 2 2 2 2 2 2 21" xfId="38426"/>
    <cellStyle name="Normal 3 2 2 2 2 2 2 2 22" xfId="40179"/>
    <cellStyle name="Normal 3 2 2 2 2 2 2 2 23" xfId="41934"/>
    <cellStyle name="Normal 3 2 2 2 2 2 2 2 24" xfId="43686"/>
    <cellStyle name="Normal 3 2 2 2 2 2 2 2 25" xfId="46304"/>
    <cellStyle name="Normal 3 2 2 2 2 2 2 2 26" xfId="48056"/>
    <cellStyle name="Normal 3 2 2 2 2 2 2 2 27" xfId="49808"/>
    <cellStyle name="Normal 3 2 2 2 2 2 2 2 28" xfId="51560"/>
    <cellStyle name="Normal 3 2 2 2 2 2 2 2 29" xfId="53312"/>
    <cellStyle name="Normal 3 2 2 2 2 2 2 2 3" xfId="6013"/>
    <cellStyle name="Normal 3 2 2 2 2 2 2 2 30" xfId="55064"/>
    <cellStyle name="Normal 3 2 2 2 2 2 2 2 31" xfId="56816"/>
    <cellStyle name="Normal 3 2 2 2 2 2 2 2 32" xfId="58569"/>
    <cellStyle name="Normal 3 2 2 2 2 2 2 2 33" xfId="60321"/>
    <cellStyle name="Normal 3 2 2 2 2 2 2 2 34" xfId="62073"/>
    <cellStyle name="Normal 3 2 2 2 2 2 2 2 4" xfId="7765"/>
    <cellStyle name="Normal 3 2 2 2 2 2 2 2 5" xfId="9517"/>
    <cellStyle name="Normal 3 2 2 2 2 2 2 2 6" xfId="11270"/>
    <cellStyle name="Normal 3 2 2 2 2 2 2 2 7" xfId="13022"/>
    <cellStyle name="Normal 3 2 2 2 2 2 2 2 8" xfId="14774"/>
    <cellStyle name="Normal 3 2 2 2 2 2 2 2 9" xfId="16526"/>
    <cellStyle name="Normal 3 2 2 2 2 2 2 20" xfId="33174"/>
    <cellStyle name="Normal 3 2 2 2 2 2 2 21" xfId="34595"/>
    <cellStyle name="Normal 3 2 2 2 2 2 2 22" xfId="35810"/>
    <cellStyle name="Normal 3 2 2 2 2 2 2 23" xfId="37216"/>
    <cellStyle name="Normal 3 2 2 2 2 2 2 24" xfId="39303"/>
    <cellStyle name="Normal 3 2 2 2 2 2 2 25" xfId="41058"/>
    <cellStyle name="Normal 3 2 2 2 2 2 2 26" xfId="42810"/>
    <cellStyle name="Normal 3 2 2 2 2 2 2 27" xfId="44216"/>
    <cellStyle name="Normal 3 2 2 2 2 2 2 28" xfId="45428"/>
    <cellStyle name="Normal 3 2 2 2 2 2 2 29" xfId="47180"/>
    <cellStyle name="Normal 3 2 2 2 2 2 2 3" xfId="3385"/>
    <cellStyle name="Normal 3 2 2 2 2 2 2 30" xfId="48932"/>
    <cellStyle name="Normal 3 2 2 2 2 2 2 31" xfId="50684"/>
    <cellStyle name="Normal 3 2 2 2 2 2 2 32" xfId="52436"/>
    <cellStyle name="Normal 3 2 2 2 2 2 2 33" xfId="54188"/>
    <cellStyle name="Normal 3 2 2 2 2 2 2 34" xfId="55940"/>
    <cellStyle name="Normal 3 2 2 2 2 2 2 35" xfId="57693"/>
    <cellStyle name="Normal 3 2 2 2 2 2 2 36" xfId="59445"/>
    <cellStyle name="Normal 3 2 2 2 2 2 2 37" xfId="61197"/>
    <cellStyle name="Normal 3 2 2 2 2 2 2 38" xfId="62603"/>
    <cellStyle name="Normal 3 2 2 2 2 2 2 39" xfId="63469"/>
    <cellStyle name="Normal 3 2 2 2 2 2 2 4" xfId="5137"/>
    <cellStyle name="Normal 3 2 2 2 2 2 2 5" xfId="6889"/>
    <cellStyle name="Normal 3 2 2 2 2 2 2 6" xfId="8641"/>
    <cellStyle name="Normal 3 2 2 2 2 2 2 7" xfId="10394"/>
    <cellStyle name="Normal 3 2 2 2 2 2 2 8" xfId="12146"/>
    <cellStyle name="Normal 3 2 2 2 2 2 2 9" xfId="13898"/>
    <cellStyle name="Normal 3 2 2 2 2 2 20" xfId="30985"/>
    <cellStyle name="Normal 3 2 2 2 2 2 21" xfId="32738"/>
    <cellStyle name="Normal 3 2 2 2 2 2 22" xfId="34594"/>
    <cellStyle name="Normal 3 2 2 2 2 2 23" xfId="35374"/>
    <cellStyle name="Normal 3 2 2 2 2 2 24" xfId="37215"/>
    <cellStyle name="Normal 3 2 2 2 2 2 25" xfId="38867"/>
    <cellStyle name="Normal 3 2 2 2 2 2 26" xfId="40622"/>
    <cellStyle name="Normal 3 2 2 2 2 2 27" xfId="42374"/>
    <cellStyle name="Normal 3 2 2 2 2 2 28" xfId="44215"/>
    <cellStyle name="Normal 3 2 2 2 2 2 29" xfId="44992"/>
    <cellStyle name="Normal 3 2 2 2 2 2 3" xfId="1319"/>
    <cellStyle name="Normal 3 2 2 2 2 2 3 10" xfId="17843"/>
    <cellStyle name="Normal 3 2 2 2 2 2 3 11" xfId="19595"/>
    <cellStyle name="Normal 3 2 2 2 2 2 3 12" xfId="21348"/>
    <cellStyle name="Normal 3 2 2 2 2 2 3 13" xfId="23100"/>
    <cellStyle name="Normal 3 2 2 2 2 2 3 14" xfId="24852"/>
    <cellStyle name="Normal 3 2 2 2 2 2 3 15" xfId="26604"/>
    <cellStyle name="Normal 3 2 2 2 2 2 3 16" xfId="28356"/>
    <cellStyle name="Normal 3 2 2 2 2 2 3 17" xfId="30109"/>
    <cellStyle name="Normal 3 2 2 2 2 2 3 18" xfId="31861"/>
    <cellStyle name="Normal 3 2 2 2 2 2 3 19" xfId="33614"/>
    <cellStyle name="Normal 3 2 2 2 2 2 3 2" xfId="3825"/>
    <cellStyle name="Normal 3 2 2 2 2 2 3 20" xfId="36250"/>
    <cellStyle name="Normal 3 2 2 2 2 2 3 21" xfId="37990"/>
    <cellStyle name="Normal 3 2 2 2 2 2 3 22" xfId="39743"/>
    <cellStyle name="Normal 3 2 2 2 2 2 3 23" xfId="41498"/>
    <cellStyle name="Normal 3 2 2 2 2 2 3 24" xfId="43250"/>
    <cellStyle name="Normal 3 2 2 2 2 2 3 25" xfId="45868"/>
    <cellStyle name="Normal 3 2 2 2 2 2 3 26" xfId="47620"/>
    <cellStyle name="Normal 3 2 2 2 2 2 3 27" xfId="49372"/>
    <cellStyle name="Normal 3 2 2 2 2 2 3 28" xfId="51124"/>
    <cellStyle name="Normal 3 2 2 2 2 2 3 29" xfId="52876"/>
    <cellStyle name="Normal 3 2 2 2 2 2 3 3" xfId="5577"/>
    <cellStyle name="Normal 3 2 2 2 2 2 3 30" xfId="54628"/>
    <cellStyle name="Normal 3 2 2 2 2 2 3 31" xfId="56380"/>
    <cellStyle name="Normal 3 2 2 2 2 2 3 32" xfId="58133"/>
    <cellStyle name="Normal 3 2 2 2 2 2 3 33" xfId="59885"/>
    <cellStyle name="Normal 3 2 2 2 2 2 3 34" xfId="61637"/>
    <cellStyle name="Normal 3 2 2 2 2 2 3 4" xfId="7329"/>
    <cellStyle name="Normal 3 2 2 2 2 2 3 5" xfId="9081"/>
    <cellStyle name="Normal 3 2 2 2 2 2 3 6" xfId="10834"/>
    <cellStyle name="Normal 3 2 2 2 2 2 3 7" xfId="12586"/>
    <cellStyle name="Normal 3 2 2 2 2 2 3 8" xfId="14338"/>
    <cellStyle name="Normal 3 2 2 2 2 2 3 9" xfId="16090"/>
    <cellStyle name="Normal 3 2 2 2 2 2 30" xfId="46744"/>
    <cellStyle name="Normal 3 2 2 2 2 2 31" xfId="48496"/>
    <cellStyle name="Normal 3 2 2 2 2 2 32" xfId="50248"/>
    <cellStyle name="Normal 3 2 2 2 2 2 33" xfId="52000"/>
    <cellStyle name="Normal 3 2 2 2 2 2 34" xfId="53752"/>
    <cellStyle name="Normal 3 2 2 2 2 2 35" xfId="55504"/>
    <cellStyle name="Normal 3 2 2 2 2 2 36" xfId="57257"/>
    <cellStyle name="Normal 3 2 2 2 2 2 37" xfId="59009"/>
    <cellStyle name="Normal 3 2 2 2 2 2 38" xfId="60761"/>
    <cellStyle name="Normal 3 2 2 2 2 2 39" xfId="62602"/>
    <cellStyle name="Normal 3 2 2 2 2 2 4" xfId="2949"/>
    <cellStyle name="Normal 3 2 2 2 2 2 40" xfId="63468"/>
    <cellStyle name="Normal 3 2 2 2 2 2 5" xfId="4701"/>
    <cellStyle name="Normal 3 2 2 2 2 2 6" xfId="6453"/>
    <cellStyle name="Normal 3 2 2 2 2 2 7" xfId="8205"/>
    <cellStyle name="Normal 3 2 2 2 2 2 8" xfId="9958"/>
    <cellStyle name="Normal 3 2 2 2 2 2 9" xfId="11710"/>
    <cellStyle name="Normal 3 2 2 2 2 20" xfId="29081"/>
    <cellStyle name="Normal 3 2 2 2 2 21" xfId="30833"/>
    <cellStyle name="Normal 3 2 2 2 2 22" xfId="32586"/>
    <cellStyle name="Normal 3 2 2 2 2 23" xfId="34593"/>
    <cellStyle name="Normal 3 2 2 2 2 24" xfId="35222"/>
    <cellStyle name="Normal 3 2 2 2 2 25" xfId="37214"/>
    <cellStyle name="Normal 3 2 2 2 2 26" xfId="38715"/>
    <cellStyle name="Normal 3 2 2 2 2 27" xfId="40470"/>
    <cellStyle name="Normal 3 2 2 2 2 28" xfId="42222"/>
    <cellStyle name="Normal 3 2 2 2 2 29" xfId="44214"/>
    <cellStyle name="Normal 3 2 2 2 2 3" xfId="1320"/>
    <cellStyle name="Normal 3 2 2 2 2 3 10" xfId="15498"/>
    <cellStyle name="Normal 3 2 2 2 2 3 11" xfId="17251"/>
    <cellStyle name="Normal 3 2 2 2 2 3 12" xfId="19003"/>
    <cellStyle name="Normal 3 2 2 2 2 3 13" xfId="20756"/>
    <cellStyle name="Normal 3 2 2 2 2 3 14" xfId="22508"/>
    <cellStyle name="Normal 3 2 2 2 2 3 15" xfId="24260"/>
    <cellStyle name="Normal 3 2 2 2 2 3 16" xfId="26012"/>
    <cellStyle name="Normal 3 2 2 2 2 3 17" xfId="27764"/>
    <cellStyle name="Normal 3 2 2 2 2 3 18" xfId="29517"/>
    <cellStyle name="Normal 3 2 2 2 2 3 19" xfId="31269"/>
    <cellStyle name="Normal 3 2 2 2 2 3 2" xfId="1321"/>
    <cellStyle name="Normal 3 2 2 2 2 3 2 10" xfId="18127"/>
    <cellStyle name="Normal 3 2 2 2 2 3 2 11" xfId="19879"/>
    <cellStyle name="Normal 3 2 2 2 2 3 2 12" xfId="21632"/>
    <cellStyle name="Normal 3 2 2 2 2 3 2 13" xfId="23384"/>
    <cellStyle name="Normal 3 2 2 2 2 3 2 14" xfId="25136"/>
    <cellStyle name="Normal 3 2 2 2 2 3 2 15" xfId="26888"/>
    <cellStyle name="Normal 3 2 2 2 2 3 2 16" xfId="28640"/>
    <cellStyle name="Normal 3 2 2 2 2 3 2 17" xfId="30393"/>
    <cellStyle name="Normal 3 2 2 2 2 3 2 18" xfId="32145"/>
    <cellStyle name="Normal 3 2 2 2 2 3 2 19" xfId="33898"/>
    <cellStyle name="Normal 3 2 2 2 2 3 2 2" xfId="4109"/>
    <cellStyle name="Normal 3 2 2 2 2 3 2 20" xfId="36534"/>
    <cellStyle name="Normal 3 2 2 2 2 3 2 21" xfId="38274"/>
    <cellStyle name="Normal 3 2 2 2 2 3 2 22" xfId="40027"/>
    <cellStyle name="Normal 3 2 2 2 2 3 2 23" xfId="41782"/>
    <cellStyle name="Normal 3 2 2 2 2 3 2 24" xfId="43534"/>
    <cellStyle name="Normal 3 2 2 2 2 3 2 25" xfId="46152"/>
    <cellStyle name="Normal 3 2 2 2 2 3 2 26" xfId="47904"/>
    <cellStyle name="Normal 3 2 2 2 2 3 2 27" xfId="49656"/>
    <cellStyle name="Normal 3 2 2 2 2 3 2 28" xfId="51408"/>
    <cellStyle name="Normal 3 2 2 2 2 3 2 29" xfId="53160"/>
    <cellStyle name="Normal 3 2 2 2 2 3 2 3" xfId="5861"/>
    <cellStyle name="Normal 3 2 2 2 2 3 2 30" xfId="54912"/>
    <cellStyle name="Normal 3 2 2 2 2 3 2 31" xfId="56664"/>
    <cellStyle name="Normal 3 2 2 2 2 3 2 32" xfId="58417"/>
    <cellStyle name="Normal 3 2 2 2 2 3 2 33" xfId="60169"/>
    <cellStyle name="Normal 3 2 2 2 2 3 2 34" xfId="61921"/>
    <cellStyle name="Normal 3 2 2 2 2 3 2 4" xfId="7613"/>
    <cellStyle name="Normal 3 2 2 2 2 3 2 5" xfId="9365"/>
    <cellStyle name="Normal 3 2 2 2 2 3 2 6" xfId="11118"/>
    <cellStyle name="Normal 3 2 2 2 2 3 2 7" xfId="12870"/>
    <cellStyle name="Normal 3 2 2 2 2 3 2 8" xfId="14622"/>
    <cellStyle name="Normal 3 2 2 2 2 3 2 9" xfId="16374"/>
    <cellStyle name="Normal 3 2 2 2 2 3 20" xfId="33022"/>
    <cellStyle name="Normal 3 2 2 2 2 3 21" xfId="34596"/>
    <cellStyle name="Normal 3 2 2 2 2 3 22" xfId="35658"/>
    <cellStyle name="Normal 3 2 2 2 2 3 23" xfId="37217"/>
    <cellStyle name="Normal 3 2 2 2 2 3 24" xfId="39151"/>
    <cellStyle name="Normal 3 2 2 2 2 3 25" xfId="40906"/>
    <cellStyle name="Normal 3 2 2 2 2 3 26" xfId="42658"/>
    <cellStyle name="Normal 3 2 2 2 2 3 27" xfId="44217"/>
    <cellStyle name="Normal 3 2 2 2 2 3 28" xfId="45276"/>
    <cellStyle name="Normal 3 2 2 2 2 3 29" xfId="47028"/>
    <cellStyle name="Normal 3 2 2 2 2 3 3" xfId="3233"/>
    <cellStyle name="Normal 3 2 2 2 2 3 30" xfId="48780"/>
    <cellStyle name="Normal 3 2 2 2 2 3 31" xfId="50532"/>
    <cellStyle name="Normal 3 2 2 2 2 3 32" xfId="52284"/>
    <cellStyle name="Normal 3 2 2 2 2 3 33" xfId="54036"/>
    <cellStyle name="Normal 3 2 2 2 2 3 34" xfId="55788"/>
    <cellStyle name="Normal 3 2 2 2 2 3 35" xfId="57541"/>
    <cellStyle name="Normal 3 2 2 2 2 3 36" xfId="59293"/>
    <cellStyle name="Normal 3 2 2 2 2 3 37" xfId="61045"/>
    <cellStyle name="Normal 3 2 2 2 2 3 38" xfId="62604"/>
    <cellStyle name="Normal 3 2 2 2 2 3 39" xfId="63470"/>
    <cellStyle name="Normal 3 2 2 2 2 3 4" xfId="4985"/>
    <cellStyle name="Normal 3 2 2 2 2 3 5" xfId="6737"/>
    <cellStyle name="Normal 3 2 2 2 2 3 6" xfId="8489"/>
    <cellStyle name="Normal 3 2 2 2 2 3 7" xfId="10242"/>
    <cellStyle name="Normal 3 2 2 2 2 3 8" xfId="11994"/>
    <cellStyle name="Normal 3 2 2 2 2 3 9" xfId="13746"/>
    <cellStyle name="Normal 3 2 2 2 2 30" xfId="44840"/>
    <cellStyle name="Normal 3 2 2 2 2 31" xfId="46592"/>
    <cellStyle name="Normal 3 2 2 2 2 32" xfId="48344"/>
    <cellStyle name="Normal 3 2 2 2 2 33" xfId="50096"/>
    <cellStyle name="Normal 3 2 2 2 2 34" xfId="51848"/>
    <cellStyle name="Normal 3 2 2 2 2 35" xfId="53600"/>
    <cellStyle name="Normal 3 2 2 2 2 36" xfId="55352"/>
    <cellStyle name="Normal 3 2 2 2 2 37" xfId="57105"/>
    <cellStyle name="Normal 3 2 2 2 2 38" xfId="58857"/>
    <cellStyle name="Normal 3 2 2 2 2 39" xfId="60609"/>
    <cellStyle name="Normal 3 2 2 2 2 4" xfId="1322"/>
    <cellStyle name="Normal 3 2 2 2 2 4 10" xfId="17691"/>
    <cellStyle name="Normal 3 2 2 2 2 4 11" xfId="19443"/>
    <cellStyle name="Normal 3 2 2 2 2 4 12" xfId="21196"/>
    <cellStyle name="Normal 3 2 2 2 2 4 13" xfId="22948"/>
    <cellStyle name="Normal 3 2 2 2 2 4 14" xfId="24700"/>
    <cellStyle name="Normal 3 2 2 2 2 4 15" xfId="26452"/>
    <cellStyle name="Normal 3 2 2 2 2 4 16" xfId="28204"/>
    <cellStyle name="Normal 3 2 2 2 2 4 17" xfId="29957"/>
    <cellStyle name="Normal 3 2 2 2 2 4 18" xfId="31709"/>
    <cellStyle name="Normal 3 2 2 2 2 4 19" xfId="33462"/>
    <cellStyle name="Normal 3 2 2 2 2 4 2" xfId="3673"/>
    <cellStyle name="Normal 3 2 2 2 2 4 20" xfId="36098"/>
    <cellStyle name="Normal 3 2 2 2 2 4 21" xfId="37838"/>
    <cellStyle name="Normal 3 2 2 2 2 4 22" xfId="39591"/>
    <cellStyle name="Normal 3 2 2 2 2 4 23" xfId="41346"/>
    <cellStyle name="Normal 3 2 2 2 2 4 24" xfId="43098"/>
    <cellStyle name="Normal 3 2 2 2 2 4 25" xfId="45716"/>
    <cellStyle name="Normal 3 2 2 2 2 4 26" xfId="47468"/>
    <cellStyle name="Normal 3 2 2 2 2 4 27" xfId="49220"/>
    <cellStyle name="Normal 3 2 2 2 2 4 28" xfId="50972"/>
    <cellStyle name="Normal 3 2 2 2 2 4 29" xfId="52724"/>
    <cellStyle name="Normal 3 2 2 2 2 4 3" xfId="5425"/>
    <cellStyle name="Normal 3 2 2 2 2 4 30" xfId="54476"/>
    <cellStyle name="Normal 3 2 2 2 2 4 31" xfId="56228"/>
    <cellStyle name="Normal 3 2 2 2 2 4 32" xfId="57981"/>
    <cellStyle name="Normal 3 2 2 2 2 4 33" xfId="59733"/>
    <cellStyle name="Normal 3 2 2 2 2 4 34" xfId="61485"/>
    <cellStyle name="Normal 3 2 2 2 2 4 4" xfId="7177"/>
    <cellStyle name="Normal 3 2 2 2 2 4 5" xfId="8929"/>
    <cellStyle name="Normal 3 2 2 2 2 4 6" xfId="10682"/>
    <cellStyle name="Normal 3 2 2 2 2 4 7" xfId="12434"/>
    <cellStyle name="Normal 3 2 2 2 2 4 8" xfId="14186"/>
    <cellStyle name="Normal 3 2 2 2 2 4 9" xfId="15938"/>
    <cellStyle name="Normal 3 2 2 2 2 40" xfId="62601"/>
    <cellStyle name="Normal 3 2 2 2 2 41" xfId="63467"/>
    <cellStyle name="Normal 3 2 2 2 2 5" xfId="2797"/>
    <cellStyle name="Normal 3 2 2 2 2 6" xfId="4549"/>
    <cellStyle name="Normal 3 2 2 2 2 7" xfId="6301"/>
    <cellStyle name="Normal 3 2 2 2 2 8" xfId="8053"/>
    <cellStyle name="Normal 3 2 2 2 2 9" xfId="9806"/>
    <cellStyle name="Normal 3 2 2 2 20" xfId="27220"/>
    <cellStyle name="Normal 3 2 2 2 21" xfId="28973"/>
    <cellStyle name="Normal 3 2 2 2 22" xfId="30725"/>
    <cellStyle name="Normal 3 2 2 2 23" xfId="32478"/>
    <cellStyle name="Normal 3 2 2 2 24" xfId="34592"/>
    <cellStyle name="Normal 3 2 2 2 25" xfId="35114"/>
    <cellStyle name="Normal 3 2 2 2 26" xfId="37213"/>
    <cellStyle name="Normal 3 2 2 2 27" xfId="38607"/>
    <cellStyle name="Normal 3 2 2 2 28" xfId="40362"/>
    <cellStyle name="Normal 3 2 2 2 29" xfId="42114"/>
    <cellStyle name="Normal 3 2 2 2 3" xfId="1323"/>
    <cellStyle name="Normal 3 2 2 2 3 10" xfId="13463"/>
    <cellStyle name="Normal 3 2 2 2 3 11" xfId="15215"/>
    <cellStyle name="Normal 3 2 2 2 3 12" xfId="16968"/>
    <cellStyle name="Normal 3 2 2 2 3 13" xfId="18720"/>
    <cellStyle name="Normal 3 2 2 2 3 14" xfId="20473"/>
    <cellStyle name="Normal 3 2 2 2 3 15" xfId="22225"/>
    <cellStyle name="Normal 3 2 2 2 3 16" xfId="23977"/>
    <cellStyle name="Normal 3 2 2 2 3 17" xfId="25729"/>
    <cellStyle name="Normal 3 2 2 2 3 18" xfId="27481"/>
    <cellStyle name="Normal 3 2 2 2 3 19" xfId="29234"/>
    <cellStyle name="Normal 3 2 2 2 3 2" xfId="1324"/>
    <cellStyle name="Normal 3 2 2 2 3 2 10" xfId="15651"/>
    <cellStyle name="Normal 3 2 2 2 3 2 11" xfId="17404"/>
    <cellStyle name="Normal 3 2 2 2 3 2 12" xfId="19156"/>
    <cellStyle name="Normal 3 2 2 2 3 2 13" xfId="20909"/>
    <cellStyle name="Normal 3 2 2 2 3 2 14" xfId="22661"/>
    <cellStyle name="Normal 3 2 2 2 3 2 15" xfId="24413"/>
    <cellStyle name="Normal 3 2 2 2 3 2 16" xfId="26165"/>
    <cellStyle name="Normal 3 2 2 2 3 2 17" xfId="27917"/>
    <cellStyle name="Normal 3 2 2 2 3 2 18" xfId="29670"/>
    <cellStyle name="Normal 3 2 2 2 3 2 19" xfId="31422"/>
    <cellStyle name="Normal 3 2 2 2 3 2 2" xfId="1325"/>
    <cellStyle name="Normal 3 2 2 2 3 2 2 10" xfId="18280"/>
    <cellStyle name="Normal 3 2 2 2 3 2 2 11" xfId="20032"/>
    <cellStyle name="Normal 3 2 2 2 3 2 2 12" xfId="21785"/>
    <cellStyle name="Normal 3 2 2 2 3 2 2 13" xfId="23537"/>
    <cellStyle name="Normal 3 2 2 2 3 2 2 14" xfId="25289"/>
    <cellStyle name="Normal 3 2 2 2 3 2 2 15" xfId="27041"/>
    <cellStyle name="Normal 3 2 2 2 3 2 2 16" xfId="28793"/>
    <cellStyle name="Normal 3 2 2 2 3 2 2 17" xfId="30546"/>
    <cellStyle name="Normal 3 2 2 2 3 2 2 18" xfId="32298"/>
    <cellStyle name="Normal 3 2 2 2 3 2 2 19" xfId="34051"/>
    <cellStyle name="Normal 3 2 2 2 3 2 2 2" xfId="4262"/>
    <cellStyle name="Normal 3 2 2 2 3 2 2 20" xfId="36687"/>
    <cellStyle name="Normal 3 2 2 2 3 2 2 21" xfId="38427"/>
    <cellStyle name="Normal 3 2 2 2 3 2 2 22" xfId="40180"/>
    <cellStyle name="Normal 3 2 2 2 3 2 2 23" xfId="41935"/>
    <cellStyle name="Normal 3 2 2 2 3 2 2 24" xfId="43687"/>
    <cellStyle name="Normal 3 2 2 2 3 2 2 25" xfId="46305"/>
    <cellStyle name="Normal 3 2 2 2 3 2 2 26" xfId="48057"/>
    <cellStyle name="Normal 3 2 2 2 3 2 2 27" xfId="49809"/>
    <cellStyle name="Normal 3 2 2 2 3 2 2 28" xfId="51561"/>
    <cellStyle name="Normal 3 2 2 2 3 2 2 29" xfId="53313"/>
    <cellStyle name="Normal 3 2 2 2 3 2 2 3" xfId="6014"/>
    <cellStyle name="Normal 3 2 2 2 3 2 2 30" xfId="55065"/>
    <cellStyle name="Normal 3 2 2 2 3 2 2 31" xfId="56817"/>
    <cellStyle name="Normal 3 2 2 2 3 2 2 32" xfId="58570"/>
    <cellStyle name="Normal 3 2 2 2 3 2 2 33" xfId="60322"/>
    <cellStyle name="Normal 3 2 2 2 3 2 2 34" xfId="62074"/>
    <cellStyle name="Normal 3 2 2 2 3 2 2 4" xfId="7766"/>
    <cellStyle name="Normal 3 2 2 2 3 2 2 5" xfId="9518"/>
    <cellStyle name="Normal 3 2 2 2 3 2 2 6" xfId="11271"/>
    <cellStyle name="Normal 3 2 2 2 3 2 2 7" xfId="13023"/>
    <cellStyle name="Normal 3 2 2 2 3 2 2 8" xfId="14775"/>
    <cellStyle name="Normal 3 2 2 2 3 2 2 9" xfId="16527"/>
    <cellStyle name="Normal 3 2 2 2 3 2 20" xfId="33175"/>
    <cellStyle name="Normal 3 2 2 2 3 2 21" xfId="34598"/>
    <cellStyle name="Normal 3 2 2 2 3 2 22" xfId="35811"/>
    <cellStyle name="Normal 3 2 2 2 3 2 23" xfId="37219"/>
    <cellStyle name="Normal 3 2 2 2 3 2 24" xfId="39304"/>
    <cellStyle name="Normal 3 2 2 2 3 2 25" xfId="41059"/>
    <cellStyle name="Normal 3 2 2 2 3 2 26" xfId="42811"/>
    <cellStyle name="Normal 3 2 2 2 3 2 27" xfId="44219"/>
    <cellStyle name="Normal 3 2 2 2 3 2 28" xfId="45429"/>
    <cellStyle name="Normal 3 2 2 2 3 2 29" xfId="47181"/>
    <cellStyle name="Normal 3 2 2 2 3 2 3" xfId="3386"/>
    <cellStyle name="Normal 3 2 2 2 3 2 30" xfId="48933"/>
    <cellStyle name="Normal 3 2 2 2 3 2 31" xfId="50685"/>
    <cellStyle name="Normal 3 2 2 2 3 2 32" xfId="52437"/>
    <cellStyle name="Normal 3 2 2 2 3 2 33" xfId="54189"/>
    <cellStyle name="Normal 3 2 2 2 3 2 34" xfId="55941"/>
    <cellStyle name="Normal 3 2 2 2 3 2 35" xfId="57694"/>
    <cellStyle name="Normal 3 2 2 2 3 2 36" xfId="59446"/>
    <cellStyle name="Normal 3 2 2 2 3 2 37" xfId="61198"/>
    <cellStyle name="Normal 3 2 2 2 3 2 38" xfId="62606"/>
    <cellStyle name="Normal 3 2 2 2 3 2 39" xfId="63472"/>
    <cellStyle name="Normal 3 2 2 2 3 2 4" xfId="5138"/>
    <cellStyle name="Normal 3 2 2 2 3 2 5" xfId="6890"/>
    <cellStyle name="Normal 3 2 2 2 3 2 6" xfId="8642"/>
    <cellStyle name="Normal 3 2 2 2 3 2 7" xfId="10395"/>
    <cellStyle name="Normal 3 2 2 2 3 2 8" xfId="12147"/>
    <cellStyle name="Normal 3 2 2 2 3 2 9" xfId="13899"/>
    <cellStyle name="Normal 3 2 2 2 3 20" xfId="30986"/>
    <cellStyle name="Normal 3 2 2 2 3 21" xfId="32739"/>
    <cellStyle name="Normal 3 2 2 2 3 22" xfId="34597"/>
    <cellStyle name="Normal 3 2 2 2 3 23" xfId="35375"/>
    <cellStyle name="Normal 3 2 2 2 3 24" xfId="37218"/>
    <cellStyle name="Normal 3 2 2 2 3 25" xfId="38868"/>
    <cellStyle name="Normal 3 2 2 2 3 26" xfId="40623"/>
    <cellStyle name="Normal 3 2 2 2 3 27" xfId="42375"/>
    <cellStyle name="Normal 3 2 2 2 3 28" xfId="44218"/>
    <cellStyle name="Normal 3 2 2 2 3 29" xfId="44993"/>
    <cellStyle name="Normal 3 2 2 2 3 3" xfId="1326"/>
    <cellStyle name="Normal 3 2 2 2 3 3 10" xfId="17844"/>
    <cellStyle name="Normal 3 2 2 2 3 3 11" xfId="19596"/>
    <cellStyle name="Normal 3 2 2 2 3 3 12" xfId="21349"/>
    <cellStyle name="Normal 3 2 2 2 3 3 13" xfId="23101"/>
    <cellStyle name="Normal 3 2 2 2 3 3 14" xfId="24853"/>
    <cellStyle name="Normal 3 2 2 2 3 3 15" xfId="26605"/>
    <cellStyle name="Normal 3 2 2 2 3 3 16" xfId="28357"/>
    <cellStyle name="Normal 3 2 2 2 3 3 17" xfId="30110"/>
    <cellStyle name="Normal 3 2 2 2 3 3 18" xfId="31862"/>
    <cellStyle name="Normal 3 2 2 2 3 3 19" xfId="33615"/>
    <cellStyle name="Normal 3 2 2 2 3 3 2" xfId="3826"/>
    <cellStyle name="Normal 3 2 2 2 3 3 20" xfId="36251"/>
    <cellStyle name="Normal 3 2 2 2 3 3 21" xfId="37991"/>
    <cellStyle name="Normal 3 2 2 2 3 3 22" xfId="39744"/>
    <cellStyle name="Normal 3 2 2 2 3 3 23" xfId="41499"/>
    <cellStyle name="Normal 3 2 2 2 3 3 24" xfId="43251"/>
    <cellStyle name="Normal 3 2 2 2 3 3 25" xfId="45869"/>
    <cellStyle name="Normal 3 2 2 2 3 3 26" xfId="47621"/>
    <cellStyle name="Normal 3 2 2 2 3 3 27" xfId="49373"/>
    <cellStyle name="Normal 3 2 2 2 3 3 28" xfId="51125"/>
    <cellStyle name="Normal 3 2 2 2 3 3 29" xfId="52877"/>
    <cellStyle name="Normal 3 2 2 2 3 3 3" xfId="5578"/>
    <cellStyle name="Normal 3 2 2 2 3 3 30" xfId="54629"/>
    <cellStyle name="Normal 3 2 2 2 3 3 31" xfId="56381"/>
    <cellStyle name="Normal 3 2 2 2 3 3 32" xfId="58134"/>
    <cellStyle name="Normal 3 2 2 2 3 3 33" xfId="59886"/>
    <cellStyle name="Normal 3 2 2 2 3 3 34" xfId="61638"/>
    <cellStyle name="Normal 3 2 2 2 3 3 4" xfId="7330"/>
    <cellStyle name="Normal 3 2 2 2 3 3 5" xfId="9082"/>
    <cellStyle name="Normal 3 2 2 2 3 3 6" xfId="10835"/>
    <cellStyle name="Normal 3 2 2 2 3 3 7" xfId="12587"/>
    <cellStyle name="Normal 3 2 2 2 3 3 8" xfId="14339"/>
    <cellStyle name="Normal 3 2 2 2 3 3 9" xfId="16091"/>
    <cellStyle name="Normal 3 2 2 2 3 30" xfId="46745"/>
    <cellStyle name="Normal 3 2 2 2 3 31" xfId="48497"/>
    <cellStyle name="Normal 3 2 2 2 3 32" xfId="50249"/>
    <cellStyle name="Normal 3 2 2 2 3 33" xfId="52001"/>
    <cellStyle name="Normal 3 2 2 2 3 34" xfId="53753"/>
    <cellStyle name="Normal 3 2 2 2 3 35" xfId="55505"/>
    <cellStyle name="Normal 3 2 2 2 3 36" xfId="57258"/>
    <cellStyle name="Normal 3 2 2 2 3 37" xfId="59010"/>
    <cellStyle name="Normal 3 2 2 2 3 38" xfId="60762"/>
    <cellStyle name="Normal 3 2 2 2 3 39" xfId="62605"/>
    <cellStyle name="Normal 3 2 2 2 3 4" xfId="2950"/>
    <cellStyle name="Normal 3 2 2 2 3 40" xfId="63471"/>
    <cellStyle name="Normal 3 2 2 2 3 5" xfId="4702"/>
    <cellStyle name="Normal 3 2 2 2 3 6" xfId="6454"/>
    <cellStyle name="Normal 3 2 2 2 3 7" xfId="8206"/>
    <cellStyle name="Normal 3 2 2 2 3 8" xfId="9959"/>
    <cellStyle name="Normal 3 2 2 2 3 9" xfId="11711"/>
    <cellStyle name="Normal 3 2 2 2 30" xfId="44213"/>
    <cellStyle name="Normal 3 2 2 2 31" xfId="44732"/>
    <cellStyle name="Normal 3 2 2 2 32" xfId="46484"/>
    <cellStyle name="Normal 3 2 2 2 33" xfId="48236"/>
    <cellStyle name="Normal 3 2 2 2 34" xfId="49988"/>
    <cellStyle name="Normal 3 2 2 2 35" xfId="51740"/>
    <cellStyle name="Normal 3 2 2 2 36" xfId="53492"/>
    <cellStyle name="Normal 3 2 2 2 37" xfId="55244"/>
    <cellStyle name="Normal 3 2 2 2 38" xfId="56997"/>
    <cellStyle name="Normal 3 2 2 2 39" xfId="58749"/>
    <cellStyle name="Normal 3 2 2 2 4" xfId="1327"/>
    <cellStyle name="Normal 3 2 2 2 4 10" xfId="15390"/>
    <cellStyle name="Normal 3 2 2 2 4 11" xfId="17143"/>
    <cellStyle name="Normal 3 2 2 2 4 12" xfId="18895"/>
    <cellStyle name="Normal 3 2 2 2 4 13" xfId="20648"/>
    <cellStyle name="Normal 3 2 2 2 4 14" xfId="22400"/>
    <cellStyle name="Normal 3 2 2 2 4 15" xfId="24152"/>
    <cellStyle name="Normal 3 2 2 2 4 16" xfId="25904"/>
    <cellStyle name="Normal 3 2 2 2 4 17" xfId="27656"/>
    <cellStyle name="Normal 3 2 2 2 4 18" xfId="29409"/>
    <cellStyle name="Normal 3 2 2 2 4 19" xfId="31161"/>
    <cellStyle name="Normal 3 2 2 2 4 2" xfId="1328"/>
    <cellStyle name="Normal 3 2 2 2 4 2 10" xfId="18019"/>
    <cellStyle name="Normal 3 2 2 2 4 2 11" xfId="19771"/>
    <cellStyle name="Normal 3 2 2 2 4 2 12" xfId="21524"/>
    <cellStyle name="Normal 3 2 2 2 4 2 13" xfId="23276"/>
    <cellStyle name="Normal 3 2 2 2 4 2 14" xfId="25028"/>
    <cellStyle name="Normal 3 2 2 2 4 2 15" xfId="26780"/>
    <cellStyle name="Normal 3 2 2 2 4 2 16" xfId="28532"/>
    <cellStyle name="Normal 3 2 2 2 4 2 17" xfId="30285"/>
    <cellStyle name="Normal 3 2 2 2 4 2 18" xfId="32037"/>
    <cellStyle name="Normal 3 2 2 2 4 2 19" xfId="33790"/>
    <cellStyle name="Normal 3 2 2 2 4 2 2" xfId="4001"/>
    <cellStyle name="Normal 3 2 2 2 4 2 20" xfId="36426"/>
    <cellStyle name="Normal 3 2 2 2 4 2 21" xfId="38166"/>
    <cellStyle name="Normal 3 2 2 2 4 2 22" xfId="39919"/>
    <cellStyle name="Normal 3 2 2 2 4 2 23" xfId="41674"/>
    <cellStyle name="Normal 3 2 2 2 4 2 24" xfId="43426"/>
    <cellStyle name="Normal 3 2 2 2 4 2 25" xfId="46044"/>
    <cellStyle name="Normal 3 2 2 2 4 2 26" xfId="47796"/>
    <cellStyle name="Normal 3 2 2 2 4 2 27" xfId="49548"/>
    <cellStyle name="Normal 3 2 2 2 4 2 28" xfId="51300"/>
    <cellStyle name="Normal 3 2 2 2 4 2 29" xfId="53052"/>
    <cellStyle name="Normal 3 2 2 2 4 2 3" xfId="5753"/>
    <cellStyle name="Normal 3 2 2 2 4 2 30" xfId="54804"/>
    <cellStyle name="Normal 3 2 2 2 4 2 31" xfId="56556"/>
    <cellStyle name="Normal 3 2 2 2 4 2 32" xfId="58309"/>
    <cellStyle name="Normal 3 2 2 2 4 2 33" xfId="60061"/>
    <cellStyle name="Normal 3 2 2 2 4 2 34" xfId="61813"/>
    <cellStyle name="Normal 3 2 2 2 4 2 4" xfId="7505"/>
    <cellStyle name="Normal 3 2 2 2 4 2 5" xfId="9257"/>
    <cellStyle name="Normal 3 2 2 2 4 2 6" xfId="11010"/>
    <cellStyle name="Normal 3 2 2 2 4 2 7" xfId="12762"/>
    <cellStyle name="Normal 3 2 2 2 4 2 8" xfId="14514"/>
    <cellStyle name="Normal 3 2 2 2 4 2 9" xfId="16266"/>
    <cellStyle name="Normal 3 2 2 2 4 20" xfId="32914"/>
    <cellStyle name="Normal 3 2 2 2 4 21" xfId="34599"/>
    <cellStyle name="Normal 3 2 2 2 4 22" xfId="35550"/>
    <cellStyle name="Normal 3 2 2 2 4 23" xfId="37220"/>
    <cellStyle name="Normal 3 2 2 2 4 24" xfId="39043"/>
    <cellStyle name="Normal 3 2 2 2 4 25" xfId="40798"/>
    <cellStyle name="Normal 3 2 2 2 4 26" xfId="42550"/>
    <cellStyle name="Normal 3 2 2 2 4 27" xfId="44220"/>
    <cellStyle name="Normal 3 2 2 2 4 28" xfId="45168"/>
    <cellStyle name="Normal 3 2 2 2 4 29" xfId="46920"/>
    <cellStyle name="Normal 3 2 2 2 4 3" xfId="3125"/>
    <cellStyle name="Normal 3 2 2 2 4 30" xfId="48672"/>
    <cellStyle name="Normal 3 2 2 2 4 31" xfId="50424"/>
    <cellStyle name="Normal 3 2 2 2 4 32" xfId="52176"/>
    <cellStyle name="Normal 3 2 2 2 4 33" xfId="53928"/>
    <cellStyle name="Normal 3 2 2 2 4 34" xfId="55680"/>
    <cellStyle name="Normal 3 2 2 2 4 35" xfId="57433"/>
    <cellStyle name="Normal 3 2 2 2 4 36" xfId="59185"/>
    <cellStyle name="Normal 3 2 2 2 4 37" xfId="60937"/>
    <cellStyle name="Normal 3 2 2 2 4 38" xfId="62607"/>
    <cellStyle name="Normal 3 2 2 2 4 39" xfId="63473"/>
    <cellStyle name="Normal 3 2 2 2 4 4" xfId="4877"/>
    <cellStyle name="Normal 3 2 2 2 4 5" xfId="6629"/>
    <cellStyle name="Normal 3 2 2 2 4 6" xfId="8381"/>
    <cellStyle name="Normal 3 2 2 2 4 7" xfId="10134"/>
    <cellStyle name="Normal 3 2 2 2 4 8" xfId="11886"/>
    <cellStyle name="Normal 3 2 2 2 4 9" xfId="13638"/>
    <cellStyle name="Normal 3 2 2 2 40" xfId="60501"/>
    <cellStyle name="Normal 3 2 2 2 41" xfId="62600"/>
    <cellStyle name="Normal 3 2 2 2 42" xfId="63466"/>
    <cellStyle name="Normal 3 2 2 2 5" xfId="1329"/>
    <cellStyle name="Normal 3 2 2 2 5 10" xfId="17583"/>
    <cellStyle name="Normal 3 2 2 2 5 11" xfId="19335"/>
    <cellStyle name="Normal 3 2 2 2 5 12" xfId="21088"/>
    <cellStyle name="Normal 3 2 2 2 5 13" xfId="22840"/>
    <cellStyle name="Normal 3 2 2 2 5 14" xfId="24592"/>
    <cellStyle name="Normal 3 2 2 2 5 15" xfId="26344"/>
    <cellStyle name="Normal 3 2 2 2 5 16" xfId="28096"/>
    <cellStyle name="Normal 3 2 2 2 5 17" xfId="29849"/>
    <cellStyle name="Normal 3 2 2 2 5 18" xfId="31601"/>
    <cellStyle name="Normal 3 2 2 2 5 19" xfId="33354"/>
    <cellStyle name="Normal 3 2 2 2 5 2" xfId="3565"/>
    <cellStyle name="Normal 3 2 2 2 5 20" xfId="35990"/>
    <cellStyle name="Normal 3 2 2 2 5 21" xfId="37750"/>
    <cellStyle name="Normal 3 2 2 2 5 22" xfId="39483"/>
    <cellStyle name="Normal 3 2 2 2 5 23" xfId="41238"/>
    <cellStyle name="Normal 3 2 2 2 5 24" xfId="42990"/>
    <cellStyle name="Normal 3 2 2 2 5 25" xfId="45608"/>
    <cellStyle name="Normal 3 2 2 2 5 26" xfId="47360"/>
    <cellStyle name="Normal 3 2 2 2 5 27" xfId="49112"/>
    <cellStyle name="Normal 3 2 2 2 5 28" xfId="50864"/>
    <cellStyle name="Normal 3 2 2 2 5 29" xfId="52616"/>
    <cellStyle name="Normal 3 2 2 2 5 3" xfId="5317"/>
    <cellStyle name="Normal 3 2 2 2 5 30" xfId="54368"/>
    <cellStyle name="Normal 3 2 2 2 5 31" xfId="56120"/>
    <cellStyle name="Normal 3 2 2 2 5 32" xfId="57873"/>
    <cellStyle name="Normal 3 2 2 2 5 33" xfId="59625"/>
    <cellStyle name="Normal 3 2 2 2 5 34" xfId="61377"/>
    <cellStyle name="Normal 3 2 2 2 5 4" xfId="7069"/>
    <cellStyle name="Normal 3 2 2 2 5 5" xfId="8821"/>
    <cellStyle name="Normal 3 2 2 2 5 6" xfId="10574"/>
    <cellStyle name="Normal 3 2 2 2 5 7" xfId="12326"/>
    <cellStyle name="Normal 3 2 2 2 5 8" xfId="14078"/>
    <cellStyle name="Normal 3 2 2 2 5 9" xfId="15830"/>
    <cellStyle name="Normal 3 2 2 2 6" xfId="2689"/>
    <cellStyle name="Normal 3 2 2 2 7" xfId="4441"/>
    <cellStyle name="Normal 3 2 2 2 8" xfId="6193"/>
    <cellStyle name="Normal 3 2 2 2 9" xfId="7945"/>
    <cellStyle name="Normal 3 2 2 20" xfId="25413"/>
    <cellStyle name="Normal 3 2 2 21" xfId="27165"/>
    <cellStyle name="Normal 3 2 2 22" xfId="28918"/>
    <cellStyle name="Normal 3 2 2 23" xfId="30670"/>
    <cellStyle name="Normal 3 2 2 24" xfId="32423"/>
    <cellStyle name="Normal 3 2 2 25" xfId="34591"/>
    <cellStyle name="Normal 3 2 2 26" xfId="35059"/>
    <cellStyle name="Normal 3 2 2 27" xfId="37212"/>
    <cellStyle name="Normal 3 2 2 28" xfId="38551"/>
    <cellStyle name="Normal 3 2 2 29" xfId="40307"/>
    <cellStyle name="Normal 3 2 2 3" xfId="1330"/>
    <cellStyle name="Normal 3 2 2 3 10" xfId="11503"/>
    <cellStyle name="Normal 3 2 2 3 11" xfId="13255"/>
    <cellStyle name="Normal 3 2 2 3 12" xfId="15007"/>
    <cellStyle name="Normal 3 2 2 3 13" xfId="16760"/>
    <cellStyle name="Normal 3 2 2 3 14" xfId="18512"/>
    <cellStyle name="Normal 3 2 2 3 15" xfId="20265"/>
    <cellStyle name="Normal 3 2 2 3 16" xfId="22017"/>
    <cellStyle name="Normal 3 2 2 3 17" xfId="23769"/>
    <cellStyle name="Normal 3 2 2 3 18" xfId="25521"/>
    <cellStyle name="Normal 3 2 2 3 19" xfId="27273"/>
    <cellStyle name="Normal 3 2 2 3 2" xfId="1331"/>
    <cellStyle name="Normal 3 2 2 3 2 10" xfId="13464"/>
    <cellStyle name="Normal 3 2 2 3 2 11" xfId="15216"/>
    <cellStyle name="Normal 3 2 2 3 2 12" xfId="16969"/>
    <cellStyle name="Normal 3 2 2 3 2 13" xfId="18721"/>
    <cellStyle name="Normal 3 2 2 3 2 14" xfId="20474"/>
    <cellStyle name="Normal 3 2 2 3 2 15" xfId="22226"/>
    <cellStyle name="Normal 3 2 2 3 2 16" xfId="23978"/>
    <cellStyle name="Normal 3 2 2 3 2 17" xfId="25730"/>
    <cellStyle name="Normal 3 2 2 3 2 18" xfId="27482"/>
    <cellStyle name="Normal 3 2 2 3 2 19" xfId="29235"/>
    <cellStyle name="Normal 3 2 2 3 2 2" xfId="1332"/>
    <cellStyle name="Normal 3 2 2 3 2 2 10" xfId="15652"/>
    <cellStyle name="Normal 3 2 2 3 2 2 11" xfId="17405"/>
    <cellStyle name="Normal 3 2 2 3 2 2 12" xfId="19157"/>
    <cellStyle name="Normal 3 2 2 3 2 2 13" xfId="20910"/>
    <cellStyle name="Normal 3 2 2 3 2 2 14" xfId="22662"/>
    <cellStyle name="Normal 3 2 2 3 2 2 15" xfId="24414"/>
    <cellStyle name="Normal 3 2 2 3 2 2 16" xfId="26166"/>
    <cellStyle name="Normal 3 2 2 3 2 2 17" xfId="27918"/>
    <cellStyle name="Normal 3 2 2 3 2 2 18" xfId="29671"/>
    <cellStyle name="Normal 3 2 2 3 2 2 19" xfId="31423"/>
    <cellStyle name="Normal 3 2 2 3 2 2 2" xfId="1333"/>
    <cellStyle name="Normal 3 2 2 3 2 2 2 10" xfId="18281"/>
    <cellStyle name="Normal 3 2 2 3 2 2 2 11" xfId="20033"/>
    <cellStyle name="Normal 3 2 2 3 2 2 2 12" xfId="21786"/>
    <cellStyle name="Normal 3 2 2 3 2 2 2 13" xfId="23538"/>
    <cellStyle name="Normal 3 2 2 3 2 2 2 14" xfId="25290"/>
    <cellStyle name="Normal 3 2 2 3 2 2 2 15" xfId="27042"/>
    <cellStyle name="Normal 3 2 2 3 2 2 2 16" xfId="28794"/>
    <cellStyle name="Normal 3 2 2 3 2 2 2 17" xfId="30547"/>
    <cellStyle name="Normal 3 2 2 3 2 2 2 18" xfId="32299"/>
    <cellStyle name="Normal 3 2 2 3 2 2 2 19" xfId="34052"/>
    <cellStyle name="Normal 3 2 2 3 2 2 2 2" xfId="4263"/>
    <cellStyle name="Normal 3 2 2 3 2 2 2 20" xfId="36688"/>
    <cellStyle name="Normal 3 2 2 3 2 2 2 21" xfId="38428"/>
    <cellStyle name="Normal 3 2 2 3 2 2 2 22" xfId="40181"/>
    <cellStyle name="Normal 3 2 2 3 2 2 2 23" xfId="41936"/>
    <cellStyle name="Normal 3 2 2 3 2 2 2 24" xfId="43688"/>
    <cellStyle name="Normal 3 2 2 3 2 2 2 25" xfId="46306"/>
    <cellStyle name="Normal 3 2 2 3 2 2 2 26" xfId="48058"/>
    <cellStyle name="Normal 3 2 2 3 2 2 2 27" xfId="49810"/>
    <cellStyle name="Normal 3 2 2 3 2 2 2 28" xfId="51562"/>
    <cellStyle name="Normal 3 2 2 3 2 2 2 29" xfId="53314"/>
    <cellStyle name="Normal 3 2 2 3 2 2 2 3" xfId="6015"/>
    <cellStyle name="Normal 3 2 2 3 2 2 2 30" xfId="55066"/>
    <cellStyle name="Normal 3 2 2 3 2 2 2 31" xfId="56818"/>
    <cellStyle name="Normal 3 2 2 3 2 2 2 32" xfId="58571"/>
    <cellStyle name="Normal 3 2 2 3 2 2 2 33" xfId="60323"/>
    <cellStyle name="Normal 3 2 2 3 2 2 2 34" xfId="62075"/>
    <cellStyle name="Normal 3 2 2 3 2 2 2 4" xfId="7767"/>
    <cellStyle name="Normal 3 2 2 3 2 2 2 5" xfId="9519"/>
    <cellStyle name="Normal 3 2 2 3 2 2 2 6" xfId="11272"/>
    <cellStyle name="Normal 3 2 2 3 2 2 2 7" xfId="13024"/>
    <cellStyle name="Normal 3 2 2 3 2 2 2 8" xfId="14776"/>
    <cellStyle name="Normal 3 2 2 3 2 2 2 9" xfId="16528"/>
    <cellStyle name="Normal 3 2 2 3 2 2 20" xfId="33176"/>
    <cellStyle name="Normal 3 2 2 3 2 2 21" xfId="34602"/>
    <cellStyle name="Normal 3 2 2 3 2 2 22" xfId="35812"/>
    <cellStyle name="Normal 3 2 2 3 2 2 23" xfId="37223"/>
    <cellStyle name="Normal 3 2 2 3 2 2 24" xfId="39305"/>
    <cellStyle name="Normal 3 2 2 3 2 2 25" xfId="41060"/>
    <cellStyle name="Normal 3 2 2 3 2 2 26" xfId="42812"/>
    <cellStyle name="Normal 3 2 2 3 2 2 27" xfId="44223"/>
    <cellStyle name="Normal 3 2 2 3 2 2 28" xfId="45430"/>
    <cellStyle name="Normal 3 2 2 3 2 2 29" xfId="47182"/>
    <cellStyle name="Normal 3 2 2 3 2 2 3" xfId="3387"/>
    <cellStyle name="Normal 3 2 2 3 2 2 30" xfId="48934"/>
    <cellStyle name="Normal 3 2 2 3 2 2 31" xfId="50686"/>
    <cellStyle name="Normal 3 2 2 3 2 2 32" xfId="52438"/>
    <cellStyle name="Normal 3 2 2 3 2 2 33" xfId="54190"/>
    <cellStyle name="Normal 3 2 2 3 2 2 34" xfId="55942"/>
    <cellStyle name="Normal 3 2 2 3 2 2 35" xfId="57695"/>
    <cellStyle name="Normal 3 2 2 3 2 2 36" xfId="59447"/>
    <cellStyle name="Normal 3 2 2 3 2 2 37" xfId="61199"/>
    <cellStyle name="Normal 3 2 2 3 2 2 38" xfId="62610"/>
    <cellStyle name="Normal 3 2 2 3 2 2 39" xfId="63476"/>
    <cellStyle name="Normal 3 2 2 3 2 2 4" xfId="5139"/>
    <cellStyle name="Normal 3 2 2 3 2 2 5" xfId="6891"/>
    <cellStyle name="Normal 3 2 2 3 2 2 6" xfId="8643"/>
    <cellStyle name="Normal 3 2 2 3 2 2 7" xfId="10396"/>
    <cellStyle name="Normal 3 2 2 3 2 2 8" xfId="12148"/>
    <cellStyle name="Normal 3 2 2 3 2 2 9" xfId="13900"/>
    <cellStyle name="Normal 3 2 2 3 2 20" xfId="30987"/>
    <cellStyle name="Normal 3 2 2 3 2 21" xfId="32740"/>
    <cellStyle name="Normal 3 2 2 3 2 22" xfId="34601"/>
    <cellStyle name="Normal 3 2 2 3 2 23" xfId="35376"/>
    <cellStyle name="Normal 3 2 2 3 2 24" xfId="37222"/>
    <cellStyle name="Normal 3 2 2 3 2 25" xfId="38869"/>
    <cellStyle name="Normal 3 2 2 3 2 26" xfId="40624"/>
    <cellStyle name="Normal 3 2 2 3 2 27" xfId="42376"/>
    <cellStyle name="Normal 3 2 2 3 2 28" xfId="44222"/>
    <cellStyle name="Normal 3 2 2 3 2 29" xfId="44994"/>
    <cellStyle name="Normal 3 2 2 3 2 3" xfId="1334"/>
    <cellStyle name="Normal 3 2 2 3 2 3 10" xfId="17845"/>
    <cellStyle name="Normal 3 2 2 3 2 3 11" xfId="19597"/>
    <cellStyle name="Normal 3 2 2 3 2 3 12" xfId="21350"/>
    <cellStyle name="Normal 3 2 2 3 2 3 13" xfId="23102"/>
    <cellStyle name="Normal 3 2 2 3 2 3 14" xfId="24854"/>
    <cellStyle name="Normal 3 2 2 3 2 3 15" xfId="26606"/>
    <cellStyle name="Normal 3 2 2 3 2 3 16" xfId="28358"/>
    <cellStyle name="Normal 3 2 2 3 2 3 17" xfId="30111"/>
    <cellStyle name="Normal 3 2 2 3 2 3 18" xfId="31863"/>
    <cellStyle name="Normal 3 2 2 3 2 3 19" xfId="33616"/>
    <cellStyle name="Normal 3 2 2 3 2 3 2" xfId="3827"/>
    <cellStyle name="Normal 3 2 2 3 2 3 20" xfId="36252"/>
    <cellStyle name="Normal 3 2 2 3 2 3 21" xfId="37992"/>
    <cellStyle name="Normal 3 2 2 3 2 3 22" xfId="39745"/>
    <cellStyle name="Normal 3 2 2 3 2 3 23" xfId="41500"/>
    <cellStyle name="Normal 3 2 2 3 2 3 24" xfId="43252"/>
    <cellStyle name="Normal 3 2 2 3 2 3 25" xfId="45870"/>
    <cellStyle name="Normal 3 2 2 3 2 3 26" xfId="47622"/>
    <cellStyle name="Normal 3 2 2 3 2 3 27" xfId="49374"/>
    <cellStyle name="Normal 3 2 2 3 2 3 28" xfId="51126"/>
    <cellStyle name="Normal 3 2 2 3 2 3 29" xfId="52878"/>
    <cellStyle name="Normal 3 2 2 3 2 3 3" xfId="5579"/>
    <cellStyle name="Normal 3 2 2 3 2 3 30" xfId="54630"/>
    <cellStyle name="Normal 3 2 2 3 2 3 31" xfId="56382"/>
    <cellStyle name="Normal 3 2 2 3 2 3 32" xfId="58135"/>
    <cellStyle name="Normal 3 2 2 3 2 3 33" xfId="59887"/>
    <cellStyle name="Normal 3 2 2 3 2 3 34" xfId="61639"/>
    <cellStyle name="Normal 3 2 2 3 2 3 4" xfId="7331"/>
    <cellStyle name="Normal 3 2 2 3 2 3 5" xfId="9083"/>
    <cellStyle name="Normal 3 2 2 3 2 3 6" xfId="10836"/>
    <cellStyle name="Normal 3 2 2 3 2 3 7" xfId="12588"/>
    <cellStyle name="Normal 3 2 2 3 2 3 8" xfId="14340"/>
    <cellStyle name="Normal 3 2 2 3 2 3 9" xfId="16092"/>
    <cellStyle name="Normal 3 2 2 3 2 30" xfId="46746"/>
    <cellStyle name="Normal 3 2 2 3 2 31" xfId="48498"/>
    <cellStyle name="Normal 3 2 2 3 2 32" xfId="50250"/>
    <cellStyle name="Normal 3 2 2 3 2 33" xfId="52002"/>
    <cellStyle name="Normal 3 2 2 3 2 34" xfId="53754"/>
    <cellStyle name="Normal 3 2 2 3 2 35" xfId="55506"/>
    <cellStyle name="Normal 3 2 2 3 2 36" xfId="57259"/>
    <cellStyle name="Normal 3 2 2 3 2 37" xfId="59011"/>
    <cellStyle name="Normal 3 2 2 3 2 38" xfId="60763"/>
    <cellStyle name="Normal 3 2 2 3 2 39" xfId="62609"/>
    <cellStyle name="Normal 3 2 2 3 2 4" xfId="2951"/>
    <cellStyle name="Normal 3 2 2 3 2 40" xfId="63475"/>
    <cellStyle name="Normal 3 2 2 3 2 5" xfId="4703"/>
    <cellStyle name="Normal 3 2 2 3 2 6" xfId="6455"/>
    <cellStyle name="Normal 3 2 2 3 2 7" xfId="8207"/>
    <cellStyle name="Normal 3 2 2 3 2 8" xfId="9960"/>
    <cellStyle name="Normal 3 2 2 3 2 9" xfId="11712"/>
    <cellStyle name="Normal 3 2 2 3 20" xfId="29026"/>
    <cellStyle name="Normal 3 2 2 3 21" xfId="30778"/>
    <cellStyle name="Normal 3 2 2 3 22" xfId="32531"/>
    <cellStyle name="Normal 3 2 2 3 23" xfId="34600"/>
    <cellStyle name="Normal 3 2 2 3 24" xfId="35167"/>
    <cellStyle name="Normal 3 2 2 3 25" xfId="37221"/>
    <cellStyle name="Normal 3 2 2 3 26" xfId="38660"/>
    <cellStyle name="Normal 3 2 2 3 27" xfId="40415"/>
    <cellStyle name="Normal 3 2 2 3 28" xfId="42167"/>
    <cellStyle name="Normal 3 2 2 3 29" xfId="44221"/>
    <cellStyle name="Normal 3 2 2 3 3" xfId="1335"/>
    <cellStyle name="Normal 3 2 2 3 3 10" xfId="15443"/>
    <cellStyle name="Normal 3 2 2 3 3 11" xfId="17196"/>
    <cellStyle name="Normal 3 2 2 3 3 12" xfId="18948"/>
    <cellStyle name="Normal 3 2 2 3 3 13" xfId="20701"/>
    <cellStyle name="Normal 3 2 2 3 3 14" xfId="22453"/>
    <cellStyle name="Normal 3 2 2 3 3 15" xfId="24205"/>
    <cellStyle name="Normal 3 2 2 3 3 16" xfId="25957"/>
    <cellStyle name="Normal 3 2 2 3 3 17" xfId="27709"/>
    <cellStyle name="Normal 3 2 2 3 3 18" xfId="29462"/>
    <cellStyle name="Normal 3 2 2 3 3 19" xfId="31214"/>
    <cellStyle name="Normal 3 2 2 3 3 2" xfId="1336"/>
    <cellStyle name="Normal 3 2 2 3 3 2 10" xfId="18072"/>
    <cellStyle name="Normal 3 2 2 3 3 2 11" xfId="19824"/>
    <cellStyle name="Normal 3 2 2 3 3 2 12" xfId="21577"/>
    <cellStyle name="Normal 3 2 2 3 3 2 13" xfId="23329"/>
    <cellStyle name="Normal 3 2 2 3 3 2 14" xfId="25081"/>
    <cellStyle name="Normal 3 2 2 3 3 2 15" xfId="26833"/>
    <cellStyle name="Normal 3 2 2 3 3 2 16" xfId="28585"/>
    <cellStyle name="Normal 3 2 2 3 3 2 17" xfId="30338"/>
    <cellStyle name="Normal 3 2 2 3 3 2 18" xfId="32090"/>
    <cellStyle name="Normal 3 2 2 3 3 2 19" xfId="33843"/>
    <cellStyle name="Normal 3 2 2 3 3 2 2" xfId="4054"/>
    <cellStyle name="Normal 3 2 2 3 3 2 20" xfId="36479"/>
    <cellStyle name="Normal 3 2 2 3 3 2 21" xfId="38219"/>
    <cellStyle name="Normal 3 2 2 3 3 2 22" xfId="39972"/>
    <cellStyle name="Normal 3 2 2 3 3 2 23" xfId="41727"/>
    <cellStyle name="Normal 3 2 2 3 3 2 24" xfId="43479"/>
    <cellStyle name="Normal 3 2 2 3 3 2 25" xfId="46097"/>
    <cellStyle name="Normal 3 2 2 3 3 2 26" xfId="47849"/>
    <cellStyle name="Normal 3 2 2 3 3 2 27" xfId="49601"/>
    <cellStyle name="Normal 3 2 2 3 3 2 28" xfId="51353"/>
    <cellStyle name="Normal 3 2 2 3 3 2 29" xfId="53105"/>
    <cellStyle name="Normal 3 2 2 3 3 2 3" xfId="5806"/>
    <cellStyle name="Normal 3 2 2 3 3 2 30" xfId="54857"/>
    <cellStyle name="Normal 3 2 2 3 3 2 31" xfId="56609"/>
    <cellStyle name="Normal 3 2 2 3 3 2 32" xfId="58362"/>
    <cellStyle name="Normal 3 2 2 3 3 2 33" xfId="60114"/>
    <cellStyle name="Normal 3 2 2 3 3 2 34" xfId="61866"/>
    <cellStyle name="Normal 3 2 2 3 3 2 4" xfId="7558"/>
    <cellStyle name="Normal 3 2 2 3 3 2 5" xfId="9310"/>
    <cellStyle name="Normal 3 2 2 3 3 2 6" xfId="11063"/>
    <cellStyle name="Normal 3 2 2 3 3 2 7" xfId="12815"/>
    <cellStyle name="Normal 3 2 2 3 3 2 8" xfId="14567"/>
    <cellStyle name="Normal 3 2 2 3 3 2 9" xfId="16319"/>
    <cellStyle name="Normal 3 2 2 3 3 20" xfId="32967"/>
    <cellStyle name="Normal 3 2 2 3 3 21" xfId="34603"/>
    <cellStyle name="Normal 3 2 2 3 3 22" xfId="35603"/>
    <cellStyle name="Normal 3 2 2 3 3 23" xfId="37224"/>
    <cellStyle name="Normal 3 2 2 3 3 24" xfId="39096"/>
    <cellStyle name="Normal 3 2 2 3 3 25" xfId="40851"/>
    <cellStyle name="Normal 3 2 2 3 3 26" xfId="42603"/>
    <cellStyle name="Normal 3 2 2 3 3 27" xfId="44224"/>
    <cellStyle name="Normal 3 2 2 3 3 28" xfId="45221"/>
    <cellStyle name="Normal 3 2 2 3 3 29" xfId="46973"/>
    <cellStyle name="Normal 3 2 2 3 3 3" xfId="3178"/>
    <cellStyle name="Normal 3 2 2 3 3 30" xfId="48725"/>
    <cellStyle name="Normal 3 2 2 3 3 31" xfId="50477"/>
    <cellStyle name="Normal 3 2 2 3 3 32" xfId="52229"/>
    <cellStyle name="Normal 3 2 2 3 3 33" xfId="53981"/>
    <cellStyle name="Normal 3 2 2 3 3 34" xfId="55733"/>
    <cellStyle name="Normal 3 2 2 3 3 35" xfId="57486"/>
    <cellStyle name="Normal 3 2 2 3 3 36" xfId="59238"/>
    <cellStyle name="Normal 3 2 2 3 3 37" xfId="60990"/>
    <cellStyle name="Normal 3 2 2 3 3 38" xfId="62611"/>
    <cellStyle name="Normal 3 2 2 3 3 39" xfId="63477"/>
    <cellStyle name="Normal 3 2 2 3 3 4" xfId="4930"/>
    <cellStyle name="Normal 3 2 2 3 3 5" xfId="6682"/>
    <cellStyle name="Normal 3 2 2 3 3 6" xfId="8434"/>
    <cellStyle name="Normal 3 2 2 3 3 7" xfId="10187"/>
    <cellStyle name="Normal 3 2 2 3 3 8" xfId="11939"/>
    <cellStyle name="Normal 3 2 2 3 3 9" xfId="13691"/>
    <cellStyle name="Normal 3 2 2 3 30" xfId="44785"/>
    <cellStyle name="Normal 3 2 2 3 31" xfId="46537"/>
    <cellStyle name="Normal 3 2 2 3 32" xfId="48289"/>
    <cellStyle name="Normal 3 2 2 3 33" xfId="50041"/>
    <cellStyle name="Normal 3 2 2 3 34" xfId="51793"/>
    <cellStyle name="Normal 3 2 2 3 35" xfId="53545"/>
    <cellStyle name="Normal 3 2 2 3 36" xfId="55297"/>
    <cellStyle name="Normal 3 2 2 3 37" xfId="57050"/>
    <cellStyle name="Normal 3 2 2 3 38" xfId="58802"/>
    <cellStyle name="Normal 3 2 2 3 39" xfId="60554"/>
    <cellStyle name="Normal 3 2 2 3 4" xfId="1337"/>
    <cellStyle name="Normal 3 2 2 3 4 10" xfId="17636"/>
    <cellStyle name="Normal 3 2 2 3 4 11" xfId="19388"/>
    <cellStyle name="Normal 3 2 2 3 4 12" xfId="21141"/>
    <cellStyle name="Normal 3 2 2 3 4 13" xfId="22893"/>
    <cellStyle name="Normal 3 2 2 3 4 14" xfId="24645"/>
    <cellStyle name="Normal 3 2 2 3 4 15" xfId="26397"/>
    <cellStyle name="Normal 3 2 2 3 4 16" xfId="28149"/>
    <cellStyle name="Normal 3 2 2 3 4 17" xfId="29902"/>
    <cellStyle name="Normal 3 2 2 3 4 18" xfId="31654"/>
    <cellStyle name="Normal 3 2 2 3 4 19" xfId="33407"/>
    <cellStyle name="Normal 3 2 2 3 4 2" xfId="3618"/>
    <cellStyle name="Normal 3 2 2 3 4 20" xfId="36043"/>
    <cellStyle name="Normal 3 2 2 3 4 21" xfId="37783"/>
    <cellStyle name="Normal 3 2 2 3 4 22" xfId="39536"/>
    <cellStyle name="Normal 3 2 2 3 4 23" xfId="41291"/>
    <cellStyle name="Normal 3 2 2 3 4 24" xfId="43043"/>
    <cellStyle name="Normal 3 2 2 3 4 25" xfId="45661"/>
    <cellStyle name="Normal 3 2 2 3 4 26" xfId="47413"/>
    <cellStyle name="Normal 3 2 2 3 4 27" xfId="49165"/>
    <cellStyle name="Normal 3 2 2 3 4 28" xfId="50917"/>
    <cellStyle name="Normal 3 2 2 3 4 29" xfId="52669"/>
    <cellStyle name="Normal 3 2 2 3 4 3" xfId="5370"/>
    <cellStyle name="Normal 3 2 2 3 4 30" xfId="54421"/>
    <cellStyle name="Normal 3 2 2 3 4 31" xfId="56173"/>
    <cellStyle name="Normal 3 2 2 3 4 32" xfId="57926"/>
    <cellStyle name="Normal 3 2 2 3 4 33" xfId="59678"/>
    <cellStyle name="Normal 3 2 2 3 4 34" xfId="61430"/>
    <cellStyle name="Normal 3 2 2 3 4 4" xfId="7122"/>
    <cellStyle name="Normal 3 2 2 3 4 5" xfId="8874"/>
    <cellStyle name="Normal 3 2 2 3 4 6" xfId="10627"/>
    <cellStyle name="Normal 3 2 2 3 4 7" xfId="12379"/>
    <cellStyle name="Normal 3 2 2 3 4 8" xfId="14131"/>
    <cellStyle name="Normal 3 2 2 3 4 9" xfId="15883"/>
    <cellStyle name="Normal 3 2 2 3 40" xfId="62608"/>
    <cellStyle name="Normal 3 2 2 3 41" xfId="63474"/>
    <cellStyle name="Normal 3 2 2 3 5" xfId="2742"/>
    <cellStyle name="Normal 3 2 2 3 6" xfId="4494"/>
    <cellStyle name="Normal 3 2 2 3 7" xfId="6246"/>
    <cellStyle name="Normal 3 2 2 3 8" xfId="7998"/>
    <cellStyle name="Normal 3 2 2 3 9" xfId="9751"/>
    <cellStyle name="Normal 3 2 2 30" xfId="42059"/>
    <cellStyle name="Normal 3 2 2 31" xfId="44212"/>
    <cellStyle name="Normal 3 2 2 32" xfId="44677"/>
    <cellStyle name="Normal 3 2 2 33" xfId="46429"/>
    <cellStyle name="Normal 3 2 2 34" xfId="48181"/>
    <cellStyle name="Normal 3 2 2 35" xfId="49933"/>
    <cellStyle name="Normal 3 2 2 36" xfId="51685"/>
    <cellStyle name="Normal 3 2 2 37" xfId="53437"/>
    <cellStyle name="Normal 3 2 2 38" xfId="55189"/>
    <cellStyle name="Normal 3 2 2 39" xfId="56942"/>
    <cellStyle name="Normal 3 2 2 4" xfId="1338"/>
    <cellStyle name="Normal 3 2 2 4 10" xfId="13465"/>
    <cellStyle name="Normal 3 2 2 4 11" xfId="15217"/>
    <cellStyle name="Normal 3 2 2 4 12" xfId="16970"/>
    <cellStyle name="Normal 3 2 2 4 13" xfId="18722"/>
    <cellStyle name="Normal 3 2 2 4 14" xfId="20475"/>
    <cellStyle name="Normal 3 2 2 4 15" xfId="22227"/>
    <cellStyle name="Normal 3 2 2 4 16" xfId="23979"/>
    <cellStyle name="Normal 3 2 2 4 17" xfId="25731"/>
    <cellStyle name="Normal 3 2 2 4 18" xfId="27483"/>
    <cellStyle name="Normal 3 2 2 4 19" xfId="29236"/>
    <cellStyle name="Normal 3 2 2 4 2" xfId="1339"/>
    <cellStyle name="Normal 3 2 2 4 2 10" xfId="15653"/>
    <cellStyle name="Normal 3 2 2 4 2 11" xfId="17406"/>
    <cellStyle name="Normal 3 2 2 4 2 12" xfId="19158"/>
    <cellStyle name="Normal 3 2 2 4 2 13" xfId="20911"/>
    <cellStyle name="Normal 3 2 2 4 2 14" xfId="22663"/>
    <cellStyle name="Normal 3 2 2 4 2 15" xfId="24415"/>
    <cellStyle name="Normal 3 2 2 4 2 16" xfId="26167"/>
    <cellStyle name="Normal 3 2 2 4 2 17" xfId="27919"/>
    <cellStyle name="Normal 3 2 2 4 2 18" xfId="29672"/>
    <cellStyle name="Normal 3 2 2 4 2 19" xfId="31424"/>
    <cellStyle name="Normal 3 2 2 4 2 2" xfId="1340"/>
    <cellStyle name="Normal 3 2 2 4 2 2 10" xfId="18282"/>
    <cellStyle name="Normal 3 2 2 4 2 2 11" xfId="20034"/>
    <cellStyle name="Normal 3 2 2 4 2 2 12" xfId="21787"/>
    <cellStyle name="Normal 3 2 2 4 2 2 13" xfId="23539"/>
    <cellStyle name="Normal 3 2 2 4 2 2 14" xfId="25291"/>
    <cellStyle name="Normal 3 2 2 4 2 2 15" xfId="27043"/>
    <cellStyle name="Normal 3 2 2 4 2 2 16" xfId="28795"/>
    <cellStyle name="Normal 3 2 2 4 2 2 17" xfId="30548"/>
    <cellStyle name="Normal 3 2 2 4 2 2 18" xfId="32300"/>
    <cellStyle name="Normal 3 2 2 4 2 2 19" xfId="34053"/>
    <cellStyle name="Normal 3 2 2 4 2 2 2" xfId="4264"/>
    <cellStyle name="Normal 3 2 2 4 2 2 20" xfId="36689"/>
    <cellStyle name="Normal 3 2 2 4 2 2 21" xfId="38429"/>
    <cellStyle name="Normal 3 2 2 4 2 2 22" xfId="40182"/>
    <cellStyle name="Normal 3 2 2 4 2 2 23" xfId="41937"/>
    <cellStyle name="Normal 3 2 2 4 2 2 24" xfId="43689"/>
    <cellStyle name="Normal 3 2 2 4 2 2 25" xfId="46307"/>
    <cellStyle name="Normal 3 2 2 4 2 2 26" xfId="48059"/>
    <cellStyle name="Normal 3 2 2 4 2 2 27" xfId="49811"/>
    <cellStyle name="Normal 3 2 2 4 2 2 28" xfId="51563"/>
    <cellStyle name="Normal 3 2 2 4 2 2 29" xfId="53315"/>
    <cellStyle name="Normal 3 2 2 4 2 2 3" xfId="6016"/>
    <cellStyle name="Normal 3 2 2 4 2 2 30" xfId="55067"/>
    <cellStyle name="Normal 3 2 2 4 2 2 31" xfId="56819"/>
    <cellStyle name="Normal 3 2 2 4 2 2 32" xfId="58572"/>
    <cellStyle name="Normal 3 2 2 4 2 2 33" xfId="60324"/>
    <cellStyle name="Normal 3 2 2 4 2 2 34" xfId="62076"/>
    <cellStyle name="Normal 3 2 2 4 2 2 4" xfId="7768"/>
    <cellStyle name="Normal 3 2 2 4 2 2 5" xfId="9520"/>
    <cellStyle name="Normal 3 2 2 4 2 2 6" xfId="11273"/>
    <cellStyle name="Normal 3 2 2 4 2 2 7" xfId="13025"/>
    <cellStyle name="Normal 3 2 2 4 2 2 8" xfId="14777"/>
    <cellStyle name="Normal 3 2 2 4 2 2 9" xfId="16529"/>
    <cellStyle name="Normal 3 2 2 4 2 20" xfId="33177"/>
    <cellStyle name="Normal 3 2 2 4 2 21" xfId="34605"/>
    <cellStyle name="Normal 3 2 2 4 2 22" xfId="35813"/>
    <cellStyle name="Normal 3 2 2 4 2 23" xfId="37226"/>
    <cellStyle name="Normal 3 2 2 4 2 24" xfId="39306"/>
    <cellStyle name="Normal 3 2 2 4 2 25" xfId="41061"/>
    <cellStyle name="Normal 3 2 2 4 2 26" xfId="42813"/>
    <cellStyle name="Normal 3 2 2 4 2 27" xfId="44226"/>
    <cellStyle name="Normal 3 2 2 4 2 28" xfId="45431"/>
    <cellStyle name="Normal 3 2 2 4 2 29" xfId="47183"/>
    <cellStyle name="Normal 3 2 2 4 2 3" xfId="3388"/>
    <cellStyle name="Normal 3 2 2 4 2 30" xfId="48935"/>
    <cellStyle name="Normal 3 2 2 4 2 31" xfId="50687"/>
    <cellStyle name="Normal 3 2 2 4 2 32" xfId="52439"/>
    <cellStyle name="Normal 3 2 2 4 2 33" xfId="54191"/>
    <cellStyle name="Normal 3 2 2 4 2 34" xfId="55943"/>
    <cellStyle name="Normal 3 2 2 4 2 35" xfId="57696"/>
    <cellStyle name="Normal 3 2 2 4 2 36" xfId="59448"/>
    <cellStyle name="Normal 3 2 2 4 2 37" xfId="61200"/>
    <cellStyle name="Normal 3 2 2 4 2 38" xfId="62613"/>
    <cellStyle name="Normal 3 2 2 4 2 39" xfId="63479"/>
    <cellStyle name="Normal 3 2 2 4 2 4" xfId="5140"/>
    <cellStyle name="Normal 3 2 2 4 2 5" xfId="6892"/>
    <cellStyle name="Normal 3 2 2 4 2 6" xfId="8644"/>
    <cellStyle name="Normal 3 2 2 4 2 7" xfId="10397"/>
    <cellStyle name="Normal 3 2 2 4 2 8" xfId="12149"/>
    <cellStyle name="Normal 3 2 2 4 2 9" xfId="13901"/>
    <cellStyle name="Normal 3 2 2 4 20" xfId="30988"/>
    <cellStyle name="Normal 3 2 2 4 21" xfId="32741"/>
    <cellStyle name="Normal 3 2 2 4 22" xfId="34604"/>
    <cellStyle name="Normal 3 2 2 4 23" xfId="35377"/>
    <cellStyle name="Normal 3 2 2 4 24" xfId="37225"/>
    <cellStyle name="Normal 3 2 2 4 25" xfId="38870"/>
    <cellStyle name="Normal 3 2 2 4 26" xfId="40625"/>
    <cellStyle name="Normal 3 2 2 4 27" xfId="42377"/>
    <cellStyle name="Normal 3 2 2 4 28" xfId="44225"/>
    <cellStyle name="Normal 3 2 2 4 29" xfId="44995"/>
    <cellStyle name="Normal 3 2 2 4 3" xfId="1341"/>
    <cellStyle name="Normal 3 2 2 4 3 10" xfId="17846"/>
    <cellStyle name="Normal 3 2 2 4 3 11" xfId="19598"/>
    <cellStyle name="Normal 3 2 2 4 3 12" xfId="21351"/>
    <cellStyle name="Normal 3 2 2 4 3 13" xfId="23103"/>
    <cellStyle name="Normal 3 2 2 4 3 14" xfId="24855"/>
    <cellStyle name="Normal 3 2 2 4 3 15" xfId="26607"/>
    <cellStyle name="Normal 3 2 2 4 3 16" xfId="28359"/>
    <cellStyle name="Normal 3 2 2 4 3 17" xfId="30112"/>
    <cellStyle name="Normal 3 2 2 4 3 18" xfId="31864"/>
    <cellStyle name="Normal 3 2 2 4 3 19" xfId="33617"/>
    <cellStyle name="Normal 3 2 2 4 3 2" xfId="3828"/>
    <cellStyle name="Normal 3 2 2 4 3 20" xfId="36253"/>
    <cellStyle name="Normal 3 2 2 4 3 21" xfId="37993"/>
    <cellStyle name="Normal 3 2 2 4 3 22" xfId="39746"/>
    <cellStyle name="Normal 3 2 2 4 3 23" xfId="41501"/>
    <cellStyle name="Normal 3 2 2 4 3 24" xfId="43253"/>
    <cellStyle name="Normal 3 2 2 4 3 25" xfId="45871"/>
    <cellStyle name="Normal 3 2 2 4 3 26" xfId="47623"/>
    <cellStyle name="Normal 3 2 2 4 3 27" xfId="49375"/>
    <cellStyle name="Normal 3 2 2 4 3 28" xfId="51127"/>
    <cellStyle name="Normal 3 2 2 4 3 29" xfId="52879"/>
    <cellStyle name="Normal 3 2 2 4 3 3" xfId="5580"/>
    <cellStyle name="Normal 3 2 2 4 3 30" xfId="54631"/>
    <cellStyle name="Normal 3 2 2 4 3 31" xfId="56383"/>
    <cellStyle name="Normal 3 2 2 4 3 32" xfId="58136"/>
    <cellStyle name="Normal 3 2 2 4 3 33" xfId="59888"/>
    <cellStyle name="Normal 3 2 2 4 3 34" xfId="61640"/>
    <cellStyle name="Normal 3 2 2 4 3 4" xfId="7332"/>
    <cellStyle name="Normal 3 2 2 4 3 5" xfId="9084"/>
    <cellStyle name="Normal 3 2 2 4 3 6" xfId="10837"/>
    <cellStyle name="Normal 3 2 2 4 3 7" xfId="12589"/>
    <cellStyle name="Normal 3 2 2 4 3 8" xfId="14341"/>
    <cellStyle name="Normal 3 2 2 4 3 9" xfId="16093"/>
    <cellStyle name="Normal 3 2 2 4 30" xfId="46747"/>
    <cellStyle name="Normal 3 2 2 4 31" xfId="48499"/>
    <cellStyle name="Normal 3 2 2 4 32" xfId="50251"/>
    <cellStyle name="Normal 3 2 2 4 33" xfId="52003"/>
    <cellStyle name="Normal 3 2 2 4 34" xfId="53755"/>
    <cellStyle name="Normal 3 2 2 4 35" xfId="55507"/>
    <cellStyle name="Normal 3 2 2 4 36" xfId="57260"/>
    <cellStyle name="Normal 3 2 2 4 37" xfId="59012"/>
    <cellStyle name="Normal 3 2 2 4 38" xfId="60764"/>
    <cellStyle name="Normal 3 2 2 4 39" xfId="62612"/>
    <cellStyle name="Normal 3 2 2 4 4" xfId="2952"/>
    <cellStyle name="Normal 3 2 2 4 40" xfId="63478"/>
    <cellStyle name="Normal 3 2 2 4 5" xfId="4704"/>
    <cellStyle name="Normal 3 2 2 4 6" xfId="6456"/>
    <cellStyle name="Normal 3 2 2 4 7" xfId="8208"/>
    <cellStyle name="Normal 3 2 2 4 8" xfId="9961"/>
    <cellStyle name="Normal 3 2 2 4 9" xfId="11713"/>
    <cellStyle name="Normal 3 2 2 40" xfId="58694"/>
    <cellStyle name="Normal 3 2 2 41" xfId="60446"/>
    <cellStyle name="Normal 3 2 2 42" xfId="62599"/>
    <cellStyle name="Normal 3 2 2 43" xfId="63465"/>
    <cellStyle name="Normal 3 2 2 5" xfId="1342"/>
    <cellStyle name="Normal 3 2 2 5 10" xfId="15335"/>
    <cellStyle name="Normal 3 2 2 5 11" xfId="17088"/>
    <cellStyle name="Normal 3 2 2 5 12" xfId="18840"/>
    <cellStyle name="Normal 3 2 2 5 13" xfId="20593"/>
    <cellStyle name="Normal 3 2 2 5 14" xfId="22345"/>
    <cellStyle name="Normal 3 2 2 5 15" xfId="24097"/>
    <cellStyle name="Normal 3 2 2 5 16" xfId="25849"/>
    <cellStyle name="Normal 3 2 2 5 17" xfId="27601"/>
    <cellStyle name="Normal 3 2 2 5 18" xfId="29354"/>
    <cellStyle name="Normal 3 2 2 5 19" xfId="31106"/>
    <cellStyle name="Normal 3 2 2 5 2" xfId="1343"/>
    <cellStyle name="Normal 3 2 2 5 2 10" xfId="17964"/>
    <cellStyle name="Normal 3 2 2 5 2 11" xfId="19716"/>
    <cellStyle name="Normal 3 2 2 5 2 12" xfId="21469"/>
    <cellStyle name="Normal 3 2 2 5 2 13" xfId="23221"/>
    <cellStyle name="Normal 3 2 2 5 2 14" xfId="24973"/>
    <cellStyle name="Normal 3 2 2 5 2 15" xfId="26725"/>
    <cellStyle name="Normal 3 2 2 5 2 16" xfId="28477"/>
    <cellStyle name="Normal 3 2 2 5 2 17" xfId="30230"/>
    <cellStyle name="Normal 3 2 2 5 2 18" xfId="31982"/>
    <cellStyle name="Normal 3 2 2 5 2 19" xfId="33735"/>
    <cellStyle name="Normal 3 2 2 5 2 2" xfId="3946"/>
    <cellStyle name="Normal 3 2 2 5 2 20" xfId="36371"/>
    <cellStyle name="Normal 3 2 2 5 2 21" xfId="38111"/>
    <cellStyle name="Normal 3 2 2 5 2 22" xfId="39864"/>
    <cellStyle name="Normal 3 2 2 5 2 23" xfId="41619"/>
    <cellStyle name="Normal 3 2 2 5 2 24" xfId="43371"/>
    <cellStyle name="Normal 3 2 2 5 2 25" xfId="45989"/>
    <cellStyle name="Normal 3 2 2 5 2 26" xfId="47741"/>
    <cellStyle name="Normal 3 2 2 5 2 27" xfId="49493"/>
    <cellStyle name="Normal 3 2 2 5 2 28" xfId="51245"/>
    <cellStyle name="Normal 3 2 2 5 2 29" xfId="52997"/>
    <cellStyle name="Normal 3 2 2 5 2 3" xfId="5698"/>
    <cellStyle name="Normal 3 2 2 5 2 30" xfId="54749"/>
    <cellStyle name="Normal 3 2 2 5 2 31" xfId="56501"/>
    <cellStyle name="Normal 3 2 2 5 2 32" xfId="58254"/>
    <cellStyle name="Normal 3 2 2 5 2 33" xfId="60006"/>
    <cellStyle name="Normal 3 2 2 5 2 34" xfId="61758"/>
    <cellStyle name="Normal 3 2 2 5 2 4" xfId="7450"/>
    <cellStyle name="Normal 3 2 2 5 2 5" xfId="9202"/>
    <cellStyle name="Normal 3 2 2 5 2 6" xfId="10955"/>
    <cellStyle name="Normal 3 2 2 5 2 7" xfId="12707"/>
    <cellStyle name="Normal 3 2 2 5 2 8" xfId="14459"/>
    <cellStyle name="Normal 3 2 2 5 2 9" xfId="16211"/>
    <cellStyle name="Normal 3 2 2 5 20" xfId="32859"/>
    <cellStyle name="Normal 3 2 2 5 21" xfId="34606"/>
    <cellStyle name="Normal 3 2 2 5 22" xfId="35495"/>
    <cellStyle name="Normal 3 2 2 5 23" xfId="37227"/>
    <cellStyle name="Normal 3 2 2 5 24" xfId="38988"/>
    <cellStyle name="Normal 3 2 2 5 25" xfId="40743"/>
    <cellStyle name="Normal 3 2 2 5 26" xfId="42495"/>
    <cellStyle name="Normal 3 2 2 5 27" xfId="44227"/>
    <cellStyle name="Normal 3 2 2 5 28" xfId="45113"/>
    <cellStyle name="Normal 3 2 2 5 29" xfId="46865"/>
    <cellStyle name="Normal 3 2 2 5 3" xfId="3070"/>
    <cellStyle name="Normal 3 2 2 5 30" xfId="48617"/>
    <cellStyle name="Normal 3 2 2 5 31" xfId="50369"/>
    <cellStyle name="Normal 3 2 2 5 32" xfId="52121"/>
    <cellStyle name="Normal 3 2 2 5 33" xfId="53873"/>
    <cellStyle name="Normal 3 2 2 5 34" xfId="55625"/>
    <cellStyle name="Normal 3 2 2 5 35" xfId="57378"/>
    <cellStyle name="Normal 3 2 2 5 36" xfId="59130"/>
    <cellStyle name="Normal 3 2 2 5 37" xfId="60882"/>
    <cellStyle name="Normal 3 2 2 5 38" xfId="62614"/>
    <cellStyle name="Normal 3 2 2 5 39" xfId="63480"/>
    <cellStyle name="Normal 3 2 2 5 4" xfId="4822"/>
    <cellStyle name="Normal 3 2 2 5 5" xfId="6574"/>
    <cellStyle name="Normal 3 2 2 5 6" xfId="8326"/>
    <cellStyle name="Normal 3 2 2 5 7" xfId="10079"/>
    <cellStyle name="Normal 3 2 2 5 8" xfId="11831"/>
    <cellStyle name="Normal 3 2 2 5 9" xfId="13583"/>
    <cellStyle name="Normal 3 2 2 6" xfId="1344"/>
    <cellStyle name="Normal 3 2 2 6 10" xfId="17528"/>
    <cellStyle name="Normal 3 2 2 6 11" xfId="19280"/>
    <cellStyle name="Normal 3 2 2 6 12" xfId="21033"/>
    <cellStyle name="Normal 3 2 2 6 13" xfId="22785"/>
    <cellStyle name="Normal 3 2 2 6 14" xfId="24537"/>
    <cellStyle name="Normal 3 2 2 6 15" xfId="26289"/>
    <cellStyle name="Normal 3 2 2 6 16" xfId="28041"/>
    <cellStyle name="Normal 3 2 2 6 17" xfId="29794"/>
    <cellStyle name="Normal 3 2 2 6 18" xfId="31546"/>
    <cellStyle name="Normal 3 2 2 6 19" xfId="33299"/>
    <cellStyle name="Normal 3 2 2 6 2" xfId="3510"/>
    <cellStyle name="Normal 3 2 2 6 20" xfId="35935"/>
    <cellStyle name="Normal 3 2 2 6 21" xfId="37683"/>
    <cellStyle name="Normal 3 2 2 6 22" xfId="39428"/>
    <cellStyle name="Normal 3 2 2 6 23" xfId="41183"/>
    <cellStyle name="Normal 3 2 2 6 24" xfId="42935"/>
    <cellStyle name="Normal 3 2 2 6 25" xfId="45553"/>
    <cellStyle name="Normal 3 2 2 6 26" xfId="47305"/>
    <cellStyle name="Normal 3 2 2 6 27" xfId="49057"/>
    <cellStyle name="Normal 3 2 2 6 28" xfId="50809"/>
    <cellStyle name="Normal 3 2 2 6 29" xfId="52561"/>
    <cellStyle name="Normal 3 2 2 6 3" xfId="5262"/>
    <cellStyle name="Normal 3 2 2 6 30" xfId="54313"/>
    <cellStyle name="Normal 3 2 2 6 31" xfId="56065"/>
    <cellStyle name="Normal 3 2 2 6 32" xfId="57818"/>
    <cellStyle name="Normal 3 2 2 6 33" xfId="59570"/>
    <cellStyle name="Normal 3 2 2 6 34" xfId="61322"/>
    <cellStyle name="Normal 3 2 2 6 4" xfId="7014"/>
    <cellStyle name="Normal 3 2 2 6 5" xfId="8766"/>
    <cellStyle name="Normal 3 2 2 6 6" xfId="10519"/>
    <cellStyle name="Normal 3 2 2 6 7" xfId="12271"/>
    <cellStyle name="Normal 3 2 2 6 8" xfId="14023"/>
    <cellStyle name="Normal 3 2 2 6 9" xfId="15775"/>
    <cellStyle name="Normal 3 2 2 7" xfId="2459"/>
    <cellStyle name="Normal 3 2 2 8" xfId="4386"/>
    <cellStyle name="Normal 3 2 2 9" xfId="6138"/>
    <cellStyle name="Normal 3 2 20" xfId="20156"/>
    <cellStyle name="Normal 3 2 21" xfId="21908"/>
    <cellStyle name="Normal 3 2 22" xfId="23660"/>
    <cellStyle name="Normal 3 2 23" xfId="25412"/>
    <cellStyle name="Normal 3 2 24" xfId="27164"/>
    <cellStyle name="Normal 3 2 25" xfId="28917"/>
    <cellStyle name="Normal 3 2 26" xfId="30669"/>
    <cellStyle name="Normal 3 2 27" xfId="32422"/>
    <cellStyle name="Normal 3 2 28" xfId="35058"/>
    <cellStyle name="Normal 3 2 29" xfId="38550"/>
    <cellStyle name="Normal 3 2 3" xfId="1345"/>
    <cellStyle name="Normal 3 2 30" xfId="40306"/>
    <cellStyle name="Normal 3 2 31" xfId="42058"/>
    <cellStyle name="Normal 3 2 32" xfId="44676"/>
    <cellStyle name="Normal 3 2 33" xfId="46428"/>
    <cellStyle name="Normal 3 2 34" xfId="48180"/>
    <cellStyle name="Normal 3 2 35" xfId="49932"/>
    <cellStyle name="Normal 3 2 36" xfId="51684"/>
    <cellStyle name="Normal 3 2 37" xfId="53436"/>
    <cellStyle name="Normal 3 2 38" xfId="55188"/>
    <cellStyle name="Normal 3 2 39" xfId="56941"/>
    <cellStyle name="Normal 3 2 4" xfId="1346"/>
    <cellStyle name="Normal 3 2 40" xfId="58693"/>
    <cellStyle name="Normal 3 2 41" xfId="60445"/>
    <cellStyle name="Normal 3 2 5" xfId="1347"/>
    <cellStyle name="Normal 3 2 5 10" xfId="9697"/>
    <cellStyle name="Normal 3 2 5 11" xfId="11449"/>
    <cellStyle name="Normal 3 2 5 12" xfId="13201"/>
    <cellStyle name="Normal 3 2 5 13" xfId="14953"/>
    <cellStyle name="Normal 3 2 5 14" xfId="16706"/>
    <cellStyle name="Normal 3 2 5 15" xfId="18458"/>
    <cellStyle name="Normal 3 2 5 16" xfId="20211"/>
    <cellStyle name="Normal 3 2 5 17" xfId="21963"/>
    <cellStyle name="Normal 3 2 5 18" xfId="23715"/>
    <cellStyle name="Normal 3 2 5 19" xfId="25467"/>
    <cellStyle name="Normal 3 2 5 2" xfId="1348"/>
    <cellStyle name="Normal 3 2 5 2 10" xfId="11557"/>
    <cellStyle name="Normal 3 2 5 2 11" xfId="13309"/>
    <cellStyle name="Normal 3 2 5 2 12" xfId="15061"/>
    <cellStyle name="Normal 3 2 5 2 13" xfId="16814"/>
    <cellStyle name="Normal 3 2 5 2 14" xfId="18566"/>
    <cellStyle name="Normal 3 2 5 2 15" xfId="20319"/>
    <cellStyle name="Normal 3 2 5 2 16" xfId="22071"/>
    <cellStyle name="Normal 3 2 5 2 17" xfId="23823"/>
    <cellStyle name="Normal 3 2 5 2 18" xfId="25575"/>
    <cellStyle name="Normal 3 2 5 2 19" xfId="27327"/>
    <cellStyle name="Normal 3 2 5 2 2" xfId="1349"/>
    <cellStyle name="Normal 3 2 5 2 2 10" xfId="13466"/>
    <cellStyle name="Normal 3 2 5 2 2 11" xfId="15218"/>
    <cellStyle name="Normal 3 2 5 2 2 12" xfId="16971"/>
    <cellStyle name="Normal 3 2 5 2 2 13" xfId="18723"/>
    <cellStyle name="Normal 3 2 5 2 2 14" xfId="20476"/>
    <cellStyle name="Normal 3 2 5 2 2 15" xfId="22228"/>
    <cellStyle name="Normal 3 2 5 2 2 16" xfId="23980"/>
    <cellStyle name="Normal 3 2 5 2 2 17" xfId="25732"/>
    <cellStyle name="Normal 3 2 5 2 2 18" xfId="27484"/>
    <cellStyle name="Normal 3 2 5 2 2 19" xfId="29237"/>
    <cellStyle name="Normal 3 2 5 2 2 2" xfId="1350"/>
    <cellStyle name="Normal 3 2 5 2 2 2 10" xfId="15654"/>
    <cellStyle name="Normal 3 2 5 2 2 2 11" xfId="17407"/>
    <cellStyle name="Normal 3 2 5 2 2 2 12" xfId="19159"/>
    <cellStyle name="Normal 3 2 5 2 2 2 13" xfId="20912"/>
    <cellStyle name="Normal 3 2 5 2 2 2 14" xfId="22664"/>
    <cellStyle name="Normal 3 2 5 2 2 2 15" xfId="24416"/>
    <cellStyle name="Normal 3 2 5 2 2 2 16" xfId="26168"/>
    <cellStyle name="Normal 3 2 5 2 2 2 17" xfId="27920"/>
    <cellStyle name="Normal 3 2 5 2 2 2 18" xfId="29673"/>
    <cellStyle name="Normal 3 2 5 2 2 2 19" xfId="31425"/>
    <cellStyle name="Normal 3 2 5 2 2 2 2" xfId="1351"/>
    <cellStyle name="Normal 3 2 5 2 2 2 2 10" xfId="18283"/>
    <cellStyle name="Normal 3 2 5 2 2 2 2 11" xfId="20035"/>
    <cellStyle name="Normal 3 2 5 2 2 2 2 12" xfId="21788"/>
    <cellStyle name="Normal 3 2 5 2 2 2 2 13" xfId="23540"/>
    <cellStyle name="Normal 3 2 5 2 2 2 2 14" xfId="25292"/>
    <cellStyle name="Normal 3 2 5 2 2 2 2 15" xfId="27044"/>
    <cellStyle name="Normal 3 2 5 2 2 2 2 16" xfId="28796"/>
    <cellStyle name="Normal 3 2 5 2 2 2 2 17" xfId="30549"/>
    <cellStyle name="Normal 3 2 5 2 2 2 2 18" xfId="32301"/>
    <cellStyle name="Normal 3 2 5 2 2 2 2 19" xfId="34054"/>
    <cellStyle name="Normal 3 2 5 2 2 2 2 2" xfId="4265"/>
    <cellStyle name="Normal 3 2 5 2 2 2 2 20" xfId="36690"/>
    <cellStyle name="Normal 3 2 5 2 2 2 2 21" xfId="38430"/>
    <cellStyle name="Normal 3 2 5 2 2 2 2 22" xfId="40183"/>
    <cellStyle name="Normal 3 2 5 2 2 2 2 23" xfId="41938"/>
    <cellStyle name="Normal 3 2 5 2 2 2 2 24" xfId="43690"/>
    <cellStyle name="Normal 3 2 5 2 2 2 2 25" xfId="46308"/>
    <cellStyle name="Normal 3 2 5 2 2 2 2 26" xfId="48060"/>
    <cellStyle name="Normal 3 2 5 2 2 2 2 27" xfId="49812"/>
    <cellStyle name="Normal 3 2 5 2 2 2 2 28" xfId="51564"/>
    <cellStyle name="Normal 3 2 5 2 2 2 2 29" xfId="53316"/>
    <cellStyle name="Normal 3 2 5 2 2 2 2 3" xfId="6017"/>
    <cellStyle name="Normal 3 2 5 2 2 2 2 30" xfId="55068"/>
    <cellStyle name="Normal 3 2 5 2 2 2 2 31" xfId="56820"/>
    <cellStyle name="Normal 3 2 5 2 2 2 2 32" xfId="58573"/>
    <cellStyle name="Normal 3 2 5 2 2 2 2 33" xfId="60325"/>
    <cellStyle name="Normal 3 2 5 2 2 2 2 34" xfId="62077"/>
    <cellStyle name="Normal 3 2 5 2 2 2 2 4" xfId="7769"/>
    <cellStyle name="Normal 3 2 5 2 2 2 2 5" xfId="9521"/>
    <cellStyle name="Normal 3 2 5 2 2 2 2 6" xfId="11274"/>
    <cellStyle name="Normal 3 2 5 2 2 2 2 7" xfId="13026"/>
    <cellStyle name="Normal 3 2 5 2 2 2 2 8" xfId="14778"/>
    <cellStyle name="Normal 3 2 5 2 2 2 2 9" xfId="16530"/>
    <cellStyle name="Normal 3 2 5 2 2 2 20" xfId="33178"/>
    <cellStyle name="Normal 3 2 5 2 2 2 21" xfId="34610"/>
    <cellStyle name="Normal 3 2 5 2 2 2 22" xfId="35814"/>
    <cellStyle name="Normal 3 2 5 2 2 2 23" xfId="37231"/>
    <cellStyle name="Normal 3 2 5 2 2 2 24" xfId="39307"/>
    <cellStyle name="Normal 3 2 5 2 2 2 25" xfId="41062"/>
    <cellStyle name="Normal 3 2 5 2 2 2 26" xfId="42814"/>
    <cellStyle name="Normal 3 2 5 2 2 2 27" xfId="44231"/>
    <cellStyle name="Normal 3 2 5 2 2 2 28" xfId="45432"/>
    <cellStyle name="Normal 3 2 5 2 2 2 29" xfId="47184"/>
    <cellStyle name="Normal 3 2 5 2 2 2 3" xfId="3389"/>
    <cellStyle name="Normal 3 2 5 2 2 2 30" xfId="48936"/>
    <cellStyle name="Normal 3 2 5 2 2 2 31" xfId="50688"/>
    <cellStyle name="Normal 3 2 5 2 2 2 32" xfId="52440"/>
    <cellStyle name="Normal 3 2 5 2 2 2 33" xfId="54192"/>
    <cellStyle name="Normal 3 2 5 2 2 2 34" xfId="55944"/>
    <cellStyle name="Normal 3 2 5 2 2 2 35" xfId="57697"/>
    <cellStyle name="Normal 3 2 5 2 2 2 36" xfId="59449"/>
    <cellStyle name="Normal 3 2 5 2 2 2 37" xfId="61201"/>
    <cellStyle name="Normal 3 2 5 2 2 2 38" xfId="62618"/>
    <cellStyle name="Normal 3 2 5 2 2 2 39" xfId="63484"/>
    <cellStyle name="Normal 3 2 5 2 2 2 4" xfId="5141"/>
    <cellStyle name="Normal 3 2 5 2 2 2 5" xfId="6893"/>
    <cellStyle name="Normal 3 2 5 2 2 2 6" xfId="8645"/>
    <cellStyle name="Normal 3 2 5 2 2 2 7" xfId="10398"/>
    <cellStyle name="Normal 3 2 5 2 2 2 8" xfId="12150"/>
    <cellStyle name="Normal 3 2 5 2 2 2 9" xfId="13902"/>
    <cellStyle name="Normal 3 2 5 2 2 20" xfId="30989"/>
    <cellStyle name="Normal 3 2 5 2 2 21" xfId="32742"/>
    <cellStyle name="Normal 3 2 5 2 2 22" xfId="34609"/>
    <cellStyle name="Normal 3 2 5 2 2 23" xfId="35378"/>
    <cellStyle name="Normal 3 2 5 2 2 24" xfId="37230"/>
    <cellStyle name="Normal 3 2 5 2 2 25" xfId="38871"/>
    <cellStyle name="Normal 3 2 5 2 2 26" xfId="40626"/>
    <cellStyle name="Normal 3 2 5 2 2 27" xfId="42378"/>
    <cellStyle name="Normal 3 2 5 2 2 28" xfId="44230"/>
    <cellStyle name="Normal 3 2 5 2 2 29" xfId="44996"/>
    <cellStyle name="Normal 3 2 5 2 2 3" xfId="1352"/>
    <cellStyle name="Normal 3 2 5 2 2 3 10" xfId="17847"/>
    <cellStyle name="Normal 3 2 5 2 2 3 11" xfId="19599"/>
    <cellStyle name="Normal 3 2 5 2 2 3 12" xfId="21352"/>
    <cellStyle name="Normal 3 2 5 2 2 3 13" xfId="23104"/>
    <cellStyle name="Normal 3 2 5 2 2 3 14" xfId="24856"/>
    <cellStyle name="Normal 3 2 5 2 2 3 15" xfId="26608"/>
    <cellStyle name="Normal 3 2 5 2 2 3 16" xfId="28360"/>
    <cellStyle name="Normal 3 2 5 2 2 3 17" xfId="30113"/>
    <cellStyle name="Normal 3 2 5 2 2 3 18" xfId="31865"/>
    <cellStyle name="Normal 3 2 5 2 2 3 19" xfId="33618"/>
    <cellStyle name="Normal 3 2 5 2 2 3 2" xfId="3829"/>
    <cellStyle name="Normal 3 2 5 2 2 3 20" xfId="36254"/>
    <cellStyle name="Normal 3 2 5 2 2 3 21" xfId="37994"/>
    <cellStyle name="Normal 3 2 5 2 2 3 22" xfId="39747"/>
    <cellStyle name="Normal 3 2 5 2 2 3 23" xfId="41502"/>
    <cellStyle name="Normal 3 2 5 2 2 3 24" xfId="43254"/>
    <cellStyle name="Normal 3 2 5 2 2 3 25" xfId="45872"/>
    <cellStyle name="Normal 3 2 5 2 2 3 26" xfId="47624"/>
    <cellStyle name="Normal 3 2 5 2 2 3 27" xfId="49376"/>
    <cellStyle name="Normal 3 2 5 2 2 3 28" xfId="51128"/>
    <cellStyle name="Normal 3 2 5 2 2 3 29" xfId="52880"/>
    <cellStyle name="Normal 3 2 5 2 2 3 3" xfId="5581"/>
    <cellStyle name="Normal 3 2 5 2 2 3 30" xfId="54632"/>
    <cellStyle name="Normal 3 2 5 2 2 3 31" xfId="56384"/>
    <cellStyle name="Normal 3 2 5 2 2 3 32" xfId="58137"/>
    <cellStyle name="Normal 3 2 5 2 2 3 33" xfId="59889"/>
    <cellStyle name="Normal 3 2 5 2 2 3 34" xfId="61641"/>
    <cellStyle name="Normal 3 2 5 2 2 3 4" xfId="7333"/>
    <cellStyle name="Normal 3 2 5 2 2 3 5" xfId="9085"/>
    <cellStyle name="Normal 3 2 5 2 2 3 6" xfId="10838"/>
    <cellStyle name="Normal 3 2 5 2 2 3 7" xfId="12590"/>
    <cellStyle name="Normal 3 2 5 2 2 3 8" xfId="14342"/>
    <cellStyle name="Normal 3 2 5 2 2 3 9" xfId="16094"/>
    <cellStyle name="Normal 3 2 5 2 2 30" xfId="46748"/>
    <cellStyle name="Normal 3 2 5 2 2 31" xfId="48500"/>
    <cellStyle name="Normal 3 2 5 2 2 32" xfId="50252"/>
    <cellStyle name="Normal 3 2 5 2 2 33" xfId="52004"/>
    <cellStyle name="Normal 3 2 5 2 2 34" xfId="53756"/>
    <cellStyle name="Normal 3 2 5 2 2 35" xfId="55508"/>
    <cellStyle name="Normal 3 2 5 2 2 36" xfId="57261"/>
    <cellStyle name="Normal 3 2 5 2 2 37" xfId="59013"/>
    <cellStyle name="Normal 3 2 5 2 2 38" xfId="60765"/>
    <cellStyle name="Normal 3 2 5 2 2 39" xfId="62617"/>
    <cellStyle name="Normal 3 2 5 2 2 4" xfId="2953"/>
    <cellStyle name="Normal 3 2 5 2 2 40" xfId="63483"/>
    <cellStyle name="Normal 3 2 5 2 2 5" xfId="4705"/>
    <cellStyle name="Normal 3 2 5 2 2 6" xfId="6457"/>
    <cellStyle name="Normal 3 2 5 2 2 7" xfId="8209"/>
    <cellStyle name="Normal 3 2 5 2 2 8" xfId="9962"/>
    <cellStyle name="Normal 3 2 5 2 2 9" xfId="11714"/>
    <cellStyle name="Normal 3 2 5 2 20" xfId="29080"/>
    <cellStyle name="Normal 3 2 5 2 21" xfId="30832"/>
    <cellStyle name="Normal 3 2 5 2 22" xfId="32585"/>
    <cellStyle name="Normal 3 2 5 2 23" xfId="34608"/>
    <cellStyle name="Normal 3 2 5 2 24" xfId="35221"/>
    <cellStyle name="Normal 3 2 5 2 25" xfId="37229"/>
    <cellStyle name="Normal 3 2 5 2 26" xfId="38714"/>
    <cellStyle name="Normal 3 2 5 2 27" xfId="40469"/>
    <cellStyle name="Normal 3 2 5 2 28" xfId="42221"/>
    <cellStyle name="Normal 3 2 5 2 29" xfId="44229"/>
    <cellStyle name="Normal 3 2 5 2 3" xfId="1353"/>
    <cellStyle name="Normal 3 2 5 2 3 10" xfId="15497"/>
    <cellStyle name="Normal 3 2 5 2 3 11" xfId="17250"/>
    <cellStyle name="Normal 3 2 5 2 3 12" xfId="19002"/>
    <cellStyle name="Normal 3 2 5 2 3 13" xfId="20755"/>
    <cellStyle name="Normal 3 2 5 2 3 14" xfId="22507"/>
    <cellStyle name="Normal 3 2 5 2 3 15" xfId="24259"/>
    <cellStyle name="Normal 3 2 5 2 3 16" xfId="26011"/>
    <cellStyle name="Normal 3 2 5 2 3 17" xfId="27763"/>
    <cellStyle name="Normal 3 2 5 2 3 18" xfId="29516"/>
    <cellStyle name="Normal 3 2 5 2 3 19" xfId="31268"/>
    <cellStyle name="Normal 3 2 5 2 3 2" xfId="1354"/>
    <cellStyle name="Normal 3 2 5 2 3 2 10" xfId="18126"/>
    <cellStyle name="Normal 3 2 5 2 3 2 11" xfId="19878"/>
    <cellStyle name="Normal 3 2 5 2 3 2 12" xfId="21631"/>
    <cellStyle name="Normal 3 2 5 2 3 2 13" xfId="23383"/>
    <cellStyle name="Normal 3 2 5 2 3 2 14" xfId="25135"/>
    <cellStyle name="Normal 3 2 5 2 3 2 15" xfId="26887"/>
    <cellStyle name="Normal 3 2 5 2 3 2 16" xfId="28639"/>
    <cellStyle name="Normal 3 2 5 2 3 2 17" xfId="30392"/>
    <cellStyle name="Normal 3 2 5 2 3 2 18" xfId="32144"/>
    <cellStyle name="Normal 3 2 5 2 3 2 19" xfId="33897"/>
    <cellStyle name="Normal 3 2 5 2 3 2 2" xfId="4108"/>
    <cellStyle name="Normal 3 2 5 2 3 2 20" xfId="36533"/>
    <cellStyle name="Normal 3 2 5 2 3 2 21" xfId="38273"/>
    <cellStyle name="Normal 3 2 5 2 3 2 22" xfId="40026"/>
    <cellStyle name="Normal 3 2 5 2 3 2 23" xfId="41781"/>
    <cellStyle name="Normal 3 2 5 2 3 2 24" xfId="43533"/>
    <cellStyle name="Normal 3 2 5 2 3 2 25" xfId="46151"/>
    <cellStyle name="Normal 3 2 5 2 3 2 26" xfId="47903"/>
    <cellStyle name="Normal 3 2 5 2 3 2 27" xfId="49655"/>
    <cellStyle name="Normal 3 2 5 2 3 2 28" xfId="51407"/>
    <cellStyle name="Normal 3 2 5 2 3 2 29" xfId="53159"/>
    <cellStyle name="Normal 3 2 5 2 3 2 3" xfId="5860"/>
    <cellStyle name="Normal 3 2 5 2 3 2 30" xfId="54911"/>
    <cellStyle name="Normal 3 2 5 2 3 2 31" xfId="56663"/>
    <cellStyle name="Normal 3 2 5 2 3 2 32" xfId="58416"/>
    <cellStyle name="Normal 3 2 5 2 3 2 33" xfId="60168"/>
    <cellStyle name="Normal 3 2 5 2 3 2 34" xfId="61920"/>
    <cellStyle name="Normal 3 2 5 2 3 2 4" xfId="7612"/>
    <cellStyle name="Normal 3 2 5 2 3 2 5" xfId="9364"/>
    <cellStyle name="Normal 3 2 5 2 3 2 6" xfId="11117"/>
    <cellStyle name="Normal 3 2 5 2 3 2 7" xfId="12869"/>
    <cellStyle name="Normal 3 2 5 2 3 2 8" xfId="14621"/>
    <cellStyle name="Normal 3 2 5 2 3 2 9" xfId="16373"/>
    <cellStyle name="Normal 3 2 5 2 3 20" xfId="33021"/>
    <cellStyle name="Normal 3 2 5 2 3 21" xfId="34611"/>
    <cellStyle name="Normal 3 2 5 2 3 22" xfId="35657"/>
    <cellStyle name="Normal 3 2 5 2 3 23" xfId="37232"/>
    <cellStyle name="Normal 3 2 5 2 3 24" xfId="39150"/>
    <cellStyle name="Normal 3 2 5 2 3 25" xfId="40905"/>
    <cellStyle name="Normal 3 2 5 2 3 26" xfId="42657"/>
    <cellStyle name="Normal 3 2 5 2 3 27" xfId="44232"/>
    <cellStyle name="Normal 3 2 5 2 3 28" xfId="45275"/>
    <cellStyle name="Normal 3 2 5 2 3 29" xfId="47027"/>
    <cellStyle name="Normal 3 2 5 2 3 3" xfId="3232"/>
    <cellStyle name="Normal 3 2 5 2 3 30" xfId="48779"/>
    <cellStyle name="Normal 3 2 5 2 3 31" xfId="50531"/>
    <cellStyle name="Normal 3 2 5 2 3 32" xfId="52283"/>
    <cellStyle name="Normal 3 2 5 2 3 33" xfId="54035"/>
    <cellStyle name="Normal 3 2 5 2 3 34" xfId="55787"/>
    <cellStyle name="Normal 3 2 5 2 3 35" xfId="57540"/>
    <cellStyle name="Normal 3 2 5 2 3 36" xfId="59292"/>
    <cellStyle name="Normal 3 2 5 2 3 37" xfId="61044"/>
    <cellStyle name="Normal 3 2 5 2 3 38" xfId="62619"/>
    <cellStyle name="Normal 3 2 5 2 3 39" xfId="63485"/>
    <cellStyle name="Normal 3 2 5 2 3 4" xfId="4984"/>
    <cellStyle name="Normal 3 2 5 2 3 5" xfId="6736"/>
    <cellStyle name="Normal 3 2 5 2 3 6" xfId="8488"/>
    <cellStyle name="Normal 3 2 5 2 3 7" xfId="10241"/>
    <cellStyle name="Normal 3 2 5 2 3 8" xfId="11993"/>
    <cellStyle name="Normal 3 2 5 2 3 9" xfId="13745"/>
    <cellStyle name="Normal 3 2 5 2 30" xfId="44839"/>
    <cellStyle name="Normal 3 2 5 2 31" xfId="46591"/>
    <cellStyle name="Normal 3 2 5 2 32" xfId="48343"/>
    <cellStyle name="Normal 3 2 5 2 33" xfId="50095"/>
    <cellStyle name="Normal 3 2 5 2 34" xfId="51847"/>
    <cellStyle name="Normal 3 2 5 2 35" xfId="53599"/>
    <cellStyle name="Normal 3 2 5 2 36" xfId="55351"/>
    <cellStyle name="Normal 3 2 5 2 37" xfId="57104"/>
    <cellStyle name="Normal 3 2 5 2 38" xfId="58856"/>
    <cellStyle name="Normal 3 2 5 2 39" xfId="60608"/>
    <cellStyle name="Normal 3 2 5 2 4" xfId="1355"/>
    <cellStyle name="Normal 3 2 5 2 4 10" xfId="17690"/>
    <cellStyle name="Normal 3 2 5 2 4 11" xfId="19442"/>
    <cellStyle name="Normal 3 2 5 2 4 12" xfId="21195"/>
    <cellStyle name="Normal 3 2 5 2 4 13" xfId="22947"/>
    <cellStyle name="Normal 3 2 5 2 4 14" xfId="24699"/>
    <cellStyle name="Normal 3 2 5 2 4 15" xfId="26451"/>
    <cellStyle name="Normal 3 2 5 2 4 16" xfId="28203"/>
    <cellStyle name="Normal 3 2 5 2 4 17" xfId="29956"/>
    <cellStyle name="Normal 3 2 5 2 4 18" xfId="31708"/>
    <cellStyle name="Normal 3 2 5 2 4 19" xfId="33461"/>
    <cellStyle name="Normal 3 2 5 2 4 2" xfId="3672"/>
    <cellStyle name="Normal 3 2 5 2 4 20" xfId="36097"/>
    <cellStyle name="Normal 3 2 5 2 4 21" xfId="37837"/>
    <cellStyle name="Normal 3 2 5 2 4 22" xfId="39590"/>
    <cellStyle name="Normal 3 2 5 2 4 23" xfId="41345"/>
    <cellStyle name="Normal 3 2 5 2 4 24" xfId="43097"/>
    <cellStyle name="Normal 3 2 5 2 4 25" xfId="45715"/>
    <cellStyle name="Normal 3 2 5 2 4 26" xfId="47467"/>
    <cellStyle name="Normal 3 2 5 2 4 27" xfId="49219"/>
    <cellStyle name="Normal 3 2 5 2 4 28" xfId="50971"/>
    <cellStyle name="Normal 3 2 5 2 4 29" xfId="52723"/>
    <cellStyle name="Normal 3 2 5 2 4 3" xfId="5424"/>
    <cellStyle name="Normal 3 2 5 2 4 30" xfId="54475"/>
    <cellStyle name="Normal 3 2 5 2 4 31" xfId="56227"/>
    <cellStyle name="Normal 3 2 5 2 4 32" xfId="57980"/>
    <cellStyle name="Normal 3 2 5 2 4 33" xfId="59732"/>
    <cellStyle name="Normal 3 2 5 2 4 34" xfId="61484"/>
    <cellStyle name="Normal 3 2 5 2 4 4" xfId="7176"/>
    <cellStyle name="Normal 3 2 5 2 4 5" xfId="8928"/>
    <cellStyle name="Normal 3 2 5 2 4 6" xfId="10681"/>
    <cellStyle name="Normal 3 2 5 2 4 7" xfId="12433"/>
    <cellStyle name="Normal 3 2 5 2 4 8" xfId="14185"/>
    <cellStyle name="Normal 3 2 5 2 4 9" xfId="15937"/>
    <cellStyle name="Normal 3 2 5 2 40" xfId="62616"/>
    <cellStyle name="Normal 3 2 5 2 41" xfId="63482"/>
    <cellStyle name="Normal 3 2 5 2 5" xfId="2796"/>
    <cellStyle name="Normal 3 2 5 2 6" xfId="4548"/>
    <cellStyle name="Normal 3 2 5 2 7" xfId="6300"/>
    <cellStyle name="Normal 3 2 5 2 8" xfId="8052"/>
    <cellStyle name="Normal 3 2 5 2 9" xfId="9805"/>
    <cellStyle name="Normal 3 2 5 20" xfId="27219"/>
    <cellStyle name="Normal 3 2 5 21" xfId="28972"/>
    <cellStyle name="Normal 3 2 5 22" xfId="30724"/>
    <cellStyle name="Normal 3 2 5 23" xfId="32477"/>
    <cellStyle name="Normal 3 2 5 24" xfId="34607"/>
    <cellStyle name="Normal 3 2 5 25" xfId="35113"/>
    <cellStyle name="Normal 3 2 5 26" xfId="37228"/>
    <cellStyle name="Normal 3 2 5 27" xfId="38606"/>
    <cellStyle name="Normal 3 2 5 28" xfId="40361"/>
    <cellStyle name="Normal 3 2 5 29" xfId="42113"/>
    <cellStyle name="Normal 3 2 5 3" xfId="1356"/>
    <cellStyle name="Normal 3 2 5 3 10" xfId="13467"/>
    <cellStyle name="Normal 3 2 5 3 11" xfId="15219"/>
    <cellStyle name="Normal 3 2 5 3 12" xfId="16972"/>
    <cellStyle name="Normal 3 2 5 3 13" xfId="18724"/>
    <cellStyle name="Normal 3 2 5 3 14" xfId="20477"/>
    <cellStyle name="Normal 3 2 5 3 15" xfId="22229"/>
    <cellStyle name="Normal 3 2 5 3 16" xfId="23981"/>
    <cellStyle name="Normal 3 2 5 3 17" xfId="25733"/>
    <cellStyle name="Normal 3 2 5 3 18" xfId="27485"/>
    <cellStyle name="Normal 3 2 5 3 19" xfId="29238"/>
    <cellStyle name="Normal 3 2 5 3 2" xfId="1357"/>
    <cellStyle name="Normal 3 2 5 3 2 10" xfId="15655"/>
    <cellStyle name="Normal 3 2 5 3 2 11" xfId="17408"/>
    <cellStyle name="Normal 3 2 5 3 2 12" xfId="19160"/>
    <cellStyle name="Normal 3 2 5 3 2 13" xfId="20913"/>
    <cellStyle name="Normal 3 2 5 3 2 14" xfId="22665"/>
    <cellStyle name="Normal 3 2 5 3 2 15" xfId="24417"/>
    <cellStyle name="Normal 3 2 5 3 2 16" xfId="26169"/>
    <cellStyle name="Normal 3 2 5 3 2 17" xfId="27921"/>
    <cellStyle name="Normal 3 2 5 3 2 18" xfId="29674"/>
    <cellStyle name="Normal 3 2 5 3 2 19" xfId="31426"/>
    <cellStyle name="Normal 3 2 5 3 2 2" xfId="1358"/>
    <cellStyle name="Normal 3 2 5 3 2 2 10" xfId="18284"/>
    <cellStyle name="Normal 3 2 5 3 2 2 11" xfId="20036"/>
    <cellStyle name="Normal 3 2 5 3 2 2 12" xfId="21789"/>
    <cellStyle name="Normal 3 2 5 3 2 2 13" xfId="23541"/>
    <cellStyle name="Normal 3 2 5 3 2 2 14" xfId="25293"/>
    <cellStyle name="Normal 3 2 5 3 2 2 15" xfId="27045"/>
    <cellStyle name="Normal 3 2 5 3 2 2 16" xfId="28797"/>
    <cellStyle name="Normal 3 2 5 3 2 2 17" xfId="30550"/>
    <cellStyle name="Normal 3 2 5 3 2 2 18" xfId="32302"/>
    <cellStyle name="Normal 3 2 5 3 2 2 19" xfId="34055"/>
    <cellStyle name="Normal 3 2 5 3 2 2 2" xfId="4266"/>
    <cellStyle name="Normal 3 2 5 3 2 2 20" xfId="36691"/>
    <cellStyle name="Normal 3 2 5 3 2 2 21" xfId="38431"/>
    <cellStyle name="Normal 3 2 5 3 2 2 22" xfId="40184"/>
    <cellStyle name="Normal 3 2 5 3 2 2 23" xfId="41939"/>
    <cellStyle name="Normal 3 2 5 3 2 2 24" xfId="43691"/>
    <cellStyle name="Normal 3 2 5 3 2 2 25" xfId="46309"/>
    <cellStyle name="Normal 3 2 5 3 2 2 26" xfId="48061"/>
    <cellStyle name="Normal 3 2 5 3 2 2 27" xfId="49813"/>
    <cellStyle name="Normal 3 2 5 3 2 2 28" xfId="51565"/>
    <cellStyle name="Normal 3 2 5 3 2 2 29" xfId="53317"/>
    <cellStyle name="Normal 3 2 5 3 2 2 3" xfId="6018"/>
    <cellStyle name="Normal 3 2 5 3 2 2 30" xfId="55069"/>
    <cellStyle name="Normal 3 2 5 3 2 2 31" xfId="56821"/>
    <cellStyle name="Normal 3 2 5 3 2 2 32" xfId="58574"/>
    <cellStyle name="Normal 3 2 5 3 2 2 33" xfId="60326"/>
    <cellStyle name="Normal 3 2 5 3 2 2 34" xfId="62078"/>
    <cellStyle name="Normal 3 2 5 3 2 2 4" xfId="7770"/>
    <cellStyle name="Normal 3 2 5 3 2 2 5" xfId="9522"/>
    <cellStyle name="Normal 3 2 5 3 2 2 6" xfId="11275"/>
    <cellStyle name="Normal 3 2 5 3 2 2 7" xfId="13027"/>
    <cellStyle name="Normal 3 2 5 3 2 2 8" xfId="14779"/>
    <cellStyle name="Normal 3 2 5 3 2 2 9" xfId="16531"/>
    <cellStyle name="Normal 3 2 5 3 2 20" xfId="33179"/>
    <cellStyle name="Normal 3 2 5 3 2 21" xfId="34613"/>
    <cellStyle name="Normal 3 2 5 3 2 22" xfId="35815"/>
    <cellStyle name="Normal 3 2 5 3 2 23" xfId="37234"/>
    <cellStyle name="Normal 3 2 5 3 2 24" xfId="39308"/>
    <cellStyle name="Normal 3 2 5 3 2 25" xfId="41063"/>
    <cellStyle name="Normal 3 2 5 3 2 26" xfId="42815"/>
    <cellStyle name="Normal 3 2 5 3 2 27" xfId="44234"/>
    <cellStyle name="Normal 3 2 5 3 2 28" xfId="45433"/>
    <cellStyle name="Normal 3 2 5 3 2 29" xfId="47185"/>
    <cellStyle name="Normal 3 2 5 3 2 3" xfId="3390"/>
    <cellStyle name="Normal 3 2 5 3 2 30" xfId="48937"/>
    <cellStyle name="Normal 3 2 5 3 2 31" xfId="50689"/>
    <cellStyle name="Normal 3 2 5 3 2 32" xfId="52441"/>
    <cellStyle name="Normal 3 2 5 3 2 33" xfId="54193"/>
    <cellStyle name="Normal 3 2 5 3 2 34" xfId="55945"/>
    <cellStyle name="Normal 3 2 5 3 2 35" xfId="57698"/>
    <cellStyle name="Normal 3 2 5 3 2 36" xfId="59450"/>
    <cellStyle name="Normal 3 2 5 3 2 37" xfId="61202"/>
    <cellStyle name="Normal 3 2 5 3 2 38" xfId="62621"/>
    <cellStyle name="Normal 3 2 5 3 2 39" xfId="63487"/>
    <cellStyle name="Normal 3 2 5 3 2 4" xfId="5142"/>
    <cellStyle name="Normal 3 2 5 3 2 5" xfId="6894"/>
    <cellStyle name="Normal 3 2 5 3 2 6" xfId="8646"/>
    <cellStyle name="Normal 3 2 5 3 2 7" xfId="10399"/>
    <cellStyle name="Normal 3 2 5 3 2 8" xfId="12151"/>
    <cellStyle name="Normal 3 2 5 3 2 9" xfId="13903"/>
    <cellStyle name="Normal 3 2 5 3 20" xfId="30990"/>
    <cellStyle name="Normal 3 2 5 3 21" xfId="32743"/>
    <cellStyle name="Normal 3 2 5 3 22" xfId="34612"/>
    <cellStyle name="Normal 3 2 5 3 23" xfId="35379"/>
    <cellStyle name="Normal 3 2 5 3 24" xfId="37233"/>
    <cellStyle name="Normal 3 2 5 3 25" xfId="38872"/>
    <cellStyle name="Normal 3 2 5 3 26" xfId="40627"/>
    <cellStyle name="Normal 3 2 5 3 27" xfId="42379"/>
    <cellStyle name="Normal 3 2 5 3 28" xfId="44233"/>
    <cellStyle name="Normal 3 2 5 3 29" xfId="44997"/>
    <cellStyle name="Normal 3 2 5 3 3" xfId="1359"/>
    <cellStyle name="Normal 3 2 5 3 3 10" xfId="17848"/>
    <cellStyle name="Normal 3 2 5 3 3 11" xfId="19600"/>
    <cellStyle name="Normal 3 2 5 3 3 12" xfId="21353"/>
    <cellStyle name="Normal 3 2 5 3 3 13" xfId="23105"/>
    <cellStyle name="Normal 3 2 5 3 3 14" xfId="24857"/>
    <cellStyle name="Normal 3 2 5 3 3 15" xfId="26609"/>
    <cellStyle name="Normal 3 2 5 3 3 16" xfId="28361"/>
    <cellStyle name="Normal 3 2 5 3 3 17" xfId="30114"/>
    <cellStyle name="Normal 3 2 5 3 3 18" xfId="31866"/>
    <cellStyle name="Normal 3 2 5 3 3 19" xfId="33619"/>
    <cellStyle name="Normal 3 2 5 3 3 2" xfId="3830"/>
    <cellStyle name="Normal 3 2 5 3 3 20" xfId="36255"/>
    <cellStyle name="Normal 3 2 5 3 3 21" xfId="37995"/>
    <cellStyle name="Normal 3 2 5 3 3 22" xfId="39748"/>
    <cellStyle name="Normal 3 2 5 3 3 23" xfId="41503"/>
    <cellStyle name="Normal 3 2 5 3 3 24" xfId="43255"/>
    <cellStyle name="Normal 3 2 5 3 3 25" xfId="45873"/>
    <cellStyle name="Normal 3 2 5 3 3 26" xfId="47625"/>
    <cellStyle name="Normal 3 2 5 3 3 27" xfId="49377"/>
    <cellStyle name="Normal 3 2 5 3 3 28" xfId="51129"/>
    <cellStyle name="Normal 3 2 5 3 3 29" xfId="52881"/>
    <cellStyle name="Normal 3 2 5 3 3 3" xfId="5582"/>
    <cellStyle name="Normal 3 2 5 3 3 30" xfId="54633"/>
    <cellStyle name="Normal 3 2 5 3 3 31" xfId="56385"/>
    <cellStyle name="Normal 3 2 5 3 3 32" xfId="58138"/>
    <cellStyle name="Normal 3 2 5 3 3 33" xfId="59890"/>
    <cellStyle name="Normal 3 2 5 3 3 34" xfId="61642"/>
    <cellStyle name="Normal 3 2 5 3 3 4" xfId="7334"/>
    <cellStyle name="Normal 3 2 5 3 3 5" xfId="9086"/>
    <cellStyle name="Normal 3 2 5 3 3 6" xfId="10839"/>
    <cellStyle name="Normal 3 2 5 3 3 7" xfId="12591"/>
    <cellStyle name="Normal 3 2 5 3 3 8" xfId="14343"/>
    <cellStyle name="Normal 3 2 5 3 3 9" xfId="16095"/>
    <cellStyle name="Normal 3 2 5 3 30" xfId="46749"/>
    <cellStyle name="Normal 3 2 5 3 31" xfId="48501"/>
    <cellStyle name="Normal 3 2 5 3 32" xfId="50253"/>
    <cellStyle name="Normal 3 2 5 3 33" xfId="52005"/>
    <cellStyle name="Normal 3 2 5 3 34" xfId="53757"/>
    <cellStyle name="Normal 3 2 5 3 35" xfId="55509"/>
    <cellStyle name="Normal 3 2 5 3 36" xfId="57262"/>
    <cellStyle name="Normal 3 2 5 3 37" xfId="59014"/>
    <cellStyle name="Normal 3 2 5 3 38" xfId="60766"/>
    <cellStyle name="Normal 3 2 5 3 39" xfId="62620"/>
    <cellStyle name="Normal 3 2 5 3 4" xfId="2954"/>
    <cellStyle name="Normal 3 2 5 3 40" xfId="63486"/>
    <cellStyle name="Normal 3 2 5 3 5" xfId="4706"/>
    <cellStyle name="Normal 3 2 5 3 6" xfId="6458"/>
    <cellStyle name="Normal 3 2 5 3 7" xfId="8210"/>
    <cellStyle name="Normal 3 2 5 3 8" xfId="9963"/>
    <cellStyle name="Normal 3 2 5 3 9" xfId="11715"/>
    <cellStyle name="Normal 3 2 5 30" xfId="44228"/>
    <cellStyle name="Normal 3 2 5 31" xfId="44731"/>
    <cellStyle name="Normal 3 2 5 32" xfId="46483"/>
    <cellStyle name="Normal 3 2 5 33" xfId="48235"/>
    <cellStyle name="Normal 3 2 5 34" xfId="49987"/>
    <cellStyle name="Normal 3 2 5 35" xfId="51739"/>
    <cellStyle name="Normal 3 2 5 36" xfId="53491"/>
    <cellStyle name="Normal 3 2 5 37" xfId="55243"/>
    <cellStyle name="Normal 3 2 5 38" xfId="56996"/>
    <cellStyle name="Normal 3 2 5 39" xfId="58748"/>
    <cellStyle name="Normal 3 2 5 4" xfId="1360"/>
    <cellStyle name="Normal 3 2 5 4 10" xfId="15389"/>
    <cellStyle name="Normal 3 2 5 4 11" xfId="17142"/>
    <cellStyle name="Normal 3 2 5 4 12" xfId="18894"/>
    <cellStyle name="Normal 3 2 5 4 13" xfId="20647"/>
    <cellStyle name="Normal 3 2 5 4 14" xfId="22399"/>
    <cellStyle name="Normal 3 2 5 4 15" xfId="24151"/>
    <cellStyle name="Normal 3 2 5 4 16" xfId="25903"/>
    <cellStyle name="Normal 3 2 5 4 17" xfId="27655"/>
    <cellStyle name="Normal 3 2 5 4 18" xfId="29408"/>
    <cellStyle name="Normal 3 2 5 4 19" xfId="31160"/>
    <cellStyle name="Normal 3 2 5 4 2" xfId="1361"/>
    <cellStyle name="Normal 3 2 5 4 2 10" xfId="18018"/>
    <cellStyle name="Normal 3 2 5 4 2 11" xfId="19770"/>
    <cellStyle name="Normal 3 2 5 4 2 12" xfId="21523"/>
    <cellStyle name="Normal 3 2 5 4 2 13" xfId="23275"/>
    <cellStyle name="Normal 3 2 5 4 2 14" xfId="25027"/>
    <cellStyle name="Normal 3 2 5 4 2 15" xfId="26779"/>
    <cellStyle name="Normal 3 2 5 4 2 16" xfId="28531"/>
    <cellStyle name="Normal 3 2 5 4 2 17" xfId="30284"/>
    <cellStyle name="Normal 3 2 5 4 2 18" xfId="32036"/>
    <cellStyle name="Normal 3 2 5 4 2 19" xfId="33789"/>
    <cellStyle name="Normal 3 2 5 4 2 2" xfId="4000"/>
    <cellStyle name="Normal 3 2 5 4 2 20" xfId="36425"/>
    <cellStyle name="Normal 3 2 5 4 2 21" xfId="38165"/>
    <cellStyle name="Normal 3 2 5 4 2 22" xfId="39918"/>
    <cellStyle name="Normal 3 2 5 4 2 23" xfId="41673"/>
    <cellStyle name="Normal 3 2 5 4 2 24" xfId="43425"/>
    <cellStyle name="Normal 3 2 5 4 2 25" xfId="46043"/>
    <cellStyle name="Normal 3 2 5 4 2 26" xfId="47795"/>
    <cellStyle name="Normal 3 2 5 4 2 27" xfId="49547"/>
    <cellStyle name="Normal 3 2 5 4 2 28" xfId="51299"/>
    <cellStyle name="Normal 3 2 5 4 2 29" xfId="53051"/>
    <cellStyle name="Normal 3 2 5 4 2 3" xfId="5752"/>
    <cellStyle name="Normal 3 2 5 4 2 30" xfId="54803"/>
    <cellStyle name="Normal 3 2 5 4 2 31" xfId="56555"/>
    <cellStyle name="Normal 3 2 5 4 2 32" xfId="58308"/>
    <cellStyle name="Normal 3 2 5 4 2 33" xfId="60060"/>
    <cellStyle name="Normal 3 2 5 4 2 34" xfId="61812"/>
    <cellStyle name="Normal 3 2 5 4 2 4" xfId="7504"/>
    <cellStyle name="Normal 3 2 5 4 2 5" xfId="9256"/>
    <cellStyle name="Normal 3 2 5 4 2 6" xfId="11009"/>
    <cellStyle name="Normal 3 2 5 4 2 7" xfId="12761"/>
    <cellStyle name="Normal 3 2 5 4 2 8" xfId="14513"/>
    <cellStyle name="Normal 3 2 5 4 2 9" xfId="16265"/>
    <cellStyle name="Normal 3 2 5 4 20" xfId="32913"/>
    <cellStyle name="Normal 3 2 5 4 21" xfId="34614"/>
    <cellStyle name="Normal 3 2 5 4 22" xfId="35549"/>
    <cellStyle name="Normal 3 2 5 4 23" xfId="37235"/>
    <cellStyle name="Normal 3 2 5 4 24" xfId="39042"/>
    <cellStyle name="Normal 3 2 5 4 25" xfId="40797"/>
    <cellStyle name="Normal 3 2 5 4 26" xfId="42549"/>
    <cellStyle name="Normal 3 2 5 4 27" xfId="44235"/>
    <cellStyle name="Normal 3 2 5 4 28" xfId="45167"/>
    <cellStyle name="Normal 3 2 5 4 29" xfId="46919"/>
    <cellStyle name="Normal 3 2 5 4 3" xfId="3124"/>
    <cellStyle name="Normal 3 2 5 4 30" xfId="48671"/>
    <cellStyle name="Normal 3 2 5 4 31" xfId="50423"/>
    <cellStyle name="Normal 3 2 5 4 32" xfId="52175"/>
    <cellStyle name="Normal 3 2 5 4 33" xfId="53927"/>
    <cellStyle name="Normal 3 2 5 4 34" xfId="55679"/>
    <cellStyle name="Normal 3 2 5 4 35" xfId="57432"/>
    <cellStyle name="Normal 3 2 5 4 36" xfId="59184"/>
    <cellStyle name="Normal 3 2 5 4 37" xfId="60936"/>
    <cellStyle name="Normal 3 2 5 4 38" xfId="62622"/>
    <cellStyle name="Normal 3 2 5 4 39" xfId="63488"/>
    <cellStyle name="Normal 3 2 5 4 4" xfId="4876"/>
    <cellStyle name="Normal 3 2 5 4 5" xfId="6628"/>
    <cellStyle name="Normal 3 2 5 4 6" xfId="8380"/>
    <cellStyle name="Normal 3 2 5 4 7" xfId="10133"/>
    <cellStyle name="Normal 3 2 5 4 8" xfId="11885"/>
    <cellStyle name="Normal 3 2 5 4 9" xfId="13637"/>
    <cellStyle name="Normal 3 2 5 40" xfId="60500"/>
    <cellStyle name="Normal 3 2 5 41" xfId="62615"/>
    <cellStyle name="Normal 3 2 5 42" xfId="63481"/>
    <cellStyle name="Normal 3 2 5 5" xfId="1362"/>
    <cellStyle name="Normal 3 2 5 5 10" xfId="17582"/>
    <cellStyle name="Normal 3 2 5 5 11" xfId="19334"/>
    <cellStyle name="Normal 3 2 5 5 12" xfId="21087"/>
    <cellStyle name="Normal 3 2 5 5 13" xfId="22839"/>
    <cellStyle name="Normal 3 2 5 5 14" xfId="24591"/>
    <cellStyle name="Normal 3 2 5 5 15" xfId="26343"/>
    <cellStyle name="Normal 3 2 5 5 16" xfId="28095"/>
    <cellStyle name="Normal 3 2 5 5 17" xfId="29848"/>
    <cellStyle name="Normal 3 2 5 5 18" xfId="31600"/>
    <cellStyle name="Normal 3 2 5 5 19" xfId="33353"/>
    <cellStyle name="Normal 3 2 5 5 2" xfId="3564"/>
    <cellStyle name="Normal 3 2 5 5 20" xfId="35989"/>
    <cellStyle name="Normal 3 2 5 5 21" xfId="37719"/>
    <cellStyle name="Normal 3 2 5 5 22" xfId="39482"/>
    <cellStyle name="Normal 3 2 5 5 23" xfId="41237"/>
    <cellStyle name="Normal 3 2 5 5 24" xfId="42989"/>
    <cellStyle name="Normal 3 2 5 5 25" xfId="45607"/>
    <cellStyle name="Normal 3 2 5 5 26" xfId="47359"/>
    <cellStyle name="Normal 3 2 5 5 27" xfId="49111"/>
    <cellStyle name="Normal 3 2 5 5 28" xfId="50863"/>
    <cellStyle name="Normal 3 2 5 5 29" xfId="52615"/>
    <cellStyle name="Normal 3 2 5 5 3" xfId="5316"/>
    <cellStyle name="Normal 3 2 5 5 30" xfId="54367"/>
    <cellStyle name="Normal 3 2 5 5 31" xfId="56119"/>
    <cellStyle name="Normal 3 2 5 5 32" xfId="57872"/>
    <cellStyle name="Normal 3 2 5 5 33" xfId="59624"/>
    <cellStyle name="Normal 3 2 5 5 34" xfId="61376"/>
    <cellStyle name="Normal 3 2 5 5 4" xfId="7068"/>
    <cellStyle name="Normal 3 2 5 5 5" xfId="8820"/>
    <cellStyle name="Normal 3 2 5 5 6" xfId="10573"/>
    <cellStyle name="Normal 3 2 5 5 7" xfId="12325"/>
    <cellStyle name="Normal 3 2 5 5 8" xfId="14077"/>
    <cellStyle name="Normal 3 2 5 5 9" xfId="15829"/>
    <cellStyle name="Normal 3 2 5 6" xfId="2688"/>
    <cellStyle name="Normal 3 2 5 7" xfId="4440"/>
    <cellStyle name="Normal 3 2 5 8" xfId="6192"/>
    <cellStyle name="Normal 3 2 5 9" xfId="7944"/>
    <cellStyle name="Normal 3 2 6" xfId="1363"/>
    <cellStyle name="Normal 3 2 6 10" xfId="11502"/>
    <cellStyle name="Normal 3 2 6 11" xfId="13254"/>
    <cellStyle name="Normal 3 2 6 12" xfId="15006"/>
    <cellStyle name="Normal 3 2 6 13" xfId="16759"/>
    <cellStyle name="Normal 3 2 6 14" xfId="18511"/>
    <cellStyle name="Normal 3 2 6 15" xfId="20264"/>
    <cellStyle name="Normal 3 2 6 16" xfId="22016"/>
    <cellStyle name="Normal 3 2 6 17" xfId="23768"/>
    <cellStyle name="Normal 3 2 6 18" xfId="25520"/>
    <cellStyle name="Normal 3 2 6 19" xfId="27272"/>
    <cellStyle name="Normal 3 2 6 2" xfId="1364"/>
    <cellStyle name="Normal 3 2 6 2 10" xfId="13468"/>
    <cellStyle name="Normal 3 2 6 2 11" xfId="15220"/>
    <cellStyle name="Normal 3 2 6 2 12" xfId="16973"/>
    <cellStyle name="Normal 3 2 6 2 13" xfId="18725"/>
    <cellStyle name="Normal 3 2 6 2 14" xfId="20478"/>
    <cellStyle name="Normal 3 2 6 2 15" xfId="22230"/>
    <cellStyle name="Normal 3 2 6 2 16" xfId="23982"/>
    <cellStyle name="Normal 3 2 6 2 17" xfId="25734"/>
    <cellStyle name="Normal 3 2 6 2 18" xfId="27486"/>
    <cellStyle name="Normal 3 2 6 2 19" xfId="29239"/>
    <cellStyle name="Normal 3 2 6 2 2" xfId="1365"/>
    <cellStyle name="Normal 3 2 6 2 2 10" xfId="15656"/>
    <cellStyle name="Normal 3 2 6 2 2 11" xfId="17409"/>
    <cellStyle name="Normal 3 2 6 2 2 12" xfId="19161"/>
    <cellStyle name="Normal 3 2 6 2 2 13" xfId="20914"/>
    <cellStyle name="Normal 3 2 6 2 2 14" xfId="22666"/>
    <cellStyle name="Normal 3 2 6 2 2 15" xfId="24418"/>
    <cellStyle name="Normal 3 2 6 2 2 16" xfId="26170"/>
    <cellStyle name="Normal 3 2 6 2 2 17" xfId="27922"/>
    <cellStyle name="Normal 3 2 6 2 2 18" xfId="29675"/>
    <cellStyle name="Normal 3 2 6 2 2 19" xfId="31427"/>
    <cellStyle name="Normal 3 2 6 2 2 2" xfId="1366"/>
    <cellStyle name="Normal 3 2 6 2 2 2 10" xfId="18285"/>
    <cellStyle name="Normal 3 2 6 2 2 2 11" xfId="20037"/>
    <cellStyle name="Normal 3 2 6 2 2 2 12" xfId="21790"/>
    <cellStyle name="Normal 3 2 6 2 2 2 13" xfId="23542"/>
    <cellStyle name="Normal 3 2 6 2 2 2 14" xfId="25294"/>
    <cellStyle name="Normal 3 2 6 2 2 2 15" xfId="27046"/>
    <cellStyle name="Normal 3 2 6 2 2 2 16" xfId="28798"/>
    <cellStyle name="Normal 3 2 6 2 2 2 17" xfId="30551"/>
    <cellStyle name="Normal 3 2 6 2 2 2 18" xfId="32303"/>
    <cellStyle name="Normal 3 2 6 2 2 2 19" xfId="34056"/>
    <cellStyle name="Normal 3 2 6 2 2 2 2" xfId="4267"/>
    <cellStyle name="Normal 3 2 6 2 2 2 20" xfId="36692"/>
    <cellStyle name="Normal 3 2 6 2 2 2 21" xfId="38432"/>
    <cellStyle name="Normal 3 2 6 2 2 2 22" xfId="40185"/>
    <cellStyle name="Normal 3 2 6 2 2 2 23" xfId="41940"/>
    <cellStyle name="Normal 3 2 6 2 2 2 24" xfId="43692"/>
    <cellStyle name="Normal 3 2 6 2 2 2 25" xfId="46310"/>
    <cellStyle name="Normal 3 2 6 2 2 2 26" xfId="48062"/>
    <cellStyle name="Normal 3 2 6 2 2 2 27" xfId="49814"/>
    <cellStyle name="Normal 3 2 6 2 2 2 28" xfId="51566"/>
    <cellStyle name="Normal 3 2 6 2 2 2 29" xfId="53318"/>
    <cellStyle name="Normal 3 2 6 2 2 2 3" xfId="6019"/>
    <cellStyle name="Normal 3 2 6 2 2 2 30" xfId="55070"/>
    <cellStyle name="Normal 3 2 6 2 2 2 31" xfId="56822"/>
    <cellStyle name="Normal 3 2 6 2 2 2 32" xfId="58575"/>
    <cellStyle name="Normal 3 2 6 2 2 2 33" xfId="60327"/>
    <cellStyle name="Normal 3 2 6 2 2 2 34" xfId="62079"/>
    <cellStyle name="Normal 3 2 6 2 2 2 4" xfId="7771"/>
    <cellStyle name="Normal 3 2 6 2 2 2 5" xfId="9523"/>
    <cellStyle name="Normal 3 2 6 2 2 2 6" xfId="11276"/>
    <cellStyle name="Normal 3 2 6 2 2 2 7" xfId="13028"/>
    <cellStyle name="Normal 3 2 6 2 2 2 8" xfId="14780"/>
    <cellStyle name="Normal 3 2 6 2 2 2 9" xfId="16532"/>
    <cellStyle name="Normal 3 2 6 2 2 20" xfId="33180"/>
    <cellStyle name="Normal 3 2 6 2 2 21" xfId="34617"/>
    <cellStyle name="Normal 3 2 6 2 2 22" xfId="35816"/>
    <cellStyle name="Normal 3 2 6 2 2 23" xfId="37238"/>
    <cellStyle name="Normal 3 2 6 2 2 24" xfId="39309"/>
    <cellStyle name="Normal 3 2 6 2 2 25" xfId="41064"/>
    <cellStyle name="Normal 3 2 6 2 2 26" xfId="42816"/>
    <cellStyle name="Normal 3 2 6 2 2 27" xfId="44238"/>
    <cellStyle name="Normal 3 2 6 2 2 28" xfId="45434"/>
    <cellStyle name="Normal 3 2 6 2 2 29" xfId="47186"/>
    <cellStyle name="Normal 3 2 6 2 2 3" xfId="3391"/>
    <cellStyle name="Normal 3 2 6 2 2 30" xfId="48938"/>
    <cellStyle name="Normal 3 2 6 2 2 31" xfId="50690"/>
    <cellStyle name="Normal 3 2 6 2 2 32" xfId="52442"/>
    <cellStyle name="Normal 3 2 6 2 2 33" xfId="54194"/>
    <cellStyle name="Normal 3 2 6 2 2 34" xfId="55946"/>
    <cellStyle name="Normal 3 2 6 2 2 35" xfId="57699"/>
    <cellStyle name="Normal 3 2 6 2 2 36" xfId="59451"/>
    <cellStyle name="Normal 3 2 6 2 2 37" xfId="61203"/>
    <cellStyle name="Normal 3 2 6 2 2 38" xfId="62625"/>
    <cellStyle name="Normal 3 2 6 2 2 39" xfId="63491"/>
    <cellStyle name="Normal 3 2 6 2 2 4" xfId="5143"/>
    <cellStyle name="Normal 3 2 6 2 2 5" xfId="6895"/>
    <cellStyle name="Normal 3 2 6 2 2 6" xfId="8647"/>
    <cellStyle name="Normal 3 2 6 2 2 7" xfId="10400"/>
    <cellStyle name="Normal 3 2 6 2 2 8" xfId="12152"/>
    <cellStyle name="Normal 3 2 6 2 2 9" xfId="13904"/>
    <cellStyle name="Normal 3 2 6 2 20" xfId="30991"/>
    <cellStyle name="Normal 3 2 6 2 21" xfId="32744"/>
    <cellStyle name="Normal 3 2 6 2 22" xfId="34616"/>
    <cellStyle name="Normal 3 2 6 2 23" xfId="35380"/>
    <cellStyle name="Normal 3 2 6 2 24" xfId="37237"/>
    <cellStyle name="Normal 3 2 6 2 25" xfId="38873"/>
    <cellStyle name="Normal 3 2 6 2 26" xfId="40628"/>
    <cellStyle name="Normal 3 2 6 2 27" xfId="42380"/>
    <cellStyle name="Normal 3 2 6 2 28" xfId="44237"/>
    <cellStyle name="Normal 3 2 6 2 29" xfId="44998"/>
    <cellStyle name="Normal 3 2 6 2 3" xfId="1367"/>
    <cellStyle name="Normal 3 2 6 2 3 10" xfId="17849"/>
    <cellStyle name="Normal 3 2 6 2 3 11" xfId="19601"/>
    <cellStyle name="Normal 3 2 6 2 3 12" xfId="21354"/>
    <cellStyle name="Normal 3 2 6 2 3 13" xfId="23106"/>
    <cellStyle name="Normal 3 2 6 2 3 14" xfId="24858"/>
    <cellStyle name="Normal 3 2 6 2 3 15" xfId="26610"/>
    <cellStyle name="Normal 3 2 6 2 3 16" xfId="28362"/>
    <cellStyle name="Normal 3 2 6 2 3 17" xfId="30115"/>
    <cellStyle name="Normal 3 2 6 2 3 18" xfId="31867"/>
    <cellStyle name="Normal 3 2 6 2 3 19" xfId="33620"/>
    <cellStyle name="Normal 3 2 6 2 3 2" xfId="3831"/>
    <cellStyle name="Normal 3 2 6 2 3 20" xfId="36256"/>
    <cellStyle name="Normal 3 2 6 2 3 21" xfId="37996"/>
    <cellStyle name="Normal 3 2 6 2 3 22" xfId="39749"/>
    <cellStyle name="Normal 3 2 6 2 3 23" xfId="41504"/>
    <cellStyle name="Normal 3 2 6 2 3 24" xfId="43256"/>
    <cellStyle name="Normal 3 2 6 2 3 25" xfId="45874"/>
    <cellStyle name="Normal 3 2 6 2 3 26" xfId="47626"/>
    <cellStyle name="Normal 3 2 6 2 3 27" xfId="49378"/>
    <cellStyle name="Normal 3 2 6 2 3 28" xfId="51130"/>
    <cellStyle name="Normal 3 2 6 2 3 29" xfId="52882"/>
    <cellStyle name="Normal 3 2 6 2 3 3" xfId="5583"/>
    <cellStyle name="Normal 3 2 6 2 3 30" xfId="54634"/>
    <cellStyle name="Normal 3 2 6 2 3 31" xfId="56386"/>
    <cellStyle name="Normal 3 2 6 2 3 32" xfId="58139"/>
    <cellStyle name="Normal 3 2 6 2 3 33" xfId="59891"/>
    <cellStyle name="Normal 3 2 6 2 3 34" xfId="61643"/>
    <cellStyle name="Normal 3 2 6 2 3 4" xfId="7335"/>
    <cellStyle name="Normal 3 2 6 2 3 5" xfId="9087"/>
    <cellStyle name="Normal 3 2 6 2 3 6" xfId="10840"/>
    <cellStyle name="Normal 3 2 6 2 3 7" xfId="12592"/>
    <cellStyle name="Normal 3 2 6 2 3 8" xfId="14344"/>
    <cellStyle name="Normal 3 2 6 2 3 9" xfId="16096"/>
    <cellStyle name="Normal 3 2 6 2 30" xfId="46750"/>
    <cellStyle name="Normal 3 2 6 2 31" xfId="48502"/>
    <cellStyle name="Normal 3 2 6 2 32" xfId="50254"/>
    <cellStyle name="Normal 3 2 6 2 33" xfId="52006"/>
    <cellStyle name="Normal 3 2 6 2 34" xfId="53758"/>
    <cellStyle name="Normal 3 2 6 2 35" xfId="55510"/>
    <cellStyle name="Normal 3 2 6 2 36" xfId="57263"/>
    <cellStyle name="Normal 3 2 6 2 37" xfId="59015"/>
    <cellStyle name="Normal 3 2 6 2 38" xfId="60767"/>
    <cellStyle name="Normal 3 2 6 2 39" xfId="62624"/>
    <cellStyle name="Normal 3 2 6 2 4" xfId="2955"/>
    <cellStyle name="Normal 3 2 6 2 40" xfId="63490"/>
    <cellStyle name="Normal 3 2 6 2 5" xfId="4707"/>
    <cellStyle name="Normal 3 2 6 2 6" xfId="6459"/>
    <cellStyle name="Normal 3 2 6 2 7" xfId="8211"/>
    <cellStyle name="Normal 3 2 6 2 8" xfId="9964"/>
    <cellStyle name="Normal 3 2 6 2 9" xfId="11716"/>
    <cellStyle name="Normal 3 2 6 20" xfId="29025"/>
    <cellStyle name="Normal 3 2 6 21" xfId="30777"/>
    <cellStyle name="Normal 3 2 6 22" xfId="32530"/>
    <cellStyle name="Normal 3 2 6 23" xfId="34615"/>
    <cellStyle name="Normal 3 2 6 24" xfId="35166"/>
    <cellStyle name="Normal 3 2 6 25" xfId="37236"/>
    <cellStyle name="Normal 3 2 6 26" xfId="38659"/>
    <cellStyle name="Normal 3 2 6 27" xfId="40414"/>
    <cellStyle name="Normal 3 2 6 28" xfId="42166"/>
    <cellStyle name="Normal 3 2 6 29" xfId="44236"/>
    <cellStyle name="Normal 3 2 6 3" xfId="1368"/>
    <cellStyle name="Normal 3 2 6 3 10" xfId="15442"/>
    <cellStyle name="Normal 3 2 6 3 11" xfId="17195"/>
    <cellStyle name="Normal 3 2 6 3 12" xfId="18947"/>
    <cellStyle name="Normal 3 2 6 3 13" xfId="20700"/>
    <cellStyle name="Normal 3 2 6 3 14" xfId="22452"/>
    <cellStyle name="Normal 3 2 6 3 15" xfId="24204"/>
    <cellStyle name="Normal 3 2 6 3 16" xfId="25956"/>
    <cellStyle name="Normal 3 2 6 3 17" xfId="27708"/>
    <cellStyle name="Normal 3 2 6 3 18" xfId="29461"/>
    <cellStyle name="Normal 3 2 6 3 19" xfId="31213"/>
    <cellStyle name="Normal 3 2 6 3 2" xfId="1369"/>
    <cellStyle name="Normal 3 2 6 3 2 10" xfId="18071"/>
    <cellStyle name="Normal 3 2 6 3 2 11" xfId="19823"/>
    <cellStyle name="Normal 3 2 6 3 2 12" xfId="21576"/>
    <cellStyle name="Normal 3 2 6 3 2 13" xfId="23328"/>
    <cellStyle name="Normal 3 2 6 3 2 14" xfId="25080"/>
    <cellStyle name="Normal 3 2 6 3 2 15" xfId="26832"/>
    <cellStyle name="Normal 3 2 6 3 2 16" xfId="28584"/>
    <cellStyle name="Normal 3 2 6 3 2 17" xfId="30337"/>
    <cellStyle name="Normal 3 2 6 3 2 18" xfId="32089"/>
    <cellStyle name="Normal 3 2 6 3 2 19" xfId="33842"/>
    <cellStyle name="Normal 3 2 6 3 2 2" xfId="4053"/>
    <cellStyle name="Normal 3 2 6 3 2 20" xfId="36478"/>
    <cellStyle name="Normal 3 2 6 3 2 21" xfId="38218"/>
    <cellStyle name="Normal 3 2 6 3 2 22" xfId="39971"/>
    <cellStyle name="Normal 3 2 6 3 2 23" xfId="41726"/>
    <cellStyle name="Normal 3 2 6 3 2 24" xfId="43478"/>
    <cellStyle name="Normal 3 2 6 3 2 25" xfId="46096"/>
    <cellStyle name="Normal 3 2 6 3 2 26" xfId="47848"/>
    <cellStyle name="Normal 3 2 6 3 2 27" xfId="49600"/>
    <cellStyle name="Normal 3 2 6 3 2 28" xfId="51352"/>
    <cellStyle name="Normal 3 2 6 3 2 29" xfId="53104"/>
    <cellStyle name="Normal 3 2 6 3 2 3" xfId="5805"/>
    <cellStyle name="Normal 3 2 6 3 2 30" xfId="54856"/>
    <cellStyle name="Normal 3 2 6 3 2 31" xfId="56608"/>
    <cellStyle name="Normal 3 2 6 3 2 32" xfId="58361"/>
    <cellStyle name="Normal 3 2 6 3 2 33" xfId="60113"/>
    <cellStyle name="Normal 3 2 6 3 2 34" xfId="61865"/>
    <cellStyle name="Normal 3 2 6 3 2 4" xfId="7557"/>
    <cellStyle name="Normal 3 2 6 3 2 5" xfId="9309"/>
    <cellStyle name="Normal 3 2 6 3 2 6" xfId="11062"/>
    <cellStyle name="Normal 3 2 6 3 2 7" xfId="12814"/>
    <cellStyle name="Normal 3 2 6 3 2 8" xfId="14566"/>
    <cellStyle name="Normal 3 2 6 3 2 9" xfId="16318"/>
    <cellStyle name="Normal 3 2 6 3 20" xfId="32966"/>
    <cellStyle name="Normal 3 2 6 3 21" xfId="34618"/>
    <cellStyle name="Normal 3 2 6 3 22" xfId="35602"/>
    <cellStyle name="Normal 3 2 6 3 23" xfId="37239"/>
    <cellStyle name="Normal 3 2 6 3 24" xfId="39095"/>
    <cellStyle name="Normal 3 2 6 3 25" xfId="40850"/>
    <cellStyle name="Normal 3 2 6 3 26" xfId="42602"/>
    <cellStyle name="Normal 3 2 6 3 27" xfId="44239"/>
    <cellStyle name="Normal 3 2 6 3 28" xfId="45220"/>
    <cellStyle name="Normal 3 2 6 3 29" xfId="46972"/>
    <cellStyle name="Normal 3 2 6 3 3" xfId="3177"/>
    <cellStyle name="Normal 3 2 6 3 30" xfId="48724"/>
    <cellStyle name="Normal 3 2 6 3 31" xfId="50476"/>
    <cellStyle name="Normal 3 2 6 3 32" xfId="52228"/>
    <cellStyle name="Normal 3 2 6 3 33" xfId="53980"/>
    <cellStyle name="Normal 3 2 6 3 34" xfId="55732"/>
    <cellStyle name="Normal 3 2 6 3 35" xfId="57485"/>
    <cellStyle name="Normal 3 2 6 3 36" xfId="59237"/>
    <cellStyle name="Normal 3 2 6 3 37" xfId="60989"/>
    <cellStyle name="Normal 3 2 6 3 38" xfId="62626"/>
    <cellStyle name="Normal 3 2 6 3 39" xfId="63492"/>
    <cellStyle name="Normal 3 2 6 3 4" xfId="4929"/>
    <cellStyle name="Normal 3 2 6 3 5" xfId="6681"/>
    <cellStyle name="Normal 3 2 6 3 6" xfId="8433"/>
    <cellStyle name="Normal 3 2 6 3 7" xfId="10186"/>
    <cellStyle name="Normal 3 2 6 3 8" xfId="11938"/>
    <cellStyle name="Normal 3 2 6 3 9" xfId="13690"/>
    <cellStyle name="Normal 3 2 6 30" xfId="44784"/>
    <cellStyle name="Normal 3 2 6 31" xfId="46536"/>
    <cellStyle name="Normal 3 2 6 32" xfId="48288"/>
    <cellStyle name="Normal 3 2 6 33" xfId="50040"/>
    <cellStyle name="Normal 3 2 6 34" xfId="51792"/>
    <cellStyle name="Normal 3 2 6 35" xfId="53544"/>
    <cellStyle name="Normal 3 2 6 36" xfId="55296"/>
    <cellStyle name="Normal 3 2 6 37" xfId="57049"/>
    <cellStyle name="Normal 3 2 6 38" xfId="58801"/>
    <cellStyle name="Normal 3 2 6 39" xfId="60553"/>
    <cellStyle name="Normal 3 2 6 4" xfId="1370"/>
    <cellStyle name="Normal 3 2 6 4 10" xfId="17635"/>
    <cellStyle name="Normal 3 2 6 4 11" xfId="19387"/>
    <cellStyle name="Normal 3 2 6 4 12" xfId="21140"/>
    <cellStyle name="Normal 3 2 6 4 13" xfId="22892"/>
    <cellStyle name="Normal 3 2 6 4 14" xfId="24644"/>
    <cellStyle name="Normal 3 2 6 4 15" xfId="26396"/>
    <cellStyle name="Normal 3 2 6 4 16" xfId="28148"/>
    <cellStyle name="Normal 3 2 6 4 17" xfId="29901"/>
    <cellStyle name="Normal 3 2 6 4 18" xfId="31653"/>
    <cellStyle name="Normal 3 2 6 4 19" xfId="33406"/>
    <cellStyle name="Normal 3 2 6 4 2" xfId="3617"/>
    <cellStyle name="Normal 3 2 6 4 20" xfId="36042"/>
    <cellStyle name="Normal 3 2 6 4 21" xfId="37782"/>
    <cellStyle name="Normal 3 2 6 4 22" xfId="39535"/>
    <cellStyle name="Normal 3 2 6 4 23" xfId="41290"/>
    <cellStyle name="Normal 3 2 6 4 24" xfId="43042"/>
    <cellStyle name="Normal 3 2 6 4 25" xfId="45660"/>
    <cellStyle name="Normal 3 2 6 4 26" xfId="47412"/>
    <cellStyle name="Normal 3 2 6 4 27" xfId="49164"/>
    <cellStyle name="Normal 3 2 6 4 28" xfId="50916"/>
    <cellStyle name="Normal 3 2 6 4 29" xfId="52668"/>
    <cellStyle name="Normal 3 2 6 4 3" xfId="5369"/>
    <cellStyle name="Normal 3 2 6 4 30" xfId="54420"/>
    <cellStyle name="Normal 3 2 6 4 31" xfId="56172"/>
    <cellStyle name="Normal 3 2 6 4 32" xfId="57925"/>
    <cellStyle name="Normal 3 2 6 4 33" xfId="59677"/>
    <cellStyle name="Normal 3 2 6 4 34" xfId="61429"/>
    <cellStyle name="Normal 3 2 6 4 4" xfId="7121"/>
    <cellStyle name="Normal 3 2 6 4 5" xfId="8873"/>
    <cellStyle name="Normal 3 2 6 4 6" xfId="10626"/>
    <cellStyle name="Normal 3 2 6 4 7" xfId="12378"/>
    <cellStyle name="Normal 3 2 6 4 8" xfId="14130"/>
    <cellStyle name="Normal 3 2 6 4 9" xfId="15882"/>
    <cellStyle name="Normal 3 2 6 40" xfId="62623"/>
    <cellStyle name="Normal 3 2 6 41" xfId="63489"/>
    <cellStyle name="Normal 3 2 6 5" xfId="2741"/>
    <cellStyle name="Normal 3 2 6 6" xfId="4493"/>
    <cellStyle name="Normal 3 2 6 7" xfId="6245"/>
    <cellStyle name="Normal 3 2 6 8" xfId="7997"/>
    <cellStyle name="Normal 3 2 6 9" xfId="9750"/>
    <cellStyle name="Normal 3 2 7" xfId="1371"/>
    <cellStyle name="Normal 3 2 7 10" xfId="13469"/>
    <cellStyle name="Normal 3 2 7 11" xfId="15221"/>
    <cellStyle name="Normal 3 2 7 12" xfId="16974"/>
    <cellStyle name="Normal 3 2 7 13" xfId="18726"/>
    <cellStyle name="Normal 3 2 7 14" xfId="20479"/>
    <cellStyle name="Normal 3 2 7 15" xfId="22231"/>
    <cellStyle name="Normal 3 2 7 16" xfId="23983"/>
    <cellStyle name="Normal 3 2 7 17" xfId="25735"/>
    <cellStyle name="Normal 3 2 7 18" xfId="27487"/>
    <cellStyle name="Normal 3 2 7 19" xfId="29240"/>
    <cellStyle name="Normal 3 2 7 2" xfId="1372"/>
    <cellStyle name="Normal 3 2 7 2 10" xfId="15657"/>
    <cellStyle name="Normal 3 2 7 2 11" xfId="17410"/>
    <cellStyle name="Normal 3 2 7 2 12" xfId="19162"/>
    <cellStyle name="Normal 3 2 7 2 13" xfId="20915"/>
    <cellStyle name="Normal 3 2 7 2 14" xfId="22667"/>
    <cellStyle name="Normal 3 2 7 2 15" xfId="24419"/>
    <cellStyle name="Normal 3 2 7 2 16" xfId="26171"/>
    <cellStyle name="Normal 3 2 7 2 17" xfId="27923"/>
    <cellStyle name="Normal 3 2 7 2 18" xfId="29676"/>
    <cellStyle name="Normal 3 2 7 2 19" xfId="31428"/>
    <cellStyle name="Normal 3 2 7 2 2" xfId="1373"/>
    <cellStyle name="Normal 3 2 7 2 2 10" xfId="18286"/>
    <cellStyle name="Normal 3 2 7 2 2 11" xfId="20038"/>
    <cellStyle name="Normal 3 2 7 2 2 12" xfId="21791"/>
    <cellStyle name="Normal 3 2 7 2 2 13" xfId="23543"/>
    <cellStyle name="Normal 3 2 7 2 2 14" xfId="25295"/>
    <cellStyle name="Normal 3 2 7 2 2 15" xfId="27047"/>
    <cellStyle name="Normal 3 2 7 2 2 16" xfId="28799"/>
    <cellStyle name="Normal 3 2 7 2 2 17" xfId="30552"/>
    <cellStyle name="Normal 3 2 7 2 2 18" xfId="32304"/>
    <cellStyle name="Normal 3 2 7 2 2 19" xfId="34057"/>
    <cellStyle name="Normal 3 2 7 2 2 2" xfId="4268"/>
    <cellStyle name="Normal 3 2 7 2 2 20" xfId="36693"/>
    <cellStyle name="Normal 3 2 7 2 2 21" xfId="38433"/>
    <cellStyle name="Normal 3 2 7 2 2 22" xfId="40186"/>
    <cellStyle name="Normal 3 2 7 2 2 23" xfId="41941"/>
    <cellStyle name="Normal 3 2 7 2 2 24" xfId="43693"/>
    <cellStyle name="Normal 3 2 7 2 2 25" xfId="46311"/>
    <cellStyle name="Normal 3 2 7 2 2 26" xfId="48063"/>
    <cellStyle name="Normal 3 2 7 2 2 27" xfId="49815"/>
    <cellStyle name="Normal 3 2 7 2 2 28" xfId="51567"/>
    <cellStyle name="Normal 3 2 7 2 2 29" xfId="53319"/>
    <cellStyle name="Normal 3 2 7 2 2 3" xfId="6020"/>
    <cellStyle name="Normal 3 2 7 2 2 30" xfId="55071"/>
    <cellStyle name="Normal 3 2 7 2 2 31" xfId="56823"/>
    <cellStyle name="Normal 3 2 7 2 2 32" xfId="58576"/>
    <cellStyle name="Normal 3 2 7 2 2 33" xfId="60328"/>
    <cellStyle name="Normal 3 2 7 2 2 34" xfId="62080"/>
    <cellStyle name="Normal 3 2 7 2 2 4" xfId="7772"/>
    <cellStyle name="Normal 3 2 7 2 2 5" xfId="9524"/>
    <cellStyle name="Normal 3 2 7 2 2 6" xfId="11277"/>
    <cellStyle name="Normal 3 2 7 2 2 7" xfId="13029"/>
    <cellStyle name="Normal 3 2 7 2 2 8" xfId="14781"/>
    <cellStyle name="Normal 3 2 7 2 2 9" xfId="16533"/>
    <cellStyle name="Normal 3 2 7 2 20" xfId="33181"/>
    <cellStyle name="Normal 3 2 7 2 21" xfId="34620"/>
    <cellStyle name="Normal 3 2 7 2 22" xfId="35817"/>
    <cellStyle name="Normal 3 2 7 2 23" xfId="37241"/>
    <cellStyle name="Normal 3 2 7 2 24" xfId="39310"/>
    <cellStyle name="Normal 3 2 7 2 25" xfId="41065"/>
    <cellStyle name="Normal 3 2 7 2 26" xfId="42817"/>
    <cellStyle name="Normal 3 2 7 2 27" xfId="44241"/>
    <cellStyle name="Normal 3 2 7 2 28" xfId="45435"/>
    <cellStyle name="Normal 3 2 7 2 29" xfId="47187"/>
    <cellStyle name="Normal 3 2 7 2 3" xfId="3392"/>
    <cellStyle name="Normal 3 2 7 2 30" xfId="48939"/>
    <cellStyle name="Normal 3 2 7 2 31" xfId="50691"/>
    <cellStyle name="Normal 3 2 7 2 32" xfId="52443"/>
    <cellStyle name="Normal 3 2 7 2 33" xfId="54195"/>
    <cellStyle name="Normal 3 2 7 2 34" xfId="55947"/>
    <cellStyle name="Normal 3 2 7 2 35" xfId="57700"/>
    <cellStyle name="Normal 3 2 7 2 36" xfId="59452"/>
    <cellStyle name="Normal 3 2 7 2 37" xfId="61204"/>
    <cellStyle name="Normal 3 2 7 2 38" xfId="62628"/>
    <cellStyle name="Normal 3 2 7 2 39" xfId="63494"/>
    <cellStyle name="Normal 3 2 7 2 4" xfId="5144"/>
    <cellStyle name="Normal 3 2 7 2 5" xfId="6896"/>
    <cellStyle name="Normal 3 2 7 2 6" xfId="8648"/>
    <cellStyle name="Normal 3 2 7 2 7" xfId="10401"/>
    <cellStyle name="Normal 3 2 7 2 8" xfId="12153"/>
    <cellStyle name="Normal 3 2 7 2 9" xfId="13905"/>
    <cellStyle name="Normal 3 2 7 20" xfId="30992"/>
    <cellStyle name="Normal 3 2 7 21" xfId="32745"/>
    <cellStyle name="Normal 3 2 7 22" xfId="34619"/>
    <cellStyle name="Normal 3 2 7 23" xfId="35381"/>
    <cellStyle name="Normal 3 2 7 24" xfId="37240"/>
    <cellStyle name="Normal 3 2 7 25" xfId="38874"/>
    <cellStyle name="Normal 3 2 7 26" xfId="40629"/>
    <cellStyle name="Normal 3 2 7 27" xfId="42381"/>
    <cellStyle name="Normal 3 2 7 28" xfId="44240"/>
    <cellStyle name="Normal 3 2 7 29" xfId="44999"/>
    <cellStyle name="Normal 3 2 7 3" xfId="1374"/>
    <cellStyle name="Normal 3 2 7 3 10" xfId="17850"/>
    <cellStyle name="Normal 3 2 7 3 11" xfId="19602"/>
    <cellStyle name="Normal 3 2 7 3 12" xfId="21355"/>
    <cellStyle name="Normal 3 2 7 3 13" xfId="23107"/>
    <cellStyle name="Normal 3 2 7 3 14" xfId="24859"/>
    <cellStyle name="Normal 3 2 7 3 15" xfId="26611"/>
    <cellStyle name="Normal 3 2 7 3 16" xfId="28363"/>
    <cellStyle name="Normal 3 2 7 3 17" xfId="30116"/>
    <cellStyle name="Normal 3 2 7 3 18" xfId="31868"/>
    <cellStyle name="Normal 3 2 7 3 19" xfId="33621"/>
    <cellStyle name="Normal 3 2 7 3 2" xfId="3832"/>
    <cellStyle name="Normal 3 2 7 3 20" xfId="36257"/>
    <cellStyle name="Normal 3 2 7 3 21" xfId="37997"/>
    <cellStyle name="Normal 3 2 7 3 22" xfId="39750"/>
    <cellStyle name="Normal 3 2 7 3 23" xfId="41505"/>
    <cellStyle name="Normal 3 2 7 3 24" xfId="43257"/>
    <cellStyle name="Normal 3 2 7 3 25" xfId="45875"/>
    <cellStyle name="Normal 3 2 7 3 26" xfId="47627"/>
    <cellStyle name="Normal 3 2 7 3 27" xfId="49379"/>
    <cellStyle name="Normal 3 2 7 3 28" xfId="51131"/>
    <cellStyle name="Normal 3 2 7 3 29" xfId="52883"/>
    <cellStyle name="Normal 3 2 7 3 3" xfId="5584"/>
    <cellStyle name="Normal 3 2 7 3 30" xfId="54635"/>
    <cellStyle name="Normal 3 2 7 3 31" xfId="56387"/>
    <cellStyle name="Normal 3 2 7 3 32" xfId="58140"/>
    <cellStyle name="Normal 3 2 7 3 33" xfId="59892"/>
    <cellStyle name="Normal 3 2 7 3 34" xfId="61644"/>
    <cellStyle name="Normal 3 2 7 3 4" xfId="7336"/>
    <cellStyle name="Normal 3 2 7 3 5" xfId="9088"/>
    <cellStyle name="Normal 3 2 7 3 6" xfId="10841"/>
    <cellStyle name="Normal 3 2 7 3 7" xfId="12593"/>
    <cellStyle name="Normal 3 2 7 3 8" xfId="14345"/>
    <cellStyle name="Normal 3 2 7 3 9" xfId="16097"/>
    <cellStyle name="Normal 3 2 7 30" xfId="46751"/>
    <cellStyle name="Normal 3 2 7 31" xfId="48503"/>
    <cellStyle name="Normal 3 2 7 32" xfId="50255"/>
    <cellStyle name="Normal 3 2 7 33" xfId="52007"/>
    <cellStyle name="Normal 3 2 7 34" xfId="53759"/>
    <cellStyle name="Normal 3 2 7 35" xfId="55511"/>
    <cellStyle name="Normal 3 2 7 36" xfId="57264"/>
    <cellStyle name="Normal 3 2 7 37" xfId="59016"/>
    <cellStyle name="Normal 3 2 7 38" xfId="60768"/>
    <cellStyle name="Normal 3 2 7 39" xfId="62627"/>
    <cellStyle name="Normal 3 2 7 4" xfId="2956"/>
    <cellStyle name="Normal 3 2 7 40" xfId="63493"/>
    <cellStyle name="Normal 3 2 7 5" xfId="4708"/>
    <cellStyle name="Normal 3 2 7 6" xfId="6460"/>
    <cellStyle name="Normal 3 2 7 7" xfId="8212"/>
    <cellStyle name="Normal 3 2 7 8" xfId="9965"/>
    <cellStyle name="Normal 3 2 7 9" xfId="11717"/>
    <cellStyle name="Normal 3 2 8" xfId="1375"/>
    <cellStyle name="Normal 3 2 8 10" xfId="15334"/>
    <cellStyle name="Normal 3 2 8 11" xfId="17087"/>
    <cellStyle name="Normal 3 2 8 12" xfId="18839"/>
    <cellStyle name="Normal 3 2 8 13" xfId="20592"/>
    <cellStyle name="Normal 3 2 8 14" xfId="22344"/>
    <cellStyle name="Normal 3 2 8 15" xfId="24096"/>
    <cellStyle name="Normal 3 2 8 16" xfId="25848"/>
    <cellStyle name="Normal 3 2 8 17" xfId="27600"/>
    <cellStyle name="Normal 3 2 8 18" xfId="29353"/>
    <cellStyle name="Normal 3 2 8 19" xfId="31105"/>
    <cellStyle name="Normal 3 2 8 2" xfId="1376"/>
    <cellStyle name="Normal 3 2 8 2 10" xfId="17963"/>
    <cellStyle name="Normal 3 2 8 2 11" xfId="19715"/>
    <cellStyle name="Normal 3 2 8 2 12" xfId="21468"/>
    <cellStyle name="Normal 3 2 8 2 13" xfId="23220"/>
    <cellStyle name="Normal 3 2 8 2 14" xfId="24972"/>
    <cellStyle name="Normal 3 2 8 2 15" xfId="26724"/>
    <cellStyle name="Normal 3 2 8 2 16" xfId="28476"/>
    <cellStyle name="Normal 3 2 8 2 17" xfId="30229"/>
    <cellStyle name="Normal 3 2 8 2 18" xfId="31981"/>
    <cellStyle name="Normal 3 2 8 2 19" xfId="33734"/>
    <cellStyle name="Normal 3 2 8 2 2" xfId="3945"/>
    <cellStyle name="Normal 3 2 8 2 20" xfId="36370"/>
    <cellStyle name="Normal 3 2 8 2 21" xfId="38110"/>
    <cellStyle name="Normal 3 2 8 2 22" xfId="39863"/>
    <cellStyle name="Normal 3 2 8 2 23" xfId="41618"/>
    <cellStyle name="Normal 3 2 8 2 24" xfId="43370"/>
    <cellStyle name="Normal 3 2 8 2 25" xfId="45988"/>
    <cellStyle name="Normal 3 2 8 2 26" xfId="47740"/>
    <cellStyle name="Normal 3 2 8 2 27" xfId="49492"/>
    <cellStyle name="Normal 3 2 8 2 28" xfId="51244"/>
    <cellStyle name="Normal 3 2 8 2 29" xfId="52996"/>
    <cellStyle name="Normal 3 2 8 2 3" xfId="5697"/>
    <cellStyle name="Normal 3 2 8 2 30" xfId="54748"/>
    <cellStyle name="Normal 3 2 8 2 31" xfId="56500"/>
    <cellStyle name="Normal 3 2 8 2 32" xfId="58253"/>
    <cellStyle name="Normal 3 2 8 2 33" xfId="60005"/>
    <cellStyle name="Normal 3 2 8 2 34" xfId="61757"/>
    <cellStyle name="Normal 3 2 8 2 4" xfId="7449"/>
    <cellStyle name="Normal 3 2 8 2 5" xfId="9201"/>
    <cellStyle name="Normal 3 2 8 2 6" xfId="10954"/>
    <cellStyle name="Normal 3 2 8 2 7" xfId="12706"/>
    <cellStyle name="Normal 3 2 8 2 8" xfId="14458"/>
    <cellStyle name="Normal 3 2 8 2 9" xfId="16210"/>
    <cellStyle name="Normal 3 2 8 20" xfId="32858"/>
    <cellStyle name="Normal 3 2 8 21" xfId="34621"/>
    <cellStyle name="Normal 3 2 8 22" xfId="35494"/>
    <cellStyle name="Normal 3 2 8 23" xfId="37242"/>
    <cellStyle name="Normal 3 2 8 24" xfId="38987"/>
    <cellStyle name="Normal 3 2 8 25" xfId="40742"/>
    <cellStyle name="Normal 3 2 8 26" xfId="42494"/>
    <cellStyle name="Normal 3 2 8 27" xfId="44242"/>
    <cellStyle name="Normal 3 2 8 28" xfId="45112"/>
    <cellStyle name="Normal 3 2 8 29" xfId="46864"/>
    <cellStyle name="Normal 3 2 8 3" xfId="3069"/>
    <cellStyle name="Normal 3 2 8 30" xfId="48616"/>
    <cellStyle name="Normal 3 2 8 31" xfId="50368"/>
    <cellStyle name="Normal 3 2 8 32" xfId="52120"/>
    <cellStyle name="Normal 3 2 8 33" xfId="53872"/>
    <cellStyle name="Normal 3 2 8 34" xfId="55624"/>
    <cellStyle name="Normal 3 2 8 35" xfId="57377"/>
    <cellStyle name="Normal 3 2 8 36" xfId="59129"/>
    <cellStyle name="Normal 3 2 8 37" xfId="60881"/>
    <cellStyle name="Normal 3 2 8 38" xfId="62629"/>
    <cellStyle name="Normal 3 2 8 39" xfId="63495"/>
    <cellStyle name="Normal 3 2 8 4" xfId="4821"/>
    <cellStyle name="Normal 3 2 8 5" xfId="6573"/>
    <cellStyle name="Normal 3 2 8 6" xfId="8325"/>
    <cellStyle name="Normal 3 2 8 7" xfId="10078"/>
    <cellStyle name="Normal 3 2 8 8" xfId="11830"/>
    <cellStyle name="Normal 3 2 8 9" xfId="13582"/>
    <cellStyle name="Normal 3 2 9" xfId="1377"/>
    <cellStyle name="Normal 3 2 9 10" xfId="17527"/>
    <cellStyle name="Normal 3 2 9 11" xfId="19279"/>
    <cellStyle name="Normal 3 2 9 12" xfId="21032"/>
    <cellStyle name="Normal 3 2 9 13" xfId="22784"/>
    <cellStyle name="Normal 3 2 9 14" xfId="24536"/>
    <cellStyle name="Normal 3 2 9 15" xfId="26288"/>
    <cellStyle name="Normal 3 2 9 16" xfId="28040"/>
    <cellStyle name="Normal 3 2 9 17" xfId="29793"/>
    <cellStyle name="Normal 3 2 9 18" xfId="31545"/>
    <cellStyle name="Normal 3 2 9 19" xfId="33298"/>
    <cellStyle name="Normal 3 2 9 2" xfId="3509"/>
    <cellStyle name="Normal 3 2 9 20" xfId="34590"/>
    <cellStyle name="Normal 3 2 9 21" xfId="35934"/>
    <cellStyle name="Normal 3 2 9 22" xfId="37211"/>
    <cellStyle name="Normal 3 2 9 23" xfId="39427"/>
    <cellStyle name="Normal 3 2 9 24" xfId="41182"/>
    <cellStyle name="Normal 3 2 9 25" xfId="42934"/>
    <cellStyle name="Normal 3 2 9 26" xfId="44211"/>
    <cellStyle name="Normal 3 2 9 27" xfId="45552"/>
    <cellStyle name="Normal 3 2 9 28" xfId="47304"/>
    <cellStyle name="Normal 3 2 9 29" xfId="49056"/>
    <cellStyle name="Normal 3 2 9 3" xfId="5261"/>
    <cellStyle name="Normal 3 2 9 30" xfId="50808"/>
    <cellStyle name="Normal 3 2 9 31" xfId="52560"/>
    <cellStyle name="Normal 3 2 9 32" xfId="54312"/>
    <cellStyle name="Normal 3 2 9 33" xfId="56064"/>
    <cellStyle name="Normal 3 2 9 34" xfId="57817"/>
    <cellStyle name="Normal 3 2 9 35" xfId="59569"/>
    <cellStyle name="Normal 3 2 9 36" xfId="61321"/>
    <cellStyle name="Normal 3 2 9 37" xfId="62598"/>
    <cellStyle name="Normal 3 2 9 38" xfId="63464"/>
    <cellStyle name="Normal 3 2 9 4" xfId="7013"/>
    <cellStyle name="Normal 3 2 9 5" xfId="8765"/>
    <cellStyle name="Normal 3 2 9 6" xfId="10518"/>
    <cellStyle name="Normal 3 2 9 7" xfId="12270"/>
    <cellStyle name="Normal 3 2 9 8" xfId="14022"/>
    <cellStyle name="Normal 3 2 9 9" xfId="15774"/>
    <cellStyle name="Normal 3 20" xfId="20155"/>
    <cellStyle name="Normal 3 21" xfId="21907"/>
    <cellStyle name="Normal 3 22" xfId="23659"/>
    <cellStyle name="Normal 3 23" xfId="25411"/>
    <cellStyle name="Normal 3 24" xfId="27163"/>
    <cellStyle name="Normal 3 25" xfId="28916"/>
    <cellStyle name="Normal 3 26" xfId="30668"/>
    <cellStyle name="Normal 3 27" xfId="32421"/>
    <cellStyle name="Normal 3 28" xfId="35057"/>
    <cellStyle name="Normal 3 29" xfId="38549"/>
    <cellStyle name="Normal 3 3" xfId="1378"/>
    <cellStyle name="Normal 3 30" xfId="40305"/>
    <cellStyle name="Normal 3 31" xfId="42057"/>
    <cellStyle name="Normal 3 32" xfId="44675"/>
    <cellStyle name="Normal 3 33" xfId="46427"/>
    <cellStyle name="Normal 3 34" xfId="48179"/>
    <cellStyle name="Normal 3 35" xfId="49931"/>
    <cellStyle name="Normal 3 36" xfId="51683"/>
    <cellStyle name="Normal 3 37" xfId="53435"/>
    <cellStyle name="Normal 3 38" xfId="55187"/>
    <cellStyle name="Normal 3 39" xfId="56940"/>
    <cellStyle name="Normal 3 4" xfId="1379"/>
    <cellStyle name="Normal 3 40" xfId="58692"/>
    <cellStyle name="Normal 3 41" xfId="60444"/>
    <cellStyle name="Normal 3 5" xfId="1380"/>
    <cellStyle name="Normal 3 5 10" xfId="9696"/>
    <cellStyle name="Normal 3 5 11" xfId="11448"/>
    <cellStyle name="Normal 3 5 12" xfId="13200"/>
    <cellStyle name="Normal 3 5 13" xfId="14952"/>
    <cellStyle name="Normal 3 5 14" xfId="16705"/>
    <cellStyle name="Normal 3 5 15" xfId="18457"/>
    <cellStyle name="Normal 3 5 16" xfId="20210"/>
    <cellStyle name="Normal 3 5 17" xfId="21962"/>
    <cellStyle name="Normal 3 5 18" xfId="23714"/>
    <cellStyle name="Normal 3 5 19" xfId="25466"/>
    <cellStyle name="Normal 3 5 2" xfId="1381"/>
    <cellStyle name="Normal 3 5 2 10" xfId="11556"/>
    <cellStyle name="Normal 3 5 2 11" xfId="13308"/>
    <cellStyle name="Normal 3 5 2 12" xfId="15060"/>
    <cellStyle name="Normal 3 5 2 13" xfId="16813"/>
    <cellStyle name="Normal 3 5 2 14" xfId="18565"/>
    <cellStyle name="Normal 3 5 2 15" xfId="20318"/>
    <cellStyle name="Normal 3 5 2 16" xfId="22070"/>
    <cellStyle name="Normal 3 5 2 17" xfId="23822"/>
    <cellStyle name="Normal 3 5 2 18" xfId="25574"/>
    <cellStyle name="Normal 3 5 2 19" xfId="27326"/>
    <cellStyle name="Normal 3 5 2 2" xfId="1382"/>
    <cellStyle name="Normal 3 5 2 2 10" xfId="13470"/>
    <cellStyle name="Normal 3 5 2 2 11" xfId="15222"/>
    <cellStyle name="Normal 3 5 2 2 12" xfId="16975"/>
    <cellStyle name="Normal 3 5 2 2 13" xfId="18727"/>
    <cellStyle name="Normal 3 5 2 2 14" xfId="20480"/>
    <cellStyle name="Normal 3 5 2 2 15" xfId="22232"/>
    <cellStyle name="Normal 3 5 2 2 16" xfId="23984"/>
    <cellStyle name="Normal 3 5 2 2 17" xfId="25736"/>
    <cellStyle name="Normal 3 5 2 2 18" xfId="27488"/>
    <cellStyle name="Normal 3 5 2 2 19" xfId="29241"/>
    <cellStyle name="Normal 3 5 2 2 2" xfId="1383"/>
    <cellStyle name="Normal 3 5 2 2 2 10" xfId="15658"/>
    <cellStyle name="Normal 3 5 2 2 2 11" xfId="17411"/>
    <cellStyle name="Normal 3 5 2 2 2 12" xfId="19163"/>
    <cellStyle name="Normal 3 5 2 2 2 13" xfId="20916"/>
    <cellStyle name="Normal 3 5 2 2 2 14" xfId="22668"/>
    <cellStyle name="Normal 3 5 2 2 2 15" xfId="24420"/>
    <cellStyle name="Normal 3 5 2 2 2 16" xfId="26172"/>
    <cellStyle name="Normal 3 5 2 2 2 17" xfId="27924"/>
    <cellStyle name="Normal 3 5 2 2 2 18" xfId="29677"/>
    <cellStyle name="Normal 3 5 2 2 2 19" xfId="31429"/>
    <cellStyle name="Normal 3 5 2 2 2 2" xfId="1384"/>
    <cellStyle name="Normal 3 5 2 2 2 2 10" xfId="18287"/>
    <cellStyle name="Normal 3 5 2 2 2 2 11" xfId="20039"/>
    <cellStyle name="Normal 3 5 2 2 2 2 12" xfId="21792"/>
    <cellStyle name="Normal 3 5 2 2 2 2 13" xfId="23544"/>
    <cellStyle name="Normal 3 5 2 2 2 2 14" xfId="25296"/>
    <cellStyle name="Normal 3 5 2 2 2 2 15" xfId="27048"/>
    <cellStyle name="Normal 3 5 2 2 2 2 16" xfId="28800"/>
    <cellStyle name="Normal 3 5 2 2 2 2 17" xfId="30553"/>
    <cellStyle name="Normal 3 5 2 2 2 2 18" xfId="32305"/>
    <cellStyle name="Normal 3 5 2 2 2 2 19" xfId="34058"/>
    <cellStyle name="Normal 3 5 2 2 2 2 2" xfId="4269"/>
    <cellStyle name="Normal 3 5 2 2 2 2 20" xfId="36694"/>
    <cellStyle name="Normal 3 5 2 2 2 2 21" xfId="38434"/>
    <cellStyle name="Normal 3 5 2 2 2 2 22" xfId="40187"/>
    <cellStyle name="Normal 3 5 2 2 2 2 23" xfId="41942"/>
    <cellStyle name="Normal 3 5 2 2 2 2 24" xfId="43694"/>
    <cellStyle name="Normal 3 5 2 2 2 2 25" xfId="46312"/>
    <cellStyle name="Normal 3 5 2 2 2 2 26" xfId="48064"/>
    <cellStyle name="Normal 3 5 2 2 2 2 27" xfId="49816"/>
    <cellStyle name="Normal 3 5 2 2 2 2 28" xfId="51568"/>
    <cellStyle name="Normal 3 5 2 2 2 2 29" xfId="53320"/>
    <cellStyle name="Normal 3 5 2 2 2 2 3" xfId="6021"/>
    <cellStyle name="Normal 3 5 2 2 2 2 30" xfId="55072"/>
    <cellStyle name="Normal 3 5 2 2 2 2 31" xfId="56824"/>
    <cellStyle name="Normal 3 5 2 2 2 2 32" xfId="58577"/>
    <cellStyle name="Normal 3 5 2 2 2 2 33" xfId="60329"/>
    <cellStyle name="Normal 3 5 2 2 2 2 34" xfId="62081"/>
    <cellStyle name="Normal 3 5 2 2 2 2 4" xfId="7773"/>
    <cellStyle name="Normal 3 5 2 2 2 2 5" xfId="9525"/>
    <cellStyle name="Normal 3 5 2 2 2 2 6" xfId="11278"/>
    <cellStyle name="Normal 3 5 2 2 2 2 7" xfId="13030"/>
    <cellStyle name="Normal 3 5 2 2 2 2 8" xfId="14782"/>
    <cellStyle name="Normal 3 5 2 2 2 2 9" xfId="16534"/>
    <cellStyle name="Normal 3 5 2 2 2 20" xfId="33182"/>
    <cellStyle name="Normal 3 5 2 2 2 21" xfId="34625"/>
    <cellStyle name="Normal 3 5 2 2 2 22" xfId="35818"/>
    <cellStyle name="Normal 3 5 2 2 2 23" xfId="37246"/>
    <cellStyle name="Normal 3 5 2 2 2 24" xfId="39311"/>
    <cellStyle name="Normal 3 5 2 2 2 25" xfId="41066"/>
    <cellStyle name="Normal 3 5 2 2 2 26" xfId="42818"/>
    <cellStyle name="Normal 3 5 2 2 2 27" xfId="44246"/>
    <cellStyle name="Normal 3 5 2 2 2 28" xfId="45436"/>
    <cellStyle name="Normal 3 5 2 2 2 29" xfId="47188"/>
    <cellStyle name="Normal 3 5 2 2 2 3" xfId="3393"/>
    <cellStyle name="Normal 3 5 2 2 2 30" xfId="48940"/>
    <cellStyle name="Normal 3 5 2 2 2 31" xfId="50692"/>
    <cellStyle name="Normal 3 5 2 2 2 32" xfId="52444"/>
    <cellStyle name="Normal 3 5 2 2 2 33" xfId="54196"/>
    <cellStyle name="Normal 3 5 2 2 2 34" xfId="55948"/>
    <cellStyle name="Normal 3 5 2 2 2 35" xfId="57701"/>
    <cellStyle name="Normal 3 5 2 2 2 36" xfId="59453"/>
    <cellStyle name="Normal 3 5 2 2 2 37" xfId="61205"/>
    <cellStyle name="Normal 3 5 2 2 2 38" xfId="62633"/>
    <cellStyle name="Normal 3 5 2 2 2 39" xfId="63499"/>
    <cellStyle name="Normal 3 5 2 2 2 4" xfId="5145"/>
    <cellStyle name="Normal 3 5 2 2 2 5" xfId="6897"/>
    <cellStyle name="Normal 3 5 2 2 2 6" xfId="8649"/>
    <cellStyle name="Normal 3 5 2 2 2 7" xfId="10402"/>
    <cellStyle name="Normal 3 5 2 2 2 8" xfId="12154"/>
    <cellStyle name="Normal 3 5 2 2 2 9" xfId="13906"/>
    <cellStyle name="Normal 3 5 2 2 20" xfId="30993"/>
    <cellStyle name="Normal 3 5 2 2 21" xfId="32746"/>
    <cellStyle name="Normal 3 5 2 2 22" xfId="34624"/>
    <cellStyle name="Normal 3 5 2 2 23" xfId="35382"/>
    <cellStyle name="Normal 3 5 2 2 24" xfId="37245"/>
    <cellStyle name="Normal 3 5 2 2 25" xfId="38875"/>
    <cellStyle name="Normal 3 5 2 2 26" xfId="40630"/>
    <cellStyle name="Normal 3 5 2 2 27" xfId="42382"/>
    <cellStyle name="Normal 3 5 2 2 28" xfId="44245"/>
    <cellStyle name="Normal 3 5 2 2 29" xfId="45000"/>
    <cellStyle name="Normal 3 5 2 2 3" xfId="1385"/>
    <cellStyle name="Normal 3 5 2 2 3 10" xfId="17851"/>
    <cellStyle name="Normal 3 5 2 2 3 11" xfId="19603"/>
    <cellStyle name="Normal 3 5 2 2 3 12" xfId="21356"/>
    <cellStyle name="Normal 3 5 2 2 3 13" xfId="23108"/>
    <cellStyle name="Normal 3 5 2 2 3 14" xfId="24860"/>
    <cellStyle name="Normal 3 5 2 2 3 15" xfId="26612"/>
    <cellStyle name="Normal 3 5 2 2 3 16" xfId="28364"/>
    <cellStyle name="Normal 3 5 2 2 3 17" xfId="30117"/>
    <cellStyle name="Normal 3 5 2 2 3 18" xfId="31869"/>
    <cellStyle name="Normal 3 5 2 2 3 19" xfId="33622"/>
    <cellStyle name="Normal 3 5 2 2 3 2" xfId="3833"/>
    <cellStyle name="Normal 3 5 2 2 3 20" xfId="36258"/>
    <cellStyle name="Normal 3 5 2 2 3 21" xfId="37998"/>
    <cellStyle name="Normal 3 5 2 2 3 22" xfId="39751"/>
    <cellStyle name="Normal 3 5 2 2 3 23" xfId="41506"/>
    <cellStyle name="Normal 3 5 2 2 3 24" xfId="43258"/>
    <cellStyle name="Normal 3 5 2 2 3 25" xfId="45876"/>
    <cellStyle name="Normal 3 5 2 2 3 26" xfId="47628"/>
    <cellStyle name="Normal 3 5 2 2 3 27" xfId="49380"/>
    <cellStyle name="Normal 3 5 2 2 3 28" xfId="51132"/>
    <cellStyle name="Normal 3 5 2 2 3 29" xfId="52884"/>
    <cellStyle name="Normal 3 5 2 2 3 3" xfId="5585"/>
    <cellStyle name="Normal 3 5 2 2 3 30" xfId="54636"/>
    <cellStyle name="Normal 3 5 2 2 3 31" xfId="56388"/>
    <cellStyle name="Normal 3 5 2 2 3 32" xfId="58141"/>
    <cellStyle name="Normal 3 5 2 2 3 33" xfId="59893"/>
    <cellStyle name="Normal 3 5 2 2 3 34" xfId="61645"/>
    <cellStyle name="Normal 3 5 2 2 3 4" xfId="7337"/>
    <cellStyle name="Normal 3 5 2 2 3 5" xfId="9089"/>
    <cellStyle name="Normal 3 5 2 2 3 6" xfId="10842"/>
    <cellStyle name="Normal 3 5 2 2 3 7" xfId="12594"/>
    <cellStyle name="Normal 3 5 2 2 3 8" xfId="14346"/>
    <cellStyle name="Normal 3 5 2 2 3 9" xfId="16098"/>
    <cellStyle name="Normal 3 5 2 2 30" xfId="46752"/>
    <cellStyle name="Normal 3 5 2 2 31" xfId="48504"/>
    <cellStyle name="Normal 3 5 2 2 32" xfId="50256"/>
    <cellStyle name="Normal 3 5 2 2 33" xfId="52008"/>
    <cellStyle name="Normal 3 5 2 2 34" xfId="53760"/>
    <cellStyle name="Normal 3 5 2 2 35" xfId="55512"/>
    <cellStyle name="Normal 3 5 2 2 36" xfId="57265"/>
    <cellStyle name="Normal 3 5 2 2 37" xfId="59017"/>
    <cellStyle name="Normal 3 5 2 2 38" xfId="60769"/>
    <cellStyle name="Normal 3 5 2 2 39" xfId="62632"/>
    <cellStyle name="Normal 3 5 2 2 4" xfId="2957"/>
    <cellStyle name="Normal 3 5 2 2 40" xfId="63498"/>
    <cellStyle name="Normal 3 5 2 2 5" xfId="4709"/>
    <cellStyle name="Normal 3 5 2 2 6" xfId="6461"/>
    <cellStyle name="Normal 3 5 2 2 7" xfId="8213"/>
    <cellStyle name="Normal 3 5 2 2 8" xfId="9966"/>
    <cellStyle name="Normal 3 5 2 2 9" xfId="11718"/>
    <cellStyle name="Normal 3 5 2 20" xfId="29079"/>
    <cellStyle name="Normal 3 5 2 21" xfId="30831"/>
    <cellStyle name="Normal 3 5 2 22" xfId="32584"/>
    <cellStyle name="Normal 3 5 2 23" xfId="34623"/>
    <cellStyle name="Normal 3 5 2 24" xfId="35220"/>
    <cellStyle name="Normal 3 5 2 25" xfId="37244"/>
    <cellStyle name="Normal 3 5 2 26" xfId="38713"/>
    <cellStyle name="Normal 3 5 2 27" xfId="40468"/>
    <cellStyle name="Normal 3 5 2 28" xfId="42220"/>
    <cellStyle name="Normal 3 5 2 29" xfId="44244"/>
    <cellStyle name="Normal 3 5 2 3" xfId="1386"/>
    <cellStyle name="Normal 3 5 2 3 10" xfId="15496"/>
    <cellStyle name="Normal 3 5 2 3 11" xfId="17249"/>
    <cellStyle name="Normal 3 5 2 3 12" xfId="19001"/>
    <cellStyle name="Normal 3 5 2 3 13" xfId="20754"/>
    <cellStyle name="Normal 3 5 2 3 14" xfId="22506"/>
    <cellStyle name="Normal 3 5 2 3 15" xfId="24258"/>
    <cellStyle name="Normal 3 5 2 3 16" xfId="26010"/>
    <cellStyle name="Normal 3 5 2 3 17" xfId="27762"/>
    <cellStyle name="Normal 3 5 2 3 18" xfId="29515"/>
    <cellStyle name="Normal 3 5 2 3 19" xfId="31267"/>
    <cellStyle name="Normal 3 5 2 3 2" xfId="1387"/>
    <cellStyle name="Normal 3 5 2 3 2 10" xfId="18125"/>
    <cellStyle name="Normal 3 5 2 3 2 11" xfId="19877"/>
    <cellStyle name="Normal 3 5 2 3 2 12" xfId="21630"/>
    <cellStyle name="Normal 3 5 2 3 2 13" xfId="23382"/>
    <cellStyle name="Normal 3 5 2 3 2 14" xfId="25134"/>
    <cellStyle name="Normal 3 5 2 3 2 15" xfId="26886"/>
    <cellStyle name="Normal 3 5 2 3 2 16" xfId="28638"/>
    <cellStyle name="Normal 3 5 2 3 2 17" xfId="30391"/>
    <cellStyle name="Normal 3 5 2 3 2 18" xfId="32143"/>
    <cellStyle name="Normal 3 5 2 3 2 19" xfId="33896"/>
    <cellStyle name="Normal 3 5 2 3 2 2" xfId="4107"/>
    <cellStyle name="Normal 3 5 2 3 2 20" xfId="36532"/>
    <cellStyle name="Normal 3 5 2 3 2 21" xfId="38272"/>
    <cellStyle name="Normal 3 5 2 3 2 22" xfId="40025"/>
    <cellStyle name="Normal 3 5 2 3 2 23" xfId="41780"/>
    <cellStyle name="Normal 3 5 2 3 2 24" xfId="43532"/>
    <cellStyle name="Normal 3 5 2 3 2 25" xfId="46150"/>
    <cellStyle name="Normal 3 5 2 3 2 26" xfId="47902"/>
    <cellStyle name="Normal 3 5 2 3 2 27" xfId="49654"/>
    <cellStyle name="Normal 3 5 2 3 2 28" xfId="51406"/>
    <cellStyle name="Normal 3 5 2 3 2 29" xfId="53158"/>
    <cellStyle name="Normal 3 5 2 3 2 3" xfId="5859"/>
    <cellStyle name="Normal 3 5 2 3 2 30" xfId="54910"/>
    <cellStyle name="Normal 3 5 2 3 2 31" xfId="56662"/>
    <cellStyle name="Normal 3 5 2 3 2 32" xfId="58415"/>
    <cellStyle name="Normal 3 5 2 3 2 33" xfId="60167"/>
    <cellStyle name="Normal 3 5 2 3 2 34" xfId="61919"/>
    <cellStyle name="Normal 3 5 2 3 2 4" xfId="7611"/>
    <cellStyle name="Normal 3 5 2 3 2 5" xfId="9363"/>
    <cellStyle name="Normal 3 5 2 3 2 6" xfId="11116"/>
    <cellStyle name="Normal 3 5 2 3 2 7" xfId="12868"/>
    <cellStyle name="Normal 3 5 2 3 2 8" xfId="14620"/>
    <cellStyle name="Normal 3 5 2 3 2 9" xfId="16372"/>
    <cellStyle name="Normal 3 5 2 3 20" xfId="33020"/>
    <cellStyle name="Normal 3 5 2 3 21" xfId="34626"/>
    <cellStyle name="Normal 3 5 2 3 22" xfId="35656"/>
    <cellStyle name="Normal 3 5 2 3 23" xfId="37247"/>
    <cellStyle name="Normal 3 5 2 3 24" xfId="39149"/>
    <cellStyle name="Normal 3 5 2 3 25" xfId="40904"/>
    <cellStyle name="Normal 3 5 2 3 26" xfId="42656"/>
    <cellStyle name="Normal 3 5 2 3 27" xfId="44247"/>
    <cellStyle name="Normal 3 5 2 3 28" xfId="45274"/>
    <cellStyle name="Normal 3 5 2 3 29" xfId="47026"/>
    <cellStyle name="Normal 3 5 2 3 3" xfId="3231"/>
    <cellStyle name="Normal 3 5 2 3 30" xfId="48778"/>
    <cellStyle name="Normal 3 5 2 3 31" xfId="50530"/>
    <cellStyle name="Normal 3 5 2 3 32" xfId="52282"/>
    <cellStyle name="Normal 3 5 2 3 33" xfId="54034"/>
    <cellStyle name="Normal 3 5 2 3 34" xfId="55786"/>
    <cellStyle name="Normal 3 5 2 3 35" xfId="57539"/>
    <cellStyle name="Normal 3 5 2 3 36" xfId="59291"/>
    <cellStyle name="Normal 3 5 2 3 37" xfId="61043"/>
    <cellStyle name="Normal 3 5 2 3 38" xfId="62634"/>
    <cellStyle name="Normal 3 5 2 3 39" xfId="63500"/>
    <cellStyle name="Normal 3 5 2 3 4" xfId="4983"/>
    <cellStyle name="Normal 3 5 2 3 5" xfId="6735"/>
    <cellStyle name="Normal 3 5 2 3 6" xfId="8487"/>
    <cellStyle name="Normal 3 5 2 3 7" xfId="10240"/>
    <cellStyle name="Normal 3 5 2 3 8" xfId="11992"/>
    <cellStyle name="Normal 3 5 2 3 9" xfId="13744"/>
    <cellStyle name="Normal 3 5 2 30" xfId="44838"/>
    <cellStyle name="Normal 3 5 2 31" xfId="46590"/>
    <cellStyle name="Normal 3 5 2 32" xfId="48342"/>
    <cellStyle name="Normal 3 5 2 33" xfId="50094"/>
    <cellStyle name="Normal 3 5 2 34" xfId="51846"/>
    <cellStyle name="Normal 3 5 2 35" xfId="53598"/>
    <cellStyle name="Normal 3 5 2 36" xfId="55350"/>
    <cellStyle name="Normal 3 5 2 37" xfId="57103"/>
    <cellStyle name="Normal 3 5 2 38" xfId="58855"/>
    <cellStyle name="Normal 3 5 2 39" xfId="60607"/>
    <cellStyle name="Normal 3 5 2 4" xfId="1388"/>
    <cellStyle name="Normal 3 5 2 4 10" xfId="17689"/>
    <cellStyle name="Normal 3 5 2 4 11" xfId="19441"/>
    <cellStyle name="Normal 3 5 2 4 12" xfId="21194"/>
    <cellStyle name="Normal 3 5 2 4 13" xfId="22946"/>
    <cellStyle name="Normal 3 5 2 4 14" xfId="24698"/>
    <cellStyle name="Normal 3 5 2 4 15" xfId="26450"/>
    <cellStyle name="Normal 3 5 2 4 16" xfId="28202"/>
    <cellStyle name="Normal 3 5 2 4 17" xfId="29955"/>
    <cellStyle name="Normal 3 5 2 4 18" xfId="31707"/>
    <cellStyle name="Normal 3 5 2 4 19" xfId="33460"/>
    <cellStyle name="Normal 3 5 2 4 2" xfId="3671"/>
    <cellStyle name="Normal 3 5 2 4 20" xfId="36096"/>
    <cellStyle name="Normal 3 5 2 4 21" xfId="37836"/>
    <cellStyle name="Normal 3 5 2 4 22" xfId="39589"/>
    <cellStyle name="Normal 3 5 2 4 23" xfId="41344"/>
    <cellStyle name="Normal 3 5 2 4 24" xfId="43096"/>
    <cellStyle name="Normal 3 5 2 4 25" xfId="45714"/>
    <cellStyle name="Normal 3 5 2 4 26" xfId="47466"/>
    <cellStyle name="Normal 3 5 2 4 27" xfId="49218"/>
    <cellStyle name="Normal 3 5 2 4 28" xfId="50970"/>
    <cellStyle name="Normal 3 5 2 4 29" xfId="52722"/>
    <cellStyle name="Normal 3 5 2 4 3" xfId="5423"/>
    <cellStyle name="Normal 3 5 2 4 30" xfId="54474"/>
    <cellStyle name="Normal 3 5 2 4 31" xfId="56226"/>
    <cellStyle name="Normal 3 5 2 4 32" xfId="57979"/>
    <cellStyle name="Normal 3 5 2 4 33" xfId="59731"/>
    <cellStyle name="Normal 3 5 2 4 34" xfId="61483"/>
    <cellStyle name="Normal 3 5 2 4 4" xfId="7175"/>
    <cellStyle name="Normal 3 5 2 4 5" xfId="8927"/>
    <cellStyle name="Normal 3 5 2 4 6" xfId="10680"/>
    <cellStyle name="Normal 3 5 2 4 7" xfId="12432"/>
    <cellStyle name="Normal 3 5 2 4 8" xfId="14184"/>
    <cellStyle name="Normal 3 5 2 4 9" xfId="15936"/>
    <cellStyle name="Normal 3 5 2 40" xfId="62631"/>
    <cellStyle name="Normal 3 5 2 41" xfId="63497"/>
    <cellStyle name="Normal 3 5 2 5" xfId="2795"/>
    <cellStyle name="Normal 3 5 2 6" xfId="4547"/>
    <cellStyle name="Normal 3 5 2 7" xfId="6299"/>
    <cellStyle name="Normal 3 5 2 8" xfId="8051"/>
    <cellStyle name="Normal 3 5 2 9" xfId="9804"/>
    <cellStyle name="Normal 3 5 20" xfId="27218"/>
    <cellStyle name="Normal 3 5 21" xfId="28971"/>
    <cellStyle name="Normal 3 5 22" xfId="30723"/>
    <cellStyle name="Normal 3 5 23" xfId="32476"/>
    <cellStyle name="Normal 3 5 24" xfId="34622"/>
    <cellStyle name="Normal 3 5 25" xfId="35112"/>
    <cellStyle name="Normal 3 5 26" xfId="37243"/>
    <cellStyle name="Normal 3 5 27" xfId="38605"/>
    <cellStyle name="Normal 3 5 28" xfId="40360"/>
    <cellStyle name="Normal 3 5 29" xfId="42112"/>
    <cellStyle name="Normal 3 5 3" xfId="1389"/>
    <cellStyle name="Normal 3 5 3 10" xfId="13471"/>
    <cellStyle name="Normal 3 5 3 11" xfId="15223"/>
    <cellStyle name="Normal 3 5 3 12" xfId="16976"/>
    <cellStyle name="Normal 3 5 3 13" xfId="18728"/>
    <cellStyle name="Normal 3 5 3 14" xfId="20481"/>
    <cellStyle name="Normal 3 5 3 15" xfId="22233"/>
    <cellStyle name="Normal 3 5 3 16" xfId="23985"/>
    <cellStyle name="Normal 3 5 3 17" xfId="25737"/>
    <cellStyle name="Normal 3 5 3 18" xfId="27489"/>
    <cellStyle name="Normal 3 5 3 19" xfId="29242"/>
    <cellStyle name="Normal 3 5 3 2" xfId="1390"/>
    <cellStyle name="Normal 3 5 3 2 10" xfId="15659"/>
    <cellStyle name="Normal 3 5 3 2 11" xfId="17412"/>
    <cellStyle name="Normal 3 5 3 2 12" xfId="19164"/>
    <cellStyle name="Normal 3 5 3 2 13" xfId="20917"/>
    <cellStyle name="Normal 3 5 3 2 14" xfId="22669"/>
    <cellStyle name="Normal 3 5 3 2 15" xfId="24421"/>
    <cellStyle name="Normal 3 5 3 2 16" xfId="26173"/>
    <cellStyle name="Normal 3 5 3 2 17" xfId="27925"/>
    <cellStyle name="Normal 3 5 3 2 18" xfId="29678"/>
    <cellStyle name="Normal 3 5 3 2 19" xfId="31430"/>
    <cellStyle name="Normal 3 5 3 2 2" xfId="1391"/>
    <cellStyle name="Normal 3 5 3 2 2 10" xfId="18288"/>
    <cellStyle name="Normal 3 5 3 2 2 11" xfId="20040"/>
    <cellStyle name="Normal 3 5 3 2 2 12" xfId="21793"/>
    <cellStyle name="Normal 3 5 3 2 2 13" xfId="23545"/>
    <cellStyle name="Normal 3 5 3 2 2 14" xfId="25297"/>
    <cellStyle name="Normal 3 5 3 2 2 15" xfId="27049"/>
    <cellStyle name="Normal 3 5 3 2 2 16" xfId="28801"/>
    <cellStyle name="Normal 3 5 3 2 2 17" xfId="30554"/>
    <cellStyle name="Normal 3 5 3 2 2 18" xfId="32306"/>
    <cellStyle name="Normal 3 5 3 2 2 19" xfId="34059"/>
    <cellStyle name="Normal 3 5 3 2 2 2" xfId="4270"/>
    <cellStyle name="Normal 3 5 3 2 2 20" xfId="36695"/>
    <cellStyle name="Normal 3 5 3 2 2 21" xfId="38435"/>
    <cellStyle name="Normal 3 5 3 2 2 22" xfId="40188"/>
    <cellStyle name="Normal 3 5 3 2 2 23" xfId="41943"/>
    <cellStyle name="Normal 3 5 3 2 2 24" xfId="43695"/>
    <cellStyle name="Normal 3 5 3 2 2 25" xfId="46313"/>
    <cellStyle name="Normal 3 5 3 2 2 26" xfId="48065"/>
    <cellStyle name="Normal 3 5 3 2 2 27" xfId="49817"/>
    <cellStyle name="Normal 3 5 3 2 2 28" xfId="51569"/>
    <cellStyle name="Normal 3 5 3 2 2 29" xfId="53321"/>
    <cellStyle name="Normal 3 5 3 2 2 3" xfId="6022"/>
    <cellStyle name="Normal 3 5 3 2 2 30" xfId="55073"/>
    <cellStyle name="Normal 3 5 3 2 2 31" xfId="56825"/>
    <cellStyle name="Normal 3 5 3 2 2 32" xfId="58578"/>
    <cellStyle name="Normal 3 5 3 2 2 33" xfId="60330"/>
    <cellStyle name="Normal 3 5 3 2 2 34" xfId="62082"/>
    <cellStyle name="Normal 3 5 3 2 2 4" xfId="7774"/>
    <cellStyle name="Normal 3 5 3 2 2 5" xfId="9526"/>
    <cellStyle name="Normal 3 5 3 2 2 6" xfId="11279"/>
    <cellStyle name="Normal 3 5 3 2 2 7" xfId="13031"/>
    <cellStyle name="Normal 3 5 3 2 2 8" xfId="14783"/>
    <cellStyle name="Normal 3 5 3 2 2 9" xfId="16535"/>
    <cellStyle name="Normal 3 5 3 2 20" xfId="33183"/>
    <cellStyle name="Normal 3 5 3 2 21" xfId="34628"/>
    <cellStyle name="Normal 3 5 3 2 22" xfId="35819"/>
    <cellStyle name="Normal 3 5 3 2 23" xfId="37249"/>
    <cellStyle name="Normal 3 5 3 2 24" xfId="39312"/>
    <cellStyle name="Normal 3 5 3 2 25" xfId="41067"/>
    <cellStyle name="Normal 3 5 3 2 26" xfId="42819"/>
    <cellStyle name="Normal 3 5 3 2 27" xfId="44249"/>
    <cellStyle name="Normal 3 5 3 2 28" xfId="45437"/>
    <cellStyle name="Normal 3 5 3 2 29" xfId="47189"/>
    <cellStyle name="Normal 3 5 3 2 3" xfId="3394"/>
    <cellStyle name="Normal 3 5 3 2 30" xfId="48941"/>
    <cellStyle name="Normal 3 5 3 2 31" xfId="50693"/>
    <cellStyle name="Normal 3 5 3 2 32" xfId="52445"/>
    <cellStyle name="Normal 3 5 3 2 33" xfId="54197"/>
    <cellStyle name="Normal 3 5 3 2 34" xfId="55949"/>
    <cellStyle name="Normal 3 5 3 2 35" xfId="57702"/>
    <cellStyle name="Normal 3 5 3 2 36" xfId="59454"/>
    <cellStyle name="Normal 3 5 3 2 37" xfId="61206"/>
    <cellStyle name="Normal 3 5 3 2 38" xfId="62636"/>
    <cellStyle name="Normal 3 5 3 2 39" xfId="63502"/>
    <cellStyle name="Normal 3 5 3 2 4" xfId="5146"/>
    <cellStyle name="Normal 3 5 3 2 5" xfId="6898"/>
    <cellStyle name="Normal 3 5 3 2 6" xfId="8650"/>
    <cellStyle name="Normal 3 5 3 2 7" xfId="10403"/>
    <cellStyle name="Normal 3 5 3 2 8" xfId="12155"/>
    <cellStyle name="Normal 3 5 3 2 9" xfId="13907"/>
    <cellStyle name="Normal 3 5 3 20" xfId="30994"/>
    <cellStyle name="Normal 3 5 3 21" xfId="32747"/>
    <cellStyle name="Normal 3 5 3 22" xfId="34627"/>
    <cellStyle name="Normal 3 5 3 23" xfId="35383"/>
    <cellStyle name="Normal 3 5 3 24" xfId="37248"/>
    <cellStyle name="Normal 3 5 3 25" xfId="38876"/>
    <cellStyle name="Normal 3 5 3 26" xfId="40631"/>
    <cellStyle name="Normal 3 5 3 27" xfId="42383"/>
    <cellStyle name="Normal 3 5 3 28" xfId="44248"/>
    <cellStyle name="Normal 3 5 3 29" xfId="45001"/>
    <cellStyle name="Normal 3 5 3 3" xfId="1392"/>
    <cellStyle name="Normal 3 5 3 3 10" xfId="17852"/>
    <cellStyle name="Normal 3 5 3 3 11" xfId="19604"/>
    <cellStyle name="Normal 3 5 3 3 12" xfId="21357"/>
    <cellStyle name="Normal 3 5 3 3 13" xfId="23109"/>
    <cellStyle name="Normal 3 5 3 3 14" xfId="24861"/>
    <cellStyle name="Normal 3 5 3 3 15" xfId="26613"/>
    <cellStyle name="Normal 3 5 3 3 16" xfId="28365"/>
    <cellStyle name="Normal 3 5 3 3 17" xfId="30118"/>
    <cellStyle name="Normal 3 5 3 3 18" xfId="31870"/>
    <cellStyle name="Normal 3 5 3 3 19" xfId="33623"/>
    <cellStyle name="Normal 3 5 3 3 2" xfId="3834"/>
    <cellStyle name="Normal 3 5 3 3 20" xfId="36259"/>
    <cellStyle name="Normal 3 5 3 3 21" xfId="37999"/>
    <cellStyle name="Normal 3 5 3 3 22" xfId="39752"/>
    <cellStyle name="Normal 3 5 3 3 23" xfId="41507"/>
    <cellStyle name="Normal 3 5 3 3 24" xfId="43259"/>
    <cellStyle name="Normal 3 5 3 3 25" xfId="45877"/>
    <cellStyle name="Normal 3 5 3 3 26" xfId="47629"/>
    <cellStyle name="Normal 3 5 3 3 27" xfId="49381"/>
    <cellStyle name="Normal 3 5 3 3 28" xfId="51133"/>
    <cellStyle name="Normal 3 5 3 3 29" xfId="52885"/>
    <cellStyle name="Normal 3 5 3 3 3" xfId="5586"/>
    <cellStyle name="Normal 3 5 3 3 30" xfId="54637"/>
    <cellStyle name="Normal 3 5 3 3 31" xfId="56389"/>
    <cellStyle name="Normal 3 5 3 3 32" xfId="58142"/>
    <cellStyle name="Normal 3 5 3 3 33" xfId="59894"/>
    <cellStyle name="Normal 3 5 3 3 34" xfId="61646"/>
    <cellStyle name="Normal 3 5 3 3 4" xfId="7338"/>
    <cellStyle name="Normal 3 5 3 3 5" xfId="9090"/>
    <cellStyle name="Normal 3 5 3 3 6" xfId="10843"/>
    <cellStyle name="Normal 3 5 3 3 7" xfId="12595"/>
    <cellStyle name="Normal 3 5 3 3 8" xfId="14347"/>
    <cellStyle name="Normal 3 5 3 3 9" xfId="16099"/>
    <cellStyle name="Normal 3 5 3 30" xfId="46753"/>
    <cellStyle name="Normal 3 5 3 31" xfId="48505"/>
    <cellStyle name="Normal 3 5 3 32" xfId="50257"/>
    <cellStyle name="Normal 3 5 3 33" xfId="52009"/>
    <cellStyle name="Normal 3 5 3 34" xfId="53761"/>
    <cellStyle name="Normal 3 5 3 35" xfId="55513"/>
    <cellStyle name="Normal 3 5 3 36" xfId="57266"/>
    <cellStyle name="Normal 3 5 3 37" xfId="59018"/>
    <cellStyle name="Normal 3 5 3 38" xfId="60770"/>
    <cellStyle name="Normal 3 5 3 39" xfId="62635"/>
    <cellStyle name="Normal 3 5 3 4" xfId="2958"/>
    <cellStyle name="Normal 3 5 3 40" xfId="63501"/>
    <cellStyle name="Normal 3 5 3 5" xfId="4710"/>
    <cellStyle name="Normal 3 5 3 6" xfId="6462"/>
    <cellStyle name="Normal 3 5 3 7" xfId="8214"/>
    <cellStyle name="Normal 3 5 3 8" xfId="9967"/>
    <cellStyle name="Normal 3 5 3 9" xfId="11719"/>
    <cellStyle name="Normal 3 5 30" xfId="44243"/>
    <cellStyle name="Normal 3 5 31" xfId="44730"/>
    <cellStyle name="Normal 3 5 32" xfId="46482"/>
    <cellStyle name="Normal 3 5 33" xfId="48234"/>
    <cellStyle name="Normal 3 5 34" xfId="49986"/>
    <cellStyle name="Normal 3 5 35" xfId="51738"/>
    <cellStyle name="Normal 3 5 36" xfId="53490"/>
    <cellStyle name="Normal 3 5 37" xfId="55242"/>
    <cellStyle name="Normal 3 5 38" xfId="56995"/>
    <cellStyle name="Normal 3 5 39" xfId="58747"/>
    <cellStyle name="Normal 3 5 4" xfId="1393"/>
    <cellStyle name="Normal 3 5 4 10" xfId="15388"/>
    <cellStyle name="Normal 3 5 4 11" xfId="17141"/>
    <cellStyle name="Normal 3 5 4 12" xfId="18893"/>
    <cellStyle name="Normal 3 5 4 13" xfId="20646"/>
    <cellStyle name="Normal 3 5 4 14" xfId="22398"/>
    <cellStyle name="Normal 3 5 4 15" xfId="24150"/>
    <cellStyle name="Normal 3 5 4 16" xfId="25902"/>
    <cellStyle name="Normal 3 5 4 17" xfId="27654"/>
    <cellStyle name="Normal 3 5 4 18" xfId="29407"/>
    <cellStyle name="Normal 3 5 4 19" xfId="31159"/>
    <cellStyle name="Normal 3 5 4 2" xfId="1394"/>
    <cellStyle name="Normal 3 5 4 2 10" xfId="18017"/>
    <cellStyle name="Normal 3 5 4 2 11" xfId="19769"/>
    <cellStyle name="Normal 3 5 4 2 12" xfId="21522"/>
    <cellStyle name="Normal 3 5 4 2 13" xfId="23274"/>
    <cellStyle name="Normal 3 5 4 2 14" xfId="25026"/>
    <cellStyle name="Normal 3 5 4 2 15" xfId="26778"/>
    <cellStyle name="Normal 3 5 4 2 16" xfId="28530"/>
    <cellStyle name="Normal 3 5 4 2 17" xfId="30283"/>
    <cellStyle name="Normal 3 5 4 2 18" xfId="32035"/>
    <cellStyle name="Normal 3 5 4 2 19" xfId="33788"/>
    <cellStyle name="Normal 3 5 4 2 2" xfId="3999"/>
    <cellStyle name="Normal 3 5 4 2 20" xfId="36424"/>
    <cellStyle name="Normal 3 5 4 2 21" xfId="38164"/>
    <cellStyle name="Normal 3 5 4 2 22" xfId="39917"/>
    <cellStyle name="Normal 3 5 4 2 23" xfId="41672"/>
    <cellStyle name="Normal 3 5 4 2 24" xfId="43424"/>
    <cellStyle name="Normal 3 5 4 2 25" xfId="46042"/>
    <cellStyle name="Normal 3 5 4 2 26" xfId="47794"/>
    <cellStyle name="Normal 3 5 4 2 27" xfId="49546"/>
    <cellStyle name="Normal 3 5 4 2 28" xfId="51298"/>
    <cellStyle name="Normal 3 5 4 2 29" xfId="53050"/>
    <cellStyle name="Normal 3 5 4 2 3" xfId="5751"/>
    <cellStyle name="Normal 3 5 4 2 30" xfId="54802"/>
    <cellStyle name="Normal 3 5 4 2 31" xfId="56554"/>
    <cellStyle name="Normal 3 5 4 2 32" xfId="58307"/>
    <cellStyle name="Normal 3 5 4 2 33" xfId="60059"/>
    <cellStyle name="Normal 3 5 4 2 34" xfId="61811"/>
    <cellStyle name="Normal 3 5 4 2 4" xfId="7503"/>
    <cellStyle name="Normal 3 5 4 2 5" xfId="9255"/>
    <cellStyle name="Normal 3 5 4 2 6" xfId="11008"/>
    <cellStyle name="Normal 3 5 4 2 7" xfId="12760"/>
    <cellStyle name="Normal 3 5 4 2 8" xfId="14512"/>
    <cellStyle name="Normal 3 5 4 2 9" xfId="16264"/>
    <cellStyle name="Normal 3 5 4 20" xfId="32912"/>
    <cellStyle name="Normal 3 5 4 21" xfId="34629"/>
    <cellStyle name="Normal 3 5 4 22" xfId="35548"/>
    <cellStyle name="Normal 3 5 4 23" xfId="37250"/>
    <cellStyle name="Normal 3 5 4 24" xfId="39041"/>
    <cellStyle name="Normal 3 5 4 25" xfId="40796"/>
    <cellStyle name="Normal 3 5 4 26" xfId="42548"/>
    <cellStyle name="Normal 3 5 4 27" xfId="44250"/>
    <cellStyle name="Normal 3 5 4 28" xfId="45166"/>
    <cellStyle name="Normal 3 5 4 29" xfId="46918"/>
    <cellStyle name="Normal 3 5 4 3" xfId="3123"/>
    <cellStyle name="Normal 3 5 4 30" xfId="48670"/>
    <cellStyle name="Normal 3 5 4 31" xfId="50422"/>
    <cellStyle name="Normal 3 5 4 32" xfId="52174"/>
    <cellStyle name="Normal 3 5 4 33" xfId="53926"/>
    <cellStyle name="Normal 3 5 4 34" xfId="55678"/>
    <cellStyle name="Normal 3 5 4 35" xfId="57431"/>
    <cellStyle name="Normal 3 5 4 36" xfId="59183"/>
    <cellStyle name="Normal 3 5 4 37" xfId="60935"/>
    <cellStyle name="Normal 3 5 4 38" xfId="62637"/>
    <cellStyle name="Normal 3 5 4 39" xfId="63503"/>
    <cellStyle name="Normal 3 5 4 4" xfId="4875"/>
    <cellStyle name="Normal 3 5 4 5" xfId="6627"/>
    <cellStyle name="Normal 3 5 4 6" xfId="8379"/>
    <cellStyle name="Normal 3 5 4 7" xfId="10132"/>
    <cellStyle name="Normal 3 5 4 8" xfId="11884"/>
    <cellStyle name="Normal 3 5 4 9" xfId="13636"/>
    <cellStyle name="Normal 3 5 40" xfId="60499"/>
    <cellStyle name="Normal 3 5 41" xfId="62630"/>
    <cellStyle name="Normal 3 5 42" xfId="63496"/>
    <cellStyle name="Normal 3 5 5" xfId="1395"/>
    <cellStyle name="Normal 3 5 5 10" xfId="17581"/>
    <cellStyle name="Normal 3 5 5 11" xfId="19333"/>
    <cellStyle name="Normal 3 5 5 12" xfId="21086"/>
    <cellStyle name="Normal 3 5 5 13" xfId="22838"/>
    <cellStyle name="Normal 3 5 5 14" xfId="24590"/>
    <cellStyle name="Normal 3 5 5 15" xfId="26342"/>
    <cellStyle name="Normal 3 5 5 16" xfId="28094"/>
    <cellStyle name="Normal 3 5 5 17" xfId="29847"/>
    <cellStyle name="Normal 3 5 5 18" xfId="31599"/>
    <cellStyle name="Normal 3 5 5 19" xfId="33352"/>
    <cellStyle name="Normal 3 5 5 2" xfId="3563"/>
    <cellStyle name="Normal 3 5 5 20" xfId="35988"/>
    <cellStyle name="Normal 3 5 5 21" xfId="37734"/>
    <cellStyle name="Normal 3 5 5 22" xfId="39481"/>
    <cellStyle name="Normal 3 5 5 23" xfId="41236"/>
    <cellStyle name="Normal 3 5 5 24" xfId="42988"/>
    <cellStyle name="Normal 3 5 5 25" xfId="45606"/>
    <cellStyle name="Normal 3 5 5 26" xfId="47358"/>
    <cellStyle name="Normal 3 5 5 27" xfId="49110"/>
    <cellStyle name="Normal 3 5 5 28" xfId="50862"/>
    <cellStyle name="Normal 3 5 5 29" xfId="52614"/>
    <cellStyle name="Normal 3 5 5 3" xfId="5315"/>
    <cellStyle name="Normal 3 5 5 30" xfId="54366"/>
    <cellStyle name="Normal 3 5 5 31" xfId="56118"/>
    <cellStyle name="Normal 3 5 5 32" xfId="57871"/>
    <cellStyle name="Normal 3 5 5 33" xfId="59623"/>
    <cellStyle name="Normal 3 5 5 34" xfId="61375"/>
    <cellStyle name="Normal 3 5 5 4" xfId="7067"/>
    <cellStyle name="Normal 3 5 5 5" xfId="8819"/>
    <cellStyle name="Normal 3 5 5 6" xfId="10572"/>
    <cellStyle name="Normal 3 5 5 7" xfId="12324"/>
    <cellStyle name="Normal 3 5 5 8" xfId="14076"/>
    <cellStyle name="Normal 3 5 5 9" xfId="15828"/>
    <cellStyle name="Normal 3 5 6" xfId="2687"/>
    <cellStyle name="Normal 3 5 7" xfId="4439"/>
    <cellStyle name="Normal 3 5 8" xfId="6191"/>
    <cellStyle name="Normal 3 5 9" xfId="7943"/>
    <cellStyle name="Normal 3 6" xfId="1396"/>
    <cellStyle name="Normal 3 6 10" xfId="11501"/>
    <cellStyle name="Normal 3 6 11" xfId="13253"/>
    <cellStyle name="Normal 3 6 12" xfId="15005"/>
    <cellStyle name="Normal 3 6 13" xfId="16758"/>
    <cellStyle name="Normal 3 6 14" xfId="18510"/>
    <cellStyle name="Normal 3 6 15" xfId="20263"/>
    <cellStyle name="Normal 3 6 16" xfId="22015"/>
    <cellStyle name="Normal 3 6 17" xfId="23767"/>
    <cellStyle name="Normal 3 6 18" xfId="25519"/>
    <cellStyle name="Normal 3 6 19" xfId="27271"/>
    <cellStyle name="Normal 3 6 2" xfId="1397"/>
    <cellStyle name="Normal 3 6 2 10" xfId="13472"/>
    <cellStyle name="Normal 3 6 2 11" xfId="15224"/>
    <cellStyle name="Normal 3 6 2 12" xfId="16977"/>
    <cellStyle name="Normal 3 6 2 13" xfId="18729"/>
    <cellStyle name="Normal 3 6 2 14" xfId="20482"/>
    <cellStyle name="Normal 3 6 2 15" xfId="22234"/>
    <cellStyle name="Normal 3 6 2 16" xfId="23986"/>
    <cellStyle name="Normal 3 6 2 17" xfId="25738"/>
    <cellStyle name="Normal 3 6 2 18" xfId="27490"/>
    <cellStyle name="Normal 3 6 2 19" xfId="29243"/>
    <cellStyle name="Normal 3 6 2 2" xfId="1398"/>
    <cellStyle name="Normal 3 6 2 2 10" xfId="15660"/>
    <cellStyle name="Normal 3 6 2 2 11" xfId="17413"/>
    <cellStyle name="Normal 3 6 2 2 12" xfId="19165"/>
    <cellStyle name="Normal 3 6 2 2 13" xfId="20918"/>
    <cellStyle name="Normal 3 6 2 2 14" xfId="22670"/>
    <cellStyle name="Normal 3 6 2 2 15" xfId="24422"/>
    <cellStyle name="Normal 3 6 2 2 16" xfId="26174"/>
    <cellStyle name="Normal 3 6 2 2 17" xfId="27926"/>
    <cellStyle name="Normal 3 6 2 2 18" xfId="29679"/>
    <cellStyle name="Normal 3 6 2 2 19" xfId="31431"/>
    <cellStyle name="Normal 3 6 2 2 2" xfId="1399"/>
    <cellStyle name="Normal 3 6 2 2 2 10" xfId="18289"/>
    <cellStyle name="Normal 3 6 2 2 2 11" xfId="20041"/>
    <cellStyle name="Normal 3 6 2 2 2 12" xfId="21794"/>
    <cellStyle name="Normal 3 6 2 2 2 13" xfId="23546"/>
    <cellStyle name="Normal 3 6 2 2 2 14" xfId="25298"/>
    <cellStyle name="Normal 3 6 2 2 2 15" xfId="27050"/>
    <cellStyle name="Normal 3 6 2 2 2 16" xfId="28802"/>
    <cellStyle name="Normal 3 6 2 2 2 17" xfId="30555"/>
    <cellStyle name="Normal 3 6 2 2 2 18" xfId="32307"/>
    <cellStyle name="Normal 3 6 2 2 2 19" xfId="34060"/>
    <cellStyle name="Normal 3 6 2 2 2 2" xfId="4271"/>
    <cellStyle name="Normal 3 6 2 2 2 20" xfId="36696"/>
    <cellStyle name="Normal 3 6 2 2 2 21" xfId="38436"/>
    <cellStyle name="Normal 3 6 2 2 2 22" xfId="40189"/>
    <cellStyle name="Normal 3 6 2 2 2 23" xfId="41944"/>
    <cellStyle name="Normal 3 6 2 2 2 24" xfId="43696"/>
    <cellStyle name="Normal 3 6 2 2 2 25" xfId="46314"/>
    <cellStyle name="Normal 3 6 2 2 2 26" xfId="48066"/>
    <cellStyle name="Normal 3 6 2 2 2 27" xfId="49818"/>
    <cellStyle name="Normal 3 6 2 2 2 28" xfId="51570"/>
    <cellStyle name="Normal 3 6 2 2 2 29" xfId="53322"/>
    <cellStyle name="Normal 3 6 2 2 2 3" xfId="6023"/>
    <cellStyle name="Normal 3 6 2 2 2 30" xfId="55074"/>
    <cellStyle name="Normal 3 6 2 2 2 31" xfId="56826"/>
    <cellStyle name="Normal 3 6 2 2 2 32" xfId="58579"/>
    <cellStyle name="Normal 3 6 2 2 2 33" xfId="60331"/>
    <cellStyle name="Normal 3 6 2 2 2 34" xfId="62083"/>
    <cellStyle name="Normal 3 6 2 2 2 4" xfId="7775"/>
    <cellStyle name="Normal 3 6 2 2 2 5" xfId="9527"/>
    <cellStyle name="Normal 3 6 2 2 2 6" xfId="11280"/>
    <cellStyle name="Normal 3 6 2 2 2 7" xfId="13032"/>
    <cellStyle name="Normal 3 6 2 2 2 8" xfId="14784"/>
    <cellStyle name="Normal 3 6 2 2 2 9" xfId="16536"/>
    <cellStyle name="Normal 3 6 2 2 20" xfId="33184"/>
    <cellStyle name="Normal 3 6 2 2 21" xfId="34632"/>
    <cellStyle name="Normal 3 6 2 2 22" xfId="35820"/>
    <cellStyle name="Normal 3 6 2 2 23" xfId="37253"/>
    <cellStyle name="Normal 3 6 2 2 24" xfId="39313"/>
    <cellStyle name="Normal 3 6 2 2 25" xfId="41068"/>
    <cellStyle name="Normal 3 6 2 2 26" xfId="42820"/>
    <cellStyle name="Normal 3 6 2 2 27" xfId="44253"/>
    <cellStyle name="Normal 3 6 2 2 28" xfId="45438"/>
    <cellStyle name="Normal 3 6 2 2 29" xfId="47190"/>
    <cellStyle name="Normal 3 6 2 2 3" xfId="3395"/>
    <cellStyle name="Normal 3 6 2 2 30" xfId="48942"/>
    <cellStyle name="Normal 3 6 2 2 31" xfId="50694"/>
    <cellStyle name="Normal 3 6 2 2 32" xfId="52446"/>
    <cellStyle name="Normal 3 6 2 2 33" xfId="54198"/>
    <cellStyle name="Normal 3 6 2 2 34" xfId="55950"/>
    <cellStyle name="Normal 3 6 2 2 35" xfId="57703"/>
    <cellStyle name="Normal 3 6 2 2 36" xfId="59455"/>
    <cellStyle name="Normal 3 6 2 2 37" xfId="61207"/>
    <cellStyle name="Normal 3 6 2 2 38" xfId="62640"/>
    <cellStyle name="Normal 3 6 2 2 39" xfId="63506"/>
    <cellStyle name="Normal 3 6 2 2 4" xfId="5147"/>
    <cellStyle name="Normal 3 6 2 2 5" xfId="6899"/>
    <cellStyle name="Normal 3 6 2 2 6" xfId="8651"/>
    <cellStyle name="Normal 3 6 2 2 7" xfId="10404"/>
    <cellStyle name="Normal 3 6 2 2 8" xfId="12156"/>
    <cellStyle name="Normal 3 6 2 2 9" xfId="13908"/>
    <cellStyle name="Normal 3 6 2 20" xfId="30995"/>
    <cellStyle name="Normal 3 6 2 21" xfId="32748"/>
    <cellStyle name="Normal 3 6 2 22" xfId="34631"/>
    <cellStyle name="Normal 3 6 2 23" xfId="35384"/>
    <cellStyle name="Normal 3 6 2 24" xfId="37252"/>
    <cellStyle name="Normal 3 6 2 25" xfId="38877"/>
    <cellStyle name="Normal 3 6 2 26" xfId="40632"/>
    <cellStyle name="Normal 3 6 2 27" xfId="42384"/>
    <cellStyle name="Normal 3 6 2 28" xfId="44252"/>
    <cellStyle name="Normal 3 6 2 29" xfId="45002"/>
    <cellStyle name="Normal 3 6 2 3" xfId="1400"/>
    <cellStyle name="Normal 3 6 2 3 10" xfId="17853"/>
    <cellStyle name="Normal 3 6 2 3 11" xfId="19605"/>
    <cellStyle name="Normal 3 6 2 3 12" xfId="21358"/>
    <cellStyle name="Normal 3 6 2 3 13" xfId="23110"/>
    <cellStyle name="Normal 3 6 2 3 14" xfId="24862"/>
    <cellStyle name="Normal 3 6 2 3 15" xfId="26614"/>
    <cellStyle name="Normal 3 6 2 3 16" xfId="28366"/>
    <cellStyle name="Normal 3 6 2 3 17" xfId="30119"/>
    <cellStyle name="Normal 3 6 2 3 18" xfId="31871"/>
    <cellStyle name="Normal 3 6 2 3 19" xfId="33624"/>
    <cellStyle name="Normal 3 6 2 3 2" xfId="3835"/>
    <cellStyle name="Normal 3 6 2 3 20" xfId="36260"/>
    <cellStyle name="Normal 3 6 2 3 21" xfId="38000"/>
    <cellStyle name="Normal 3 6 2 3 22" xfId="39753"/>
    <cellStyle name="Normal 3 6 2 3 23" xfId="41508"/>
    <cellStyle name="Normal 3 6 2 3 24" xfId="43260"/>
    <cellStyle name="Normal 3 6 2 3 25" xfId="45878"/>
    <cellStyle name="Normal 3 6 2 3 26" xfId="47630"/>
    <cellStyle name="Normal 3 6 2 3 27" xfId="49382"/>
    <cellStyle name="Normal 3 6 2 3 28" xfId="51134"/>
    <cellStyle name="Normal 3 6 2 3 29" xfId="52886"/>
    <cellStyle name="Normal 3 6 2 3 3" xfId="5587"/>
    <cellStyle name="Normal 3 6 2 3 30" xfId="54638"/>
    <cellStyle name="Normal 3 6 2 3 31" xfId="56390"/>
    <cellStyle name="Normal 3 6 2 3 32" xfId="58143"/>
    <cellStyle name="Normal 3 6 2 3 33" xfId="59895"/>
    <cellStyle name="Normal 3 6 2 3 34" xfId="61647"/>
    <cellStyle name="Normal 3 6 2 3 4" xfId="7339"/>
    <cellStyle name="Normal 3 6 2 3 5" xfId="9091"/>
    <cellStyle name="Normal 3 6 2 3 6" xfId="10844"/>
    <cellStyle name="Normal 3 6 2 3 7" xfId="12596"/>
    <cellStyle name="Normal 3 6 2 3 8" xfId="14348"/>
    <cellStyle name="Normal 3 6 2 3 9" xfId="16100"/>
    <cellStyle name="Normal 3 6 2 30" xfId="46754"/>
    <cellStyle name="Normal 3 6 2 31" xfId="48506"/>
    <cellStyle name="Normal 3 6 2 32" xfId="50258"/>
    <cellStyle name="Normal 3 6 2 33" xfId="52010"/>
    <cellStyle name="Normal 3 6 2 34" xfId="53762"/>
    <cellStyle name="Normal 3 6 2 35" xfId="55514"/>
    <cellStyle name="Normal 3 6 2 36" xfId="57267"/>
    <cellStyle name="Normal 3 6 2 37" xfId="59019"/>
    <cellStyle name="Normal 3 6 2 38" xfId="60771"/>
    <cellStyle name="Normal 3 6 2 39" xfId="62639"/>
    <cellStyle name="Normal 3 6 2 4" xfId="2959"/>
    <cellStyle name="Normal 3 6 2 40" xfId="63505"/>
    <cellStyle name="Normal 3 6 2 5" xfId="4711"/>
    <cellStyle name="Normal 3 6 2 6" xfId="6463"/>
    <cellStyle name="Normal 3 6 2 7" xfId="8215"/>
    <cellStyle name="Normal 3 6 2 8" xfId="9968"/>
    <cellStyle name="Normal 3 6 2 9" xfId="11720"/>
    <cellStyle name="Normal 3 6 20" xfId="29024"/>
    <cellStyle name="Normal 3 6 21" xfId="30776"/>
    <cellStyle name="Normal 3 6 22" xfId="32529"/>
    <cellStyle name="Normal 3 6 23" xfId="34630"/>
    <cellStyle name="Normal 3 6 24" xfId="35165"/>
    <cellStyle name="Normal 3 6 25" xfId="37251"/>
    <cellStyle name="Normal 3 6 26" xfId="38658"/>
    <cellStyle name="Normal 3 6 27" xfId="40413"/>
    <cellStyle name="Normal 3 6 28" xfId="42165"/>
    <cellStyle name="Normal 3 6 29" xfId="44251"/>
    <cellStyle name="Normal 3 6 3" xfId="1401"/>
    <cellStyle name="Normal 3 6 3 10" xfId="15441"/>
    <cellStyle name="Normal 3 6 3 11" xfId="17194"/>
    <cellStyle name="Normal 3 6 3 12" xfId="18946"/>
    <cellStyle name="Normal 3 6 3 13" xfId="20699"/>
    <cellStyle name="Normal 3 6 3 14" xfId="22451"/>
    <cellStyle name="Normal 3 6 3 15" xfId="24203"/>
    <cellStyle name="Normal 3 6 3 16" xfId="25955"/>
    <cellStyle name="Normal 3 6 3 17" xfId="27707"/>
    <cellStyle name="Normal 3 6 3 18" xfId="29460"/>
    <cellStyle name="Normal 3 6 3 19" xfId="31212"/>
    <cellStyle name="Normal 3 6 3 2" xfId="1402"/>
    <cellStyle name="Normal 3 6 3 2 10" xfId="18070"/>
    <cellStyle name="Normal 3 6 3 2 11" xfId="19822"/>
    <cellStyle name="Normal 3 6 3 2 12" xfId="21575"/>
    <cellStyle name="Normal 3 6 3 2 13" xfId="23327"/>
    <cellStyle name="Normal 3 6 3 2 14" xfId="25079"/>
    <cellStyle name="Normal 3 6 3 2 15" xfId="26831"/>
    <cellStyle name="Normal 3 6 3 2 16" xfId="28583"/>
    <cellStyle name="Normal 3 6 3 2 17" xfId="30336"/>
    <cellStyle name="Normal 3 6 3 2 18" xfId="32088"/>
    <cellStyle name="Normal 3 6 3 2 19" xfId="33841"/>
    <cellStyle name="Normal 3 6 3 2 2" xfId="4052"/>
    <cellStyle name="Normal 3 6 3 2 20" xfId="36477"/>
    <cellStyle name="Normal 3 6 3 2 21" xfId="38217"/>
    <cellStyle name="Normal 3 6 3 2 22" xfId="39970"/>
    <cellStyle name="Normal 3 6 3 2 23" xfId="41725"/>
    <cellStyle name="Normal 3 6 3 2 24" xfId="43477"/>
    <cellStyle name="Normal 3 6 3 2 25" xfId="46095"/>
    <cellStyle name="Normal 3 6 3 2 26" xfId="47847"/>
    <cellStyle name="Normal 3 6 3 2 27" xfId="49599"/>
    <cellStyle name="Normal 3 6 3 2 28" xfId="51351"/>
    <cellStyle name="Normal 3 6 3 2 29" xfId="53103"/>
    <cellStyle name="Normal 3 6 3 2 3" xfId="5804"/>
    <cellStyle name="Normal 3 6 3 2 30" xfId="54855"/>
    <cellStyle name="Normal 3 6 3 2 31" xfId="56607"/>
    <cellStyle name="Normal 3 6 3 2 32" xfId="58360"/>
    <cellStyle name="Normal 3 6 3 2 33" xfId="60112"/>
    <cellStyle name="Normal 3 6 3 2 34" xfId="61864"/>
    <cellStyle name="Normal 3 6 3 2 4" xfId="7556"/>
    <cellStyle name="Normal 3 6 3 2 5" xfId="9308"/>
    <cellStyle name="Normal 3 6 3 2 6" xfId="11061"/>
    <cellStyle name="Normal 3 6 3 2 7" xfId="12813"/>
    <cellStyle name="Normal 3 6 3 2 8" xfId="14565"/>
    <cellStyle name="Normal 3 6 3 2 9" xfId="16317"/>
    <cellStyle name="Normal 3 6 3 20" xfId="32965"/>
    <cellStyle name="Normal 3 6 3 21" xfId="34633"/>
    <cellStyle name="Normal 3 6 3 22" xfId="35601"/>
    <cellStyle name="Normal 3 6 3 23" xfId="37254"/>
    <cellStyle name="Normal 3 6 3 24" xfId="39094"/>
    <cellStyle name="Normal 3 6 3 25" xfId="40849"/>
    <cellStyle name="Normal 3 6 3 26" xfId="42601"/>
    <cellStyle name="Normal 3 6 3 27" xfId="44254"/>
    <cellStyle name="Normal 3 6 3 28" xfId="45219"/>
    <cellStyle name="Normal 3 6 3 29" xfId="46971"/>
    <cellStyle name="Normal 3 6 3 3" xfId="3176"/>
    <cellStyle name="Normal 3 6 3 30" xfId="48723"/>
    <cellStyle name="Normal 3 6 3 31" xfId="50475"/>
    <cellStyle name="Normal 3 6 3 32" xfId="52227"/>
    <cellStyle name="Normal 3 6 3 33" xfId="53979"/>
    <cellStyle name="Normal 3 6 3 34" xfId="55731"/>
    <cellStyle name="Normal 3 6 3 35" xfId="57484"/>
    <cellStyle name="Normal 3 6 3 36" xfId="59236"/>
    <cellStyle name="Normal 3 6 3 37" xfId="60988"/>
    <cellStyle name="Normal 3 6 3 38" xfId="62641"/>
    <cellStyle name="Normal 3 6 3 39" xfId="63507"/>
    <cellStyle name="Normal 3 6 3 4" xfId="4928"/>
    <cellStyle name="Normal 3 6 3 5" xfId="6680"/>
    <cellStyle name="Normal 3 6 3 6" xfId="8432"/>
    <cellStyle name="Normal 3 6 3 7" xfId="10185"/>
    <cellStyle name="Normal 3 6 3 8" xfId="11937"/>
    <cellStyle name="Normal 3 6 3 9" xfId="13689"/>
    <cellStyle name="Normal 3 6 30" xfId="44783"/>
    <cellStyle name="Normal 3 6 31" xfId="46535"/>
    <cellStyle name="Normal 3 6 32" xfId="48287"/>
    <cellStyle name="Normal 3 6 33" xfId="50039"/>
    <cellStyle name="Normal 3 6 34" xfId="51791"/>
    <cellStyle name="Normal 3 6 35" xfId="53543"/>
    <cellStyle name="Normal 3 6 36" xfId="55295"/>
    <cellStyle name="Normal 3 6 37" xfId="57048"/>
    <cellStyle name="Normal 3 6 38" xfId="58800"/>
    <cellStyle name="Normal 3 6 39" xfId="60552"/>
    <cellStyle name="Normal 3 6 4" xfId="1403"/>
    <cellStyle name="Normal 3 6 4 10" xfId="17634"/>
    <cellStyle name="Normal 3 6 4 11" xfId="19386"/>
    <cellStyle name="Normal 3 6 4 12" xfId="21139"/>
    <cellStyle name="Normal 3 6 4 13" xfId="22891"/>
    <cellStyle name="Normal 3 6 4 14" xfId="24643"/>
    <cellStyle name="Normal 3 6 4 15" xfId="26395"/>
    <cellStyle name="Normal 3 6 4 16" xfId="28147"/>
    <cellStyle name="Normal 3 6 4 17" xfId="29900"/>
    <cellStyle name="Normal 3 6 4 18" xfId="31652"/>
    <cellStyle name="Normal 3 6 4 19" xfId="33405"/>
    <cellStyle name="Normal 3 6 4 2" xfId="3616"/>
    <cellStyle name="Normal 3 6 4 20" xfId="36041"/>
    <cellStyle name="Normal 3 6 4 21" xfId="37781"/>
    <cellStyle name="Normal 3 6 4 22" xfId="39534"/>
    <cellStyle name="Normal 3 6 4 23" xfId="41289"/>
    <cellStyle name="Normal 3 6 4 24" xfId="43041"/>
    <cellStyle name="Normal 3 6 4 25" xfId="45659"/>
    <cellStyle name="Normal 3 6 4 26" xfId="47411"/>
    <cellStyle name="Normal 3 6 4 27" xfId="49163"/>
    <cellStyle name="Normal 3 6 4 28" xfId="50915"/>
    <cellStyle name="Normal 3 6 4 29" xfId="52667"/>
    <cellStyle name="Normal 3 6 4 3" xfId="5368"/>
    <cellStyle name="Normal 3 6 4 30" xfId="54419"/>
    <cellStyle name="Normal 3 6 4 31" xfId="56171"/>
    <cellStyle name="Normal 3 6 4 32" xfId="57924"/>
    <cellStyle name="Normal 3 6 4 33" xfId="59676"/>
    <cellStyle name="Normal 3 6 4 34" xfId="61428"/>
    <cellStyle name="Normal 3 6 4 4" xfId="7120"/>
    <cellStyle name="Normal 3 6 4 5" xfId="8872"/>
    <cellStyle name="Normal 3 6 4 6" xfId="10625"/>
    <cellStyle name="Normal 3 6 4 7" xfId="12377"/>
    <cellStyle name="Normal 3 6 4 8" xfId="14129"/>
    <cellStyle name="Normal 3 6 4 9" xfId="15881"/>
    <cellStyle name="Normal 3 6 40" xfId="62638"/>
    <cellStyle name="Normal 3 6 41" xfId="63504"/>
    <cellStyle name="Normal 3 6 5" xfId="2740"/>
    <cellStyle name="Normal 3 6 6" xfId="4492"/>
    <cellStyle name="Normal 3 6 7" xfId="6244"/>
    <cellStyle name="Normal 3 6 8" xfId="7996"/>
    <cellStyle name="Normal 3 6 9" xfId="9749"/>
    <cellStyle name="Normal 3 7" xfId="1404"/>
    <cellStyle name="Normal 3 7 10" xfId="13473"/>
    <cellStyle name="Normal 3 7 11" xfId="15225"/>
    <cellStyle name="Normal 3 7 12" xfId="16978"/>
    <cellStyle name="Normal 3 7 13" xfId="18730"/>
    <cellStyle name="Normal 3 7 14" xfId="20483"/>
    <cellStyle name="Normal 3 7 15" xfId="22235"/>
    <cellStyle name="Normal 3 7 16" xfId="23987"/>
    <cellStyle name="Normal 3 7 17" xfId="25739"/>
    <cellStyle name="Normal 3 7 18" xfId="27491"/>
    <cellStyle name="Normal 3 7 19" xfId="29244"/>
    <cellStyle name="Normal 3 7 2" xfId="1405"/>
    <cellStyle name="Normal 3 7 2 10" xfId="15661"/>
    <cellStyle name="Normal 3 7 2 11" xfId="17414"/>
    <cellStyle name="Normal 3 7 2 12" xfId="19166"/>
    <cellStyle name="Normal 3 7 2 13" xfId="20919"/>
    <cellStyle name="Normal 3 7 2 14" xfId="22671"/>
    <cellStyle name="Normal 3 7 2 15" xfId="24423"/>
    <cellStyle name="Normal 3 7 2 16" xfId="26175"/>
    <cellStyle name="Normal 3 7 2 17" xfId="27927"/>
    <cellStyle name="Normal 3 7 2 18" xfId="29680"/>
    <cellStyle name="Normal 3 7 2 19" xfId="31432"/>
    <cellStyle name="Normal 3 7 2 2" xfId="1406"/>
    <cellStyle name="Normal 3 7 2 2 10" xfId="18290"/>
    <cellStyle name="Normal 3 7 2 2 11" xfId="20042"/>
    <cellStyle name="Normal 3 7 2 2 12" xfId="21795"/>
    <cellStyle name="Normal 3 7 2 2 13" xfId="23547"/>
    <cellStyle name="Normal 3 7 2 2 14" xfId="25299"/>
    <cellStyle name="Normal 3 7 2 2 15" xfId="27051"/>
    <cellStyle name="Normal 3 7 2 2 16" xfId="28803"/>
    <cellStyle name="Normal 3 7 2 2 17" xfId="30556"/>
    <cellStyle name="Normal 3 7 2 2 18" xfId="32308"/>
    <cellStyle name="Normal 3 7 2 2 19" xfId="34061"/>
    <cellStyle name="Normal 3 7 2 2 2" xfId="4272"/>
    <cellStyle name="Normal 3 7 2 2 20" xfId="36697"/>
    <cellStyle name="Normal 3 7 2 2 21" xfId="38437"/>
    <cellStyle name="Normal 3 7 2 2 22" xfId="40190"/>
    <cellStyle name="Normal 3 7 2 2 23" xfId="41945"/>
    <cellStyle name="Normal 3 7 2 2 24" xfId="43697"/>
    <cellStyle name="Normal 3 7 2 2 25" xfId="46315"/>
    <cellStyle name="Normal 3 7 2 2 26" xfId="48067"/>
    <cellStyle name="Normal 3 7 2 2 27" xfId="49819"/>
    <cellStyle name="Normal 3 7 2 2 28" xfId="51571"/>
    <cellStyle name="Normal 3 7 2 2 29" xfId="53323"/>
    <cellStyle name="Normal 3 7 2 2 3" xfId="6024"/>
    <cellStyle name="Normal 3 7 2 2 30" xfId="55075"/>
    <cellStyle name="Normal 3 7 2 2 31" xfId="56827"/>
    <cellStyle name="Normal 3 7 2 2 32" xfId="58580"/>
    <cellStyle name="Normal 3 7 2 2 33" xfId="60332"/>
    <cellStyle name="Normal 3 7 2 2 34" xfId="62084"/>
    <cellStyle name="Normal 3 7 2 2 4" xfId="7776"/>
    <cellStyle name="Normal 3 7 2 2 5" xfId="9528"/>
    <cellStyle name="Normal 3 7 2 2 6" xfId="11281"/>
    <cellStyle name="Normal 3 7 2 2 7" xfId="13033"/>
    <cellStyle name="Normal 3 7 2 2 8" xfId="14785"/>
    <cellStyle name="Normal 3 7 2 2 9" xfId="16537"/>
    <cellStyle name="Normal 3 7 2 20" xfId="33185"/>
    <cellStyle name="Normal 3 7 2 21" xfId="34635"/>
    <cellStyle name="Normal 3 7 2 22" xfId="35821"/>
    <cellStyle name="Normal 3 7 2 23" xfId="37256"/>
    <cellStyle name="Normal 3 7 2 24" xfId="39314"/>
    <cellStyle name="Normal 3 7 2 25" xfId="41069"/>
    <cellStyle name="Normal 3 7 2 26" xfId="42821"/>
    <cellStyle name="Normal 3 7 2 27" xfId="44256"/>
    <cellStyle name="Normal 3 7 2 28" xfId="45439"/>
    <cellStyle name="Normal 3 7 2 29" xfId="47191"/>
    <cellStyle name="Normal 3 7 2 3" xfId="3396"/>
    <cellStyle name="Normal 3 7 2 30" xfId="48943"/>
    <cellStyle name="Normal 3 7 2 31" xfId="50695"/>
    <cellStyle name="Normal 3 7 2 32" xfId="52447"/>
    <cellStyle name="Normal 3 7 2 33" xfId="54199"/>
    <cellStyle name="Normal 3 7 2 34" xfId="55951"/>
    <cellStyle name="Normal 3 7 2 35" xfId="57704"/>
    <cellStyle name="Normal 3 7 2 36" xfId="59456"/>
    <cellStyle name="Normal 3 7 2 37" xfId="61208"/>
    <cellStyle name="Normal 3 7 2 38" xfId="62643"/>
    <cellStyle name="Normal 3 7 2 39" xfId="63509"/>
    <cellStyle name="Normal 3 7 2 4" xfId="5148"/>
    <cellStyle name="Normal 3 7 2 5" xfId="6900"/>
    <cellStyle name="Normal 3 7 2 6" xfId="8652"/>
    <cellStyle name="Normal 3 7 2 7" xfId="10405"/>
    <cellStyle name="Normal 3 7 2 8" xfId="12157"/>
    <cellStyle name="Normal 3 7 2 9" xfId="13909"/>
    <cellStyle name="Normal 3 7 20" xfId="30996"/>
    <cellStyle name="Normal 3 7 21" xfId="32749"/>
    <cellStyle name="Normal 3 7 22" xfId="34634"/>
    <cellStyle name="Normal 3 7 23" xfId="35385"/>
    <cellStyle name="Normal 3 7 24" xfId="37255"/>
    <cellStyle name="Normal 3 7 25" xfId="38878"/>
    <cellStyle name="Normal 3 7 26" xfId="40633"/>
    <cellStyle name="Normal 3 7 27" xfId="42385"/>
    <cellStyle name="Normal 3 7 28" xfId="44255"/>
    <cellStyle name="Normal 3 7 29" xfId="45003"/>
    <cellStyle name="Normal 3 7 3" xfId="1407"/>
    <cellStyle name="Normal 3 7 3 10" xfId="17854"/>
    <cellStyle name="Normal 3 7 3 11" xfId="19606"/>
    <cellStyle name="Normal 3 7 3 12" xfId="21359"/>
    <cellStyle name="Normal 3 7 3 13" xfId="23111"/>
    <cellStyle name="Normal 3 7 3 14" xfId="24863"/>
    <cellStyle name="Normal 3 7 3 15" xfId="26615"/>
    <cellStyle name="Normal 3 7 3 16" xfId="28367"/>
    <cellStyle name="Normal 3 7 3 17" xfId="30120"/>
    <cellStyle name="Normal 3 7 3 18" xfId="31872"/>
    <cellStyle name="Normal 3 7 3 19" xfId="33625"/>
    <cellStyle name="Normal 3 7 3 2" xfId="3836"/>
    <cellStyle name="Normal 3 7 3 20" xfId="36261"/>
    <cellStyle name="Normal 3 7 3 21" xfId="38001"/>
    <cellStyle name="Normal 3 7 3 22" xfId="39754"/>
    <cellStyle name="Normal 3 7 3 23" xfId="41509"/>
    <cellStyle name="Normal 3 7 3 24" xfId="43261"/>
    <cellStyle name="Normal 3 7 3 25" xfId="45879"/>
    <cellStyle name="Normal 3 7 3 26" xfId="47631"/>
    <cellStyle name="Normal 3 7 3 27" xfId="49383"/>
    <cellStyle name="Normal 3 7 3 28" xfId="51135"/>
    <cellStyle name="Normal 3 7 3 29" xfId="52887"/>
    <cellStyle name="Normal 3 7 3 3" xfId="5588"/>
    <cellStyle name="Normal 3 7 3 30" xfId="54639"/>
    <cellStyle name="Normal 3 7 3 31" xfId="56391"/>
    <cellStyle name="Normal 3 7 3 32" xfId="58144"/>
    <cellStyle name="Normal 3 7 3 33" xfId="59896"/>
    <cellStyle name="Normal 3 7 3 34" xfId="61648"/>
    <cellStyle name="Normal 3 7 3 4" xfId="7340"/>
    <cellStyle name="Normal 3 7 3 5" xfId="9092"/>
    <cellStyle name="Normal 3 7 3 6" xfId="10845"/>
    <cellStyle name="Normal 3 7 3 7" xfId="12597"/>
    <cellStyle name="Normal 3 7 3 8" xfId="14349"/>
    <cellStyle name="Normal 3 7 3 9" xfId="16101"/>
    <cellStyle name="Normal 3 7 30" xfId="46755"/>
    <cellStyle name="Normal 3 7 31" xfId="48507"/>
    <cellStyle name="Normal 3 7 32" xfId="50259"/>
    <cellStyle name="Normal 3 7 33" xfId="52011"/>
    <cellStyle name="Normal 3 7 34" xfId="53763"/>
    <cellStyle name="Normal 3 7 35" xfId="55515"/>
    <cellStyle name="Normal 3 7 36" xfId="57268"/>
    <cellStyle name="Normal 3 7 37" xfId="59020"/>
    <cellStyle name="Normal 3 7 38" xfId="60772"/>
    <cellStyle name="Normal 3 7 39" xfId="62642"/>
    <cellStyle name="Normal 3 7 4" xfId="2960"/>
    <cellStyle name="Normal 3 7 40" xfId="63508"/>
    <cellStyle name="Normal 3 7 5" xfId="4712"/>
    <cellStyle name="Normal 3 7 6" xfId="6464"/>
    <cellStyle name="Normal 3 7 7" xfId="8216"/>
    <cellStyle name="Normal 3 7 8" xfId="9969"/>
    <cellStyle name="Normal 3 7 9" xfId="11721"/>
    <cellStyle name="Normal 3 8" xfId="1408"/>
    <cellStyle name="Normal 3 8 10" xfId="15333"/>
    <cellStyle name="Normal 3 8 11" xfId="17086"/>
    <cellStyle name="Normal 3 8 12" xfId="18838"/>
    <cellStyle name="Normal 3 8 13" xfId="20591"/>
    <cellStyle name="Normal 3 8 14" xfId="22343"/>
    <cellStyle name="Normal 3 8 15" xfId="24095"/>
    <cellStyle name="Normal 3 8 16" xfId="25847"/>
    <cellStyle name="Normal 3 8 17" xfId="27599"/>
    <cellStyle name="Normal 3 8 18" xfId="29352"/>
    <cellStyle name="Normal 3 8 19" xfId="31104"/>
    <cellStyle name="Normal 3 8 2" xfId="1409"/>
    <cellStyle name="Normal 3 8 2 10" xfId="17962"/>
    <cellStyle name="Normal 3 8 2 11" xfId="19714"/>
    <cellStyle name="Normal 3 8 2 12" xfId="21467"/>
    <cellStyle name="Normal 3 8 2 13" xfId="23219"/>
    <cellStyle name="Normal 3 8 2 14" xfId="24971"/>
    <cellStyle name="Normal 3 8 2 15" xfId="26723"/>
    <cellStyle name="Normal 3 8 2 16" xfId="28475"/>
    <cellStyle name="Normal 3 8 2 17" xfId="30228"/>
    <cellStyle name="Normal 3 8 2 18" xfId="31980"/>
    <cellStyle name="Normal 3 8 2 19" xfId="33733"/>
    <cellStyle name="Normal 3 8 2 2" xfId="3944"/>
    <cellStyle name="Normal 3 8 2 20" xfId="36369"/>
    <cellStyle name="Normal 3 8 2 21" xfId="38109"/>
    <cellStyle name="Normal 3 8 2 22" xfId="39862"/>
    <cellStyle name="Normal 3 8 2 23" xfId="41617"/>
    <cellStyle name="Normal 3 8 2 24" xfId="43369"/>
    <cellStyle name="Normal 3 8 2 25" xfId="45987"/>
    <cellStyle name="Normal 3 8 2 26" xfId="47739"/>
    <cellStyle name="Normal 3 8 2 27" xfId="49491"/>
    <cellStyle name="Normal 3 8 2 28" xfId="51243"/>
    <cellStyle name="Normal 3 8 2 29" xfId="52995"/>
    <cellStyle name="Normal 3 8 2 3" xfId="5696"/>
    <cellStyle name="Normal 3 8 2 30" xfId="54747"/>
    <cellStyle name="Normal 3 8 2 31" xfId="56499"/>
    <cellStyle name="Normal 3 8 2 32" xfId="58252"/>
    <cellStyle name="Normal 3 8 2 33" xfId="60004"/>
    <cellStyle name="Normal 3 8 2 34" xfId="61756"/>
    <cellStyle name="Normal 3 8 2 4" xfId="7448"/>
    <cellStyle name="Normal 3 8 2 5" xfId="9200"/>
    <cellStyle name="Normal 3 8 2 6" xfId="10953"/>
    <cellStyle name="Normal 3 8 2 7" xfId="12705"/>
    <cellStyle name="Normal 3 8 2 8" xfId="14457"/>
    <cellStyle name="Normal 3 8 2 9" xfId="16209"/>
    <cellStyle name="Normal 3 8 20" xfId="32857"/>
    <cellStyle name="Normal 3 8 21" xfId="34636"/>
    <cellStyle name="Normal 3 8 22" xfId="35493"/>
    <cellStyle name="Normal 3 8 23" xfId="37257"/>
    <cellStyle name="Normal 3 8 24" xfId="38986"/>
    <cellStyle name="Normal 3 8 25" xfId="40741"/>
    <cellStyle name="Normal 3 8 26" xfId="42493"/>
    <cellStyle name="Normal 3 8 27" xfId="44257"/>
    <cellStyle name="Normal 3 8 28" xfId="45111"/>
    <cellStyle name="Normal 3 8 29" xfId="46863"/>
    <cellStyle name="Normal 3 8 3" xfId="3068"/>
    <cellStyle name="Normal 3 8 30" xfId="48615"/>
    <cellStyle name="Normal 3 8 31" xfId="50367"/>
    <cellStyle name="Normal 3 8 32" xfId="52119"/>
    <cellStyle name="Normal 3 8 33" xfId="53871"/>
    <cellStyle name="Normal 3 8 34" xfId="55623"/>
    <cellStyle name="Normal 3 8 35" xfId="57376"/>
    <cellStyle name="Normal 3 8 36" xfId="59128"/>
    <cellStyle name="Normal 3 8 37" xfId="60880"/>
    <cellStyle name="Normal 3 8 38" xfId="62644"/>
    <cellStyle name="Normal 3 8 39" xfId="63510"/>
    <cellStyle name="Normal 3 8 4" xfId="4820"/>
    <cellStyle name="Normal 3 8 5" xfId="6572"/>
    <cellStyle name="Normal 3 8 6" xfId="8324"/>
    <cellStyle name="Normal 3 8 7" xfId="10077"/>
    <cellStyle name="Normal 3 8 8" xfId="11829"/>
    <cellStyle name="Normal 3 8 9" xfId="13581"/>
    <cellStyle name="Normal 3 9" xfId="1410"/>
    <cellStyle name="Normal 3 9 10" xfId="17526"/>
    <cellStyle name="Normal 3 9 11" xfId="19278"/>
    <cellStyle name="Normal 3 9 12" xfId="21031"/>
    <cellStyle name="Normal 3 9 13" xfId="22783"/>
    <cellStyle name="Normal 3 9 14" xfId="24535"/>
    <cellStyle name="Normal 3 9 15" xfId="26287"/>
    <cellStyle name="Normal 3 9 16" xfId="28039"/>
    <cellStyle name="Normal 3 9 17" xfId="29792"/>
    <cellStyle name="Normal 3 9 18" xfId="31544"/>
    <cellStyle name="Normal 3 9 19" xfId="33297"/>
    <cellStyle name="Normal 3 9 2" xfId="3508"/>
    <cellStyle name="Normal 3 9 20" xfId="34589"/>
    <cellStyle name="Normal 3 9 21" xfId="35933"/>
    <cellStyle name="Normal 3 9 22" xfId="37210"/>
    <cellStyle name="Normal 3 9 23" xfId="39426"/>
    <cellStyle name="Normal 3 9 24" xfId="41181"/>
    <cellStyle name="Normal 3 9 25" xfId="42933"/>
    <cellStyle name="Normal 3 9 26" xfId="44210"/>
    <cellStyle name="Normal 3 9 27" xfId="45551"/>
    <cellStyle name="Normal 3 9 28" xfId="47303"/>
    <cellStyle name="Normal 3 9 29" xfId="49055"/>
    <cellStyle name="Normal 3 9 3" xfId="5260"/>
    <cellStyle name="Normal 3 9 30" xfId="50807"/>
    <cellStyle name="Normal 3 9 31" xfId="52559"/>
    <cellStyle name="Normal 3 9 32" xfId="54311"/>
    <cellStyle name="Normal 3 9 33" xfId="56063"/>
    <cellStyle name="Normal 3 9 34" xfId="57816"/>
    <cellStyle name="Normal 3 9 35" xfId="59568"/>
    <cellStyle name="Normal 3 9 36" xfId="61320"/>
    <cellStyle name="Normal 3 9 37" xfId="62597"/>
    <cellStyle name="Normal 3 9 38" xfId="63463"/>
    <cellStyle name="Normal 3 9 4" xfId="7012"/>
    <cellStyle name="Normal 3 9 5" xfId="8764"/>
    <cellStyle name="Normal 3 9 6" xfId="10517"/>
    <cellStyle name="Normal 3 9 7" xfId="12269"/>
    <cellStyle name="Normal 3 9 8" xfId="14021"/>
    <cellStyle name="Normal 3 9 9" xfId="15773"/>
    <cellStyle name="Normal 30" xfId="1411"/>
    <cellStyle name="Normal 30 10" xfId="7917"/>
    <cellStyle name="Normal 30 11" xfId="9670"/>
    <cellStyle name="Normal 30 12" xfId="11422"/>
    <cellStyle name="Normal 30 13" xfId="13174"/>
    <cellStyle name="Normal 30 14" xfId="14926"/>
    <cellStyle name="Normal 30 15" xfId="16679"/>
    <cellStyle name="Normal 30 16" xfId="18431"/>
    <cellStyle name="Normal 30 17" xfId="20184"/>
    <cellStyle name="Normal 30 18" xfId="21936"/>
    <cellStyle name="Normal 30 19" xfId="23688"/>
    <cellStyle name="Normal 30 2" xfId="1412"/>
    <cellStyle name="Normal 30 2 10" xfId="9725"/>
    <cellStyle name="Normal 30 2 11" xfId="11477"/>
    <cellStyle name="Normal 30 2 12" xfId="13229"/>
    <cellStyle name="Normal 30 2 13" xfId="14981"/>
    <cellStyle name="Normal 30 2 14" xfId="16734"/>
    <cellStyle name="Normal 30 2 15" xfId="18486"/>
    <cellStyle name="Normal 30 2 16" xfId="20239"/>
    <cellStyle name="Normal 30 2 17" xfId="21991"/>
    <cellStyle name="Normal 30 2 18" xfId="23743"/>
    <cellStyle name="Normal 30 2 19" xfId="25495"/>
    <cellStyle name="Normal 30 2 2" xfId="1413"/>
    <cellStyle name="Normal 30 2 2 10" xfId="11585"/>
    <cellStyle name="Normal 30 2 2 11" xfId="13337"/>
    <cellStyle name="Normal 30 2 2 12" xfId="15089"/>
    <cellStyle name="Normal 30 2 2 13" xfId="16842"/>
    <cellStyle name="Normal 30 2 2 14" xfId="18594"/>
    <cellStyle name="Normal 30 2 2 15" xfId="20347"/>
    <cellStyle name="Normal 30 2 2 16" xfId="22099"/>
    <cellStyle name="Normal 30 2 2 17" xfId="23851"/>
    <cellStyle name="Normal 30 2 2 18" xfId="25603"/>
    <cellStyle name="Normal 30 2 2 19" xfId="27355"/>
    <cellStyle name="Normal 30 2 2 2" xfId="1414"/>
    <cellStyle name="Normal 30 2 2 2 10" xfId="13474"/>
    <cellStyle name="Normal 30 2 2 2 11" xfId="15226"/>
    <cellStyle name="Normal 30 2 2 2 12" xfId="16979"/>
    <cellStyle name="Normal 30 2 2 2 13" xfId="18731"/>
    <cellStyle name="Normal 30 2 2 2 14" xfId="20484"/>
    <cellStyle name="Normal 30 2 2 2 15" xfId="22236"/>
    <cellStyle name="Normal 30 2 2 2 16" xfId="23988"/>
    <cellStyle name="Normal 30 2 2 2 17" xfId="25740"/>
    <cellStyle name="Normal 30 2 2 2 18" xfId="27492"/>
    <cellStyle name="Normal 30 2 2 2 19" xfId="29245"/>
    <cellStyle name="Normal 30 2 2 2 2" xfId="1415"/>
    <cellStyle name="Normal 30 2 2 2 2 10" xfId="15662"/>
    <cellStyle name="Normal 30 2 2 2 2 11" xfId="17415"/>
    <cellStyle name="Normal 30 2 2 2 2 12" xfId="19167"/>
    <cellStyle name="Normal 30 2 2 2 2 13" xfId="20920"/>
    <cellStyle name="Normal 30 2 2 2 2 14" xfId="22672"/>
    <cellStyle name="Normal 30 2 2 2 2 15" xfId="24424"/>
    <cellStyle name="Normal 30 2 2 2 2 16" xfId="26176"/>
    <cellStyle name="Normal 30 2 2 2 2 17" xfId="27928"/>
    <cellStyle name="Normal 30 2 2 2 2 18" xfId="29681"/>
    <cellStyle name="Normal 30 2 2 2 2 19" xfId="31433"/>
    <cellStyle name="Normal 30 2 2 2 2 2" xfId="1416"/>
    <cellStyle name="Normal 30 2 2 2 2 2 10" xfId="18291"/>
    <cellStyle name="Normal 30 2 2 2 2 2 11" xfId="20043"/>
    <cellStyle name="Normal 30 2 2 2 2 2 12" xfId="21796"/>
    <cellStyle name="Normal 30 2 2 2 2 2 13" xfId="23548"/>
    <cellStyle name="Normal 30 2 2 2 2 2 14" xfId="25300"/>
    <cellStyle name="Normal 30 2 2 2 2 2 15" xfId="27052"/>
    <cellStyle name="Normal 30 2 2 2 2 2 16" xfId="28804"/>
    <cellStyle name="Normal 30 2 2 2 2 2 17" xfId="30557"/>
    <cellStyle name="Normal 30 2 2 2 2 2 18" xfId="32309"/>
    <cellStyle name="Normal 30 2 2 2 2 2 19" xfId="34062"/>
    <cellStyle name="Normal 30 2 2 2 2 2 2" xfId="4273"/>
    <cellStyle name="Normal 30 2 2 2 2 2 20" xfId="36698"/>
    <cellStyle name="Normal 30 2 2 2 2 2 21" xfId="38438"/>
    <cellStyle name="Normal 30 2 2 2 2 2 22" xfId="40191"/>
    <cellStyle name="Normal 30 2 2 2 2 2 23" xfId="41946"/>
    <cellStyle name="Normal 30 2 2 2 2 2 24" xfId="43698"/>
    <cellStyle name="Normal 30 2 2 2 2 2 25" xfId="46316"/>
    <cellStyle name="Normal 30 2 2 2 2 2 26" xfId="48068"/>
    <cellStyle name="Normal 30 2 2 2 2 2 27" xfId="49820"/>
    <cellStyle name="Normal 30 2 2 2 2 2 28" xfId="51572"/>
    <cellStyle name="Normal 30 2 2 2 2 2 29" xfId="53324"/>
    <cellStyle name="Normal 30 2 2 2 2 2 3" xfId="6025"/>
    <cellStyle name="Normal 30 2 2 2 2 2 30" xfId="55076"/>
    <cellStyle name="Normal 30 2 2 2 2 2 31" xfId="56828"/>
    <cellStyle name="Normal 30 2 2 2 2 2 32" xfId="58581"/>
    <cellStyle name="Normal 30 2 2 2 2 2 33" xfId="60333"/>
    <cellStyle name="Normal 30 2 2 2 2 2 34" xfId="62085"/>
    <cellStyle name="Normal 30 2 2 2 2 2 4" xfId="7777"/>
    <cellStyle name="Normal 30 2 2 2 2 2 5" xfId="9529"/>
    <cellStyle name="Normal 30 2 2 2 2 2 6" xfId="11282"/>
    <cellStyle name="Normal 30 2 2 2 2 2 7" xfId="13034"/>
    <cellStyle name="Normal 30 2 2 2 2 2 8" xfId="14786"/>
    <cellStyle name="Normal 30 2 2 2 2 2 9" xfId="16538"/>
    <cellStyle name="Normal 30 2 2 2 2 20" xfId="33186"/>
    <cellStyle name="Normal 30 2 2 2 2 21" xfId="34641"/>
    <cellStyle name="Normal 30 2 2 2 2 22" xfId="35822"/>
    <cellStyle name="Normal 30 2 2 2 2 23" xfId="37262"/>
    <cellStyle name="Normal 30 2 2 2 2 24" xfId="39315"/>
    <cellStyle name="Normal 30 2 2 2 2 25" xfId="41070"/>
    <cellStyle name="Normal 30 2 2 2 2 26" xfId="42822"/>
    <cellStyle name="Normal 30 2 2 2 2 27" xfId="44262"/>
    <cellStyle name="Normal 30 2 2 2 2 28" xfId="45440"/>
    <cellStyle name="Normal 30 2 2 2 2 29" xfId="47192"/>
    <cellStyle name="Normal 30 2 2 2 2 3" xfId="3397"/>
    <cellStyle name="Normal 30 2 2 2 2 30" xfId="48944"/>
    <cellStyle name="Normal 30 2 2 2 2 31" xfId="50696"/>
    <cellStyle name="Normal 30 2 2 2 2 32" xfId="52448"/>
    <cellStyle name="Normal 30 2 2 2 2 33" xfId="54200"/>
    <cellStyle name="Normal 30 2 2 2 2 34" xfId="55952"/>
    <cellStyle name="Normal 30 2 2 2 2 35" xfId="57705"/>
    <cellStyle name="Normal 30 2 2 2 2 36" xfId="59457"/>
    <cellStyle name="Normal 30 2 2 2 2 37" xfId="61209"/>
    <cellStyle name="Normal 30 2 2 2 2 38" xfId="62649"/>
    <cellStyle name="Normal 30 2 2 2 2 39" xfId="63515"/>
    <cellStyle name="Normal 30 2 2 2 2 4" xfId="5149"/>
    <cellStyle name="Normal 30 2 2 2 2 5" xfId="6901"/>
    <cellStyle name="Normal 30 2 2 2 2 6" xfId="8653"/>
    <cellStyle name="Normal 30 2 2 2 2 7" xfId="10406"/>
    <cellStyle name="Normal 30 2 2 2 2 8" xfId="12158"/>
    <cellStyle name="Normal 30 2 2 2 2 9" xfId="13910"/>
    <cellStyle name="Normal 30 2 2 2 20" xfId="30997"/>
    <cellStyle name="Normal 30 2 2 2 21" xfId="32750"/>
    <cellStyle name="Normal 30 2 2 2 22" xfId="34640"/>
    <cellStyle name="Normal 30 2 2 2 23" xfId="35386"/>
    <cellStyle name="Normal 30 2 2 2 24" xfId="37261"/>
    <cellStyle name="Normal 30 2 2 2 25" xfId="38879"/>
    <cellStyle name="Normal 30 2 2 2 26" xfId="40634"/>
    <cellStyle name="Normal 30 2 2 2 27" xfId="42386"/>
    <cellStyle name="Normal 30 2 2 2 28" xfId="44261"/>
    <cellStyle name="Normal 30 2 2 2 29" xfId="45004"/>
    <cellStyle name="Normal 30 2 2 2 3" xfId="1417"/>
    <cellStyle name="Normal 30 2 2 2 3 10" xfId="17855"/>
    <cellStyle name="Normal 30 2 2 2 3 11" xfId="19607"/>
    <cellStyle name="Normal 30 2 2 2 3 12" xfId="21360"/>
    <cellStyle name="Normal 30 2 2 2 3 13" xfId="23112"/>
    <cellStyle name="Normal 30 2 2 2 3 14" xfId="24864"/>
    <cellStyle name="Normal 30 2 2 2 3 15" xfId="26616"/>
    <cellStyle name="Normal 30 2 2 2 3 16" xfId="28368"/>
    <cellStyle name="Normal 30 2 2 2 3 17" xfId="30121"/>
    <cellStyle name="Normal 30 2 2 2 3 18" xfId="31873"/>
    <cellStyle name="Normal 30 2 2 2 3 19" xfId="33626"/>
    <cellStyle name="Normal 30 2 2 2 3 2" xfId="3837"/>
    <cellStyle name="Normal 30 2 2 2 3 20" xfId="36262"/>
    <cellStyle name="Normal 30 2 2 2 3 21" xfId="38002"/>
    <cellStyle name="Normal 30 2 2 2 3 22" xfId="39755"/>
    <cellStyle name="Normal 30 2 2 2 3 23" xfId="41510"/>
    <cellStyle name="Normal 30 2 2 2 3 24" xfId="43262"/>
    <cellStyle name="Normal 30 2 2 2 3 25" xfId="45880"/>
    <cellStyle name="Normal 30 2 2 2 3 26" xfId="47632"/>
    <cellStyle name="Normal 30 2 2 2 3 27" xfId="49384"/>
    <cellStyle name="Normal 30 2 2 2 3 28" xfId="51136"/>
    <cellStyle name="Normal 30 2 2 2 3 29" xfId="52888"/>
    <cellStyle name="Normal 30 2 2 2 3 3" xfId="5589"/>
    <cellStyle name="Normal 30 2 2 2 3 30" xfId="54640"/>
    <cellStyle name="Normal 30 2 2 2 3 31" xfId="56392"/>
    <cellStyle name="Normal 30 2 2 2 3 32" xfId="58145"/>
    <cellStyle name="Normal 30 2 2 2 3 33" xfId="59897"/>
    <cellStyle name="Normal 30 2 2 2 3 34" xfId="61649"/>
    <cellStyle name="Normal 30 2 2 2 3 4" xfId="7341"/>
    <cellStyle name="Normal 30 2 2 2 3 5" xfId="9093"/>
    <cellStyle name="Normal 30 2 2 2 3 6" xfId="10846"/>
    <cellStyle name="Normal 30 2 2 2 3 7" xfId="12598"/>
    <cellStyle name="Normal 30 2 2 2 3 8" xfId="14350"/>
    <cellStyle name="Normal 30 2 2 2 3 9" xfId="16102"/>
    <cellStyle name="Normal 30 2 2 2 30" xfId="46756"/>
    <cellStyle name="Normal 30 2 2 2 31" xfId="48508"/>
    <cellStyle name="Normal 30 2 2 2 32" xfId="50260"/>
    <cellStyle name="Normal 30 2 2 2 33" xfId="52012"/>
    <cellStyle name="Normal 30 2 2 2 34" xfId="53764"/>
    <cellStyle name="Normal 30 2 2 2 35" xfId="55516"/>
    <cellStyle name="Normal 30 2 2 2 36" xfId="57269"/>
    <cellStyle name="Normal 30 2 2 2 37" xfId="59021"/>
    <cellStyle name="Normal 30 2 2 2 38" xfId="60773"/>
    <cellStyle name="Normal 30 2 2 2 39" xfId="62648"/>
    <cellStyle name="Normal 30 2 2 2 4" xfId="2961"/>
    <cellStyle name="Normal 30 2 2 2 40" xfId="63514"/>
    <cellStyle name="Normal 30 2 2 2 5" xfId="4713"/>
    <cellStyle name="Normal 30 2 2 2 6" xfId="6465"/>
    <cellStyle name="Normal 30 2 2 2 7" xfId="8217"/>
    <cellStyle name="Normal 30 2 2 2 8" xfId="9970"/>
    <cellStyle name="Normal 30 2 2 2 9" xfId="11722"/>
    <cellStyle name="Normal 30 2 2 20" xfId="29108"/>
    <cellStyle name="Normal 30 2 2 21" xfId="30860"/>
    <cellStyle name="Normal 30 2 2 22" xfId="32613"/>
    <cellStyle name="Normal 30 2 2 23" xfId="34639"/>
    <cellStyle name="Normal 30 2 2 24" xfId="35249"/>
    <cellStyle name="Normal 30 2 2 25" xfId="37260"/>
    <cellStyle name="Normal 30 2 2 26" xfId="38742"/>
    <cellStyle name="Normal 30 2 2 27" xfId="40497"/>
    <cellStyle name="Normal 30 2 2 28" xfId="42249"/>
    <cellStyle name="Normal 30 2 2 29" xfId="44260"/>
    <cellStyle name="Normal 30 2 2 3" xfId="1418"/>
    <cellStyle name="Normal 30 2 2 3 10" xfId="15525"/>
    <cellStyle name="Normal 30 2 2 3 11" xfId="17278"/>
    <cellStyle name="Normal 30 2 2 3 12" xfId="19030"/>
    <cellStyle name="Normal 30 2 2 3 13" xfId="20783"/>
    <cellStyle name="Normal 30 2 2 3 14" xfId="22535"/>
    <cellStyle name="Normal 30 2 2 3 15" xfId="24287"/>
    <cellStyle name="Normal 30 2 2 3 16" xfId="26039"/>
    <cellStyle name="Normal 30 2 2 3 17" xfId="27791"/>
    <cellStyle name="Normal 30 2 2 3 18" xfId="29544"/>
    <cellStyle name="Normal 30 2 2 3 19" xfId="31296"/>
    <cellStyle name="Normal 30 2 2 3 2" xfId="1419"/>
    <cellStyle name="Normal 30 2 2 3 2 10" xfId="18154"/>
    <cellStyle name="Normal 30 2 2 3 2 11" xfId="19906"/>
    <cellStyle name="Normal 30 2 2 3 2 12" xfId="21659"/>
    <cellStyle name="Normal 30 2 2 3 2 13" xfId="23411"/>
    <cellStyle name="Normal 30 2 2 3 2 14" xfId="25163"/>
    <cellStyle name="Normal 30 2 2 3 2 15" xfId="26915"/>
    <cellStyle name="Normal 30 2 2 3 2 16" xfId="28667"/>
    <cellStyle name="Normal 30 2 2 3 2 17" xfId="30420"/>
    <cellStyle name="Normal 30 2 2 3 2 18" xfId="32172"/>
    <cellStyle name="Normal 30 2 2 3 2 19" xfId="33925"/>
    <cellStyle name="Normal 30 2 2 3 2 2" xfId="4136"/>
    <cellStyle name="Normal 30 2 2 3 2 20" xfId="36561"/>
    <cellStyle name="Normal 30 2 2 3 2 21" xfId="38301"/>
    <cellStyle name="Normal 30 2 2 3 2 22" xfId="40054"/>
    <cellStyle name="Normal 30 2 2 3 2 23" xfId="41809"/>
    <cellStyle name="Normal 30 2 2 3 2 24" xfId="43561"/>
    <cellStyle name="Normal 30 2 2 3 2 25" xfId="46179"/>
    <cellStyle name="Normal 30 2 2 3 2 26" xfId="47931"/>
    <cellStyle name="Normal 30 2 2 3 2 27" xfId="49683"/>
    <cellStyle name="Normal 30 2 2 3 2 28" xfId="51435"/>
    <cellStyle name="Normal 30 2 2 3 2 29" xfId="53187"/>
    <cellStyle name="Normal 30 2 2 3 2 3" xfId="5888"/>
    <cellStyle name="Normal 30 2 2 3 2 30" xfId="54939"/>
    <cellStyle name="Normal 30 2 2 3 2 31" xfId="56691"/>
    <cellStyle name="Normal 30 2 2 3 2 32" xfId="58444"/>
    <cellStyle name="Normal 30 2 2 3 2 33" xfId="60196"/>
    <cellStyle name="Normal 30 2 2 3 2 34" xfId="61948"/>
    <cellStyle name="Normal 30 2 2 3 2 4" xfId="7640"/>
    <cellStyle name="Normal 30 2 2 3 2 5" xfId="9392"/>
    <cellStyle name="Normal 30 2 2 3 2 6" xfId="11145"/>
    <cellStyle name="Normal 30 2 2 3 2 7" xfId="12897"/>
    <cellStyle name="Normal 30 2 2 3 2 8" xfId="14649"/>
    <cellStyle name="Normal 30 2 2 3 2 9" xfId="16401"/>
    <cellStyle name="Normal 30 2 2 3 20" xfId="33049"/>
    <cellStyle name="Normal 30 2 2 3 21" xfId="34642"/>
    <cellStyle name="Normal 30 2 2 3 22" xfId="35685"/>
    <cellStyle name="Normal 30 2 2 3 23" xfId="37263"/>
    <cellStyle name="Normal 30 2 2 3 24" xfId="39178"/>
    <cellStyle name="Normal 30 2 2 3 25" xfId="40933"/>
    <cellStyle name="Normal 30 2 2 3 26" xfId="42685"/>
    <cellStyle name="Normal 30 2 2 3 27" xfId="44263"/>
    <cellStyle name="Normal 30 2 2 3 28" xfId="45303"/>
    <cellStyle name="Normal 30 2 2 3 29" xfId="47055"/>
    <cellStyle name="Normal 30 2 2 3 3" xfId="3260"/>
    <cellStyle name="Normal 30 2 2 3 30" xfId="48807"/>
    <cellStyle name="Normal 30 2 2 3 31" xfId="50559"/>
    <cellStyle name="Normal 30 2 2 3 32" xfId="52311"/>
    <cellStyle name="Normal 30 2 2 3 33" xfId="54063"/>
    <cellStyle name="Normal 30 2 2 3 34" xfId="55815"/>
    <cellStyle name="Normal 30 2 2 3 35" xfId="57568"/>
    <cellStyle name="Normal 30 2 2 3 36" xfId="59320"/>
    <cellStyle name="Normal 30 2 2 3 37" xfId="61072"/>
    <cellStyle name="Normal 30 2 2 3 38" xfId="62650"/>
    <cellStyle name="Normal 30 2 2 3 39" xfId="63516"/>
    <cellStyle name="Normal 30 2 2 3 4" xfId="5012"/>
    <cellStyle name="Normal 30 2 2 3 5" xfId="6764"/>
    <cellStyle name="Normal 30 2 2 3 6" xfId="8516"/>
    <cellStyle name="Normal 30 2 2 3 7" xfId="10269"/>
    <cellStyle name="Normal 30 2 2 3 8" xfId="12021"/>
    <cellStyle name="Normal 30 2 2 3 9" xfId="13773"/>
    <cellStyle name="Normal 30 2 2 30" xfId="44867"/>
    <cellStyle name="Normal 30 2 2 31" xfId="46619"/>
    <cellStyle name="Normal 30 2 2 32" xfId="48371"/>
    <cellStyle name="Normal 30 2 2 33" xfId="50123"/>
    <cellStyle name="Normal 30 2 2 34" xfId="51875"/>
    <cellStyle name="Normal 30 2 2 35" xfId="53627"/>
    <cellStyle name="Normal 30 2 2 36" xfId="55379"/>
    <cellStyle name="Normal 30 2 2 37" xfId="57132"/>
    <cellStyle name="Normal 30 2 2 38" xfId="58884"/>
    <cellStyle name="Normal 30 2 2 39" xfId="60636"/>
    <cellStyle name="Normal 30 2 2 4" xfId="1420"/>
    <cellStyle name="Normal 30 2 2 4 10" xfId="17718"/>
    <cellStyle name="Normal 30 2 2 4 11" xfId="19470"/>
    <cellStyle name="Normal 30 2 2 4 12" xfId="21223"/>
    <cellStyle name="Normal 30 2 2 4 13" xfId="22975"/>
    <cellStyle name="Normal 30 2 2 4 14" xfId="24727"/>
    <cellStyle name="Normal 30 2 2 4 15" xfId="26479"/>
    <cellStyle name="Normal 30 2 2 4 16" xfId="28231"/>
    <cellStyle name="Normal 30 2 2 4 17" xfId="29984"/>
    <cellStyle name="Normal 30 2 2 4 18" xfId="31736"/>
    <cellStyle name="Normal 30 2 2 4 19" xfId="33489"/>
    <cellStyle name="Normal 30 2 2 4 2" xfId="3700"/>
    <cellStyle name="Normal 30 2 2 4 20" xfId="36125"/>
    <cellStyle name="Normal 30 2 2 4 21" xfId="37865"/>
    <cellStyle name="Normal 30 2 2 4 22" xfId="39618"/>
    <cellStyle name="Normal 30 2 2 4 23" xfId="41373"/>
    <cellStyle name="Normal 30 2 2 4 24" xfId="43125"/>
    <cellStyle name="Normal 30 2 2 4 25" xfId="45743"/>
    <cellStyle name="Normal 30 2 2 4 26" xfId="47495"/>
    <cellStyle name="Normal 30 2 2 4 27" xfId="49247"/>
    <cellStyle name="Normal 30 2 2 4 28" xfId="50999"/>
    <cellStyle name="Normal 30 2 2 4 29" xfId="52751"/>
    <cellStyle name="Normal 30 2 2 4 3" xfId="5452"/>
    <cellStyle name="Normal 30 2 2 4 30" xfId="54503"/>
    <cellStyle name="Normal 30 2 2 4 31" xfId="56255"/>
    <cellStyle name="Normal 30 2 2 4 32" xfId="58008"/>
    <cellStyle name="Normal 30 2 2 4 33" xfId="59760"/>
    <cellStyle name="Normal 30 2 2 4 34" xfId="61512"/>
    <cellStyle name="Normal 30 2 2 4 4" xfId="7204"/>
    <cellStyle name="Normal 30 2 2 4 5" xfId="8956"/>
    <cellStyle name="Normal 30 2 2 4 6" xfId="10709"/>
    <cellStyle name="Normal 30 2 2 4 7" xfId="12461"/>
    <cellStyle name="Normal 30 2 2 4 8" xfId="14213"/>
    <cellStyle name="Normal 30 2 2 4 9" xfId="15965"/>
    <cellStyle name="Normal 30 2 2 40" xfId="62647"/>
    <cellStyle name="Normal 30 2 2 41" xfId="63513"/>
    <cellStyle name="Normal 30 2 2 5" xfId="2824"/>
    <cellStyle name="Normal 30 2 2 6" xfId="4576"/>
    <cellStyle name="Normal 30 2 2 7" xfId="6328"/>
    <cellStyle name="Normal 30 2 2 8" xfId="8080"/>
    <cellStyle name="Normal 30 2 2 9" xfId="9833"/>
    <cellStyle name="Normal 30 2 20" xfId="27247"/>
    <cellStyle name="Normal 30 2 21" xfId="29000"/>
    <cellStyle name="Normal 30 2 22" xfId="30752"/>
    <cellStyle name="Normal 30 2 23" xfId="32505"/>
    <cellStyle name="Normal 30 2 24" xfId="34638"/>
    <cellStyle name="Normal 30 2 25" xfId="35141"/>
    <cellStyle name="Normal 30 2 26" xfId="37259"/>
    <cellStyle name="Normal 30 2 27" xfId="38634"/>
    <cellStyle name="Normal 30 2 28" xfId="40389"/>
    <cellStyle name="Normal 30 2 29" xfId="42141"/>
    <cellStyle name="Normal 30 2 3" xfId="1421"/>
    <cellStyle name="Normal 30 2 3 10" xfId="13475"/>
    <cellStyle name="Normal 30 2 3 11" xfId="15227"/>
    <cellStyle name="Normal 30 2 3 12" xfId="16980"/>
    <cellStyle name="Normal 30 2 3 13" xfId="18732"/>
    <cellStyle name="Normal 30 2 3 14" xfId="20485"/>
    <cellStyle name="Normal 30 2 3 15" xfId="22237"/>
    <cellStyle name="Normal 30 2 3 16" xfId="23989"/>
    <cellStyle name="Normal 30 2 3 17" xfId="25741"/>
    <cellStyle name="Normal 30 2 3 18" xfId="27493"/>
    <cellStyle name="Normal 30 2 3 19" xfId="29246"/>
    <cellStyle name="Normal 30 2 3 2" xfId="1422"/>
    <cellStyle name="Normal 30 2 3 2 10" xfId="15663"/>
    <cellStyle name="Normal 30 2 3 2 11" xfId="17416"/>
    <cellStyle name="Normal 30 2 3 2 12" xfId="19168"/>
    <cellStyle name="Normal 30 2 3 2 13" xfId="20921"/>
    <cellStyle name="Normal 30 2 3 2 14" xfId="22673"/>
    <cellStyle name="Normal 30 2 3 2 15" xfId="24425"/>
    <cellStyle name="Normal 30 2 3 2 16" xfId="26177"/>
    <cellStyle name="Normal 30 2 3 2 17" xfId="27929"/>
    <cellStyle name="Normal 30 2 3 2 18" xfId="29682"/>
    <cellStyle name="Normal 30 2 3 2 19" xfId="31434"/>
    <cellStyle name="Normal 30 2 3 2 2" xfId="1423"/>
    <cellStyle name="Normal 30 2 3 2 2 10" xfId="18292"/>
    <cellStyle name="Normal 30 2 3 2 2 11" xfId="20044"/>
    <cellStyle name="Normal 30 2 3 2 2 12" xfId="21797"/>
    <cellStyle name="Normal 30 2 3 2 2 13" xfId="23549"/>
    <cellStyle name="Normal 30 2 3 2 2 14" xfId="25301"/>
    <cellStyle name="Normal 30 2 3 2 2 15" xfId="27053"/>
    <cellStyle name="Normal 30 2 3 2 2 16" xfId="28805"/>
    <cellStyle name="Normal 30 2 3 2 2 17" xfId="30558"/>
    <cellStyle name="Normal 30 2 3 2 2 18" xfId="32310"/>
    <cellStyle name="Normal 30 2 3 2 2 19" xfId="34063"/>
    <cellStyle name="Normal 30 2 3 2 2 2" xfId="4274"/>
    <cellStyle name="Normal 30 2 3 2 2 20" xfId="36699"/>
    <cellStyle name="Normal 30 2 3 2 2 21" xfId="38439"/>
    <cellStyle name="Normal 30 2 3 2 2 22" xfId="40192"/>
    <cellStyle name="Normal 30 2 3 2 2 23" xfId="41947"/>
    <cellStyle name="Normal 30 2 3 2 2 24" xfId="43699"/>
    <cellStyle name="Normal 30 2 3 2 2 25" xfId="46317"/>
    <cellStyle name="Normal 30 2 3 2 2 26" xfId="48069"/>
    <cellStyle name="Normal 30 2 3 2 2 27" xfId="49821"/>
    <cellStyle name="Normal 30 2 3 2 2 28" xfId="51573"/>
    <cellStyle name="Normal 30 2 3 2 2 29" xfId="53325"/>
    <cellStyle name="Normal 30 2 3 2 2 3" xfId="6026"/>
    <cellStyle name="Normal 30 2 3 2 2 30" xfId="55077"/>
    <cellStyle name="Normal 30 2 3 2 2 31" xfId="56829"/>
    <cellStyle name="Normal 30 2 3 2 2 32" xfId="58582"/>
    <cellStyle name="Normal 30 2 3 2 2 33" xfId="60334"/>
    <cellStyle name="Normal 30 2 3 2 2 34" xfId="62086"/>
    <cellStyle name="Normal 30 2 3 2 2 4" xfId="7778"/>
    <cellStyle name="Normal 30 2 3 2 2 5" xfId="9530"/>
    <cellStyle name="Normal 30 2 3 2 2 6" xfId="11283"/>
    <cellStyle name="Normal 30 2 3 2 2 7" xfId="13035"/>
    <cellStyle name="Normal 30 2 3 2 2 8" xfId="14787"/>
    <cellStyle name="Normal 30 2 3 2 2 9" xfId="16539"/>
    <cellStyle name="Normal 30 2 3 2 20" xfId="33187"/>
    <cellStyle name="Normal 30 2 3 2 21" xfId="34644"/>
    <cellStyle name="Normal 30 2 3 2 22" xfId="35823"/>
    <cellStyle name="Normal 30 2 3 2 23" xfId="37265"/>
    <cellStyle name="Normal 30 2 3 2 24" xfId="39316"/>
    <cellStyle name="Normal 30 2 3 2 25" xfId="41071"/>
    <cellStyle name="Normal 30 2 3 2 26" xfId="42823"/>
    <cellStyle name="Normal 30 2 3 2 27" xfId="44265"/>
    <cellStyle name="Normal 30 2 3 2 28" xfId="45441"/>
    <cellStyle name="Normal 30 2 3 2 29" xfId="47193"/>
    <cellStyle name="Normal 30 2 3 2 3" xfId="3398"/>
    <cellStyle name="Normal 30 2 3 2 30" xfId="48945"/>
    <cellStyle name="Normal 30 2 3 2 31" xfId="50697"/>
    <cellStyle name="Normal 30 2 3 2 32" xfId="52449"/>
    <cellStyle name="Normal 30 2 3 2 33" xfId="54201"/>
    <cellStyle name="Normal 30 2 3 2 34" xfId="55953"/>
    <cellStyle name="Normal 30 2 3 2 35" xfId="57706"/>
    <cellStyle name="Normal 30 2 3 2 36" xfId="59458"/>
    <cellStyle name="Normal 30 2 3 2 37" xfId="61210"/>
    <cellStyle name="Normal 30 2 3 2 38" xfId="62652"/>
    <cellStyle name="Normal 30 2 3 2 39" xfId="63518"/>
    <cellStyle name="Normal 30 2 3 2 4" xfId="5150"/>
    <cellStyle name="Normal 30 2 3 2 5" xfId="6902"/>
    <cellStyle name="Normal 30 2 3 2 6" xfId="8654"/>
    <cellStyle name="Normal 30 2 3 2 7" xfId="10407"/>
    <cellStyle name="Normal 30 2 3 2 8" xfId="12159"/>
    <cellStyle name="Normal 30 2 3 2 9" xfId="13911"/>
    <cellStyle name="Normal 30 2 3 20" xfId="30998"/>
    <cellStyle name="Normal 30 2 3 21" xfId="32751"/>
    <cellStyle name="Normal 30 2 3 22" xfId="34643"/>
    <cellStyle name="Normal 30 2 3 23" xfId="35387"/>
    <cellStyle name="Normal 30 2 3 24" xfId="37264"/>
    <cellStyle name="Normal 30 2 3 25" xfId="38880"/>
    <cellStyle name="Normal 30 2 3 26" xfId="40635"/>
    <cellStyle name="Normal 30 2 3 27" xfId="42387"/>
    <cellStyle name="Normal 30 2 3 28" xfId="44264"/>
    <cellStyle name="Normal 30 2 3 29" xfId="45005"/>
    <cellStyle name="Normal 30 2 3 3" xfId="1424"/>
    <cellStyle name="Normal 30 2 3 3 10" xfId="17856"/>
    <cellStyle name="Normal 30 2 3 3 11" xfId="19608"/>
    <cellStyle name="Normal 30 2 3 3 12" xfId="21361"/>
    <cellStyle name="Normal 30 2 3 3 13" xfId="23113"/>
    <cellStyle name="Normal 30 2 3 3 14" xfId="24865"/>
    <cellStyle name="Normal 30 2 3 3 15" xfId="26617"/>
    <cellStyle name="Normal 30 2 3 3 16" xfId="28369"/>
    <cellStyle name="Normal 30 2 3 3 17" xfId="30122"/>
    <cellStyle name="Normal 30 2 3 3 18" xfId="31874"/>
    <cellStyle name="Normal 30 2 3 3 19" xfId="33627"/>
    <cellStyle name="Normal 30 2 3 3 2" xfId="3838"/>
    <cellStyle name="Normal 30 2 3 3 20" xfId="36263"/>
    <cellStyle name="Normal 30 2 3 3 21" xfId="38003"/>
    <cellStyle name="Normal 30 2 3 3 22" xfId="39756"/>
    <cellStyle name="Normal 30 2 3 3 23" xfId="41511"/>
    <cellStyle name="Normal 30 2 3 3 24" xfId="43263"/>
    <cellStyle name="Normal 30 2 3 3 25" xfId="45881"/>
    <cellStyle name="Normal 30 2 3 3 26" xfId="47633"/>
    <cellStyle name="Normal 30 2 3 3 27" xfId="49385"/>
    <cellStyle name="Normal 30 2 3 3 28" xfId="51137"/>
    <cellStyle name="Normal 30 2 3 3 29" xfId="52889"/>
    <cellStyle name="Normal 30 2 3 3 3" xfId="5590"/>
    <cellStyle name="Normal 30 2 3 3 30" xfId="54641"/>
    <cellStyle name="Normal 30 2 3 3 31" xfId="56393"/>
    <cellStyle name="Normal 30 2 3 3 32" xfId="58146"/>
    <cellStyle name="Normal 30 2 3 3 33" xfId="59898"/>
    <cellStyle name="Normal 30 2 3 3 34" xfId="61650"/>
    <cellStyle name="Normal 30 2 3 3 4" xfId="7342"/>
    <cellStyle name="Normal 30 2 3 3 5" xfId="9094"/>
    <cellStyle name="Normal 30 2 3 3 6" xfId="10847"/>
    <cellStyle name="Normal 30 2 3 3 7" xfId="12599"/>
    <cellStyle name="Normal 30 2 3 3 8" xfId="14351"/>
    <cellStyle name="Normal 30 2 3 3 9" xfId="16103"/>
    <cellStyle name="Normal 30 2 3 30" xfId="46757"/>
    <cellStyle name="Normal 30 2 3 31" xfId="48509"/>
    <cellStyle name="Normal 30 2 3 32" xfId="50261"/>
    <cellStyle name="Normal 30 2 3 33" xfId="52013"/>
    <cellStyle name="Normal 30 2 3 34" xfId="53765"/>
    <cellStyle name="Normal 30 2 3 35" xfId="55517"/>
    <cellStyle name="Normal 30 2 3 36" xfId="57270"/>
    <cellStyle name="Normal 30 2 3 37" xfId="59022"/>
    <cellStyle name="Normal 30 2 3 38" xfId="60774"/>
    <cellStyle name="Normal 30 2 3 39" xfId="62651"/>
    <cellStyle name="Normal 30 2 3 4" xfId="2962"/>
    <cellStyle name="Normal 30 2 3 40" xfId="63517"/>
    <cellStyle name="Normal 30 2 3 5" xfId="4714"/>
    <cellStyle name="Normal 30 2 3 6" xfId="6466"/>
    <cellStyle name="Normal 30 2 3 7" xfId="8218"/>
    <cellStyle name="Normal 30 2 3 8" xfId="9971"/>
    <cellStyle name="Normal 30 2 3 9" xfId="11723"/>
    <cellStyle name="Normal 30 2 30" xfId="44259"/>
    <cellStyle name="Normal 30 2 31" xfId="44759"/>
    <cellStyle name="Normal 30 2 32" xfId="46511"/>
    <cellStyle name="Normal 30 2 33" xfId="48263"/>
    <cellStyle name="Normal 30 2 34" xfId="50015"/>
    <cellStyle name="Normal 30 2 35" xfId="51767"/>
    <cellStyle name="Normal 30 2 36" xfId="53519"/>
    <cellStyle name="Normal 30 2 37" xfId="55271"/>
    <cellStyle name="Normal 30 2 38" xfId="57024"/>
    <cellStyle name="Normal 30 2 39" xfId="58776"/>
    <cellStyle name="Normal 30 2 4" xfId="1425"/>
    <cellStyle name="Normal 30 2 4 10" xfId="15417"/>
    <cellStyle name="Normal 30 2 4 11" xfId="17170"/>
    <cellStyle name="Normal 30 2 4 12" xfId="18922"/>
    <cellStyle name="Normal 30 2 4 13" xfId="20675"/>
    <cellStyle name="Normal 30 2 4 14" xfId="22427"/>
    <cellStyle name="Normal 30 2 4 15" xfId="24179"/>
    <cellStyle name="Normal 30 2 4 16" xfId="25931"/>
    <cellStyle name="Normal 30 2 4 17" xfId="27683"/>
    <cellStyle name="Normal 30 2 4 18" xfId="29436"/>
    <cellStyle name="Normal 30 2 4 19" xfId="31188"/>
    <cellStyle name="Normal 30 2 4 2" xfId="1426"/>
    <cellStyle name="Normal 30 2 4 2 10" xfId="18046"/>
    <cellStyle name="Normal 30 2 4 2 11" xfId="19798"/>
    <cellStyle name="Normal 30 2 4 2 12" xfId="21551"/>
    <cellStyle name="Normal 30 2 4 2 13" xfId="23303"/>
    <cellStyle name="Normal 30 2 4 2 14" xfId="25055"/>
    <cellStyle name="Normal 30 2 4 2 15" xfId="26807"/>
    <cellStyle name="Normal 30 2 4 2 16" xfId="28559"/>
    <cellStyle name="Normal 30 2 4 2 17" xfId="30312"/>
    <cellStyle name="Normal 30 2 4 2 18" xfId="32064"/>
    <cellStyle name="Normal 30 2 4 2 19" xfId="33817"/>
    <cellStyle name="Normal 30 2 4 2 2" xfId="4028"/>
    <cellStyle name="Normal 30 2 4 2 20" xfId="36453"/>
    <cellStyle name="Normal 30 2 4 2 21" xfId="38193"/>
    <cellStyle name="Normal 30 2 4 2 22" xfId="39946"/>
    <cellStyle name="Normal 30 2 4 2 23" xfId="41701"/>
    <cellStyle name="Normal 30 2 4 2 24" xfId="43453"/>
    <cellStyle name="Normal 30 2 4 2 25" xfId="46071"/>
    <cellStyle name="Normal 30 2 4 2 26" xfId="47823"/>
    <cellStyle name="Normal 30 2 4 2 27" xfId="49575"/>
    <cellStyle name="Normal 30 2 4 2 28" xfId="51327"/>
    <cellStyle name="Normal 30 2 4 2 29" xfId="53079"/>
    <cellStyle name="Normal 30 2 4 2 3" xfId="5780"/>
    <cellStyle name="Normal 30 2 4 2 30" xfId="54831"/>
    <cellStyle name="Normal 30 2 4 2 31" xfId="56583"/>
    <cellStyle name="Normal 30 2 4 2 32" xfId="58336"/>
    <cellStyle name="Normal 30 2 4 2 33" xfId="60088"/>
    <cellStyle name="Normal 30 2 4 2 34" xfId="61840"/>
    <cellStyle name="Normal 30 2 4 2 4" xfId="7532"/>
    <cellStyle name="Normal 30 2 4 2 5" xfId="9284"/>
    <cellStyle name="Normal 30 2 4 2 6" xfId="11037"/>
    <cellStyle name="Normal 30 2 4 2 7" xfId="12789"/>
    <cellStyle name="Normal 30 2 4 2 8" xfId="14541"/>
    <cellStyle name="Normal 30 2 4 2 9" xfId="16293"/>
    <cellStyle name="Normal 30 2 4 20" xfId="32941"/>
    <cellStyle name="Normal 30 2 4 21" xfId="34645"/>
    <cellStyle name="Normal 30 2 4 22" xfId="35577"/>
    <cellStyle name="Normal 30 2 4 23" xfId="37266"/>
    <cellStyle name="Normal 30 2 4 24" xfId="39070"/>
    <cellStyle name="Normal 30 2 4 25" xfId="40825"/>
    <cellStyle name="Normal 30 2 4 26" xfId="42577"/>
    <cellStyle name="Normal 30 2 4 27" xfId="44266"/>
    <cellStyle name="Normal 30 2 4 28" xfId="45195"/>
    <cellStyle name="Normal 30 2 4 29" xfId="46947"/>
    <cellStyle name="Normal 30 2 4 3" xfId="3152"/>
    <cellStyle name="Normal 30 2 4 30" xfId="48699"/>
    <cellStyle name="Normal 30 2 4 31" xfId="50451"/>
    <cellStyle name="Normal 30 2 4 32" xfId="52203"/>
    <cellStyle name="Normal 30 2 4 33" xfId="53955"/>
    <cellStyle name="Normal 30 2 4 34" xfId="55707"/>
    <cellStyle name="Normal 30 2 4 35" xfId="57460"/>
    <cellStyle name="Normal 30 2 4 36" xfId="59212"/>
    <cellStyle name="Normal 30 2 4 37" xfId="60964"/>
    <cellStyle name="Normal 30 2 4 38" xfId="62653"/>
    <cellStyle name="Normal 30 2 4 39" xfId="63519"/>
    <cellStyle name="Normal 30 2 4 4" xfId="4904"/>
    <cellStyle name="Normal 30 2 4 5" xfId="6656"/>
    <cellStyle name="Normal 30 2 4 6" xfId="8408"/>
    <cellStyle name="Normal 30 2 4 7" xfId="10161"/>
    <cellStyle name="Normal 30 2 4 8" xfId="11913"/>
    <cellStyle name="Normal 30 2 4 9" xfId="13665"/>
    <cellStyle name="Normal 30 2 40" xfId="60528"/>
    <cellStyle name="Normal 30 2 41" xfId="62646"/>
    <cellStyle name="Normal 30 2 42" xfId="63512"/>
    <cellStyle name="Normal 30 2 5" xfId="1427"/>
    <cellStyle name="Normal 30 2 5 10" xfId="17610"/>
    <cellStyle name="Normal 30 2 5 11" xfId="19362"/>
    <cellStyle name="Normal 30 2 5 12" xfId="21115"/>
    <cellStyle name="Normal 30 2 5 13" xfId="22867"/>
    <cellStyle name="Normal 30 2 5 14" xfId="24619"/>
    <cellStyle name="Normal 30 2 5 15" xfId="26371"/>
    <cellStyle name="Normal 30 2 5 16" xfId="28123"/>
    <cellStyle name="Normal 30 2 5 17" xfId="29876"/>
    <cellStyle name="Normal 30 2 5 18" xfId="31628"/>
    <cellStyle name="Normal 30 2 5 19" xfId="33381"/>
    <cellStyle name="Normal 30 2 5 2" xfId="3592"/>
    <cellStyle name="Normal 30 2 5 20" xfId="36017"/>
    <cellStyle name="Normal 30 2 5 21" xfId="37757"/>
    <cellStyle name="Normal 30 2 5 22" xfId="39510"/>
    <cellStyle name="Normal 30 2 5 23" xfId="41265"/>
    <cellStyle name="Normal 30 2 5 24" xfId="43017"/>
    <cellStyle name="Normal 30 2 5 25" xfId="45635"/>
    <cellStyle name="Normal 30 2 5 26" xfId="47387"/>
    <cellStyle name="Normal 30 2 5 27" xfId="49139"/>
    <cellStyle name="Normal 30 2 5 28" xfId="50891"/>
    <cellStyle name="Normal 30 2 5 29" xfId="52643"/>
    <cellStyle name="Normal 30 2 5 3" xfId="5344"/>
    <cellStyle name="Normal 30 2 5 30" xfId="54395"/>
    <cellStyle name="Normal 30 2 5 31" xfId="56147"/>
    <cellStyle name="Normal 30 2 5 32" xfId="57900"/>
    <cellStyle name="Normal 30 2 5 33" xfId="59652"/>
    <cellStyle name="Normal 30 2 5 34" xfId="61404"/>
    <cellStyle name="Normal 30 2 5 4" xfId="7096"/>
    <cellStyle name="Normal 30 2 5 5" xfId="8848"/>
    <cellStyle name="Normal 30 2 5 6" xfId="10601"/>
    <cellStyle name="Normal 30 2 5 7" xfId="12353"/>
    <cellStyle name="Normal 30 2 5 8" xfId="14105"/>
    <cellStyle name="Normal 30 2 5 9" xfId="15857"/>
    <cellStyle name="Normal 30 2 6" xfId="2716"/>
    <cellStyle name="Normal 30 2 7" xfId="4468"/>
    <cellStyle name="Normal 30 2 8" xfId="6220"/>
    <cellStyle name="Normal 30 2 9" xfId="7972"/>
    <cellStyle name="Normal 30 20" xfId="25440"/>
    <cellStyle name="Normal 30 21" xfId="27192"/>
    <cellStyle name="Normal 30 22" xfId="28945"/>
    <cellStyle name="Normal 30 23" xfId="30697"/>
    <cellStyle name="Normal 30 24" xfId="32450"/>
    <cellStyle name="Normal 30 25" xfId="34637"/>
    <cellStyle name="Normal 30 26" xfId="35086"/>
    <cellStyle name="Normal 30 27" xfId="37258"/>
    <cellStyle name="Normal 30 28" xfId="38579"/>
    <cellStyle name="Normal 30 29" xfId="40334"/>
    <cellStyle name="Normal 30 3" xfId="1428"/>
    <cellStyle name="Normal 30 3 10" xfId="11530"/>
    <cellStyle name="Normal 30 3 11" xfId="13282"/>
    <cellStyle name="Normal 30 3 12" xfId="15034"/>
    <cellStyle name="Normal 30 3 13" xfId="16787"/>
    <cellStyle name="Normal 30 3 14" xfId="18539"/>
    <cellStyle name="Normal 30 3 15" xfId="20292"/>
    <cellStyle name="Normal 30 3 16" xfId="22044"/>
    <cellStyle name="Normal 30 3 17" xfId="23796"/>
    <cellStyle name="Normal 30 3 18" xfId="25548"/>
    <cellStyle name="Normal 30 3 19" xfId="27300"/>
    <cellStyle name="Normal 30 3 2" xfId="1429"/>
    <cellStyle name="Normal 30 3 2 10" xfId="13476"/>
    <cellStyle name="Normal 30 3 2 11" xfId="15228"/>
    <cellStyle name="Normal 30 3 2 12" xfId="16981"/>
    <cellStyle name="Normal 30 3 2 13" xfId="18733"/>
    <cellStyle name="Normal 30 3 2 14" xfId="20486"/>
    <cellStyle name="Normal 30 3 2 15" xfId="22238"/>
    <cellStyle name="Normal 30 3 2 16" xfId="23990"/>
    <cellStyle name="Normal 30 3 2 17" xfId="25742"/>
    <cellStyle name="Normal 30 3 2 18" xfId="27494"/>
    <cellStyle name="Normal 30 3 2 19" xfId="29247"/>
    <cellStyle name="Normal 30 3 2 2" xfId="1430"/>
    <cellStyle name="Normal 30 3 2 2 10" xfId="15664"/>
    <cellStyle name="Normal 30 3 2 2 11" xfId="17417"/>
    <cellStyle name="Normal 30 3 2 2 12" xfId="19169"/>
    <cellStyle name="Normal 30 3 2 2 13" xfId="20922"/>
    <cellStyle name="Normal 30 3 2 2 14" xfId="22674"/>
    <cellStyle name="Normal 30 3 2 2 15" xfId="24426"/>
    <cellStyle name="Normal 30 3 2 2 16" xfId="26178"/>
    <cellStyle name="Normal 30 3 2 2 17" xfId="27930"/>
    <cellStyle name="Normal 30 3 2 2 18" xfId="29683"/>
    <cellStyle name="Normal 30 3 2 2 19" xfId="31435"/>
    <cellStyle name="Normal 30 3 2 2 2" xfId="1431"/>
    <cellStyle name="Normal 30 3 2 2 2 10" xfId="18293"/>
    <cellStyle name="Normal 30 3 2 2 2 11" xfId="20045"/>
    <cellStyle name="Normal 30 3 2 2 2 12" xfId="21798"/>
    <cellStyle name="Normal 30 3 2 2 2 13" xfId="23550"/>
    <cellStyle name="Normal 30 3 2 2 2 14" xfId="25302"/>
    <cellStyle name="Normal 30 3 2 2 2 15" xfId="27054"/>
    <cellStyle name="Normal 30 3 2 2 2 16" xfId="28806"/>
    <cellStyle name="Normal 30 3 2 2 2 17" xfId="30559"/>
    <cellStyle name="Normal 30 3 2 2 2 18" xfId="32311"/>
    <cellStyle name="Normal 30 3 2 2 2 19" xfId="34064"/>
    <cellStyle name="Normal 30 3 2 2 2 2" xfId="4275"/>
    <cellStyle name="Normal 30 3 2 2 2 20" xfId="36700"/>
    <cellStyle name="Normal 30 3 2 2 2 21" xfId="38440"/>
    <cellStyle name="Normal 30 3 2 2 2 22" xfId="40193"/>
    <cellStyle name="Normal 30 3 2 2 2 23" xfId="41948"/>
    <cellStyle name="Normal 30 3 2 2 2 24" xfId="43700"/>
    <cellStyle name="Normal 30 3 2 2 2 25" xfId="46318"/>
    <cellStyle name="Normal 30 3 2 2 2 26" xfId="48070"/>
    <cellStyle name="Normal 30 3 2 2 2 27" xfId="49822"/>
    <cellStyle name="Normal 30 3 2 2 2 28" xfId="51574"/>
    <cellStyle name="Normal 30 3 2 2 2 29" xfId="53326"/>
    <cellStyle name="Normal 30 3 2 2 2 3" xfId="6027"/>
    <cellStyle name="Normal 30 3 2 2 2 30" xfId="55078"/>
    <cellStyle name="Normal 30 3 2 2 2 31" xfId="56830"/>
    <cellStyle name="Normal 30 3 2 2 2 32" xfId="58583"/>
    <cellStyle name="Normal 30 3 2 2 2 33" xfId="60335"/>
    <cellStyle name="Normal 30 3 2 2 2 34" xfId="62087"/>
    <cellStyle name="Normal 30 3 2 2 2 4" xfId="7779"/>
    <cellStyle name="Normal 30 3 2 2 2 5" xfId="9531"/>
    <cellStyle name="Normal 30 3 2 2 2 6" xfId="11284"/>
    <cellStyle name="Normal 30 3 2 2 2 7" xfId="13036"/>
    <cellStyle name="Normal 30 3 2 2 2 8" xfId="14788"/>
    <cellStyle name="Normal 30 3 2 2 2 9" xfId="16540"/>
    <cellStyle name="Normal 30 3 2 2 20" xfId="33188"/>
    <cellStyle name="Normal 30 3 2 2 21" xfId="34648"/>
    <cellStyle name="Normal 30 3 2 2 22" xfId="35824"/>
    <cellStyle name="Normal 30 3 2 2 23" xfId="37269"/>
    <cellStyle name="Normal 30 3 2 2 24" xfId="39317"/>
    <cellStyle name="Normal 30 3 2 2 25" xfId="41072"/>
    <cellStyle name="Normal 30 3 2 2 26" xfId="42824"/>
    <cellStyle name="Normal 30 3 2 2 27" xfId="44269"/>
    <cellStyle name="Normal 30 3 2 2 28" xfId="45442"/>
    <cellStyle name="Normal 30 3 2 2 29" xfId="47194"/>
    <cellStyle name="Normal 30 3 2 2 3" xfId="3399"/>
    <cellStyle name="Normal 30 3 2 2 30" xfId="48946"/>
    <cellStyle name="Normal 30 3 2 2 31" xfId="50698"/>
    <cellStyle name="Normal 30 3 2 2 32" xfId="52450"/>
    <cellStyle name="Normal 30 3 2 2 33" xfId="54202"/>
    <cellStyle name="Normal 30 3 2 2 34" xfId="55954"/>
    <cellStyle name="Normal 30 3 2 2 35" xfId="57707"/>
    <cellStyle name="Normal 30 3 2 2 36" xfId="59459"/>
    <cellStyle name="Normal 30 3 2 2 37" xfId="61211"/>
    <cellStyle name="Normal 30 3 2 2 38" xfId="62656"/>
    <cellStyle name="Normal 30 3 2 2 39" xfId="63522"/>
    <cellStyle name="Normal 30 3 2 2 4" xfId="5151"/>
    <cellStyle name="Normal 30 3 2 2 5" xfId="6903"/>
    <cellStyle name="Normal 30 3 2 2 6" xfId="8655"/>
    <cellStyle name="Normal 30 3 2 2 7" xfId="10408"/>
    <cellStyle name="Normal 30 3 2 2 8" xfId="12160"/>
    <cellStyle name="Normal 30 3 2 2 9" xfId="13912"/>
    <cellStyle name="Normal 30 3 2 20" xfId="30999"/>
    <cellStyle name="Normal 30 3 2 21" xfId="32752"/>
    <cellStyle name="Normal 30 3 2 22" xfId="34647"/>
    <cellStyle name="Normal 30 3 2 23" xfId="35388"/>
    <cellStyle name="Normal 30 3 2 24" xfId="37268"/>
    <cellStyle name="Normal 30 3 2 25" xfId="38881"/>
    <cellStyle name="Normal 30 3 2 26" xfId="40636"/>
    <cellStyle name="Normal 30 3 2 27" xfId="42388"/>
    <cellStyle name="Normal 30 3 2 28" xfId="44268"/>
    <cellStyle name="Normal 30 3 2 29" xfId="45006"/>
    <cellStyle name="Normal 30 3 2 3" xfId="1432"/>
    <cellStyle name="Normal 30 3 2 3 10" xfId="17857"/>
    <cellStyle name="Normal 30 3 2 3 11" xfId="19609"/>
    <cellStyle name="Normal 30 3 2 3 12" xfId="21362"/>
    <cellStyle name="Normal 30 3 2 3 13" xfId="23114"/>
    <cellStyle name="Normal 30 3 2 3 14" xfId="24866"/>
    <cellStyle name="Normal 30 3 2 3 15" xfId="26618"/>
    <cellStyle name="Normal 30 3 2 3 16" xfId="28370"/>
    <cellStyle name="Normal 30 3 2 3 17" xfId="30123"/>
    <cellStyle name="Normal 30 3 2 3 18" xfId="31875"/>
    <cellStyle name="Normal 30 3 2 3 19" xfId="33628"/>
    <cellStyle name="Normal 30 3 2 3 2" xfId="3839"/>
    <cellStyle name="Normal 30 3 2 3 20" xfId="36264"/>
    <cellStyle name="Normal 30 3 2 3 21" xfId="38004"/>
    <cellStyle name="Normal 30 3 2 3 22" xfId="39757"/>
    <cellStyle name="Normal 30 3 2 3 23" xfId="41512"/>
    <cellStyle name="Normal 30 3 2 3 24" xfId="43264"/>
    <cellStyle name="Normal 30 3 2 3 25" xfId="45882"/>
    <cellStyle name="Normal 30 3 2 3 26" xfId="47634"/>
    <cellStyle name="Normal 30 3 2 3 27" xfId="49386"/>
    <cellStyle name="Normal 30 3 2 3 28" xfId="51138"/>
    <cellStyle name="Normal 30 3 2 3 29" xfId="52890"/>
    <cellStyle name="Normal 30 3 2 3 3" xfId="5591"/>
    <cellStyle name="Normal 30 3 2 3 30" xfId="54642"/>
    <cellStyle name="Normal 30 3 2 3 31" xfId="56394"/>
    <cellStyle name="Normal 30 3 2 3 32" xfId="58147"/>
    <cellStyle name="Normal 30 3 2 3 33" xfId="59899"/>
    <cellStyle name="Normal 30 3 2 3 34" xfId="61651"/>
    <cellStyle name="Normal 30 3 2 3 4" xfId="7343"/>
    <cellStyle name="Normal 30 3 2 3 5" xfId="9095"/>
    <cellStyle name="Normal 30 3 2 3 6" xfId="10848"/>
    <cellStyle name="Normal 30 3 2 3 7" xfId="12600"/>
    <cellStyle name="Normal 30 3 2 3 8" xfId="14352"/>
    <cellStyle name="Normal 30 3 2 3 9" xfId="16104"/>
    <cellStyle name="Normal 30 3 2 30" xfId="46758"/>
    <cellStyle name="Normal 30 3 2 31" xfId="48510"/>
    <cellStyle name="Normal 30 3 2 32" xfId="50262"/>
    <cellStyle name="Normal 30 3 2 33" xfId="52014"/>
    <cellStyle name="Normal 30 3 2 34" xfId="53766"/>
    <cellStyle name="Normal 30 3 2 35" xfId="55518"/>
    <cellStyle name="Normal 30 3 2 36" xfId="57271"/>
    <cellStyle name="Normal 30 3 2 37" xfId="59023"/>
    <cellStyle name="Normal 30 3 2 38" xfId="60775"/>
    <cellStyle name="Normal 30 3 2 39" xfId="62655"/>
    <cellStyle name="Normal 30 3 2 4" xfId="2963"/>
    <cellStyle name="Normal 30 3 2 40" xfId="63521"/>
    <cellStyle name="Normal 30 3 2 5" xfId="4715"/>
    <cellStyle name="Normal 30 3 2 6" xfId="6467"/>
    <cellStyle name="Normal 30 3 2 7" xfId="8219"/>
    <cellStyle name="Normal 30 3 2 8" xfId="9972"/>
    <cellStyle name="Normal 30 3 2 9" xfId="11724"/>
    <cellStyle name="Normal 30 3 20" xfId="29053"/>
    <cellStyle name="Normal 30 3 21" xfId="30805"/>
    <cellStyle name="Normal 30 3 22" xfId="32558"/>
    <cellStyle name="Normal 30 3 23" xfId="34646"/>
    <cellStyle name="Normal 30 3 24" xfId="35194"/>
    <cellStyle name="Normal 30 3 25" xfId="37267"/>
    <cellStyle name="Normal 30 3 26" xfId="38687"/>
    <cellStyle name="Normal 30 3 27" xfId="40442"/>
    <cellStyle name="Normal 30 3 28" xfId="42194"/>
    <cellStyle name="Normal 30 3 29" xfId="44267"/>
    <cellStyle name="Normal 30 3 3" xfId="1433"/>
    <cellStyle name="Normal 30 3 3 10" xfId="15470"/>
    <cellStyle name="Normal 30 3 3 11" xfId="17223"/>
    <cellStyle name="Normal 30 3 3 12" xfId="18975"/>
    <cellStyle name="Normal 30 3 3 13" xfId="20728"/>
    <cellStyle name="Normal 30 3 3 14" xfId="22480"/>
    <cellStyle name="Normal 30 3 3 15" xfId="24232"/>
    <cellStyle name="Normal 30 3 3 16" xfId="25984"/>
    <cellStyle name="Normal 30 3 3 17" xfId="27736"/>
    <cellStyle name="Normal 30 3 3 18" xfId="29489"/>
    <cellStyle name="Normal 30 3 3 19" xfId="31241"/>
    <cellStyle name="Normal 30 3 3 2" xfId="1434"/>
    <cellStyle name="Normal 30 3 3 2 10" xfId="18099"/>
    <cellStyle name="Normal 30 3 3 2 11" xfId="19851"/>
    <cellStyle name="Normal 30 3 3 2 12" xfId="21604"/>
    <cellStyle name="Normal 30 3 3 2 13" xfId="23356"/>
    <cellStyle name="Normal 30 3 3 2 14" xfId="25108"/>
    <cellStyle name="Normal 30 3 3 2 15" xfId="26860"/>
    <cellStyle name="Normal 30 3 3 2 16" xfId="28612"/>
    <cellStyle name="Normal 30 3 3 2 17" xfId="30365"/>
    <cellStyle name="Normal 30 3 3 2 18" xfId="32117"/>
    <cellStyle name="Normal 30 3 3 2 19" xfId="33870"/>
    <cellStyle name="Normal 30 3 3 2 2" xfId="4081"/>
    <cellStyle name="Normal 30 3 3 2 20" xfId="36506"/>
    <cellStyle name="Normal 30 3 3 2 21" xfId="38246"/>
    <cellStyle name="Normal 30 3 3 2 22" xfId="39999"/>
    <cellStyle name="Normal 30 3 3 2 23" xfId="41754"/>
    <cellStyle name="Normal 30 3 3 2 24" xfId="43506"/>
    <cellStyle name="Normal 30 3 3 2 25" xfId="46124"/>
    <cellStyle name="Normal 30 3 3 2 26" xfId="47876"/>
    <cellStyle name="Normal 30 3 3 2 27" xfId="49628"/>
    <cellStyle name="Normal 30 3 3 2 28" xfId="51380"/>
    <cellStyle name="Normal 30 3 3 2 29" xfId="53132"/>
    <cellStyle name="Normal 30 3 3 2 3" xfId="5833"/>
    <cellStyle name="Normal 30 3 3 2 30" xfId="54884"/>
    <cellStyle name="Normal 30 3 3 2 31" xfId="56636"/>
    <cellStyle name="Normal 30 3 3 2 32" xfId="58389"/>
    <cellStyle name="Normal 30 3 3 2 33" xfId="60141"/>
    <cellStyle name="Normal 30 3 3 2 34" xfId="61893"/>
    <cellStyle name="Normal 30 3 3 2 4" xfId="7585"/>
    <cellStyle name="Normal 30 3 3 2 5" xfId="9337"/>
    <cellStyle name="Normal 30 3 3 2 6" xfId="11090"/>
    <cellStyle name="Normal 30 3 3 2 7" xfId="12842"/>
    <cellStyle name="Normal 30 3 3 2 8" xfId="14594"/>
    <cellStyle name="Normal 30 3 3 2 9" xfId="16346"/>
    <cellStyle name="Normal 30 3 3 20" xfId="32994"/>
    <cellStyle name="Normal 30 3 3 21" xfId="34649"/>
    <cellStyle name="Normal 30 3 3 22" xfId="35630"/>
    <cellStyle name="Normal 30 3 3 23" xfId="37270"/>
    <cellStyle name="Normal 30 3 3 24" xfId="39123"/>
    <cellStyle name="Normal 30 3 3 25" xfId="40878"/>
    <cellStyle name="Normal 30 3 3 26" xfId="42630"/>
    <cellStyle name="Normal 30 3 3 27" xfId="44270"/>
    <cellStyle name="Normal 30 3 3 28" xfId="45248"/>
    <cellStyle name="Normal 30 3 3 29" xfId="47000"/>
    <cellStyle name="Normal 30 3 3 3" xfId="3205"/>
    <cellStyle name="Normal 30 3 3 30" xfId="48752"/>
    <cellStyle name="Normal 30 3 3 31" xfId="50504"/>
    <cellStyle name="Normal 30 3 3 32" xfId="52256"/>
    <cellStyle name="Normal 30 3 3 33" xfId="54008"/>
    <cellStyle name="Normal 30 3 3 34" xfId="55760"/>
    <cellStyle name="Normal 30 3 3 35" xfId="57513"/>
    <cellStyle name="Normal 30 3 3 36" xfId="59265"/>
    <cellStyle name="Normal 30 3 3 37" xfId="61017"/>
    <cellStyle name="Normal 30 3 3 38" xfId="62657"/>
    <cellStyle name="Normal 30 3 3 39" xfId="63523"/>
    <cellStyle name="Normal 30 3 3 4" xfId="4957"/>
    <cellStyle name="Normal 30 3 3 5" xfId="6709"/>
    <cellStyle name="Normal 30 3 3 6" xfId="8461"/>
    <cellStyle name="Normal 30 3 3 7" xfId="10214"/>
    <cellStyle name="Normal 30 3 3 8" xfId="11966"/>
    <cellStyle name="Normal 30 3 3 9" xfId="13718"/>
    <cellStyle name="Normal 30 3 30" xfId="44812"/>
    <cellStyle name="Normal 30 3 31" xfId="46564"/>
    <cellStyle name="Normal 30 3 32" xfId="48316"/>
    <cellStyle name="Normal 30 3 33" xfId="50068"/>
    <cellStyle name="Normal 30 3 34" xfId="51820"/>
    <cellStyle name="Normal 30 3 35" xfId="53572"/>
    <cellStyle name="Normal 30 3 36" xfId="55324"/>
    <cellStyle name="Normal 30 3 37" xfId="57077"/>
    <cellStyle name="Normal 30 3 38" xfId="58829"/>
    <cellStyle name="Normal 30 3 39" xfId="60581"/>
    <cellStyle name="Normal 30 3 4" xfId="1435"/>
    <cellStyle name="Normal 30 3 4 10" xfId="17663"/>
    <cellStyle name="Normal 30 3 4 11" xfId="19415"/>
    <cellStyle name="Normal 30 3 4 12" xfId="21168"/>
    <cellStyle name="Normal 30 3 4 13" xfId="22920"/>
    <cellStyle name="Normal 30 3 4 14" xfId="24672"/>
    <cellStyle name="Normal 30 3 4 15" xfId="26424"/>
    <cellStyle name="Normal 30 3 4 16" xfId="28176"/>
    <cellStyle name="Normal 30 3 4 17" xfId="29929"/>
    <cellStyle name="Normal 30 3 4 18" xfId="31681"/>
    <cellStyle name="Normal 30 3 4 19" xfId="33434"/>
    <cellStyle name="Normal 30 3 4 2" xfId="3645"/>
    <cellStyle name="Normal 30 3 4 20" xfId="36070"/>
    <cellStyle name="Normal 30 3 4 21" xfId="37810"/>
    <cellStyle name="Normal 30 3 4 22" xfId="39563"/>
    <cellStyle name="Normal 30 3 4 23" xfId="41318"/>
    <cellStyle name="Normal 30 3 4 24" xfId="43070"/>
    <cellStyle name="Normal 30 3 4 25" xfId="45688"/>
    <cellStyle name="Normal 30 3 4 26" xfId="47440"/>
    <cellStyle name="Normal 30 3 4 27" xfId="49192"/>
    <cellStyle name="Normal 30 3 4 28" xfId="50944"/>
    <cellStyle name="Normal 30 3 4 29" xfId="52696"/>
    <cellStyle name="Normal 30 3 4 3" xfId="5397"/>
    <cellStyle name="Normal 30 3 4 30" xfId="54448"/>
    <cellStyle name="Normal 30 3 4 31" xfId="56200"/>
    <cellStyle name="Normal 30 3 4 32" xfId="57953"/>
    <cellStyle name="Normal 30 3 4 33" xfId="59705"/>
    <cellStyle name="Normal 30 3 4 34" xfId="61457"/>
    <cellStyle name="Normal 30 3 4 4" xfId="7149"/>
    <cellStyle name="Normal 30 3 4 5" xfId="8901"/>
    <cellStyle name="Normal 30 3 4 6" xfId="10654"/>
    <cellStyle name="Normal 30 3 4 7" xfId="12406"/>
    <cellStyle name="Normal 30 3 4 8" xfId="14158"/>
    <cellStyle name="Normal 30 3 4 9" xfId="15910"/>
    <cellStyle name="Normal 30 3 40" xfId="62654"/>
    <cellStyle name="Normal 30 3 41" xfId="63520"/>
    <cellStyle name="Normal 30 3 5" xfId="2769"/>
    <cellStyle name="Normal 30 3 6" xfId="4521"/>
    <cellStyle name="Normal 30 3 7" xfId="6273"/>
    <cellStyle name="Normal 30 3 8" xfId="8025"/>
    <cellStyle name="Normal 30 3 9" xfId="9778"/>
    <cellStyle name="Normal 30 30" xfId="42086"/>
    <cellStyle name="Normal 30 31" xfId="44258"/>
    <cellStyle name="Normal 30 32" xfId="44704"/>
    <cellStyle name="Normal 30 33" xfId="46456"/>
    <cellStyle name="Normal 30 34" xfId="48208"/>
    <cellStyle name="Normal 30 35" xfId="49960"/>
    <cellStyle name="Normal 30 36" xfId="51712"/>
    <cellStyle name="Normal 30 37" xfId="53464"/>
    <cellStyle name="Normal 30 38" xfId="55216"/>
    <cellStyle name="Normal 30 39" xfId="56969"/>
    <cellStyle name="Normal 30 4" xfId="1436"/>
    <cellStyle name="Normal 30 4 10" xfId="13477"/>
    <cellStyle name="Normal 30 4 11" xfId="15229"/>
    <cellStyle name="Normal 30 4 12" xfId="16982"/>
    <cellStyle name="Normal 30 4 13" xfId="18734"/>
    <cellStyle name="Normal 30 4 14" xfId="20487"/>
    <cellStyle name="Normal 30 4 15" xfId="22239"/>
    <cellStyle name="Normal 30 4 16" xfId="23991"/>
    <cellStyle name="Normal 30 4 17" xfId="25743"/>
    <cellStyle name="Normal 30 4 18" xfId="27495"/>
    <cellStyle name="Normal 30 4 19" xfId="29248"/>
    <cellStyle name="Normal 30 4 2" xfId="1437"/>
    <cellStyle name="Normal 30 4 2 10" xfId="15665"/>
    <cellStyle name="Normal 30 4 2 11" xfId="17418"/>
    <cellStyle name="Normal 30 4 2 12" xfId="19170"/>
    <cellStyle name="Normal 30 4 2 13" xfId="20923"/>
    <cellStyle name="Normal 30 4 2 14" xfId="22675"/>
    <cellStyle name="Normal 30 4 2 15" xfId="24427"/>
    <cellStyle name="Normal 30 4 2 16" xfId="26179"/>
    <cellStyle name="Normal 30 4 2 17" xfId="27931"/>
    <cellStyle name="Normal 30 4 2 18" xfId="29684"/>
    <cellStyle name="Normal 30 4 2 19" xfId="31436"/>
    <cellStyle name="Normal 30 4 2 2" xfId="1438"/>
    <cellStyle name="Normal 30 4 2 2 10" xfId="18294"/>
    <cellStyle name="Normal 30 4 2 2 11" xfId="20046"/>
    <cellStyle name="Normal 30 4 2 2 12" xfId="21799"/>
    <cellStyle name="Normal 30 4 2 2 13" xfId="23551"/>
    <cellStyle name="Normal 30 4 2 2 14" xfId="25303"/>
    <cellStyle name="Normal 30 4 2 2 15" xfId="27055"/>
    <cellStyle name="Normal 30 4 2 2 16" xfId="28807"/>
    <cellStyle name="Normal 30 4 2 2 17" xfId="30560"/>
    <cellStyle name="Normal 30 4 2 2 18" xfId="32312"/>
    <cellStyle name="Normal 30 4 2 2 19" xfId="34065"/>
    <cellStyle name="Normal 30 4 2 2 2" xfId="4276"/>
    <cellStyle name="Normal 30 4 2 2 20" xfId="36701"/>
    <cellStyle name="Normal 30 4 2 2 21" xfId="38441"/>
    <cellStyle name="Normal 30 4 2 2 22" xfId="40194"/>
    <cellStyle name="Normal 30 4 2 2 23" xfId="41949"/>
    <cellStyle name="Normal 30 4 2 2 24" xfId="43701"/>
    <cellStyle name="Normal 30 4 2 2 25" xfId="46319"/>
    <cellStyle name="Normal 30 4 2 2 26" xfId="48071"/>
    <cellStyle name="Normal 30 4 2 2 27" xfId="49823"/>
    <cellStyle name="Normal 30 4 2 2 28" xfId="51575"/>
    <cellStyle name="Normal 30 4 2 2 29" xfId="53327"/>
    <cellStyle name="Normal 30 4 2 2 3" xfId="6028"/>
    <cellStyle name="Normal 30 4 2 2 30" xfId="55079"/>
    <cellStyle name="Normal 30 4 2 2 31" xfId="56831"/>
    <cellStyle name="Normal 30 4 2 2 32" xfId="58584"/>
    <cellStyle name="Normal 30 4 2 2 33" xfId="60336"/>
    <cellStyle name="Normal 30 4 2 2 34" xfId="62088"/>
    <cellStyle name="Normal 30 4 2 2 4" xfId="7780"/>
    <cellStyle name="Normal 30 4 2 2 5" xfId="9532"/>
    <cellStyle name="Normal 30 4 2 2 6" xfId="11285"/>
    <cellStyle name="Normal 30 4 2 2 7" xfId="13037"/>
    <cellStyle name="Normal 30 4 2 2 8" xfId="14789"/>
    <cellStyle name="Normal 30 4 2 2 9" xfId="16541"/>
    <cellStyle name="Normal 30 4 2 20" xfId="33189"/>
    <cellStyle name="Normal 30 4 2 21" xfId="34651"/>
    <cellStyle name="Normal 30 4 2 22" xfId="35825"/>
    <cellStyle name="Normal 30 4 2 23" xfId="37272"/>
    <cellStyle name="Normal 30 4 2 24" xfId="39318"/>
    <cellStyle name="Normal 30 4 2 25" xfId="41073"/>
    <cellStyle name="Normal 30 4 2 26" xfId="42825"/>
    <cellStyle name="Normal 30 4 2 27" xfId="44272"/>
    <cellStyle name="Normal 30 4 2 28" xfId="45443"/>
    <cellStyle name="Normal 30 4 2 29" xfId="47195"/>
    <cellStyle name="Normal 30 4 2 3" xfId="3400"/>
    <cellStyle name="Normal 30 4 2 30" xfId="48947"/>
    <cellStyle name="Normal 30 4 2 31" xfId="50699"/>
    <cellStyle name="Normal 30 4 2 32" xfId="52451"/>
    <cellStyle name="Normal 30 4 2 33" xfId="54203"/>
    <cellStyle name="Normal 30 4 2 34" xfId="55955"/>
    <cellStyle name="Normal 30 4 2 35" xfId="57708"/>
    <cellStyle name="Normal 30 4 2 36" xfId="59460"/>
    <cellStyle name="Normal 30 4 2 37" xfId="61212"/>
    <cellStyle name="Normal 30 4 2 38" xfId="62659"/>
    <cellStyle name="Normal 30 4 2 39" xfId="63525"/>
    <cellStyle name="Normal 30 4 2 4" xfId="5152"/>
    <cellStyle name="Normal 30 4 2 5" xfId="6904"/>
    <cellStyle name="Normal 30 4 2 6" xfId="8656"/>
    <cellStyle name="Normal 30 4 2 7" xfId="10409"/>
    <cellStyle name="Normal 30 4 2 8" xfId="12161"/>
    <cellStyle name="Normal 30 4 2 9" xfId="13913"/>
    <cellStyle name="Normal 30 4 20" xfId="31000"/>
    <cellStyle name="Normal 30 4 21" xfId="32753"/>
    <cellStyle name="Normal 30 4 22" xfId="34650"/>
    <cellStyle name="Normal 30 4 23" xfId="35389"/>
    <cellStyle name="Normal 30 4 24" xfId="37271"/>
    <cellStyle name="Normal 30 4 25" xfId="38882"/>
    <cellStyle name="Normal 30 4 26" xfId="40637"/>
    <cellStyle name="Normal 30 4 27" xfId="42389"/>
    <cellStyle name="Normal 30 4 28" xfId="44271"/>
    <cellStyle name="Normal 30 4 29" xfId="45007"/>
    <cellStyle name="Normal 30 4 3" xfId="1439"/>
    <cellStyle name="Normal 30 4 3 10" xfId="17858"/>
    <cellStyle name="Normal 30 4 3 11" xfId="19610"/>
    <cellStyle name="Normal 30 4 3 12" xfId="21363"/>
    <cellStyle name="Normal 30 4 3 13" xfId="23115"/>
    <cellStyle name="Normal 30 4 3 14" xfId="24867"/>
    <cellStyle name="Normal 30 4 3 15" xfId="26619"/>
    <cellStyle name="Normal 30 4 3 16" xfId="28371"/>
    <cellStyle name="Normal 30 4 3 17" xfId="30124"/>
    <cellStyle name="Normal 30 4 3 18" xfId="31876"/>
    <cellStyle name="Normal 30 4 3 19" xfId="33629"/>
    <cellStyle name="Normal 30 4 3 2" xfId="3840"/>
    <cellStyle name="Normal 30 4 3 20" xfId="36265"/>
    <cellStyle name="Normal 30 4 3 21" xfId="38005"/>
    <cellStyle name="Normal 30 4 3 22" xfId="39758"/>
    <cellStyle name="Normal 30 4 3 23" xfId="41513"/>
    <cellStyle name="Normal 30 4 3 24" xfId="43265"/>
    <cellStyle name="Normal 30 4 3 25" xfId="45883"/>
    <cellStyle name="Normal 30 4 3 26" xfId="47635"/>
    <cellStyle name="Normal 30 4 3 27" xfId="49387"/>
    <cellStyle name="Normal 30 4 3 28" xfId="51139"/>
    <cellStyle name="Normal 30 4 3 29" xfId="52891"/>
    <cellStyle name="Normal 30 4 3 3" xfId="5592"/>
    <cellStyle name="Normal 30 4 3 30" xfId="54643"/>
    <cellStyle name="Normal 30 4 3 31" xfId="56395"/>
    <cellStyle name="Normal 30 4 3 32" xfId="58148"/>
    <cellStyle name="Normal 30 4 3 33" xfId="59900"/>
    <cellStyle name="Normal 30 4 3 34" xfId="61652"/>
    <cellStyle name="Normal 30 4 3 4" xfId="7344"/>
    <cellStyle name="Normal 30 4 3 5" xfId="9096"/>
    <cellStyle name="Normal 30 4 3 6" xfId="10849"/>
    <cellStyle name="Normal 30 4 3 7" xfId="12601"/>
    <cellStyle name="Normal 30 4 3 8" xfId="14353"/>
    <cellStyle name="Normal 30 4 3 9" xfId="16105"/>
    <cellStyle name="Normal 30 4 30" xfId="46759"/>
    <cellStyle name="Normal 30 4 31" xfId="48511"/>
    <cellStyle name="Normal 30 4 32" xfId="50263"/>
    <cellStyle name="Normal 30 4 33" xfId="52015"/>
    <cellStyle name="Normal 30 4 34" xfId="53767"/>
    <cellStyle name="Normal 30 4 35" xfId="55519"/>
    <cellStyle name="Normal 30 4 36" xfId="57272"/>
    <cellStyle name="Normal 30 4 37" xfId="59024"/>
    <cellStyle name="Normal 30 4 38" xfId="60776"/>
    <cellStyle name="Normal 30 4 39" xfId="62658"/>
    <cellStyle name="Normal 30 4 4" xfId="2964"/>
    <cellStyle name="Normal 30 4 40" xfId="63524"/>
    <cellStyle name="Normal 30 4 5" xfId="4716"/>
    <cellStyle name="Normal 30 4 6" xfId="6468"/>
    <cellStyle name="Normal 30 4 7" xfId="8220"/>
    <cellStyle name="Normal 30 4 8" xfId="9973"/>
    <cellStyle name="Normal 30 4 9" xfId="11725"/>
    <cellStyle name="Normal 30 40" xfId="58721"/>
    <cellStyle name="Normal 30 41" xfId="60473"/>
    <cellStyle name="Normal 30 42" xfId="62645"/>
    <cellStyle name="Normal 30 43" xfId="63511"/>
    <cellStyle name="Normal 30 5" xfId="1440"/>
    <cellStyle name="Normal 30 5 10" xfId="15362"/>
    <cellStyle name="Normal 30 5 11" xfId="17115"/>
    <cellStyle name="Normal 30 5 12" xfId="18867"/>
    <cellStyle name="Normal 30 5 13" xfId="20620"/>
    <cellStyle name="Normal 30 5 14" xfId="22372"/>
    <cellStyle name="Normal 30 5 15" xfId="24124"/>
    <cellStyle name="Normal 30 5 16" xfId="25876"/>
    <cellStyle name="Normal 30 5 17" xfId="27628"/>
    <cellStyle name="Normal 30 5 18" xfId="29381"/>
    <cellStyle name="Normal 30 5 19" xfId="31133"/>
    <cellStyle name="Normal 30 5 2" xfId="1441"/>
    <cellStyle name="Normal 30 5 2 10" xfId="17991"/>
    <cellStyle name="Normal 30 5 2 11" xfId="19743"/>
    <cellStyle name="Normal 30 5 2 12" xfId="21496"/>
    <cellStyle name="Normal 30 5 2 13" xfId="23248"/>
    <cellStyle name="Normal 30 5 2 14" xfId="25000"/>
    <cellStyle name="Normal 30 5 2 15" xfId="26752"/>
    <cellStyle name="Normal 30 5 2 16" xfId="28504"/>
    <cellStyle name="Normal 30 5 2 17" xfId="30257"/>
    <cellStyle name="Normal 30 5 2 18" xfId="32009"/>
    <cellStyle name="Normal 30 5 2 19" xfId="33762"/>
    <cellStyle name="Normal 30 5 2 2" xfId="3973"/>
    <cellStyle name="Normal 30 5 2 20" xfId="36398"/>
    <cellStyle name="Normal 30 5 2 21" xfId="38138"/>
    <cellStyle name="Normal 30 5 2 22" xfId="39891"/>
    <cellStyle name="Normal 30 5 2 23" xfId="41646"/>
    <cellStyle name="Normal 30 5 2 24" xfId="43398"/>
    <cellStyle name="Normal 30 5 2 25" xfId="46016"/>
    <cellStyle name="Normal 30 5 2 26" xfId="47768"/>
    <cellStyle name="Normal 30 5 2 27" xfId="49520"/>
    <cellStyle name="Normal 30 5 2 28" xfId="51272"/>
    <cellStyle name="Normal 30 5 2 29" xfId="53024"/>
    <cellStyle name="Normal 30 5 2 3" xfId="5725"/>
    <cellStyle name="Normal 30 5 2 30" xfId="54776"/>
    <cellStyle name="Normal 30 5 2 31" xfId="56528"/>
    <cellStyle name="Normal 30 5 2 32" xfId="58281"/>
    <cellStyle name="Normal 30 5 2 33" xfId="60033"/>
    <cellStyle name="Normal 30 5 2 34" xfId="61785"/>
    <cellStyle name="Normal 30 5 2 4" xfId="7477"/>
    <cellStyle name="Normal 30 5 2 5" xfId="9229"/>
    <cellStyle name="Normal 30 5 2 6" xfId="10982"/>
    <cellStyle name="Normal 30 5 2 7" xfId="12734"/>
    <cellStyle name="Normal 30 5 2 8" xfId="14486"/>
    <cellStyle name="Normal 30 5 2 9" xfId="16238"/>
    <cellStyle name="Normal 30 5 20" xfId="32886"/>
    <cellStyle name="Normal 30 5 21" xfId="34652"/>
    <cellStyle name="Normal 30 5 22" xfId="35522"/>
    <cellStyle name="Normal 30 5 23" xfId="37273"/>
    <cellStyle name="Normal 30 5 24" xfId="39015"/>
    <cellStyle name="Normal 30 5 25" xfId="40770"/>
    <cellStyle name="Normal 30 5 26" xfId="42522"/>
    <cellStyle name="Normal 30 5 27" xfId="44273"/>
    <cellStyle name="Normal 30 5 28" xfId="45140"/>
    <cellStyle name="Normal 30 5 29" xfId="46892"/>
    <cellStyle name="Normal 30 5 3" xfId="3097"/>
    <cellStyle name="Normal 30 5 30" xfId="48644"/>
    <cellStyle name="Normal 30 5 31" xfId="50396"/>
    <cellStyle name="Normal 30 5 32" xfId="52148"/>
    <cellStyle name="Normal 30 5 33" xfId="53900"/>
    <cellStyle name="Normal 30 5 34" xfId="55652"/>
    <cellStyle name="Normal 30 5 35" xfId="57405"/>
    <cellStyle name="Normal 30 5 36" xfId="59157"/>
    <cellStyle name="Normal 30 5 37" xfId="60909"/>
    <cellStyle name="Normal 30 5 38" xfId="62660"/>
    <cellStyle name="Normal 30 5 39" xfId="63526"/>
    <cellStyle name="Normal 30 5 4" xfId="4849"/>
    <cellStyle name="Normal 30 5 5" xfId="6601"/>
    <cellStyle name="Normal 30 5 6" xfId="8353"/>
    <cellStyle name="Normal 30 5 7" xfId="10106"/>
    <cellStyle name="Normal 30 5 8" xfId="11858"/>
    <cellStyle name="Normal 30 5 9" xfId="13610"/>
    <cellStyle name="Normal 30 6" xfId="1442"/>
    <cellStyle name="Normal 30 6 10" xfId="17555"/>
    <cellStyle name="Normal 30 6 11" xfId="19307"/>
    <cellStyle name="Normal 30 6 12" xfId="21060"/>
    <cellStyle name="Normal 30 6 13" xfId="22812"/>
    <cellStyle name="Normal 30 6 14" xfId="24564"/>
    <cellStyle name="Normal 30 6 15" xfId="26316"/>
    <cellStyle name="Normal 30 6 16" xfId="28068"/>
    <cellStyle name="Normal 30 6 17" xfId="29821"/>
    <cellStyle name="Normal 30 6 18" xfId="31573"/>
    <cellStyle name="Normal 30 6 19" xfId="33326"/>
    <cellStyle name="Normal 30 6 2" xfId="3537"/>
    <cellStyle name="Normal 30 6 20" xfId="35962"/>
    <cellStyle name="Normal 30 6 21" xfId="37702"/>
    <cellStyle name="Normal 30 6 22" xfId="39455"/>
    <cellStyle name="Normal 30 6 23" xfId="41210"/>
    <cellStyle name="Normal 30 6 24" xfId="42962"/>
    <cellStyle name="Normal 30 6 25" xfId="45580"/>
    <cellStyle name="Normal 30 6 26" xfId="47332"/>
    <cellStyle name="Normal 30 6 27" xfId="49084"/>
    <cellStyle name="Normal 30 6 28" xfId="50836"/>
    <cellStyle name="Normal 30 6 29" xfId="52588"/>
    <cellStyle name="Normal 30 6 3" xfId="5289"/>
    <cellStyle name="Normal 30 6 30" xfId="54340"/>
    <cellStyle name="Normal 30 6 31" xfId="56092"/>
    <cellStyle name="Normal 30 6 32" xfId="57845"/>
    <cellStyle name="Normal 30 6 33" xfId="59597"/>
    <cellStyle name="Normal 30 6 34" xfId="61349"/>
    <cellStyle name="Normal 30 6 4" xfId="7041"/>
    <cellStyle name="Normal 30 6 5" xfId="8793"/>
    <cellStyle name="Normal 30 6 6" xfId="10546"/>
    <cellStyle name="Normal 30 6 7" xfId="12298"/>
    <cellStyle name="Normal 30 6 8" xfId="14050"/>
    <cellStyle name="Normal 30 6 9" xfId="15802"/>
    <cellStyle name="Normal 30 7" xfId="2661"/>
    <cellStyle name="Normal 30 8" xfId="4413"/>
    <cellStyle name="Normal 30 9" xfId="6165"/>
    <cellStyle name="Normal 31" xfId="1443"/>
    <cellStyle name="Normal 31 10" xfId="7918"/>
    <cellStyle name="Normal 31 11" xfId="9671"/>
    <cellStyle name="Normal 31 12" xfId="11423"/>
    <cellStyle name="Normal 31 13" xfId="13175"/>
    <cellStyle name="Normal 31 14" xfId="14927"/>
    <cellStyle name="Normal 31 15" xfId="16680"/>
    <cellStyle name="Normal 31 16" xfId="18432"/>
    <cellStyle name="Normal 31 17" xfId="20185"/>
    <cellStyle name="Normal 31 18" xfId="21937"/>
    <cellStyle name="Normal 31 19" xfId="23689"/>
    <cellStyle name="Normal 31 2" xfId="1444"/>
    <cellStyle name="Normal 31 2 10" xfId="9726"/>
    <cellStyle name="Normal 31 2 11" xfId="11478"/>
    <cellStyle name="Normal 31 2 12" xfId="13230"/>
    <cellStyle name="Normal 31 2 13" xfId="14982"/>
    <cellStyle name="Normal 31 2 14" xfId="16735"/>
    <cellStyle name="Normal 31 2 15" xfId="18487"/>
    <cellStyle name="Normal 31 2 16" xfId="20240"/>
    <cellStyle name="Normal 31 2 17" xfId="21992"/>
    <cellStyle name="Normal 31 2 18" xfId="23744"/>
    <cellStyle name="Normal 31 2 19" xfId="25496"/>
    <cellStyle name="Normal 31 2 2" xfId="1445"/>
    <cellStyle name="Normal 31 2 2 10" xfId="11586"/>
    <cellStyle name="Normal 31 2 2 11" xfId="13338"/>
    <cellStyle name="Normal 31 2 2 12" xfId="15090"/>
    <cellStyle name="Normal 31 2 2 13" xfId="16843"/>
    <cellStyle name="Normal 31 2 2 14" xfId="18595"/>
    <cellStyle name="Normal 31 2 2 15" xfId="20348"/>
    <cellStyle name="Normal 31 2 2 16" xfId="22100"/>
    <cellStyle name="Normal 31 2 2 17" xfId="23852"/>
    <cellStyle name="Normal 31 2 2 18" xfId="25604"/>
    <cellStyle name="Normal 31 2 2 19" xfId="27356"/>
    <cellStyle name="Normal 31 2 2 2" xfId="1446"/>
    <cellStyle name="Normal 31 2 2 2 10" xfId="13478"/>
    <cellStyle name="Normal 31 2 2 2 11" xfId="15230"/>
    <cellStyle name="Normal 31 2 2 2 12" xfId="16983"/>
    <cellStyle name="Normal 31 2 2 2 13" xfId="18735"/>
    <cellStyle name="Normal 31 2 2 2 14" xfId="20488"/>
    <cellStyle name="Normal 31 2 2 2 15" xfId="22240"/>
    <cellStyle name="Normal 31 2 2 2 16" xfId="23992"/>
    <cellStyle name="Normal 31 2 2 2 17" xfId="25744"/>
    <cellStyle name="Normal 31 2 2 2 18" xfId="27496"/>
    <cellStyle name="Normal 31 2 2 2 19" xfId="29249"/>
    <cellStyle name="Normal 31 2 2 2 2" xfId="1447"/>
    <cellStyle name="Normal 31 2 2 2 2 10" xfId="15666"/>
    <cellStyle name="Normal 31 2 2 2 2 11" xfId="17419"/>
    <cellStyle name="Normal 31 2 2 2 2 12" xfId="19171"/>
    <cellStyle name="Normal 31 2 2 2 2 13" xfId="20924"/>
    <cellStyle name="Normal 31 2 2 2 2 14" xfId="22676"/>
    <cellStyle name="Normal 31 2 2 2 2 15" xfId="24428"/>
    <cellStyle name="Normal 31 2 2 2 2 16" xfId="26180"/>
    <cellStyle name="Normal 31 2 2 2 2 17" xfId="27932"/>
    <cellStyle name="Normal 31 2 2 2 2 18" xfId="29685"/>
    <cellStyle name="Normal 31 2 2 2 2 19" xfId="31437"/>
    <cellStyle name="Normal 31 2 2 2 2 2" xfId="1448"/>
    <cellStyle name="Normal 31 2 2 2 2 2 10" xfId="18295"/>
    <cellStyle name="Normal 31 2 2 2 2 2 11" xfId="20047"/>
    <cellStyle name="Normal 31 2 2 2 2 2 12" xfId="21800"/>
    <cellStyle name="Normal 31 2 2 2 2 2 13" xfId="23552"/>
    <cellStyle name="Normal 31 2 2 2 2 2 14" xfId="25304"/>
    <cellStyle name="Normal 31 2 2 2 2 2 15" xfId="27056"/>
    <cellStyle name="Normal 31 2 2 2 2 2 16" xfId="28808"/>
    <cellStyle name="Normal 31 2 2 2 2 2 17" xfId="30561"/>
    <cellStyle name="Normal 31 2 2 2 2 2 18" xfId="32313"/>
    <cellStyle name="Normal 31 2 2 2 2 2 19" xfId="34066"/>
    <cellStyle name="Normal 31 2 2 2 2 2 2" xfId="4277"/>
    <cellStyle name="Normal 31 2 2 2 2 2 20" xfId="36702"/>
    <cellStyle name="Normal 31 2 2 2 2 2 21" xfId="38442"/>
    <cellStyle name="Normal 31 2 2 2 2 2 22" xfId="40195"/>
    <cellStyle name="Normal 31 2 2 2 2 2 23" xfId="41950"/>
    <cellStyle name="Normal 31 2 2 2 2 2 24" xfId="43702"/>
    <cellStyle name="Normal 31 2 2 2 2 2 25" xfId="46320"/>
    <cellStyle name="Normal 31 2 2 2 2 2 26" xfId="48072"/>
    <cellStyle name="Normal 31 2 2 2 2 2 27" xfId="49824"/>
    <cellStyle name="Normal 31 2 2 2 2 2 28" xfId="51576"/>
    <cellStyle name="Normal 31 2 2 2 2 2 29" xfId="53328"/>
    <cellStyle name="Normal 31 2 2 2 2 2 3" xfId="6029"/>
    <cellStyle name="Normal 31 2 2 2 2 2 30" xfId="55080"/>
    <cellStyle name="Normal 31 2 2 2 2 2 31" xfId="56832"/>
    <cellStyle name="Normal 31 2 2 2 2 2 32" xfId="58585"/>
    <cellStyle name="Normal 31 2 2 2 2 2 33" xfId="60337"/>
    <cellStyle name="Normal 31 2 2 2 2 2 34" xfId="62089"/>
    <cellStyle name="Normal 31 2 2 2 2 2 4" xfId="7781"/>
    <cellStyle name="Normal 31 2 2 2 2 2 5" xfId="9533"/>
    <cellStyle name="Normal 31 2 2 2 2 2 6" xfId="11286"/>
    <cellStyle name="Normal 31 2 2 2 2 2 7" xfId="13038"/>
    <cellStyle name="Normal 31 2 2 2 2 2 8" xfId="14790"/>
    <cellStyle name="Normal 31 2 2 2 2 2 9" xfId="16542"/>
    <cellStyle name="Normal 31 2 2 2 2 20" xfId="33190"/>
    <cellStyle name="Normal 31 2 2 2 2 21" xfId="34657"/>
    <cellStyle name="Normal 31 2 2 2 2 22" xfId="35826"/>
    <cellStyle name="Normal 31 2 2 2 2 23" xfId="37278"/>
    <cellStyle name="Normal 31 2 2 2 2 24" xfId="39319"/>
    <cellStyle name="Normal 31 2 2 2 2 25" xfId="41074"/>
    <cellStyle name="Normal 31 2 2 2 2 26" xfId="42826"/>
    <cellStyle name="Normal 31 2 2 2 2 27" xfId="44278"/>
    <cellStyle name="Normal 31 2 2 2 2 28" xfId="45444"/>
    <cellStyle name="Normal 31 2 2 2 2 29" xfId="47196"/>
    <cellStyle name="Normal 31 2 2 2 2 3" xfId="3401"/>
    <cellStyle name="Normal 31 2 2 2 2 30" xfId="48948"/>
    <cellStyle name="Normal 31 2 2 2 2 31" xfId="50700"/>
    <cellStyle name="Normal 31 2 2 2 2 32" xfId="52452"/>
    <cellStyle name="Normal 31 2 2 2 2 33" xfId="54204"/>
    <cellStyle name="Normal 31 2 2 2 2 34" xfId="55956"/>
    <cellStyle name="Normal 31 2 2 2 2 35" xfId="57709"/>
    <cellStyle name="Normal 31 2 2 2 2 36" xfId="59461"/>
    <cellStyle name="Normal 31 2 2 2 2 37" xfId="61213"/>
    <cellStyle name="Normal 31 2 2 2 2 38" xfId="62665"/>
    <cellStyle name="Normal 31 2 2 2 2 39" xfId="63531"/>
    <cellStyle name="Normal 31 2 2 2 2 4" xfId="5153"/>
    <cellStyle name="Normal 31 2 2 2 2 5" xfId="6905"/>
    <cellStyle name="Normal 31 2 2 2 2 6" xfId="8657"/>
    <cellStyle name="Normal 31 2 2 2 2 7" xfId="10410"/>
    <cellStyle name="Normal 31 2 2 2 2 8" xfId="12162"/>
    <cellStyle name="Normal 31 2 2 2 2 9" xfId="13914"/>
    <cellStyle name="Normal 31 2 2 2 20" xfId="31001"/>
    <cellStyle name="Normal 31 2 2 2 21" xfId="32754"/>
    <cellStyle name="Normal 31 2 2 2 22" xfId="34656"/>
    <cellStyle name="Normal 31 2 2 2 23" xfId="35390"/>
    <cellStyle name="Normal 31 2 2 2 24" xfId="37277"/>
    <cellStyle name="Normal 31 2 2 2 25" xfId="38883"/>
    <cellStyle name="Normal 31 2 2 2 26" xfId="40638"/>
    <cellStyle name="Normal 31 2 2 2 27" xfId="42390"/>
    <cellStyle name="Normal 31 2 2 2 28" xfId="44277"/>
    <cellStyle name="Normal 31 2 2 2 29" xfId="45008"/>
    <cellStyle name="Normal 31 2 2 2 3" xfId="1449"/>
    <cellStyle name="Normal 31 2 2 2 3 10" xfId="17859"/>
    <cellStyle name="Normal 31 2 2 2 3 11" xfId="19611"/>
    <cellStyle name="Normal 31 2 2 2 3 12" xfId="21364"/>
    <cellStyle name="Normal 31 2 2 2 3 13" xfId="23116"/>
    <cellStyle name="Normal 31 2 2 2 3 14" xfId="24868"/>
    <cellStyle name="Normal 31 2 2 2 3 15" xfId="26620"/>
    <cellStyle name="Normal 31 2 2 2 3 16" xfId="28372"/>
    <cellStyle name="Normal 31 2 2 2 3 17" xfId="30125"/>
    <cellStyle name="Normal 31 2 2 2 3 18" xfId="31877"/>
    <cellStyle name="Normal 31 2 2 2 3 19" xfId="33630"/>
    <cellStyle name="Normal 31 2 2 2 3 2" xfId="3841"/>
    <cellStyle name="Normal 31 2 2 2 3 20" xfId="36266"/>
    <cellStyle name="Normal 31 2 2 2 3 21" xfId="38006"/>
    <cellStyle name="Normal 31 2 2 2 3 22" xfId="39759"/>
    <cellStyle name="Normal 31 2 2 2 3 23" xfId="41514"/>
    <cellStyle name="Normal 31 2 2 2 3 24" xfId="43266"/>
    <cellStyle name="Normal 31 2 2 2 3 25" xfId="45884"/>
    <cellStyle name="Normal 31 2 2 2 3 26" xfId="47636"/>
    <cellStyle name="Normal 31 2 2 2 3 27" xfId="49388"/>
    <cellStyle name="Normal 31 2 2 2 3 28" xfId="51140"/>
    <cellStyle name="Normal 31 2 2 2 3 29" xfId="52892"/>
    <cellStyle name="Normal 31 2 2 2 3 3" xfId="5593"/>
    <cellStyle name="Normal 31 2 2 2 3 30" xfId="54644"/>
    <cellStyle name="Normal 31 2 2 2 3 31" xfId="56396"/>
    <cellStyle name="Normal 31 2 2 2 3 32" xfId="58149"/>
    <cellStyle name="Normal 31 2 2 2 3 33" xfId="59901"/>
    <cellStyle name="Normal 31 2 2 2 3 34" xfId="61653"/>
    <cellStyle name="Normal 31 2 2 2 3 4" xfId="7345"/>
    <cellStyle name="Normal 31 2 2 2 3 5" xfId="9097"/>
    <cellStyle name="Normal 31 2 2 2 3 6" xfId="10850"/>
    <cellStyle name="Normal 31 2 2 2 3 7" xfId="12602"/>
    <cellStyle name="Normal 31 2 2 2 3 8" xfId="14354"/>
    <cellStyle name="Normal 31 2 2 2 3 9" xfId="16106"/>
    <cellStyle name="Normal 31 2 2 2 30" xfId="46760"/>
    <cellStyle name="Normal 31 2 2 2 31" xfId="48512"/>
    <cellStyle name="Normal 31 2 2 2 32" xfId="50264"/>
    <cellStyle name="Normal 31 2 2 2 33" xfId="52016"/>
    <cellStyle name="Normal 31 2 2 2 34" xfId="53768"/>
    <cellStyle name="Normal 31 2 2 2 35" xfId="55520"/>
    <cellStyle name="Normal 31 2 2 2 36" xfId="57273"/>
    <cellStyle name="Normal 31 2 2 2 37" xfId="59025"/>
    <cellStyle name="Normal 31 2 2 2 38" xfId="60777"/>
    <cellStyle name="Normal 31 2 2 2 39" xfId="62664"/>
    <cellStyle name="Normal 31 2 2 2 4" xfId="2965"/>
    <cellStyle name="Normal 31 2 2 2 40" xfId="63530"/>
    <cellStyle name="Normal 31 2 2 2 5" xfId="4717"/>
    <cellStyle name="Normal 31 2 2 2 6" xfId="6469"/>
    <cellStyle name="Normal 31 2 2 2 7" xfId="8221"/>
    <cellStyle name="Normal 31 2 2 2 8" xfId="9974"/>
    <cellStyle name="Normal 31 2 2 2 9" xfId="11726"/>
    <cellStyle name="Normal 31 2 2 20" xfId="29109"/>
    <cellStyle name="Normal 31 2 2 21" xfId="30861"/>
    <cellStyle name="Normal 31 2 2 22" xfId="32614"/>
    <cellStyle name="Normal 31 2 2 23" xfId="34655"/>
    <cellStyle name="Normal 31 2 2 24" xfId="35250"/>
    <cellStyle name="Normal 31 2 2 25" xfId="37276"/>
    <cellStyle name="Normal 31 2 2 26" xfId="38743"/>
    <cellStyle name="Normal 31 2 2 27" xfId="40498"/>
    <cellStyle name="Normal 31 2 2 28" xfId="42250"/>
    <cellStyle name="Normal 31 2 2 29" xfId="44276"/>
    <cellStyle name="Normal 31 2 2 3" xfId="1450"/>
    <cellStyle name="Normal 31 2 2 3 10" xfId="15526"/>
    <cellStyle name="Normal 31 2 2 3 11" xfId="17279"/>
    <cellStyle name="Normal 31 2 2 3 12" xfId="19031"/>
    <cellStyle name="Normal 31 2 2 3 13" xfId="20784"/>
    <cellStyle name="Normal 31 2 2 3 14" xfId="22536"/>
    <cellStyle name="Normal 31 2 2 3 15" xfId="24288"/>
    <cellStyle name="Normal 31 2 2 3 16" xfId="26040"/>
    <cellStyle name="Normal 31 2 2 3 17" xfId="27792"/>
    <cellStyle name="Normal 31 2 2 3 18" xfId="29545"/>
    <cellStyle name="Normal 31 2 2 3 19" xfId="31297"/>
    <cellStyle name="Normal 31 2 2 3 2" xfId="1451"/>
    <cellStyle name="Normal 31 2 2 3 2 10" xfId="18155"/>
    <cellStyle name="Normal 31 2 2 3 2 11" xfId="19907"/>
    <cellStyle name="Normal 31 2 2 3 2 12" xfId="21660"/>
    <cellStyle name="Normal 31 2 2 3 2 13" xfId="23412"/>
    <cellStyle name="Normal 31 2 2 3 2 14" xfId="25164"/>
    <cellStyle name="Normal 31 2 2 3 2 15" xfId="26916"/>
    <cellStyle name="Normal 31 2 2 3 2 16" xfId="28668"/>
    <cellStyle name="Normal 31 2 2 3 2 17" xfId="30421"/>
    <cellStyle name="Normal 31 2 2 3 2 18" xfId="32173"/>
    <cellStyle name="Normal 31 2 2 3 2 19" xfId="33926"/>
    <cellStyle name="Normal 31 2 2 3 2 2" xfId="4137"/>
    <cellStyle name="Normal 31 2 2 3 2 20" xfId="36562"/>
    <cellStyle name="Normal 31 2 2 3 2 21" xfId="38302"/>
    <cellStyle name="Normal 31 2 2 3 2 22" xfId="40055"/>
    <cellStyle name="Normal 31 2 2 3 2 23" xfId="41810"/>
    <cellStyle name="Normal 31 2 2 3 2 24" xfId="43562"/>
    <cellStyle name="Normal 31 2 2 3 2 25" xfId="46180"/>
    <cellStyle name="Normal 31 2 2 3 2 26" xfId="47932"/>
    <cellStyle name="Normal 31 2 2 3 2 27" xfId="49684"/>
    <cellStyle name="Normal 31 2 2 3 2 28" xfId="51436"/>
    <cellStyle name="Normal 31 2 2 3 2 29" xfId="53188"/>
    <cellStyle name="Normal 31 2 2 3 2 3" xfId="5889"/>
    <cellStyle name="Normal 31 2 2 3 2 30" xfId="54940"/>
    <cellStyle name="Normal 31 2 2 3 2 31" xfId="56692"/>
    <cellStyle name="Normal 31 2 2 3 2 32" xfId="58445"/>
    <cellStyle name="Normal 31 2 2 3 2 33" xfId="60197"/>
    <cellStyle name="Normal 31 2 2 3 2 34" xfId="61949"/>
    <cellStyle name="Normal 31 2 2 3 2 4" xfId="7641"/>
    <cellStyle name="Normal 31 2 2 3 2 5" xfId="9393"/>
    <cellStyle name="Normal 31 2 2 3 2 6" xfId="11146"/>
    <cellStyle name="Normal 31 2 2 3 2 7" xfId="12898"/>
    <cellStyle name="Normal 31 2 2 3 2 8" xfId="14650"/>
    <cellStyle name="Normal 31 2 2 3 2 9" xfId="16402"/>
    <cellStyle name="Normal 31 2 2 3 20" xfId="33050"/>
    <cellStyle name="Normal 31 2 2 3 21" xfId="34658"/>
    <cellStyle name="Normal 31 2 2 3 22" xfId="35686"/>
    <cellStyle name="Normal 31 2 2 3 23" xfId="37279"/>
    <cellStyle name="Normal 31 2 2 3 24" xfId="39179"/>
    <cellStyle name="Normal 31 2 2 3 25" xfId="40934"/>
    <cellStyle name="Normal 31 2 2 3 26" xfId="42686"/>
    <cellStyle name="Normal 31 2 2 3 27" xfId="44279"/>
    <cellStyle name="Normal 31 2 2 3 28" xfId="45304"/>
    <cellStyle name="Normal 31 2 2 3 29" xfId="47056"/>
    <cellStyle name="Normal 31 2 2 3 3" xfId="3261"/>
    <cellStyle name="Normal 31 2 2 3 30" xfId="48808"/>
    <cellStyle name="Normal 31 2 2 3 31" xfId="50560"/>
    <cellStyle name="Normal 31 2 2 3 32" xfId="52312"/>
    <cellStyle name="Normal 31 2 2 3 33" xfId="54064"/>
    <cellStyle name="Normal 31 2 2 3 34" xfId="55816"/>
    <cellStyle name="Normal 31 2 2 3 35" xfId="57569"/>
    <cellStyle name="Normal 31 2 2 3 36" xfId="59321"/>
    <cellStyle name="Normal 31 2 2 3 37" xfId="61073"/>
    <cellStyle name="Normal 31 2 2 3 38" xfId="62666"/>
    <cellStyle name="Normal 31 2 2 3 39" xfId="63532"/>
    <cellStyle name="Normal 31 2 2 3 4" xfId="5013"/>
    <cellStyle name="Normal 31 2 2 3 5" xfId="6765"/>
    <cellStyle name="Normal 31 2 2 3 6" xfId="8517"/>
    <cellStyle name="Normal 31 2 2 3 7" xfId="10270"/>
    <cellStyle name="Normal 31 2 2 3 8" xfId="12022"/>
    <cellStyle name="Normal 31 2 2 3 9" xfId="13774"/>
    <cellStyle name="Normal 31 2 2 30" xfId="44868"/>
    <cellStyle name="Normal 31 2 2 31" xfId="46620"/>
    <cellStyle name="Normal 31 2 2 32" xfId="48372"/>
    <cellStyle name="Normal 31 2 2 33" xfId="50124"/>
    <cellStyle name="Normal 31 2 2 34" xfId="51876"/>
    <cellStyle name="Normal 31 2 2 35" xfId="53628"/>
    <cellStyle name="Normal 31 2 2 36" xfId="55380"/>
    <cellStyle name="Normal 31 2 2 37" xfId="57133"/>
    <cellStyle name="Normal 31 2 2 38" xfId="58885"/>
    <cellStyle name="Normal 31 2 2 39" xfId="60637"/>
    <cellStyle name="Normal 31 2 2 4" xfId="1452"/>
    <cellStyle name="Normal 31 2 2 4 10" xfId="17719"/>
    <cellStyle name="Normal 31 2 2 4 11" xfId="19471"/>
    <cellStyle name="Normal 31 2 2 4 12" xfId="21224"/>
    <cellStyle name="Normal 31 2 2 4 13" xfId="22976"/>
    <cellStyle name="Normal 31 2 2 4 14" xfId="24728"/>
    <cellStyle name="Normal 31 2 2 4 15" xfId="26480"/>
    <cellStyle name="Normal 31 2 2 4 16" xfId="28232"/>
    <cellStyle name="Normal 31 2 2 4 17" xfId="29985"/>
    <cellStyle name="Normal 31 2 2 4 18" xfId="31737"/>
    <cellStyle name="Normal 31 2 2 4 19" xfId="33490"/>
    <cellStyle name="Normal 31 2 2 4 2" xfId="3701"/>
    <cellStyle name="Normal 31 2 2 4 20" xfId="36126"/>
    <cellStyle name="Normal 31 2 2 4 21" xfId="37866"/>
    <cellStyle name="Normal 31 2 2 4 22" xfId="39619"/>
    <cellStyle name="Normal 31 2 2 4 23" xfId="41374"/>
    <cellStyle name="Normal 31 2 2 4 24" xfId="43126"/>
    <cellStyle name="Normal 31 2 2 4 25" xfId="45744"/>
    <cellStyle name="Normal 31 2 2 4 26" xfId="47496"/>
    <cellStyle name="Normal 31 2 2 4 27" xfId="49248"/>
    <cellStyle name="Normal 31 2 2 4 28" xfId="51000"/>
    <cellStyle name="Normal 31 2 2 4 29" xfId="52752"/>
    <cellStyle name="Normal 31 2 2 4 3" xfId="5453"/>
    <cellStyle name="Normal 31 2 2 4 30" xfId="54504"/>
    <cellStyle name="Normal 31 2 2 4 31" xfId="56256"/>
    <cellStyle name="Normal 31 2 2 4 32" xfId="58009"/>
    <cellStyle name="Normal 31 2 2 4 33" xfId="59761"/>
    <cellStyle name="Normal 31 2 2 4 34" xfId="61513"/>
    <cellStyle name="Normal 31 2 2 4 4" xfId="7205"/>
    <cellStyle name="Normal 31 2 2 4 5" xfId="8957"/>
    <cellStyle name="Normal 31 2 2 4 6" xfId="10710"/>
    <cellStyle name="Normal 31 2 2 4 7" xfId="12462"/>
    <cellStyle name="Normal 31 2 2 4 8" xfId="14214"/>
    <cellStyle name="Normal 31 2 2 4 9" xfId="15966"/>
    <cellStyle name="Normal 31 2 2 40" xfId="62663"/>
    <cellStyle name="Normal 31 2 2 41" xfId="63529"/>
    <cellStyle name="Normal 31 2 2 5" xfId="2825"/>
    <cellStyle name="Normal 31 2 2 6" xfId="4577"/>
    <cellStyle name="Normal 31 2 2 7" xfId="6329"/>
    <cellStyle name="Normal 31 2 2 8" xfId="8081"/>
    <cellStyle name="Normal 31 2 2 9" xfId="9834"/>
    <cellStyle name="Normal 31 2 20" xfId="27248"/>
    <cellStyle name="Normal 31 2 21" xfId="29001"/>
    <cellStyle name="Normal 31 2 22" xfId="30753"/>
    <cellStyle name="Normal 31 2 23" xfId="32506"/>
    <cellStyle name="Normal 31 2 24" xfId="34654"/>
    <cellStyle name="Normal 31 2 25" xfId="35142"/>
    <cellStyle name="Normal 31 2 26" xfId="37275"/>
    <cellStyle name="Normal 31 2 27" xfId="38635"/>
    <cellStyle name="Normal 31 2 28" xfId="40390"/>
    <cellStyle name="Normal 31 2 29" xfId="42142"/>
    <cellStyle name="Normal 31 2 3" xfId="1453"/>
    <cellStyle name="Normal 31 2 3 10" xfId="13479"/>
    <cellStyle name="Normal 31 2 3 11" xfId="15231"/>
    <cellStyle name="Normal 31 2 3 12" xfId="16984"/>
    <cellStyle name="Normal 31 2 3 13" xfId="18736"/>
    <cellStyle name="Normal 31 2 3 14" xfId="20489"/>
    <cellStyle name="Normal 31 2 3 15" xfId="22241"/>
    <cellStyle name="Normal 31 2 3 16" xfId="23993"/>
    <cellStyle name="Normal 31 2 3 17" xfId="25745"/>
    <cellStyle name="Normal 31 2 3 18" xfId="27497"/>
    <cellStyle name="Normal 31 2 3 19" xfId="29250"/>
    <cellStyle name="Normal 31 2 3 2" xfId="1454"/>
    <cellStyle name="Normal 31 2 3 2 10" xfId="15667"/>
    <cellStyle name="Normal 31 2 3 2 11" xfId="17420"/>
    <cellStyle name="Normal 31 2 3 2 12" xfId="19172"/>
    <cellStyle name="Normal 31 2 3 2 13" xfId="20925"/>
    <cellStyle name="Normal 31 2 3 2 14" xfId="22677"/>
    <cellStyle name="Normal 31 2 3 2 15" xfId="24429"/>
    <cellStyle name="Normal 31 2 3 2 16" xfId="26181"/>
    <cellStyle name="Normal 31 2 3 2 17" xfId="27933"/>
    <cellStyle name="Normal 31 2 3 2 18" xfId="29686"/>
    <cellStyle name="Normal 31 2 3 2 19" xfId="31438"/>
    <cellStyle name="Normal 31 2 3 2 2" xfId="1455"/>
    <cellStyle name="Normal 31 2 3 2 2 10" xfId="18296"/>
    <cellStyle name="Normal 31 2 3 2 2 11" xfId="20048"/>
    <cellStyle name="Normal 31 2 3 2 2 12" xfId="21801"/>
    <cellStyle name="Normal 31 2 3 2 2 13" xfId="23553"/>
    <cellStyle name="Normal 31 2 3 2 2 14" xfId="25305"/>
    <cellStyle name="Normal 31 2 3 2 2 15" xfId="27057"/>
    <cellStyle name="Normal 31 2 3 2 2 16" xfId="28809"/>
    <cellStyle name="Normal 31 2 3 2 2 17" xfId="30562"/>
    <cellStyle name="Normal 31 2 3 2 2 18" xfId="32314"/>
    <cellStyle name="Normal 31 2 3 2 2 19" xfId="34067"/>
    <cellStyle name="Normal 31 2 3 2 2 2" xfId="4278"/>
    <cellStyle name="Normal 31 2 3 2 2 20" xfId="36703"/>
    <cellStyle name="Normal 31 2 3 2 2 21" xfId="38443"/>
    <cellStyle name="Normal 31 2 3 2 2 22" xfId="40196"/>
    <cellStyle name="Normal 31 2 3 2 2 23" xfId="41951"/>
    <cellStyle name="Normal 31 2 3 2 2 24" xfId="43703"/>
    <cellStyle name="Normal 31 2 3 2 2 25" xfId="46321"/>
    <cellStyle name="Normal 31 2 3 2 2 26" xfId="48073"/>
    <cellStyle name="Normal 31 2 3 2 2 27" xfId="49825"/>
    <cellStyle name="Normal 31 2 3 2 2 28" xfId="51577"/>
    <cellStyle name="Normal 31 2 3 2 2 29" xfId="53329"/>
    <cellStyle name="Normal 31 2 3 2 2 3" xfId="6030"/>
    <cellStyle name="Normal 31 2 3 2 2 30" xfId="55081"/>
    <cellStyle name="Normal 31 2 3 2 2 31" xfId="56833"/>
    <cellStyle name="Normal 31 2 3 2 2 32" xfId="58586"/>
    <cellStyle name="Normal 31 2 3 2 2 33" xfId="60338"/>
    <cellStyle name="Normal 31 2 3 2 2 34" xfId="62090"/>
    <cellStyle name="Normal 31 2 3 2 2 4" xfId="7782"/>
    <cellStyle name="Normal 31 2 3 2 2 5" xfId="9534"/>
    <cellStyle name="Normal 31 2 3 2 2 6" xfId="11287"/>
    <cellStyle name="Normal 31 2 3 2 2 7" xfId="13039"/>
    <cellStyle name="Normal 31 2 3 2 2 8" xfId="14791"/>
    <cellStyle name="Normal 31 2 3 2 2 9" xfId="16543"/>
    <cellStyle name="Normal 31 2 3 2 20" xfId="33191"/>
    <cellStyle name="Normal 31 2 3 2 21" xfId="34660"/>
    <cellStyle name="Normal 31 2 3 2 22" xfId="35827"/>
    <cellStyle name="Normal 31 2 3 2 23" xfId="37281"/>
    <cellStyle name="Normal 31 2 3 2 24" xfId="39320"/>
    <cellStyle name="Normal 31 2 3 2 25" xfId="41075"/>
    <cellStyle name="Normal 31 2 3 2 26" xfId="42827"/>
    <cellStyle name="Normal 31 2 3 2 27" xfId="44281"/>
    <cellStyle name="Normal 31 2 3 2 28" xfId="45445"/>
    <cellStyle name="Normal 31 2 3 2 29" xfId="47197"/>
    <cellStyle name="Normal 31 2 3 2 3" xfId="3402"/>
    <cellStyle name="Normal 31 2 3 2 30" xfId="48949"/>
    <cellStyle name="Normal 31 2 3 2 31" xfId="50701"/>
    <cellStyle name="Normal 31 2 3 2 32" xfId="52453"/>
    <cellStyle name="Normal 31 2 3 2 33" xfId="54205"/>
    <cellStyle name="Normal 31 2 3 2 34" xfId="55957"/>
    <cellStyle name="Normal 31 2 3 2 35" xfId="57710"/>
    <cellStyle name="Normal 31 2 3 2 36" xfId="59462"/>
    <cellStyle name="Normal 31 2 3 2 37" xfId="61214"/>
    <cellStyle name="Normal 31 2 3 2 38" xfId="62668"/>
    <cellStyle name="Normal 31 2 3 2 39" xfId="63534"/>
    <cellStyle name="Normal 31 2 3 2 4" xfId="5154"/>
    <cellStyle name="Normal 31 2 3 2 5" xfId="6906"/>
    <cellStyle name="Normal 31 2 3 2 6" xfId="8658"/>
    <cellStyle name="Normal 31 2 3 2 7" xfId="10411"/>
    <cellStyle name="Normal 31 2 3 2 8" xfId="12163"/>
    <cellStyle name="Normal 31 2 3 2 9" xfId="13915"/>
    <cellStyle name="Normal 31 2 3 20" xfId="31002"/>
    <cellStyle name="Normal 31 2 3 21" xfId="32755"/>
    <cellStyle name="Normal 31 2 3 22" xfId="34659"/>
    <cellStyle name="Normal 31 2 3 23" xfId="35391"/>
    <cellStyle name="Normal 31 2 3 24" xfId="37280"/>
    <cellStyle name="Normal 31 2 3 25" xfId="38884"/>
    <cellStyle name="Normal 31 2 3 26" xfId="40639"/>
    <cellStyle name="Normal 31 2 3 27" xfId="42391"/>
    <cellStyle name="Normal 31 2 3 28" xfId="44280"/>
    <cellStyle name="Normal 31 2 3 29" xfId="45009"/>
    <cellStyle name="Normal 31 2 3 3" xfId="1456"/>
    <cellStyle name="Normal 31 2 3 3 10" xfId="17860"/>
    <cellStyle name="Normal 31 2 3 3 11" xfId="19612"/>
    <cellStyle name="Normal 31 2 3 3 12" xfId="21365"/>
    <cellStyle name="Normal 31 2 3 3 13" xfId="23117"/>
    <cellStyle name="Normal 31 2 3 3 14" xfId="24869"/>
    <cellStyle name="Normal 31 2 3 3 15" xfId="26621"/>
    <cellStyle name="Normal 31 2 3 3 16" xfId="28373"/>
    <cellStyle name="Normal 31 2 3 3 17" xfId="30126"/>
    <cellStyle name="Normal 31 2 3 3 18" xfId="31878"/>
    <cellStyle name="Normal 31 2 3 3 19" xfId="33631"/>
    <cellStyle name="Normal 31 2 3 3 2" xfId="3842"/>
    <cellStyle name="Normal 31 2 3 3 20" xfId="36267"/>
    <cellStyle name="Normal 31 2 3 3 21" xfId="38007"/>
    <cellStyle name="Normal 31 2 3 3 22" xfId="39760"/>
    <cellStyle name="Normal 31 2 3 3 23" xfId="41515"/>
    <cellStyle name="Normal 31 2 3 3 24" xfId="43267"/>
    <cellStyle name="Normal 31 2 3 3 25" xfId="45885"/>
    <cellStyle name="Normal 31 2 3 3 26" xfId="47637"/>
    <cellStyle name="Normal 31 2 3 3 27" xfId="49389"/>
    <cellStyle name="Normal 31 2 3 3 28" xfId="51141"/>
    <cellStyle name="Normal 31 2 3 3 29" xfId="52893"/>
    <cellStyle name="Normal 31 2 3 3 3" xfId="5594"/>
    <cellStyle name="Normal 31 2 3 3 30" xfId="54645"/>
    <cellStyle name="Normal 31 2 3 3 31" xfId="56397"/>
    <cellStyle name="Normal 31 2 3 3 32" xfId="58150"/>
    <cellStyle name="Normal 31 2 3 3 33" xfId="59902"/>
    <cellStyle name="Normal 31 2 3 3 34" xfId="61654"/>
    <cellStyle name="Normal 31 2 3 3 4" xfId="7346"/>
    <cellStyle name="Normal 31 2 3 3 5" xfId="9098"/>
    <cellStyle name="Normal 31 2 3 3 6" xfId="10851"/>
    <cellStyle name="Normal 31 2 3 3 7" xfId="12603"/>
    <cellStyle name="Normal 31 2 3 3 8" xfId="14355"/>
    <cellStyle name="Normal 31 2 3 3 9" xfId="16107"/>
    <cellStyle name="Normal 31 2 3 30" xfId="46761"/>
    <cellStyle name="Normal 31 2 3 31" xfId="48513"/>
    <cellStyle name="Normal 31 2 3 32" xfId="50265"/>
    <cellStyle name="Normal 31 2 3 33" xfId="52017"/>
    <cellStyle name="Normal 31 2 3 34" xfId="53769"/>
    <cellStyle name="Normal 31 2 3 35" xfId="55521"/>
    <cellStyle name="Normal 31 2 3 36" xfId="57274"/>
    <cellStyle name="Normal 31 2 3 37" xfId="59026"/>
    <cellStyle name="Normal 31 2 3 38" xfId="60778"/>
    <cellStyle name="Normal 31 2 3 39" xfId="62667"/>
    <cellStyle name="Normal 31 2 3 4" xfId="2966"/>
    <cellStyle name="Normal 31 2 3 40" xfId="63533"/>
    <cellStyle name="Normal 31 2 3 5" xfId="4718"/>
    <cellStyle name="Normal 31 2 3 6" xfId="6470"/>
    <cellStyle name="Normal 31 2 3 7" xfId="8222"/>
    <cellStyle name="Normal 31 2 3 8" xfId="9975"/>
    <cellStyle name="Normal 31 2 3 9" xfId="11727"/>
    <cellStyle name="Normal 31 2 30" xfId="44275"/>
    <cellStyle name="Normal 31 2 31" xfId="44760"/>
    <cellStyle name="Normal 31 2 32" xfId="46512"/>
    <cellStyle name="Normal 31 2 33" xfId="48264"/>
    <cellStyle name="Normal 31 2 34" xfId="50016"/>
    <cellStyle name="Normal 31 2 35" xfId="51768"/>
    <cellStyle name="Normal 31 2 36" xfId="53520"/>
    <cellStyle name="Normal 31 2 37" xfId="55272"/>
    <cellStyle name="Normal 31 2 38" xfId="57025"/>
    <cellStyle name="Normal 31 2 39" xfId="58777"/>
    <cellStyle name="Normal 31 2 4" xfId="1457"/>
    <cellStyle name="Normal 31 2 4 10" xfId="15418"/>
    <cellStyle name="Normal 31 2 4 11" xfId="17171"/>
    <cellStyle name="Normal 31 2 4 12" xfId="18923"/>
    <cellStyle name="Normal 31 2 4 13" xfId="20676"/>
    <cellStyle name="Normal 31 2 4 14" xfId="22428"/>
    <cellStyle name="Normal 31 2 4 15" xfId="24180"/>
    <cellStyle name="Normal 31 2 4 16" xfId="25932"/>
    <cellStyle name="Normal 31 2 4 17" xfId="27684"/>
    <cellStyle name="Normal 31 2 4 18" xfId="29437"/>
    <cellStyle name="Normal 31 2 4 19" xfId="31189"/>
    <cellStyle name="Normal 31 2 4 2" xfId="1458"/>
    <cellStyle name="Normal 31 2 4 2 10" xfId="18047"/>
    <cellStyle name="Normal 31 2 4 2 11" xfId="19799"/>
    <cellStyle name="Normal 31 2 4 2 12" xfId="21552"/>
    <cellStyle name="Normal 31 2 4 2 13" xfId="23304"/>
    <cellStyle name="Normal 31 2 4 2 14" xfId="25056"/>
    <cellStyle name="Normal 31 2 4 2 15" xfId="26808"/>
    <cellStyle name="Normal 31 2 4 2 16" xfId="28560"/>
    <cellStyle name="Normal 31 2 4 2 17" xfId="30313"/>
    <cellStyle name="Normal 31 2 4 2 18" xfId="32065"/>
    <cellStyle name="Normal 31 2 4 2 19" xfId="33818"/>
    <cellStyle name="Normal 31 2 4 2 2" xfId="4029"/>
    <cellStyle name="Normal 31 2 4 2 20" xfId="36454"/>
    <cellStyle name="Normal 31 2 4 2 21" xfId="38194"/>
    <cellStyle name="Normal 31 2 4 2 22" xfId="39947"/>
    <cellStyle name="Normal 31 2 4 2 23" xfId="41702"/>
    <cellStyle name="Normal 31 2 4 2 24" xfId="43454"/>
    <cellStyle name="Normal 31 2 4 2 25" xfId="46072"/>
    <cellStyle name="Normal 31 2 4 2 26" xfId="47824"/>
    <cellStyle name="Normal 31 2 4 2 27" xfId="49576"/>
    <cellStyle name="Normal 31 2 4 2 28" xfId="51328"/>
    <cellStyle name="Normal 31 2 4 2 29" xfId="53080"/>
    <cellStyle name="Normal 31 2 4 2 3" xfId="5781"/>
    <cellStyle name="Normal 31 2 4 2 30" xfId="54832"/>
    <cellStyle name="Normal 31 2 4 2 31" xfId="56584"/>
    <cellStyle name="Normal 31 2 4 2 32" xfId="58337"/>
    <cellStyle name="Normal 31 2 4 2 33" xfId="60089"/>
    <cellStyle name="Normal 31 2 4 2 34" xfId="61841"/>
    <cellStyle name="Normal 31 2 4 2 4" xfId="7533"/>
    <cellStyle name="Normal 31 2 4 2 5" xfId="9285"/>
    <cellStyle name="Normal 31 2 4 2 6" xfId="11038"/>
    <cellStyle name="Normal 31 2 4 2 7" xfId="12790"/>
    <cellStyle name="Normal 31 2 4 2 8" xfId="14542"/>
    <cellStyle name="Normal 31 2 4 2 9" xfId="16294"/>
    <cellStyle name="Normal 31 2 4 20" xfId="32942"/>
    <cellStyle name="Normal 31 2 4 21" xfId="34661"/>
    <cellStyle name="Normal 31 2 4 22" xfId="35578"/>
    <cellStyle name="Normal 31 2 4 23" xfId="37282"/>
    <cellStyle name="Normal 31 2 4 24" xfId="39071"/>
    <cellStyle name="Normal 31 2 4 25" xfId="40826"/>
    <cellStyle name="Normal 31 2 4 26" xfId="42578"/>
    <cellStyle name="Normal 31 2 4 27" xfId="44282"/>
    <cellStyle name="Normal 31 2 4 28" xfId="45196"/>
    <cellStyle name="Normal 31 2 4 29" xfId="46948"/>
    <cellStyle name="Normal 31 2 4 3" xfId="3153"/>
    <cellStyle name="Normal 31 2 4 30" xfId="48700"/>
    <cellStyle name="Normal 31 2 4 31" xfId="50452"/>
    <cellStyle name="Normal 31 2 4 32" xfId="52204"/>
    <cellStyle name="Normal 31 2 4 33" xfId="53956"/>
    <cellStyle name="Normal 31 2 4 34" xfId="55708"/>
    <cellStyle name="Normal 31 2 4 35" xfId="57461"/>
    <cellStyle name="Normal 31 2 4 36" xfId="59213"/>
    <cellStyle name="Normal 31 2 4 37" xfId="60965"/>
    <cellStyle name="Normal 31 2 4 38" xfId="62669"/>
    <cellStyle name="Normal 31 2 4 39" xfId="63535"/>
    <cellStyle name="Normal 31 2 4 4" xfId="4905"/>
    <cellStyle name="Normal 31 2 4 5" xfId="6657"/>
    <cellStyle name="Normal 31 2 4 6" xfId="8409"/>
    <cellStyle name="Normal 31 2 4 7" xfId="10162"/>
    <cellStyle name="Normal 31 2 4 8" xfId="11914"/>
    <cellStyle name="Normal 31 2 4 9" xfId="13666"/>
    <cellStyle name="Normal 31 2 40" xfId="60529"/>
    <cellStyle name="Normal 31 2 41" xfId="62662"/>
    <cellStyle name="Normal 31 2 42" xfId="63528"/>
    <cellStyle name="Normal 31 2 5" xfId="1459"/>
    <cellStyle name="Normal 31 2 5 10" xfId="17611"/>
    <cellStyle name="Normal 31 2 5 11" xfId="19363"/>
    <cellStyle name="Normal 31 2 5 12" xfId="21116"/>
    <cellStyle name="Normal 31 2 5 13" xfId="22868"/>
    <cellStyle name="Normal 31 2 5 14" xfId="24620"/>
    <cellStyle name="Normal 31 2 5 15" xfId="26372"/>
    <cellStyle name="Normal 31 2 5 16" xfId="28124"/>
    <cellStyle name="Normal 31 2 5 17" xfId="29877"/>
    <cellStyle name="Normal 31 2 5 18" xfId="31629"/>
    <cellStyle name="Normal 31 2 5 19" xfId="33382"/>
    <cellStyle name="Normal 31 2 5 2" xfId="3593"/>
    <cellStyle name="Normal 31 2 5 20" xfId="36018"/>
    <cellStyle name="Normal 31 2 5 21" xfId="37758"/>
    <cellStyle name="Normal 31 2 5 22" xfId="39511"/>
    <cellStyle name="Normal 31 2 5 23" xfId="41266"/>
    <cellStyle name="Normal 31 2 5 24" xfId="43018"/>
    <cellStyle name="Normal 31 2 5 25" xfId="45636"/>
    <cellStyle name="Normal 31 2 5 26" xfId="47388"/>
    <cellStyle name="Normal 31 2 5 27" xfId="49140"/>
    <cellStyle name="Normal 31 2 5 28" xfId="50892"/>
    <cellStyle name="Normal 31 2 5 29" xfId="52644"/>
    <cellStyle name="Normal 31 2 5 3" xfId="5345"/>
    <cellStyle name="Normal 31 2 5 30" xfId="54396"/>
    <cellStyle name="Normal 31 2 5 31" xfId="56148"/>
    <cellStyle name="Normal 31 2 5 32" xfId="57901"/>
    <cellStyle name="Normal 31 2 5 33" xfId="59653"/>
    <cellStyle name="Normal 31 2 5 34" xfId="61405"/>
    <cellStyle name="Normal 31 2 5 4" xfId="7097"/>
    <cellStyle name="Normal 31 2 5 5" xfId="8849"/>
    <cellStyle name="Normal 31 2 5 6" xfId="10602"/>
    <cellStyle name="Normal 31 2 5 7" xfId="12354"/>
    <cellStyle name="Normal 31 2 5 8" xfId="14106"/>
    <cellStyle name="Normal 31 2 5 9" xfId="15858"/>
    <cellStyle name="Normal 31 2 6" xfId="2717"/>
    <cellStyle name="Normal 31 2 7" xfId="4469"/>
    <cellStyle name="Normal 31 2 8" xfId="6221"/>
    <cellStyle name="Normal 31 2 9" xfId="7973"/>
    <cellStyle name="Normal 31 20" xfId="25441"/>
    <cellStyle name="Normal 31 21" xfId="27193"/>
    <cellStyle name="Normal 31 22" xfId="28946"/>
    <cellStyle name="Normal 31 23" xfId="30698"/>
    <cellStyle name="Normal 31 24" xfId="32451"/>
    <cellStyle name="Normal 31 25" xfId="34653"/>
    <cellStyle name="Normal 31 26" xfId="35087"/>
    <cellStyle name="Normal 31 27" xfId="37274"/>
    <cellStyle name="Normal 31 28" xfId="38580"/>
    <cellStyle name="Normal 31 29" xfId="40335"/>
    <cellStyle name="Normal 31 3" xfId="1460"/>
    <cellStyle name="Normal 31 3 10" xfId="11531"/>
    <cellStyle name="Normal 31 3 11" xfId="13283"/>
    <cellStyle name="Normal 31 3 12" xfId="15035"/>
    <cellStyle name="Normal 31 3 13" xfId="16788"/>
    <cellStyle name="Normal 31 3 14" xfId="18540"/>
    <cellStyle name="Normal 31 3 15" xfId="20293"/>
    <cellStyle name="Normal 31 3 16" xfId="22045"/>
    <cellStyle name="Normal 31 3 17" xfId="23797"/>
    <cellStyle name="Normal 31 3 18" xfId="25549"/>
    <cellStyle name="Normal 31 3 19" xfId="27301"/>
    <cellStyle name="Normal 31 3 2" xfId="1461"/>
    <cellStyle name="Normal 31 3 2 10" xfId="13480"/>
    <cellStyle name="Normal 31 3 2 11" xfId="15232"/>
    <cellStyle name="Normal 31 3 2 12" xfId="16985"/>
    <cellStyle name="Normal 31 3 2 13" xfId="18737"/>
    <cellStyle name="Normal 31 3 2 14" xfId="20490"/>
    <cellStyle name="Normal 31 3 2 15" xfId="22242"/>
    <cellStyle name="Normal 31 3 2 16" xfId="23994"/>
    <cellStyle name="Normal 31 3 2 17" xfId="25746"/>
    <cellStyle name="Normal 31 3 2 18" xfId="27498"/>
    <cellStyle name="Normal 31 3 2 19" xfId="29251"/>
    <cellStyle name="Normal 31 3 2 2" xfId="1462"/>
    <cellStyle name="Normal 31 3 2 2 10" xfId="15668"/>
    <cellStyle name="Normal 31 3 2 2 11" xfId="17421"/>
    <cellStyle name="Normal 31 3 2 2 12" xfId="19173"/>
    <cellStyle name="Normal 31 3 2 2 13" xfId="20926"/>
    <cellStyle name="Normal 31 3 2 2 14" xfId="22678"/>
    <cellStyle name="Normal 31 3 2 2 15" xfId="24430"/>
    <cellStyle name="Normal 31 3 2 2 16" xfId="26182"/>
    <cellStyle name="Normal 31 3 2 2 17" xfId="27934"/>
    <cellStyle name="Normal 31 3 2 2 18" xfId="29687"/>
    <cellStyle name="Normal 31 3 2 2 19" xfId="31439"/>
    <cellStyle name="Normal 31 3 2 2 2" xfId="1463"/>
    <cellStyle name="Normal 31 3 2 2 2 10" xfId="18297"/>
    <cellStyle name="Normal 31 3 2 2 2 11" xfId="20049"/>
    <cellStyle name="Normal 31 3 2 2 2 12" xfId="21802"/>
    <cellStyle name="Normal 31 3 2 2 2 13" xfId="23554"/>
    <cellStyle name="Normal 31 3 2 2 2 14" xfId="25306"/>
    <cellStyle name="Normal 31 3 2 2 2 15" xfId="27058"/>
    <cellStyle name="Normal 31 3 2 2 2 16" xfId="28810"/>
    <cellStyle name="Normal 31 3 2 2 2 17" xfId="30563"/>
    <cellStyle name="Normal 31 3 2 2 2 18" xfId="32315"/>
    <cellStyle name="Normal 31 3 2 2 2 19" xfId="34068"/>
    <cellStyle name="Normal 31 3 2 2 2 2" xfId="4279"/>
    <cellStyle name="Normal 31 3 2 2 2 20" xfId="36704"/>
    <cellStyle name="Normal 31 3 2 2 2 21" xfId="38444"/>
    <cellStyle name="Normal 31 3 2 2 2 22" xfId="40197"/>
    <cellStyle name="Normal 31 3 2 2 2 23" xfId="41952"/>
    <cellStyle name="Normal 31 3 2 2 2 24" xfId="43704"/>
    <cellStyle name="Normal 31 3 2 2 2 25" xfId="46322"/>
    <cellStyle name="Normal 31 3 2 2 2 26" xfId="48074"/>
    <cellStyle name="Normal 31 3 2 2 2 27" xfId="49826"/>
    <cellStyle name="Normal 31 3 2 2 2 28" xfId="51578"/>
    <cellStyle name="Normal 31 3 2 2 2 29" xfId="53330"/>
    <cellStyle name="Normal 31 3 2 2 2 3" xfId="6031"/>
    <cellStyle name="Normal 31 3 2 2 2 30" xfId="55082"/>
    <cellStyle name="Normal 31 3 2 2 2 31" xfId="56834"/>
    <cellStyle name="Normal 31 3 2 2 2 32" xfId="58587"/>
    <cellStyle name="Normal 31 3 2 2 2 33" xfId="60339"/>
    <cellStyle name="Normal 31 3 2 2 2 34" xfId="62091"/>
    <cellStyle name="Normal 31 3 2 2 2 4" xfId="7783"/>
    <cellStyle name="Normal 31 3 2 2 2 5" xfId="9535"/>
    <cellStyle name="Normal 31 3 2 2 2 6" xfId="11288"/>
    <cellStyle name="Normal 31 3 2 2 2 7" xfId="13040"/>
    <cellStyle name="Normal 31 3 2 2 2 8" xfId="14792"/>
    <cellStyle name="Normal 31 3 2 2 2 9" xfId="16544"/>
    <cellStyle name="Normal 31 3 2 2 20" xfId="33192"/>
    <cellStyle name="Normal 31 3 2 2 21" xfId="34664"/>
    <cellStyle name="Normal 31 3 2 2 22" xfId="35828"/>
    <cellStyle name="Normal 31 3 2 2 23" xfId="37285"/>
    <cellStyle name="Normal 31 3 2 2 24" xfId="39321"/>
    <cellStyle name="Normal 31 3 2 2 25" xfId="41076"/>
    <cellStyle name="Normal 31 3 2 2 26" xfId="42828"/>
    <cellStyle name="Normal 31 3 2 2 27" xfId="44285"/>
    <cellStyle name="Normal 31 3 2 2 28" xfId="45446"/>
    <cellStyle name="Normal 31 3 2 2 29" xfId="47198"/>
    <cellStyle name="Normal 31 3 2 2 3" xfId="3403"/>
    <cellStyle name="Normal 31 3 2 2 30" xfId="48950"/>
    <cellStyle name="Normal 31 3 2 2 31" xfId="50702"/>
    <cellStyle name="Normal 31 3 2 2 32" xfId="52454"/>
    <cellStyle name="Normal 31 3 2 2 33" xfId="54206"/>
    <cellStyle name="Normal 31 3 2 2 34" xfId="55958"/>
    <cellStyle name="Normal 31 3 2 2 35" xfId="57711"/>
    <cellStyle name="Normal 31 3 2 2 36" xfId="59463"/>
    <cellStyle name="Normal 31 3 2 2 37" xfId="61215"/>
    <cellStyle name="Normal 31 3 2 2 38" xfId="62672"/>
    <cellStyle name="Normal 31 3 2 2 39" xfId="63538"/>
    <cellStyle name="Normal 31 3 2 2 4" xfId="5155"/>
    <cellStyle name="Normal 31 3 2 2 5" xfId="6907"/>
    <cellStyle name="Normal 31 3 2 2 6" xfId="8659"/>
    <cellStyle name="Normal 31 3 2 2 7" xfId="10412"/>
    <cellStyle name="Normal 31 3 2 2 8" xfId="12164"/>
    <cellStyle name="Normal 31 3 2 2 9" xfId="13916"/>
    <cellStyle name="Normal 31 3 2 20" xfId="31003"/>
    <cellStyle name="Normal 31 3 2 21" xfId="32756"/>
    <cellStyle name="Normal 31 3 2 22" xfId="34663"/>
    <cellStyle name="Normal 31 3 2 23" xfId="35392"/>
    <cellStyle name="Normal 31 3 2 24" xfId="37284"/>
    <cellStyle name="Normal 31 3 2 25" xfId="38885"/>
    <cellStyle name="Normal 31 3 2 26" xfId="40640"/>
    <cellStyle name="Normal 31 3 2 27" xfId="42392"/>
    <cellStyle name="Normal 31 3 2 28" xfId="44284"/>
    <cellStyle name="Normal 31 3 2 29" xfId="45010"/>
    <cellStyle name="Normal 31 3 2 3" xfId="1464"/>
    <cellStyle name="Normal 31 3 2 3 10" xfId="17861"/>
    <cellStyle name="Normal 31 3 2 3 11" xfId="19613"/>
    <cellStyle name="Normal 31 3 2 3 12" xfId="21366"/>
    <cellStyle name="Normal 31 3 2 3 13" xfId="23118"/>
    <cellStyle name="Normal 31 3 2 3 14" xfId="24870"/>
    <cellStyle name="Normal 31 3 2 3 15" xfId="26622"/>
    <cellStyle name="Normal 31 3 2 3 16" xfId="28374"/>
    <cellStyle name="Normal 31 3 2 3 17" xfId="30127"/>
    <cellStyle name="Normal 31 3 2 3 18" xfId="31879"/>
    <cellStyle name="Normal 31 3 2 3 19" xfId="33632"/>
    <cellStyle name="Normal 31 3 2 3 2" xfId="3843"/>
    <cellStyle name="Normal 31 3 2 3 20" xfId="36268"/>
    <cellStyle name="Normal 31 3 2 3 21" xfId="38008"/>
    <cellStyle name="Normal 31 3 2 3 22" xfId="39761"/>
    <cellStyle name="Normal 31 3 2 3 23" xfId="41516"/>
    <cellStyle name="Normal 31 3 2 3 24" xfId="43268"/>
    <cellStyle name="Normal 31 3 2 3 25" xfId="45886"/>
    <cellStyle name="Normal 31 3 2 3 26" xfId="47638"/>
    <cellStyle name="Normal 31 3 2 3 27" xfId="49390"/>
    <cellStyle name="Normal 31 3 2 3 28" xfId="51142"/>
    <cellStyle name="Normal 31 3 2 3 29" xfId="52894"/>
    <cellStyle name="Normal 31 3 2 3 3" xfId="5595"/>
    <cellStyle name="Normal 31 3 2 3 30" xfId="54646"/>
    <cellStyle name="Normal 31 3 2 3 31" xfId="56398"/>
    <cellStyle name="Normal 31 3 2 3 32" xfId="58151"/>
    <cellStyle name="Normal 31 3 2 3 33" xfId="59903"/>
    <cellStyle name="Normal 31 3 2 3 34" xfId="61655"/>
    <cellStyle name="Normal 31 3 2 3 4" xfId="7347"/>
    <cellStyle name="Normal 31 3 2 3 5" xfId="9099"/>
    <cellStyle name="Normal 31 3 2 3 6" xfId="10852"/>
    <cellStyle name="Normal 31 3 2 3 7" xfId="12604"/>
    <cellStyle name="Normal 31 3 2 3 8" xfId="14356"/>
    <cellStyle name="Normal 31 3 2 3 9" xfId="16108"/>
    <cellStyle name="Normal 31 3 2 30" xfId="46762"/>
    <cellStyle name="Normal 31 3 2 31" xfId="48514"/>
    <cellStyle name="Normal 31 3 2 32" xfId="50266"/>
    <cellStyle name="Normal 31 3 2 33" xfId="52018"/>
    <cellStyle name="Normal 31 3 2 34" xfId="53770"/>
    <cellStyle name="Normal 31 3 2 35" xfId="55522"/>
    <cellStyle name="Normal 31 3 2 36" xfId="57275"/>
    <cellStyle name="Normal 31 3 2 37" xfId="59027"/>
    <cellStyle name="Normal 31 3 2 38" xfId="60779"/>
    <cellStyle name="Normal 31 3 2 39" xfId="62671"/>
    <cellStyle name="Normal 31 3 2 4" xfId="2967"/>
    <cellStyle name="Normal 31 3 2 40" xfId="63537"/>
    <cellStyle name="Normal 31 3 2 5" xfId="4719"/>
    <cellStyle name="Normal 31 3 2 6" xfId="6471"/>
    <cellStyle name="Normal 31 3 2 7" xfId="8223"/>
    <cellStyle name="Normal 31 3 2 8" xfId="9976"/>
    <cellStyle name="Normal 31 3 2 9" xfId="11728"/>
    <cellStyle name="Normal 31 3 20" xfId="29054"/>
    <cellStyle name="Normal 31 3 21" xfId="30806"/>
    <cellStyle name="Normal 31 3 22" xfId="32559"/>
    <cellStyle name="Normal 31 3 23" xfId="34662"/>
    <cellStyle name="Normal 31 3 24" xfId="35195"/>
    <cellStyle name="Normal 31 3 25" xfId="37283"/>
    <cellStyle name="Normal 31 3 26" xfId="38688"/>
    <cellStyle name="Normal 31 3 27" xfId="40443"/>
    <cellStyle name="Normal 31 3 28" xfId="42195"/>
    <cellStyle name="Normal 31 3 29" xfId="44283"/>
    <cellStyle name="Normal 31 3 3" xfId="1465"/>
    <cellStyle name="Normal 31 3 3 10" xfId="15471"/>
    <cellStyle name="Normal 31 3 3 11" xfId="17224"/>
    <cellStyle name="Normal 31 3 3 12" xfId="18976"/>
    <cellStyle name="Normal 31 3 3 13" xfId="20729"/>
    <cellStyle name="Normal 31 3 3 14" xfId="22481"/>
    <cellStyle name="Normal 31 3 3 15" xfId="24233"/>
    <cellStyle name="Normal 31 3 3 16" xfId="25985"/>
    <cellStyle name="Normal 31 3 3 17" xfId="27737"/>
    <cellStyle name="Normal 31 3 3 18" xfId="29490"/>
    <cellStyle name="Normal 31 3 3 19" xfId="31242"/>
    <cellStyle name="Normal 31 3 3 2" xfId="1466"/>
    <cellStyle name="Normal 31 3 3 2 10" xfId="18100"/>
    <cellStyle name="Normal 31 3 3 2 11" xfId="19852"/>
    <cellStyle name="Normal 31 3 3 2 12" xfId="21605"/>
    <cellStyle name="Normal 31 3 3 2 13" xfId="23357"/>
    <cellStyle name="Normal 31 3 3 2 14" xfId="25109"/>
    <cellStyle name="Normal 31 3 3 2 15" xfId="26861"/>
    <cellStyle name="Normal 31 3 3 2 16" xfId="28613"/>
    <cellStyle name="Normal 31 3 3 2 17" xfId="30366"/>
    <cellStyle name="Normal 31 3 3 2 18" xfId="32118"/>
    <cellStyle name="Normal 31 3 3 2 19" xfId="33871"/>
    <cellStyle name="Normal 31 3 3 2 2" xfId="4082"/>
    <cellStyle name="Normal 31 3 3 2 20" xfId="36507"/>
    <cellStyle name="Normal 31 3 3 2 21" xfId="38247"/>
    <cellStyle name="Normal 31 3 3 2 22" xfId="40000"/>
    <cellStyle name="Normal 31 3 3 2 23" xfId="41755"/>
    <cellStyle name="Normal 31 3 3 2 24" xfId="43507"/>
    <cellStyle name="Normal 31 3 3 2 25" xfId="46125"/>
    <cellStyle name="Normal 31 3 3 2 26" xfId="47877"/>
    <cellStyle name="Normal 31 3 3 2 27" xfId="49629"/>
    <cellStyle name="Normal 31 3 3 2 28" xfId="51381"/>
    <cellStyle name="Normal 31 3 3 2 29" xfId="53133"/>
    <cellStyle name="Normal 31 3 3 2 3" xfId="5834"/>
    <cellStyle name="Normal 31 3 3 2 30" xfId="54885"/>
    <cellStyle name="Normal 31 3 3 2 31" xfId="56637"/>
    <cellStyle name="Normal 31 3 3 2 32" xfId="58390"/>
    <cellStyle name="Normal 31 3 3 2 33" xfId="60142"/>
    <cellStyle name="Normal 31 3 3 2 34" xfId="61894"/>
    <cellStyle name="Normal 31 3 3 2 4" xfId="7586"/>
    <cellStyle name="Normal 31 3 3 2 5" xfId="9338"/>
    <cellStyle name="Normal 31 3 3 2 6" xfId="11091"/>
    <cellStyle name="Normal 31 3 3 2 7" xfId="12843"/>
    <cellStyle name="Normal 31 3 3 2 8" xfId="14595"/>
    <cellStyle name="Normal 31 3 3 2 9" xfId="16347"/>
    <cellStyle name="Normal 31 3 3 20" xfId="32995"/>
    <cellStyle name="Normal 31 3 3 21" xfId="34665"/>
    <cellStyle name="Normal 31 3 3 22" xfId="35631"/>
    <cellStyle name="Normal 31 3 3 23" xfId="37286"/>
    <cellStyle name="Normal 31 3 3 24" xfId="39124"/>
    <cellStyle name="Normal 31 3 3 25" xfId="40879"/>
    <cellStyle name="Normal 31 3 3 26" xfId="42631"/>
    <cellStyle name="Normal 31 3 3 27" xfId="44286"/>
    <cellStyle name="Normal 31 3 3 28" xfId="45249"/>
    <cellStyle name="Normal 31 3 3 29" xfId="47001"/>
    <cellStyle name="Normal 31 3 3 3" xfId="3206"/>
    <cellStyle name="Normal 31 3 3 30" xfId="48753"/>
    <cellStyle name="Normal 31 3 3 31" xfId="50505"/>
    <cellStyle name="Normal 31 3 3 32" xfId="52257"/>
    <cellStyle name="Normal 31 3 3 33" xfId="54009"/>
    <cellStyle name="Normal 31 3 3 34" xfId="55761"/>
    <cellStyle name="Normal 31 3 3 35" xfId="57514"/>
    <cellStyle name="Normal 31 3 3 36" xfId="59266"/>
    <cellStyle name="Normal 31 3 3 37" xfId="61018"/>
    <cellStyle name="Normal 31 3 3 38" xfId="62673"/>
    <cellStyle name="Normal 31 3 3 39" xfId="63539"/>
    <cellStyle name="Normal 31 3 3 4" xfId="4958"/>
    <cellStyle name="Normal 31 3 3 5" xfId="6710"/>
    <cellStyle name="Normal 31 3 3 6" xfId="8462"/>
    <cellStyle name="Normal 31 3 3 7" xfId="10215"/>
    <cellStyle name="Normal 31 3 3 8" xfId="11967"/>
    <cellStyle name="Normal 31 3 3 9" xfId="13719"/>
    <cellStyle name="Normal 31 3 30" xfId="44813"/>
    <cellStyle name="Normal 31 3 31" xfId="46565"/>
    <cellStyle name="Normal 31 3 32" xfId="48317"/>
    <cellStyle name="Normal 31 3 33" xfId="50069"/>
    <cellStyle name="Normal 31 3 34" xfId="51821"/>
    <cellStyle name="Normal 31 3 35" xfId="53573"/>
    <cellStyle name="Normal 31 3 36" xfId="55325"/>
    <cellStyle name="Normal 31 3 37" xfId="57078"/>
    <cellStyle name="Normal 31 3 38" xfId="58830"/>
    <cellStyle name="Normal 31 3 39" xfId="60582"/>
    <cellStyle name="Normal 31 3 4" xfId="1467"/>
    <cellStyle name="Normal 31 3 4 10" xfId="17664"/>
    <cellStyle name="Normal 31 3 4 11" xfId="19416"/>
    <cellStyle name="Normal 31 3 4 12" xfId="21169"/>
    <cellStyle name="Normal 31 3 4 13" xfId="22921"/>
    <cellStyle name="Normal 31 3 4 14" xfId="24673"/>
    <cellStyle name="Normal 31 3 4 15" xfId="26425"/>
    <cellStyle name="Normal 31 3 4 16" xfId="28177"/>
    <cellStyle name="Normal 31 3 4 17" xfId="29930"/>
    <cellStyle name="Normal 31 3 4 18" xfId="31682"/>
    <cellStyle name="Normal 31 3 4 19" xfId="33435"/>
    <cellStyle name="Normal 31 3 4 2" xfId="3646"/>
    <cellStyle name="Normal 31 3 4 20" xfId="36071"/>
    <cellStyle name="Normal 31 3 4 21" xfId="37811"/>
    <cellStyle name="Normal 31 3 4 22" xfId="39564"/>
    <cellStyle name="Normal 31 3 4 23" xfId="41319"/>
    <cellStyle name="Normal 31 3 4 24" xfId="43071"/>
    <cellStyle name="Normal 31 3 4 25" xfId="45689"/>
    <cellStyle name="Normal 31 3 4 26" xfId="47441"/>
    <cellStyle name="Normal 31 3 4 27" xfId="49193"/>
    <cellStyle name="Normal 31 3 4 28" xfId="50945"/>
    <cellStyle name="Normal 31 3 4 29" xfId="52697"/>
    <cellStyle name="Normal 31 3 4 3" xfId="5398"/>
    <cellStyle name="Normal 31 3 4 30" xfId="54449"/>
    <cellStyle name="Normal 31 3 4 31" xfId="56201"/>
    <cellStyle name="Normal 31 3 4 32" xfId="57954"/>
    <cellStyle name="Normal 31 3 4 33" xfId="59706"/>
    <cellStyle name="Normal 31 3 4 34" xfId="61458"/>
    <cellStyle name="Normal 31 3 4 4" xfId="7150"/>
    <cellStyle name="Normal 31 3 4 5" xfId="8902"/>
    <cellStyle name="Normal 31 3 4 6" xfId="10655"/>
    <cellStyle name="Normal 31 3 4 7" xfId="12407"/>
    <cellStyle name="Normal 31 3 4 8" xfId="14159"/>
    <cellStyle name="Normal 31 3 4 9" xfId="15911"/>
    <cellStyle name="Normal 31 3 40" xfId="62670"/>
    <cellStyle name="Normal 31 3 41" xfId="63536"/>
    <cellStyle name="Normal 31 3 5" xfId="2770"/>
    <cellStyle name="Normal 31 3 6" xfId="4522"/>
    <cellStyle name="Normal 31 3 7" xfId="6274"/>
    <cellStyle name="Normal 31 3 8" xfId="8026"/>
    <cellStyle name="Normal 31 3 9" xfId="9779"/>
    <cellStyle name="Normal 31 30" xfId="42087"/>
    <cellStyle name="Normal 31 31" xfId="44274"/>
    <cellStyle name="Normal 31 32" xfId="44705"/>
    <cellStyle name="Normal 31 33" xfId="46457"/>
    <cellStyle name="Normal 31 34" xfId="48209"/>
    <cellStyle name="Normal 31 35" xfId="49961"/>
    <cellStyle name="Normal 31 36" xfId="51713"/>
    <cellStyle name="Normal 31 37" xfId="53465"/>
    <cellStyle name="Normal 31 38" xfId="55217"/>
    <cellStyle name="Normal 31 39" xfId="56970"/>
    <cellStyle name="Normal 31 4" xfId="1468"/>
    <cellStyle name="Normal 31 4 10" xfId="13481"/>
    <cellStyle name="Normal 31 4 11" xfId="15233"/>
    <cellStyle name="Normal 31 4 12" xfId="16986"/>
    <cellStyle name="Normal 31 4 13" xfId="18738"/>
    <cellStyle name="Normal 31 4 14" xfId="20491"/>
    <cellStyle name="Normal 31 4 15" xfId="22243"/>
    <cellStyle name="Normal 31 4 16" xfId="23995"/>
    <cellStyle name="Normal 31 4 17" xfId="25747"/>
    <cellStyle name="Normal 31 4 18" xfId="27499"/>
    <cellStyle name="Normal 31 4 19" xfId="29252"/>
    <cellStyle name="Normal 31 4 2" xfId="1469"/>
    <cellStyle name="Normal 31 4 2 10" xfId="15669"/>
    <cellStyle name="Normal 31 4 2 11" xfId="17422"/>
    <cellStyle name="Normal 31 4 2 12" xfId="19174"/>
    <cellStyle name="Normal 31 4 2 13" xfId="20927"/>
    <cellStyle name="Normal 31 4 2 14" xfId="22679"/>
    <cellStyle name="Normal 31 4 2 15" xfId="24431"/>
    <cellStyle name="Normal 31 4 2 16" xfId="26183"/>
    <cellStyle name="Normal 31 4 2 17" xfId="27935"/>
    <cellStyle name="Normal 31 4 2 18" xfId="29688"/>
    <cellStyle name="Normal 31 4 2 19" xfId="31440"/>
    <cellStyle name="Normal 31 4 2 2" xfId="1470"/>
    <cellStyle name="Normal 31 4 2 2 10" xfId="18298"/>
    <cellStyle name="Normal 31 4 2 2 11" xfId="20050"/>
    <cellStyle name="Normal 31 4 2 2 12" xfId="21803"/>
    <cellStyle name="Normal 31 4 2 2 13" xfId="23555"/>
    <cellStyle name="Normal 31 4 2 2 14" xfId="25307"/>
    <cellStyle name="Normal 31 4 2 2 15" xfId="27059"/>
    <cellStyle name="Normal 31 4 2 2 16" xfId="28811"/>
    <cellStyle name="Normal 31 4 2 2 17" xfId="30564"/>
    <cellStyle name="Normal 31 4 2 2 18" xfId="32316"/>
    <cellStyle name="Normal 31 4 2 2 19" xfId="34069"/>
    <cellStyle name="Normal 31 4 2 2 2" xfId="4280"/>
    <cellStyle name="Normal 31 4 2 2 20" xfId="36705"/>
    <cellStyle name="Normal 31 4 2 2 21" xfId="38445"/>
    <cellStyle name="Normal 31 4 2 2 22" xfId="40198"/>
    <cellStyle name="Normal 31 4 2 2 23" xfId="41953"/>
    <cellStyle name="Normal 31 4 2 2 24" xfId="43705"/>
    <cellStyle name="Normal 31 4 2 2 25" xfId="46323"/>
    <cellStyle name="Normal 31 4 2 2 26" xfId="48075"/>
    <cellStyle name="Normal 31 4 2 2 27" xfId="49827"/>
    <cellStyle name="Normal 31 4 2 2 28" xfId="51579"/>
    <cellStyle name="Normal 31 4 2 2 29" xfId="53331"/>
    <cellStyle name="Normal 31 4 2 2 3" xfId="6032"/>
    <cellStyle name="Normal 31 4 2 2 30" xfId="55083"/>
    <cellStyle name="Normal 31 4 2 2 31" xfId="56835"/>
    <cellStyle name="Normal 31 4 2 2 32" xfId="58588"/>
    <cellStyle name="Normal 31 4 2 2 33" xfId="60340"/>
    <cellStyle name="Normal 31 4 2 2 34" xfId="62092"/>
    <cellStyle name="Normal 31 4 2 2 4" xfId="7784"/>
    <cellStyle name="Normal 31 4 2 2 5" xfId="9536"/>
    <cellStyle name="Normal 31 4 2 2 6" xfId="11289"/>
    <cellStyle name="Normal 31 4 2 2 7" xfId="13041"/>
    <cellStyle name="Normal 31 4 2 2 8" xfId="14793"/>
    <cellStyle name="Normal 31 4 2 2 9" xfId="16545"/>
    <cellStyle name="Normal 31 4 2 20" xfId="33193"/>
    <cellStyle name="Normal 31 4 2 21" xfId="34667"/>
    <cellStyle name="Normal 31 4 2 22" xfId="35829"/>
    <cellStyle name="Normal 31 4 2 23" xfId="37288"/>
    <cellStyle name="Normal 31 4 2 24" xfId="39322"/>
    <cellStyle name="Normal 31 4 2 25" xfId="41077"/>
    <cellStyle name="Normal 31 4 2 26" xfId="42829"/>
    <cellStyle name="Normal 31 4 2 27" xfId="44288"/>
    <cellStyle name="Normal 31 4 2 28" xfId="45447"/>
    <cellStyle name="Normal 31 4 2 29" xfId="47199"/>
    <cellStyle name="Normal 31 4 2 3" xfId="3404"/>
    <cellStyle name="Normal 31 4 2 30" xfId="48951"/>
    <cellStyle name="Normal 31 4 2 31" xfId="50703"/>
    <cellStyle name="Normal 31 4 2 32" xfId="52455"/>
    <cellStyle name="Normal 31 4 2 33" xfId="54207"/>
    <cellStyle name="Normal 31 4 2 34" xfId="55959"/>
    <cellStyle name="Normal 31 4 2 35" xfId="57712"/>
    <cellStyle name="Normal 31 4 2 36" xfId="59464"/>
    <cellStyle name="Normal 31 4 2 37" xfId="61216"/>
    <cellStyle name="Normal 31 4 2 38" xfId="62675"/>
    <cellStyle name="Normal 31 4 2 39" xfId="63541"/>
    <cellStyle name="Normal 31 4 2 4" xfId="5156"/>
    <cellStyle name="Normal 31 4 2 5" xfId="6908"/>
    <cellStyle name="Normal 31 4 2 6" xfId="8660"/>
    <cellStyle name="Normal 31 4 2 7" xfId="10413"/>
    <cellStyle name="Normal 31 4 2 8" xfId="12165"/>
    <cellStyle name="Normal 31 4 2 9" xfId="13917"/>
    <cellStyle name="Normal 31 4 20" xfId="31004"/>
    <cellStyle name="Normal 31 4 21" xfId="32757"/>
    <cellStyle name="Normal 31 4 22" xfId="34666"/>
    <cellStyle name="Normal 31 4 23" xfId="35393"/>
    <cellStyle name="Normal 31 4 24" xfId="37287"/>
    <cellStyle name="Normal 31 4 25" xfId="38886"/>
    <cellStyle name="Normal 31 4 26" xfId="40641"/>
    <cellStyle name="Normal 31 4 27" xfId="42393"/>
    <cellStyle name="Normal 31 4 28" xfId="44287"/>
    <cellStyle name="Normal 31 4 29" xfId="45011"/>
    <cellStyle name="Normal 31 4 3" xfId="1471"/>
    <cellStyle name="Normal 31 4 3 10" xfId="17862"/>
    <cellStyle name="Normal 31 4 3 11" xfId="19614"/>
    <cellStyle name="Normal 31 4 3 12" xfId="21367"/>
    <cellStyle name="Normal 31 4 3 13" xfId="23119"/>
    <cellStyle name="Normal 31 4 3 14" xfId="24871"/>
    <cellStyle name="Normal 31 4 3 15" xfId="26623"/>
    <cellStyle name="Normal 31 4 3 16" xfId="28375"/>
    <cellStyle name="Normal 31 4 3 17" xfId="30128"/>
    <cellStyle name="Normal 31 4 3 18" xfId="31880"/>
    <cellStyle name="Normal 31 4 3 19" xfId="33633"/>
    <cellStyle name="Normal 31 4 3 2" xfId="3844"/>
    <cellStyle name="Normal 31 4 3 20" xfId="36269"/>
    <cellStyle name="Normal 31 4 3 21" xfId="38009"/>
    <cellStyle name="Normal 31 4 3 22" xfId="39762"/>
    <cellStyle name="Normal 31 4 3 23" xfId="41517"/>
    <cellStyle name="Normal 31 4 3 24" xfId="43269"/>
    <cellStyle name="Normal 31 4 3 25" xfId="45887"/>
    <cellStyle name="Normal 31 4 3 26" xfId="47639"/>
    <cellStyle name="Normal 31 4 3 27" xfId="49391"/>
    <cellStyle name="Normal 31 4 3 28" xfId="51143"/>
    <cellStyle name="Normal 31 4 3 29" xfId="52895"/>
    <cellStyle name="Normal 31 4 3 3" xfId="5596"/>
    <cellStyle name="Normal 31 4 3 30" xfId="54647"/>
    <cellStyle name="Normal 31 4 3 31" xfId="56399"/>
    <cellStyle name="Normal 31 4 3 32" xfId="58152"/>
    <cellStyle name="Normal 31 4 3 33" xfId="59904"/>
    <cellStyle name="Normal 31 4 3 34" xfId="61656"/>
    <cellStyle name="Normal 31 4 3 4" xfId="7348"/>
    <cellStyle name="Normal 31 4 3 5" xfId="9100"/>
    <cellStyle name="Normal 31 4 3 6" xfId="10853"/>
    <cellStyle name="Normal 31 4 3 7" xfId="12605"/>
    <cellStyle name="Normal 31 4 3 8" xfId="14357"/>
    <cellStyle name="Normal 31 4 3 9" xfId="16109"/>
    <cellStyle name="Normal 31 4 30" xfId="46763"/>
    <cellStyle name="Normal 31 4 31" xfId="48515"/>
    <cellStyle name="Normal 31 4 32" xfId="50267"/>
    <cellStyle name="Normal 31 4 33" xfId="52019"/>
    <cellStyle name="Normal 31 4 34" xfId="53771"/>
    <cellStyle name="Normal 31 4 35" xfId="55523"/>
    <cellStyle name="Normal 31 4 36" xfId="57276"/>
    <cellStyle name="Normal 31 4 37" xfId="59028"/>
    <cellStyle name="Normal 31 4 38" xfId="60780"/>
    <cellStyle name="Normal 31 4 39" xfId="62674"/>
    <cellStyle name="Normal 31 4 4" xfId="2968"/>
    <cellStyle name="Normal 31 4 40" xfId="63540"/>
    <cellStyle name="Normal 31 4 5" xfId="4720"/>
    <cellStyle name="Normal 31 4 6" xfId="6472"/>
    <cellStyle name="Normal 31 4 7" xfId="8224"/>
    <cellStyle name="Normal 31 4 8" xfId="9977"/>
    <cellStyle name="Normal 31 4 9" xfId="11729"/>
    <cellStyle name="Normal 31 40" xfId="58722"/>
    <cellStyle name="Normal 31 41" xfId="60474"/>
    <cellStyle name="Normal 31 42" xfId="62661"/>
    <cellStyle name="Normal 31 43" xfId="63527"/>
    <cellStyle name="Normal 31 5" xfId="1472"/>
    <cellStyle name="Normal 31 5 10" xfId="15363"/>
    <cellStyle name="Normal 31 5 11" xfId="17116"/>
    <cellStyle name="Normal 31 5 12" xfId="18868"/>
    <cellStyle name="Normal 31 5 13" xfId="20621"/>
    <cellStyle name="Normal 31 5 14" xfId="22373"/>
    <cellStyle name="Normal 31 5 15" xfId="24125"/>
    <cellStyle name="Normal 31 5 16" xfId="25877"/>
    <cellStyle name="Normal 31 5 17" xfId="27629"/>
    <cellStyle name="Normal 31 5 18" xfId="29382"/>
    <cellStyle name="Normal 31 5 19" xfId="31134"/>
    <cellStyle name="Normal 31 5 2" xfId="1473"/>
    <cellStyle name="Normal 31 5 2 10" xfId="17992"/>
    <cellStyle name="Normal 31 5 2 11" xfId="19744"/>
    <cellStyle name="Normal 31 5 2 12" xfId="21497"/>
    <cellStyle name="Normal 31 5 2 13" xfId="23249"/>
    <cellStyle name="Normal 31 5 2 14" xfId="25001"/>
    <cellStyle name="Normal 31 5 2 15" xfId="26753"/>
    <cellStyle name="Normal 31 5 2 16" xfId="28505"/>
    <cellStyle name="Normal 31 5 2 17" xfId="30258"/>
    <cellStyle name="Normal 31 5 2 18" xfId="32010"/>
    <cellStyle name="Normal 31 5 2 19" xfId="33763"/>
    <cellStyle name="Normal 31 5 2 2" xfId="3974"/>
    <cellStyle name="Normal 31 5 2 20" xfId="36399"/>
    <cellStyle name="Normal 31 5 2 21" xfId="38139"/>
    <cellStyle name="Normal 31 5 2 22" xfId="39892"/>
    <cellStyle name="Normal 31 5 2 23" xfId="41647"/>
    <cellStyle name="Normal 31 5 2 24" xfId="43399"/>
    <cellStyle name="Normal 31 5 2 25" xfId="46017"/>
    <cellStyle name="Normal 31 5 2 26" xfId="47769"/>
    <cellStyle name="Normal 31 5 2 27" xfId="49521"/>
    <cellStyle name="Normal 31 5 2 28" xfId="51273"/>
    <cellStyle name="Normal 31 5 2 29" xfId="53025"/>
    <cellStyle name="Normal 31 5 2 3" xfId="5726"/>
    <cellStyle name="Normal 31 5 2 30" xfId="54777"/>
    <cellStyle name="Normal 31 5 2 31" xfId="56529"/>
    <cellStyle name="Normal 31 5 2 32" xfId="58282"/>
    <cellStyle name="Normal 31 5 2 33" xfId="60034"/>
    <cellStyle name="Normal 31 5 2 34" xfId="61786"/>
    <cellStyle name="Normal 31 5 2 4" xfId="7478"/>
    <cellStyle name="Normal 31 5 2 5" xfId="9230"/>
    <cellStyle name="Normal 31 5 2 6" xfId="10983"/>
    <cellStyle name="Normal 31 5 2 7" xfId="12735"/>
    <cellStyle name="Normal 31 5 2 8" xfId="14487"/>
    <cellStyle name="Normal 31 5 2 9" xfId="16239"/>
    <cellStyle name="Normal 31 5 20" xfId="32887"/>
    <cellStyle name="Normal 31 5 21" xfId="34668"/>
    <cellStyle name="Normal 31 5 22" xfId="35523"/>
    <cellStyle name="Normal 31 5 23" xfId="37289"/>
    <cellStyle name="Normal 31 5 24" xfId="39016"/>
    <cellStyle name="Normal 31 5 25" xfId="40771"/>
    <cellStyle name="Normal 31 5 26" xfId="42523"/>
    <cellStyle name="Normal 31 5 27" xfId="44289"/>
    <cellStyle name="Normal 31 5 28" xfId="45141"/>
    <cellStyle name="Normal 31 5 29" xfId="46893"/>
    <cellStyle name="Normal 31 5 3" xfId="3098"/>
    <cellStyle name="Normal 31 5 30" xfId="48645"/>
    <cellStyle name="Normal 31 5 31" xfId="50397"/>
    <cellStyle name="Normal 31 5 32" xfId="52149"/>
    <cellStyle name="Normal 31 5 33" xfId="53901"/>
    <cellStyle name="Normal 31 5 34" xfId="55653"/>
    <cellStyle name="Normal 31 5 35" xfId="57406"/>
    <cellStyle name="Normal 31 5 36" xfId="59158"/>
    <cellStyle name="Normal 31 5 37" xfId="60910"/>
    <cellStyle name="Normal 31 5 38" xfId="62676"/>
    <cellStyle name="Normal 31 5 39" xfId="63542"/>
    <cellStyle name="Normal 31 5 4" xfId="4850"/>
    <cellStyle name="Normal 31 5 5" xfId="6602"/>
    <cellStyle name="Normal 31 5 6" xfId="8354"/>
    <cellStyle name="Normal 31 5 7" xfId="10107"/>
    <cellStyle name="Normal 31 5 8" xfId="11859"/>
    <cellStyle name="Normal 31 5 9" xfId="13611"/>
    <cellStyle name="Normal 31 6" xfId="1474"/>
    <cellStyle name="Normal 31 6 10" xfId="17556"/>
    <cellStyle name="Normal 31 6 11" xfId="19308"/>
    <cellStyle name="Normal 31 6 12" xfId="21061"/>
    <cellStyle name="Normal 31 6 13" xfId="22813"/>
    <cellStyle name="Normal 31 6 14" xfId="24565"/>
    <cellStyle name="Normal 31 6 15" xfId="26317"/>
    <cellStyle name="Normal 31 6 16" xfId="28069"/>
    <cellStyle name="Normal 31 6 17" xfId="29822"/>
    <cellStyle name="Normal 31 6 18" xfId="31574"/>
    <cellStyle name="Normal 31 6 19" xfId="33327"/>
    <cellStyle name="Normal 31 6 2" xfId="3538"/>
    <cellStyle name="Normal 31 6 20" xfId="35963"/>
    <cellStyle name="Normal 31 6 21" xfId="37618"/>
    <cellStyle name="Normal 31 6 22" xfId="39456"/>
    <cellStyle name="Normal 31 6 23" xfId="41211"/>
    <cellStyle name="Normal 31 6 24" xfId="42963"/>
    <cellStyle name="Normal 31 6 25" xfId="45581"/>
    <cellStyle name="Normal 31 6 26" xfId="47333"/>
    <cellStyle name="Normal 31 6 27" xfId="49085"/>
    <cellStyle name="Normal 31 6 28" xfId="50837"/>
    <cellStyle name="Normal 31 6 29" xfId="52589"/>
    <cellStyle name="Normal 31 6 3" xfId="5290"/>
    <cellStyle name="Normal 31 6 30" xfId="54341"/>
    <cellStyle name="Normal 31 6 31" xfId="56093"/>
    <cellStyle name="Normal 31 6 32" xfId="57846"/>
    <cellStyle name="Normal 31 6 33" xfId="59598"/>
    <cellStyle name="Normal 31 6 34" xfId="61350"/>
    <cellStyle name="Normal 31 6 4" xfId="7042"/>
    <cellStyle name="Normal 31 6 5" xfId="8794"/>
    <cellStyle name="Normal 31 6 6" xfId="10547"/>
    <cellStyle name="Normal 31 6 7" xfId="12299"/>
    <cellStyle name="Normal 31 6 8" xfId="14051"/>
    <cellStyle name="Normal 31 6 9" xfId="15803"/>
    <cellStyle name="Normal 31 7" xfId="2662"/>
    <cellStyle name="Normal 31 8" xfId="4414"/>
    <cellStyle name="Normal 31 9" xfId="6166"/>
    <cellStyle name="Normal 32" xfId="1475"/>
    <cellStyle name="Normal 32 10" xfId="7919"/>
    <cellStyle name="Normal 32 11" xfId="9672"/>
    <cellStyle name="Normal 32 12" xfId="11424"/>
    <cellStyle name="Normal 32 13" xfId="13176"/>
    <cellStyle name="Normal 32 14" xfId="14928"/>
    <cellStyle name="Normal 32 15" xfId="16681"/>
    <cellStyle name="Normal 32 16" xfId="18433"/>
    <cellStyle name="Normal 32 17" xfId="20186"/>
    <cellStyle name="Normal 32 18" xfId="21938"/>
    <cellStyle name="Normal 32 19" xfId="23690"/>
    <cellStyle name="Normal 32 2" xfId="1476"/>
    <cellStyle name="Normal 32 2 10" xfId="9727"/>
    <cellStyle name="Normal 32 2 11" xfId="11479"/>
    <cellStyle name="Normal 32 2 12" xfId="13231"/>
    <cellStyle name="Normal 32 2 13" xfId="14983"/>
    <cellStyle name="Normal 32 2 14" xfId="16736"/>
    <cellStyle name="Normal 32 2 15" xfId="18488"/>
    <cellStyle name="Normal 32 2 16" xfId="20241"/>
    <cellStyle name="Normal 32 2 17" xfId="21993"/>
    <cellStyle name="Normal 32 2 18" xfId="23745"/>
    <cellStyle name="Normal 32 2 19" xfId="25497"/>
    <cellStyle name="Normal 32 2 2" xfId="1477"/>
    <cellStyle name="Normal 32 2 2 10" xfId="11587"/>
    <cellStyle name="Normal 32 2 2 11" xfId="13339"/>
    <cellStyle name="Normal 32 2 2 12" xfId="15091"/>
    <cellStyle name="Normal 32 2 2 13" xfId="16844"/>
    <cellStyle name="Normal 32 2 2 14" xfId="18596"/>
    <cellStyle name="Normal 32 2 2 15" xfId="20349"/>
    <cellStyle name="Normal 32 2 2 16" xfId="22101"/>
    <cellStyle name="Normal 32 2 2 17" xfId="23853"/>
    <cellStyle name="Normal 32 2 2 18" xfId="25605"/>
    <cellStyle name="Normal 32 2 2 19" xfId="27357"/>
    <cellStyle name="Normal 32 2 2 2" xfId="1478"/>
    <cellStyle name="Normal 32 2 2 2 10" xfId="13482"/>
    <cellStyle name="Normal 32 2 2 2 11" xfId="15234"/>
    <cellStyle name="Normal 32 2 2 2 12" xfId="16987"/>
    <cellStyle name="Normal 32 2 2 2 13" xfId="18739"/>
    <cellStyle name="Normal 32 2 2 2 14" xfId="20492"/>
    <cellStyle name="Normal 32 2 2 2 15" xfId="22244"/>
    <cellStyle name="Normal 32 2 2 2 16" xfId="23996"/>
    <cellStyle name="Normal 32 2 2 2 17" xfId="25748"/>
    <cellStyle name="Normal 32 2 2 2 18" xfId="27500"/>
    <cellStyle name="Normal 32 2 2 2 19" xfId="29253"/>
    <cellStyle name="Normal 32 2 2 2 2" xfId="1479"/>
    <cellStyle name="Normal 32 2 2 2 2 10" xfId="15670"/>
    <cellStyle name="Normal 32 2 2 2 2 11" xfId="17423"/>
    <cellStyle name="Normal 32 2 2 2 2 12" xfId="19175"/>
    <cellStyle name="Normal 32 2 2 2 2 13" xfId="20928"/>
    <cellStyle name="Normal 32 2 2 2 2 14" xfId="22680"/>
    <cellStyle name="Normal 32 2 2 2 2 15" xfId="24432"/>
    <cellStyle name="Normal 32 2 2 2 2 16" xfId="26184"/>
    <cellStyle name="Normal 32 2 2 2 2 17" xfId="27936"/>
    <cellStyle name="Normal 32 2 2 2 2 18" xfId="29689"/>
    <cellStyle name="Normal 32 2 2 2 2 19" xfId="31441"/>
    <cellStyle name="Normal 32 2 2 2 2 2" xfId="1480"/>
    <cellStyle name="Normal 32 2 2 2 2 2 10" xfId="18299"/>
    <cellStyle name="Normal 32 2 2 2 2 2 11" xfId="20051"/>
    <cellStyle name="Normal 32 2 2 2 2 2 12" xfId="21804"/>
    <cellStyle name="Normal 32 2 2 2 2 2 13" xfId="23556"/>
    <cellStyle name="Normal 32 2 2 2 2 2 14" xfId="25308"/>
    <cellStyle name="Normal 32 2 2 2 2 2 15" xfId="27060"/>
    <cellStyle name="Normal 32 2 2 2 2 2 16" xfId="28812"/>
    <cellStyle name="Normal 32 2 2 2 2 2 17" xfId="30565"/>
    <cellStyle name="Normal 32 2 2 2 2 2 18" xfId="32317"/>
    <cellStyle name="Normal 32 2 2 2 2 2 19" xfId="34070"/>
    <cellStyle name="Normal 32 2 2 2 2 2 2" xfId="4281"/>
    <cellStyle name="Normal 32 2 2 2 2 2 20" xfId="36706"/>
    <cellStyle name="Normal 32 2 2 2 2 2 21" xfId="38446"/>
    <cellStyle name="Normal 32 2 2 2 2 2 22" xfId="40199"/>
    <cellStyle name="Normal 32 2 2 2 2 2 23" xfId="41954"/>
    <cellStyle name="Normal 32 2 2 2 2 2 24" xfId="43706"/>
    <cellStyle name="Normal 32 2 2 2 2 2 25" xfId="46324"/>
    <cellStyle name="Normal 32 2 2 2 2 2 26" xfId="48076"/>
    <cellStyle name="Normal 32 2 2 2 2 2 27" xfId="49828"/>
    <cellStyle name="Normal 32 2 2 2 2 2 28" xfId="51580"/>
    <cellStyle name="Normal 32 2 2 2 2 2 29" xfId="53332"/>
    <cellStyle name="Normal 32 2 2 2 2 2 3" xfId="6033"/>
    <cellStyle name="Normal 32 2 2 2 2 2 30" xfId="55084"/>
    <cellStyle name="Normal 32 2 2 2 2 2 31" xfId="56836"/>
    <cellStyle name="Normal 32 2 2 2 2 2 32" xfId="58589"/>
    <cellStyle name="Normal 32 2 2 2 2 2 33" xfId="60341"/>
    <cellStyle name="Normal 32 2 2 2 2 2 34" xfId="62093"/>
    <cellStyle name="Normal 32 2 2 2 2 2 4" xfId="7785"/>
    <cellStyle name="Normal 32 2 2 2 2 2 5" xfId="9537"/>
    <cellStyle name="Normal 32 2 2 2 2 2 6" xfId="11290"/>
    <cellStyle name="Normal 32 2 2 2 2 2 7" xfId="13042"/>
    <cellStyle name="Normal 32 2 2 2 2 2 8" xfId="14794"/>
    <cellStyle name="Normal 32 2 2 2 2 2 9" xfId="16546"/>
    <cellStyle name="Normal 32 2 2 2 2 20" xfId="33194"/>
    <cellStyle name="Normal 32 2 2 2 2 21" xfId="34673"/>
    <cellStyle name="Normal 32 2 2 2 2 22" xfId="35830"/>
    <cellStyle name="Normal 32 2 2 2 2 23" xfId="37294"/>
    <cellStyle name="Normal 32 2 2 2 2 24" xfId="39323"/>
    <cellStyle name="Normal 32 2 2 2 2 25" xfId="41078"/>
    <cellStyle name="Normal 32 2 2 2 2 26" xfId="42830"/>
    <cellStyle name="Normal 32 2 2 2 2 27" xfId="44294"/>
    <cellStyle name="Normal 32 2 2 2 2 28" xfId="45448"/>
    <cellStyle name="Normal 32 2 2 2 2 29" xfId="47200"/>
    <cellStyle name="Normal 32 2 2 2 2 3" xfId="3405"/>
    <cellStyle name="Normal 32 2 2 2 2 30" xfId="48952"/>
    <cellStyle name="Normal 32 2 2 2 2 31" xfId="50704"/>
    <cellStyle name="Normal 32 2 2 2 2 32" xfId="52456"/>
    <cellStyle name="Normal 32 2 2 2 2 33" xfId="54208"/>
    <cellStyle name="Normal 32 2 2 2 2 34" xfId="55960"/>
    <cellStyle name="Normal 32 2 2 2 2 35" xfId="57713"/>
    <cellStyle name="Normal 32 2 2 2 2 36" xfId="59465"/>
    <cellStyle name="Normal 32 2 2 2 2 37" xfId="61217"/>
    <cellStyle name="Normal 32 2 2 2 2 38" xfId="62681"/>
    <cellStyle name="Normal 32 2 2 2 2 39" xfId="63547"/>
    <cellStyle name="Normal 32 2 2 2 2 4" xfId="5157"/>
    <cellStyle name="Normal 32 2 2 2 2 5" xfId="6909"/>
    <cellStyle name="Normal 32 2 2 2 2 6" xfId="8661"/>
    <cellStyle name="Normal 32 2 2 2 2 7" xfId="10414"/>
    <cellStyle name="Normal 32 2 2 2 2 8" xfId="12166"/>
    <cellStyle name="Normal 32 2 2 2 2 9" xfId="13918"/>
    <cellStyle name="Normal 32 2 2 2 20" xfId="31005"/>
    <cellStyle name="Normal 32 2 2 2 21" xfId="32758"/>
    <cellStyle name="Normal 32 2 2 2 22" xfId="34672"/>
    <cellStyle name="Normal 32 2 2 2 23" xfId="35394"/>
    <cellStyle name="Normal 32 2 2 2 24" xfId="37293"/>
    <cellStyle name="Normal 32 2 2 2 25" xfId="38887"/>
    <cellStyle name="Normal 32 2 2 2 26" xfId="40642"/>
    <cellStyle name="Normal 32 2 2 2 27" xfId="42394"/>
    <cellStyle name="Normal 32 2 2 2 28" xfId="44293"/>
    <cellStyle name="Normal 32 2 2 2 29" xfId="45012"/>
    <cellStyle name="Normal 32 2 2 2 3" xfId="1481"/>
    <cellStyle name="Normal 32 2 2 2 3 10" xfId="17863"/>
    <cellStyle name="Normal 32 2 2 2 3 11" xfId="19615"/>
    <cellStyle name="Normal 32 2 2 2 3 12" xfId="21368"/>
    <cellStyle name="Normal 32 2 2 2 3 13" xfId="23120"/>
    <cellStyle name="Normal 32 2 2 2 3 14" xfId="24872"/>
    <cellStyle name="Normal 32 2 2 2 3 15" xfId="26624"/>
    <cellStyle name="Normal 32 2 2 2 3 16" xfId="28376"/>
    <cellStyle name="Normal 32 2 2 2 3 17" xfId="30129"/>
    <cellStyle name="Normal 32 2 2 2 3 18" xfId="31881"/>
    <cellStyle name="Normal 32 2 2 2 3 19" xfId="33634"/>
    <cellStyle name="Normal 32 2 2 2 3 2" xfId="3845"/>
    <cellStyle name="Normal 32 2 2 2 3 20" xfId="36270"/>
    <cellStyle name="Normal 32 2 2 2 3 21" xfId="38010"/>
    <cellStyle name="Normal 32 2 2 2 3 22" xfId="39763"/>
    <cellStyle name="Normal 32 2 2 2 3 23" xfId="41518"/>
    <cellStyle name="Normal 32 2 2 2 3 24" xfId="43270"/>
    <cellStyle name="Normal 32 2 2 2 3 25" xfId="45888"/>
    <cellStyle name="Normal 32 2 2 2 3 26" xfId="47640"/>
    <cellStyle name="Normal 32 2 2 2 3 27" xfId="49392"/>
    <cellStyle name="Normal 32 2 2 2 3 28" xfId="51144"/>
    <cellStyle name="Normal 32 2 2 2 3 29" xfId="52896"/>
    <cellStyle name="Normal 32 2 2 2 3 3" xfId="5597"/>
    <cellStyle name="Normal 32 2 2 2 3 30" xfId="54648"/>
    <cellStyle name="Normal 32 2 2 2 3 31" xfId="56400"/>
    <cellStyle name="Normal 32 2 2 2 3 32" xfId="58153"/>
    <cellStyle name="Normal 32 2 2 2 3 33" xfId="59905"/>
    <cellStyle name="Normal 32 2 2 2 3 34" xfId="61657"/>
    <cellStyle name="Normal 32 2 2 2 3 4" xfId="7349"/>
    <cellStyle name="Normal 32 2 2 2 3 5" xfId="9101"/>
    <cellStyle name="Normal 32 2 2 2 3 6" xfId="10854"/>
    <cellStyle name="Normal 32 2 2 2 3 7" xfId="12606"/>
    <cellStyle name="Normal 32 2 2 2 3 8" xfId="14358"/>
    <cellStyle name="Normal 32 2 2 2 3 9" xfId="16110"/>
    <cellStyle name="Normal 32 2 2 2 30" xfId="46764"/>
    <cellStyle name="Normal 32 2 2 2 31" xfId="48516"/>
    <cellStyle name="Normal 32 2 2 2 32" xfId="50268"/>
    <cellStyle name="Normal 32 2 2 2 33" xfId="52020"/>
    <cellStyle name="Normal 32 2 2 2 34" xfId="53772"/>
    <cellStyle name="Normal 32 2 2 2 35" xfId="55524"/>
    <cellStyle name="Normal 32 2 2 2 36" xfId="57277"/>
    <cellStyle name="Normal 32 2 2 2 37" xfId="59029"/>
    <cellStyle name="Normal 32 2 2 2 38" xfId="60781"/>
    <cellStyle name="Normal 32 2 2 2 39" xfId="62680"/>
    <cellStyle name="Normal 32 2 2 2 4" xfId="2969"/>
    <cellStyle name="Normal 32 2 2 2 40" xfId="63546"/>
    <cellStyle name="Normal 32 2 2 2 5" xfId="4721"/>
    <cellStyle name="Normal 32 2 2 2 6" xfId="6473"/>
    <cellStyle name="Normal 32 2 2 2 7" xfId="8225"/>
    <cellStyle name="Normal 32 2 2 2 8" xfId="9978"/>
    <cellStyle name="Normal 32 2 2 2 9" xfId="11730"/>
    <cellStyle name="Normal 32 2 2 20" xfId="29110"/>
    <cellStyle name="Normal 32 2 2 21" xfId="30862"/>
    <cellStyle name="Normal 32 2 2 22" xfId="32615"/>
    <cellStyle name="Normal 32 2 2 23" xfId="34671"/>
    <cellStyle name="Normal 32 2 2 24" xfId="35251"/>
    <cellStyle name="Normal 32 2 2 25" xfId="37292"/>
    <cellStyle name="Normal 32 2 2 26" xfId="38744"/>
    <cellStyle name="Normal 32 2 2 27" xfId="40499"/>
    <cellStyle name="Normal 32 2 2 28" xfId="42251"/>
    <cellStyle name="Normal 32 2 2 29" xfId="44292"/>
    <cellStyle name="Normal 32 2 2 3" xfId="1482"/>
    <cellStyle name="Normal 32 2 2 3 10" xfId="15527"/>
    <cellStyle name="Normal 32 2 2 3 11" xfId="17280"/>
    <cellStyle name="Normal 32 2 2 3 12" xfId="19032"/>
    <cellStyle name="Normal 32 2 2 3 13" xfId="20785"/>
    <cellStyle name="Normal 32 2 2 3 14" xfId="22537"/>
    <cellStyle name="Normal 32 2 2 3 15" xfId="24289"/>
    <cellStyle name="Normal 32 2 2 3 16" xfId="26041"/>
    <cellStyle name="Normal 32 2 2 3 17" xfId="27793"/>
    <cellStyle name="Normal 32 2 2 3 18" xfId="29546"/>
    <cellStyle name="Normal 32 2 2 3 19" xfId="31298"/>
    <cellStyle name="Normal 32 2 2 3 2" xfId="1483"/>
    <cellStyle name="Normal 32 2 2 3 2 10" xfId="18156"/>
    <cellStyle name="Normal 32 2 2 3 2 11" xfId="19908"/>
    <cellStyle name="Normal 32 2 2 3 2 12" xfId="21661"/>
    <cellStyle name="Normal 32 2 2 3 2 13" xfId="23413"/>
    <cellStyle name="Normal 32 2 2 3 2 14" xfId="25165"/>
    <cellStyle name="Normal 32 2 2 3 2 15" xfId="26917"/>
    <cellStyle name="Normal 32 2 2 3 2 16" xfId="28669"/>
    <cellStyle name="Normal 32 2 2 3 2 17" xfId="30422"/>
    <cellStyle name="Normal 32 2 2 3 2 18" xfId="32174"/>
    <cellStyle name="Normal 32 2 2 3 2 19" xfId="33927"/>
    <cellStyle name="Normal 32 2 2 3 2 2" xfId="4138"/>
    <cellStyle name="Normal 32 2 2 3 2 20" xfId="36563"/>
    <cellStyle name="Normal 32 2 2 3 2 21" xfId="38303"/>
    <cellStyle name="Normal 32 2 2 3 2 22" xfId="40056"/>
    <cellStyle name="Normal 32 2 2 3 2 23" xfId="41811"/>
    <cellStyle name="Normal 32 2 2 3 2 24" xfId="43563"/>
    <cellStyle name="Normal 32 2 2 3 2 25" xfId="46181"/>
    <cellStyle name="Normal 32 2 2 3 2 26" xfId="47933"/>
    <cellStyle name="Normal 32 2 2 3 2 27" xfId="49685"/>
    <cellStyle name="Normal 32 2 2 3 2 28" xfId="51437"/>
    <cellStyle name="Normal 32 2 2 3 2 29" xfId="53189"/>
    <cellStyle name="Normal 32 2 2 3 2 3" xfId="5890"/>
    <cellStyle name="Normal 32 2 2 3 2 30" xfId="54941"/>
    <cellStyle name="Normal 32 2 2 3 2 31" xfId="56693"/>
    <cellStyle name="Normal 32 2 2 3 2 32" xfId="58446"/>
    <cellStyle name="Normal 32 2 2 3 2 33" xfId="60198"/>
    <cellStyle name="Normal 32 2 2 3 2 34" xfId="61950"/>
    <cellStyle name="Normal 32 2 2 3 2 4" xfId="7642"/>
    <cellStyle name="Normal 32 2 2 3 2 5" xfId="9394"/>
    <cellStyle name="Normal 32 2 2 3 2 6" xfId="11147"/>
    <cellStyle name="Normal 32 2 2 3 2 7" xfId="12899"/>
    <cellStyle name="Normal 32 2 2 3 2 8" xfId="14651"/>
    <cellStyle name="Normal 32 2 2 3 2 9" xfId="16403"/>
    <cellStyle name="Normal 32 2 2 3 20" xfId="33051"/>
    <cellStyle name="Normal 32 2 2 3 21" xfId="34674"/>
    <cellStyle name="Normal 32 2 2 3 22" xfId="35687"/>
    <cellStyle name="Normal 32 2 2 3 23" xfId="37295"/>
    <cellStyle name="Normal 32 2 2 3 24" xfId="39180"/>
    <cellStyle name="Normal 32 2 2 3 25" xfId="40935"/>
    <cellStyle name="Normal 32 2 2 3 26" xfId="42687"/>
    <cellStyle name="Normal 32 2 2 3 27" xfId="44295"/>
    <cellStyle name="Normal 32 2 2 3 28" xfId="45305"/>
    <cellStyle name="Normal 32 2 2 3 29" xfId="47057"/>
    <cellStyle name="Normal 32 2 2 3 3" xfId="3262"/>
    <cellStyle name="Normal 32 2 2 3 30" xfId="48809"/>
    <cellStyle name="Normal 32 2 2 3 31" xfId="50561"/>
    <cellStyle name="Normal 32 2 2 3 32" xfId="52313"/>
    <cellStyle name="Normal 32 2 2 3 33" xfId="54065"/>
    <cellStyle name="Normal 32 2 2 3 34" xfId="55817"/>
    <cellStyle name="Normal 32 2 2 3 35" xfId="57570"/>
    <cellStyle name="Normal 32 2 2 3 36" xfId="59322"/>
    <cellStyle name="Normal 32 2 2 3 37" xfId="61074"/>
    <cellStyle name="Normal 32 2 2 3 38" xfId="62682"/>
    <cellStyle name="Normal 32 2 2 3 39" xfId="63548"/>
    <cellStyle name="Normal 32 2 2 3 4" xfId="5014"/>
    <cellStyle name="Normal 32 2 2 3 5" xfId="6766"/>
    <cellStyle name="Normal 32 2 2 3 6" xfId="8518"/>
    <cellStyle name="Normal 32 2 2 3 7" xfId="10271"/>
    <cellStyle name="Normal 32 2 2 3 8" xfId="12023"/>
    <cellStyle name="Normal 32 2 2 3 9" xfId="13775"/>
    <cellStyle name="Normal 32 2 2 30" xfId="44869"/>
    <cellStyle name="Normal 32 2 2 31" xfId="46621"/>
    <cellStyle name="Normal 32 2 2 32" xfId="48373"/>
    <cellStyle name="Normal 32 2 2 33" xfId="50125"/>
    <cellStyle name="Normal 32 2 2 34" xfId="51877"/>
    <cellStyle name="Normal 32 2 2 35" xfId="53629"/>
    <cellStyle name="Normal 32 2 2 36" xfId="55381"/>
    <cellStyle name="Normal 32 2 2 37" xfId="57134"/>
    <cellStyle name="Normal 32 2 2 38" xfId="58886"/>
    <cellStyle name="Normal 32 2 2 39" xfId="60638"/>
    <cellStyle name="Normal 32 2 2 4" xfId="1484"/>
    <cellStyle name="Normal 32 2 2 4 10" xfId="17720"/>
    <cellStyle name="Normal 32 2 2 4 11" xfId="19472"/>
    <cellStyle name="Normal 32 2 2 4 12" xfId="21225"/>
    <cellStyle name="Normal 32 2 2 4 13" xfId="22977"/>
    <cellStyle name="Normal 32 2 2 4 14" xfId="24729"/>
    <cellStyle name="Normal 32 2 2 4 15" xfId="26481"/>
    <cellStyle name="Normal 32 2 2 4 16" xfId="28233"/>
    <cellStyle name="Normal 32 2 2 4 17" xfId="29986"/>
    <cellStyle name="Normal 32 2 2 4 18" xfId="31738"/>
    <cellStyle name="Normal 32 2 2 4 19" xfId="33491"/>
    <cellStyle name="Normal 32 2 2 4 2" xfId="3702"/>
    <cellStyle name="Normal 32 2 2 4 20" xfId="36127"/>
    <cellStyle name="Normal 32 2 2 4 21" xfId="37867"/>
    <cellStyle name="Normal 32 2 2 4 22" xfId="39620"/>
    <cellStyle name="Normal 32 2 2 4 23" xfId="41375"/>
    <cellStyle name="Normal 32 2 2 4 24" xfId="43127"/>
    <cellStyle name="Normal 32 2 2 4 25" xfId="45745"/>
    <cellStyle name="Normal 32 2 2 4 26" xfId="47497"/>
    <cellStyle name="Normal 32 2 2 4 27" xfId="49249"/>
    <cellStyle name="Normal 32 2 2 4 28" xfId="51001"/>
    <cellStyle name="Normal 32 2 2 4 29" xfId="52753"/>
    <cellStyle name="Normal 32 2 2 4 3" xfId="5454"/>
    <cellStyle name="Normal 32 2 2 4 30" xfId="54505"/>
    <cellStyle name="Normal 32 2 2 4 31" xfId="56257"/>
    <cellStyle name="Normal 32 2 2 4 32" xfId="58010"/>
    <cellStyle name="Normal 32 2 2 4 33" xfId="59762"/>
    <cellStyle name="Normal 32 2 2 4 34" xfId="61514"/>
    <cellStyle name="Normal 32 2 2 4 4" xfId="7206"/>
    <cellStyle name="Normal 32 2 2 4 5" xfId="8958"/>
    <cellStyle name="Normal 32 2 2 4 6" xfId="10711"/>
    <cellStyle name="Normal 32 2 2 4 7" xfId="12463"/>
    <cellStyle name="Normal 32 2 2 4 8" xfId="14215"/>
    <cellStyle name="Normal 32 2 2 4 9" xfId="15967"/>
    <cellStyle name="Normal 32 2 2 40" xfId="62679"/>
    <cellStyle name="Normal 32 2 2 41" xfId="63545"/>
    <cellStyle name="Normal 32 2 2 5" xfId="2826"/>
    <cellStyle name="Normal 32 2 2 6" xfId="4578"/>
    <cellStyle name="Normal 32 2 2 7" xfId="6330"/>
    <cellStyle name="Normal 32 2 2 8" xfId="8082"/>
    <cellStyle name="Normal 32 2 2 9" xfId="9835"/>
    <cellStyle name="Normal 32 2 20" xfId="27249"/>
    <cellStyle name="Normal 32 2 21" xfId="29002"/>
    <cellStyle name="Normal 32 2 22" xfId="30754"/>
    <cellStyle name="Normal 32 2 23" xfId="32507"/>
    <cellStyle name="Normal 32 2 24" xfId="34670"/>
    <cellStyle name="Normal 32 2 25" xfId="35143"/>
    <cellStyle name="Normal 32 2 26" xfId="37291"/>
    <cellStyle name="Normal 32 2 27" xfId="38636"/>
    <cellStyle name="Normal 32 2 28" xfId="40391"/>
    <cellStyle name="Normal 32 2 29" xfId="42143"/>
    <cellStyle name="Normal 32 2 3" xfId="1485"/>
    <cellStyle name="Normal 32 2 3 10" xfId="13483"/>
    <cellStyle name="Normal 32 2 3 11" xfId="15235"/>
    <cellStyle name="Normal 32 2 3 12" xfId="16988"/>
    <cellStyle name="Normal 32 2 3 13" xfId="18740"/>
    <cellStyle name="Normal 32 2 3 14" xfId="20493"/>
    <cellStyle name="Normal 32 2 3 15" xfId="22245"/>
    <cellStyle name="Normal 32 2 3 16" xfId="23997"/>
    <cellStyle name="Normal 32 2 3 17" xfId="25749"/>
    <cellStyle name="Normal 32 2 3 18" xfId="27501"/>
    <cellStyle name="Normal 32 2 3 19" xfId="29254"/>
    <cellStyle name="Normal 32 2 3 2" xfId="1486"/>
    <cellStyle name="Normal 32 2 3 2 10" xfId="15671"/>
    <cellStyle name="Normal 32 2 3 2 11" xfId="17424"/>
    <cellStyle name="Normal 32 2 3 2 12" xfId="19176"/>
    <cellStyle name="Normal 32 2 3 2 13" xfId="20929"/>
    <cellStyle name="Normal 32 2 3 2 14" xfId="22681"/>
    <cellStyle name="Normal 32 2 3 2 15" xfId="24433"/>
    <cellStyle name="Normal 32 2 3 2 16" xfId="26185"/>
    <cellStyle name="Normal 32 2 3 2 17" xfId="27937"/>
    <cellStyle name="Normal 32 2 3 2 18" xfId="29690"/>
    <cellStyle name="Normal 32 2 3 2 19" xfId="31442"/>
    <cellStyle name="Normal 32 2 3 2 2" xfId="1487"/>
    <cellStyle name="Normal 32 2 3 2 2 10" xfId="18300"/>
    <cellStyle name="Normal 32 2 3 2 2 11" xfId="20052"/>
    <cellStyle name="Normal 32 2 3 2 2 12" xfId="21805"/>
    <cellStyle name="Normal 32 2 3 2 2 13" xfId="23557"/>
    <cellStyle name="Normal 32 2 3 2 2 14" xfId="25309"/>
    <cellStyle name="Normal 32 2 3 2 2 15" xfId="27061"/>
    <cellStyle name="Normal 32 2 3 2 2 16" xfId="28813"/>
    <cellStyle name="Normal 32 2 3 2 2 17" xfId="30566"/>
    <cellStyle name="Normal 32 2 3 2 2 18" xfId="32318"/>
    <cellStyle name="Normal 32 2 3 2 2 19" xfId="34071"/>
    <cellStyle name="Normal 32 2 3 2 2 2" xfId="4282"/>
    <cellStyle name="Normal 32 2 3 2 2 20" xfId="36707"/>
    <cellStyle name="Normal 32 2 3 2 2 21" xfId="38447"/>
    <cellStyle name="Normal 32 2 3 2 2 22" xfId="40200"/>
    <cellStyle name="Normal 32 2 3 2 2 23" xfId="41955"/>
    <cellStyle name="Normal 32 2 3 2 2 24" xfId="43707"/>
    <cellStyle name="Normal 32 2 3 2 2 25" xfId="46325"/>
    <cellStyle name="Normal 32 2 3 2 2 26" xfId="48077"/>
    <cellStyle name="Normal 32 2 3 2 2 27" xfId="49829"/>
    <cellStyle name="Normal 32 2 3 2 2 28" xfId="51581"/>
    <cellStyle name="Normal 32 2 3 2 2 29" xfId="53333"/>
    <cellStyle name="Normal 32 2 3 2 2 3" xfId="6034"/>
    <cellStyle name="Normal 32 2 3 2 2 30" xfId="55085"/>
    <cellStyle name="Normal 32 2 3 2 2 31" xfId="56837"/>
    <cellStyle name="Normal 32 2 3 2 2 32" xfId="58590"/>
    <cellStyle name="Normal 32 2 3 2 2 33" xfId="60342"/>
    <cellStyle name="Normal 32 2 3 2 2 34" xfId="62094"/>
    <cellStyle name="Normal 32 2 3 2 2 4" xfId="7786"/>
    <cellStyle name="Normal 32 2 3 2 2 5" xfId="9538"/>
    <cellStyle name="Normal 32 2 3 2 2 6" xfId="11291"/>
    <cellStyle name="Normal 32 2 3 2 2 7" xfId="13043"/>
    <cellStyle name="Normal 32 2 3 2 2 8" xfId="14795"/>
    <cellStyle name="Normal 32 2 3 2 2 9" xfId="16547"/>
    <cellStyle name="Normal 32 2 3 2 20" xfId="33195"/>
    <cellStyle name="Normal 32 2 3 2 21" xfId="34676"/>
    <cellStyle name="Normal 32 2 3 2 22" xfId="35831"/>
    <cellStyle name="Normal 32 2 3 2 23" xfId="37297"/>
    <cellStyle name="Normal 32 2 3 2 24" xfId="39324"/>
    <cellStyle name="Normal 32 2 3 2 25" xfId="41079"/>
    <cellStyle name="Normal 32 2 3 2 26" xfId="42831"/>
    <cellStyle name="Normal 32 2 3 2 27" xfId="44297"/>
    <cellStyle name="Normal 32 2 3 2 28" xfId="45449"/>
    <cellStyle name="Normal 32 2 3 2 29" xfId="47201"/>
    <cellStyle name="Normal 32 2 3 2 3" xfId="3406"/>
    <cellStyle name="Normal 32 2 3 2 30" xfId="48953"/>
    <cellStyle name="Normal 32 2 3 2 31" xfId="50705"/>
    <cellStyle name="Normal 32 2 3 2 32" xfId="52457"/>
    <cellStyle name="Normal 32 2 3 2 33" xfId="54209"/>
    <cellStyle name="Normal 32 2 3 2 34" xfId="55961"/>
    <cellStyle name="Normal 32 2 3 2 35" xfId="57714"/>
    <cellStyle name="Normal 32 2 3 2 36" xfId="59466"/>
    <cellStyle name="Normal 32 2 3 2 37" xfId="61218"/>
    <cellStyle name="Normal 32 2 3 2 38" xfId="62684"/>
    <cellStyle name="Normal 32 2 3 2 39" xfId="63550"/>
    <cellStyle name="Normal 32 2 3 2 4" xfId="5158"/>
    <cellStyle name="Normal 32 2 3 2 5" xfId="6910"/>
    <cellStyle name="Normal 32 2 3 2 6" xfId="8662"/>
    <cellStyle name="Normal 32 2 3 2 7" xfId="10415"/>
    <cellStyle name="Normal 32 2 3 2 8" xfId="12167"/>
    <cellStyle name="Normal 32 2 3 2 9" xfId="13919"/>
    <cellStyle name="Normal 32 2 3 20" xfId="31006"/>
    <cellStyle name="Normal 32 2 3 21" xfId="32759"/>
    <cellStyle name="Normal 32 2 3 22" xfId="34675"/>
    <cellStyle name="Normal 32 2 3 23" xfId="35395"/>
    <cellStyle name="Normal 32 2 3 24" xfId="37296"/>
    <cellStyle name="Normal 32 2 3 25" xfId="38888"/>
    <cellStyle name="Normal 32 2 3 26" xfId="40643"/>
    <cellStyle name="Normal 32 2 3 27" xfId="42395"/>
    <cellStyle name="Normal 32 2 3 28" xfId="44296"/>
    <cellStyle name="Normal 32 2 3 29" xfId="45013"/>
    <cellStyle name="Normal 32 2 3 3" xfId="1488"/>
    <cellStyle name="Normal 32 2 3 3 10" xfId="17864"/>
    <cellStyle name="Normal 32 2 3 3 11" xfId="19616"/>
    <cellStyle name="Normal 32 2 3 3 12" xfId="21369"/>
    <cellStyle name="Normal 32 2 3 3 13" xfId="23121"/>
    <cellStyle name="Normal 32 2 3 3 14" xfId="24873"/>
    <cellStyle name="Normal 32 2 3 3 15" xfId="26625"/>
    <cellStyle name="Normal 32 2 3 3 16" xfId="28377"/>
    <cellStyle name="Normal 32 2 3 3 17" xfId="30130"/>
    <cellStyle name="Normal 32 2 3 3 18" xfId="31882"/>
    <cellStyle name="Normal 32 2 3 3 19" xfId="33635"/>
    <cellStyle name="Normal 32 2 3 3 2" xfId="3846"/>
    <cellStyle name="Normal 32 2 3 3 20" xfId="36271"/>
    <cellStyle name="Normal 32 2 3 3 21" xfId="38011"/>
    <cellStyle name="Normal 32 2 3 3 22" xfId="39764"/>
    <cellStyle name="Normal 32 2 3 3 23" xfId="41519"/>
    <cellStyle name="Normal 32 2 3 3 24" xfId="43271"/>
    <cellStyle name="Normal 32 2 3 3 25" xfId="45889"/>
    <cellStyle name="Normal 32 2 3 3 26" xfId="47641"/>
    <cellStyle name="Normal 32 2 3 3 27" xfId="49393"/>
    <cellStyle name="Normal 32 2 3 3 28" xfId="51145"/>
    <cellStyle name="Normal 32 2 3 3 29" xfId="52897"/>
    <cellStyle name="Normal 32 2 3 3 3" xfId="5598"/>
    <cellStyle name="Normal 32 2 3 3 30" xfId="54649"/>
    <cellStyle name="Normal 32 2 3 3 31" xfId="56401"/>
    <cellStyle name="Normal 32 2 3 3 32" xfId="58154"/>
    <cellStyle name="Normal 32 2 3 3 33" xfId="59906"/>
    <cellStyle name="Normal 32 2 3 3 34" xfId="61658"/>
    <cellStyle name="Normal 32 2 3 3 4" xfId="7350"/>
    <cellStyle name="Normal 32 2 3 3 5" xfId="9102"/>
    <cellStyle name="Normal 32 2 3 3 6" xfId="10855"/>
    <cellStyle name="Normal 32 2 3 3 7" xfId="12607"/>
    <cellStyle name="Normal 32 2 3 3 8" xfId="14359"/>
    <cellStyle name="Normal 32 2 3 3 9" xfId="16111"/>
    <cellStyle name="Normal 32 2 3 30" xfId="46765"/>
    <cellStyle name="Normal 32 2 3 31" xfId="48517"/>
    <cellStyle name="Normal 32 2 3 32" xfId="50269"/>
    <cellStyle name="Normal 32 2 3 33" xfId="52021"/>
    <cellStyle name="Normal 32 2 3 34" xfId="53773"/>
    <cellStyle name="Normal 32 2 3 35" xfId="55525"/>
    <cellStyle name="Normal 32 2 3 36" xfId="57278"/>
    <cellStyle name="Normal 32 2 3 37" xfId="59030"/>
    <cellStyle name="Normal 32 2 3 38" xfId="60782"/>
    <cellStyle name="Normal 32 2 3 39" xfId="62683"/>
    <cellStyle name="Normal 32 2 3 4" xfId="2970"/>
    <cellStyle name="Normal 32 2 3 40" xfId="63549"/>
    <cellStyle name="Normal 32 2 3 5" xfId="4722"/>
    <cellStyle name="Normal 32 2 3 6" xfId="6474"/>
    <cellStyle name="Normal 32 2 3 7" xfId="8226"/>
    <cellStyle name="Normal 32 2 3 8" xfId="9979"/>
    <cellStyle name="Normal 32 2 3 9" xfId="11731"/>
    <cellStyle name="Normal 32 2 30" xfId="44291"/>
    <cellStyle name="Normal 32 2 31" xfId="44761"/>
    <cellStyle name="Normal 32 2 32" xfId="46513"/>
    <cellStyle name="Normal 32 2 33" xfId="48265"/>
    <cellStyle name="Normal 32 2 34" xfId="50017"/>
    <cellStyle name="Normal 32 2 35" xfId="51769"/>
    <cellStyle name="Normal 32 2 36" xfId="53521"/>
    <cellStyle name="Normal 32 2 37" xfId="55273"/>
    <cellStyle name="Normal 32 2 38" xfId="57026"/>
    <cellStyle name="Normal 32 2 39" xfId="58778"/>
    <cellStyle name="Normal 32 2 4" xfId="1489"/>
    <cellStyle name="Normal 32 2 4 10" xfId="15419"/>
    <cellStyle name="Normal 32 2 4 11" xfId="17172"/>
    <cellStyle name="Normal 32 2 4 12" xfId="18924"/>
    <cellStyle name="Normal 32 2 4 13" xfId="20677"/>
    <cellStyle name="Normal 32 2 4 14" xfId="22429"/>
    <cellStyle name="Normal 32 2 4 15" xfId="24181"/>
    <cellStyle name="Normal 32 2 4 16" xfId="25933"/>
    <cellStyle name="Normal 32 2 4 17" xfId="27685"/>
    <cellStyle name="Normal 32 2 4 18" xfId="29438"/>
    <cellStyle name="Normal 32 2 4 19" xfId="31190"/>
    <cellStyle name="Normal 32 2 4 2" xfId="1490"/>
    <cellStyle name="Normal 32 2 4 2 10" xfId="18048"/>
    <cellStyle name="Normal 32 2 4 2 11" xfId="19800"/>
    <cellStyle name="Normal 32 2 4 2 12" xfId="21553"/>
    <cellStyle name="Normal 32 2 4 2 13" xfId="23305"/>
    <cellStyle name="Normal 32 2 4 2 14" xfId="25057"/>
    <cellStyle name="Normal 32 2 4 2 15" xfId="26809"/>
    <cellStyle name="Normal 32 2 4 2 16" xfId="28561"/>
    <cellStyle name="Normal 32 2 4 2 17" xfId="30314"/>
    <cellStyle name="Normal 32 2 4 2 18" xfId="32066"/>
    <cellStyle name="Normal 32 2 4 2 19" xfId="33819"/>
    <cellStyle name="Normal 32 2 4 2 2" xfId="4030"/>
    <cellStyle name="Normal 32 2 4 2 20" xfId="36455"/>
    <cellStyle name="Normal 32 2 4 2 21" xfId="38195"/>
    <cellStyle name="Normal 32 2 4 2 22" xfId="39948"/>
    <cellStyle name="Normal 32 2 4 2 23" xfId="41703"/>
    <cellStyle name="Normal 32 2 4 2 24" xfId="43455"/>
    <cellStyle name="Normal 32 2 4 2 25" xfId="46073"/>
    <cellStyle name="Normal 32 2 4 2 26" xfId="47825"/>
    <cellStyle name="Normal 32 2 4 2 27" xfId="49577"/>
    <cellStyle name="Normal 32 2 4 2 28" xfId="51329"/>
    <cellStyle name="Normal 32 2 4 2 29" xfId="53081"/>
    <cellStyle name="Normal 32 2 4 2 3" xfId="5782"/>
    <cellStyle name="Normal 32 2 4 2 30" xfId="54833"/>
    <cellStyle name="Normal 32 2 4 2 31" xfId="56585"/>
    <cellStyle name="Normal 32 2 4 2 32" xfId="58338"/>
    <cellStyle name="Normal 32 2 4 2 33" xfId="60090"/>
    <cellStyle name="Normal 32 2 4 2 34" xfId="61842"/>
    <cellStyle name="Normal 32 2 4 2 4" xfId="7534"/>
    <cellStyle name="Normal 32 2 4 2 5" xfId="9286"/>
    <cellStyle name="Normal 32 2 4 2 6" xfId="11039"/>
    <cellStyle name="Normal 32 2 4 2 7" xfId="12791"/>
    <cellStyle name="Normal 32 2 4 2 8" xfId="14543"/>
    <cellStyle name="Normal 32 2 4 2 9" xfId="16295"/>
    <cellStyle name="Normal 32 2 4 20" xfId="32943"/>
    <cellStyle name="Normal 32 2 4 21" xfId="34677"/>
    <cellStyle name="Normal 32 2 4 22" xfId="35579"/>
    <cellStyle name="Normal 32 2 4 23" xfId="37298"/>
    <cellStyle name="Normal 32 2 4 24" xfId="39072"/>
    <cellStyle name="Normal 32 2 4 25" xfId="40827"/>
    <cellStyle name="Normal 32 2 4 26" xfId="42579"/>
    <cellStyle name="Normal 32 2 4 27" xfId="44298"/>
    <cellStyle name="Normal 32 2 4 28" xfId="45197"/>
    <cellStyle name="Normal 32 2 4 29" xfId="46949"/>
    <cellStyle name="Normal 32 2 4 3" xfId="3154"/>
    <cellStyle name="Normal 32 2 4 30" xfId="48701"/>
    <cellStyle name="Normal 32 2 4 31" xfId="50453"/>
    <cellStyle name="Normal 32 2 4 32" xfId="52205"/>
    <cellStyle name="Normal 32 2 4 33" xfId="53957"/>
    <cellStyle name="Normal 32 2 4 34" xfId="55709"/>
    <cellStyle name="Normal 32 2 4 35" xfId="57462"/>
    <cellStyle name="Normal 32 2 4 36" xfId="59214"/>
    <cellStyle name="Normal 32 2 4 37" xfId="60966"/>
    <cellStyle name="Normal 32 2 4 38" xfId="62685"/>
    <cellStyle name="Normal 32 2 4 39" xfId="63551"/>
    <cellStyle name="Normal 32 2 4 4" xfId="4906"/>
    <cellStyle name="Normal 32 2 4 5" xfId="6658"/>
    <cellStyle name="Normal 32 2 4 6" xfId="8410"/>
    <cellStyle name="Normal 32 2 4 7" xfId="10163"/>
    <cellStyle name="Normal 32 2 4 8" xfId="11915"/>
    <cellStyle name="Normal 32 2 4 9" xfId="13667"/>
    <cellStyle name="Normal 32 2 40" xfId="60530"/>
    <cellStyle name="Normal 32 2 41" xfId="62678"/>
    <cellStyle name="Normal 32 2 42" xfId="63544"/>
    <cellStyle name="Normal 32 2 5" xfId="1491"/>
    <cellStyle name="Normal 32 2 5 10" xfId="17612"/>
    <cellStyle name="Normal 32 2 5 11" xfId="19364"/>
    <cellStyle name="Normal 32 2 5 12" xfId="21117"/>
    <cellStyle name="Normal 32 2 5 13" xfId="22869"/>
    <cellStyle name="Normal 32 2 5 14" xfId="24621"/>
    <cellStyle name="Normal 32 2 5 15" xfId="26373"/>
    <cellStyle name="Normal 32 2 5 16" xfId="28125"/>
    <cellStyle name="Normal 32 2 5 17" xfId="29878"/>
    <cellStyle name="Normal 32 2 5 18" xfId="31630"/>
    <cellStyle name="Normal 32 2 5 19" xfId="33383"/>
    <cellStyle name="Normal 32 2 5 2" xfId="3594"/>
    <cellStyle name="Normal 32 2 5 20" xfId="36019"/>
    <cellStyle name="Normal 32 2 5 21" xfId="37759"/>
    <cellStyle name="Normal 32 2 5 22" xfId="39512"/>
    <cellStyle name="Normal 32 2 5 23" xfId="41267"/>
    <cellStyle name="Normal 32 2 5 24" xfId="43019"/>
    <cellStyle name="Normal 32 2 5 25" xfId="45637"/>
    <cellStyle name="Normal 32 2 5 26" xfId="47389"/>
    <cellStyle name="Normal 32 2 5 27" xfId="49141"/>
    <cellStyle name="Normal 32 2 5 28" xfId="50893"/>
    <cellStyle name="Normal 32 2 5 29" xfId="52645"/>
    <cellStyle name="Normal 32 2 5 3" xfId="5346"/>
    <cellStyle name="Normal 32 2 5 30" xfId="54397"/>
    <cellStyle name="Normal 32 2 5 31" xfId="56149"/>
    <cellStyle name="Normal 32 2 5 32" xfId="57902"/>
    <cellStyle name="Normal 32 2 5 33" xfId="59654"/>
    <cellStyle name="Normal 32 2 5 34" xfId="61406"/>
    <cellStyle name="Normal 32 2 5 4" xfId="7098"/>
    <cellStyle name="Normal 32 2 5 5" xfId="8850"/>
    <cellStyle name="Normal 32 2 5 6" xfId="10603"/>
    <cellStyle name="Normal 32 2 5 7" xfId="12355"/>
    <cellStyle name="Normal 32 2 5 8" xfId="14107"/>
    <cellStyle name="Normal 32 2 5 9" xfId="15859"/>
    <cellStyle name="Normal 32 2 6" xfId="2718"/>
    <cellStyle name="Normal 32 2 7" xfId="4470"/>
    <cellStyle name="Normal 32 2 8" xfId="6222"/>
    <cellStyle name="Normal 32 2 9" xfId="7974"/>
    <cellStyle name="Normal 32 20" xfId="25442"/>
    <cellStyle name="Normal 32 21" xfId="27194"/>
    <cellStyle name="Normal 32 22" xfId="28947"/>
    <cellStyle name="Normal 32 23" xfId="30699"/>
    <cellStyle name="Normal 32 24" xfId="32452"/>
    <cellStyle name="Normal 32 25" xfId="34669"/>
    <cellStyle name="Normal 32 26" xfId="35088"/>
    <cellStyle name="Normal 32 27" xfId="37290"/>
    <cellStyle name="Normal 32 28" xfId="38581"/>
    <cellStyle name="Normal 32 29" xfId="40336"/>
    <cellStyle name="Normal 32 3" xfId="1492"/>
    <cellStyle name="Normal 32 3 10" xfId="11532"/>
    <cellStyle name="Normal 32 3 11" xfId="13284"/>
    <cellStyle name="Normal 32 3 12" xfId="15036"/>
    <cellStyle name="Normal 32 3 13" xfId="16789"/>
    <cellStyle name="Normal 32 3 14" xfId="18541"/>
    <cellStyle name="Normal 32 3 15" xfId="20294"/>
    <cellStyle name="Normal 32 3 16" xfId="22046"/>
    <cellStyle name="Normal 32 3 17" xfId="23798"/>
    <cellStyle name="Normal 32 3 18" xfId="25550"/>
    <cellStyle name="Normal 32 3 19" xfId="27302"/>
    <cellStyle name="Normal 32 3 2" xfId="1493"/>
    <cellStyle name="Normal 32 3 2 10" xfId="13484"/>
    <cellStyle name="Normal 32 3 2 11" xfId="15236"/>
    <cellStyle name="Normal 32 3 2 12" xfId="16989"/>
    <cellStyle name="Normal 32 3 2 13" xfId="18741"/>
    <cellStyle name="Normal 32 3 2 14" xfId="20494"/>
    <cellStyle name="Normal 32 3 2 15" xfId="22246"/>
    <cellStyle name="Normal 32 3 2 16" xfId="23998"/>
    <cellStyle name="Normal 32 3 2 17" xfId="25750"/>
    <cellStyle name="Normal 32 3 2 18" xfId="27502"/>
    <cellStyle name="Normal 32 3 2 19" xfId="29255"/>
    <cellStyle name="Normal 32 3 2 2" xfId="1494"/>
    <cellStyle name="Normal 32 3 2 2 10" xfId="15672"/>
    <cellStyle name="Normal 32 3 2 2 11" xfId="17425"/>
    <cellStyle name="Normal 32 3 2 2 12" xfId="19177"/>
    <cellStyle name="Normal 32 3 2 2 13" xfId="20930"/>
    <cellStyle name="Normal 32 3 2 2 14" xfId="22682"/>
    <cellStyle name="Normal 32 3 2 2 15" xfId="24434"/>
    <cellStyle name="Normal 32 3 2 2 16" xfId="26186"/>
    <cellStyle name="Normal 32 3 2 2 17" xfId="27938"/>
    <cellStyle name="Normal 32 3 2 2 18" xfId="29691"/>
    <cellStyle name="Normal 32 3 2 2 19" xfId="31443"/>
    <cellStyle name="Normal 32 3 2 2 2" xfId="1495"/>
    <cellStyle name="Normal 32 3 2 2 2 10" xfId="18301"/>
    <cellStyle name="Normal 32 3 2 2 2 11" xfId="20053"/>
    <cellStyle name="Normal 32 3 2 2 2 12" xfId="21806"/>
    <cellStyle name="Normal 32 3 2 2 2 13" xfId="23558"/>
    <cellStyle name="Normal 32 3 2 2 2 14" xfId="25310"/>
    <cellStyle name="Normal 32 3 2 2 2 15" xfId="27062"/>
    <cellStyle name="Normal 32 3 2 2 2 16" xfId="28814"/>
    <cellStyle name="Normal 32 3 2 2 2 17" xfId="30567"/>
    <cellStyle name="Normal 32 3 2 2 2 18" xfId="32319"/>
    <cellStyle name="Normal 32 3 2 2 2 19" xfId="34072"/>
    <cellStyle name="Normal 32 3 2 2 2 2" xfId="4283"/>
    <cellStyle name="Normal 32 3 2 2 2 20" xfId="36708"/>
    <cellStyle name="Normal 32 3 2 2 2 21" xfId="38448"/>
    <cellStyle name="Normal 32 3 2 2 2 22" xfId="40201"/>
    <cellStyle name="Normal 32 3 2 2 2 23" xfId="41956"/>
    <cellStyle name="Normal 32 3 2 2 2 24" xfId="43708"/>
    <cellStyle name="Normal 32 3 2 2 2 25" xfId="46326"/>
    <cellStyle name="Normal 32 3 2 2 2 26" xfId="48078"/>
    <cellStyle name="Normal 32 3 2 2 2 27" xfId="49830"/>
    <cellStyle name="Normal 32 3 2 2 2 28" xfId="51582"/>
    <cellStyle name="Normal 32 3 2 2 2 29" xfId="53334"/>
    <cellStyle name="Normal 32 3 2 2 2 3" xfId="6035"/>
    <cellStyle name="Normal 32 3 2 2 2 30" xfId="55086"/>
    <cellStyle name="Normal 32 3 2 2 2 31" xfId="56838"/>
    <cellStyle name="Normal 32 3 2 2 2 32" xfId="58591"/>
    <cellStyle name="Normal 32 3 2 2 2 33" xfId="60343"/>
    <cellStyle name="Normal 32 3 2 2 2 34" xfId="62095"/>
    <cellStyle name="Normal 32 3 2 2 2 4" xfId="7787"/>
    <cellStyle name="Normal 32 3 2 2 2 5" xfId="9539"/>
    <cellStyle name="Normal 32 3 2 2 2 6" xfId="11292"/>
    <cellStyle name="Normal 32 3 2 2 2 7" xfId="13044"/>
    <cellStyle name="Normal 32 3 2 2 2 8" xfId="14796"/>
    <cellStyle name="Normal 32 3 2 2 2 9" xfId="16548"/>
    <cellStyle name="Normal 32 3 2 2 20" xfId="33196"/>
    <cellStyle name="Normal 32 3 2 2 21" xfId="34680"/>
    <cellStyle name="Normal 32 3 2 2 22" xfId="35832"/>
    <cellStyle name="Normal 32 3 2 2 23" xfId="37301"/>
    <cellStyle name="Normal 32 3 2 2 24" xfId="39325"/>
    <cellStyle name="Normal 32 3 2 2 25" xfId="41080"/>
    <cellStyle name="Normal 32 3 2 2 26" xfId="42832"/>
    <cellStyle name="Normal 32 3 2 2 27" xfId="44301"/>
    <cellStyle name="Normal 32 3 2 2 28" xfId="45450"/>
    <cellStyle name="Normal 32 3 2 2 29" xfId="47202"/>
    <cellStyle name="Normal 32 3 2 2 3" xfId="3407"/>
    <cellStyle name="Normal 32 3 2 2 30" xfId="48954"/>
    <cellStyle name="Normal 32 3 2 2 31" xfId="50706"/>
    <cellStyle name="Normal 32 3 2 2 32" xfId="52458"/>
    <cellStyle name="Normal 32 3 2 2 33" xfId="54210"/>
    <cellStyle name="Normal 32 3 2 2 34" xfId="55962"/>
    <cellStyle name="Normal 32 3 2 2 35" xfId="57715"/>
    <cellStyle name="Normal 32 3 2 2 36" xfId="59467"/>
    <cellStyle name="Normal 32 3 2 2 37" xfId="61219"/>
    <cellStyle name="Normal 32 3 2 2 38" xfId="62688"/>
    <cellStyle name="Normal 32 3 2 2 39" xfId="63554"/>
    <cellStyle name="Normal 32 3 2 2 4" xfId="5159"/>
    <cellStyle name="Normal 32 3 2 2 5" xfId="6911"/>
    <cellStyle name="Normal 32 3 2 2 6" xfId="8663"/>
    <cellStyle name="Normal 32 3 2 2 7" xfId="10416"/>
    <cellStyle name="Normal 32 3 2 2 8" xfId="12168"/>
    <cellStyle name="Normal 32 3 2 2 9" xfId="13920"/>
    <cellStyle name="Normal 32 3 2 20" xfId="31007"/>
    <cellStyle name="Normal 32 3 2 21" xfId="32760"/>
    <cellStyle name="Normal 32 3 2 22" xfId="34679"/>
    <cellStyle name="Normal 32 3 2 23" xfId="35396"/>
    <cellStyle name="Normal 32 3 2 24" xfId="37300"/>
    <cellStyle name="Normal 32 3 2 25" xfId="38889"/>
    <cellStyle name="Normal 32 3 2 26" xfId="40644"/>
    <cellStyle name="Normal 32 3 2 27" xfId="42396"/>
    <cellStyle name="Normal 32 3 2 28" xfId="44300"/>
    <cellStyle name="Normal 32 3 2 29" xfId="45014"/>
    <cellStyle name="Normal 32 3 2 3" xfId="1496"/>
    <cellStyle name="Normal 32 3 2 3 10" xfId="17865"/>
    <cellStyle name="Normal 32 3 2 3 11" xfId="19617"/>
    <cellStyle name="Normal 32 3 2 3 12" xfId="21370"/>
    <cellStyle name="Normal 32 3 2 3 13" xfId="23122"/>
    <cellStyle name="Normal 32 3 2 3 14" xfId="24874"/>
    <cellStyle name="Normal 32 3 2 3 15" xfId="26626"/>
    <cellStyle name="Normal 32 3 2 3 16" xfId="28378"/>
    <cellStyle name="Normal 32 3 2 3 17" xfId="30131"/>
    <cellStyle name="Normal 32 3 2 3 18" xfId="31883"/>
    <cellStyle name="Normal 32 3 2 3 19" xfId="33636"/>
    <cellStyle name="Normal 32 3 2 3 2" xfId="3847"/>
    <cellStyle name="Normal 32 3 2 3 20" xfId="36272"/>
    <cellStyle name="Normal 32 3 2 3 21" xfId="38012"/>
    <cellStyle name="Normal 32 3 2 3 22" xfId="39765"/>
    <cellStyle name="Normal 32 3 2 3 23" xfId="41520"/>
    <cellStyle name="Normal 32 3 2 3 24" xfId="43272"/>
    <cellStyle name="Normal 32 3 2 3 25" xfId="45890"/>
    <cellStyle name="Normal 32 3 2 3 26" xfId="47642"/>
    <cellStyle name="Normal 32 3 2 3 27" xfId="49394"/>
    <cellStyle name="Normal 32 3 2 3 28" xfId="51146"/>
    <cellStyle name="Normal 32 3 2 3 29" xfId="52898"/>
    <cellStyle name="Normal 32 3 2 3 3" xfId="5599"/>
    <cellStyle name="Normal 32 3 2 3 30" xfId="54650"/>
    <cellStyle name="Normal 32 3 2 3 31" xfId="56402"/>
    <cellStyle name="Normal 32 3 2 3 32" xfId="58155"/>
    <cellStyle name="Normal 32 3 2 3 33" xfId="59907"/>
    <cellStyle name="Normal 32 3 2 3 34" xfId="61659"/>
    <cellStyle name="Normal 32 3 2 3 4" xfId="7351"/>
    <cellStyle name="Normal 32 3 2 3 5" xfId="9103"/>
    <cellStyle name="Normal 32 3 2 3 6" xfId="10856"/>
    <cellStyle name="Normal 32 3 2 3 7" xfId="12608"/>
    <cellStyle name="Normal 32 3 2 3 8" xfId="14360"/>
    <cellStyle name="Normal 32 3 2 3 9" xfId="16112"/>
    <cellStyle name="Normal 32 3 2 30" xfId="46766"/>
    <cellStyle name="Normal 32 3 2 31" xfId="48518"/>
    <cellStyle name="Normal 32 3 2 32" xfId="50270"/>
    <cellStyle name="Normal 32 3 2 33" xfId="52022"/>
    <cellStyle name="Normal 32 3 2 34" xfId="53774"/>
    <cellStyle name="Normal 32 3 2 35" xfId="55526"/>
    <cellStyle name="Normal 32 3 2 36" xfId="57279"/>
    <cellStyle name="Normal 32 3 2 37" xfId="59031"/>
    <cellStyle name="Normal 32 3 2 38" xfId="60783"/>
    <cellStyle name="Normal 32 3 2 39" xfId="62687"/>
    <cellStyle name="Normal 32 3 2 4" xfId="2971"/>
    <cellStyle name="Normal 32 3 2 40" xfId="63553"/>
    <cellStyle name="Normal 32 3 2 5" xfId="4723"/>
    <cellStyle name="Normal 32 3 2 6" xfId="6475"/>
    <cellStyle name="Normal 32 3 2 7" xfId="8227"/>
    <cellStyle name="Normal 32 3 2 8" xfId="9980"/>
    <cellStyle name="Normal 32 3 2 9" xfId="11732"/>
    <cellStyle name="Normal 32 3 20" xfId="29055"/>
    <cellStyle name="Normal 32 3 21" xfId="30807"/>
    <cellStyle name="Normal 32 3 22" xfId="32560"/>
    <cellStyle name="Normal 32 3 23" xfId="34678"/>
    <cellStyle name="Normal 32 3 24" xfId="35196"/>
    <cellStyle name="Normal 32 3 25" xfId="37299"/>
    <cellStyle name="Normal 32 3 26" xfId="38689"/>
    <cellStyle name="Normal 32 3 27" xfId="40444"/>
    <cellStyle name="Normal 32 3 28" xfId="42196"/>
    <cellStyle name="Normal 32 3 29" xfId="44299"/>
    <cellStyle name="Normal 32 3 3" xfId="1497"/>
    <cellStyle name="Normal 32 3 3 10" xfId="15472"/>
    <cellStyle name="Normal 32 3 3 11" xfId="17225"/>
    <cellStyle name="Normal 32 3 3 12" xfId="18977"/>
    <cellStyle name="Normal 32 3 3 13" xfId="20730"/>
    <cellStyle name="Normal 32 3 3 14" xfId="22482"/>
    <cellStyle name="Normal 32 3 3 15" xfId="24234"/>
    <cellStyle name="Normal 32 3 3 16" xfId="25986"/>
    <cellStyle name="Normal 32 3 3 17" xfId="27738"/>
    <cellStyle name="Normal 32 3 3 18" xfId="29491"/>
    <cellStyle name="Normal 32 3 3 19" xfId="31243"/>
    <cellStyle name="Normal 32 3 3 2" xfId="1498"/>
    <cellStyle name="Normal 32 3 3 2 10" xfId="18101"/>
    <cellStyle name="Normal 32 3 3 2 11" xfId="19853"/>
    <cellStyle name="Normal 32 3 3 2 12" xfId="21606"/>
    <cellStyle name="Normal 32 3 3 2 13" xfId="23358"/>
    <cellStyle name="Normal 32 3 3 2 14" xfId="25110"/>
    <cellStyle name="Normal 32 3 3 2 15" xfId="26862"/>
    <cellStyle name="Normal 32 3 3 2 16" xfId="28614"/>
    <cellStyle name="Normal 32 3 3 2 17" xfId="30367"/>
    <cellStyle name="Normal 32 3 3 2 18" xfId="32119"/>
    <cellStyle name="Normal 32 3 3 2 19" xfId="33872"/>
    <cellStyle name="Normal 32 3 3 2 2" xfId="4083"/>
    <cellStyle name="Normal 32 3 3 2 20" xfId="36508"/>
    <cellStyle name="Normal 32 3 3 2 21" xfId="38248"/>
    <cellStyle name="Normal 32 3 3 2 22" xfId="40001"/>
    <cellStyle name="Normal 32 3 3 2 23" xfId="41756"/>
    <cellStyle name="Normal 32 3 3 2 24" xfId="43508"/>
    <cellStyle name="Normal 32 3 3 2 25" xfId="46126"/>
    <cellStyle name="Normal 32 3 3 2 26" xfId="47878"/>
    <cellStyle name="Normal 32 3 3 2 27" xfId="49630"/>
    <cellStyle name="Normal 32 3 3 2 28" xfId="51382"/>
    <cellStyle name="Normal 32 3 3 2 29" xfId="53134"/>
    <cellStyle name="Normal 32 3 3 2 3" xfId="5835"/>
    <cellStyle name="Normal 32 3 3 2 30" xfId="54886"/>
    <cellStyle name="Normal 32 3 3 2 31" xfId="56638"/>
    <cellStyle name="Normal 32 3 3 2 32" xfId="58391"/>
    <cellStyle name="Normal 32 3 3 2 33" xfId="60143"/>
    <cellStyle name="Normal 32 3 3 2 34" xfId="61895"/>
    <cellStyle name="Normal 32 3 3 2 4" xfId="7587"/>
    <cellStyle name="Normal 32 3 3 2 5" xfId="9339"/>
    <cellStyle name="Normal 32 3 3 2 6" xfId="11092"/>
    <cellStyle name="Normal 32 3 3 2 7" xfId="12844"/>
    <cellStyle name="Normal 32 3 3 2 8" xfId="14596"/>
    <cellStyle name="Normal 32 3 3 2 9" xfId="16348"/>
    <cellStyle name="Normal 32 3 3 20" xfId="32996"/>
    <cellStyle name="Normal 32 3 3 21" xfId="34681"/>
    <cellStyle name="Normal 32 3 3 22" xfId="35632"/>
    <cellStyle name="Normal 32 3 3 23" xfId="37302"/>
    <cellStyle name="Normal 32 3 3 24" xfId="39125"/>
    <cellStyle name="Normal 32 3 3 25" xfId="40880"/>
    <cellStyle name="Normal 32 3 3 26" xfId="42632"/>
    <cellStyle name="Normal 32 3 3 27" xfId="44302"/>
    <cellStyle name="Normal 32 3 3 28" xfId="45250"/>
    <cellStyle name="Normal 32 3 3 29" xfId="47002"/>
    <cellStyle name="Normal 32 3 3 3" xfId="3207"/>
    <cellStyle name="Normal 32 3 3 30" xfId="48754"/>
    <cellStyle name="Normal 32 3 3 31" xfId="50506"/>
    <cellStyle name="Normal 32 3 3 32" xfId="52258"/>
    <cellStyle name="Normal 32 3 3 33" xfId="54010"/>
    <cellStyle name="Normal 32 3 3 34" xfId="55762"/>
    <cellStyle name="Normal 32 3 3 35" xfId="57515"/>
    <cellStyle name="Normal 32 3 3 36" xfId="59267"/>
    <cellStyle name="Normal 32 3 3 37" xfId="61019"/>
    <cellStyle name="Normal 32 3 3 38" xfId="62689"/>
    <cellStyle name="Normal 32 3 3 39" xfId="63555"/>
    <cellStyle name="Normal 32 3 3 4" xfId="4959"/>
    <cellStyle name="Normal 32 3 3 5" xfId="6711"/>
    <cellStyle name="Normal 32 3 3 6" xfId="8463"/>
    <cellStyle name="Normal 32 3 3 7" xfId="10216"/>
    <cellStyle name="Normal 32 3 3 8" xfId="11968"/>
    <cellStyle name="Normal 32 3 3 9" xfId="13720"/>
    <cellStyle name="Normal 32 3 30" xfId="44814"/>
    <cellStyle name="Normal 32 3 31" xfId="46566"/>
    <cellStyle name="Normal 32 3 32" xfId="48318"/>
    <cellStyle name="Normal 32 3 33" xfId="50070"/>
    <cellStyle name="Normal 32 3 34" xfId="51822"/>
    <cellStyle name="Normal 32 3 35" xfId="53574"/>
    <cellStyle name="Normal 32 3 36" xfId="55326"/>
    <cellStyle name="Normal 32 3 37" xfId="57079"/>
    <cellStyle name="Normal 32 3 38" xfId="58831"/>
    <cellStyle name="Normal 32 3 39" xfId="60583"/>
    <cellStyle name="Normal 32 3 4" xfId="1499"/>
    <cellStyle name="Normal 32 3 4 10" xfId="17665"/>
    <cellStyle name="Normal 32 3 4 11" xfId="19417"/>
    <cellStyle name="Normal 32 3 4 12" xfId="21170"/>
    <cellStyle name="Normal 32 3 4 13" xfId="22922"/>
    <cellStyle name="Normal 32 3 4 14" xfId="24674"/>
    <cellStyle name="Normal 32 3 4 15" xfId="26426"/>
    <cellStyle name="Normal 32 3 4 16" xfId="28178"/>
    <cellStyle name="Normal 32 3 4 17" xfId="29931"/>
    <cellStyle name="Normal 32 3 4 18" xfId="31683"/>
    <cellStyle name="Normal 32 3 4 19" xfId="33436"/>
    <cellStyle name="Normal 32 3 4 2" xfId="3647"/>
    <cellStyle name="Normal 32 3 4 20" xfId="36072"/>
    <cellStyle name="Normal 32 3 4 21" xfId="37812"/>
    <cellStyle name="Normal 32 3 4 22" xfId="39565"/>
    <cellStyle name="Normal 32 3 4 23" xfId="41320"/>
    <cellStyle name="Normal 32 3 4 24" xfId="43072"/>
    <cellStyle name="Normal 32 3 4 25" xfId="45690"/>
    <cellStyle name="Normal 32 3 4 26" xfId="47442"/>
    <cellStyle name="Normal 32 3 4 27" xfId="49194"/>
    <cellStyle name="Normal 32 3 4 28" xfId="50946"/>
    <cellStyle name="Normal 32 3 4 29" xfId="52698"/>
    <cellStyle name="Normal 32 3 4 3" xfId="5399"/>
    <cellStyle name="Normal 32 3 4 30" xfId="54450"/>
    <cellStyle name="Normal 32 3 4 31" xfId="56202"/>
    <cellStyle name="Normal 32 3 4 32" xfId="57955"/>
    <cellStyle name="Normal 32 3 4 33" xfId="59707"/>
    <cellStyle name="Normal 32 3 4 34" xfId="61459"/>
    <cellStyle name="Normal 32 3 4 4" xfId="7151"/>
    <cellStyle name="Normal 32 3 4 5" xfId="8903"/>
    <cellStyle name="Normal 32 3 4 6" xfId="10656"/>
    <cellStyle name="Normal 32 3 4 7" xfId="12408"/>
    <cellStyle name="Normal 32 3 4 8" xfId="14160"/>
    <cellStyle name="Normal 32 3 4 9" xfId="15912"/>
    <cellStyle name="Normal 32 3 40" xfId="62686"/>
    <cellStyle name="Normal 32 3 41" xfId="63552"/>
    <cellStyle name="Normal 32 3 5" xfId="2771"/>
    <cellStyle name="Normal 32 3 6" xfId="4523"/>
    <cellStyle name="Normal 32 3 7" xfId="6275"/>
    <cellStyle name="Normal 32 3 8" xfId="8027"/>
    <cellStyle name="Normal 32 3 9" xfId="9780"/>
    <cellStyle name="Normal 32 30" xfId="42088"/>
    <cellStyle name="Normal 32 31" xfId="44290"/>
    <cellStyle name="Normal 32 32" xfId="44706"/>
    <cellStyle name="Normal 32 33" xfId="46458"/>
    <cellStyle name="Normal 32 34" xfId="48210"/>
    <cellStyle name="Normal 32 35" xfId="49962"/>
    <cellStyle name="Normal 32 36" xfId="51714"/>
    <cellStyle name="Normal 32 37" xfId="53466"/>
    <cellStyle name="Normal 32 38" xfId="55218"/>
    <cellStyle name="Normal 32 39" xfId="56971"/>
    <cellStyle name="Normal 32 4" xfId="1500"/>
    <cellStyle name="Normal 32 4 10" xfId="13485"/>
    <cellStyle name="Normal 32 4 11" xfId="15237"/>
    <cellStyle name="Normal 32 4 12" xfId="16990"/>
    <cellStyle name="Normal 32 4 13" xfId="18742"/>
    <cellStyle name="Normal 32 4 14" xfId="20495"/>
    <cellStyle name="Normal 32 4 15" xfId="22247"/>
    <cellStyle name="Normal 32 4 16" xfId="23999"/>
    <cellStyle name="Normal 32 4 17" xfId="25751"/>
    <cellStyle name="Normal 32 4 18" xfId="27503"/>
    <cellStyle name="Normal 32 4 19" xfId="29256"/>
    <cellStyle name="Normal 32 4 2" xfId="1501"/>
    <cellStyle name="Normal 32 4 2 10" xfId="15673"/>
    <cellStyle name="Normal 32 4 2 11" xfId="17426"/>
    <cellStyle name="Normal 32 4 2 12" xfId="19178"/>
    <cellStyle name="Normal 32 4 2 13" xfId="20931"/>
    <cellStyle name="Normal 32 4 2 14" xfId="22683"/>
    <cellStyle name="Normal 32 4 2 15" xfId="24435"/>
    <cellStyle name="Normal 32 4 2 16" xfId="26187"/>
    <cellStyle name="Normal 32 4 2 17" xfId="27939"/>
    <cellStyle name="Normal 32 4 2 18" xfId="29692"/>
    <cellStyle name="Normal 32 4 2 19" xfId="31444"/>
    <cellStyle name="Normal 32 4 2 2" xfId="1502"/>
    <cellStyle name="Normal 32 4 2 2 10" xfId="18302"/>
    <cellStyle name="Normal 32 4 2 2 11" xfId="20054"/>
    <cellStyle name="Normal 32 4 2 2 12" xfId="21807"/>
    <cellStyle name="Normal 32 4 2 2 13" xfId="23559"/>
    <cellStyle name="Normal 32 4 2 2 14" xfId="25311"/>
    <cellStyle name="Normal 32 4 2 2 15" xfId="27063"/>
    <cellStyle name="Normal 32 4 2 2 16" xfId="28815"/>
    <cellStyle name="Normal 32 4 2 2 17" xfId="30568"/>
    <cellStyle name="Normal 32 4 2 2 18" xfId="32320"/>
    <cellStyle name="Normal 32 4 2 2 19" xfId="34073"/>
    <cellStyle name="Normal 32 4 2 2 2" xfId="4284"/>
    <cellStyle name="Normal 32 4 2 2 20" xfId="36709"/>
    <cellStyle name="Normal 32 4 2 2 21" xfId="38449"/>
    <cellStyle name="Normal 32 4 2 2 22" xfId="40202"/>
    <cellStyle name="Normal 32 4 2 2 23" xfId="41957"/>
    <cellStyle name="Normal 32 4 2 2 24" xfId="43709"/>
    <cellStyle name="Normal 32 4 2 2 25" xfId="46327"/>
    <cellStyle name="Normal 32 4 2 2 26" xfId="48079"/>
    <cellStyle name="Normal 32 4 2 2 27" xfId="49831"/>
    <cellStyle name="Normal 32 4 2 2 28" xfId="51583"/>
    <cellStyle name="Normal 32 4 2 2 29" xfId="53335"/>
    <cellStyle name="Normal 32 4 2 2 3" xfId="6036"/>
    <cellStyle name="Normal 32 4 2 2 30" xfId="55087"/>
    <cellStyle name="Normal 32 4 2 2 31" xfId="56839"/>
    <cellStyle name="Normal 32 4 2 2 32" xfId="58592"/>
    <cellStyle name="Normal 32 4 2 2 33" xfId="60344"/>
    <cellStyle name="Normal 32 4 2 2 34" xfId="62096"/>
    <cellStyle name="Normal 32 4 2 2 4" xfId="7788"/>
    <cellStyle name="Normal 32 4 2 2 5" xfId="9540"/>
    <cellStyle name="Normal 32 4 2 2 6" xfId="11293"/>
    <cellStyle name="Normal 32 4 2 2 7" xfId="13045"/>
    <cellStyle name="Normal 32 4 2 2 8" xfId="14797"/>
    <cellStyle name="Normal 32 4 2 2 9" xfId="16549"/>
    <cellStyle name="Normal 32 4 2 20" xfId="33197"/>
    <cellStyle name="Normal 32 4 2 21" xfId="34683"/>
    <cellStyle name="Normal 32 4 2 22" xfId="35833"/>
    <cellStyle name="Normal 32 4 2 23" xfId="37304"/>
    <cellStyle name="Normal 32 4 2 24" xfId="39326"/>
    <cellStyle name="Normal 32 4 2 25" xfId="41081"/>
    <cellStyle name="Normal 32 4 2 26" xfId="42833"/>
    <cellStyle name="Normal 32 4 2 27" xfId="44304"/>
    <cellStyle name="Normal 32 4 2 28" xfId="45451"/>
    <cellStyle name="Normal 32 4 2 29" xfId="47203"/>
    <cellStyle name="Normal 32 4 2 3" xfId="3408"/>
    <cellStyle name="Normal 32 4 2 30" xfId="48955"/>
    <cellStyle name="Normal 32 4 2 31" xfId="50707"/>
    <cellStyle name="Normal 32 4 2 32" xfId="52459"/>
    <cellStyle name="Normal 32 4 2 33" xfId="54211"/>
    <cellStyle name="Normal 32 4 2 34" xfId="55963"/>
    <cellStyle name="Normal 32 4 2 35" xfId="57716"/>
    <cellStyle name="Normal 32 4 2 36" xfId="59468"/>
    <cellStyle name="Normal 32 4 2 37" xfId="61220"/>
    <cellStyle name="Normal 32 4 2 38" xfId="62691"/>
    <cellStyle name="Normal 32 4 2 39" xfId="63557"/>
    <cellStyle name="Normal 32 4 2 4" xfId="5160"/>
    <cellStyle name="Normal 32 4 2 5" xfId="6912"/>
    <cellStyle name="Normal 32 4 2 6" xfId="8664"/>
    <cellStyle name="Normal 32 4 2 7" xfId="10417"/>
    <cellStyle name="Normal 32 4 2 8" xfId="12169"/>
    <cellStyle name="Normal 32 4 2 9" xfId="13921"/>
    <cellStyle name="Normal 32 4 20" xfId="31008"/>
    <cellStyle name="Normal 32 4 21" xfId="32761"/>
    <cellStyle name="Normal 32 4 22" xfId="34682"/>
    <cellStyle name="Normal 32 4 23" xfId="35397"/>
    <cellStyle name="Normal 32 4 24" xfId="37303"/>
    <cellStyle name="Normal 32 4 25" xfId="38890"/>
    <cellStyle name="Normal 32 4 26" xfId="40645"/>
    <cellStyle name="Normal 32 4 27" xfId="42397"/>
    <cellStyle name="Normal 32 4 28" xfId="44303"/>
    <cellStyle name="Normal 32 4 29" xfId="45015"/>
    <cellStyle name="Normal 32 4 3" xfId="1503"/>
    <cellStyle name="Normal 32 4 3 10" xfId="17866"/>
    <cellStyle name="Normal 32 4 3 11" xfId="19618"/>
    <cellStyle name="Normal 32 4 3 12" xfId="21371"/>
    <cellStyle name="Normal 32 4 3 13" xfId="23123"/>
    <cellStyle name="Normal 32 4 3 14" xfId="24875"/>
    <cellStyle name="Normal 32 4 3 15" xfId="26627"/>
    <cellStyle name="Normal 32 4 3 16" xfId="28379"/>
    <cellStyle name="Normal 32 4 3 17" xfId="30132"/>
    <cellStyle name="Normal 32 4 3 18" xfId="31884"/>
    <cellStyle name="Normal 32 4 3 19" xfId="33637"/>
    <cellStyle name="Normal 32 4 3 2" xfId="3848"/>
    <cellStyle name="Normal 32 4 3 20" xfId="36273"/>
    <cellStyle name="Normal 32 4 3 21" xfId="38013"/>
    <cellStyle name="Normal 32 4 3 22" xfId="39766"/>
    <cellStyle name="Normal 32 4 3 23" xfId="41521"/>
    <cellStyle name="Normal 32 4 3 24" xfId="43273"/>
    <cellStyle name="Normal 32 4 3 25" xfId="45891"/>
    <cellStyle name="Normal 32 4 3 26" xfId="47643"/>
    <cellStyle name="Normal 32 4 3 27" xfId="49395"/>
    <cellStyle name="Normal 32 4 3 28" xfId="51147"/>
    <cellStyle name="Normal 32 4 3 29" xfId="52899"/>
    <cellStyle name="Normal 32 4 3 3" xfId="5600"/>
    <cellStyle name="Normal 32 4 3 30" xfId="54651"/>
    <cellStyle name="Normal 32 4 3 31" xfId="56403"/>
    <cellStyle name="Normal 32 4 3 32" xfId="58156"/>
    <cellStyle name="Normal 32 4 3 33" xfId="59908"/>
    <cellStyle name="Normal 32 4 3 34" xfId="61660"/>
    <cellStyle name="Normal 32 4 3 4" xfId="7352"/>
    <cellStyle name="Normal 32 4 3 5" xfId="9104"/>
    <cellStyle name="Normal 32 4 3 6" xfId="10857"/>
    <cellStyle name="Normal 32 4 3 7" xfId="12609"/>
    <cellStyle name="Normal 32 4 3 8" xfId="14361"/>
    <cellStyle name="Normal 32 4 3 9" xfId="16113"/>
    <cellStyle name="Normal 32 4 30" xfId="46767"/>
    <cellStyle name="Normal 32 4 31" xfId="48519"/>
    <cellStyle name="Normal 32 4 32" xfId="50271"/>
    <cellStyle name="Normal 32 4 33" xfId="52023"/>
    <cellStyle name="Normal 32 4 34" xfId="53775"/>
    <cellStyle name="Normal 32 4 35" xfId="55527"/>
    <cellStyle name="Normal 32 4 36" xfId="57280"/>
    <cellStyle name="Normal 32 4 37" xfId="59032"/>
    <cellStyle name="Normal 32 4 38" xfId="60784"/>
    <cellStyle name="Normal 32 4 39" xfId="62690"/>
    <cellStyle name="Normal 32 4 4" xfId="2972"/>
    <cellStyle name="Normal 32 4 40" xfId="63556"/>
    <cellStyle name="Normal 32 4 5" xfId="4724"/>
    <cellStyle name="Normal 32 4 6" xfId="6476"/>
    <cellStyle name="Normal 32 4 7" xfId="8228"/>
    <cellStyle name="Normal 32 4 8" xfId="9981"/>
    <cellStyle name="Normal 32 4 9" xfId="11733"/>
    <cellStyle name="Normal 32 40" xfId="58723"/>
    <cellStyle name="Normal 32 41" xfId="60475"/>
    <cellStyle name="Normal 32 42" xfId="62677"/>
    <cellStyle name="Normal 32 43" xfId="63543"/>
    <cellStyle name="Normal 32 5" xfId="1504"/>
    <cellStyle name="Normal 32 5 10" xfId="15364"/>
    <cellStyle name="Normal 32 5 11" xfId="17117"/>
    <cellStyle name="Normal 32 5 12" xfId="18869"/>
    <cellStyle name="Normal 32 5 13" xfId="20622"/>
    <cellStyle name="Normal 32 5 14" xfId="22374"/>
    <cellStyle name="Normal 32 5 15" xfId="24126"/>
    <cellStyle name="Normal 32 5 16" xfId="25878"/>
    <cellStyle name="Normal 32 5 17" xfId="27630"/>
    <cellStyle name="Normal 32 5 18" xfId="29383"/>
    <cellStyle name="Normal 32 5 19" xfId="31135"/>
    <cellStyle name="Normal 32 5 2" xfId="1505"/>
    <cellStyle name="Normal 32 5 2 10" xfId="17993"/>
    <cellStyle name="Normal 32 5 2 11" xfId="19745"/>
    <cellStyle name="Normal 32 5 2 12" xfId="21498"/>
    <cellStyle name="Normal 32 5 2 13" xfId="23250"/>
    <cellStyle name="Normal 32 5 2 14" xfId="25002"/>
    <cellStyle name="Normal 32 5 2 15" xfId="26754"/>
    <cellStyle name="Normal 32 5 2 16" xfId="28506"/>
    <cellStyle name="Normal 32 5 2 17" xfId="30259"/>
    <cellStyle name="Normal 32 5 2 18" xfId="32011"/>
    <cellStyle name="Normal 32 5 2 19" xfId="33764"/>
    <cellStyle name="Normal 32 5 2 2" xfId="3975"/>
    <cellStyle name="Normal 32 5 2 20" xfId="36400"/>
    <cellStyle name="Normal 32 5 2 21" xfId="38140"/>
    <cellStyle name="Normal 32 5 2 22" xfId="39893"/>
    <cellStyle name="Normal 32 5 2 23" xfId="41648"/>
    <cellStyle name="Normal 32 5 2 24" xfId="43400"/>
    <cellStyle name="Normal 32 5 2 25" xfId="46018"/>
    <cellStyle name="Normal 32 5 2 26" xfId="47770"/>
    <cellStyle name="Normal 32 5 2 27" xfId="49522"/>
    <cellStyle name="Normal 32 5 2 28" xfId="51274"/>
    <cellStyle name="Normal 32 5 2 29" xfId="53026"/>
    <cellStyle name="Normal 32 5 2 3" xfId="5727"/>
    <cellStyle name="Normal 32 5 2 30" xfId="54778"/>
    <cellStyle name="Normal 32 5 2 31" xfId="56530"/>
    <cellStyle name="Normal 32 5 2 32" xfId="58283"/>
    <cellStyle name="Normal 32 5 2 33" xfId="60035"/>
    <cellStyle name="Normal 32 5 2 34" xfId="61787"/>
    <cellStyle name="Normal 32 5 2 4" xfId="7479"/>
    <cellStyle name="Normal 32 5 2 5" xfId="9231"/>
    <cellStyle name="Normal 32 5 2 6" xfId="10984"/>
    <cellStyle name="Normal 32 5 2 7" xfId="12736"/>
    <cellStyle name="Normal 32 5 2 8" xfId="14488"/>
    <cellStyle name="Normal 32 5 2 9" xfId="16240"/>
    <cellStyle name="Normal 32 5 20" xfId="32888"/>
    <cellStyle name="Normal 32 5 21" xfId="34684"/>
    <cellStyle name="Normal 32 5 22" xfId="35524"/>
    <cellStyle name="Normal 32 5 23" xfId="37305"/>
    <cellStyle name="Normal 32 5 24" xfId="39017"/>
    <cellStyle name="Normal 32 5 25" xfId="40772"/>
    <cellStyle name="Normal 32 5 26" xfId="42524"/>
    <cellStyle name="Normal 32 5 27" xfId="44305"/>
    <cellStyle name="Normal 32 5 28" xfId="45142"/>
    <cellStyle name="Normal 32 5 29" xfId="46894"/>
    <cellStyle name="Normal 32 5 3" xfId="3099"/>
    <cellStyle name="Normal 32 5 30" xfId="48646"/>
    <cellStyle name="Normal 32 5 31" xfId="50398"/>
    <cellStyle name="Normal 32 5 32" xfId="52150"/>
    <cellStyle name="Normal 32 5 33" xfId="53902"/>
    <cellStyle name="Normal 32 5 34" xfId="55654"/>
    <cellStyle name="Normal 32 5 35" xfId="57407"/>
    <cellStyle name="Normal 32 5 36" xfId="59159"/>
    <cellStyle name="Normal 32 5 37" xfId="60911"/>
    <cellStyle name="Normal 32 5 38" xfId="62692"/>
    <cellStyle name="Normal 32 5 39" xfId="63558"/>
    <cellStyle name="Normal 32 5 4" xfId="4851"/>
    <cellStyle name="Normal 32 5 5" xfId="6603"/>
    <cellStyle name="Normal 32 5 6" xfId="8355"/>
    <cellStyle name="Normal 32 5 7" xfId="10108"/>
    <cellStyle name="Normal 32 5 8" xfId="11860"/>
    <cellStyle name="Normal 32 5 9" xfId="13612"/>
    <cellStyle name="Normal 32 6" xfId="1506"/>
    <cellStyle name="Normal 32 6 10" xfId="17557"/>
    <cellStyle name="Normal 32 6 11" xfId="19309"/>
    <cellStyle name="Normal 32 6 12" xfId="21062"/>
    <cellStyle name="Normal 32 6 13" xfId="22814"/>
    <cellStyle name="Normal 32 6 14" xfId="24566"/>
    <cellStyle name="Normal 32 6 15" xfId="26318"/>
    <cellStyle name="Normal 32 6 16" xfId="28070"/>
    <cellStyle name="Normal 32 6 17" xfId="29823"/>
    <cellStyle name="Normal 32 6 18" xfId="31575"/>
    <cellStyle name="Normal 32 6 19" xfId="33328"/>
    <cellStyle name="Normal 32 6 2" xfId="3539"/>
    <cellStyle name="Normal 32 6 20" xfId="35964"/>
    <cellStyle name="Normal 32 6 21" xfId="37742"/>
    <cellStyle name="Normal 32 6 22" xfId="39457"/>
    <cellStyle name="Normal 32 6 23" xfId="41212"/>
    <cellStyle name="Normal 32 6 24" xfId="42964"/>
    <cellStyle name="Normal 32 6 25" xfId="45582"/>
    <cellStyle name="Normal 32 6 26" xfId="47334"/>
    <cellStyle name="Normal 32 6 27" xfId="49086"/>
    <cellStyle name="Normal 32 6 28" xfId="50838"/>
    <cellStyle name="Normal 32 6 29" xfId="52590"/>
    <cellStyle name="Normal 32 6 3" xfId="5291"/>
    <cellStyle name="Normal 32 6 30" xfId="54342"/>
    <cellStyle name="Normal 32 6 31" xfId="56094"/>
    <cellStyle name="Normal 32 6 32" xfId="57847"/>
    <cellStyle name="Normal 32 6 33" xfId="59599"/>
    <cellStyle name="Normal 32 6 34" xfId="61351"/>
    <cellStyle name="Normal 32 6 4" xfId="7043"/>
    <cellStyle name="Normal 32 6 5" xfId="8795"/>
    <cellStyle name="Normal 32 6 6" xfId="10548"/>
    <cellStyle name="Normal 32 6 7" xfId="12300"/>
    <cellStyle name="Normal 32 6 8" xfId="14052"/>
    <cellStyle name="Normal 32 6 9" xfId="15804"/>
    <cellStyle name="Normal 32 7" xfId="2663"/>
    <cellStyle name="Normal 32 8" xfId="4415"/>
    <cellStyle name="Normal 32 9" xfId="6167"/>
    <cellStyle name="Normal 33" xfId="1507"/>
    <cellStyle name="Normal 33 10" xfId="7922"/>
    <cellStyle name="Normal 33 11" xfId="9675"/>
    <cellStyle name="Normal 33 12" xfId="11427"/>
    <cellStyle name="Normal 33 13" xfId="13179"/>
    <cellStyle name="Normal 33 14" xfId="14931"/>
    <cellStyle name="Normal 33 15" xfId="16684"/>
    <cellStyle name="Normal 33 16" xfId="18436"/>
    <cellStyle name="Normal 33 17" xfId="20189"/>
    <cellStyle name="Normal 33 18" xfId="21941"/>
    <cellStyle name="Normal 33 19" xfId="23693"/>
    <cellStyle name="Normal 33 2" xfId="1508"/>
    <cellStyle name="Normal 33 2 10" xfId="9730"/>
    <cellStyle name="Normal 33 2 11" xfId="11482"/>
    <cellStyle name="Normal 33 2 12" xfId="13234"/>
    <cellStyle name="Normal 33 2 13" xfId="14986"/>
    <cellStyle name="Normal 33 2 14" xfId="16739"/>
    <cellStyle name="Normal 33 2 15" xfId="18491"/>
    <cellStyle name="Normal 33 2 16" xfId="20244"/>
    <cellStyle name="Normal 33 2 17" xfId="21996"/>
    <cellStyle name="Normal 33 2 18" xfId="23748"/>
    <cellStyle name="Normal 33 2 19" xfId="25500"/>
    <cellStyle name="Normal 33 2 2" xfId="1509"/>
    <cellStyle name="Normal 33 2 2 10" xfId="11590"/>
    <cellStyle name="Normal 33 2 2 11" xfId="13342"/>
    <cellStyle name="Normal 33 2 2 12" xfId="15094"/>
    <cellStyle name="Normal 33 2 2 13" xfId="16847"/>
    <cellStyle name="Normal 33 2 2 14" xfId="18599"/>
    <cellStyle name="Normal 33 2 2 15" xfId="20352"/>
    <cellStyle name="Normal 33 2 2 16" xfId="22104"/>
    <cellStyle name="Normal 33 2 2 17" xfId="23856"/>
    <cellStyle name="Normal 33 2 2 18" xfId="25608"/>
    <cellStyle name="Normal 33 2 2 19" xfId="27360"/>
    <cellStyle name="Normal 33 2 2 2" xfId="1510"/>
    <cellStyle name="Normal 33 2 2 2 10" xfId="13486"/>
    <cellStyle name="Normal 33 2 2 2 11" xfId="15238"/>
    <cellStyle name="Normal 33 2 2 2 12" xfId="16991"/>
    <cellStyle name="Normal 33 2 2 2 13" xfId="18743"/>
    <cellStyle name="Normal 33 2 2 2 14" xfId="20496"/>
    <cellStyle name="Normal 33 2 2 2 15" xfId="22248"/>
    <cellStyle name="Normal 33 2 2 2 16" xfId="24000"/>
    <cellStyle name="Normal 33 2 2 2 17" xfId="25752"/>
    <cellStyle name="Normal 33 2 2 2 18" xfId="27504"/>
    <cellStyle name="Normal 33 2 2 2 19" xfId="29257"/>
    <cellStyle name="Normal 33 2 2 2 2" xfId="1511"/>
    <cellStyle name="Normal 33 2 2 2 2 10" xfId="15674"/>
    <cellStyle name="Normal 33 2 2 2 2 11" xfId="17427"/>
    <cellStyle name="Normal 33 2 2 2 2 12" xfId="19179"/>
    <cellStyle name="Normal 33 2 2 2 2 13" xfId="20932"/>
    <cellStyle name="Normal 33 2 2 2 2 14" xfId="22684"/>
    <cellStyle name="Normal 33 2 2 2 2 15" xfId="24436"/>
    <cellStyle name="Normal 33 2 2 2 2 16" xfId="26188"/>
    <cellStyle name="Normal 33 2 2 2 2 17" xfId="27940"/>
    <cellStyle name="Normal 33 2 2 2 2 18" xfId="29693"/>
    <cellStyle name="Normal 33 2 2 2 2 19" xfId="31445"/>
    <cellStyle name="Normal 33 2 2 2 2 2" xfId="1512"/>
    <cellStyle name="Normal 33 2 2 2 2 2 10" xfId="18303"/>
    <cellStyle name="Normal 33 2 2 2 2 2 11" xfId="20055"/>
    <cellStyle name="Normal 33 2 2 2 2 2 12" xfId="21808"/>
    <cellStyle name="Normal 33 2 2 2 2 2 13" xfId="23560"/>
    <cellStyle name="Normal 33 2 2 2 2 2 14" xfId="25312"/>
    <cellStyle name="Normal 33 2 2 2 2 2 15" xfId="27064"/>
    <cellStyle name="Normal 33 2 2 2 2 2 16" xfId="28816"/>
    <cellStyle name="Normal 33 2 2 2 2 2 17" xfId="30569"/>
    <cellStyle name="Normal 33 2 2 2 2 2 18" xfId="32321"/>
    <cellStyle name="Normal 33 2 2 2 2 2 19" xfId="34074"/>
    <cellStyle name="Normal 33 2 2 2 2 2 2" xfId="4285"/>
    <cellStyle name="Normal 33 2 2 2 2 2 20" xfId="36710"/>
    <cellStyle name="Normal 33 2 2 2 2 2 21" xfId="38450"/>
    <cellStyle name="Normal 33 2 2 2 2 2 22" xfId="40203"/>
    <cellStyle name="Normal 33 2 2 2 2 2 23" xfId="41958"/>
    <cellStyle name="Normal 33 2 2 2 2 2 24" xfId="43710"/>
    <cellStyle name="Normal 33 2 2 2 2 2 25" xfId="46328"/>
    <cellStyle name="Normal 33 2 2 2 2 2 26" xfId="48080"/>
    <cellStyle name="Normal 33 2 2 2 2 2 27" xfId="49832"/>
    <cellStyle name="Normal 33 2 2 2 2 2 28" xfId="51584"/>
    <cellStyle name="Normal 33 2 2 2 2 2 29" xfId="53336"/>
    <cellStyle name="Normal 33 2 2 2 2 2 3" xfId="6037"/>
    <cellStyle name="Normal 33 2 2 2 2 2 30" xfId="55088"/>
    <cellStyle name="Normal 33 2 2 2 2 2 31" xfId="56840"/>
    <cellStyle name="Normal 33 2 2 2 2 2 32" xfId="58593"/>
    <cellStyle name="Normal 33 2 2 2 2 2 33" xfId="60345"/>
    <cellStyle name="Normal 33 2 2 2 2 2 34" xfId="62097"/>
    <cellStyle name="Normal 33 2 2 2 2 2 4" xfId="7789"/>
    <cellStyle name="Normal 33 2 2 2 2 2 5" xfId="9541"/>
    <cellStyle name="Normal 33 2 2 2 2 2 6" xfId="11294"/>
    <cellStyle name="Normal 33 2 2 2 2 2 7" xfId="13046"/>
    <cellStyle name="Normal 33 2 2 2 2 2 8" xfId="14798"/>
    <cellStyle name="Normal 33 2 2 2 2 2 9" xfId="16550"/>
    <cellStyle name="Normal 33 2 2 2 2 20" xfId="33198"/>
    <cellStyle name="Normal 33 2 2 2 2 21" xfId="34689"/>
    <cellStyle name="Normal 33 2 2 2 2 22" xfId="35834"/>
    <cellStyle name="Normal 33 2 2 2 2 23" xfId="37310"/>
    <cellStyle name="Normal 33 2 2 2 2 24" xfId="39327"/>
    <cellStyle name="Normal 33 2 2 2 2 25" xfId="41082"/>
    <cellStyle name="Normal 33 2 2 2 2 26" xfId="42834"/>
    <cellStyle name="Normal 33 2 2 2 2 27" xfId="44310"/>
    <cellStyle name="Normal 33 2 2 2 2 28" xfId="45452"/>
    <cellStyle name="Normal 33 2 2 2 2 29" xfId="47204"/>
    <cellStyle name="Normal 33 2 2 2 2 3" xfId="3409"/>
    <cellStyle name="Normal 33 2 2 2 2 30" xfId="48956"/>
    <cellStyle name="Normal 33 2 2 2 2 31" xfId="50708"/>
    <cellStyle name="Normal 33 2 2 2 2 32" xfId="52460"/>
    <cellStyle name="Normal 33 2 2 2 2 33" xfId="54212"/>
    <cellStyle name="Normal 33 2 2 2 2 34" xfId="55964"/>
    <cellStyle name="Normal 33 2 2 2 2 35" xfId="57717"/>
    <cellStyle name="Normal 33 2 2 2 2 36" xfId="59469"/>
    <cellStyle name="Normal 33 2 2 2 2 37" xfId="61221"/>
    <cellStyle name="Normal 33 2 2 2 2 38" xfId="62697"/>
    <cellStyle name="Normal 33 2 2 2 2 39" xfId="63563"/>
    <cellStyle name="Normal 33 2 2 2 2 4" xfId="5161"/>
    <cellStyle name="Normal 33 2 2 2 2 5" xfId="6913"/>
    <cellStyle name="Normal 33 2 2 2 2 6" xfId="8665"/>
    <cellStyle name="Normal 33 2 2 2 2 7" xfId="10418"/>
    <cellStyle name="Normal 33 2 2 2 2 8" xfId="12170"/>
    <cellStyle name="Normal 33 2 2 2 2 9" xfId="13922"/>
    <cellStyle name="Normal 33 2 2 2 20" xfId="31009"/>
    <cellStyle name="Normal 33 2 2 2 21" xfId="32762"/>
    <cellStyle name="Normal 33 2 2 2 22" xfId="34688"/>
    <cellStyle name="Normal 33 2 2 2 23" xfId="35398"/>
    <cellStyle name="Normal 33 2 2 2 24" xfId="37309"/>
    <cellStyle name="Normal 33 2 2 2 25" xfId="38891"/>
    <cellStyle name="Normal 33 2 2 2 26" xfId="40646"/>
    <cellStyle name="Normal 33 2 2 2 27" xfId="42398"/>
    <cellStyle name="Normal 33 2 2 2 28" xfId="44309"/>
    <cellStyle name="Normal 33 2 2 2 29" xfId="45016"/>
    <cellStyle name="Normal 33 2 2 2 3" xfId="1513"/>
    <cellStyle name="Normal 33 2 2 2 3 10" xfId="17867"/>
    <cellStyle name="Normal 33 2 2 2 3 11" xfId="19619"/>
    <cellStyle name="Normal 33 2 2 2 3 12" xfId="21372"/>
    <cellStyle name="Normal 33 2 2 2 3 13" xfId="23124"/>
    <cellStyle name="Normal 33 2 2 2 3 14" xfId="24876"/>
    <cellStyle name="Normal 33 2 2 2 3 15" xfId="26628"/>
    <cellStyle name="Normal 33 2 2 2 3 16" xfId="28380"/>
    <cellStyle name="Normal 33 2 2 2 3 17" xfId="30133"/>
    <cellStyle name="Normal 33 2 2 2 3 18" xfId="31885"/>
    <cellStyle name="Normal 33 2 2 2 3 19" xfId="33638"/>
    <cellStyle name="Normal 33 2 2 2 3 2" xfId="3849"/>
    <cellStyle name="Normal 33 2 2 2 3 20" xfId="36274"/>
    <cellStyle name="Normal 33 2 2 2 3 21" xfId="38014"/>
    <cellStyle name="Normal 33 2 2 2 3 22" xfId="39767"/>
    <cellStyle name="Normal 33 2 2 2 3 23" xfId="41522"/>
    <cellStyle name="Normal 33 2 2 2 3 24" xfId="43274"/>
    <cellStyle name="Normal 33 2 2 2 3 25" xfId="45892"/>
    <cellStyle name="Normal 33 2 2 2 3 26" xfId="47644"/>
    <cellStyle name="Normal 33 2 2 2 3 27" xfId="49396"/>
    <cellStyle name="Normal 33 2 2 2 3 28" xfId="51148"/>
    <cellStyle name="Normal 33 2 2 2 3 29" xfId="52900"/>
    <cellStyle name="Normal 33 2 2 2 3 3" xfId="5601"/>
    <cellStyle name="Normal 33 2 2 2 3 30" xfId="54652"/>
    <cellStyle name="Normal 33 2 2 2 3 31" xfId="56404"/>
    <cellStyle name="Normal 33 2 2 2 3 32" xfId="58157"/>
    <cellStyle name="Normal 33 2 2 2 3 33" xfId="59909"/>
    <cellStyle name="Normal 33 2 2 2 3 34" xfId="61661"/>
    <cellStyle name="Normal 33 2 2 2 3 4" xfId="7353"/>
    <cellStyle name="Normal 33 2 2 2 3 5" xfId="9105"/>
    <cellStyle name="Normal 33 2 2 2 3 6" xfId="10858"/>
    <cellStyle name="Normal 33 2 2 2 3 7" xfId="12610"/>
    <cellStyle name="Normal 33 2 2 2 3 8" xfId="14362"/>
    <cellStyle name="Normal 33 2 2 2 3 9" xfId="16114"/>
    <cellStyle name="Normal 33 2 2 2 30" xfId="46768"/>
    <cellStyle name="Normal 33 2 2 2 31" xfId="48520"/>
    <cellStyle name="Normal 33 2 2 2 32" xfId="50272"/>
    <cellStyle name="Normal 33 2 2 2 33" xfId="52024"/>
    <cellStyle name="Normal 33 2 2 2 34" xfId="53776"/>
    <cellStyle name="Normal 33 2 2 2 35" xfId="55528"/>
    <cellStyle name="Normal 33 2 2 2 36" xfId="57281"/>
    <cellStyle name="Normal 33 2 2 2 37" xfId="59033"/>
    <cellStyle name="Normal 33 2 2 2 38" xfId="60785"/>
    <cellStyle name="Normal 33 2 2 2 39" xfId="62696"/>
    <cellStyle name="Normal 33 2 2 2 4" xfId="2973"/>
    <cellStyle name="Normal 33 2 2 2 40" xfId="63562"/>
    <cellStyle name="Normal 33 2 2 2 5" xfId="4725"/>
    <cellStyle name="Normal 33 2 2 2 6" xfId="6477"/>
    <cellStyle name="Normal 33 2 2 2 7" xfId="8229"/>
    <cellStyle name="Normal 33 2 2 2 8" xfId="9982"/>
    <cellStyle name="Normal 33 2 2 2 9" xfId="11734"/>
    <cellStyle name="Normal 33 2 2 20" xfId="29113"/>
    <cellStyle name="Normal 33 2 2 21" xfId="30865"/>
    <cellStyle name="Normal 33 2 2 22" xfId="32618"/>
    <cellStyle name="Normal 33 2 2 23" xfId="34687"/>
    <cellStyle name="Normal 33 2 2 24" xfId="35254"/>
    <cellStyle name="Normal 33 2 2 25" xfId="37308"/>
    <cellStyle name="Normal 33 2 2 26" xfId="38747"/>
    <cellStyle name="Normal 33 2 2 27" xfId="40502"/>
    <cellStyle name="Normal 33 2 2 28" xfId="42254"/>
    <cellStyle name="Normal 33 2 2 29" xfId="44308"/>
    <cellStyle name="Normal 33 2 2 3" xfId="1514"/>
    <cellStyle name="Normal 33 2 2 3 10" xfId="15530"/>
    <cellStyle name="Normal 33 2 2 3 11" xfId="17283"/>
    <cellStyle name="Normal 33 2 2 3 12" xfId="19035"/>
    <cellStyle name="Normal 33 2 2 3 13" xfId="20788"/>
    <cellStyle name="Normal 33 2 2 3 14" xfId="22540"/>
    <cellStyle name="Normal 33 2 2 3 15" xfId="24292"/>
    <cellStyle name="Normal 33 2 2 3 16" xfId="26044"/>
    <cellStyle name="Normal 33 2 2 3 17" xfId="27796"/>
    <cellStyle name="Normal 33 2 2 3 18" xfId="29549"/>
    <cellStyle name="Normal 33 2 2 3 19" xfId="31301"/>
    <cellStyle name="Normal 33 2 2 3 2" xfId="1515"/>
    <cellStyle name="Normal 33 2 2 3 2 10" xfId="18159"/>
    <cellStyle name="Normal 33 2 2 3 2 11" xfId="19911"/>
    <cellStyle name="Normal 33 2 2 3 2 12" xfId="21664"/>
    <cellStyle name="Normal 33 2 2 3 2 13" xfId="23416"/>
    <cellStyle name="Normal 33 2 2 3 2 14" xfId="25168"/>
    <cellStyle name="Normal 33 2 2 3 2 15" xfId="26920"/>
    <cellStyle name="Normal 33 2 2 3 2 16" xfId="28672"/>
    <cellStyle name="Normal 33 2 2 3 2 17" xfId="30425"/>
    <cellStyle name="Normal 33 2 2 3 2 18" xfId="32177"/>
    <cellStyle name="Normal 33 2 2 3 2 19" xfId="33930"/>
    <cellStyle name="Normal 33 2 2 3 2 2" xfId="4141"/>
    <cellStyle name="Normal 33 2 2 3 2 20" xfId="36566"/>
    <cellStyle name="Normal 33 2 2 3 2 21" xfId="38306"/>
    <cellStyle name="Normal 33 2 2 3 2 22" xfId="40059"/>
    <cellStyle name="Normal 33 2 2 3 2 23" xfId="41814"/>
    <cellStyle name="Normal 33 2 2 3 2 24" xfId="43566"/>
    <cellStyle name="Normal 33 2 2 3 2 25" xfId="46184"/>
    <cellStyle name="Normal 33 2 2 3 2 26" xfId="47936"/>
    <cellStyle name="Normal 33 2 2 3 2 27" xfId="49688"/>
    <cellStyle name="Normal 33 2 2 3 2 28" xfId="51440"/>
    <cellStyle name="Normal 33 2 2 3 2 29" xfId="53192"/>
    <cellStyle name="Normal 33 2 2 3 2 3" xfId="5893"/>
    <cellStyle name="Normal 33 2 2 3 2 30" xfId="54944"/>
    <cellStyle name="Normal 33 2 2 3 2 31" xfId="56696"/>
    <cellStyle name="Normal 33 2 2 3 2 32" xfId="58449"/>
    <cellStyle name="Normal 33 2 2 3 2 33" xfId="60201"/>
    <cellStyle name="Normal 33 2 2 3 2 34" xfId="61953"/>
    <cellStyle name="Normal 33 2 2 3 2 4" xfId="7645"/>
    <cellStyle name="Normal 33 2 2 3 2 5" xfId="9397"/>
    <cellStyle name="Normal 33 2 2 3 2 6" xfId="11150"/>
    <cellStyle name="Normal 33 2 2 3 2 7" xfId="12902"/>
    <cellStyle name="Normal 33 2 2 3 2 8" xfId="14654"/>
    <cellStyle name="Normal 33 2 2 3 2 9" xfId="16406"/>
    <cellStyle name="Normal 33 2 2 3 20" xfId="33054"/>
    <cellStyle name="Normal 33 2 2 3 21" xfId="34690"/>
    <cellStyle name="Normal 33 2 2 3 22" xfId="35690"/>
    <cellStyle name="Normal 33 2 2 3 23" xfId="37311"/>
    <cellStyle name="Normal 33 2 2 3 24" xfId="39183"/>
    <cellStyle name="Normal 33 2 2 3 25" xfId="40938"/>
    <cellStyle name="Normal 33 2 2 3 26" xfId="42690"/>
    <cellStyle name="Normal 33 2 2 3 27" xfId="44311"/>
    <cellStyle name="Normal 33 2 2 3 28" xfId="45308"/>
    <cellStyle name="Normal 33 2 2 3 29" xfId="47060"/>
    <cellStyle name="Normal 33 2 2 3 3" xfId="3265"/>
    <cellStyle name="Normal 33 2 2 3 30" xfId="48812"/>
    <cellStyle name="Normal 33 2 2 3 31" xfId="50564"/>
    <cellStyle name="Normal 33 2 2 3 32" xfId="52316"/>
    <cellStyle name="Normal 33 2 2 3 33" xfId="54068"/>
    <cellStyle name="Normal 33 2 2 3 34" xfId="55820"/>
    <cellStyle name="Normal 33 2 2 3 35" xfId="57573"/>
    <cellStyle name="Normal 33 2 2 3 36" xfId="59325"/>
    <cellStyle name="Normal 33 2 2 3 37" xfId="61077"/>
    <cellStyle name="Normal 33 2 2 3 38" xfId="62698"/>
    <cellStyle name="Normal 33 2 2 3 39" xfId="63564"/>
    <cellStyle name="Normal 33 2 2 3 4" xfId="5017"/>
    <cellStyle name="Normal 33 2 2 3 5" xfId="6769"/>
    <cellStyle name="Normal 33 2 2 3 6" xfId="8521"/>
    <cellStyle name="Normal 33 2 2 3 7" xfId="10274"/>
    <cellStyle name="Normal 33 2 2 3 8" xfId="12026"/>
    <cellStyle name="Normal 33 2 2 3 9" xfId="13778"/>
    <cellStyle name="Normal 33 2 2 30" xfId="44872"/>
    <cellStyle name="Normal 33 2 2 31" xfId="46624"/>
    <cellStyle name="Normal 33 2 2 32" xfId="48376"/>
    <cellStyle name="Normal 33 2 2 33" xfId="50128"/>
    <cellStyle name="Normal 33 2 2 34" xfId="51880"/>
    <cellStyle name="Normal 33 2 2 35" xfId="53632"/>
    <cellStyle name="Normal 33 2 2 36" xfId="55384"/>
    <cellStyle name="Normal 33 2 2 37" xfId="57137"/>
    <cellStyle name="Normal 33 2 2 38" xfId="58889"/>
    <cellStyle name="Normal 33 2 2 39" xfId="60641"/>
    <cellStyle name="Normal 33 2 2 4" xfId="1516"/>
    <cellStyle name="Normal 33 2 2 4 10" xfId="17723"/>
    <cellStyle name="Normal 33 2 2 4 11" xfId="19475"/>
    <cellStyle name="Normal 33 2 2 4 12" xfId="21228"/>
    <cellStyle name="Normal 33 2 2 4 13" xfId="22980"/>
    <cellStyle name="Normal 33 2 2 4 14" xfId="24732"/>
    <cellStyle name="Normal 33 2 2 4 15" xfId="26484"/>
    <cellStyle name="Normal 33 2 2 4 16" xfId="28236"/>
    <cellStyle name="Normal 33 2 2 4 17" xfId="29989"/>
    <cellStyle name="Normal 33 2 2 4 18" xfId="31741"/>
    <cellStyle name="Normal 33 2 2 4 19" xfId="33494"/>
    <cellStyle name="Normal 33 2 2 4 2" xfId="3705"/>
    <cellStyle name="Normal 33 2 2 4 20" xfId="36130"/>
    <cellStyle name="Normal 33 2 2 4 21" xfId="37870"/>
    <cellStyle name="Normal 33 2 2 4 22" xfId="39623"/>
    <cellStyle name="Normal 33 2 2 4 23" xfId="41378"/>
    <cellStyle name="Normal 33 2 2 4 24" xfId="43130"/>
    <cellStyle name="Normal 33 2 2 4 25" xfId="45748"/>
    <cellStyle name="Normal 33 2 2 4 26" xfId="47500"/>
    <cellStyle name="Normal 33 2 2 4 27" xfId="49252"/>
    <cellStyle name="Normal 33 2 2 4 28" xfId="51004"/>
    <cellStyle name="Normal 33 2 2 4 29" xfId="52756"/>
    <cellStyle name="Normal 33 2 2 4 3" xfId="5457"/>
    <cellStyle name="Normal 33 2 2 4 30" xfId="54508"/>
    <cellStyle name="Normal 33 2 2 4 31" xfId="56260"/>
    <cellStyle name="Normal 33 2 2 4 32" xfId="58013"/>
    <cellStyle name="Normal 33 2 2 4 33" xfId="59765"/>
    <cellStyle name="Normal 33 2 2 4 34" xfId="61517"/>
    <cellStyle name="Normal 33 2 2 4 4" xfId="7209"/>
    <cellStyle name="Normal 33 2 2 4 5" xfId="8961"/>
    <cellStyle name="Normal 33 2 2 4 6" xfId="10714"/>
    <cellStyle name="Normal 33 2 2 4 7" xfId="12466"/>
    <cellStyle name="Normal 33 2 2 4 8" xfId="14218"/>
    <cellStyle name="Normal 33 2 2 4 9" xfId="15970"/>
    <cellStyle name="Normal 33 2 2 40" xfId="62695"/>
    <cellStyle name="Normal 33 2 2 41" xfId="63561"/>
    <cellStyle name="Normal 33 2 2 5" xfId="2829"/>
    <cellStyle name="Normal 33 2 2 6" xfId="4581"/>
    <cellStyle name="Normal 33 2 2 7" xfId="6333"/>
    <cellStyle name="Normal 33 2 2 8" xfId="8085"/>
    <cellStyle name="Normal 33 2 2 9" xfId="9838"/>
    <cellStyle name="Normal 33 2 20" xfId="27252"/>
    <cellStyle name="Normal 33 2 21" xfId="29005"/>
    <cellStyle name="Normal 33 2 22" xfId="30757"/>
    <cellStyle name="Normal 33 2 23" xfId="32510"/>
    <cellStyle name="Normal 33 2 24" xfId="34686"/>
    <cellStyle name="Normal 33 2 25" xfId="35146"/>
    <cellStyle name="Normal 33 2 26" xfId="37307"/>
    <cellStyle name="Normal 33 2 27" xfId="38639"/>
    <cellStyle name="Normal 33 2 28" xfId="40394"/>
    <cellStyle name="Normal 33 2 29" xfId="42146"/>
    <cellStyle name="Normal 33 2 3" xfId="1517"/>
    <cellStyle name="Normal 33 2 3 10" xfId="13487"/>
    <cellStyle name="Normal 33 2 3 11" xfId="15239"/>
    <cellStyle name="Normal 33 2 3 12" xfId="16992"/>
    <cellStyle name="Normal 33 2 3 13" xfId="18744"/>
    <cellStyle name="Normal 33 2 3 14" xfId="20497"/>
    <cellStyle name="Normal 33 2 3 15" xfId="22249"/>
    <cellStyle name="Normal 33 2 3 16" xfId="24001"/>
    <cellStyle name="Normal 33 2 3 17" xfId="25753"/>
    <cellStyle name="Normal 33 2 3 18" xfId="27505"/>
    <cellStyle name="Normal 33 2 3 19" xfId="29258"/>
    <cellStyle name="Normal 33 2 3 2" xfId="1518"/>
    <cellStyle name="Normal 33 2 3 2 10" xfId="15675"/>
    <cellStyle name="Normal 33 2 3 2 11" xfId="17428"/>
    <cellStyle name="Normal 33 2 3 2 12" xfId="19180"/>
    <cellStyle name="Normal 33 2 3 2 13" xfId="20933"/>
    <cellStyle name="Normal 33 2 3 2 14" xfId="22685"/>
    <cellStyle name="Normal 33 2 3 2 15" xfId="24437"/>
    <cellStyle name="Normal 33 2 3 2 16" xfId="26189"/>
    <cellStyle name="Normal 33 2 3 2 17" xfId="27941"/>
    <cellStyle name="Normal 33 2 3 2 18" xfId="29694"/>
    <cellStyle name="Normal 33 2 3 2 19" xfId="31446"/>
    <cellStyle name="Normal 33 2 3 2 2" xfId="1519"/>
    <cellStyle name="Normal 33 2 3 2 2 10" xfId="18304"/>
    <cellStyle name="Normal 33 2 3 2 2 11" xfId="20056"/>
    <cellStyle name="Normal 33 2 3 2 2 12" xfId="21809"/>
    <cellStyle name="Normal 33 2 3 2 2 13" xfId="23561"/>
    <cellStyle name="Normal 33 2 3 2 2 14" xfId="25313"/>
    <cellStyle name="Normal 33 2 3 2 2 15" xfId="27065"/>
    <cellStyle name="Normal 33 2 3 2 2 16" xfId="28817"/>
    <cellStyle name="Normal 33 2 3 2 2 17" xfId="30570"/>
    <cellStyle name="Normal 33 2 3 2 2 18" xfId="32322"/>
    <cellStyle name="Normal 33 2 3 2 2 19" xfId="34075"/>
    <cellStyle name="Normal 33 2 3 2 2 2" xfId="4286"/>
    <cellStyle name="Normal 33 2 3 2 2 20" xfId="36711"/>
    <cellStyle name="Normal 33 2 3 2 2 21" xfId="38451"/>
    <cellStyle name="Normal 33 2 3 2 2 22" xfId="40204"/>
    <cellStyle name="Normal 33 2 3 2 2 23" xfId="41959"/>
    <cellStyle name="Normal 33 2 3 2 2 24" xfId="43711"/>
    <cellStyle name="Normal 33 2 3 2 2 25" xfId="46329"/>
    <cellStyle name="Normal 33 2 3 2 2 26" xfId="48081"/>
    <cellStyle name="Normal 33 2 3 2 2 27" xfId="49833"/>
    <cellStyle name="Normal 33 2 3 2 2 28" xfId="51585"/>
    <cellStyle name="Normal 33 2 3 2 2 29" xfId="53337"/>
    <cellStyle name="Normal 33 2 3 2 2 3" xfId="6038"/>
    <cellStyle name="Normal 33 2 3 2 2 30" xfId="55089"/>
    <cellStyle name="Normal 33 2 3 2 2 31" xfId="56841"/>
    <cellStyle name="Normal 33 2 3 2 2 32" xfId="58594"/>
    <cellStyle name="Normal 33 2 3 2 2 33" xfId="60346"/>
    <cellStyle name="Normal 33 2 3 2 2 34" xfId="62098"/>
    <cellStyle name="Normal 33 2 3 2 2 4" xfId="7790"/>
    <cellStyle name="Normal 33 2 3 2 2 5" xfId="9542"/>
    <cellStyle name="Normal 33 2 3 2 2 6" xfId="11295"/>
    <cellStyle name="Normal 33 2 3 2 2 7" xfId="13047"/>
    <cellStyle name="Normal 33 2 3 2 2 8" xfId="14799"/>
    <cellStyle name="Normal 33 2 3 2 2 9" xfId="16551"/>
    <cellStyle name="Normal 33 2 3 2 20" xfId="33199"/>
    <cellStyle name="Normal 33 2 3 2 21" xfId="34692"/>
    <cellStyle name="Normal 33 2 3 2 22" xfId="35835"/>
    <cellStyle name="Normal 33 2 3 2 23" xfId="37313"/>
    <cellStyle name="Normal 33 2 3 2 24" xfId="39328"/>
    <cellStyle name="Normal 33 2 3 2 25" xfId="41083"/>
    <cellStyle name="Normal 33 2 3 2 26" xfId="42835"/>
    <cellStyle name="Normal 33 2 3 2 27" xfId="44313"/>
    <cellStyle name="Normal 33 2 3 2 28" xfId="45453"/>
    <cellStyle name="Normal 33 2 3 2 29" xfId="47205"/>
    <cellStyle name="Normal 33 2 3 2 3" xfId="3410"/>
    <cellStyle name="Normal 33 2 3 2 30" xfId="48957"/>
    <cellStyle name="Normal 33 2 3 2 31" xfId="50709"/>
    <cellStyle name="Normal 33 2 3 2 32" xfId="52461"/>
    <cellStyle name="Normal 33 2 3 2 33" xfId="54213"/>
    <cellStyle name="Normal 33 2 3 2 34" xfId="55965"/>
    <cellStyle name="Normal 33 2 3 2 35" xfId="57718"/>
    <cellStyle name="Normal 33 2 3 2 36" xfId="59470"/>
    <cellStyle name="Normal 33 2 3 2 37" xfId="61222"/>
    <cellStyle name="Normal 33 2 3 2 38" xfId="62700"/>
    <cellStyle name="Normal 33 2 3 2 39" xfId="63566"/>
    <cellStyle name="Normal 33 2 3 2 4" xfId="5162"/>
    <cellStyle name="Normal 33 2 3 2 5" xfId="6914"/>
    <cellStyle name="Normal 33 2 3 2 6" xfId="8666"/>
    <cellStyle name="Normal 33 2 3 2 7" xfId="10419"/>
    <cellStyle name="Normal 33 2 3 2 8" xfId="12171"/>
    <cellStyle name="Normal 33 2 3 2 9" xfId="13923"/>
    <cellStyle name="Normal 33 2 3 20" xfId="31010"/>
    <cellStyle name="Normal 33 2 3 21" xfId="32763"/>
    <cellStyle name="Normal 33 2 3 22" xfId="34691"/>
    <cellStyle name="Normal 33 2 3 23" xfId="35399"/>
    <cellStyle name="Normal 33 2 3 24" xfId="37312"/>
    <cellStyle name="Normal 33 2 3 25" xfId="38892"/>
    <cellStyle name="Normal 33 2 3 26" xfId="40647"/>
    <cellStyle name="Normal 33 2 3 27" xfId="42399"/>
    <cellStyle name="Normal 33 2 3 28" xfId="44312"/>
    <cellStyle name="Normal 33 2 3 29" xfId="45017"/>
    <cellStyle name="Normal 33 2 3 3" xfId="1520"/>
    <cellStyle name="Normal 33 2 3 3 10" xfId="17868"/>
    <cellStyle name="Normal 33 2 3 3 11" xfId="19620"/>
    <cellStyle name="Normal 33 2 3 3 12" xfId="21373"/>
    <cellStyle name="Normal 33 2 3 3 13" xfId="23125"/>
    <cellStyle name="Normal 33 2 3 3 14" xfId="24877"/>
    <cellStyle name="Normal 33 2 3 3 15" xfId="26629"/>
    <cellStyle name="Normal 33 2 3 3 16" xfId="28381"/>
    <cellStyle name="Normal 33 2 3 3 17" xfId="30134"/>
    <cellStyle name="Normal 33 2 3 3 18" xfId="31886"/>
    <cellStyle name="Normal 33 2 3 3 19" xfId="33639"/>
    <cellStyle name="Normal 33 2 3 3 2" xfId="3850"/>
    <cellStyle name="Normal 33 2 3 3 20" xfId="36275"/>
    <cellStyle name="Normal 33 2 3 3 21" xfId="38015"/>
    <cellStyle name="Normal 33 2 3 3 22" xfId="39768"/>
    <cellStyle name="Normal 33 2 3 3 23" xfId="41523"/>
    <cellStyle name="Normal 33 2 3 3 24" xfId="43275"/>
    <cellStyle name="Normal 33 2 3 3 25" xfId="45893"/>
    <cellStyle name="Normal 33 2 3 3 26" xfId="47645"/>
    <cellStyle name="Normal 33 2 3 3 27" xfId="49397"/>
    <cellStyle name="Normal 33 2 3 3 28" xfId="51149"/>
    <cellStyle name="Normal 33 2 3 3 29" xfId="52901"/>
    <cellStyle name="Normal 33 2 3 3 3" xfId="5602"/>
    <cellStyle name="Normal 33 2 3 3 30" xfId="54653"/>
    <cellStyle name="Normal 33 2 3 3 31" xfId="56405"/>
    <cellStyle name="Normal 33 2 3 3 32" xfId="58158"/>
    <cellStyle name="Normal 33 2 3 3 33" xfId="59910"/>
    <cellStyle name="Normal 33 2 3 3 34" xfId="61662"/>
    <cellStyle name="Normal 33 2 3 3 4" xfId="7354"/>
    <cellStyle name="Normal 33 2 3 3 5" xfId="9106"/>
    <cellStyle name="Normal 33 2 3 3 6" xfId="10859"/>
    <cellStyle name="Normal 33 2 3 3 7" xfId="12611"/>
    <cellStyle name="Normal 33 2 3 3 8" xfId="14363"/>
    <cellStyle name="Normal 33 2 3 3 9" xfId="16115"/>
    <cellStyle name="Normal 33 2 3 30" xfId="46769"/>
    <cellStyle name="Normal 33 2 3 31" xfId="48521"/>
    <cellStyle name="Normal 33 2 3 32" xfId="50273"/>
    <cellStyle name="Normal 33 2 3 33" xfId="52025"/>
    <cellStyle name="Normal 33 2 3 34" xfId="53777"/>
    <cellStyle name="Normal 33 2 3 35" xfId="55529"/>
    <cellStyle name="Normal 33 2 3 36" xfId="57282"/>
    <cellStyle name="Normal 33 2 3 37" xfId="59034"/>
    <cellStyle name="Normal 33 2 3 38" xfId="60786"/>
    <cellStyle name="Normal 33 2 3 39" xfId="62699"/>
    <cellStyle name="Normal 33 2 3 4" xfId="2974"/>
    <cellStyle name="Normal 33 2 3 40" xfId="63565"/>
    <cellStyle name="Normal 33 2 3 5" xfId="4726"/>
    <cellStyle name="Normal 33 2 3 6" xfId="6478"/>
    <cellStyle name="Normal 33 2 3 7" xfId="8230"/>
    <cellStyle name="Normal 33 2 3 8" xfId="9983"/>
    <cellStyle name="Normal 33 2 3 9" xfId="11735"/>
    <cellStyle name="Normal 33 2 30" xfId="44307"/>
    <cellStyle name="Normal 33 2 31" xfId="44764"/>
    <cellStyle name="Normal 33 2 32" xfId="46516"/>
    <cellStyle name="Normal 33 2 33" xfId="48268"/>
    <cellStyle name="Normal 33 2 34" xfId="50020"/>
    <cellStyle name="Normal 33 2 35" xfId="51772"/>
    <cellStyle name="Normal 33 2 36" xfId="53524"/>
    <cellStyle name="Normal 33 2 37" xfId="55276"/>
    <cellStyle name="Normal 33 2 38" xfId="57029"/>
    <cellStyle name="Normal 33 2 39" xfId="58781"/>
    <cellStyle name="Normal 33 2 4" xfId="1521"/>
    <cellStyle name="Normal 33 2 4 10" xfId="15422"/>
    <cellStyle name="Normal 33 2 4 11" xfId="17175"/>
    <cellStyle name="Normal 33 2 4 12" xfId="18927"/>
    <cellStyle name="Normal 33 2 4 13" xfId="20680"/>
    <cellStyle name="Normal 33 2 4 14" xfId="22432"/>
    <cellStyle name="Normal 33 2 4 15" xfId="24184"/>
    <cellStyle name="Normal 33 2 4 16" xfId="25936"/>
    <cellStyle name="Normal 33 2 4 17" xfId="27688"/>
    <cellStyle name="Normal 33 2 4 18" xfId="29441"/>
    <cellStyle name="Normal 33 2 4 19" xfId="31193"/>
    <cellStyle name="Normal 33 2 4 2" xfId="1522"/>
    <cellStyle name="Normal 33 2 4 2 10" xfId="18051"/>
    <cellStyle name="Normal 33 2 4 2 11" xfId="19803"/>
    <cellStyle name="Normal 33 2 4 2 12" xfId="21556"/>
    <cellStyle name="Normal 33 2 4 2 13" xfId="23308"/>
    <cellStyle name="Normal 33 2 4 2 14" xfId="25060"/>
    <cellStyle name="Normal 33 2 4 2 15" xfId="26812"/>
    <cellStyle name="Normal 33 2 4 2 16" xfId="28564"/>
    <cellStyle name="Normal 33 2 4 2 17" xfId="30317"/>
    <cellStyle name="Normal 33 2 4 2 18" xfId="32069"/>
    <cellStyle name="Normal 33 2 4 2 19" xfId="33822"/>
    <cellStyle name="Normal 33 2 4 2 2" xfId="4033"/>
    <cellStyle name="Normal 33 2 4 2 20" xfId="36458"/>
    <cellStyle name="Normal 33 2 4 2 21" xfId="38198"/>
    <cellStyle name="Normal 33 2 4 2 22" xfId="39951"/>
    <cellStyle name="Normal 33 2 4 2 23" xfId="41706"/>
    <cellStyle name="Normal 33 2 4 2 24" xfId="43458"/>
    <cellStyle name="Normal 33 2 4 2 25" xfId="46076"/>
    <cellStyle name="Normal 33 2 4 2 26" xfId="47828"/>
    <cellStyle name="Normal 33 2 4 2 27" xfId="49580"/>
    <cellStyle name="Normal 33 2 4 2 28" xfId="51332"/>
    <cellStyle name="Normal 33 2 4 2 29" xfId="53084"/>
    <cellStyle name="Normal 33 2 4 2 3" xfId="5785"/>
    <cellStyle name="Normal 33 2 4 2 30" xfId="54836"/>
    <cellStyle name="Normal 33 2 4 2 31" xfId="56588"/>
    <cellStyle name="Normal 33 2 4 2 32" xfId="58341"/>
    <cellStyle name="Normal 33 2 4 2 33" xfId="60093"/>
    <cellStyle name="Normal 33 2 4 2 34" xfId="61845"/>
    <cellStyle name="Normal 33 2 4 2 4" xfId="7537"/>
    <cellStyle name="Normal 33 2 4 2 5" xfId="9289"/>
    <cellStyle name="Normal 33 2 4 2 6" xfId="11042"/>
    <cellStyle name="Normal 33 2 4 2 7" xfId="12794"/>
    <cellStyle name="Normal 33 2 4 2 8" xfId="14546"/>
    <cellStyle name="Normal 33 2 4 2 9" xfId="16298"/>
    <cellStyle name="Normal 33 2 4 20" xfId="32946"/>
    <cellStyle name="Normal 33 2 4 21" xfId="34693"/>
    <cellStyle name="Normal 33 2 4 22" xfId="35582"/>
    <cellStyle name="Normal 33 2 4 23" xfId="37314"/>
    <cellStyle name="Normal 33 2 4 24" xfId="39075"/>
    <cellStyle name="Normal 33 2 4 25" xfId="40830"/>
    <cellStyle name="Normal 33 2 4 26" xfId="42582"/>
    <cellStyle name="Normal 33 2 4 27" xfId="44314"/>
    <cellStyle name="Normal 33 2 4 28" xfId="45200"/>
    <cellStyle name="Normal 33 2 4 29" xfId="46952"/>
    <cellStyle name="Normal 33 2 4 3" xfId="3157"/>
    <cellStyle name="Normal 33 2 4 30" xfId="48704"/>
    <cellStyle name="Normal 33 2 4 31" xfId="50456"/>
    <cellStyle name="Normal 33 2 4 32" xfId="52208"/>
    <cellStyle name="Normal 33 2 4 33" xfId="53960"/>
    <cellStyle name="Normal 33 2 4 34" xfId="55712"/>
    <cellStyle name="Normal 33 2 4 35" xfId="57465"/>
    <cellStyle name="Normal 33 2 4 36" xfId="59217"/>
    <cellStyle name="Normal 33 2 4 37" xfId="60969"/>
    <cellStyle name="Normal 33 2 4 38" xfId="62701"/>
    <cellStyle name="Normal 33 2 4 39" xfId="63567"/>
    <cellStyle name="Normal 33 2 4 4" xfId="4909"/>
    <cellStyle name="Normal 33 2 4 5" xfId="6661"/>
    <cellStyle name="Normal 33 2 4 6" xfId="8413"/>
    <cellStyle name="Normal 33 2 4 7" xfId="10166"/>
    <cellStyle name="Normal 33 2 4 8" xfId="11918"/>
    <cellStyle name="Normal 33 2 4 9" xfId="13670"/>
    <cellStyle name="Normal 33 2 40" xfId="60533"/>
    <cellStyle name="Normal 33 2 41" xfId="62694"/>
    <cellStyle name="Normal 33 2 42" xfId="63560"/>
    <cellStyle name="Normal 33 2 5" xfId="1523"/>
    <cellStyle name="Normal 33 2 5 10" xfId="17615"/>
    <cellStyle name="Normal 33 2 5 11" xfId="19367"/>
    <cellStyle name="Normal 33 2 5 12" xfId="21120"/>
    <cellStyle name="Normal 33 2 5 13" xfId="22872"/>
    <cellStyle name="Normal 33 2 5 14" xfId="24624"/>
    <cellStyle name="Normal 33 2 5 15" xfId="26376"/>
    <cellStyle name="Normal 33 2 5 16" xfId="28128"/>
    <cellStyle name="Normal 33 2 5 17" xfId="29881"/>
    <cellStyle name="Normal 33 2 5 18" xfId="31633"/>
    <cellStyle name="Normal 33 2 5 19" xfId="33386"/>
    <cellStyle name="Normal 33 2 5 2" xfId="3597"/>
    <cellStyle name="Normal 33 2 5 20" xfId="36022"/>
    <cellStyle name="Normal 33 2 5 21" xfId="37762"/>
    <cellStyle name="Normal 33 2 5 22" xfId="39515"/>
    <cellStyle name="Normal 33 2 5 23" xfId="41270"/>
    <cellStyle name="Normal 33 2 5 24" xfId="43022"/>
    <cellStyle name="Normal 33 2 5 25" xfId="45640"/>
    <cellStyle name="Normal 33 2 5 26" xfId="47392"/>
    <cellStyle name="Normal 33 2 5 27" xfId="49144"/>
    <cellStyle name="Normal 33 2 5 28" xfId="50896"/>
    <cellStyle name="Normal 33 2 5 29" xfId="52648"/>
    <cellStyle name="Normal 33 2 5 3" xfId="5349"/>
    <cellStyle name="Normal 33 2 5 30" xfId="54400"/>
    <cellStyle name="Normal 33 2 5 31" xfId="56152"/>
    <cellStyle name="Normal 33 2 5 32" xfId="57905"/>
    <cellStyle name="Normal 33 2 5 33" xfId="59657"/>
    <cellStyle name="Normal 33 2 5 34" xfId="61409"/>
    <cellStyle name="Normal 33 2 5 4" xfId="7101"/>
    <cellStyle name="Normal 33 2 5 5" xfId="8853"/>
    <cellStyle name="Normal 33 2 5 6" xfId="10606"/>
    <cellStyle name="Normal 33 2 5 7" xfId="12358"/>
    <cellStyle name="Normal 33 2 5 8" xfId="14110"/>
    <cellStyle name="Normal 33 2 5 9" xfId="15862"/>
    <cellStyle name="Normal 33 2 6" xfId="2721"/>
    <cellStyle name="Normal 33 2 7" xfId="4473"/>
    <cellStyle name="Normal 33 2 8" xfId="6225"/>
    <cellStyle name="Normal 33 2 9" xfId="7977"/>
    <cellStyle name="Normal 33 20" xfId="25445"/>
    <cellStyle name="Normal 33 21" xfId="27197"/>
    <cellStyle name="Normal 33 22" xfId="28950"/>
    <cellStyle name="Normal 33 23" xfId="30702"/>
    <cellStyle name="Normal 33 24" xfId="32455"/>
    <cellStyle name="Normal 33 25" xfId="34685"/>
    <cellStyle name="Normal 33 26" xfId="35091"/>
    <cellStyle name="Normal 33 27" xfId="37306"/>
    <cellStyle name="Normal 33 28" xfId="38584"/>
    <cellStyle name="Normal 33 29" xfId="40339"/>
    <cellStyle name="Normal 33 3" xfId="1524"/>
    <cellStyle name="Normal 33 3 10" xfId="11535"/>
    <cellStyle name="Normal 33 3 11" xfId="13287"/>
    <cellStyle name="Normal 33 3 12" xfId="15039"/>
    <cellStyle name="Normal 33 3 13" xfId="16792"/>
    <cellStyle name="Normal 33 3 14" xfId="18544"/>
    <cellStyle name="Normal 33 3 15" xfId="20297"/>
    <cellStyle name="Normal 33 3 16" xfId="22049"/>
    <cellStyle name="Normal 33 3 17" xfId="23801"/>
    <cellStyle name="Normal 33 3 18" xfId="25553"/>
    <cellStyle name="Normal 33 3 19" xfId="27305"/>
    <cellStyle name="Normal 33 3 2" xfId="1525"/>
    <cellStyle name="Normal 33 3 2 10" xfId="13488"/>
    <cellStyle name="Normal 33 3 2 11" xfId="15240"/>
    <cellStyle name="Normal 33 3 2 12" xfId="16993"/>
    <cellStyle name="Normal 33 3 2 13" xfId="18745"/>
    <cellStyle name="Normal 33 3 2 14" xfId="20498"/>
    <cellStyle name="Normal 33 3 2 15" xfId="22250"/>
    <cellStyle name="Normal 33 3 2 16" xfId="24002"/>
    <cellStyle name="Normal 33 3 2 17" xfId="25754"/>
    <cellStyle name="Normal 33 3 2 18" xfId="27506"/>
    <cellStyle name="Normal 33 3 2 19" xfId="29259"/>
    <cellStyle name="Normal 33 3 2 2" xfId="1526"/>
    <cellStyle name="Normal 33 3 2 2 10" xfId="15676"/>
    <cellStyle name="Normal 33 3 2 2 11" xfId="17429"/>
    <cellStyle name="Normal 33 3 2 2 12" xfId="19181"/>
    <cellStyle name="Normal 33 3 2 2 13" xfId="20934"/>
    <cellStyle name="Normal 33 3 2 2 14" xfId="22686"/>
    <cellStyle name="Normal 33 3 2 2 15" xfId="24438"/>
    <cellStyle name="Normal 33 3 2 2 16" xfId="26190"/>
    <cellStyle name="Normal 33 3 2 2 17" xfId="27942"/>
    <cellStyle name="Normal 33 3 2 2 18" xfId="29695"/>
    <cellStyle name="Normal 33 3 2 2 19" xfId="31447"/>
    <cellStyle name="Normal 33 3 2 2 2" xfId="1527"/>
    <cellStyle name="Normal 33 3 2 2 2 10" xfId="18305"/>
    <cellStyle name="Normal 33 3 2 2 2 11" xfId="20057"/>
    <cellStyle name="Normal 33 3 2 2 2 12" xfId="21810"/>
    <cellStyle name="Normal 33 3 2 2 2 13" xfId="23562"/>
    <cellStyle name="Normal 33 3 2 2 2 14" xfId="25314"/>
    <cellStyle name="Normal 33 3 2 2 2 15" xfId="27066"/>
    <cellStyle name="Normal 33 3 2 2 2 16" xfId="28818"/>
    <cellStyle name="Normal 33 3 2 2 2 17" xfId="30571"/>
    <cellStyle name="Normal 33 3 2 2 2 18" xfId="32323"/>
    <cellStyle name="Normal 33 3 2 2 2 19" xfId="34076"/>
    <cellStyle name="Normal 33 3 2 2 2 2" xfId="4287"/>
    <cellStyle name="Normal 33 3 2 2 2 20" xfId="36712"/>
    <cellStyle name="Normal 33 3 2 2 2 21" xfId="38452"/>
    <cellStyle name="Normal 33 3 2 2 2 22" xfId="40205"/>
    <cellStyle name="Normal 33 3 2 2 2 23" xfId="41960"/>
    <cellStyle name="Normal 33 3 2 2 2 24" xfId="43712"/>
    <cellStyle name="Normal 33 3 2 2 2 25" xfId="46330"/>
    <cellStyle name="Normal 33 3 2 2 2 26" xfId="48082"/>
    <cellStyle name="Normal 33 3 2 2 2 27" xfId="49834"/>
    <cellStyle name="Normal 33 3 2 2 2 28" xfId="51586"/>
    <cellStyle name="Normal 33 3 2 2 2 29" xfId="53338"/>
    <cellStyle name="Normal 33 3 2 2 2 3" xfId="6039"/>
    <cellStyle name="Normal 33 3 2 2 2 30" xfId="55090"/>
    <cellStyle name="Normal 33 3 2 2 2 31" xfId="56842"/>
    <cellStyle name="Normal 33 3 2 2 2 32" xfId="58595"/>
    <cellStyle name="Normal 33 3 2 2 2 33" xfId="60347"/>
    <cellStyle name="Normal 33 3 2 2 2 34" xfId="62099"/>
    <cellStyle name="Normal 33 3 2 2 2 4" xfId="7791"/>
    <cellStyle name="Normal 33 3 2 2 2 5" xfId="9543"/>
    <cellStyle name="Normal 33 3 2 2 2 6" xfId="11296"/>
    <cellStyle name="Normal 33 3 2 2 2 7" xfId="13048"/>
    <cellStyle name="Normal 33 3 2 2 2 8" xfId="14800"/>
    <cellStyle name="Normal 33 3 2 2 2 9" xfId="16552"/>
    <cellStyle name="Normal 33 3 2 2 20" xfId="33200"/>
    <cellStyle name="Normal 33 3 2 2 21" xfId="34696"/>
    <cellStyle name="Normal 33 3 2 2 22" xfId="35836"/>
    <cellStyle name="Normal 33 3 2 2 23" xfId="37317"/>
    <cellStyle name="Normal 33 3 2 2 24" xfId="39329"/>
    <cellStyle name="Normal 33 3 2 2 25" xfId="41084"/>
    <cellStyle name="Normal 33 3 2 2 26" xfId="42836"/>
    <cellStyle name="Normal 33 3 2 2 27" xfId="44317"/>
    <cellStyle name="Normal 33 3 2 2 28" xfId="45454"/>
    <cellStyle name="Normal 33 3 2 2 29" xfId="47206"/>
    <cellStyle name="Normal 33 3 2 2 3" xfId="3411"/>
    <cellStyle name="Normal 33 3 2 2 30" xfId="48958"/>
    <cellStyle name="Normal 33 3 2 2 31" xfId="50710"/>
    <cellStyle name="Normal 33 3 2 2 32" xfId="52462"/>
    <cellStyle name="Normal 33 3 2 2 33" xfId="54214"/>
    <cellStyle name="Normal 33 3 2 2 34" xfId="55966"/>
    <cellStyle name="Normal 33 3 2 2 35" xfId="57719"/>
    <cellStyle name="Normal 33 3 2 2 36" xfId="59471"/>
    <cellStyle name="Normal 33 3 2 2 37" xfId="61223"/>
    <cellStyle name="Normal 33 3 2 2 38" xfId="62704"/>
    <cellStyle name="Normal 33 3 2 2 39" xfId="63570"/>
    <cellStyle name="Normal 33 3 2 2 4" xfId="5163"/>
    <cellStyle name="Normal 33 3 2 2 5" xfId="6915"/>
    <cellStyle name="Normal 33 3 2 2 6" xfId="8667"/>
    <cellStyle name="Normal 33 3 2 2 7" xfId="10420"/>
    <cellStyle name="Normal 33 3 2 2 8" xfId="12172"/>
    <cellStyle name="Normal 33 3 2 2 9" xfId="13924"/>
    <cellStyle name="Normal 33 3 2 20" xfId="31011"/>
    <cellStyle name="Normal 33 3 2 21" xfId="32764"/>
    <cellStyle name="Normal 33 3 2 22" xfId="34695"/>
    <cellStyle name="Normal 33 3 2 23" xfId="35400"/>
    <cellStyle name="Normal 33 3 2 24" xfId="37316"/>
    <cellStyle name="Normal 33 3 2 25" xfId="38893"/>
    <cellStyle name="Normal 33 3 2 26" xfId="40648"/>
    <cellStyle name="Normal 33 3 2 27" xfId="42400"/>
    <cellStyle name="Normal 33 3 2 28" xfId="44316"/>
    <cellStyle name="Normal 33 3 2 29" xfId="45018"/>
    <cellStyle name="Normal 33 3 2 3" xfId="1528"/>
    <cellStyle name="Normal 33 3 2 3 10" xfId="17869"/>
    <cellStyle name="Normal 33 3 2 3 11" xfId="19621"/>
    <cellStyle name="Normal 33 3 2 3 12" xfId="21374"/>
    <cellStyle name="Normal 33 3 2 3 13" xfId="23126"/>
    <cellStyle name="Normal 33 3 2 3 14" xfId="24878"/>
    <cellStyle name="Normal 33 3 2 3 15" xfId="26630"/>
    <cellStyle name="Normal 33 3 2 3 16" xfId="28382"/>
    <cellStyle name="Normal 33 3 2 3 17" xfId="30135"/>
    <cellStyle name="Normal 33 3 2 3 18" xfId="31887"/>
    <cellStyle name="Normal 33 3 2 3 19" xfId="33640"/>
    <cellStyle name="Normal 33 3 2 3 2" xfId="3851"/>
    <cellStyle name="Normal 33 3 2 3 20" xfId="36276"/>
    <cellStyle name="Normal 33 3 2 3 21" xfId="38016"/>
    <cellStyle name="Normal 33 3 2 3 22" xfId="39769"/>
    <cellStyle name="Normal 33 3 2 3 23" xfId="41524"/>
    <cellStyle name="Normal 33 3 2 3 24" xfId="43276"/>
    <cellStyle name="Normal 33 3 2 3 25" xfId="45894"/>
    <cellStyle name="Normal 33 3 2 3 26" xfId="47646"/>
    <cellStyle name="Normal 33 3 2 3 27" xfId="49398"/>
    <cellStyle name="Normal 33 3 2 3 28" xfId="51150"/>
    <cellStyle name="Normal 33 3 2 3 29" xfId="52902"/>
    <cellStyle name="Normal 33 3 2 3 3" xfId="5603"/>
    <cellStyle name="Normal 33 3 2 3 30" xfId="54654"/>
    <cellStyle name="Normal 33 3 2 3 31" xfId="56406"/>
    <cellStyle name="Normal 33 3 2 3 32" xfId="58159"/>
    <cellStyle name="Normal 33 3 2 3 33" xfId="59911"/>
    <cellStyle name="Normal 33 3 2 3 34" xfId="61663"/>
    <cellStyle name="Normal 33 3 2 3 4" xfId="7355"/>
    <cellStyle name="Normal 33 3 2 3 5" xfId="9107"/>
    <cellStyle name="Normal 33 3 2 3 6" xfId="10860"/>
    <cellStyle name="Normal 33 3 2 3 7" xfId="12612"/>
    <cellStyle name="Normal 33 3 2 3 8" xfId="14364"/>
    <cellStyle name="Normal 33 3 2 3 9" xfId="16116"/>
    <cellStyle name="Normal 33 3 2 30" xfId="46770"/>
    <cellStyle name="Normal 33 3 2 31" xfId="48522"/>
    <cellStyle name="Normal 33 3 2 32" xfId="50274"/>
    <cellStyle name="Normal 33 3 2 33" xfId="52026"/>
    <cellStyle name="Normal 33 3 2 34" xfId="53778"/>
    <cellStyle name="Normal 33 3 2 35" xfId="55530"/>
    <cellStyle name="Normal 33 3 2 36" xfId="57283"/>
    <cellStyle name="Normal 33 3 2 37" xfId="59035"/>
    <cellStyle name="Normal 33 3 2 38" xfId="60787"/>
    <cellStyle name="Normal 33 3 2 39" xfId="62703"/>
    <cellStyle name="Normal 33 3 2 4" xfId="2975"/>
    <cellStyle name="Normal 33 3 2 40" xfId="63569"/>
    <cellStyle name="Normal 33 3 2 5" xfId="4727"/>
    <cellStyle name="Normal 33 3 2 6" xfId="6479"/>
    <cellStyle name="Normal 33 3 2 7" xfId="8231"/>
    <cellStyle name="Normal 33 3 2 8" xfId="9984"/>
    <cellStyle name="Normal 33 3 2 9" xfId="11736"/>
    <cellStyle name="Normal 33 3 20" xfId="29058"/>
    <cellStyle name="Normal 33 3 21" xfId="30810"/>
    <cellStyle name="Normal 33 3 22" xfId="32563"/>
    <cellStyle name="Normal 33 3 23" xfId="34694"/>
    <cellStyle name="Normal 33 3 24" xfId="35199"/>
    <cellStyle name="Normal 33 3 25" xfId="37315"/>
    <cellStyle name="Normal 33 3 26" xfId="38692"/>
    <cellStyle name="Normal 33 3 27" xfId="40447"/>
    <cellStyle name="Normal 33 3 28" xfId="42199"/>
    <cellStyle name="Normal 33 3 29" xfId="44315"/>
    <cellStyle name="Normal 33 3 3" xfId="1529"/>
    <cellStyle name="Normal 33 3 3 10" xfId="15475"/>
    <cellStyle name="Normal 33 3 3 11" xfId="17228"/>
    <cellStyle name="Normal 33 3 3 12" xfId="18980"/>
    <cellStyle name="Normal 33 3 3 13" xfId="20733"/>
    <cellStyle name="Normal 33 3 3 14" xfId="22485"/>
    <cellStyle name="Normal 33 3 3 15" xfId="24237"/>
    <cellStyle name="Normal 33 3 3 16" xfId="25989"/>
    <cellStyle name="Normal 33 3 3 17" xfId="27741"/>
    <cellStyle name="Normal 33 3 3 18" xfId="29494"/>
    <cellStyle name="Normal 33 3 3 19" xfId="31246"/>
    <cellStyle name="Normal 33 3 3 2" xfId="1530"/>
    <cellStyle name="Normal 33 3 3 2 10" xfId="18104"/>
    <cellStyle name="Normal 33 3 3 2 11" xfId="19856"/>
    <cellStyle name="Normal 33 3 3 2 12" xfId="21609"/>
    <cellStyle name="Normal 33 3 3 2 13" xfId="23361"/>
    <cellStyle name="Normal 33 3 3 2 14" xfId="25113"/>
    <cellStyle name="Normal 33 3 3 2 15" xfId="26865"/>
    <cellStyle name="Normal 33 3 3 2 16" xfId="28617"/>
    <cellStyle name="Normal 33 3 3 2 17" xfId="30370"/>
    <cellStyle name="Normal 33 3 3 2 18" xfId="32122"/>
    <cellStyle name="Normal 33 3 3 2 19" xfId="33875"/>
    <cellStyle name="Normal 33 3 3 2 2" xfId="4086"/>
    <cellStyle name="Normal 33 3 3 2 20" xfId="36511"/>
    <cellStyle name="Normal 33 3 3 2 21" xfId="38251"/>
    <cellStyle name="Normal 33 3 3 2 22" xfId="40004"/>
    <cellStyle name="Normal 33 3 3 2 23" xfId="41759"/>
    <cellStyle name="Normal 33 3 3 2 24" xfId="43511"/>
    <cellStyle name="Normal 33 3 3 2 25" xfId="46129"/>
    <cellStyle name="Normal 33 3 3 2 26" xfId="47881"/>
    <cellStyle name="Normal 33 3 3 2 27" xfId="49633"/>
    <cellStyle name="Normal 33 3 3 2 28" xfId="51385"/>
    <cellStyle name="Normal 33 3 3 2 29" xfId="53137"/>
    <cellStyle name="Normal 33 3 3 2 3" xfId="5838"/>
    <cellStyle name="Normal 33 3 3 2 30" xfId="54889"/>
    <cellStyle name="Normal 33 3 3 2 31" xfId="56641"/>
    <cellStyle name="Normal 33 3 3 2 32" xfId="58394"/>
    <cellStyle name="Normal 33 3 3 2 33" xfId="60146"/>
    <cellStyle name="Normal 33 3 3 2 34" xfId="61898"/>
    <cellStyle name="Normal 33 3 3 2 4" xfId="7590"/>
    <cellStyle name="Normal 33 3 3 2 5" xfId="9342"/>
    <cellStyle name="Normal 33 3 3 2 6" xfId="11095"/>
    <cellStyle name="Normal 33 3 3 2 7" xfId="12847"/>
    <cellStyle name="Normal 33 3 3 2 8" xfId="14599"/>
    <cellStyle name="Normal 33 3 3 2 9" xfId="16351"/>
    <cellStyle name="Normal 33 3 3 20" xfId="32999"/>
    <cellStyle name="Normal 33 3 3 21" xfId="34697"/>
    <cellStyle name="Normal 33 3 3 22" xfId="35635"/>
    <cellStyle name="Normal 33 3 3 23" xfId="37318"/>
    <cellStyle name="Normal 33 3 3 24" xfId="39128"/>
    <cellStyle name="Normal 33 3 3 25" xfId="40883"/>
    <cellStyle name="Normal 33 3 3 26" xfId="42635"/>
    <cellStyle name="Normal 33 3 3 27" xfId="44318"/>
    <cellStyle name="Normal 33 3 3 28" xfId="45253"/>
    <cellStyle name="Normal 33 3 3 29" xfId="47005"/>
    <cellStyle name="Normal 33 3 3 3" xfId="3210"/>
    <cellStyle name="Normal 33 3 3 30" xfId="48757"/>
    <cellStyle name="Normal 33 3 3 31" xfId="50509"/>
    <cellStyle name="Normal 33 3 3 32" xfId="52261"/>
    <cellStyle name="Normal 33 3 3 33" xfId="54013"/>
    <cellStyle name="Normal 33 3 3 34" xfId="55765"/>
    <cellStyle name="Normal 33 3 3 35" xfId="57518"/>
    <cellStyle name="Normal 33 3 3 36" xfId="59270"/>
    <cellStyle name="Normal 33 3 3 37" xfId="61022"/>
    <cellStyle name="Normal 33 3 3 38" xfId="62705"/>
    <cellStyle name="Normal 33 3 3 39" xfId="63571"/>
    <cellStyle name="Normal 33 3 3 4" xfId="4962"/>
    <cellStyle name="Normal 33 3 3 5" xfId="6714"/>
    <cellStyle name="Normal 33 3 3 6" xfId="8466"/>
    <cellStyle name="Normal 33 3 3 7" xfId="10219"/>
    <cellStyle name="Normal 33 3 3 8" xfId="11971"/>
    <cellStyle name="Normal 33 3 3 9" xfId="13723"/>
    <cellStyle name="Normal 33 3 30" xfId="44817"/>
    <cellStyle name="Normal 33 3 31" xfId="46569"/>
    <cellStyle name="Normal 33 3 32" xfId="48321"/>
    <cellStyle name="Normal 33 3 33" xfId="50073"/>
    <cellStyle name="Normal 33 3 34" xfId="51825"/>
    <cellStyle name="Normal 33 3 35" xfId="53577"/>
    <cellStyle name="Normal 33 3 36" xfId="55329"/>
    <cellStyle name="Normal 33 3 37" xfId="57082"/>
    <cellStyle name="Normal 33 3 38" xfId="58834"/>
    <cellStyle name="Normal 33 3 39" xfId="60586"/>
    <cellStyle name="Normal 33 3 4" xfId="1531"/>
    <cellStyle name="Normal 33 3 4 10" xfId="17668"/>
    <cellStyle name="Normal 33 3 4 11" xfId="19420"/>
    <cellStyle name="Normal 33 3 4 12" xfId="21173"/>
    <cellStyle name="Normal 33 3 4 13" xfId="22925"/>
    <cellStyle name="Normal 33 3 4 14" xfId="24677"/>
    <cellStyle name="Normal 33 3 4 15" xfId="26429"/>
    <cellStyle name="Normal 33 3 4 16" xfId="28181"/>
    <cellStyle name="Normal 33 3 4 17" xfId="29934"/>
    <cellStyle name="Normal 33 3 4 18" xfId="31686"/>
    <cellStyle name="Normal 33 3 4 19" xfId="33439"/>
    <cellStyle name="Normal 33 3 4 2" xfId="3650"/>
    <cellStyle name="Normal 33 3 4 20" xfId="36075"/>
    <cellStyle name="Normal 33 3 4 21" xfId="37815"/>
    <cellStyle name="Normal 33 3 4 22" xfId="39568"/>
    <cellStyle name="Normal 33 3 4 23" xfId="41323"/>
    <cellStyle name="Normal 33 3 4 24" xfId="43075"/>
    <cellStyle name="Normal 33 3 4 25" xfId="45693"/>
    <cellStyle name="Normal 33 3 4 26" xfId="47445"/>
    <cellStyle name="Normal 33 3 4 27" xfId="49197"/>
    <cellStyle name="Normal 33 3 4 28" xfId="50949"/>
    <cellStyle name="Normal 33 3 4 29" xfId="52701"/>
    <cellStyle name="Normal 33 3 4 3" xfId="5402"/>
    <cellStyle name="Normal 33 3 4 30" xfId="54453"/>
    <cellStyle name="Normal 33 3 4 31" xfId="56205"/>
    <cellStyle name="Normal 33 3 4 32" xfId="57958"/>
    <cellStyle name="Normal 33 3 4 33" xfId="59710"/>
    <cellStyle name="Normal 33 3 4 34" xfId="61462"/>
    <cellStyle name="Normal 33 3 4 4" xfId="7154"/>
    <cellStyle name="Normal 33 3 4 5" xfId="8906"/>
    <cellStyle name="Normal 33 3 4 6" xfId="10659"/>
    <cellStyle name="Normal 33 3 4 7" xfId="12411"/>
    <cellStyle name="Normal 33 3 4 8" xfId="14163"/>
    <cellStyle name="Normal 33 3 4 9" xfId="15915"/>
    <cellStyle name="Normal 33 3 40" xfId="62702"/>
    <cellStyle name="Normal 33 3 41" xfId="63568"/>
    <cellStyle name="Normal 33 3 5" xfId="2774"/>
    <cellStyle name="Normal 33 3 6" xfId="4526"/>
    <cellStyle name="Normal 33 3 7" xfId="6278"/>
    <cellStyle name="Normal 33 3 8" xfId="8030"/>
    <cellStyle name="Normal 33 3 9" xfId="9783"/>
    <cellStyle name="Normal 33 30" xfId="42091"/>
    <cellStyle name="Normal 33 31" xfId="44306"/>
    <cellStyle name="Normal 33 32" xfId="44709"/>
    <cellStyle name="Normal 33 33" xfId="46461"/>
    <cellStyle name="Normal 33 34" xfId="48213"/>
    <cellStyle name="Normal 33 35" xfId="49965"/>
    <cellStyle name="Normal 33 36" xfId="51717"/>
    <cellStyle name="Normal 33 37" xfId="53469"/>
    <cellStyle name="Normal 33 38" xfId="55221"/>
    <cellStyle name="Normal 33 39" xfId="56974"/>
    <cellStyle name="Normal 33 4" xfId="1532"/>
    <cellStyle name="Normal 33 4 10" xfId="13489"/>
    <cellStyle name="Normal 33 4 11" xfId="15241"/>
    <cellStyle name="Normal 33 4 12" xfId="16994"/>
    <cellStyle name="Normal 33 4 13" xfId="18746"/>
    <cellStyle name="Normal 33 4 14" xfId="20499"/>
    <cellStyle name="Normal 33 4 15" xfId="22251"/>
    <cellStyle name="Normal 33 4 16" xfId="24003"/>
    <cellStyle name="Normal 33 4 17" xfId="25755"/>
    <cellStyle name="Normal 33 4 18" xfId="27507"/>
    <cellStyle name="Normal 33 4 19" xfId="29260"/>
    <cellStyle name="Normal 33 4 2" xfId="1533"/>
    <cellStyle name="Normal 33 4 2 10" xfId="15677"/>
    <cellStyle name="Normal 33 4 2 11" xfId="17430"/>
    <cellStyle name="Normal 33 4 2 12" xfId="19182"/>
    <cellStyle name="Normal 33 4 2 13" xfId="20935"/>
    <cellStyle name="Normal 33 4 2 14" xfId="22687"/>
    <cellStyle name="Normal 33 4 2 15" xfId="24439"/>
    <cellStyle name="Normal 33 4 2 16" xfId="26191"/>
    <cellStyle name="Normal 33 4 2 17" xfId="27943"/>
    <cellStyle name="Normal 33 4 2 18" xfId="29696"/>
    <cellStyle name="Normal 33 4 2 19" xfId="31448"/>
    <cellStyle name="Normal 33 4 2 2" xfId="1534"/>
    <cellStyle name="Normal 33 4 2 2 10" xfId="18306"/>
    <cellStyle name="Normal 33 4 2 2 11" xfId="20058"/>
    <cellStyle name="Normal 33 4 2 2 12" xfId="21811"/>
    <cellStyle name="Normal 33 4 2 2 13" xfId="23563"/>
    <cellStyle name="Normal 33 4 2 2 14" xfId="25315"/>
    <cellStyle name="Normal 33 4 2 2 15" xfId="27067"/>
    <cellStyle name="Normal 33 4 2 2 16" xfId="28819"/>
    <cellStyle name="Normal 33 4 2 2 17" xfId="30572"/>
    <cellStyle name="Normal 33 4 2 2 18" xfId="32324"/>
    <cellStyle name="Normal 33 4 2 2 19" xfId="34077"/>
    <cellStyle name="Normal 33 4 2 2 2" xfId="4288"/>
    <cellStyle name="Normal 33 4 2 2 20" xfId="36713"/>
    <cellStyle name="Normal 33 4 2 2 21" xfId="38453"/>
    <cellStyle name="Normal 33 4 2 2 22" xfId="40206"/>
    <cellStyle name="Normal 33 4 2 2 23" xfId="41961"/>
    <cellStyle name="Normal 33 4 2 2 24" xfId="43713"/>
    <cellStyle name="Normal 33 4 2 2 25" xfId="46331"/>
    <cellStyle name="Normal 33 4 2 2 26" xfId="48083"/>
    <cellStyle name="Normal 33 4 2 2 27" xfId="49835"/>
    <cellStyle name="Normal 33 4 2 2 28" xfId="51587"/>
    <cellStyle name="Normal 33 4 2 2 29" xfId="53339"/>
    <cellStyle name="Normal 33 4 2 2 3" xfId="6040"/>
    <cellStyle name="Normal 33 4 2 2 30" xfId="55091"/>
    <cellStyle name="Normal 33 4 2 2 31" xfId="56843"/>
    <cellStyle name="Normal 33 4 2 2 32" xfId="58596"/>
    <cellStyle name="Normal 33 4 2 2 33" xfId="60348"/>
    <cellStyle name="Normal 33 4 2 2 34" xfId="62100"/>
    <cellStyle name="Normal 33 4 2 2 4" xfId="7792"/>
    <cellStyle name="Normal 33 4 2 2 5" xfId="9544"/>
    <cellStyle name="Normal 33 4 2 2 6" xfId="11297"/>
    <cellStyle name="Normal 33 4 2 2 7" xfId="13049"/>
    <cellStyle name="Normal 33 4 2 2 8" xfId="14801"/>
    <cellStyle name="Normal 33 4 2 2 9" xfId="16553"/>
    <cellStyle name="Normal 33 4 2 20" xfId="33201"/>
    <cellStyle name="Normal 33 4 2 21" xfId="34699"/>
    <cellStyle name="Normal 33 4 2 22" xfId="35837"/>
    <cellStyle name="Normal 33 4 2 23" xfId="37320"/>
    <cellStyle name="Normal 33 4 2 24" xfId="39330"/>
    <cellStyle name="Normal 33 4 2 25" xfId="41085"/>
    <cellStyle name="Normal 33 4 2 26" xfId="42837"/>
    <cellStyle name="Normal 33 4 2 27" xfId="44320"/>
    <cellStyle name="Normal 33 4 2 28" xfId="45455"/>
    <cellStyle name="Normal 33 4 2 29" xfId="47207"/>
    <cellStyle name="Normal 33 4 2 3" xfId="3412"/>
    <cellStyle name="Normal 33 4 2 30" xfId="48959"/>
    <cellStyle name="Normal 33 4 2 31" xfId="50711"/>
    <cellStyle name="Normal 33 4 2 32" xfId="52463"/>
    <cellStyle name="Normal 33 4 2 33" xfId="54215"/>
    <cellStyle name="Normal 33 4 2 34" xfId="55967"/>
    <cellStyle name="Normal 33 4 2 35" xfId="57720"/>
    <cellStyle name="Normal 33 4 2 36" xfId="59472"/>
    <cellStyle name="Normal 33 4 2 37" xfId="61224"/>
    <cellStyle name="Normal 33 4 2 38" xfId="62707"/>
    <cellStyle name="Normal 33 4 2 39" xfId="63573"/>
    <cellStyle name="Normal 33 4 2 4" xfId="5164"/>
    <cellStyle name="Normal 33 4 2 5" xfId="6916"/>
    <cellStyle name="Normal 33 4 2 6" xfId="8668"/>
    <cellStyle name="Normal 33 4 2 7" xfId="10421"/>
    <cellStyle name="Normal 33 4 2 8" xfId="12173"/>
    <cellStyle name="Normal 33 4 2 9" xfId="13925"/>
    <cellStyle name="Normal 33 4 20" xfId="31012"/>
    <cellStyle name="Normal 33 4 21" xfId="32765"/>
    <cellStyle name="Normal 33 4 22" xfId="34698"/>
    <cellStyle name="Normal 33 4 23" xfId="35401"/>
    <cellStyle name="Normal 33 4 24" xfId="37319"/>
    <cellStyle name="Normal 33 4 25" xfId="38894"/>
    <cellStyle name="Normal 33 4 26" xfId="40649"/>
    <cellStyle name="Normal 33 4 27" xfId="42401"/>
    <cellStyle name="Normal 33 4 28" xfId="44319"/>
    <cellStyle name="Normal 33 4 29" xfId="45019"/>
    <cellStyle name="Normal 33 4 3" xfId="1535"/>
    <cellStyle name="Normal 33 4 3 10" xfId="17870"/>
    <cellStyle name="Normal 33 4 3 11" xfId="19622"/>
    <cellStyle name="Normal 33 4 3 12" xfId="21375"/>
    <cellStyle name="Normal 33 4 3 13" xfId="23127"/>
    <cellStyle name="Normal 33 4 3 14" xfId="24879"/>
    <cellStyle name="Normal 33 4 3 15" xfId="26631"/>
    <cellStyle name="Normal 33 4 3 16" xfId="28383"/>
    <cellStyle name="Normal 33 4 3 17" xfId="30136"/>
    <cellStyle name="Normal 33 4 3 18" xfId="31888"/>
    <cellStyle name="Normal 33 4 3 19" xfId="33641"/>
    <cellStyle name="Normal 33 4 3 2" xfId="3852"/>
    <cellStyle name="Normal 33 4 3 20" xfId="36277"/>
    <cellStyle name="Normal 33 4 3 21" xfId="38017"/>
    <cellStyle name="Normal 33 4 3 22" xfId="39770"/>
    <cellStyle name="Normal 33 4 3 23" xfId="41525"/>
    <cellStyle name="Normal 33 4 3 24" xfId="43277"/>
    <cellStyle name="Normal 33 4 3 25" xfId="45895"/>
    <cellStyle name="Normal 33 4 3 26" xfId="47647"/>
    <cellStyle name="Normal 33 4 3 27" xfId="49399"/>
    <cellStyle name="Normal 33 4 3 28" xfId="51151"/>
    <cellStyle name="Normal 33 4 3 29" xfId="52903"/>
    <cellStyle name="Normal 33 4 3 3" xfId="5604"/>
    <cellStyle name="Normal 33 4 3 30" xfId="54655"/>
    <cellStyle name="Normal 33 4 3 31" xfId="56407"/>
    <cellStyle name="Normal 33 4 3 32" xfId="58160"/>
    <cellStyle name="Normal 33 4 3 33" xfId="59912"/>
    <cellStyle name="Normal 33 4 3 34" xfId="61664"/>
    <cellStyle name="Normal 33 4 3 4" xfId="7356"/>
    <cellStyle name="Normal 33 4 3 5" xfId="9108"/>
    <cellStyle name="Normal 33 4 3 6" xfId="10861"/>
    <cellStyle name="Normal 33 4 3 7" xfId="12613"/>
    <cellStyle name="Normal 33 4 3 8" xfId="14365"/>
    <cellStyle name="Normal 33 4 3 9" xfId="16117"/>
    <cellStyle name="Normal 33 4 30" xfId="46771"/>
    <cellStyle name="Normal 33 4 31" xfId="48523"/>
    <cellStyle name="Normal 33 4 32" xfId="50275"/>
    <cellStyle name="Normal 33 4 33" xfId="52027"/>
    <cellStyle name="Normal 33 4 34" xfId="53779"/>
    <cellStyle name="Normal 33 4 35" xfId="55531"/>
    <cellStyle name="Normal 33 4 36" xfId="57284"/>
    <cellStyle name="Normal 33 4 37" xfId="59036"/>
    <cellStyle name="Normal 33 4 38" xfId="60788"/>
    <cellStyle name="Normal 33 4 39" xfId="62706"/>
    <cellStyle name="Normal 33 4 4" xfId="2976"/>
    <cellStyle name="Normal 33 4 40" xfId="63572"/>
    <cellStyle name="Normal 33 4 5" xfId="4728"/>
    <cellStyle name="Normal 33 4 6" xfId="6480"/>
    <cellStyle name="Normal 33 4 7" xfId="8232"/>
    <cellStyle name="Normal 33 4 8" xfId="9985"/>
    <cellStyle name="Normal 33 4 9" xfId="11737"/>
    <cellStyle name="Normal 33 40" xfId="58726"/>
    <cellStyle name="Normal 33 41" xfId="60478"/>
    <cellStyle name="Normal 33 42" xfId="62693"/>
    <cellStyle name="Normal 33 43" xfId="63559"/>
    <cellStyle name="Normal 33 5" xfId="1536"/>
    <cellStyle name="Normal 33 5 10" xfId="15367"/>
    <cellStyle name="Normal 33 5 11" xfId="17120"/>
    <cellStyle name="Normal 33 5 12" xfId="18872"/>
    <cellStyle name="Normal 33 5 13" xfId="20625"/>
    <cellStyle name="Normal 33 5 14" xfId="22377"/>
    <cellStyle name="Normal 33 5 15" xfId="24129"/>
    <cellStyle name="Normal 33 5 16" xfId="25881"/>
    <cellStyle name="Normal 33 5 17" xfId="27633"/>
    <cellStyle name="Normal 33 5 18" xfId="29386"/>
    <cellStyle name="Normal 33 5 19" xfId="31138"/>
    <cellStyle name="Normal 33 5 2" xfId="1537"/>
    <cellStyle name="Normal 33 5 2 10" xfId="17996"/>
    <cellStyle name="Normal 33 5 2 11" xfId="19748"/>
    <cellStyle name="Normal 33 5 2 12" xfId="21501"/>
    <cellStyle name="Normal 33 5 2 13" xfId="23253"/>
    <cellStyle name="Normal 33 5 2 14" xfId="25005"/>
    <cellStyle name="Normal 33 5 2 15" xfId="26757"/>
    <cellStyle name="Normal 33 5 2 16" xfId="28509"/>
    <cellStyle name="Normal 33 5 2 17" xfId="30262"/>
    <cellStyle name="Normal 33 5 2 18" xfId="32014"/>
    <cellStyle name="Normal 33 5 2 19" xfId="33767"/>
    <cellStyle name="Normal 33 5 2 2" xfId="3978"/>
    <cellStyle name="Normal 33 5 2 20" xfId="36403"/>
    <cellStyle name="Normal 33 5 2 21" xfId="38143"/>
    <cellStyle name="Normal 33 5 2 22" xfId="39896"/>
    <cellStyle name="Normal 33 5 2 23" xfId="41651"/>
    <cellStyle name="Normal 33 5 2 24" xfId="43403"/>
    <cellStyle name="Normal 33 5 2 25" xfId="46021"/>
    <cellStyle name="Normal 33 5 2 26" xfId="47773"/>
    <cellStyle name="Normal 33 5 2 27" xfId="49525"/>
    <cellStyle name="Normal 33 5 2 28" xfId="51277"/>
    <cellStyle name="Normal 33 5 2 29" xfId="53029"/>
    <cellStyle name="Normal 33 5 2 3" xfId="5730"/>
    <cellStyle name="Normal 33 5 2 30" xfId="54781"/>
    <cellStyle name="Normal 33 5 2 31" xfId="56533"/>
    <cellStyle name="Normal 33 5 2 32" xfId="58286"/>
    <cellStyle name="Normal 33 5 2 33" xfId="60038"/>
    <cellStyle name="Normal 33 5 2 34" xfId="61790"/>
    <cellStyle name="Normal 33 5 2 4" xfId="7482"/>
    <cellStyle name="Normal 33 5 2 5" xfId="9234"/>
    <cellStyle name="Normal 33 5 2 6" xfId="10987"/>
    <cellStyle name="Normal 33 5 2 7" xfId="12739"/>
    <cellStyle name="Normal 33 5 2 8" xfId="14491"/>
    <cellStyle name="Normal 33 5 2 9" xfId="16243"/>
    <cellStyle name="Normal 33 5 20" xfId="32891"/>
    <cellStyle name="Normal 33 5 21" xfId="34700"/>
    <cellStyle name="Normal 33 5 22" xfId="35527"/>
    <cellStyle name="Normal 33 5 23" xfId="37321"/>
    <cellStyle name="Normal 33 5 24" xfId="39020"/>
    <cellStyle name="Normal 33 5 25" xfId="40775"/>
    <cellStyle name="Normal 33 5 26" xfId="42527"/>
    <cellStyle name="Normal 33 5 27" xfId="44321"/>
    <cellStyle name="Normal 33 5 28" xfId="45145"/>
    <cellStyle name="Normal 33 5 29" xfId="46897"/>
    <cellStyle name="Normal 33 5 3" xfId="3102"/>
    <cellStyle name="Normal 33 5 30" xfId="48649"/>
    <cellStyle name="Normal 33 5 31" xfId="50401"/>
    <cellStyle name="Normal 33 5 32" xfId="52153"/>
    <cellStyle name="Normal 33 5 33" xfId="53905"/>
    <cellStyle name="Normal 33 5 34" xfId="55657"/>
    <cellStyle name="Normal 33 5 35" xfId="57410"/>
    <cellStyle name="Normal 33 5 36" xfId="59162"/>
    <cellStyle name="Normal 33 5 37" xfId="60914"/>
    <cellStyle name="Normal 33 5 38" xfId="62708"/>
    <cellStyle name="Normal 33 5 39" xfId="63574"/>
    <cellStyle name="Normal 33 5 4" xfId="4854"/>
    <cellStyle name="Normal 33 5 5" xfId="6606"/>
    <cellStyle name="Normal 33 5 6" xfId="8358"/>
    <cellStyle name="Normal 33 5 7" xfId="10111"/>
    <cellStyle name="Normal 33 5 8" xfId="11863"/>
    <cellStyle name="Normal 33 5 9" xfId="13615"/>
    <cellStyle name="Normal 33 6" xfId="1538"/>
    <cellStyle name="Normal 33 6 10" xfId="17560"/>
    <cellStyle name="Normal 33 6 11" xfId="19312"/>
    <cellStyle name="Normal 33 6 12" xfId="21065"/>
    <cellStyle name="Normal 33 6 13" xfId="22817"/>
    <cellStyle name="Normal 33 6 14" xfId="24569"/>
    <cellStyle name="Normal 33 6 15" xfId="26321"/>
    <cellStyle name="Normal 33 6 16" xfId="28073"/>
    <cellStyle name="Normal 33 6 17" xfId="29826"/>
    <cellStyle name="Normal 33 6 18" xfId="31578"/>
    <cellStyle name="Normal 33 6 19" xfId="33331"/>
    <cellStyle name="Normal 33 6 2" xfId="3542"/>
    <cellStyle name="Normal 33 6 20" xfId="35967"/>
    <cellStyle name="Normal 33 6 21" xfId="37704"/>
    <cellStyle name="Normal 33 6 22" xfId="39460"/>
    <cellStyle name="Normal 33 6 23" xfId="41215"/>
    <cellStyle name="Normal 33 6 24" xfId="42967"/>
    <cellStyle name="Normal 33 6 25" xfId="45585"/>
    <cellStyle name="Normal 33 6 26" xfId="47337"/>
    <cellStyle name="Normal 33 6 27" xfId="49089"/>
    <cellStyle name="Normal 33 6 28" xfId="50841"/>
    <cellStyle name="Normal 33 6 29" xfId="52593"/>
    <cellStyle name="Normal 33 6 3" xfId="5294"/>
    <cellStyle name="Normal 33 6 30" xfId="54345"/>
    <cellStyle name="Normal 33 6 31" xfId="56097"/>
    <cellStyle name="Normal 33 6 32" xfId="57850"/>
    <cellStyle name="Normal 33 6 33" xfId="59602"/>
    <cellStyle name="Normal 33 6 34" xfId="61354"/>
    <cellStyle name="Normal 33 6 4" xfId="7046"/>
    <cellStyle name="Normal 33 6 5" xfId="8798"/>
    <cellStyle name="Normal 33 6 6" xfId="10551"/>
    <cellStyle name="Normal 33 6 7" xfId="12303"/>
    <cellStyle name="Normal 33 6 8" xfId="14055"/>
    <cellStyle name="Normal 33 6 9" xfId="15807"/>
    <cellStyle name="Normal 33 7" xfId="2666"/>
    <cellStyle name="Normal 33 8" xfId="4418"/>
    <cellStyle name="Normal 33 9" xfId="6170"/>
    <cellStyle name="Normal 34" xfId="1539"/>
    <cellStyle name="Normal 34 10" xfId="7923"/>
    <cellStyle name="Normal 34 11" xfId="9676"/>
    <cellStyle name="Normal 34 12" xfId="11428"/>
    <cellStyle name="Normal 34 13" xfId="13180"/>
    <cellStyle name="Normal 34 14" xfId="14932"/>
    <cellStyle name="Normal 34 15" xfId="16685"/>
    <cellStyle name="Normal 34 16" xfId="18437"/>
    <cellStyle name="Normal 34 17" xfId="20190"/>
    <cellStyle name="Normal 34 18" xfId="21942"/>
    <cellStyle name="Normal 34 19" xfId="23694"/>
    <cellStyle name="Normal 34 2" xfId="1540"/>
    <cellStyle name="Normal 34 2 10" xfId="9731"/>
    <cellStyle name="Normal 34 2 11" xfId="11483"/>
    <cellStyle name="Normal 34 2 12" xfId="13235"/>
    <cellStyle name="Normal 34 2 13" xfId="14987"/>
    <cellStyle name="Normal 34 2 14" xfId="16740"/>
    <cellStyle name="Normal 34 2 15" xfId="18492"/>
    <cellStyle name="Normal 34 2 16" xfId="20245"/>
    <cellStyle name="Normal 34 2 17" xfId="21997"/>
    <cellStyle name="Normal 34 2 18" xfId="23749"/>
    <cellStyle name="Normal 34 2 19" xfId="25501"/>
    <cellStyle name="Normal 34 2 2" xfId="1541"/>
    <cellStyle name="Normal 34 2 2 10" xfId="11591"/>
    <cellStyle name="Normal 34 2 2 11" xfId="13343"/>
    <cellStyle name="Normal 34 2 2 12" xfId="15095"/>
    <cellStyle name="Normal 34 2 2 13" xfId="16848"/>
    <cellStyle name="Normal 34 2 2 14" xfId="18600"/>
    <cellStyle name="Normal 34 2 2 15" xfId="20353"/>
    <cellStyle name="Normal 34 2 2 16" xfId="22105"/>
    <cellStyle name="Normal 34 2 2 17" xfId="23857"/>
    <cellStyle name="Normal 34 2 2 18" xfId="25609"/>
    <cellStyle name="Normal 34 2 2 19" xfId="27361"/>
    <cellStyle name="Normal 34 2 2 2" xfId="1542"/>
    <cellStyle name="Normal 34 2 2 2 10" xfId="13490"/>
    <cellStyle name="Normal 34 2 2 2 11" xfId="15242"/>
    <cellStyle name="Normal 34 2 2 2 12" xfId="16995"/>
    <cellStyle name="Normal 34 2 2 2 13" xfId="18747"/>
    <cellStyle name="Normal 34 2 2 2 14" xfId="20500"/>
    <cellStyle name="Normal 34 2 2 2 15" xfId="22252"/>
    <cellStyle name="Normal 34 2 2 2 16" xfId="24004"/>
    <cellStyle name="Normal 34 2 2 2 17" xfId="25756"/>
    <cellStyle name="Normal 34 2 2 2 18" xfId="27508"/>
    <cellStyle name="Normal 34 2 2 2 19" xfId="29261"/>
    <cellStyle name="Normal 34 2 2 2 2" xfId="1543"/>
    <cellStyle name="Normal 34 2 2 2 2 10" xfId="15678"/>
    <cellStyle name="Normal 34 2 2 2 2 11" xfId="17431"/>
    <cellStyle name="Normal 34 2 2 2 2 12" xfId="19183"/>
    <cellStyle name="Normal 34 2 2 2 2 13" xfId="20936"/>
    <cellStyle name="Normal 34 2 2 2 2 14" xfId="22688"/>
    <cellStyle name="Normal 34 2 2 2 2 15" xfId="24440"/>
    <cellStyle name="Normal 34 2 2 2 2 16" xfId="26192"/>
    <cellStyle name="Normal 34 2 2 2 2 17" xfId="27944"/>
    <cellStyle name="Normal 34 2 2 2 2 18" xfId="29697"/>
    <cellStyle name="Normal 34 2 2 2 2 19" xfId="31449"/>
    <cellStyle name="Normal 34 2 2 2 2 2" xfId="1544"/>
    <cellStyle name="Normal 34 2 2 2 2 2 10" xfId="18307"/>
    <cellStyle name="Normal 34 2 2 2 2 2 11" xfId="20059"/>
    <cellStyle name="Normal 34 2 2 2 2 2 12" xfId="21812"/>
    <cellStyle name="Normal 34 2 2 2 2 2 13" xfId="23564"/>
    <cellStyle name="Normal 34 2 2 2 2 2 14" xfId="25316"/>
    <cellStyle name="Normal 34 2 2 2 2 2 15" xfId="27068"/>
    <cellStyle name="Normal 34 2 2 2 2 2 16" xfId="28820"/>
    <cellStyle name="Normal 34 2 2 2 2 2 17" xfId="30573"/>
    <cellStyle name="Normal 34 2 2 2 2 2 18" xfId="32325"/>
    <cellStyle name="Normal 34 2 2 2 2 2 19" xfId="34078"/>
    <cellStyle name="Normal 34 2 2 2 2 2 2" xfId="4289"/>
    <cellStyle name="Normal 34 2 2 2 2 2 20" xfId="36714"/>
    <cellStyle name="Normal 34 2 2 2 2 2 21" xfId="38454"/>
    <cellStyle name="Normal 34 2 2 2 2 2 22" xfId="40207"/>
    <cellStyle name="Normal 34 2 2 2 2 2 23" xfId="41962"/>
    <cellStyle name="Normal 34 2 2 2 2 2 24" xfId="43714"/>
    <cellStyle name="Normal 34 2 2 2 2 2 25" xfId="46332"/>
    <cellStyle name="Normal 34 2 2 2 2 2 26" xfId="48084"/>
    <cellStyle name="Normal 34 2 2 2 2 2 27" xfId="49836"/>
    <cellStyle name="Normal 34 2 2 2 2 2 28" xfId="51588"/>
    <cellStyle name="Normal 34 2 2 2 2 2 29" xfId="53340"/>
    <cellStyle name="Normal 34 2 2 2 2 2 3" xfId="6041"/>
    <cellStyle name="Normal 34 2 2 2 2 2 30" xfId="55092"/>
    <cellStyle name="Normal 34 2 2 2 2 2 31" xfId="56844"/>
    <cellStyle name="Normal 34 2 2 2 2 2 32" xfId="58597"/>
    <cellStyle name="Normal 34 2 2 2 2 2 33" xfId="60349"/>
    <cellStyle name="Normal 34 2 2 2 2 2 34" xfId="62101"/>
    <cellStyle name="Normal 34 2 2 2 2 2 4" xfId="7793"/>
    <cellStyle name="Normal 34 2 2 2 2 2 5" xfId="9545"/>
    <cellStyle name="Normal 34 2 2 2 2 2 6" xfId="11298"/>
    <cellStyle name="Normal 34 2 2 2 2 2 7" xfId="13050"/>
    <cellStyle name="Normal 34 2 2 2 2 2 8" xfId="14802"/>
    <cellStyle name="Normal 34 2 2 2 2 2 9" xfId="16554"/>
    <cellStyle name="Normal 34 2 2 2 2 20" xfId="33202"/>
    <cellStyle name="Normal 34 2 2 2 2 21" xfId="34705"/>
    <cellStyle name="Normal 34 2 2 2 2 22" xfId="35838"/>
    <cellStyle name="Normal 34 2 2 2 2 23" xfId="37326"/>
    <cellStyle name="Normal 34 2 2 2 2 24" xfId="39331"/>
    <cellStyle name="Normal 34 2 2 2 2 25" xfId="41086"/>
    <cellStyle name="Normal 34 2 2 2 2 26" xfId="42838"/>
    <cellStyle name="Normal 34 2 2 2 2 27" xfId="44326"/>
    <cellStyle name="Normal 34 2 2 2 2 28" xfId="45456"/>
    <cellStyle name="Normal 34 2 2 2 2 29" xfId="47208"/>
    <cellStyle name="Normal 34 2 2 2 2 3" xfId="3413"/>
    <cellStyle name="Normal 34 2 2 2 2 30" xfId="48960"/>
    <cellStyle name="Normal 34 2 2 2 2 31" xfId="50712"/>
    <cellStyle name="Normal 34 2 2 2 2 32" xfId="52464"/>
    <cellStyle name="Normal 34 2 2 2 2 33" xfId="54216"/>
    <cellStyle name="Normal 34 2 2 2 2 34" xfId="55968"/>
    <cellStyle name="Normal 34 2 2 2 2 35" xfId="57721"/>
    <cellStyle name="Normal 34 2 2 2 2 36" xfId="59473"/>
    <cellStyle name="Normal 34 2 2 2 2 37" xfId="61225"/>
    <cellStyle name="Normal 34 2 2 2 2 38" xfId="62713"/>
    <cellStyle name="Normal 34 2 2 2 2 39" xfId="63579"/>
    <cellStyle name="Normal 34 2 2 2 2 4" xfId="5165"/>
    <cellStyle name="Normal 34 2 2 2 2 5" xfId="6917"/>
    <cellStyle name="Normal 34 2 2 2 2 6" xfId="8669"/>
    <cellStyle name="Normal 34 2 2 2 2 7" xfId="10422"/>
    <cellStyle name="Normal 34 2 2 2 2 8" xfId="12174"/>
    <cellStyle name="Normal 34 2 2 2 2 9" xfId="13926"/>
    <cellStyle name="Normal 34 2 2 2 20" xfId="31013"/>
    <cellStyle name="Normal 34 2 2 2 21" xfId="32766"/>
    <cellStyle name="Normal 34 2 2 2 22" xfId="34704"/>
    <cellStyle name="Normal 34 2 2 2 23" xfId="35402"/>
    <cellStyle name="Normal 34 2 2 2 24" xfId="37325"/>
    <cellStyle name="Normal 34 2 2 2 25" xfId="38895"/>
    <cellStyle name="Normal 34 2 2 2 26" xfId="40650"/>
    <cellStyle name="Normal 34 2 2 2 27" xfId="42402"/>
    <cellStyle name="Normal 34 2 2 2 28" xfId="44325"/>
    <cellStyle name="Normal 34 2 2 2 29" xfId="45020"/>
    <cellStyle name="Normal 34 2 2 2 3" xfId="1545"/>
    <cellStyle name="Normal 34 2 2 2 3 10" xfId="17871"/>
    <cellStyle name="Normal 34 2 2 2 3 11" xfId="19623"/>
    <cellStyle name="Normal 34 2 2 2 3 12" xfId="21376"/>
    <cellStyle name="Normal 34 2 2 2 3 13" xfId="23128"/>
    <cellStyle name="Normal 34 2 2 2 3 14" xfId="24880"/>
    <cellStyle name="Normal 34 2 2 2 3 15" xfId="26632"/>
    <cellStyle name="Normal 34 2 2 2 3 16" xfId="28384"/>
    <cellStyle name="Normal 34 2 2 2 3 17" xfId="30137"/>
    <cellStyle name="Normal 34 2 2 2 3 18" xfId="31889"/>
    <cellStyle name="Normal 34 2 2 2 3 19" xfId="33642"/>
    <cellStyle name="Normal 34 2 2 2 3 2" xfId="3853"/>
    <cellStyle name="Normal 34 2 2 2 3 20" xfId="36278"/>
    <cellStyle name="Normal 34 2 2 2 3 21" xfId="38018"/>
    <cellStyle name="Normal 34 2 2 2 3 22" xfId="39771"/>
    <cellStyle name="Normal 34 2 2 2 3 23" xfId="41526"/>
    <cellStyle name="Normal 34 2 2 2 3 24" xfId="43278"/>
    <cellStyle name="Normal 34 2 2 2 3 25" xfId="45896"/>
    <cellStyle name="Normal 34 2 2 2 3 26" xfId="47648"/>
    <cellStyle name="Normal 34 2 2 2 3 27" xfId="49400"/>
    <cellStyle name="Normal 34 2 2 2 3 28" xfId="51152"/>
    <cellStyle name="Normal 34 2 2 2 3 29" xfId="52904"/>
    <cellStyle name="Normal 34 2 2 2 3 3" xfId="5605"/>
    <cellStyle name="Normal 34 2 2 2 3 30" xfId="54656"/>
    <cellStyle name="Normal 34 2 2 2 3 31" xfId="56408"/>
    <cellStyle name="Normal 34 2 2 2 3 32" xfId="58161"/>
    <cellStyle name="Normal 34 2 2 2 3 33" xfId="59913"/>
    <cellStyle name="Normal 34 2 2 2 3 34" xfId="61665"/>
    <cellStyle name="Normal 34 2 2 2 3 4" xfId="7357"/>
    <cellStyle name="Normal 34 2 2 2 3 5" xfId="9109"/>
    <cellStyle name="Normal 34 2 2 2 3 6" xfId="10862"/>
    <cellStyle name="Normal 34 2 2 2 3 7" xfId="12614"/>
    <cellStyle name="Normal 34 2 2 2 3 8" xfId="14366"/>
    <cellStyle name="Normal 34 2 2 2 3 9" xfId="16118"/>
    <cellStyle name="Normal 34 2 2 2 30" xfId="46772"/>
    <cellStyle name="Normal 34 2 2 2 31" xfId="48524"/>
    <cellStyle name="Normal 34 2 2 2 32" xfId="50276"/>
    <cellStyle name="Normal 34 2 2 2 33" xfId="52028"/>
    <cellStyle name="Normal 34 2 2 2 34" xfId="53780"/>
    <cellStyle name="Normal 34 2 2 2 35" xfId="55532"/>
    <cellStyle name="Normal 34 2 2 2 36" xfId="57285"/>
    <cellStyle name="Normal 34 2 2 2 37" xfId="59037"/>
    <cellStyle name="Normal 34 2 2 2 38" xfId="60789"/>
    <cellStyle name="Normal 34 2 2 2 39" xfId="62712"/>
    <cellStyle name="Normal 34 2 2 2 4" xfId="2977"/>
    <cellStyle name="Normal 34 2 2 2 40" xfId="63578"/>
    <cellStyle name="Normal 34 2 2 2 5" xfId="4729"/>
    <cellStyle name="Normal 34 2 2 2 6" xfId="6481"/>
    <cellStyle name="Normal 34 2 2 2 7" xfId="8233"/>
    <cellStyle name="Normal 34 2 2 2 8" xfId="9986"/>
    <cellStyle name="Normal 34 2 2 2 9" xfId="11738"/>
    <cellStyle name="Normal 34 2 2 20" xfId="29114"/>
    <cellStyle name="Normal 34 2 2 21" xfId="30866"/>
    <cellStyle name="Normal 34 2 2 22" xfId="32619"/>
    <cellStyle name="Normal 34 2 2 23" xfId="34703"/>
    <cellStyle name="Normal 34 2 2 24" xfId="35255"/>
    <cellStyle name="Normal 34 2 2 25" xfId="37324"/>
    <cellStyle name="Normal 34 2 2 26" xfId="38748"/>
    <cellStyle name="Normal 34 2 2 27" xfId="40503"/>
    <cellStyle name="Normal 34 2 2 28" xfId="42255"/>
    <cellStyle name="Normal 34 2 2 29" xfId="44324"/>
    <cellStyle name="Normal 34 2 2 3" xfId="1546"/>
    <cellStyle name="Normal 34 2 2 3 10" xfId="15531"/>
    <cellStyle name="Normal 34 2 2 3 11" xfId="17284"/>
    <cellStyle name="Normal 34 2 2 3 12" xfId="19036"/>
    <cellStyle name="Normal 34 2 2 3 13" xfId="20789"/>
    <cellStyle name="Normal 34 2 2 3 14" xfId="22541"/>
    <cellStyle name="Normal 34 2 2 3 15" xfId="24293"/>
    <cellStyle name="Normal 34 2 2 3 16" xfId="26045"/>
    <cellStyle name="Normal 34 2 2 3 17" xfId="27797"/>
    <cellStyle name="Normal 34 2 2 3 18" xfId="29550"/>
    <cellStyle name="Normal 34 2 2 3 19" xfId="31302"/>
    <cellStyle name="Normal 34 2 2 3 2" xfId="1547"/>
    <cellStyle name="Normal 34 2 2 3 2 10" xfId="18160"/>
    <cellStyle name="Normal 34 2 2 3 2 11" xfId="19912"/>
    <cellStyle name="Normal 34 2 2 3 2 12" xfId="21665"/>
    <cellStyle name="Normal 34 2 2 3 2 13" xfId="23417"/>
    <cellStyle name="Normal 34 2 2 3 2 14" xfId="25169"/>
    <cellStyle name="Normal 34 2 2 3 2 15" xfId="26921"/>
    <cellStyle name="Normal 34 2 2 3 2 16" xfId="28673"/>
    <cellStyle name="Normal 34 2 2 3 2 17" xfId="30426"/>
    <cellStyle name="Normal 34 2 2 3 2 18" xfId="32178"/>
    <cellStyle name="Normal 34 2 2 3 2 19" xfId="33931"/>
    <cellStyle name="Normal 34 2 2 3 2 2" xfId="4142"/>
    <cellStyle name="Normal 34 2 2 3 2 20" xfId="36567"/>
    <cellStyle name="Normal 34 2 2 3 2 21" xfId="38307"/>
    <cellStyle name="Normal 34 2 2 3 2 22" xfId="40060"/>
    <cellStyle name="Normal 34 2 2 3 2 23" xfId="41815"/>
    <cellStyle name="Normal 34 2 2 3 2 24" xfId="43567"/>
    <cellStyle name="Normal 34 2 2 3 2 25" xfId="46185"/>
    <cellStyle name="Normal 34 2 2 3 2 26" xfId="47937"/>
    <cellStyle name="Normal 34 2 2 3 2 27" xfId="49689"/>
    <cellStyle name="Normal 34 2 2 3 2 28" xfId="51441"/>
    <cellStyle name="Normal 34 2 2 3 2 29" xfId="53193"/>
    <cellStyle name="Normal 34 2 2 3 2 3" xfId="5894"/>
    <cellStyle name="Normal 34 2 2 3 2 30" xfId="54945"/>
    <cellStyle name="Normal 34 2 2 3 2 31" xfId="56697"/>
    <cellStyle name="Normal 34 2 2 3 2 32" xfId="58450"/>
    <cellStyle name="Normal 34 2 2 3 2 33" xfId="60202"/>
    <cellStyle name="Normal 34 2 2 3 2 34" xfId="61954"/>
    <cellStyle name="Normal 34 2 2 3 2 4" xfId="7646"/>
    <cellStyle name="Normal 34 2 2 3 2 5" xfId="9398"/>
    <cellStyle name="Normal 34 2 2 3 2 6" xfId="11151"/>
    <cellStyle name="Normal 34 2 2 3 2 7" xfId="12903"/>
    <cellStyle name="Normal 34 2 2 3 2 8" xfId="14655"/>
    <cellStyle name="Normal 34 2 2 3 2 9" xfId="16407"/>
    <cellStyle name="Normal 34 2 2 3 20" xfId="33055"/>
    <cellStyle name="Normal 34 2 2 3 21" xfId="34706"/>
    <cellStyle name="Normal 34 2 2 3 22" xfId="35691"/>
    <cellStyle name="Normal 34 2 2 3 23" xfId="37327"/>
    <cellStyle name="Normal 34 2 2 3 24" xfId="39184"/>
    <cellStyle name="Normal 34 2 2 3 25" xfId="40939"/>
    <cellStyle name="Normal 34 2 2 3 26" xfId="42691"/>
    <cellStyle name="Normal 34 2 2 3 27" xfId="44327"/>
    <cellStyle name="Normal 34 2 2 3 28" xfId="45309"/>
    <cellStyle name="Normal 34 2 2 3 29" xfId="47061"/>
    <cellStyle name="Normal 34 2 2 3 3" xfId="3266"/>
    <cellStyle name="Normal 34 2 2 3 30" xfId="48813"/>
    <cellStyle name="Normal 34 2 2 3 31" xfId="50565"/>
    <cellStyle name="Normal 34 2 2 3 32" xfId="52317"/>
    <cellStyle name="Normal 34 2 2 3 33" xfId="54069"/>
    <cellStyle name="Normal 34 2 2 3 34" xfId="55821"/>
    <cellStyle name="Normal 34 2 2 3 35" xfId="57574"/>
    <cellStyle name="Normal 34 2 2 3 36" xfId="59326"/>
    <cellStyle name="Normal 34 2 2 3 37" xfId="61078"/>
    <cellStyle name="Normal 34 2 2 3 38" xfId="62714"/>
    <cellStyle name="Normal 34 2 2 3 39" xfId="63580"/>
    <cellStyle name="Normal 34 2 2 3 4" xfId="5018"/>
    <cellStyle name="Normal 34 2 2 3 5" xfId="6770"/>
    <cellStyle name="Normal 34 2 2 3 6" xfId="8522"/>
    <cellStyle name="Normal 34 2 2 3 7" xfId="10275"/>
    <cellStyle name="Normal 34 2 2 3 8" xfId="12027"/>
    <cellStyle name="Normal 34 2 2 3 9" xfId="13779"/>
    <cellStyle name="Normal 34 2 2 30" xfId="44873"/>
    <cellStyle name="Normal 34 2 2 31" xfId="46625"/>
    <cellStyle name="Normal 34 2 2 32" xfId="48377"/>
    <cellStyle name="Normal 34 2 2 33" xfId="50129"/>
    <cellStyle name="Normal 34 2 2 34" xfId="51881"/>
    <cellStyle name="Normal 34 2 2 35" xfId="53633"/>
    <cellStyle name="Normal 34 2 2 36" xfId="55385"/>
    <cellStyle name="Normal 34 2 2 37" xfId="57138"/>
    <cellStyle name="Normal 34 2 2 38" xfId="58890"/>
    <cellStyle name="Normal 34 2 2 39" xfId="60642"/>
    <cellStyle name="Normal 34 2 2 4" xfId="1548"/>
    <cellStyle name="Normal 34 2 2 4 10" xfId="17724"/>
    <cellStyle name="Normal 34 2 2 4 11" xfId="19476"/>
    <cellStyle name="Normal 34 2 2 4 12" xfId="21229"/>
    <cellStyle name="Normal 34 2 2 4 13" xfId="22981"/>
    <cellStyle name="Normal 34 2 2 4 14" xfId="24733"/>
    <cellStyle name="Normal 34 2 2 4 15" xfId="26485"/>
    <cellStyle name="Normal 34 2 2 4 16" xfId="28237"/>
    <cellStyle name="Normal 34 2 2 4 17" xfId="29990"/>
    <cellStyle name="Normal 34 2 2 4 18" xfId="31742"/>
    <cellStyle name="Normal 34 2 2 4 19" xfId="33495"/>
    <cellStyle name="Normal 34 2 2 4 2" xfId="3706"/>
    <cellStyle name="Normal 34 2 2 4 20" xfId="36131"/>
    <cellStyle name="Normal 34 2 2 4 21" xfId="37871"/>
    <cellStyle name="Normal 34 2 2 4 22" xfId="39624"/>
    <cellStyle name="Normal 34 2 2 4 23" xfId="41379"/>
    <cellStyle name="Normal 34 2 2 4 24" xfId="43131"/>
    <cellStyle name="Normal 34 2 2 4 25" xfId="45749"/>
    <cellStyle name="Normal 34 2 2 4 26" xfId="47501"/>
    <cellStyle name="Normal 34 2 2 4 27" xfId="49253"/>
    <cellStyle name="Normal 34 2 2 4 28" xfId="51005"/>
    <cellStyle name="Normal 34 2 2 4 29" xfId="52757"/>
    <cellStyle name="Normal 34 2 2 4 3" xfId="5458"/>
    <cellStyle name="Normal 34 2 2 4 30" xfId="54509"/>
    <cellStyle name="Normal 34 2 2 4 31" xfId="56261"/>
    <cellStyle name="Normal 34 2 2 4 32" xfId="58014"/>
    <cellStyle name="Normal 34 2 2 4 33" xfId="59766"/>
    <cellStyle name="Normal 34 2 2 4 34" xfId="61518"/>
    <cellStyle name="Normal 34 2 2 4 4" xfId="7210"/>
    <cellStyle name="Normal 34 2 2 4 5" xfId="8962"/>
    <cellStyle name="Normal 34 2 2 4 6" xfId="10715"/>
    <cellStyle name="Normal 34 2 2 4 7" xfId="12467"/>
    <cellStyle name="Normal 34 2 2 4 8" xfId="14219"/>
    <cellStyle name="Normal 34 2 2 4 9" xfId="15971"/>
    <cellStyle name="Normal 34 2 2 40" xfId="62711"/>
    <cellStyle name="Normal 34 2 2 41" xfId="63577"/>
    <cellStyle name="Normal 34 2 2 5" xfId="2830"/>
    <cellStyle name="Normal 34 2 2 6" xfId="4582"/>
    <cellStyle name="Normal 34 2 2 7" xfId="6334"/>
    <cellStyle name="Normal 34 2 2 8" xfId="8086"/>
    <cellStyle name="Normal 34 2 2 9" xfId="9839"/>
    <cellStyle name="Normal 34 2 20" xfId="27253"/>
    <cellStyle name="Normal 34 2 21" xfId="29006"/>
    <cellStyle name="Normal 34 2 22" xfId="30758"/>
    <cellStyle name="Normal 34 2 23" xfId="32511"/>
    <cellStyle name="Normal 34 2 24" xfId="34702"/>
    <cellStyle name="Normal 34 2 25" xfId="35147"/>
    <cellStyle name="Normal 34 2 26" xfId="37323"/>
    <cellStyle name="Normal 34 2 27" xfId="38640"/>
    <cellStyle name="Normal 34 2 28" xfId="40395"/>
    <cellStyle name="Normal 34 2 29" xfId="42147"/>
    <cellStyle name="Normal 34 2 3" xfId="1549"/>
    <cellStyle name="Normal 34 2 3 10" xfId="13491"/>
    <cellStyle name="Normal 34 2 3 11" xfId="15243"/>
    <cellStyle name="Normal 34 2 3 12" xfId="16996"/>
    <cellStyle name="Normal 34 2 3 13" xfId="18748"/>
    <cellStyle name="Normal 34 2 3 14" xfId="20501"/>
    <cellStyle name="Normal 34 2 3 15" xfId="22253"/>
    <cellStyle name="Normal 34 2 3 16" xfId="24005"/>
    <cellStyle name="Normal 34 2 3 17" xfId="25757"/>
    <cellStyle name="Normal 34 2 3 18" xfId="27509"/>
    <cellStyle name="Normal 34 2 3 19" xfId="29262"/>
    <cellStyle name="Normal 34 2 3 2" xfId="1550"/>
    <cellStyle name="Normal 34 2 3 2 10" xfId="15679"/>
    <cellStyle name="Normal 34 2 3 2 11" xfId="17432"/>
    <cellStyle name="Normal 34 2 3 2 12" xfId="19184"/>
    <cellStyle name="Normal 34 2 3 2 13" xfId="20937"/>
    <cellStyle name="Normal 34 2 3 2 14" xfId="22689"/>
    <cellStyle name="Normal 34 2 3 2 15" xfId="24441"/>
    <cellStyle name="Normal 34 2 3 2 16" xfId="26193"/>
    <cellStyle name="Normal 34 2 3 2 17" xfId="27945"/>
    <cellStyle name="Normal 34 2 3 2 18" xfId="29698"/>
    <cellStyle name="Normal 34 2 3 2 19" xfId="31450"/>
    <cellStyle name="Normal 34 2 3 2 2" xfId="1551"/>
    <cellStyle name="Normal 34 2 3 2 2 10" xfId="18308"/>
    <cellStyle name="Normal 34 2 3 2 2 11" xfId="20060"/>
    <cellStyle name="Normal 34 2 3 2 2 12" xfId="21813"/>
    <cellStyle name="Normal 34 2 3 2 2 13" xfId="23565"/>
    <cellStyle name="Normal 34 2 3 2 2 14" xfId="25317"/>
    <cellStyle name="Normal 34 2 3 2 2 15" xfId="27069"/>
    <cellStyle name="Normal 34 2 3 2 2 16" xfId="28821"/>
    <cellStyle name="Normal 34 2 3 2 2 17" xfId="30574"/>
    <cellStyle name="Normal 34 2 3 2 2 18" xfId="32326"/>
    <cellStyle name="Normal 34 2 3 2 2 19" xfId="34079"/>
    <cellStyle name="Normal 34 2 3 2 2 2" xfId="4290"/>
    <cellStyle name="Normal 34 2 3 2 2 20" xfId="36715"/>
    <cellStyle name="Normal 34 2 3 2 2 21" xfId="38455"/>
    <cellStyle name="Normal 34 2 3 2 2 22" xfId="40208"/>
    <cellStyle name="Normal 34 2 3 2 2 23" xfId="41963"/>
    <cellStyle name="Normal 34 2 3 2 2 24" xfId="43715"/>
    <cellStyle name="Normal 34 2 3 2 2 25" xfId="46333"/>
    <cellStyle name="Normal 34 2 3 2 2 26" xfId="48085"/>
    <cellStyle name="Normal 34 2 3 2 2 27" xfId="49837"/>
    <cellStyle name="Normal 34 2 3 2 2 28" xfId="51589"/>
    <cellStyle name="Normal 34 2 3 2 2 29" xfId="53341"/>
    <cellStyle name="Normal 34 2 3 2 2 3" xfId="6042"/>
    <cellStyle name="Normal 34 2 3 2 2 30" xfId="55093"/>
    <cellStyle name="Normal 34 2 3 2 2 31" xfId="56845"/>
    <cellStyle name="Normal 34 2 3 2 2 32" xfId="58598"/>
    <cellStyle name="Normal 34 2 3 2 2 33" xfId="60350"/>
    <cellStyle name="Normal 34 2 3 2 2 34" xfId="62102"/>
    <cellStyle name="Normal 34 2 3 2 2 4" xfId="7794"/>
    <cellStyle name="Normal 34 2 3 2 2 5" xfId="9546"/>
    <cellStyle name="Normal 34 2 3 2 2 6" xfId="11299"/>
    <cellStyle name="Normal 34 2 3 2 2 7" xfId="13051"/>
    <cellStyle name="Normal 34 2 3 2 2 8" xfId="14803"/>
    <cellStyle name="Normal 34 2 3 2 2 9" xfId="16555"/>
    <cellStyle name="Normal 34 2 3 2 20" xfId="33203"/>
    <cellStyle name="Normal 34 2 3 2 21" xfId="34708"/>
    <cellStyle name="Normal 34 2 3 2 22" xfId="35839"/>
    <cellStyle name="Normal 34 2 3 2 23" xfId="37329"/>
    <cellStyle name="Normal 34 2 3 2 24" xfId="39332"/>
    <cellStyle name="Normal 34 2 3 2 25" xfId="41087"/>
    <cellStyle name="Normal 34 2 3 2 26" xfId="42839"/>
    <cellStyle name="Normal 34 2 3 2 27" xfId="44329"/>
    <cellStyle name="Normal 34 2 3 2 28" xfId="45457"/>
    <cellStyle name="Normal 34 2 3 2 29" xfId="47209"/>
    <cellStyle name="Normal 34 2 3 2 3" xfId="3414"/>
    <cellStyle name="Normal 34 2 3 2 30" xfId="48961"/>
    <cellStyle name="Normal 34 2 3 2 31" xfId="50713"/>
    <cellStyle name="Normal 34 2 3 2 32" xfId="52465"/>
    <cellStyle name="Normal 34 2 3 2 33" xfId="54217"/>
    <cellStyle name="Normal 34 2 3 2 34" xfId="55969"/>
    <cellStyle name="Normal 34 2 3 2 35" xfId="57722"/>
    <cellStyle name="Normal 34 2 3 2 36" xfId="59474"/>
    <cellStyle name="Normal 34 2 3 2 37" xfId="61226"/>
    <cellStyle name="Normal 34 2 3 2 38" xfId="62716"/>
    <cellStyle name="Normal 34 2 3 2 39" xfId="63582"/>
    <cellStyle name="Normal 34 2 3 2 4" xfId="5166"/>
    <cellStyle name="Normal 34 2 3 2 5" xfId="6918"/>
    <cellStyle name="Normal 34 2 3 2 6" xfId="8670"/>
    <cellStyle name="Normal 34 2 3 2 7" xfId="10423"/>
    <cellStyle name="Normal 34 2 3 2 8" xfId="12175"/>
    <cellStyle name="Normal 34 2 3 2 9" xfId="13927"/>
    <cellStyle name="Normal 34 2 3 20" xfId="31014"/>
    <cellStyle name="Normal 34 2 3 21" xfId="32767"/>
    <cellStyle name="Normal 34 2 3 22" xfId="34707"/>
    <cellStyle name="Normal 34 2 3 23" xfId="35403"/>
    <cellStyle name="Normal 34 2 3 24" xfId="37328"/>
    <cellStyle name="Normal 34 2 3 25" xfId="38896"/>
    <cellStyle name="Normal 34 2 3 26" xfId="40651"/>
    <cellStyle name="Normal 34 2 3 27" xfId="42403"/>
    <cellStyle name="Normal 34 2 3 28" xfId="44328"/>
    <cellStyle name="Normal 34 2 3 29" xfId="45021"/>
    <cellStyle name="Normal 34 2 3 3" xfId="1552"/>
    <cellStyle name="Normal 34 2 3 3 10" xfId="17872"/>
    <cellStyle name="Normal 34 2 3 3 11" xfId="19624"/>
    <cellStyle name="Normal 34 2 3 3 12" xfId="21377"/>
    <cellStyle name="Normal 34 2 3 3 13" xfId="23129"/>
    <cellStyle name="Normal 34 2 3 3 14" xfId="24881"/>
    <cellStyle name="Normal 34 2 3 3 15" xfId="26633"/>
    <cellStyle name="Normal 34 2 3 3 16" xfId="28385"/>
    <cellStyle name="Normal 34 2 3 3 17" xfId="30138"/>
    <cellStyle name="Normal 34 2 3 3 18" xfId="31890"/>
    <cellStyle name="Normal 34 2 3 3 19" xfId="33643"/>
    <cellStyle name="Normal 34 2 3 3 2" xfId="3854"/>
    <cellStyle name="Normal 34 2 3 3 20" xfId="36279"/>
    <cellStyle name="Normal 34 2 3 3 21" xfId="38019"/>
    <cellStyle name="Normal 34 2 3 3 22" xfId="39772"/>
    <cellStyle name="Normal 34 2 3 3 23" xfId="41527"/>
    <cellStyle name="Normal 34 2 3 3 24" xfId="43279"/>
    <cellStyle name="Normal 34 2 3 3 25" xfId="45897"/>
    <cellStyle name="Normal 34 2 3 3 26" xfId="47649"/>
    <cellStyle name="Normal 34 2 3 3 27" xfId="49401"/>
    <cellStyle name="Normal 34 2 3 3 28" xfId="51153"/>
    <cellStyle name="Normal 34 2 3 3 29" xfId="52905"/>
    <cellStyle name="Normal 34 2 3 3 3" xfId="5606"/>
    <cellStyle name="Normal 34 2 3 3 30" xfId="54657"/>
    <cellStyle name="Normal 34 2 3 3 31" xfId="56409"/>
    <cellStyle name="Normal 34 2 3 3 32" xfId="58162"/>
    <cellStyle name="Normal 34 2 3 3 33" xfId="59914"/>
    <cellStyle name="Normal 34 2 3 3 34" xfId="61666"/>
    <cellStyle name="Normal 34 2 3 3 4" xfId="7358"/>
    <cellStyle name="Normal 34 2 3 3 5" xfId="9110"/>
    <cellStyle name="Normal 34 2 3 3 6" xfId="10863"/>
    <cellStyle name="Normal 34 2 3 3 7" xfId="12615"/>
    <cellStyle name="Normal 34 2 3 3 8" xfId="14367"/>
    <cellStyle name="Normal 34 2 3 3 9" xfId="16119"/>
    <cellStyle name="Normal 34 2 3 30" xfId="46773"/>
    <cellStyle name="Normal 34 2 3 31" xfId="48525"/>
    <cellStyle name="Normal 34 2 3 32" xfId="50277"/>
    <cellStyle name="Normal 34 2 3 33" xfId="52029"/>
    <cellStyle name="Normal 34 2 3 34" xfId="53781"/>
    <cellStyle name="Normal 34 2 3 35" xfId="55533"/>
    <cellStyle name="Normal 34 2 3 36" xfId="57286"/>
    <cellStyle name="Normal 34 2 3 37" xfId="59038"/>
    <cellStyle name="Normal 34 2 3 38" xfId="60790"/>
    <cellStyle name="Normal 34 2 3 39" xfId="62715"/>
    <cellStyle name="Normal 34 2 3 4" xfId="2978"/>
    <cellStyle name="Normal 34 2 3 40" xfId="63581"/>
    <cellStyle name="Normal 34 2 3 5" xfId="4730"/>
    <cellStyle name="Normal 34 2 3 6" xfId="6482"/>
    <cellStyle name="Normal 34 2 3 7" xfId="8234"/>
    <cellStyle name="Normal 34 2 3 8" xfId="9987"/>
    <cellStyle name="Normal 34 2 3 9" xfId="11739"/>
    <cellStyle name="Normal 34 2 30" xfId="44323"/>
    <cellStyle name="Normal 34 2 31" xfId="44765"/>
    <cellStyle name="Normal 34 2 32" xfId="46517"/>
    <cellStyle name="Normal 34 2 33" xfId="48269"/>
    <cellStyle name="Normal 34 2 34" xfId="50021"/>
    <cellStyle name="Normal 34 2 35" xfId="51773"/>
    <cellStyle name="Normal 34 2 36" xfId="53525"/>
    <cellStyle name="Normal 34 2 37" xfId="55277"/>
    <cellStyle name="Normal 34 2 38" xfId="57030"/>
    <cellStyle name="Normal 34 2 39" xfId="58782"/>
    <cellStyle name="Normal 34 2 4" xfId="1553"/>
    <cellStyle name="Normal 34 2 4 10" xfId="15423"/>
    <cellStyle name="Normal 34 2 4 11" xfId="17176"/>
    <cellStyle name="Normal 34 2 4 12" xfId="18928"/>
    <cellStyle name="Normal 34 2 4 13" xfId="20681"/>
    <cellStyle name="Normal 34 2 4 14" xfId="22433"/>
    <cellStyle name="Normal 34 2 4 15" xfId="24185"/>
    <cellStyle name="Normal 34 2 4 16" xfId="25937"/>
    <cellStyle name="Normal 34 2 4 17" xfId="27689"/>
    <cellStyle name="Normal 34 2 4 18" xfId="29442"/>
    <cellStyle name="Normal 34 2 4 19" xfId="31194"/>
    <cellStyle name="Normal 34 2 4 2" xfId="1554"/>
    <cellStyle name="Normal 34 2 4 2 10" xfId="18052"/>
    <cellStyle name="Normal 34 2 4 2 11" xfId="19804"/>
    <cellStyle name="Normal 34 2 4 2 12" xfId="21557"/>
    <cellStyle name="Normal 34 2 4 2 13" xfId="23309"/>
    <cellStyle name="Normal 34 2 4 2 14" xfId="25061"/>
    <cellStyle name="Normal 34 2 4 2 15" xfId="26813"/>
    <cellStyle name="Normal 34 2 4 2 16" xfId="28565"/>
    <cellStyle name="Normal 34 2 4 2 17" xfId="30318"/>
    <cellStyle name="Normal 34 2 4 2 18" xfId="32070"/>
    <cellStyle name="Normal 34 2 4 2 19" xfId="33823"/>
    <cellStyle name="Normal 34 2 4 2 2" xfId="4034"/>
    <cellStyle name="Normal 34 2 4 2 20" xfId="36459"/>
    <cellStyle name="Normal 34 2 4 2 21" xfId="38199"/>
    <cellStyle name="Normal 34 2 4 2 22" xfId="39952"/>
    <cellStyle name="Normal 34 2 4 2 23" xfId="41707"/>
    <cellStyle name="Normal 34 2 4 2 24" xfId="43459"/>
    <cellStyle name="Normal 34 2 4 2 25" xfId="46077"/>
    <cellStyle name="Normal 34 2 4 2 26" xfId="47829"/>
    <cellStyle name="Normal 34 2 4 2 27" xfId="49581"/>
    <cellStyle name="Normal 34 2 4 2 28" xfId="51333"/>
    <cellStyle name="Normal 34 2 4 2 29" xfId="53085"/>
    <cellStyle name="Normal 34 2 4 2 3" xfId="5786"/>
    <cellStyle name="Normal 34 2 4 2 30" xfId="54837"/>
    <cellStyle name="Normal 34 2 4 2 31" xfId="56589"/>
    <cellStyle name="Normal 34 2 4 2 32" xfId="58342"/>
    <cellStyle name="Normal 34 2 4 2 33" xfId="60094"/>
    <cellStyle name="Normal 34 2 4 2 34" xfId="61846"/>
    <cellStyle name="Normal 34 2 4 2 4" xfId="7538"/>
    <cellStyle name="Normal 34 2 4 2 5" xfId="9290"/>
    <cellStyle name="Normal 34 2 4 2 6" xfId="11043"/>
    <cellStyle name="Normal 34 2 4 2 7" xfId="12795"/>
    <cellStyle name="Normal 34 2 4 2 8" xfId="14547"/>
    <cellStyle name="Normal 34 2 4 2 9" xfId="16299"/>
    <cellStyle name="Normal 34 2 4 20" xfId="32947"/>
    <cellStyle name="Normal 34 2 4 21" xfId="34709"/>
    <cellStyle name="Normal 34 2 4 22" xfId="35583"/>
    <cellStyle name="Normal 34 2 4 23" xfId="37330"/>
    <cellStyle name="Normal 34 2 4 24" xfId="39076"/>
    <cellStyle name="Normal 34 2 4 25" xfId="40831"/>
    <cellStyle name="Normal 34 2 4 26" xfId="42583"/>
    <cellStyle name="Normal 34 2 4 27" xfId="44330"/>
    <cellStyle name="Normal 34 2 4 28" xfId="45201"/>
    <cellStyle name="Normal 34 2 4 29" xfId="46953"/>
    <cellStyle name="Normal 34 2 4 3" xfId="3158"/>
    <cellStyle name="Normal 34 2 4 30" xfId="48705"/>
    <cellStyle name="Normal 34 2 4 31" xfId="50457"/>
    <cellStyle name="Normal 34 2 4 32" xfId="52209"/>
    <cellStyle name="Normal 34 2 4 33" xfId="53961"/>
    <cellStyle name="Normal 34 2 4 34" xfId="55713"/>
    <cellStyle name="Normal 34 2 4 35" xfId="57466"/>
    <cellStyle name="Normal 34 2 4 36" xfId="59218"/>
    <cellStyle name="Normal 34 2 4 37" xfId="60970"/>
    <cellStyle name="Normal 34 2 4 38" xfId="62717"/>
    <cellStyle name="Normal 34 2 4 39" xfId="63583"/>
    <cellStyle name="Normal 34 2 4 4" xfId="4910"/>
    <cellStyle name="Normal 34 2 4 5" xfId="6662"/>
    <cellStyle name="Normal 34 2 4 6" xfId="8414"/>
    <cellStyle name="Normal 34 2 4 7" xfId="10167"/>
    <cellStyle name="Normal 34 2 4 8" xfId="11919"/>
    <cellStyle name="Normal 34 2 4 9" xfId="13671"/>
    <cellStyle name="Normal 34 2 40" xfId="60534"/>
    <cellStyle name="Normal 34 2 41" xfId="62710"/>
    <cellStyle name="Normal 34 2 42" xfId="63576"/>
    <cellStyle name="Normal 34 2 5" xfId="1555"/>
    <cellStyle name="Normal 34 2 5 10" xfId="17616"/>
    <cellStyle name="Normal 34 2 5 11" xfId="19368"/>
    <cellStyle name="Normal 34 2 5 12" xfId="21121"/>
    <cellStyle name="Normal 34 2 5 13" xfId="22873"/>
    <cellStyle name="Normal 34 2 5 14" xfId="24625"/>
    <cellStyle name="Normal 34 2 5 15" xfId="26377"/>
    <cellStyle name="Normal 34 2 5 16" xfId="28129"/>
    <cellStyle name="Normal 34 2 5 17" xfId="29882"/>
    <cellStyle name="Normal 34 2 5 18" xfId="31634"/>
    <cellStyle name="Normal 34 2 5 19" xfId="33387"/>
    <cellStyle name="Normal 34 2 5 2" xfId="3598"/>
    <cellStyle name="Normal 34 2 5 20" xfId="36023"/>
    <cellStyle name="Normal 34 2 5 21" xfId="37763"/>
    <cellStyle name="Normal 34 2 5 22" xfId="39516"/>
    <cellStyle name="Normal 34 2 5 23" xfId="41271"/>
    <cellStyle name="Normal 34 2 5 24" xfId="43023"/>
    <cellStyle name="Normal 34 2 5 25" xfId="45641"/>
    <cellStyle name="Normal 34 2 5 26" xfId="47393"/>
    <cellStyle name="Normal 34 2 5 27" xfId="49145"/>
    <cellStyle name="Normal 34 2 5 28" xfId="50897"/>
    <cellStyle name="Normal 34 2 5 29" xfId="52649"/>
    <cellStyle name="Normal 34 2 5 3" xfId="5350"/>
    <cellStyle name="Normal 34 2 5 30" xfId="54401"/>
    <cellStyle name="Normal 34 2 5 31" xfId="56153"/>
    <cellStyle name="Normal 34 2 5 32" xfId="57906"/>
    <cellStyle name="Normal 34 2 5 33" xfId="59658"/>
    <cellStyle name="Normal 34 2 5 34" xfId="61410"/>
    <cellStyle name="Normal 34 2 5 4" xfId="7102"/>
    <cellStyle name="Normal 34 2 5 5" xfId="8854"/>
    <cellStyle name="Normal 34 2 5 6" xfId="10607"/>
    <cellStyle name="Normal 34 2 5 7" xfId="12359"/>
    <cellStyle name="Normal 34 2 5 8" xfId="14111"/>
    <cellStyle name="Normal 34 2 5 9" xfId="15863"/>
    <cellStyle name="Normal 34 2 6" xfId="2722"/>
    <cellStyle name="Normal 34 2 7" xfId="4474"/>
    <cellStyle name="Normal 34 2 8" xfId="6226"/>
    <cellStyle name="Normal 34 2 9" xfId="7978"/>
    <cellStyle name="Normal 34 20" xfId="25446"/>
    <cellStyle name="Normal 34 21" xfId="27198"/>
    <cellStyle name="Normal 34 22" xfId="28951"/>
    <cellStyle name="Normal 34 23" xfId="30703"/>
    <cellStyle name="Normal 34 24" xfId="32456"/>
    <cellStyle name="Normal 34 25" xfId="34701"/>
    <cellStyle name="Normal 34 26" xfId="35092"/>
    <cellStyle name="Normal 34 27" xfId="37322"/>
    <cellStyle name="Normal 34 28" xfId="38585"/>
    <cellStyle name="Normal 34 29" xfId="40340"/>
    <cellStyle name="Normal 34 3" xfId="1556"/>
    <cellStyle name="Normal 34 3 10" xfId="11536"/>
    <cellStyle name="Normal 34 3 11" xfId="13288"/>
    <cellStyle name="Normal 34 3 12" xfId="15040"/>
    <cellStyle name="Normal 34 3 13" xfId="16793"/>
    <cellStyle name="Normal 34 3 14" xfId="18545"/>
    <cellStyle name="Normal 34 3 15" xfId="20298"/>
    <cellStyle name="Normal 34 3 16" xfId="22050"/>
    <cellStyle name="Normal 34 3 17" xfId="23802"/>
    <cellStyle name="Normal 34 3 18" xfId="25554"/>
    <cellStyle name="Normal 34 3 19" xfId="27306"/>
    <cellStyle name="Normal 34 3 2" xfId="1557"/>
    <cellStyle name="Normal 34 3 2 10" xfId="13492"/>
    <cellStyle name="Normal 34 3 2 11" xfId="15244"/>
    <cellStyle name="Normal 34 3 2 12" xfId="16997"/>
    <cellStyle name="Normal 34 3 2 13" xfId="18749"/>
    <cellStyle name="Normal 34 3 2 14" xfId="20502"/>
    <cellStyle name="Normal 34 3 2 15" xfId="22254"/>
    <cellStyle name="Normal 34 3 2 16" xfId="24006"/>
    <cellStyle name="Normal 34 3 2 17" xfId="25758"/>
    <cellStyle name="Normal 34 3 2 18" xfId="27510"/>
    <cellStyle name="Normal 34 3 2 19" xfId="29263"/>
    <cellStyle name="Normal 34 3 2 2" xfId="1558"/>
    <cellStyle name="Normal 34 3 2 2 10" xfId="15680"/>
    <cellStyle name="Normal 34 3 2 2 11" xfId="17433"/>
    <cellStyle name="Normal 34 3 2 2 12" xfId="19185"/>
    <cellStyle name="Normal 34 3 2 2 13" xfId="20938"/>
    <cellStyle name="Normal 34 3 2 2 14" xfId="22690"/>
    <cellStyle name="Normal 34 3 2 2 15" xfId="24442"/>
    <cellStyle name="Normal 34 3 2 2 16" xfId="26194"/>
    <cellStyle name="Normal 34 3 2 2 17" xfId="27946"/>
    <cellStyle name="Normal 34 3 2 2 18" xfId="29699"/>
    <cellStyle name="Normal 34 3 2 2 19" xfId="31451"/>
    <cellStyle name="Normal 34 3 2 2 2" xfId="1559"/>
    <cellStyle name="Normal 34 3 2 2 2 10" xfId="18309"/>
    <cellStyle name="Normal 34 3 2 2 2 11" xfId="20061"/>
    <cellStyle name="Normal 34 3 2 2 2 12" xfId="21814"/>
    <cellStyle name="Normal 34 3 2 2 2 13" xfId="23566"/>
    <cellStyle name="Normal 34 3 2 2 2 14" xfId="25318"/>
    <cellStyle name="Normal 34 3 2 2 2 15" xfId="27070"/>
    <cellStyle name="Normal 34 3 2 2 2 16" xfId="28822"/>
    <cellStyle name="Normal 34 3 2 2 2 17" xfId="30575"/>
    <cellStyle name="Normal 34 3 2 2 2 18" xfId="32327"/>
    <cellStyle name="Normal 34 3 2 2 2 19" xfId="34080"/>
    <cellStyle name="Normal 34 3 2 2 2 2" xfId="4291"/>
    <cellStyle name="Normal 34 3 2 2 2 20" xfId="36716"/>
    <cellStyle name="Normal 34 3 2 2 2 21" xfId="38456"/>
    <cellStyle name="Normal 34 3 2 2 2 22" xfId="40209"/>
    <cellStyle name="Normal 34 3 2 2 2 23" xfId="41964"/>
    <cellStyle name="Normal 34 3 2 2 2 24" xfId="43716"/>
    <cellStyle name="Normal 34 3 2 2 2 25" xfId="46334"/>
    <cellStyle name="Normal 34 3 2 2 2 26" xfId="48086"/>
    <cellStyle name="Normal 34 3 2 2 2 27" xfId="49838"/>
    <cellStyle name="Normal 34 3 2 2 2 28" xfId="51590"/>
    <cellStyle name="Normal 34 3 2 2 2 29" xfId="53342"/>
    <cellStyle name="Normal 34 3 2 2 2 3" xfId="6043"/>
    <cellStyle name="Normal 34 3 2 2 2 30" xfId="55094"/>
    <cellStyle name="Normal 34 3 2 2 2 31" xfId="56846"/>
    <cellStyle name="Normal 34 3 2 2 2 32" xfId="58599"/>
    <cellStyle name="Normal 34 3 2 2 2 33" xfId="60351"/>
    <cellStyle name="Normal 34 3 2 2 2 34" xfId="62103"/>
    <cellStyle name="Normal 34 3 2 2 2 4" xfId="7795"/>
    <cellStyle name="Normal 34 3 2 2 2 5" xfId="9547"/>
    <cellStyle name="Normal 34 3 2 2 2 6" xfId="11300"/>
    <cellStyle name="Normal 34 3 2 2 2 7" xfId="13052"/>
    <cellStyle name="Normal 34 3 2 2 2 8" xfId="14804"/>
    <cellStyle name="Normal 34 3 2 2 2 9" xfId="16556"/>
    <cellStyle name="Normal 34 3 2 2 20" xfId="33204"/>
    <cellStyle name="Normal 34 3 2 2 21" xfId="34712"/>
    <cellStyle name="Normal 34 3 2 2 22" xfId="35840"/>
    <cellStyle name="Normal 34 3 2 2 23" xfId="37333"/>
    <cellStyle name="Normal 34 3 2 2 24" xfId="39333"/>
    <cellStyle name="Normal 34 3 2 2 25" xfId="41088"/>
    <cellStyle name="Normal 34 3 2 2 26" xfId="42840"/>
    <cellStyle name="Normal 34 3 2 2 27" xfId="44333"/>
    <cellStyle name="Normal 34 3 2 2 28" xfId="45458"/>
    <cellStyle name="Normal 34 3 2 2 29" xfId="47210"/>
    <cellStyle name="Normal 34 3 2 2 3" xfId="3415"/>
    <cellStyle name="Normal 34 3 2 2 30" xfId="48962"/>
    <cellStyle name="Normal 34 3 2 2 31" xfId="50714"/>
    <cellStyle name="Normal 34 3 2 2 32" xfId="52466"/>
    <cellStyle name="Normal 34 3 2 2 33" xfId="54218"/>
    <cellStyle name="Normal 34 3 2 2 34" xfId="55970"/>
    <cellStyle name="Normal 34 3 2 2 35" xfId="57723"/>
    <cellStyle name="Normal 34 3 2 2 36" xfId="59475"/>
    <cellStyle name="Normal 34 3 2 2 37" xfId="61227"/>
    <cellStyle name="Normal 34 3 2 2 38" xfId="62720"/>
    <cellStyle name="Normal 34 3 2 2 39" xfId="63586"/>
    <cellStyle name="Normal 34 3 2 2 4" xfId="5167"/>
    <cellStyle name="Normal 34 3 2 2 5" xfId="6919"/>
    <cellStyle name="Normal 34 3 2 2 6" xfId="8671"/>
    <cellStyle name="Normal 34 3 2 2 7" xfId="10424"/>
    <cellStyle name="Normal 34 3 2 2 8" xfId="12176"/>
    <cellStyle name="Normal 34 3 2 2 9" xfId="13928"/>
    <cellStyle name="Normal 34 3 2 20" xfId="31015"/>
    <cellStyle name="Normal 34 3 2 21" xfId="32768"/>
    <cellStyle name="Normal 34 3 2 22" xfId="34711"/>
    <cellStyle name="Normal 34 3 2 23" xfId="35404"/>
    <cellStyle name="Normal 34 3 2 24" xfId="37332"/>
    <cellStyle name="Normal 34 3 2 25" xfId="38897"/>
    <cellStyle name="Normal 34 3 2 26" xfId="40652"/>
    <cellStyle name="Normal 34 3 2 27" xfId="42404"/>
    <cellStyle name="Normal 34 3 2 28" xfId="44332"/>
    <cellStyle name="Normal 34 3 2 29" xfId="45022"/>
    <cellStyle name="Normal 34 3 2 3" xfId="1560"/>
    <cellStyle name="Normal 34 3 2 3 10" xfId="17873"/>
    <cellStyle name="Normal 34 3 2 3 11" xfId="19625"/>
    <cellStyle name="Normal 34 3 2 3 12" xfId="21378"/>
    <cellStyle name="Normal 34 3 2 3 13" xfId="23130"/>
    <cellStyle name="Normal 34 3 2 3 14" xfId="24882"/>
    <cellStyle name="Normal 34 3 2 3 15" xfId="26634"/>
    <cellStyle name="Normal 34 3 2 3 16" xfId="28386"/>
    <cellStyle name="Normal 34 3 2 3 17" xfId="30139"/>
    <cellStyle name="Normal 34 3 2 3 18" xfId="31891"/>
    <cellStyle name="Normal 34 3 2 3 19" xfId="33644"/>
    <cellStyle name="Normal 34 3 2 3 2" xfId="3855"/>
    <cellStyle name="Normal 34 3 2 3 20" xfId="36280"/>
    <cellStyle name="Normal 34 3 2 3 21" xfId="38020"/>
    <cellStyle name="Normal 34 3 2 3 22" xfId="39773"/>
    <cellStyle name="Normal 34 3 2 3 23" xfId="41528"/>
    <cellStyle name="Normal 34 3 2 3 24" xfId="43280"/>
    <cellStyle name="Normal 34 3 2 3 25" xfId="45898"/>
    <cellStyle name="Normal 34 3 2 3 26" xfId="47650"/>
    <cellStyle name="Normal 34 3 2 3 27" xfId="49402"/>
    <cellStyle name="Normal 34 3 2 3 28" xfId="51154"/>
    <cellStyle name="Normal 34 3 2 3 29" xfId="52906"/>
    <cellStyle name="Normal 34 3 2 3 3" xfId="5607"/>
    <cellStyle name="Normal 34 3 2 3 30" xfId="54658"/>
    <cellStyle name="Normal 34 3 2 3 31" xfId="56410"/>
    <cellStyle name="Normal 34 3 2 3 32" xfId="58163"/>
    <cellStyle name="Normal 34 3 2 3 33" xfId="59915"/>
    <cellStyle name="Normal 34 3 2 3 34" xfId="61667"/>
    <cellStyle name="Normal 34 3 2 3 4" xfId="7359"/>
    <cellStyle name="Normal 34 3 2 3 5" xfId="9111"/>
    <cellStyle name="Normal 34 3 2 3 6" xfId="10864"/>
    <cellStyle name="Normal 34 3 2 3 7" xfId="12616"/>
    <cellStyle name="Normal 34 3 2 3 8" xfId="14368"/>
    <cellStyle name="Normal 34 3 2 3 9" xfId="16120"/>
    <cellStyle name="Normal 34 3 2 30" xfId="46774"/>
    <cellStyle name="Normal 34 3 2 31" xfId="48526"/>
    <cellStyle name="Normal 34 3 2 32" xfId="50278"/>
    <cellStyle name="Normal 34 3 2 33" xfId="52030"/>
    <cellStyle name="Normal 34 3 2 34" xfId="53782"/>
    <cellStyle name="Normal 34 3 2 35" xfId="55534"/>
    <cellStyle name="Normal 34 3 2 36" xfId="57287"/>
    <cellStyle name="Normal 34 3 2 37" xfId="59039"/>
    <cellStyle name="Normal 34 3 2 38" xfId="60791"/>
    <cellStyle name="Normal 34 3 2 39" xfId="62719"/>
    <cellStyle name="Normal 34 3 2 4" xfId="2979"/>
    <cellStyle name="Normal 34 3 2 40" xfId="63585"/>
    <cellStyle name="Normal 34 3 2 5" xfId="4731"/>
    <cellStyle name="Normal 34 3 2 6" xfId="6483"/>
    <cellStyle name="Normal 34 3 2 7" xfId="8235"/>
    <cellStyle name="Normal 34 3 2 8" xfId="9988"/>
    <cellStyle name="Normal 34 3 2 9" xfId="11740"/>
    <cellStyle name="Normal 34 3 20" xfId="29059"/>
    <cellStyle name="Normal 34 3 21" xfId="30811"/>
    <cellStyle name="Normal 34 3 22" xfId="32564"/>
    <cellStyle name="Normal 34 3 23" xfId="34710"/>
    <cellStyle name="Normal 34 3 24" xfId="35200"/>
    <cellStyle name="Normal 34 3 25" xfId="37331"/>
    <cellStyle name="Normal 34 3 26" xfId="38693"/>
    <cellStyle name="Normal 34 3 27" xfId="40448"/>
    <cellStyle name="Normal 34 3 28" xfId="42200"/>
    <cellStyle name="Normal 34 3 29" xfId="44331"/>
    <cellStyle name="Normal 34 3 3" xfId="1561"/>
    <cellStyle name="Normal 34 3 3 10" xfId="15476"/>
    <cellStyle name="Normal 34 3 3 11" xfId="17229"/>
    <cellStyle name="Normal 34 3 3 12" xfId="18981"/>
    <cellStyle name="Normal 34 3 3 13" xfId="20734"/>
    <cellStyle name="Normal 34 3 3 14" xfId="22486"/>
    <cellStyle name="Normal 34 3 3 15" xfId="24238"/>
    <cellStyle name="Normal 34 3 3 16" xfId="25990"/>
    <cellStyle name="Normal 34 3 3 17" xfId="27742"/>
    <cellStyle name="Normal 34 3 3 18" xfId="29495"/>
    <cellStyle name="Normal 34 3 3 19" xfId="31247"/>
    <cellStyle name="Normal 34 3 3 2" xfId="1562"/>
    <cellStyle name="Normal 34 3 3 2 10" xfId="18105"/>
    <cellStyle name="Normal 34 3 3 2 11" xfId="19857"/>
    <cellStyle name="Normal 34 3 3 2 12" xfId="21610"/>
    <cellStyle name="Normal 34 3 3 2 13" xfId="23362"/>
    <cellStyle name="Normal 34 3 3 2 14" xfId="25114"/>
    <cellStyle name="Normal 34 3 3 2 15" xfId="26866"/>
    <cellStyle name="Normal 34 3 3 2 16" xfId="28618"/>
    <cellStyle name="Normal 34 3 3 2 17" xfId="30371"/>
    <cellStyle name="Normal 34 3 3 2 18" xfId="32123"/>
    <cellStyle name="Normal 34 3 3 2 19" xfId="33876"/>
    <cellStyle name="Normal 34 3 3 2 2" xfId="4087"/>
    <cellStyle name="Normal 34 3 3 2 20" xfId="36512"/>
    <cellStyle name="Normal 34 3 3 2 21" xfId="38252"/>
    <cellStyle name="Normal 34 3 3 2 22" xfId="40005"/>
    <cellStyle name="Normal 34 3 3 2 23" xfId="41760"/>
    <cellStyle name="Normal 34 3 3 2 24" xfId="43512"/>
    <cellStyle name="Normal 34 3 3 2 25" xfId="46130"/>
    <cellStyle name="Normal 34 3 3 2 26" xfId="47882"/>
    <cellStyle name="Normal 34 3 3 2 27" xfId="49634"/>
    <cellStyle name="Normal 34 3 3 2 28" xfId="51386"/>
    <cellStyle name="Normal 34 3 3 2 29" xfId="53138"/>
    <cellStyle name="Normal 34 3 3 2 3" xfId="5839"/>
    <cellStyle name="Normal 34 3 3 2 30" xfId="54890"/>
    <cellStyle name="Normal 34 3 3 2 31" xfId="56642"/>
    <cellStyle name="Normal 34 3 3 2 32" xfId="58395"/>
    <cellStyle name="Normal 34 3 3 2 33" xfId="60147"/>
    <cellStyle name="Normal 34 3 3 2 34" xfId="61899"/>
    <cellStyle name="Normal 34 3 3 2 4" xfId="7591"/>
    <cellStyle name="Normal 34 3 3 2 5" xfId="9343"/>
    <cellStyle name="Normal 34 3 3 2 6" xfId="11096"/>
    <cellStyle name="Normal 34 3 3 2 7" xfId="12848"/>
    <cellStyle name="Normal 34 3 3 2 8" xfId="14600"/>
    <cellStyle name="Normal 34 3 3 2 9" xfId="16352"/>
    <cellStyle name="Normal 34 3 3 20" xfId="33000"/>
    <cellStyle name="Normal 34 3 3 21" xfId="34713"/>
    <cellStyle name="Normal 34 3 3 22" xfId="35636"/>
    <cellStyle name="Normal 34 3 3 23" xfId="37334"/>
    <cellStyle name="Normal 34 3 3 24" xfId="39129"/>
    <cellStyle name="Normal 34 3 3 25" xfId="40884"/>
    <cellStyle name="Normal 34 3 3 26" xfId="42636"/>
    <cellStyle name="Normal 34 3 3 27" xfId="44334"/>
    <cellStyle name="Normal 34 3 3 28" xfId="45254"/>
    <cellStyle name="Normal 34 3 3 29" xfId="47006"/>
    <cellStyle name="Normal 34 3 3 3" xfId="3211"/>
    <cellStyle name="Normal 34 3 3 30" xfId="48758"/>
    <cellStyle name="Normal 34 3 3 31" xfId="50510"/>
    <cellStyle name="Normal 34 3 3 32" xfId="52262"/>
    <cellStyle name="Normal 34 3 3 33" xfId="54014"/>
    <cellStyle name="Normal 34 3 3 34" xfId="55766"/>
    <cellStyle name="Normal 34 3 3 35" xfId="57519"/>
    <cellStyle name="Normal 34 3 3 36" xfId="59271"/>
    <cellStyle name="Normal 34 3 3 37" xfId="61023"/>
    <cellStyle name="Normal 34 3 3 38" xfId="62721"/>
    <cellStyle name="Normal 34 3 3 39" xfId="63587"/>
    <cellStyle name="Normal 34 3 3 4" xfId="4963"/>
    <cellStyle name="Normal 34 3 3 5" xfId="6715"/>
    <cellStyle name="Normal 34 3 3 6" xfId="8467"/>
    <cellStyle name="Normal 34 3 3 7" xfId="10220"/>
    <cellStyle name="Normal 34 3 3 8" xfId="11972"/>
    <cellStyle name="Normal 34 3 3 9" xfId="13724"/>
    <cellStyle name="Normal 34 3 30" xfId="44818"/>
    <cellStyle name="Normal 34 3 31" xfId="46570"/>
    <cellStyle name="Normal 34 3 32" xfId="48322"/>
    <cellStyle name="Normal 34 3 33" xfId="50074"/>
    <cellStyle name="Normal 34 3 34" xfId="51826"/>
    <cellStyle name="Normal 34 3 35" xfId="53578"/>
    <cellStyle name="Normal 34 3 36" xfId="55330"/>
    <cellStyle name="Normal 34 3 37" xfId="57083"/>
    <cellStyle name="Normal 34 3 38" xfId="58835"/>
    <cellStyle name="Normal 34 3 39" xfId="60587"/>
    <cellStyle name="Normal 34 3 4" xfId="1563"/>
    <cellStyle name="Normal 34 3 4 10" xfId="17669"/>
    <cellStyle name="Normal 34 3 4 11" xfId="19421"/>
    <cellStyle name="Normal 34 3 4 12" xfId="21174"/>
    <cellStyle name="Normal 34 3 4 13" xfId="22926"/>
    <cellStyle name="Normal 34 3 4 14" xfId="24678"/>
    <cellStyle name="Normal 34 3 4 15" xfId="26430"/>
    <cellStyle name="Normal 34 3 4 16" xfId="28182"/>
    <cellStyle name="Normal 34 3 4 17" xfId="29935"/>
    <cellStyle name="Normal 34 3 4 18" xfId="31687"/>
    <cellStyle name="Normal 34 3 4 19" xfId="33440"/>
    <cellStyle name="Normal 34 3 4 2" xfId="3651"/>
    <cellStyle name="Normal 34 3 4 20" xfId="36076"/>
    <cellStyle name="Normal 34 3 4 21" xfId="37816"/>
    <cellStyle name="Normal 34 3 4 22" xfId="39569"/>
    <cellStyle name="Normal 34 3 4 23" xfId="41324"/>
    <cellStyle name="Normal 34 3 4 24" xfId="43076"/>
    <cellStyle name="Normal 34 3 4 25" xfId="45694"/>
    <cellStyle name="Normal 34 3 4 26" xfId="47446"/>
    <cellStyle name="Normal 34 3 4 27" xfId="49198"/>
    <cellStyle name="Normal 34 3 4 28" xfId="50950"/>
    <cellStyle name="Normal 34 3 4 29" xfId="52702"/>
    <cellStyle name="Normal 34 3 4 3" xfId="5403"/>
    <cellStyle name="Normal 34 3 4 30" xfId="54454"/>
    <cellStyle name="Normal 34 3 4 31" xfId="56206"/>
    <cellStyle name="Normal 34 3 4 32" xfId="57959"/>
    <cellStyle name="Normal 34 3 4 33" xfId="59711"/>
    <cellStyle name="Normal 34 3 4 34" xfId="61463"/>
    <cellStyle name="Normal 34 3 4 4" xfId="7155"/>
    <cellStyle name="Normal 34 3 4 5" xfId="8907"/>
    <cellStyle name="Normal 34 3 4 6" xfId="10660"/>
    <cellStyle name="Normal 34 3 4 7" xfId="12412"/>
    <cellStyle name="Normal 34 3 4 8" xfId="14164"/>
    <cellStyle name="Normal 34 3 4 9" xfId="15916"/>
    <cellStyle name="Normal 34 3 40" xfId="62718"/>
    <cellStyle name="Normal 34 3 41" xfId="63584"/>
    <cellStyle name="Normal 34 3 5" xfId="2775"/>
    <cellStyle name="Normal 34 3 6" xfId="4527"/>
    <cellStyle name="Normal 34 3 7" xfId="6279"/>
    <cellStyle name="Normal 34 3 8" xfId="8031"/>
    <cellStyle name="Normal 34 3 9" xfId="9784"/>
    <cellStyle name="Normal 34 30" xfId="42092"/>
    <cellStyle name="Normal 34 31" xfId="44322"/>
    <cellStyle name="Normal 34 32" xfId="44710"/>
    <cellStyle name="Normal 34 33" xfId="46462"/>
    <cellStyle name="Normal 34 34" xfId="48214"/>
    <cellStyle name="Normal 34 35" xfId="49966"/>
    <cellStyle name="Normal 34 36" xfId="51718"/>
    <cellStyle name="Normal 34 37" xfId="53470"/>
    <cellStyle name="Normal 34 38" xfId="55222"/>
    <cellStyle name="Normal 34 39" xfId="56975"/>
    <cellStyle name="Normal 34 4" xfId="1564"/>
    <cellStyle name="Normal 34 4 10" xfId="13493"/>
    <cellStyle name="Normal 34 4 11" xfId="15245"/>
    <cellStyle name="Normal 34 4 12" xfId="16998"/>
    <cellStyle name="Normal 34 4 13" xfId="18750"/>
    <cellStyle name="Normal 34 4 14" xfId="20503"/>
    <cellStyle name="Normal 34 4 15" xfId="22255"/>
    <cellStyle name="Normal 34 4 16" xfId="24007"/>
    <cellStyle name="Normal 34 4 17" xfId="25759"/>
    <cellStyle name="Normal 34 4 18" xfId="27511"/>
    <cellStyle name="Normal 34 4 19" xfId="29264"/>
    <cellStyle name="Normal 34 4 2" xfId="1565"/>
    <cellStyle name="Normal 34 4 2 10" xfId="15681"/>
    <cellStyle name="Normal 34 4 2 11" xfId="17434"/>
    <cellStyle name="Normal 34 4 2 12" xfId="19186"/>
    <cellStyle name="Normal 34 4 2 13" xfId="20939"/>
    <cellStyle name="Normal 34 4 2 14" xfId="22691"/>
    <cellStyle name="Normal 34 4 2 15" xfId="24443"/>
    <cellStyle name="Normal 34 4 2 16" xfId="26195"/>
    <cellStyle name="Normal 34 4 2 17" xfId="27947"/>
    <cellStyle name="Normal 34 4 2 18" xfId="29700"/>
    <cellStyle name="Normal 34 4 2 19" xfId="31452"/>
    <cellStyle name="Normal 34 4 2 2" xfId="1566"/>
    <cellStyle name="Normal 34 4 2 2 10" xfId="18310"/>
    <cellStyle name="Normal 34 4 2 2 11" xfId="20062"/>
    <cellStyle name="Normal 34 4 2 2 12" xfId="21815"/>
    <cellStyle name="Normal 34 4 2 2 13" xfId="23567"/>
    <cellStyle name="Normal 34 4 2 2 14" xfId="25319"/>
    <cellStyle name="Normal 34 4 2 2 15" xfId="27071"/>
    <cellStyle name="Normal 34 4 2 2 16" xfId="28823"/>
    <cellStyle name="Normal 34 4 2 2 17" xfId="30576"/>
    <cellStyle name="Normal 34 4 2 2 18" xfId="32328"/>
    <cellStyle name="Normal 34 4 2 2 19" xfId="34081"/>
    <cellStyle name="Normal 34 4 2 2 2" xfId="4292"/>
    <cellStyle name="Normal 34 4 2 2 20" xfId="36717"/>
    <cellStyle name="Normal 34 4 2 2 21" xfId="38457"/>
    <cellStyle name="Normal 34 4 2 2 22" xfId="40210"/>
    <cellStyle name="Normal 34 4 2 2 23" xfId="41965"/>
    <cellStyle name="Normal 34 4 2 2 24" xfId="43717"/>
    <cellStyle name="Normal 34 4 2 2 25" xfId="46335"/>
    <cellStyle name="Normal 34 4 2 2 26" xfId="48087"/>
    <cellStyle name="Normal 34 4 2 2 27" xfId="49839"/>
    <cellStyle name="Normal 34 4 2 2 28" xfId="51591"/>
    <cellStyle name="Normal 34 4 2 2 29" xfId="53343"/>
    <cellStyle name="Normal 34 4 2 2 3" xfId="6044"/>
    <cellStyle name="Normal 34 4 2 2 30" xfId="55095"/>
    <cellStyle name="Normal 34 4 2 2 31" xfId="56847"/>
    <cellStyle name="Normal 34 4 2 2 32" xfId="58600"/>
    <cellStyle name="Normal 34 4 2 2 33" xfId="60352"/>
    <cellStyle name="Normal 34 4 2 2 34" xfId="62104"/>
    <cellStyle name="Normal 34 4 2 2 4" xfId="7796"/>
    <cellStyle name="Normal 34 4 2 2 5" xfId="9548"/>
    <cellStyle name="Normal 34 4 2 2 6" xfId="11301"/>
    <cellStyle name="Normal 34 4 2 2 7" xfId="13053"/>
    <cellStyle name="Normal 34 4 2 2 8" xfId="14805"/>
    <cellStyle name="Normal 34 4 2 2 9" xfId="16557"/>
    <cellStyle name="Normal 34 4 2 20" xfId="33205"/>
    <cellStyle name="Normal 34 4 2 21" xfId="34715"/>
    <cellStyle name="Normal 34 4 2 22" xfId="35841"/>
    <cellStyle name="Normal 34 4 2 23" xfId="37336"/>
    <cellStyle name="Normal 34 4 2 24" xfId="39334"/>
    <cellStyle name="Normal 34 4 2 25" xfId="41089"/>
    <cellStyle name="Normal 34 4 2 26" xfId="42841"/>
    <cellStyle name="Normal 34 4 2 27" xfId="44336"/>
    <cellStyle name="Normal 34 4 2 28" xfId="45459"/>
    <cellStyle name="Normal 34 4 2 29" xfId="47211"/>
    <cellStyle name="Normal 34 4 2 3" xfId="3416"/>
    <cellStyle name="Normal 34 4 2 30" xfId="48963"/>
    <cellStyle name="Normal 34 4 2 31" xfId="50715"/>
    <cellStyle name="Normal 34 4 2 32" xfId="52467"/>
    <cellStyle name="Normal 34 4 2 33" xfId="54219"/>
    <cellStyle name="Normal 34 4 2 34" xfId="55971"/>
    <cellStyle name="Normal 34 4 2 35" xfId="57724"/>
    <cellStyle name="Normal 34 4 2 36" xfId="59476"/>
    <cellStyle name="Normal 34 4 2 37" xfId="61228"/>
    <cellStyle name="Normal 34 4 2 38" xfId="62723"/>
    <cellStyle name="Normal 34 4 2 39" xfId="63589"/>
    <cellStyle name="Normal 34 4 2 4" xfId="5168"/>
    <cellStyle name="Normal 34 4 2 5" xfId="6920"/>
    <cellStyle name="Normal 34 4 2 6" xfId="8672"/>
    <cellStyle name="Normal 34 4 2 7" xfId="10425"/>
    <cellStyle name="Normal 34 4 2 8" xfId="12177"/>
    <cellStyle name="Normal 34 4 2 9" xfId="13929"/>
    <cellStyle name="Normal 34 4 20" xfId="31016"/>
    <cellStyle name="Normal 34 4 21" xfId="32769"/>
    <cellStyle name="Normal 34 4 22" xfId="34714"/>
    <cellStyle name="Normal 34 4 23" xfId="35405"/>
    <cellStyle name="Normal 34 4 24" xfId="37335"/>
    <cellStyle name="Normal 34 4 25" xfId="38898"/>
    <cellStyle name="Normal 34 4 26" xfId="40653"/>
    <cellStyle name="Normal 34 4 27" xfId="42405"/>
    <cellStyle name="Normal 34 4 28" xfId="44335"/>
    <cellStyle name="Normal 34 4 29" xfId="45023"/>
    <cellStyle name="Normal 34 4 3" xfId="1567"/>
    <cellStyle name="Normal 34 4 3 10" xfId="17874"/>
    <cellStyle name="Normal 34 4 3 11" xfId="19626"/>
    <cellStyle name="Normal 34 4 3 12" xfId="21379"/>
    <cellStyle name="Normal 34 4 3 13" xfId="23131"/>
    <cellStyle name="Normal 34 4 3 14" xfId="24883"/>
    <cellStyle name="Normal 34 4 3 15" xfId="26635"/>
    <cellStyle name="Normal 34 4 3 16" xfId="28387"/>
    <cellStyle name="Normal 34 4 3 17" xfId="30140"/>
    <cellStyle name="Normal 34 4 3 18" xfId="31892"/>
    <cellStyle name="Normal 34 4 3 19" xfId="33645"/>
    <cellStyle name="Normal 34 4 3 2" xfId="3856"/>
    <cellStyle name="Normal 34 4 3 20" xfId="36281"/>
    <cellStyle name="Normal 34 4 3 21" xfId="38021"/>
    <cellStyle name="Normal 34 4 3 22" xfId="39774"/>
    <cellStyle name="Normal 34 4 3 23" xfId="41529"/>
    <cellStyle name="Normal 34 4 3 24" xfId="43281"/>
    <cellStyle name="Normal 34 4 3 25" xfId="45899"/>
    <cellStyle name="Normal 34 4 3 26" xfId="47651"/>
    <cellStyle name="Normal 34 4 3 27" xfId="49403"/>
    <cellStyle name="Normal 34 4 3 28" xfId="51155"/>
    <cellStyle name="Normal 34 4 3 29" xfId="52907"/>
    <cellStyle name="Normal 34 4 3 3" xfId="5608"/>
    <cellStyle name="Normal 34 4 3 30" xfId="54659"/>
    <cellStyle name="Normal 34 4 3 31" xfId="56411"/>
    <cellStyle name="Normal 34 4 3 32" xfId="58164"/>
    <cellStyle name="Normal 34 4 3 33" xfId="59916"/>
    <cellStyle name="Normal 34 4 3 34" xfId="61668"/>
    <cellStyle name="Normal 34 4 3 4" xfId="7360"/>
    <cellStyle name="Normal 34 4 3 5" xfId="9112"/>
    <cellStyle name="Normal 34 4 3 6" xfId="10865"/>
    <cellStyle name="Normal 34 4 3 7" xfId="12617"/>
    <cellStyle name="Normal 34 4 3 8" xfId="14369"/>
    <cellStyle name="Normal 34 4 3 9" xfId="16121"/>
    <cellStyle name="Normal 34 4 30" xfId="46775"/>
    <cellStyle name="Normal 34 4 31" xfId="48527"/>
    <cellStyle name="Normal 34 4 32" xfId="50279"/>
    <cellStyle name="Normal 34 4 33" xfId="52031"/>
    <cellStyle name="Normal 34 4 34" xfId="53783"/>
    <cellStyle name="Normal 34 4 35" xfId="55535"/>
    <cellStyle name="Normal 34 4 36" xfId="57288"/>
    <cellStyle name="Normal 34 4 37" xfId="59040"/>
    <cellStyle name="Normal 34 4 38" xfId="60792"/>
    <cellStyle name="Normal 34 4 39" xfId="62722"/>
    <cellStyle name="Normal 34 4 4" xfId="2980"/>
    <cellStyle name="Normal 34 4 40" xfId="63588"/>
    <cellStyle name="Normal 34 4 5" xfId="4732"/>
    <cellStyle name="Normal 34 4 6" xfId="6484"/>
    <cellStyle name="Normal 34 4 7" xfId="8236"/>
    <cellStyle name="Normal 34 4 8" xfId="9989"/>
    <cellStyle name="Normal 34 4 9" xfId="11741"/>
    <cellStyle name="Normal 34 40" xfId="58727"/>
    <cellStyle name="Normal 34 41" xfId="60479"/>
    <cellStyle name="Normal 34 42" xfId="62709"/>
    <cellStyle name="Normal 34 43" xfId="63575"/>
    <cellStyle name="Normal 34 5" xfId="1568"/>
    <cellStyle name="Normal 34 5 10" xfId="15368"/>
    <cellStyle name="Normal 34 5 11" xfId="17121"/>
    <cellStyle name="Normal 34 5 12" xfId="18873"/>
    <cellStyle name="Normal 34 5 13" xfId="20626"/>
    <cellStyle name="Normal 34 5 14" xfId="22378"/>
    <cellStyle name="Normal 34 5 15" xfId="24130"/>
    <cellStyle name="Normal 34 5 16" xfId="25882"/>
    <cellStyle name="Normal 34 5 17" xfId="27634"/>
    <cellStyle name="Normal 34 5 18" xfId="29387"/>
    <cellStyle name="Normal 34 5 19" xfId="31139"/>
    <cellStyle name="Normal 34 5 2" xfId="1569"/>
    <cellStyle name="Normal 34 5 2 10" xfId="17997"/>
    <cellStyle name="Normal 34 5 2 11" xfId="19749"/>
    <cellStyle name="Normal 34 5 2 12" xfId="21502"/>
    <cellStyle name="Normal 34 5 2 13" xfId="23254"/>
    <cellStyle name="Normal 34 5 2 14" xfId="25006"/>
    <cellStyle name="Normal 34 5 2 15" xfId="26758"/>
    <cellStyle name="Normal 34 5 2 16" xfId="28510"/>
    <cellStyle name="Normal 34 5 2 17" xfId="30263"/>
    <cellStyle name="Normal 34 5 2 18" xfId="32015"/>
    <cellStyle name="Normal 34 5 2 19" xfId="33768"/>
    <cellStyle name="Normal 34 5 2 2" xfId="3979"/>
    <cellStyle name="Normal 34 5 2 20" xfId="36404"/>
    <cellStyle name="Normal 34 5 2 21" xfId="38144"/>
    <cellStyle name="Normal 34 5 2 22" xfId="39897"/>
    <cellStyle name="Normal 34 5 2 23" xfId="41652"/>
    <cellStyle name="Normal 34 5 2 24" xfId="43404"/>
    <cellStyle name="Normal 34 5 2 25" xfId="46022"/>
    <cellStyle name="Normal 34 5 2 26" xfId="47774"/>
    <cellStyle name="Normal 34 5 2 27" xfId="49526"/>
    <cellStyle name="Normal 34 5 2 28" xfId="51278"/>
    <cellStyle name="Normal 34 5 2 29" xfId="53030"/>
    <cellStyle name="Normal 34 5 2 3" xfId="5731"/>
    <cellStyle name="Normal 34 5 2 30" xfId="54782"/>
    <cellStyle name="Normal 34 5 2 31" xfId="56534"/>
    <cellStyle name="Normal 34 5 2 32" xfId="58287"/>
    <cellStyle name="Normal 34 5 2 33" xfId="60039"/>
    <cellStyle name="Normal 34 5 2 34" xfId="61791"/>
    <cellStyle name="Normal 34 5 2 4" xfId="7483"/>
    <cellStyle name="Normal 34 5 2 5" xfId="9235"/>
    <cellStyle name="Normal 34 5 2 6" xfId="10988"/>
    <cellStyle name="Normal 34 5 2 7" xfId="12740"/>
    <cellStyle name="Normal 34 5 2 8" xfId="14492"/>
    <cellStyle name="Normal 34 5 2 9" xfId="16244"/>
    <cellStyle name="Normal 34 5 20" xfId="32892"/>
    <cellStyle name="Normal 34 5 21" xfId="34716"/>
    <cellStyle name="Normal 34 5 22" xfId="35528"/>
    <cellStyle name="Normal 34 5 23" xfId="37337"/>
    <cellStyle name="Normal 34 5 24" xfId="39021"/>
    <cellStyle name="Normal 34 5 25" xfId="40776"/>
    <cellStyle name="Normal 34 5 26" xfId="42528"/>
    <cellStyle name="Normal 34 5 27" xfId="44337"/>
    <cellStyle name="Normal 34 5 28" xfId="45146"/>
    <cellStyle name="Normal 34 5 29" xfId="46898"/>
    <cellStyle name="Normal 34 5 3" xfId="3103"/>
    <cellStyle name="Normal 34 5 30" xfId="48650"/>
    <cellStyle name="Normal 34 5 31" xfId="50402"/>
    <cellStyle name="Normal 34 5 32" xfId="52154"/>
    <cellStyle name="Normal 34 5 33" xfId="53906"/>
    <cellStyle name="Normal 34 5 34" xfId="55658"/>
    <cellStyle name="Normal 34 5 35" xfId="57411"/>
    <cellStyle name="Normal 34 5 36" xfId="59163"/>
    <cellStyle name="Normal 34 5 37" xfId="60915"/>
    <cellStyle name="Normal 34 5 38" xfId="62724"/>
    <cellStyle name="Normal 34 5 39" xfId="63590"/>
    <cellStyle name="Normal 34 5 4" xfId="4855"/>
    <cellStyle name="Normal 34 5 5" xfId="6607"/>
    <cellStyle name="Normal 34 5 6" xfId="8359"/>
    <cellStyle name="Normal 34 5 7" xfId="10112"/>
    <cellStyle name="Normal 34 5 8" xfId="11864"/>
    <cellStyle name="Normal 34 5 9" xfId="13616"/>
    <cellStyle name="Normal 34 6" xfId="1570"/>
    <cellStyle name="Normal 34 6 10" xfId="17561"/>
    <cellStyle name="Normal 34 6 11" xfId="19313"/>
    <cellStyle name="Normal 34 6 12" xfId="21066"/>
    <cellStyle name="Normal 34 6 13" xfId="22818"/>
    <cellStyle name="Normal 34 6 14" xfId="24570"/>
    <cellStyle name="Normal 34 6 15" xfId="26322"/>
    <cellStyle name="Normal 34 6 16" xfId="28074"/>
    <cellStyle name="Normal 34 6 17" xfId="29827"/>
    <cellStyle name="Normal 34 6 18" xfId="31579"/>
    <cellStyle name="Normal 34 6 19" xfId="33332"/>
    <cellStyle name="Normal 34 6 2" xfId="3543"/>
    <cellStyle name="Normal 34 6 20" xfId="35968"/>
    <cellStyle name="Normal 34 6 21" xfId="37705"/>
    <cellStyle name="Normal 34 6 22" xfId="39461"/>
    <cellStyle name="Normal 34 6 23" xfId="41216"/>
    <cellStyle name="Normal 34 6 24" xfId="42968"/>
    <cellStyle name="Normal 34 6 25" xfId="45586"/>
    <cellStyle name="Normal 34 6 26" xfId="47338"/>
    <cellStyle name="Normal 34 6 27" xfId="49090"/>
    <cellStyle name="Normal 34 6 28" xfId="50842"/>
    <cellStyle name="Normal 34 6 29" xfId="52594"/>
    <cellStyle name="Normal 34 6 3" xfId="5295"/>
    <cellStyle name="Normal 34 6 30" xfId="54346"/>
    <cellStyle name="Normal 34 6 31" xfId="56098"/>
    <cellStyle name="Normal 34 6 32" xfId="57851"/>
    <cellStyle name="Normal 34 6 33" xfId="59603"/>
    <cellStyle name="Normal 34 6 34" xfId="61355"/>
    <cellStyle name="Normal 34 6 4" xfId="7047"/>
    <cellStyle name="Normal 34 6 5" xfId="8799"/>
    <cellStyle name="Normal 34 6 6" xfId="10552"/>
    <cellStyle name="Normal 34 6 7" xfId="12304"/>
    <cellStyle name="Normal 34 6 8" xfId="14056"/>
    <cellStyle name="Normal 34 6 9" xfId="15808"/>
    <cellStyle name="Normal 34 7" xfId="2667"/>
    <cellStyle name="Normal 34 8" xfId="4419"/>
    <cellStyle name="Normal 34 9" xfId="6171"/>
    <cellStyle name="Normal 35" xfId="1571"/>
    <cellStyle name="Normal 35 10" xfId="7924"/>
    <cellStyle name="Normal 35 11" xfId="9677"/>
    <cellStyle name="Normal 35 12" xfId="11429"/>
    <cellStyle name="Normal 35 13" xfId="13181"/>
    <cellStyle name="Normal 35 14" xfId="14933"/>
    <cellStyle name="Normal 35 15" xfId="16686"/>
    <cellStyle name="Normal 35 16" xfId="18438"/>
    <cellStyle name="Normal 35 17" xfId="20191"/>
    <cellStyle name="Normal 35 18" xfId="21943"/>
    <cellStyle name="Normal 35 19" xfId="23695"/>
    <cellStyle name="Normal 35 2" xfId="1572"/>
    <cellStyle name="Normal 35 2 10" xfId="9732"/>
    <cellStyle name="Normal 35 2 11" xfId="11484"/>
    <cellStyle name="Normal 35 2 12" xfId="13236"/>
    <cellStyle name="Normal 35 2 13" xfId="14988"/>
    <cellStyle name="Normal 35 2 14" xfId="16741"/>
    <cellStyle name="Normal 35 2 15" xfId="18493"/>
    <cellStyle name="Normal 35 2 16" xfId="20246"/>
    <cellStyle name="Normal 35 2 17" xfId="21998"/>
    <cellStyle name="Normal 35 2 18" xfId="23750"/>
    <cellStyle name="Normal 35 2 19" xfId="25502"/>
    <cellStyle name="Normal 35 2 2" xfId="1573"/>
    <cellStyle name="Normal 35 2 2 10" xfId="11592"/>
    <cellStyle name="Normal 35 2 2 11" xfId="13344"/>
    <cellStyle name="Normal 35 2 2 12" xfId="15096"/>
    <cellStyle name="Normal 35 2 2 13" xfId="16849"/>
    <cellStyle name="Normal 35 2 2 14" xfId="18601"/>
    <cellStyle name="Normal 35 2 2 15" xfId="20354"/>
    <cellStyle name="Normal 35 2 2 16" xfId="22106"/>
    <cellStyle name="Normal 35 2 2 17" xfId="23858"/>
    <cellStyle name="Normal 35 2 2 18" xfId="25610"/>
    <cellStyle name="Normal 35 2 2 19" xfId="27362"/>
    <cellStyle name="Normal 35 2 2 2" xfId="1574"/>
    <cellStyle name="Normal 35 2 2 2 10" xfId="13494"/>
    <cellStyle name="Normal 35 2 2 2 11" xfId="15246"/>
    <cellStyle name="Normal 35 2 2 2 12" xfId="16999"/>
    <cellStyle name="Normal 35 2 2 2 13" xfId="18751"/>
    <cellStyle name="Normal 35 2 2 2 14" xfId="20504"/>
    <cellStyle name="Normal 35 2 2 2 15" xfId="22256"/>
    <cellStyle name="Normal 35 2 2 2 16" xfId="24008"/>
    <cellStyle name="Normal 35 2 2 2 17" xfId="25760"/>
    <cellStyle name="Normal 35 2 2 2 18" xfId="27512"/>
    <cellStyle name="Normal 35 2 2 2 19" xfId="29265"/>
    <cellStyle name="Normal 35 2 2 2 2" xfId="1575"/>
    <cellStyle name="Normal 35 2 2 2 2 10" xfId="15682"/>
    <cellStyle name="Normal 35 2 2 2 2 11" xfId="17435"/>
    <cellStyle name="Normal 35 2 2 2 2 12" xfId="19187"/>
    <cellStyle name="Normal 35 2 2 2 2 13" xfId="20940"/>
    <cellStyle name="Normal 35 2 2 2 2 14" xfId="22692"/>
    <cellStyle name="Normal 35 2 2 2 2 15" xfId="24444"/>
    <cellStyle name="Normal 35 2 2 2 2 16" xfId="26196"/>
    <cellStyle name="Normal 35 2 2 2 2 17" xfId="27948"/>
    <cellStyle name="Normal 35 2 2 2 2 18" xfId="29701"/>
    <cellStyle name="Normal 35 2 2 2 2 19" xfId="31453"/>
    <cellStyle name="Normal 35 2 2 2 2 2" xfId="1576"/>
    <cellStyle name="Normal 35 2 2 2 2 2 10" xfId="18311"/>
    <cellStyle name="Normal 35 2 2 2 2 2 11" xfId="20063"/>
    <cellStyle name="Normal 35 2 2 2 2 2 12" xfId="21816"/>
    <cellStyle name="Normal 35 2 2 2 2 2 13" xfId="23568"/>
    <cellStyle name="Normal 35 2 2 2 2 2 14" xfId="25320"/>
    <cellStyle name="Normal 35 2 2 2 2 2 15" xfId="27072"/>
    <cellStyle name="Normal 35 2 2 2 2 2 16" xfId="28824"/>
    <cellStyle name="Normal 35 2 2 2 2 2 17" xfId="30577"/>
    <cellStyle name="Normal 35 2 2 2 2 2 18" xfId="32329"/>
    <cellStyle name="Normal 35 2 2 2 2 2 19" xfId="34082"/>
    <cellStyle name="Normal 35 2 2 2 2 2 2" xfId="4293"/>
    <cellStyle name="Normal 35 2 2 2 2 2 20" xfId="36718"/>
    <cellStyle name="Normal 35 2 2 2 2 2 21" xfId="38458"/>
    <cellStyle name="Normal 35 2 2 2 2 2 22" xfId="40211"/>
    <cellStyle name="Normal 35 2 2 2 2 2 23" xfId="41966"/>
    <cellStyle name="Normal 35 2 2 2 2 2 24" xfId="43718"/>
    <cellStyle name="Normal 35 2 2 2 2 2 25" xfId="46336"/>
    <cellStyle name="Normal 35 2 2 2 2 2 26" xfId="48088"/>
    <cellStyle name="Normal 35 2 2 2 2 2 27" xfId="49840"/>
    <cellStyle name="Normal 35 2 2 2 2 2 28" xfId="51592"/>
    <cellStyle name="Normal 35 2 2 2 2 2 29" xfId="53344"/>
    <cellStyle name="Normal 35 2 2 2 2 2 3" xfId="6045"/>
    <cellStyle name="Normal 35 2 2 2 2 2 30" xfId="55096"/>
    <cellStyle name="Normal 35 2 2 2 2 2 31" xfId="56848"/>
    <cellStyle name="Normal 35 2 2 2 2 2 32" xfId="58601"/>
    <cellStyle name="Normal 35 2 2 2 2 2 33" xfId="60353"/>
    <cellStyle name="Normal 35 2 2 2 2 2 34" xfId="62105"/>
    <cellStyle name="Normal 35 2 2 2 2 2 4" xfId="7797"/>
    <cellStyle name="Normal 35 2 2 2 2 2 5" xfId="9549"/>
    <cellStyle name="Normal 35 2 2 2 2 2 6" xfId="11302"/>
    <cellStyle name="Normal 35 2 2 2 2 2 7" xfId="13054"/>
    <cellStyle name="Normal 35 2 2 2 2 2 8" xfId="14806"/>
    <cellStyle name="Normal 35 2 2 2 2 2 9" xfId="16558"/>
    <cellStyle name="Normal 35 2 2 2 2 20" xfId="33206"/>
    <cellStyle name="Normal 35 2 2 2 2 21" xfId="34721"/>
    <cellStyle name="Normal 35 2 2 2 2 22" xfId="35842"/>
    <cellStyle name="Normal 35 2 2 2 2 23" xfId="37342"/>
    <cellStyle name="Normal 35 2 2 2 2 24" xfId="39335"/>
    <cellStyle name="Normal 35 2 2 2 2 25" xfId="41090"/>
    <cellStyle name="Normal 35 2 2 2 2 26" xfId="42842"/>
    <cellStyle name="Normal 35 2 2 2 2 27" xfId="44342"/>
    <cellStyle name="Normal 35 2 2 2 2 28" xfId="45460"/>
    <cellStyle name="Normal 35 2 2 2 2 29" xfId="47212"/>
    <cellStyle name="Normal 35 2 2 2 2 3" xfId="3417"/>
    <cellStyle name="Normal 35 2 2 2 2 30" xfId="48964"/>
    <cellStyle name="Normal 35 2 2 2 2 31" xfId="50716"/>
    <cellStyle name="Normal 35 2 2 2 2 32" xfId="52468"/>
    <cellStyle name="Normal 35 2 2 2 2 33" xfId="54220"/>
    <cellStyle name="Normal 35 2 2 2 2 34" xfId="55972"/>
    <cellStyle name="Normal 35 2 2 2 2 35" xfId="57725"/>
    <cellStyle name="Normal 35 2 2 2 2 36" xfId="59477"/>
    <cellStyle name="Normal 35 2 2 2 2 37" xfId="61229"/>
    <cellStyle name="Normal 35 2 2 2 2 38" xfId="62729"/>
    <cellStyle name="Normal 35 2 2 2 2 39" xfId="63595"/>
    <cellStyle name="Normal 35 2 2 2 2 4" xfId="5169"/>
    <cellStyle name="Normal 35 2 2 2 2 5" xfId="6921"/>
    <cellStyle name="Normal 35 2 2 2 2 6" xfId="8673"/>
    <cellStyle name="Normal 35 2 2 2 2 7" xfId="10426"/>
    <cellStyle name="Normal 35 2 2 2 2 8" xfId="12178"/>
    <cellStyle name="Normal 35 2 2 2 2 9" xfId="13930"/>
    <cellStyle name="Normal 35 2 2 2 20" xfId="31017"/>
    <cellStyle name="Normal 35 2 2 2 21" xfId="32770"/>
    <cellStyle name="Normal 35 2 2 2 22" xfId="34720"/>
    <cellStyle name="Normal 35 2 2 2 23" xfId="35406"/>
    <cellStyle name="Normal 35 2 2 2 24" xfId="37341"/>
    <cellStyle name="Normal 35 2 2 2 25" xfId="38899"/>
    <cellStyle name="Normal 35 2 2 2 26" xfId="40654"/>
    <cellStyle name="Normal 35 2 2 2 27" xfId="42406"/>
    <cellStyle name="Normal 35 2 2 2 28" xfId="44341"/>
    <cellStyle name="Normal 35 2 2 2 29" xfId="45024"/>
    <cellStyle name="Normal 35 2 2 2 3" xfId="1577"/>
    <cellStyle name="Normal 35 2 2 2 3 10" xfId="17875"/>
    <cellStyle name="Normal 35 2 2 2 3 11" xfId="19627"/>
    <cellStyle name="Normal 35 2 2 2 3 12" xfId="21380"/>
    <cellStyle name="Normal 35 2 2 2 3 13" xfId="23132"/>
    <cellStyle name="Normal 35 2 2 2 3 14" xfId="24884"/>
    <cellStyle name="Normal 35 2 2 2 3 15" xfId="26636"/>
    <cellStyle name="Normal 35 2 2 2 3 16" xfId="28388"/>
    <cellStyle name="Normal 35 2 2 2 3 17" xfId="30141"/>
    <cellStyle name="Normal 35 2 2 2 3 18" xfId="31893"/>
    <cellStyle name="Normal 35 2 2 2 3 19" xfId="33646"/>
    <cellStyle name="Normal 35 2 2 2 3 2" xfId="3857"/>
    <cellStyle name="Normal 35 2 2 2 3 20" xfId="36282"/>
    <cellStyle name="Normal 35 2 2 2 3 21" xfId="38022"/>
    <cellStyle name="Normal 35 2 2 2 3 22" xfId="39775"/>
    <cellStyle name="Normal 35 2 2 2 3 23" xfId="41530"/>
    <cellStyle name="Normal 35 2 2 2 3 24" xfId="43282"/>
    <cellStyle name="Normal 35 2 2 2 3 25" xfId="45900"/>
    <cellStyle name="Normal 35 2 2 2 3 26" xfId="47652"/>
    <cellStyle name="Normal 35 2 2 2 3 27" xfId="49404"/>
    <cellStyle name="Normal 35 2 2 2 3 28" xfId="51156"/>
    <cellStyle name="Normal 35 2 2 2 3 29" xfId="52908"/>
    <cellStyle name="Normal 35 2 2 2 3 3" xfId="5609"/>
    <cellStyle name="Normal 35 2 2 2 3 30" xfId="54660"/>
    <cellStyle name="Normal 35 2 2 2 3 31" xfId="56412"/>
    <cellStyle name="Normal 35 2 2 2 3 32" xfId="58165"/>
    <cellStyle name="Normal 35 2 2 2 3 33" xfId="59917"/>
    <cellStyle name="Normal 35 2 2 2 3 34" xfId="61669"/>
    <cellStyle name="Normal 35 2 2 2 3 4" xfId="7361"/>
    <cellStyle name="Normal 35 2 2 2 3 5" xfId="9113"/>
    <cellStyle name="Normal 35 2 2 2 3 6" xfId="10866"/>
    <cellStyle name="Normal 35 2 2 2 3 7" xfId="12618"/>
    <cellStyle name="Normal 35 2 2 2 3 8" xfId="14370"/>
    <cellStyle name="Normal 35 2 2 2 3 9" xfId="16122"/>
    <cellStyle name="Normal 35 2 2 2 30" xfId="46776"/>
    <cellStyle name="Normal 35 2 2 2 31" xfId="48528"/>
    <cellStyle name="Normal 35 2 2 2 32" xfId="50280"/>
    <cellStyle name="Normal 35 2 2 2 33" xfId="52032"/>
    <cellStyle name="Normal 35 2 2 2 34" xfId="53784"/>
    <cellStyle name="Normal 35 2 2 2 35" xfId="55536"/>
    <cellStyle name="Normal 35 2 2 2 36" xfId="57289"/>
    <cellStyle name="Normal 35 2 2 2 37" xfId="59041"/>
    <cellStyle name="Normal 35 2 2 2 38" xfId="60793"/>
    <cellStyle name="Normal 35 2 2 2 39" xfId="62728"/>
    <cellStyle name="Normal 35 2 2 2 4" xfId="2981"/>
    <cellStyle name="Normal 35 2 2 2 40" xfId="63594"/>
    <cellStyle name="Normal 35 2 2 2 5" xfId="4733"/>
    <cellStyle name="Normal 35 2 2 2 6" xfId="6485"/>
    <cellStyle name="Normal 35 2 2 2 7" xfId="8237"/>
    <cellStyle name="Normal 35 2 2 2 8" xfId="9990"/>
    <cellStyle name="Normal 35 2 2 2 9" xfId="11742"/>
    <cellStyle name="Normal 35 2 2 20" xfId="29115"/>
    <cellStyle name="Normal 35 2 2 21" xfId="30867"/>
    <cellStyle name="Normal 35 2 2 22" xfId="32620"/>
    <cellStyle name="Normal 35 2 2 23" xfId="34719"/>
    <cellStyle name="Normal 35 2 2 24" xfId="35256"/>
    <cellStyle name="Normal 35 2 2 25" xfId="37340"/>
    <cellStyle name="Normal 35 2 2 26" xfId="38749"/>
    <cellStyle name="Normal 35 2 2 27" xfId="40504"/>
    <cellStyle name="Normal 35 2 2 28" xfId="42256"/>
    <cellStyle name="Normal 35 2 2 29" xfId="44340"/>
    <cellStyle name="Normal 35 2 2 3" xfId="1578"/>
    <cellStyle name="Normal 35 2 2 3 10" xfId="15532"/>
    <cellStyle name="Normal 35 2 2 3 11" xfId="17285"/>
    <cellStyle name="Normal 35 2 2 3 12" xfId="19037"/>
    <cellStyle name="Normal 35 2 2 3 13" xfId="20790"/>
    <cellStyle name="Normal 35 2 2 3 14" xfId="22542"/>
    <cellStyle name="Normal 35 2 2 3 15" xfId="24294"/>
    <cellStyle name="Normal 35 2 2 3 16" xfId="26046"/>
    <cellStyle name="Normal 35 2 2 3 17" xfId="27798"/>
    <cellStyle name="Normal 35 2 2 3 18" xfId="29551"/>
    <cellStyle name="Normal 35 2 2 3 19" xfId="31303"/>
    <cellStyle name="Normal 35 2 2 3 2" xfId="1579"/>
    <cellStyle name="Normal 35 2 2 3 2 10" xfId="18161"/>
    <cellStyle name="Normal 35 2 2 3 2 11" xfId="19913"/>
    <cellStyle name="Normal 35 2 2 3 2 12" xfId="21666"/>
    <cellStyle name="Normal 35 2 2 3 2 13" xfId="23418"/>
    <cellStyle name="Normal 35 2 2 3 2 14" xfId="25170"/>
    <cellStyle name="Normal 35 2 2 3 2 15" xfId="26922"/>
    <cellStyle name="Normal 35 2 2 3 2 16" xfId="28674"/>
    <cellStyle name="Normal 35 2 2 3 2 17" xfId="30427"/>
    <cellStyle name="Normal 35 2 2 3 2 18" xfId="32179"/>
    <cellStyle name="Normal 35 2 2 3 2 19" xfId="33932"/>
    <cellStyle name="Normal 35 2 2 3 2 2" xfId="4143"/>
    <cellStyle name="Normal 35 2 2 3 2 20" xfId="36568"/>
    <cellStyle name="Normal 35 2 2 3 2 21" xfId="38308"/>
    <cellStyle name="Normal 35 2 2 3 2 22" xfId="40061"/>
    <cellStyle name="Normal 35 2 2 3 2 23" xfId="41816"/>
    <cellStyle name="Normal 35 2 2 3 2 24" xfId="43568"/>
    <cellStyle name="Normal 35 2 2 3 2 25" xfId="46186"/>
    <cellStyle name="Normal 35 2 2 3 2 26" xfId="47938"/>
    <cellStyle name="Normal 35 2 2 3 2 27" xfId="49690"/>
    <cellStyle name="Normal 35 2 2 3 2 28" xfId="51442"/>
    <cellStyle name="Normal 35 2 2 3 2 29" xfId="53194"/>
    <cellStyle name="Normal 35 2 2 3 2 3" xfId="5895"/>
    <cellStyle name="Normal 35 2 2 3 2 30" xfId="54946"/>
    <cellStyle name="Normal 35 2 2 3 2 31" xfId="56698"/>
    <cellStyle name="Normal 35 2 2 3 2 32" xfId="58451"/>
    <cellStyle name="Normal 35 2 2 3 2 33" xfId="60203"/>
    <cellStyle name="Normal 35 2 2 3 2 34" xfId="61955"/>
    <cellStyle name="Normal 35 2 2 3 2 4" xfId="7647"/>
    <cellStyle name="Normal 35 2 2 3 2 5" xfId="9399"/>
    <cellStyle name="Normal 35 2 2 3 2 6" xfId="11152"/>
    <cellStyle name="Normal 35 2 2 3 2 7" xfId="12904"/>
    <cellStyle name="Normal 35 2 2 3 2 8" xfId="14656"/>
    <cellStyle name="Normal 35 2 2 3 2 9" xfId="16408"/>
    <cellStyle name="Normal 35 2 2 3 20" xfId="33056"/>
    <cellStyle name="Normal 35 2 2 3 21" xfId="34722"/>
    <cellStyle name="Normal 35 2 2 3 22" xfId="35692"/>
    <cellStyle name="Normal 35 2 2 3 23" xfId="37343"/>
    <cellStyle name="Normal 35 2 2 3 24" xfId="39185"/>
    <cellStyle name="Normal 35 2 2 3 25" xfId="40940"/>
    <cellStyle name="Normal 35 2 2 3 26" xfId="42692"/>
    <cellStyle name="Normal 35 2 2 3 27" xfId="44343"/>
    <cellStyle name="Normal 35 2 2 3 28" xfId="45310"/>
    <cellStyle name="Normal 35 2 2 3 29" xfId="47062"/>
    <cellStyle name="Normal 35 2 2 3 3" xfId="3267"/>
    <cellStyle name="Normal 35 2 2 3 30" xfId="48814"/>
    <cellStyle name="Normal 35 2 2 3 31" xfId="50566"/>
    <cellStyle name="Normal 35 2 2 3 32" xfId="52318"/>
    <cellStyle name="Normal 35 2 2 3 33" xfId="54070"/>
    <cellStyle name="Normal 35 2 2 3 34" xfId="55822"/>
    <cellStyle name="Normal 35 2 2 3 35" xfId="57575"/>
    <cellStyle name="Normal 35 2 2 3 36" xfId="59327"/>
    <cellStyle name="Normal 35 2 2 3 37" xfId="61079"/>
    <cellStyle name="Normal 35 2 2 3 38" xfId="62730"/>
    <cellStyle name="Normal 35 2 2 3 39" xfId="63596"/>
    <cellStyle name="Normal 35 2 2 3 4" xfId="5019"/>
    <cellStyle name="Normal 35 2 2 3 5" xfId="6771"/>
    <cellStyle name="Normal 35 2 2 3 6" xfId="8523"/>
    <cellStyle name="Normal 35 2 2 3 7" xfId="10276"/>
    <cellStyle name="Normal 35 2 2 3 8" xfId="12028"/>
    <cellStyle name="Normal 35 2 2 3 9" xfId="13780"/>
    <cellStyle name="Normal 35 2 2 30" xfId="44874"/>
    <cellStyle name="Normal 35 2 2 31" xfId="46626"/>
    <cellStyle name="Normal 35 2 2 32" xfId="48378"/>
    <cellStyle name="Normal 35 2 2 33" xfId="50130"/>
    <cellStyle name="Normal 35 2 2 34" xfId="51882"/>
    <cellStyle name="Normal 35 2 2 35" xfId="53634"/>
    <cellStyle name="Normal 35 2 2 36" xfId="55386"/>
    <cellStyle name="Normal 35 2 2 37" xfId="57139"/>
    <cellStyle name="Normal 35 2 2 38" xfId="58891"/>
    <cellStyle name="Normal 35 2 2 39" xfId="60643"/>
    <cellStyle name="Normal 35 2 2 4" xfId="1580"/>
    <cellStyle name="Normal 35 2 2 4 10" xfId="17725"/>
    <cellStyle name="Normal 35 2 2 4 11" xfId="19477"/>
    <cellStyle name="Normal 35 2 2 4 12" xfId="21230"/>
    <cellStyle name="Normal 35 2 2 4 13" xfId="22982"/>
    <cellStyle name="Normal 35 2 2 4 14" xfId="24734"/>
    <cellStyle name="Normal 35 2 2 4 15" xfId="26486"/>
    <cellStyle name="Normal 35 2 2 4 16" xfId="28238"/>
    <cellStyle name="Normal 35 2 2 4 17" xfId="29991"/>
    <cellStyle name="Normal 35 2 2 4 18" xfId="31743"/>
    <cellStyle name="Normal 35 2 2 4 19" xfId="33496"/>
    <cellStyle name="Normal 35 2 2 4 2" xfId="3707"/>
    <cellStyle name="Normal 35 2 2 4 20" xfId="36132"/>
    <cellStyle name="Normal 35 2 2 4 21" xfId="37872"/>
    <cellStyle name="Normal 35 2 2 4 22" xfId="39625"/>
    <cellStyle name="Normal 35 2 2 4 23" xfId="41380"/>
    <cellStyle name="Normal 35 2 2 4 24" xfId="43132"/>
    <cellStyle name="Normal 35 2 2 4 25" xfId="45750"/>
    <cellStyle name="Normal 35 2 2 4 26" xfId="47502"/>
    <cellStyle name="Normal 35 2 2 4 27" xfId="49254"/>
    <cellStyle name="Normal 35 2 2 4 28" xfId="51006"/>
    <cellStyle name="Normal 35 2 2 4 29" xfId="52758"/>
    <cellStyle name="Normal 35 2 2 4 3" xfId="5459"/>
    <cellStyle name="Normal 35 2 2 4 30" xfId="54510"/>
    <cellStyle name="Normal 35 2 2 4 31" xfId="56262"/>
    <cellStyle name="Normal 35 2 2 4 32" xfId="58015"/>
    <cellStyle name="Normal 35 2 2 4 33" xfId="59767"/>
    <cellStyle name="Normal 35 2 2 4 34" xfId="61519"/>
    <cellStyle name="Normal 35 2 2 4 4" xfId="7211"/>
    <cellStyle name="Normal 35 2 2 4 5" xfId="8963"/>
    <cellStyle name="Normal 35 2 2 4 6" xfId="10716"/>
    <cellStyle name="Normal 35 2 2 4 7" xfId="12468"/>
    <cellStyle name="Normal 35 2 2 4 8" xfId="14220"/>
    <cellStyle name="Normal 35 2 2 4 9" xfId="15972"/>
    <cellStyle name="Normal 35 2 2 40" xfId="62727"/>
    <cellStyle name="Normal 35 2 2 41" xfId="63593"/>
    <cellStyle name="Normal 35 2 2 5" xfId="2831"/>
    <cellStyle name="Normal 35 2 2 6" xfId="4583"/>
    <cellStyle name="Normal 35 2 2 7" xfId="6335"/>
    <cellStyle name="Normal 35 2 2 8" xfId="8087"/>
    <cellStyle name="Normal 35 2 2 9" xfId="9840"/>
    <cellStyle name="Normal 35 2 20" xfId="27254"/>
    <cellStyle name="Normal 35 2 21" xfId="29007"/>
    <cellStyle name="Normal 35 2 22" xfId="30759"/>
    <cellStyle name="Normal 35 2 23" xfId="32512"/>
    <cellStyle name="Normal 35 2 24" xfId="34718"/>
    <cellStyle name="Normal 35 2 25" xfId="35148"/>
    <cellStyle name="Normal 35 2 26" xfId="37339"/>
    <cellStyle name="Normal 35 2 27" xfId="38641"/>
    <cellStyle name="Normal 35 2 28" xfId="40396"/>
    <cellStyle name="Normal 35 2 29" xfId="42148"/>
    <cellStyle name="Normal 35 2 3" xfId="1581"/>
    <cellStyle name="Normal 35 2 3 10" xfId="13495"/>
    <cellStyle name="Normal 35 2 3 11" xfId="15247"/>
    <cellStyle name="Normal 35 2 3 12" xfId="17000"/>
    <cellStyle name="Normal 35 2 3 13" xfId="18752"/>
    <cellStyle name="Normal 35 2 3 14" xfId="20505"/>
    <cellStyle name="Normal 35 2 3 15" xfId="22257"/>
    <cellStyle name="Normal 35 2 3 16" xfId="24009"/>
    <cellStyle name="Normal 35 2 3 17" xfId="25761"/>
    <cellStyle name="Normal 35 2 3 18" xfId="27513"/>
    <cellStyle name="Normal 35 2 3 19" xfId="29266"/>
    <cellStyle name="Normal 35 2 3 2" xfId="1582"/>
    <cellStyle name="Normal 35 2 3 2 10" xfId="15683"/>
    <cellStyle name="Normal 35 2 3 2 11" xfId="17436"/>
    <cellStyle name="Normal 35 2 3 2 12" xfId="19188"/>
    <cellStyle name="Normal 35 2 3 2 13" xfId="20941"/>
    <cellStyle name="Normal 35 2 3 2 14" xfId="22693"/>
    <cellStyle name="Normal 35 2 3 2 15" xfId="24445"/>
    <cellStyle name="Normal 35 2 3 2 16" xfId="26197"/>
    <cellStyle name="Normal 35 2 3 2 17" xfId="27949"/>
    <cellStyle name="Normal 35 2 3 2 18" xfId="29702"/>
    <cellStyle name="Normal 35 2 3 2 19" xfId="31454"/>
    <cellStyle name="Normal 35 2 3 2 2" xfId="1583"/>
    <cellStyle name="Normal 35 2 3 2 2 10" xfId="18312"/>
    <cellStyle name="Normal 35 2 3 2 2 11" xfId="20064"/>
    <cellStyle name="Normal 35 2 3 2 2 12" xfId="21817"/>
    <cellStyle name="Normal 35 2 3 2 2 13" xfId="23569"/>
    <cellStyle name="Normal 35 2 3 2 2 14" xfId="25321"/>
    <cellStyle name="Normal 35 2 3 2 2 15" xfId="27073"/>
    <cellStyle name="Normal 35 2 3 2 2 16" xfId="28825"/>
    <cellStyle name="Normal 35 2 3 2 2 17" xfId="30578"/>
    <cellStyle name="Normal 35 2 3 2 2 18" xfId="32330"/>
    <cellStyle name="Normal 35 2 3 2 2 19" xfId="34083"/>
    <cellStyle name="Normal 35 2 3 2 2 2" xfId="4294"/>
    <cellStyle name="Normal 35 2 3 2 2 20" xfId="36719"/>
    <cellStyle name="Normal 35 2 3 2 2 21" xfId="38459"/>
    <cellStyle name="Normal 35 2 3 2 2 22" xfId="40212"/>
    <cellStyle name="Normal 35 2 3 2 2 23" xfId="41967"/>
    <cellStyle name="Normal 35 2 3 2 2 24" xfId="43719"/>
    <cellStyle name="Normal 35 2 3 2 2 25" xfId="46337"/>
    <cellStyle name="Normal 35 2 3 2 2 26" xfId="48089"/>
    <cellStyle name="Normal 35 2 3 2 2 27" xfId="49841"/>
    <cellStyle name="Normal 35 2 3 2 2 28" xfId="51593"/>
    <cellStyle name="Normal 35 2 3 2 2 29" xfId="53345"/>
    <cellStyle name="Normal 35 2 3 2 2 3" xfId="6046"/>
    <cellStyle name="Normal 35 2 3 2 2 30" xfId="55097"/>
    <cellStyle name="Normal 35 2 3 2 2 31" xfId="56849"/>
    <cellStyle name="Normal 35 2 3 2 2 32" xfId="58602"/>
    <cellStyle name="Normal 35 2 3 2 2 33" xfId="60354"/>
    <cellStyle name="Normal 35 2 3 2 2 34" xfId="62106"/>
    <cellStyle name="Normal 35 2 3 2 2 4" xfId="7798"/>
    <cellStyle name="Normal 35 2 3 2 2 5" xfId="9550"/>
    <cellStyle name="Normal 35 2 3 2 2 6" xfId="11303"/>
    <cellStyle name="Normal 35 2 3 2 2 7" xfId="13055"/>
    <cellStyle name="Normal 35 2 3 2 2 8" xfId="14807"/>
    <cellStyle name="Normal 35 2 3 2 2 9" xfId="16559"/>
    <cellStyle name="Normal 35 2 3 2 20" xfId="33207"/>
    <cellStyle name="Normal 35 2 3 2 21" xfId="34724"/>
    <cellStyle name="Normal 35 2 3 2 22" xfId="35843"/>
    <cellStyle name="Normal 35 2 3 2 23" xfId="37345"/>
    <cellStyle name="Normal 35 2 3 2 24" xfId="39336"/>
    <cellStyle name="Normal 35 2 3 2 25" xfId="41091"/>
    <cellStyle name="Normal 35 2 3 2 26" xfId="42843"/>
    <cellStyle name="Normal 35 2 3 2 27" xfId="44345"/>
    <cellStyle name="Normal 35 2 3 2 28" xfId="45461"/>
    <cellStyle name="Normal 35 2 3 2 29" xfId="47213"/>
    <cellStyle name="Normal 35 2 3 2 3" xfId="3418"/>
    <cellStyle name="Normal 35 2 3 2 30" xfId="48965"/>
    <cellStyle name="Normal 35 2 3 2 31" xfId="50717"/>
    <cellStyle name="Normal 35 2 3 2 32" xfId="52469"/>
    <cellStyle name="Normal 35 2 3 2 33" xfId="54221"/>
    <cellStyle name="Normal 35 2 3 2 34" xfId="55973"/>
    <cellStyle name="Normal 35 2 3 2 35" xfId="57726"/>
    <cellStyle name="Normal 35 2 3 2 36" xfId="59478"/>
    <cellStyle name="Normal 35 2 3 2 37" xfId="61230"/>
    <cellStyle name="Normal 35 2 3 2 38" xfId="62732"/>
    <cellStyle name="Normal 35 2 3 2 39" xfId="63598"/>
    <cellStyle name="Normal 35 2 3 2 4" xfId="5170"/>
    <cellStyle name="Normal 35 2 3 2 5" xfId="6922"/>
    <cellStyle name="Normal 35 2 3 2 6" xfId="8674"/>
    <cellStyle name="Normal 35 2 3 2 7" xfId="10427"/>
    <cellStyle name="Normal 35 2 3 2 8" xfId="12179"/>
    <cellStyle name="Normal 35 2 3 2 9" xfId="13931"/>
    <cellStyle name="Normal 35 2 3 20" xfId="31018"/>
    <cellStyle name="Normal 35 2 3 21" xfId="32771"/>
    <cellStyle name="Normal 35 2 3 22" xfId="34723"/>
    <cellStyle name="Normal 35 2 3 23" xfId="35407"/>
    <cellStyle name="Normal 35 2 3 24" xfId="37344"/>
    <cellStyle name="Normal 35 2 3 25" xfId="38900"/>
    <cellStyle name="Normal 35 2 3 26" xfId="40655"/>
    <cellStyle name="Normal 35 2 3 27" xfId="42407"/>
    <cellStyle name="Normal 35 2 3 28" xfId="44344"/>
    <cellStyle name="Normal 35 2 3 29" xfId="45025"/>
    <cellStyle name="Normal 35 2 3 3" xfId="1584"/>
    <cellStyle name="Normal 35 2 3 3 10" xfId="17876"/>
    <cellStyle name="Normal 35 2 3 3 11" xfId="19628"/>
    <cellStyle name="Normal 35 2 3 3 12" xfId="21381"/>
    <cellStyle name="Normal 35 2 3 3 13" xfId="23133"/>
    <cellStyle name="Normal 35 2 3 3 14" xfId="24885"/>
    <cellStyle name="Normal 35 2 3 3 15" xfId="26637"/>
    <cellStyle name="Normal 35 2 3 3 16" xfId="28389"/>
    <cellStyle name="Normal 35 2 3 3 17" xfId="30142"/>
    <cellStyle name="Normal 35 2 3 3 18" xfId="31894"/>
    <cellStyle name="Normal 35 2 3 3 19" xfId="33647"/>
    <cellStyle name="Normal 35 2 3 3 2" xfId="3858"/>
    <cellStyle name="Normal 35 2 3 3 20" xfId="36283"/>
    <cellStyle name="Normal 35 2 3 3 21" xfId="38023"/>
    <cellStyle name="Normal 35 2 3 3 22" xfId="39776"/>
    <cellStyle name="Normal 35 2 3 3 23" xfId="41531"/>
    <cellStyle name="Normal 35 2 3 3 24" xfId="43283"/>
    <cellStyle name="Normal 35 2 3 3 25" xfId="45901"/>
    <cellStyle name="Normal 35 2 3 3 26" xfId="47653"/>
    <cellStyle name="Normal 35 2 3 3 27" xfId="49405"/>
    <cellStyle name="Normal 35 2 3 3 28" xfId="51157"/>
    <cellStyle name="Normal 35 2 3 3 29" xfId="52909"/>
    <cellStyle name="Normal 35 2 3 3 3" xfId="5610"/>
    <cellStyle name="Normal 35 2 3 3 30" xfId="54661"/>
    <cellStyle name="Normal 35 2 3 3 31" xfId="56413"/>
    <cellStyle name="Normal 35 2 3 3 32" xfId="58166"/>
    <cellStyle name="Normal 35 2 3 3 33" xfId="59918"/>
    <cellStyle name="Normal 35 2 3 3 34" xfId="61670"/>
    <cellStyle name="Normal 35 2 3 3 4" xfId="7362"/>
    <cellStyle name="Normal 35 2 3 3 5" xfId="9114"/>
    <cellStyle name="Normal 35 2 3 3 6" xfId="10867"/>
    <cellStyle name="Normal 35 2 3 3 7" xfId="12619"/>
    <cellStyle name="Normal 35 2 3 3 8" xfId="14371"/>
    <cellStyle name="Normal 35 2 3 3 9" xfId="16123"/>
    <cellStyle name="Normal 35 2 3 30" xfId="46777"/>
    <cellStyle name="Normal 35 2 3 31" xfId="48529"/>
    <cellStyle name="Normal 35 2 3 32" xfId="50281"/>
    <cellStyle name="Normal 35 2 3 33" xfId="52033"/>
    <cellStyle name="Normal 35 2 3 34" xfId="53785"/>
    <cellStyle name="Normal 35 2 3 35" xfId="55537"/>
    <cellStyle name="Normal 35 2 3 36" xfId="57290"/>
    <cellStyle name="Normal 35 2 3 37" xfId="59042"/>
    <cellStyle name="Normal 35 2 3 38" xfId="60794"/>
    <cellStyle name="Normal 35 2 3 39" xfId="62731"/>
    <cellStyle name="Normal 35 2 3 4" xfId="2982"/>
    <cellStyle name="Normal 35 2 3 40" xfId="63597"/>
    <cellStyle name="Normal 35 2 3 5" xfId="4734"/>
    <cellStyle name="Normal 35 2 3 6" xfId="6486"/>
    <cellStyle name="Normal 35 2 3 7" xfId="8238"/>
    <cellStyle name="Normal 35 2 3 8" xfId="9991"/>
    <cellStyle name="Normal 35 2 3 9" xfId="11743"/>
    <cellStyle name="Normal 35 2 30" xfId="44339"/>
    <cellStyle name="Normal 35 2 31" xfId="44766"/>
    <cellStyle name="Normal 35 2 32" xfId="46518"/>
    <cellStyle name="Normal 35 2 33" xfId="48270"/>
    <cellStyle name="Normal 35 2 34" xfId="50022"/>
    <cellStyle name="Normal 35 2 35" xfId="51774"/>
    <cellStyle name="Normal 35 2 36" xfId="53526"/>
    <cellStyle name="Normal 35 2 37" xfId="55278"/>
    <cellStyle name="Normal 35 2 38" xfId="57031"/>
    <cellStyle name="Normal 35 2 39" xfId="58783"/>
    <cellStyle name="Normal 35 2 4" xfId="1585"/>
    <cellStyle name="Normal 35 2 4 10" xfId="15424"/>
    <cellStyle name="Normal 35 2 4 11" xfId="17177"/>
    <cellStyle name="Normal 35 2 4 12" xfId="18929"/>
    <cellStyle name="Normal 35 2 4 13" xfId="20682"/>
    <cellStyle name="Normal 35 2 4 14" xfId="22434"/>
    <cellStyle name="Normal 35 2 4 15" xfId="24186"/>
    <cellStyle name="Normal 35 2 4 16" xfId="25938"/>
    <cellStyle name="Normal 35 2 4 17" xfId="27690"/>
    <cellStyle name="Normal 35 2 4 18" xfId="29443"/>
    <cellStyle name="Normal 35 2 4 19" xfId="31195"/>
    <cellStyle name="Normal 35 2 4 2" xfId="1586"/>
    <cellStyle name="Normal 35 2 4 2 10" xfId="18053"/>
    <cellStyle name="Normal 35 2 4 2 11" xfId="19805"/>
    <cellStyle name="Normal 35 2 4 2 12" xfId="21558"/>
    <cellStyle name="Normal 35 2 4 2 13" xfId="23310"/>
    <cellStyle name="Normal 35 2 4 2 14" xfId="25062"/>
    <cellStyle name="Normal 35 2 4 2 15" xfId="26814"/>
    <cellStyle name="Normal 35 2 4 2 16" xfId="28566"/>
    <cellStyle name="Normal 35 2 4 2 17" xfId="30319"/>
    <cellStyle name="Normal 35 2 4 2 18" xfId="32071"/>
    <cellStyle name="Normal 35 2 4 2 19" xfId="33824"/>
    <cellStyle name="Normal 35 2 4 2 2" xfId="4035"/>
    <cellStyle name="Normal 35 2 4 2 20" xfId="36460"/>
    <cellStyle name="Normal 35 2 4 2 21" xfId="38200"/>
    <cellStyle name="Normal 35 2 4 2 22" xfId="39953"/>
    <cellStyle name="Normal 35 2 4 2 23" xfId="41708"/>
    <cellStyle name="Normal 35 2 4 2 24" xfId="43460"/>
    <cellStyle name="Normal 35 2 4 2 25" xfId="46078"/>
    <cellStyle name="Normal 35 2 4 2 26" xfId="47830"/>
    <cellStyle name="Normal 35 2 4 2 27" xfId="49582"/>
    <cellStyle name="Normal 35 2 4 2 28" xfId="51334"/>
    <cellStyle name="Normal 35 2 4 2 29" xfId="53086"/>
    <cellStyle name="Normal 35 2 4 2 3" xfId="5787"/>
    <cellStyle name="Normal 35 2 4 2 30" xfId="54838"/>
    <cellStyle name="Normal 35 2 4 2 31" xfId="56590"/>
    <cellStyle name="Normal 35 2 4 2 32" xfId="58343"/>
    <cellStyle name="Normal 35 2 4 2 33" xfId="60095"/>
    <cellStyle name="Normal 35 2 4 2 34" xfId="61847"/>
    <cellStyle name="Normal 35 2 4 2 4" xfId="7539"/>
    <cellStyle name="Normal 35 2 4 2 5" xfId="9291"/>
    <cellStyle name="Normal 35 2 4 2 6" xfId="11044"/>
    <cellStyle name="Normal 35 2 4 2 7" xfId="12796"/>
    <cellStyle name="Normal 35 2 4 2 8" xfId="14548"/>
    <cellStyle name="Normal 35 2 4 2 9" xfId="16300"/>
    <cellStyle name="Normal 35 2 4 20" xfId="32948"/>
    <cellStyle name="Normal 35 2 4 21" xfId="34725"/>
    <cellStyle name="Normal 35 2 4 22" xfId="35584"/>
    <cellStyle name="Normal 35 2 4 23" xfId="37346"/>
    <cellStyle name="Normal 35 2 4 24" xfId="39077"/>
    <cellStyle name="Normal 35 2 4 25" xfId="40832"/>
    <cellStyle name="Normal 35 2 4 26" xfId="42584"/>
    <cellStyle name="Normal 35 2 4 27" xfId="44346"/>
    <cellStyle name="Normal 35 2 4 28" xfId="45202"/>
    <cellStyle name="Normal 35 2 4 29" xfId="46954"/>
    <cellStyle name="Normal 35 2 4 3" xfId="3159"/>
    <cellStyle name="Normal 35 2 4 30" xfId="48706"/>
    <cellStyle name="Normal 35 2 4 31" xfId="50458"/>
    <cellStyle name="Normal 35 2 4 32" xfId="52210"/>
    <cellStyle name="Normal 35 2 4 33" xfId="53962"/>
    <cellStyle name="Normal 35 2 4 34" xfId="55714"/>
    <cellStyle name="Normal 35 2 4 35" xfId="57467"/>
    <cellStyle name="Normal 35 2 4 36" xfId="59219"/>
    <cellStyle name="Normal 35 2 4 37" xfId="60971"/>
    <cellStyle name="Normal 35 2 4 38" xfId="62733"/>
    <cellStyle name="Normal 35 2 4 39" xfId="63599"/>
    <cellStyle name="Normal 35 2 4 4" xfId="4911"/>
    <cellStyle name="Normal 35 2 4 5" xfId="6663"/>
    <cellStyle name="Normal 35 2 4 6" xfId="8415"/>
    <cellStyle name="Normal 35 2 4 7" xfId="10168"/>
    <cellStyle name="Normal 35 2 4 8" xfId="11920"/>
    <cellStyle name="Normal 35 2 4 9" xfId="13672"/>
    <cellStyle name="Normal 35 2 40" xfId="60535"/>
    <cellStyle name="Normal 35 2 41" xfId="62726"/>
    <cellStyle name="Normal 35 2 42" xfId="63592"/>
    <cellStyle name="Normal 35 2 5" xfId="1587"/>
    <cellStyle name="Normal 35 2 5 10" xfId="17617"/>
    <cellStyle name="Normal 35 2 5 11" xfId="19369"/>
    <cellStyle name="Normal 35 2 5 12" xfId="21122"/>
    <cellStyle name="Normal 35 2 5 13" xfId="22874"/>
    <cellStyle name="Normal 35 2 5 14" xfId="24626"/>
    <cellStyle name="Normal 35 2 5 15" xfId="26378"/>
    <cellStyle name="Normal 35 2 5 16" xfId="28130"/>
    <cellStyle name="Normal 35 2 5 17" xfId="29883"/>
    <cellStyle name="Normal 35 2 5 18" xfId="31635"/>
    <cellStyle name="Normal 35 2 5 19" xfId="33388"/>
    <cellStyle name="Normal 35 2 5 2" xfId="3599"/>
    <cellStyle name="Normal 35 2 5 20" xfId="36024"/>
    <cellStyle name="Normal 35 2 5 21" xfId="37764"/>
    <cellStyle name="Normal 35 2 5 22" xfId="39517"/>
    <cellStyle name="Normal 35 2 5 23" xfId="41272"/>
    <cellStyle name="Normal 35 2 5 24" xfId="43024"/>
    <cellStyle name="Normal 35 2 5 25" xfId="45642"/>
    <cellStyle name="Normal 35 2 5 26" xfId="47394"/>
    <cellStyle name="Normal 35 2 5 27" xfId="49146"/>
    <cellStyle name="Normal 35 2 5 28" xfId="50898"/>
    <cellStyle name="Normal 35 2 5 29" xfId="52650"/>
    <cellStyle name="Normal 35 2 5 3" xfId="5351"/>
    <cellStyle name="Normal 35 2 5 30" xfId="54402"/>
    <cellStyle name="Normal 35 2 5 31" xfId="56154"/>
    <cellStyle name="Normal 35 2 5 32" xfId="57907"/>
    <cellStyle name="Normal 35 2 5 33" xfId="59659"/>
    <cellStyle name="Normal 35 2 5 34" xfId="61411"/>
    <cellStyle name="Normal 35 2 5 4" xfId="7103"/>
    <cellStyle name="Normal 35 2 5 5" xfId="8855"/>
    <cellStyle name="Normal 35 2 5 6" xfId="10608"/>
    <cellStyle name="Normal 35 2 5 7" xfId="12360"/>
    <cellStyle name="Normal 35 2 5 8" xfId="14112"/>
    <cellStyle name="Normal 35 2 5 9" xfId="15864"/>
    <cellStyle name="Normal 35 2 6" xfId="2723"/>
    <cellStyle name="Normal 35 2 7" xfId="4475"/>
    <cellStyle name="Normal 35 2 8" xfId="6227"/>
    <cellStyle name="Normal 35 2 9" xfId="7979"/>
    <cellStyle name="Normal 35 20" xfId="25447"/>
    <cellStyle name="Normal 35 21" xfId="27199"/>
    <cellStyle name="Normal 35 22" xfId="28952"/>
    <cellStyle name="Normal 35 23" xfId="30704"/>
    <cellStyle name="Normal 35 24" xfId="32457"/>
    <cellStyle name="Normal 35 25" xfId="34717"/>
    <cellStyle name="Normal 35 26" xfId="35093"/>
    <cellStyle name="Normal 35 27" xfId="37338"/>
    <cellStyle name="Normal 35 28" xfId="38586"/>
    <cellStyle name="Normal 35 29" xfId="40341"/>
    <cellStyle name="Normal 35 3" xfId="1588"/>
    <cellStyle name="Normal 35 3 10" xfId="11537"/>
    <cellStyle name="Normal 35 3 11" xfId="13289"/>
    <cellStyle name="Normal 35 3 12" xfId="15041"/>
    <cellStyle name="Normal 35 3 13" xfId="16794"/>
    <cellStyle name="Normal 35 3 14" xfId="18546"/>
    <cellStyle name="Normal 35 3 15" xfId="20299"/>
    <cellStyle name="Normal 35 3 16" xfId="22051"/>
    <cellStyle name="Normal 35 3 17" xfId="23803"/>
    <cellStyle name="Normal 35 3 18" xfId="25555"/>
    <cellStyle name="Normal 35 3 19" xfId="27307"/>
    <cellStyle name="Normal 35 3 2" xfId="1589"/>
    <cellStyle name="Normal 35 3 2 10" xfId="13496"/>
    <cellStyle name="Normal 35 3 2 11" xfId="15248"/>
    <cellStyle name="Normal 35 3 2 12" xfId="17001"/>
    <cellStyle name="Normal 35 3 2 13" xfId="18753"/>
    <cellStyle name="Normal 35 3 2 14" xfId="20506"/>
    <cellStyle name="Normal 35 3 2 15" xfId="22258"/>
    <cellStyle name="Normal 35 3 2 16" xfId="24010"/>
    <cellStyle name="Normal 35 3 2 17" xfId="25762"/>
    <cellStyle name="Normal 35 3 2 18" xfId="27514"/>
    <cellStyle name="Normal 35 3 2 19" xfId="29267"/>
    <cellStyle name="Normal 35 3 2 2" xfId="1590"/>
    <cellStyle name="Normal 35 3 2 2 10" xfId="15684"/>
    <cellStyle name="Normal 35 3 2 2 11" xfId="17437"/>
    <cellStyle name="Normal 35 3 2 2 12" xfId="19189"/>
    <cellStyle name="Normal 35 3 2 2 13" xfId="20942"/>
    <cellStyle name="Normal 35 3 2 2 14" xfId="22694"/>
    <cellStyle name="Normal 35 3 2 2 15" xfId="24446"/>
    <cellStyle name="Normal 35 3 2 2 16" xfId="26198"/>
    <cellStyle name="Normal 35 3 2 2 17" xfId="27950"/>
    <cellStyle name="Normal 35 3 2 2 18" xfId="29703"/>
    <cellStyle name="Normal 35 3 2 2 19" xfId="31455"/>
    <cellStyle name="Normal 35 3 2 2 2" xfId="1591"/>
    <cellStyle name="Normal 35 3 2 2 2 10" xfId="18313"/>
    <cellStyle name="Normal 35 3 2 2 2 11" xfId="20065"/>
    <cellStyle name="Normal 35 3 2 2 2 12" xfId="21818"/>
    <cellStyle name="Normal 35 3 2 2 2 13" xfId="23570"/>
    <cellStyle name="Normal 35 3 2 2 2 14" xfId="25322"/>
    <cellStyle name="Normal 35 3 2 2 2 15" xfId="27074"/>
    <cellStyle name="Normal 35 3 2 2 2 16" xfId="28826"/>
    <cellStyle name="Normal 35 3 2 2 2 17" xfId="30579"/>
    <cellStyle name="Normal 35 3 2 2 2 18" xfId="32331"/>
    <cellStyle name="Normal 35 3 2 2 2 19" xfId="34084"/>
    <cellStyle name="Normal 35 3 2 2 2 2" xfId="4295"/>
    <cellStyle name="Normal 35 3 2 2 2 20" xfId="36720"/>
    <cellStyle name="Normal 35 3 2 2 2 21" xfId="38460"/>
    <cellStyle name="Normal 35 3 2 2 2 22" xfId="40213"/>
    <cellStyle name="Normal 35 3 2 2 2 23" xfId="41968"/>
    <cellStyle name="Normal 35 3 2 2 2 24" xfId="43720"/>
    <cellStyle name="Normal 35 3 2 2 2 25" xfId="46338"/>
    <cellStyle name="Normal 35 3 2 2 2 26" xfId="48090"/>
    <cellStyle name="Normal 35 3 2 2 2 27" xfId="49842"/>
    <cellStyle name="Normal 35 3 2 2 2 28" xfId="51594"/>
    <cellStyle name="Normal 35 3 2 2 2 29" xfId="53346"/>
    <cellStyle name="Normal 35 3 2 2 2 3" xfId="6047"/>
    <cellStyle name="Normal 35 3 2 2 2 30" xfId="55098"/>
    <cellStyle name="Normal 35 3 2 2 2 31" xfId="56850"/>
    <cellStyle name="Normal 35 3 2 2 2 32" xfId="58603"/>
    <cellStyle name="Normal 35 3 2 2 2 33" xfId="60355"/>
    <cellStyle name="Normal 35 3 2 2 2 34" xfId="62107"/>
    <cellStyle name="Normal 35 3 2 2 2 4" xfId="7799"/>
    <cellStyle name="Normal 35 3 2 2 2 5" xfId="9551"/>
    <cellStyle name="Normal 35 3 2 2 2 6" xfId="11304"/>
    <cellStyle name="Normal 35 3 2 2 2 7" xfId="13056"/>
    <cellStyle name="Normal 35 3 2 2 2 8" xfId="14808"/>
    <cellStyle name="Normal 35 3 2 2 2 9" xfId="16560"/>
    <cellStyle name="Normal 35 3 2 2 20" xfId="33208"/>
    <cellStyle name="Normal 35 3 2 2 21" xfId="34728"/>
    <cellStyle name="Normal 35 3 2 2 22" xfId="35844"/>
    <cellStyle name="Normal 35 3 2 2 23" xfId="37349"/>
    <cellStyle name="Normal 35 3 2 2 24" xfId="39337"/>
    <cellStyle name="Normal 35 3 2 2 25" xfId="41092"/>
    <cellStyle name="Normal 35 3 2 2 26" xfId="42844"/>
    <cellStyle name="Normal 35 3 2 2 27" xfId="44349"/>
    <cellStyle name="Normal 35 3 2 2 28" xfId="45462"/>
    <cellStyle name="Normal 35 3 2 2 29" xfId="47214"/>
    <cellStyle name="Normal 35 3 2 2 3" xfId="3419"/>
    <cellStyle name="Normal 35 3 2 2 30" xfId="48966"/>
    <cellStyle name="Normal 35 3 2 2 31" xfId="50718"/>
    <cellStyle name="Normal 35 3 2 2 32" xfId="52470"/>
    <cellStyle name="Normal 35 3 2 2 33" xfId="54222"/>
    <cellStyle name="Normal 35 3 2 2 34" xfId="55974"/>
    <cellStyle name="Normal 35 3 2 2 35" xfId="57727"/>
    <cellStyle name="Normal 35 3 2 2 36" xfId="59479"/>
    <cellStyle name="Normal 35 3 2 2 37" xfId="61231"/>
    <cellStyle name="Normal 35 3 2 2 38" xfId="62736"/>
    <cellStyle name="Normal 35 3 2 2 39" xfId="63602"/>
    <cellStyle name="Normal 35 3 2 2 4" xfId="5171"/>
    <cellStyle name="Normal 35 3 2 2 5" xfId="6923"/>
    <cellStyle name="Normal 35 3 2 2 6" xfId="8675"/>
    <cellStyle name="Normal 35 3 2 2 7" xfId="10428"/>
    <cellStyle name="Normal 35 3 2 2 8" xfId="12180"/>
    <cellStyle name="Normal 35 3 2 2 9" xfId="13932"/>
    <cellStyle name="Normal 35 3 2 20" xfId="31019"/>
    <cellStyle name="Normal 35 3 2 21" xfId="32772"/>
    <cellStyle name="Normal 35 3 2 22" xfId="34727"/>
    <cellStyle name="Normal 35 3 2 23" xfId="35408"/>
    <cellStyle name="Normal 35 3 2 24" xfId="37348"/>
    <cellStyle name="Normal 35 3 2 25" xfId="38901"/>
    <cellStyle name="Normal 35 3 2 26" xfId="40656"/>
    <cellStyle name="Normal 35 3 2 27" xfId="42408"/>
    <cellStyle name="Normal 35 3 2 28" xfId="44348"/>
    <cellStyle name="Normal 35 3 2 29" xfId="45026"/>
    <cellStyle name="Normal 35 3 2 3" xfId="1592"/>
    <cellStyle name="Normal 35 3 2 3 10" xfId="17877"/>
    <cellStyle name="Normal 35 3 2 3 11" xfId="19629"/>
    <cellStyle name="Normal 35 3 2 3 12" xfId="21382"/>
    <cellStyle name="Normal 35 3 2 3 13" xfId="23134"/>
    <cellStyle name="Normal 35 3 2 3 14" xfId="24886"/>
    <cellStyle name="Normal 35 3 2 3 15" xfId="26638"/>
    <cellStyle name="Normal 35 3 2 3 16" xfId="28390"/>
    <cellStyle name="Normal 35 3 2 3 17" xfId="30143"/>
    <cellStyle name="Normal 35 3 2 3 18" xfId="31895"/>
    <cellStyle name="Normal 35 3 2 3 19" xfId="33648"/>
    <cellStyle name="Normal 35 3 2 3 2" xfId="3859"/>
    <cellStyle name="Normal 35 3 2 3 20" xfId="36284"/>
    <cellStyle name="Normal 35 3 2 3 21" xfId="38024"/>
    <cellStyle name="Normal 35 3 2 3 22" xfId="39777"/>
    <cellStyle name="Normal 35 3 2 3 23" xfId="41532"/>
    <cellStyle name="Normal 35 3 2 3 24" xfId="43284"/>
    <cellStyle name="Normal 35 3 2 3 25" xfId="45902"/>
    <cellStyle name="Normal 35 3 2 3 26" xfId="47654"/>
    <cellStyle name="Normal 35 3 2 3 27" xfId="49406"/>
    <cellStyle name="Normal 35 3 2 3 28" xfId="51158"/>
    <cellStyle name="Normal 35 3 2 3 29" xfId="52910"/>
    <cellStyle name="Normal 35 3 2 3 3" xfId="5611"/>
    <cellStyle name="Normal 35 3 2 3 30" xfId="54662"/>
    <cellStyle name="Normal 35 3 2 3 31" xfId="56414"/>
    <cellStyle name="Normal 35 3 2 3 32" xfId="58167"/>
    <cellStyle name="Normal 35 3 2 3 33" xfId="59919"/>
    <cellStyle name="Normal 35 3 2 3 34" xfId="61671"/>
    <cellStyle name="Normal 35 3 2 3 4" xfId="7363"/>
    <cellStyle name="Normal 35 3 2 3 5" xfId="9115"/>
    <cellStyle name="Normal 35 3 2 3 6" xfId="10868"/>
    <cellStyle name="Normal 35 3 2 3 7" xfId="12620"/>
    <cellStyle name="Normal 35 3 2 3 8" xfId="14372"/>
    <cellStyle name="Normal 35 3 2 3 9" xfId="16124"/>
    <cellStyle name="Normal 35 3 2 30" xfId="46778"/>
    <cellStyle name="Normal 35 3 2 31" xfId="48530"/>
    <cellStyle name="Normal 35 3 2 32" xfId="50282"/>
    <cellStyle name="Normal 35 3 2 33" xfId="52034"/>
    <cellStyle name="Normal 35 3 2 34" xfId="53786"/>
    <cellStyle name="Normal 35 3 2 35" xfId="55538"/>
    <cellStyle name="Normal 35 3 2 36" xfId="57291"/>
    <cellStyle name="Normal 35 3 2 37" xfId="59043"/>
    <cellStyle name="Normal 35 3 2 38" xfId="60795"/>
    <cellStyle name="Normal 35 3 2 39" xfId="62735"/>
    <cellStyle name="Normal 35 3 2 4" xfId="2983"/>
    <cellStyle name="Normal 35 3 2 40" xfId="63601"/>
    <cellStyle name="Normal 35 3 2 5" xfId="4735"/>
    <cellStyle name="Normal 35 3 2 6" xfId="6487"/>
    <cellStyle name="Normal 35 3 2 7" xfId="8239"/>
    <cellStyle name="Normal 35 3 2 8" xfId="9992"/>
    <cellStyle name="Normal 35 3 2 9" xfId="11744"/>
    <cellStyle name="Normal 35 3 20" xfId="29060"/>
    <cellStyle name="Normal 35 3 21" xfId="30812"/>
    <cellStyle name="Normal 35 3 22" xfId="32565"/>
    <cellStyle name="Normal 35 3 23" xfId="34726"/>
    <cellStyle name="Normal 35 3 24" xfId="35201"/>
    <cellStyle name="Normal 35 3 25" xfId="37347"/>
    <cellStyle name="Normal 35 3 26" xfId="38694"/>
    <cellStyle name="Normal 35 3 27" xfId="40449"/>
    <cellStyle name="Normal 35 3 28" xfId="42201"/>
    <cellStyle name="Normal 35 3 29" xfId="44347"/>
    <cellStyle name="Normal 35 3 3" xfId="1593"/>
    <cellStyle name="Normal 35 3 3 10" xfId="15477"/>
    <cellStyle name="Normal 35 3 3 11" xfId="17230"/>
    <cellStyle name="Normal 35 3 3 12" xfId="18982"/>
    <cellStyle name="Normal 35 3 3 13" xfId="20735"/>
    <cellStyle name="Normal 35 3 3 14" xfId="22487"/>
    <cellStyle name="Normal 35 3 3 15" xfId="24239"/>
    <cellStyle name="Normal 35 3 3 16" xfId="25991"/>
    <cellStyle name="Normal 35 3 3 17" xfId="27743"/>
    <cellStyle name="Normal 35 3 3 18" xfId="29496"/>
    <cellStyle name="Normal 35 3 3 19" xfId="31248"/>
    <cellStyle name="Normal 35 3 3 2" xfId="1594"/>
    <cellStyle name="Normal 35 3 3 2 10" xfId="18106"/>
    <cellStyle name="Normal 35 3 3 2 11" xfId="19858"/>
    <cellStyle name="Normal 35 3 3 2 12" xfId="21611"/>
    <cellStyle name="Normal 35 3 3 2 13" xfId="23363"/>
    <cellStyle name="Normal 35 3 3 2 14" xfId="25115"/>
    <cellStyle name="Normal 35 3 3 2 15" xfId="26867"/>
    <cellStyle name="Normal 35 3 3 2 16" xfId="28619"/>
    <cellStyle name="Normal 35 3 3 2 17" xfId="30372"/>
    <cellStyle name="Normal 35 3 3 2 18" xfId="32124"/>
    <cellStyle name="Normal 35 3 3 2 19" xfId="33877"/>
    <cellStyle name="Normal 35 3 3 2 2" xfId="4088"/>
    <cellStyle name="Normal 35 3 3 2 20" xfId="36513"/>
    <cellStyle name="Normal 35 3 3 2 21" xfId="38253"/>
    <cellStyle name="Normal 35 3 3 2 22" xfId="40006"/>
    <cellStyle name="Normal 35 3 3 2 23" xfId="41761"/>
    <cellStyle name="Normal 35 3 3 2 24" xfId="43513"/>
    <cellStyle name="Normal 35 3 3 2 25" xfId="46131"/>
    <cellStyle name="Normal 35 3 3 2 26" xfId="47883"/>
    <cellStyle name="Normal 35 3 3 2 27" xfId="49635"/>
    <cellStyle name="Normal 35 3 3 2 28" xfId="51387"/>
    <cellStyle name="Normal 35 3 3 2 29" xfId="53139"/>
    <cellStyle name="Normal 35 3 3 2 3" xfId="5840"/>
    <cellStyle name="Normal 35 3 3 2 30" xfId="54891"/>
    <cellStyle name="Normal 35 3 3 2 31" xfId="56643"/>
    <cellStyle name="Normal 35 3 3 2 32" xfId="58396"/>
    <cellStyle name="Normal 35 3 3 2 33" xfId="60148"/>
    <cellStyle name="Normal 35 3 3 2 34" xfId="61900"/>
    <cellStyle name="Normal 35 3 3 2 4" xfId="7592"/>
    <cellStyle name="Normal 35 3 3 2 5" xfId="9344"/>
    <cellStyle name="Normal 35 3 3 2 6" xfId="11097"/>
    <cellStyle name="Normal 35 3 3 2 7" xfId="12849"/>
    <cellStyle name="Normal 35 3 3 2 8" xfId="14601"/>
    <cellStyle name="Normal 35 3 3 2 9" xfId="16353"/>
    <cellStyle name="Normal 35 3 3 20" xfId="33001"/>
    <cellStyle name="Normal 35 3 3 21" xfId="34729"/>
    <cellStyle name="Normal 35 3 3 22" xfId="35637"/>
    <cellStyle name="Normal 35 3 3 23" xfId="37350"/>
    <cellStyle name="Normal 35 3 3 24" xfId="39130"/>
    <cellStyle name="Normal 35 3 3 25" xfId="40885"/>
    <cellStyle name="Normal 35 3 3 26" xfId="42637"/>
    <cellStyle name="Normal 35 3 3 27" xfId="44350"/>
    <cellStyle name="Normal 35 3 3 28" xfId="45255"/>
    <cellStyle name="Normal 35 3 3 29" xfId="47007"/>
    <cellStyle name="Normal 35 3 3 3" xfId="3212"/>
    <cellStyle name="Normal 35 3 3 30" xfId="48759"/>
    <cellStyle name="Normal 35 3 3 31" xfId="50511"/>
    <cellStyle name="Normal 35 3 3 32" xfId="52263"/>
    <cellStyle name="Normal 35 3 3 33" xfId="54015"/>
    <cellStyle name="Normal 35 3 3 34" xfId="55767"/>
    <cellStyle name="Normal 35 3 3 35" xfId="57520"/>
    <cellStyle name="Normal 35 3 3 36" xfId="59272"/>
    <cellStyle name="Normal 35 3 3 37" xfId="61024"/>
    <cellStyle name="Normal 35 3 3 38" xfId="62737"/>
    <cellStyle name="Normal 35 3 3 39" xfId="63603"/>
    <cellStyle name="Normal 35 3 3 4" xfId="4964"/>
    <cellStyle name="Normal 35 3 3 5" xfId="6716"/>
    <cellStyle name="Normal 35 3 3 6" xfId="8468"/>
    <cellStyle name="Normal 35 3 3 7" xfId="10221"/>
    <cellStyle name="Normal 35 3 3 8" xfId="11973"/>
    <cellStyle name="Normal 35 3 3 9" xfId="13725"/>
    <cellStyle name="Normal 35 3 30" xfId="44819"/>
    <cellStyle name="Normal 35 3 31" xfId="46571"/>
    <cellStyle name="Normal 35 3 32" xfId="48323"/>
    <cellStyle name="Normal 35 3 33" xfId="50075"/>
    <cellStyle name="Normal 35 3 34" xfId="51827"/>
    <cellStyle name="Normal 35 3 35" xfId="53579"/>
    <cellStyle name="Normal 35 3 36" xfId="55331"/>
    <cellStyle name="Normal 35 3 37" xfId="57084"/>
    <cellStyle name="Normal 35 3 38" xfId="58836"/>
    <cellStyle name="Normal 35 3 39" xfId="60588"/>
    <cellStyle name="Normal 35 3 4" xfId="1595"/>
    <cellStyle name="Normal 35 3 4 10" xfId="17670"/>
    <cellStyle name="Normal 35 3 4 11" xfId="19422"/>
    <cellStyle name="Normal 35 3 4 12" xfId="21175"/>
    <cellStyle name="Normal 35 3 4 13" xfId="22927"/>
    <cellStyle name="Normal 35 3 4 14" xfId="24679"/>
    <cellStyle name="Normal 35 3 4 15" xfId="26431"/>
    <cellStyle name="Normal 35 3 4 16" xfId="28183"/>
    <cellStyle name="Normal 35 3 4 17" xfId="29936"/>
    <cellStyle name="Normal 35 3 4 18" xfId="31688"/>
    <cellStyle name="Normal 35 3 4 19" xfId="33441"/>
    <cellStyle name="Normal 35 3 4 2" xfId="3652"/>
    <cellStyle name="Normal 35 3 4 20" xfId="36077"/>
    <cellStyle name="Normal 35 3 4 21" xfId="37817"/>
    <cellStyle name="Normal 35 3 4 22" xfId="39570"/>
    <cellStyle name="Normal 35 3 4 23" xfId="41325"/>
    <cellStyle name="Normal 35 3 4 24" xfId="43077"/>
    <cellStyle name="Normal 35 3 4 25" xfId="45695"/>
    <cellStyle name="Normal 35 3 4 26" xfId="47447"/>
    <cellStyle name="Normal 35 3 4 27" xfId="49199"/>
    <cellStyle name="Normal 35 3 4 28" xfId="50951"/>
    <cellStyle name="Normal 35 3 4 29" xfId="52703"/>
    <cellStyle name="Normal 35 3 4 3" xfId="5404"/>
    <cellStyle name="Normal 35 3 4 30" xfId="54455"/>
    <cellStyle name="Normal 35 3 4 31" xfId="56207"/>
    <cellStyle name="Normal 35 3 4 32" xfId="57960"/>
    <cellStyle name="Normal 35 3 4 33" xfId="59712"/>
    <cellStyle name="Normal 35 3 4 34" xfId="61464"/>
    <cellStyle name="Normal 35 3 4 4" xfId="7156"/>
    <cellStyle name="Normal 35 3 4 5" xfId="8908"/>
    <cellStyle name="Normal 35 3 4 6" xfId="10661"/>
    <cellStyle name="Normal 35 3 4 7" xfId="12413"/>
    <cellStyle name="Normal 35 3 4 8" xfId="14165"/>
    <cellStyle name="Normal 35 3 4 9" xfId="15917"/>
    <cellStyle name="Normal 35 3 40" xfId="62734"/>
    <cellStyle name="Normal 35 3 41" xfId="63600"/>
    <cellStyle name="Normal 35 3 5" xfId="2776"/>
    <cellStyle name="Normal 35 3 6" xfId="4528"/>
    <cellStyle name="Normal 35 3 7" xfId="6280"/>
    <cellStyle name="Normal 35 3 8" xfId="8032"/>
    <cellStyle name="Normal 35 3 9" xfId="9785"/>
    <cellStyle name="Normal 35 30" xfId="42093"/>
    <cellStyle name="Normal 35 31" xfId="44338"/>
    <cellStyle name="Normal 35 32" xfId="44711"/>
    <cellStyle name="Normal 35 33" xfId="46463"/>
    <cellStyle name="Normal 35 34" xfId="48215"/>
    <cellStyle name="Normal 35 35" xfId="49967"/>
    <cellStyle name="Normal 35 36" xfId="51719"/>
    <cellStyle name="Normal 35 37" xfId="53471"/>
    <cellStyle name="Normal 35 38" xfId="55223"/>
    <cellStyle name="Normal 35 39" xfId="56976"/>
    <cellStyle name="Normal 35 4" xfId="1596"/>
    <cellStyle name="Normal 35 4 10" xfId="13497"/>
    <cellStyle name="Normal 35 4 11" xfId="15249"/>
    <cellStyle name="Normal 35 4 12" xfId="17002"/>
    <cellStyle name="Normal 35 4 13" xfId="18754"/>
    <cellStyle name="Normal 35 4 14" xfId="20507"/>
    <cellStyle name="Normal 35 4 15" xfId="22259"/>
    <cellStyle name="Normal 35 4 16" xfId="24011"/>
    <cellStyle name="Normal 35 4 17" xfId="25763"/>
    <cellStyle name="Normal 35 4 18" xfId="27515"/>
    <cellStyle name="Normal 35 4 19" xfId="29268"/>
    <cellStyle name="Normal 35 4 2" xfId="1597"/>
    <cellStyle name="Normal 35 4 2 10" xfId="15685"/>
    <cellStyle name="Normal 35 4 2 11" xfId="17438"/>
    <cellStyle name="Normal 35 4 2 12" xfId="19190"/>
    <cellStyle name="Normal 35 4 2 13" xfId="20943"/>
    <cellStyle name="Normal 35 4 2 14" xfId="22695"/>
    <cellStyle name="Normal 35 4 2 15" xfId="24447"/>
    <cellStyle name="Normal 35 4 2 16" xfId="26199"/>
    <cellStyle name="Normal 35 4 2 17" xfId="27951"/>
    <cellStyle name="Normal 35 4 2 18" xfId="29704"/>
    <cellStyle name="Normal 35 4 2 19" xfId="31456"/>
    <cellStyle name="Normal 35 4 2 2" xfId="1598"/>
    <cellStyle name="Normal 35 4 2 2 10" xfId="18314"/>
    <cellStyle name="Normal 35 4 2 2 11" xfId="20066"/>
    <cellStyle name="Normal 35 4 2 2 12" xfId="21819"/>
    <cellStyle name="Normal 35 4 2 2 13" xfId="23571"/>
    <cellStyle name="Normal 35 4 2 2 14" xfId="25323"/>
    <cellStyle name="Normal 35 4 2 2 15" xfId="27075"/>
    <cellStyle name="Normal 35 4 2 2 16" xfId="28827"/>
    <cellStyle name="Normal 35 4 2 2 17" xfId="30580"/>
    <cellStyle name="Normal 35 4 2 2 18" xfId="32332"/>
    <cellStyle name="Normal 35 4 2 2 19" xfId="34085"/>
    <cellStyle name="Normal 35 4 2 2 2" xfId="4296"/>
    <cellStyle name="Normal 35 4 2 2 20" xfId="36721"/>
    <cellStyle name="Normal 35 4 2 2 21" xfId="38461"/>
    <cellStyle name="Normal 35 4 2 2 22" xfId="40214"/>
    <cellStyle name="Normal 35 4 2 2 23" xfId="41969"/>
    <cellStyle name="Normal 35 4 2 2 24" xfId="43721"/>
    <cellStyle name="Normal 35 4 2 2 25" xfId="46339"/>
    <cellStyle name="Normal 35 4 2 2 26" xfId="48091"/>
    <cellStyle name="Normal 35 4 2 2 27" xfId="49843"/>
    <cellStyle name="Normal 35 4 2 2 28" xfId="51595"/>
    <cellStyle name="Normal 35 4 2 2 29" xfId="53347"/>
    <cellStyle name="Normal 35 4 2 2 3" xfId="6048"/>
    <cellStyle name="Normal 35 4 2 2 30" xfId="55099"/>
    <cellStyle name="Normal 35 4 2 2 31" xfId="56851"/>
    <cellStyle name="Normal 35 4 2 2 32" xfId="58604"/>
    <cellStyle name="Normal 35 4 2 2 33" xfId="60356"/>
    <cellStyle name="Normal 35 4 2 2 34" xfId="62108"/>
    <cellStyle name="Normal 35 4 2 2 4" xfId="7800"/>
    <cellStyle name="Normal 35 4 2 2 5" xfId="9552"/>
    <cellStyle name="Normal 35 4 2 2 6" xfId="11305"/>
    <cellStyle name="Normal 35 4 2 2 7" xfId="13057"/>
    <cellStyle name="Normal 35 4 2 2 8" xfId="14809"/>
    <cellStyle name="Normal 35 4 2 2 9" xfId="16561"/>
    <cellStyle name="Normal 35 4 2 20" xfId="33209"/>
    <cellStyle name="Normal 35 4 2 21" xfId="34731"/>
    <cellStyle name="Normal 35 4 2 22" xfId="35845"/>
    <cellStyle name="Normal 35 4 2 23" xfId="37352"/>
    <cellStyle name="Normal 35 4 2 24" xfId="39338"/>
    <cellStyle name="Normal 35 4 2 25" xfId="41093"/>
    <cellStyle name="Normal 35 4 2 26" xfId="42845"/>
    <cellStyle name="Normal 35 4 2 27" xfId="44352"/>
    <cellStyle name="Normal 35 4 2 28" xfId="45463"/>
    <cellStyle name="Normal 35 4 2 29" xfId="47215"/>
    <cellStyle name="Normal 35 4 2 3" xfId="3420"/>
    <cellStyle name="Normal 35 4 2 30" xfId="48967"/>
    <cellStyle name="Normal 35 4 2 31" xfId="50719"/>
    <cellStyle name="Normal 35 4 2 32" xfId="52471"/>
    <cellStyle name="Normal 35 4 2 33" xfId="54223"/>
    <cellStyle name="Normal 35 4 2 34" xfId="55975"/>
    <cellStyle name="Normal 35 4 2 35" xfId="57728"/>
    <cellStyle name="Normal 35 4 2 36" xfId="59480"/>
    <cellStyle name="Normal 35 4 2 37" xfId="61232"/>
    <cellStyle name="Normal 35 4 2 38" xfId="62739"/>
    <cellStyle name="Normal 35 4 2 39" xfId="63605"/>
    <cellStyle name="Normal 35 4 2 4" xfId="5172"/>
    <cellStyle name="Normal 35 4 2 5" xfId="6924"/>
    <cellStyle name="Normal 35 4 2 6" xfId="8676"/>
    <cellStyle name="Normal 35 4 2 7" xfId="10429"/>
    <cellStyle name="Normal 35 4 2 8" xfId="12181"/>
    <cellStyle name="Normal 35 4 2 9" xfId="13933"/>
    <cellStyle name="Normal 35 4 20" xfId="31020"/>
    <cellStyle name="Normal 35 4 21" xfId="32773"/>
    <cellStyle name="Normal 35 4 22" xfId="34730"/>
    <cellStyle name="Normal 35 4 23" xfId="35409"/>
    <cellStyle name="Normal 35 4 24" xfId="37351"/>
    <cellStyle name="Normal 35 4 25" xfId="38902"/>
    <cellStyle name="Normal 35 4 26" xfId="40657"/>
    <cellStyle name="Normal 35 4 27" xfId="42409"/>
    <cellStyle name="Normal 35 4 28" xfId="44351"/>
    <cellStyle name="Normal 35 4 29" xfId="45027"/>
    <cellStyle name="Normal 35 4 3" xfId="1599"/>
    <cellStyle name="Normal 35 4 3 10" xfId="17878"/>
    <cellStyle name="Normal 35 4 3 11" xfId="19630"/>
    <cellStyle name="Normal 35 4 3 12" xfId="21383"/>
    <cellStyle name="Normal 35 4 3 13" xfId="23135"/>
    <cellStyle name="Normal 35 4 3 14" xfId="24887"/>
    <cellStyle name="Normal 35 4 3 15" xfId="26639"/>
    <cellStyle name="Normal 35 4 3 16" xfId="28391"/>
    <cellStyle name="Normal 35 4 3 17" xfId="30144"/>
    <cellStyle name="Normal 35 4 3 18" xfId="31896"/>
    <cellStyle name="Normal 35 4 3 19" xfId="33649"/>
    <cellStyle name="Normal 35 4 3 2" xfId="3860"/>
    <cellStyle name="Normal 35 4 3 20" xfId="36285"/>
    <cellStyle name="Normal 35 4 3 21" xfId="38025"/>
    <cellStyle name="Normal 35 4 3 22" xfId="39778"/>
    <cellStyle name="Normal 35 4 3 23" xfId="41533"/>
    <cellStyle name="Normal 35 4 3 24" xfId="43285"/>
    <cellStyle name="Normal 35 4 3 25" xfId="45903"/>
    <cellStyle name="Normal 35 4 3 26" xfId="47655"/>
    <cellStyle name="Normal 35 4 3 27" xfId="49407"/>
    <cellStyle name="Normal 35 4 3 28" xfId="51159"/>
    <cellStyle name="Normal 35 4 3 29" xfId="52911"/>
    <cellStyle name="Normal 35 4 3 3" xfId="5612"/>
    <cellStyle name="Normal 35 4 3 30" xfId="54663"/>
    <cellStyle name="Normal 35 4 3 31" xfId="56415"/>
    <cellStyle name="Normal 35 4 3 32" xfId="58168"/>
    <cellStyle name="Normal 35 4 3 33" xfId="59920"/>
    <cellStyle name="Normal 35 4 3 34" xfId="61672"/>
    <cellStyle name="Normal 35 4 3 4" xfId="7364"/>
    <cellStyle name="Normal 35 4 3 5" xfId="9116"/>
    <cellStyle name="Normal 35 4 3 6" xfId="10869"/>
    <cellStyle name="Normal 35 4 3 7" xfId="12621"/>
    <cellStyle name="Normal 35 4 3 8" xfId="14373"/>
    <cellStyle name="Normal 35 4 3 9" xfId="16125"/>
    <cellStyle name="Normal 35 4 30" xfId="46779"/>
    <cellStyle name="Normal 35 4 31" xfId="48531"/>
    <cellStyle name="Normal 35 4 32" xfId="50283"/>
    <cellStyle name="Normal 35 4 33" xfId="52035"/>
    <cellStyle name="Normal 35 4 34" xfId="53787"/>
    <cellStyle name="Normal 35 4 35" xfId="55539"/>
    <cellStyle name="Normal 35 4 36" xfId="57292"/>
    <cellStyle name="Normal 35 4 37" xfId="59044"/>
    <cellStyle name="Normal 35 4 38" xfId="60796"/>
    <cellStyle name="Normal 35 4 39" xfId="62738"/>
    <cellStyle name="Normal 35 4 4" xfId="2984"/>
    <cellStyle name="Normal 35 4 40" xfId="63604"/>
    <cellStyle name="Normal 35 4 5" xfId="4736"/>
    <cellStyle name="Normal 35 4 6" xfId="6488"/>
    <cellStyle name="Normal 35 4 7" xfId="8240"/>
    <cellStyle name="Normal 35 4 8" xfId="9993"/>
    <cellStyle name="Normal 35 4 9" xfId="11745"/>
    <cellStyle name="Normal 35 40" xfId="58728"/>
    <cellStyle name="Normal 35 41" xfId="60480"/>
    <cellStyle name="Normal 35 42" xfId="62725"/>
    <cellStyle name="Normal 35 43" xfId="63591"/>
    <cellStyle name="Normal 35 5" xfId="1600"/>
    <cellStyle name="Normal 35 5 10" xfId="15369"/>
    <cellStyle name="Normal 35 5 11" xfId="17122"/>
    <cellStyle name="Normal 35 5 12" xfId="18874"/>
    <cellStyle name="Normal 35 5 13" xfId="20627"/>
    <cellStyle name="Normal 35 5 14" xfId="22379"/>
    <cellStyle name="Normal 35 5 15" xfId="24131"/>
    <cellStyle name="Normal 35 5 16" xfId="25883"/>
    <cellStyle name="Normal 35 5 17" xfId="27635"/>
    <cellStyle name="Normal 35 5 18" xfId="29388"/>
    <cellStyle name="Normal 35 5 19" xfId="31140"/>
    <cellStyle name="Normal 35 5 2" xfId="1601"/>
    <cellStyle name="Normal 35 5 2 10" xfId="17998"/>
    <cellStyle name="Normal 35 5 2 11" xfId="19750"/>
    <cellStyle name="Normal 35 5 2 12" xfId="21503"/>
    <cellStyle name="Normal 35 5 2 13" xfId="23255"/>
    <cellStyle name="Normal 35 5 2 14" xfId="25007"/>
    <cellStyle name="Normal 35 5 2 15" xfId="26759"/>
    <cellStyle name="Normal 35 5 2 16" xfId="28511"/>
    <cellStyle name="Normal 35 5 2 17" xfId="30264"/>
    <cellStyle name="Normal 35 5 2 18" xfId="32016"/>
    <cellStyle name="Normal 35 5 2 19" xfId="33769"/>
    <cellStyle name="Normal 35 5 2 2" xfId="3980"/>
    <cellStyle name="Normal 35 5 2 20" xfId="36405"/>
    <cellStyle name="Normal 35 5 2 21" xfId="38145"/>
    <cellStyle name="Normal 35 5 2 22" xfId="39898"/>
    <cellStyle name="Normal 35 5 2 23" xfId="41653"/>
    <cellStyle name="Normal 35 5 2 24" xfId="43405"/>
    <cellStyle name="Normal 35 5 2 25" xfId="46023"/>
    <cellStyle name="Normal 35 5 2 26" xfId="47775"/>
    <cellStyle name="Normal 35 5 2 27" xfId="49527"/>
    <cellStyle name="Normal 35 5 2 28" xfId="51279"/>
    <cellStyle name="Normal 35 5 2 29" xfId="53031"/>
    <cellStyle name="Normal 35 5 2 3" xfId="5732"/>
    <cellStyle name="Normal 35 5 2 30" xfId="54783"/>
    <cellStyle name="Normal 35 5 2 31" xfId="56535"/>
    <cellStyle name="Normal 35 5 2 32" xfId="58288"/>
    <cellStyle name="Normal 35 5 2 33" xfId="60040"/>
    <cellStyle name="Normal 35 5 2 34" xfId="61792"/>
    <cellStyle name="Normal 35 5 2 4" xfId="7484"/>
    <cellStyle name="Normal 35 5 2 5" xfId="9236"/>
    <cellStyle name="Normal 35 5 2 6" xfId="10989"/>
    <cellStyle name="Normal 35 5 2 7" xfId="12741"/>
    <cellStyle name="Normal 35 5 2 8" xfId="14493"/>
    <cellStyle name="Normal 35 5 2 9" xfId="16245"/>
    <cellStyle name="Normal 35 5 20" xfId="32893"/>
    <cellStyle name="Normal 35 5 21" xfId="34732"/>
    <cellStyle name="Normal 35 5 22" xfId="35529"/>
    <cellStyle name="Normal 35 5 23" xfId="37353"/>
    <cellStyle name="Normal 35 5 24" xfId="39022"/>
    <cellStyle name="Normal 35 5 25" xfId="40777"/>
    <cellStyle name="Normal 35 5 26" xfId="42529"/>
    <cellStyle name="Normal 35 5 27" xfId="44353"/>
    <cellStyle name="Normal 35 5 28" xfId="45147"/>
    <cellStyle name="Normal 35 5 29" xfId="46899"/>
    <cellStyle name="Normal 35 5 3" xfId="3104"/>
    <cellStyle name="Normal 35 5 30" xfId="48651"/>
    <cellStyle name="Normal 35 5 31" xfId="50403"/>
    <cellStyle name="Normal 35 5 32" xfId="52155"/>
    <cellStyle name="Normal 35 5 33" xfId="53907"/>
    <cellStyle name="Normal 35 5 34" xfId="55659"/>
    <cellStyle name="Normal 35 5 35" xfId="57412"/>
    <cellStyle name="Normal 35 5 36" xfId="59164"/>
    <cellStyle name="Normal 35 5 37" xfId="60916"/>
    <cellStyle name="Normal 35 5 38" xfId="62740"/>
    <cellStyle name="Normal 35 5 39" xfId="63606"/>
    <cellStyle name="Normal 35 5 4" xfId="4856"/>
    <cellStyle name="Normal 35 5 5" xfId="6608"/>
    <cellStyle name="Normal 35 5 6" xfId="8360"/>
    <cellStyle name="Normal 35 5 7" xfId="10113"/>
    <cellStyle name="Normal 35 5 8" xfId="11865"/>
    <cellStyle name="Normal 35 5 9" xfId="13617"/>
    <cellStyle name="Normal 35 6" xfId="1602"/>
    <cellStyle name="Normal 35 6 10" xfId="17562"/>
    <cellStyle name="Normal 35 6 11" xfId="19314"/>
    <cellStyle name="Normal 35 6 12" xfId="21067"/>
    <cellStyle name="Normal 35 6 13" xfId="22819"/>
    <cellStyle name="Normal 35 6 14" xfId="24571"/>
    <cellStyle name="Normal 35 6 15" xfId="26323"/>
    <cellStyle name="Normal 35 6 16" xfId="28075"/>
    <cellStyle name="Normal 35 6 17" xfId="29828"/>
    <cellStyle name="Normal 35 6 18" xfId="31580"/>
    <cellStyle name="Normal 35 6 19" xfId="33333"/>
    <cellStyle name="Normal 35 6 2" xfId="3544"/>
    <cellStyle name="Normal 35 6 20" xfId="35969"/>
    <cellStyle name="Normal 35 6 21" xfId="37706"/>
    <cellStyle name="Normal 35 6 22" xfId="39462"/>
    <cellStyle name="Normal 35 6 23" xfId="41217"/>
    <cellStyle name="Normal 35 6 24" xfId="42969"/>
    <cellStyle name="Normal 35 6 25" xfId="45587"/>
    <cellStyle name="Normal 35 6 26" xfId="47339"/>
    <cellStyle name="Normal 35 6 27" xfId="49091"/>
    <cellStyle name="Normal 35 6 28" xfId="50843"/>
    <cellStyle name="Normal 35 6 29" xfId="52595"/>
    <cellStyle name="Normal 35 6 3" xfId="5296"/>
    <cellStyle name="Normal 35 6 30" xfId="54347"/>
    <cellStyle name="Normal 35 6 31" xfId="56099"/>
    <cellStyle name="Normal 35 6 32" xfId="57852"/>
    <cellStyle name="Normal 35 6 33" xfId="59604"/>
    <cellStyle name="Normal 35 6 34" xfId="61356"/>
    <cellStyle name="Normal 35 6 4" xfId="7048"/>
    <cellStyle name="Normal 35 6 5" xfId="8800"/>
    <cellStyle name="Normal 35 6 6" xfId="10553"/>
    <cellStyle name="Normal 35 6 7" xfId="12305"/>
    <cellStyle name="Normal 35 6 8" xfId="14057"/>
    <cellStyle name="Normal 35 6 9" xfId="15809"/>
    <cellStyle name="Normal 35 7" xfId="2668"/>
    <cellStyle name="Normal 35 8" xfId="4420"/>
    <cellStyle name="Normal 35 9" xfId="6172"/>
    <cellStyle name="Normal 36" xfId="1603"/>
    <cellStyle name="Normal 36 10" xfId="7925"/>
    <cellStyle name="Normal 36 11" xfId="9678"/>
    <cellStyle name="Normal 36 12" xfId="11430"/>
    <cellStyle name="Normal 36 13" xfId="13182"/>
    <cellStyle name="Normal 36 14" xfId="14934"/>
    <cellStyle name="Normal 36 15" xfId="16687"/>
    <cellStyle name="Normal 36 16" xfId="18439"/>
    <cellStyle name="Normal 36 17" xfId="20192"/>
    <cellStyle name="Normal 36 18" xfId="21944"/>
    <cellStyle name="Normal 36 19" xfId="23696"/>
    <cellStyle name="Normal 36 2" xfId="1604"/>
    <cellStyle name="Normal 36 2 10" xfId="9733"/>
    <cellStyle name="Normal 36 2 11" xfId="11485"/>
    <cellStyle name="Normal 36 2 12" xfId="13237"/>
    <cellStyle name="Normal 36 2 13" xfId="14989"/>
    <cellStyle name="Normal 36 2 14" xfId="16742"/>
    <cellStyle name="Normal 36 2 15" xfId="18494"/>
    <cellStyle name="Normal 36 2 16" xfId="20247"/>
    <cellStyle name="Normal 36 2 17" xfId="21999"/>
    <cellStyle name="Normal 36 2 18" xfId="23751"/>
    <cellStyle name="Normal 36 2 19" xfId="25503"/>
    <cellStyle name="Normal 36 2 2" xfId="1605"/>
    <cellStyle name="Normal 36 2 2 10" xfId="11593"/>
    <cellStyle name="Normal 36 2 2 11" xfId="13345"/>
    <cellStyle name="Normal 36 2 2 12" xfId="15097"/>
    <cellStyle name="Normal 36 2 2 13" xfId="16850"/>
    <cellStyle name="Normal 36 2 2 14" xfId="18602"/>
    <cellStyle name="Normal 36 2 2 15" xfId="20355"/>
    <cellStyle name="Normal 36 2 2 16" xfId="22107"/>
    <cellStyle name="Normal 36 2 2 17" xfId="23859"/>
    <cellStyle name="Normal 36 2 2 18" xfId="25611"/>
    <cellStyle name="Normal 36 2 2 19" xfId="27363"/>
    <cellStyle name="Normal 36 2 2 2" xfId="1606"/>
    <cellStyle name="Normal 36 2 2 2 10" xfId="13498"/>
    <cellStyle name="Normal 36 2 2 2 11" xfId="15250"/>
    <cellStyle name="Normal 36 2 2 2 12" xfId="17003"/>
    <cellStyle name="Normal 36 2 2 2 13" xfId="18755"/>
    <cellStyle name="Normal 36 2 2 2 14" xfId="20508"/>
    <cellStyle name="Normal 36 2 2 2 15" xfId="22260"/>
    <cellStyle name="Normal 36 2 2 2 16" xfId="24012"/>
    <cellStyle name="Normal 36 2 2 2 17" xfId="25764"/>
    <cellStyle name="Normal 36 2 2 2 18" xfId="27516"/>
    <cellStyle name="Normal 36 2 2 2 19" xfId="29269"/>
    <cellStyle name="Normal 36 2 2 2 2" xfId="1607"/>
    <cellStyle name="Normal 36 2 2 2 2 10" xfId="15686"/>
    <cellStyle name="Normal 36 2 2 2 2 11" xfId="17439"/>
    <cellStyle name="Normal 36 2 2 2 2 12" xfId="19191"/>
    <cellStyle name="Normal 36 2 2 2 2 13" xfId="20944"/>
    <cellStyle name="Normal 36 2 2 2 2 14" xfId="22696"/>
    <cellStyle name="Normal 36 2 2 2 2 15" xfId="24448"/>
    <cellStyle name="Normal 36 2 2 2 2 16" xfId="26200"/>
    <cellStyle name="Normal 36 2 2 2 2 17" xfId="27952"/>
    <cellStyle name="Normal 36 2 2 2 2 18" xfId="29705"/>
    <cellStyle name="Normal 36 2 2 2 2 19" xfId="31457"/>
    <cellStyle name="Normal 36 2 2 2 2 2" xfId="1608"/>
    <cellStyle name="Normal 36 2 2 2 2 2 10" xfId="18315"/>
    <cellStyle name="Normal 36 2 2 2 2 2 11" xfId="20067"/>
    <cellStyle name="Normal 36 2 2 2 2 2 12" xfId="21820"/>
    <cellStyle name="Normal 36 2 2 2 2 2 13" xfId="23572"/>
    <cellStyle name="Normal 36 2 2 2 2 2 14" xfId="25324"/>
    <cellStyle name="Normal 36 2 2 2 2 2 15" xfId="27076"/>
    <cellStyle name="Normal 36 2 2 2 2 2 16" xfId="28828"/>
    <cellStyle name="Normal 36 2 2 2 2 2 17" xfId="30581"/>
    <cellStyle name="Normal 36 2 2 2 2 2 18" xfId="32333"/>
    <cellStyle name="Normal 36 2 2 2 2 2 19" xfId="34086"/>
    <cellStyle name="Normal 36 2 2 2 2 2 2" xfId="4297"/>
    <cellStyle name="Normal 36 2 2 2 2 2 20" xfId="36722"/>
    <cellStyle name="Normal 36 2 2 2 2 2 21" xfId="38462"/>
    <cellStyle name="Normal 36 2 2 2 2 2 22" xfId="40215"/>
    <cellStyle name="Normal 36 2 2 2 2 2 23" xfId="41970"/>
    <cellStyle name="Normal 36 2 2 2 2 2 24" xfId="43722"/>
    <cellStyle name="Normal 36 2 2 2 2 2 25" xfId="46340"/>
    <cellStyle name="Normal 36 2 2 2 2 2 26" xfId="48092"/>
    <cellStyle name="Normal 36 2 2 2 2 2 27" xfId="49844"/>
    <cellStyle name="Normal 36 2 2 2 2 2 28" xfId="51596"/>
    <cellStyle name="Normal 36 2 2 2 2 2 29" xfId="53348"/>
    <cellStyle name="Normal 36 2 2 2 2 2 3" xfId="6049"/>
    <cellStyle name="Normal 36 2 2 2 2 2 30" xfId="55100"/>
    <cellStyle name="Normal 36 2 2 2 2 2 31" xfId="56852"/>
    <cellStyle name="Normal 36 2 2 2 2 2 32" xfId="58605"/>
    <cellStyle name="Normal 36 2 2 2 2 2 33" xfId="60357"/>
    <cellStyle name="Normal 36 2 2 2 2 2 34" xfId="62109"/>
    <cellStyle name="Normal 36 2 2 2 2 2 4" xfId="7801"/>
    <cellStyle name="Normal 36 2 2 2 2 2 5" xfId="9553"/>
    <cellStyle name="Normal 36 2 2 2 2 2 6" xfId="11306"/>
    <cellStyle name="Normal 36 2 2 2 2 2 7" xfId="13058"/>
    <cellStyle name="Normal 36 2 2 2 2 2 8" xfId="14810"/>
    <cellStyle name="Normal 36 2 2 2 2 2 9" xfId="16562"/>
    <cellStyle name="Normal 36 2 2 2 2 20" xfId="33210"/>
    <cellStyle name="Normal 36 2 2 2 2 21" xfId="34737"/>
    <cellStyle name="Normal 36 2 2 2 2 22" xfId="35846"/>
    <cellStyle name="Normal 36 2 2 2 2 23" xfId="37358"/>
    <cellStyle name="Normal 36 2 2 2 2 24" xfId="39339"/>
    <cellStyle name="Normal 36 2 2 2 2 25" xfId="41094"/>
    <cellStyle name="Normal 36 2 2 2 2 26" xfId="42846"/>
    <cellStyle name="Normal 36 2 2 2 2 27" xfId="44358"/>
    <cellStyle name="Normal 36 2 2 2 2 28" xfId="45464"/>
    <cellStyle name="Normal 36 2 2 2 2 29" xfId="47216"/>
    <cellStyle name="Normal 36 2 2 2 2 3" xfId="3421"/>
    <cellStyle name="Normal 36 2 2 2 2 30" xfId="48968"/>
    <cellStyle name="Normal 36 2 2 2 2 31" xfId="50720"/>
    <cellStyle name="Normal 36 2 2 2 2 32" xfId="52472"/>
    <cellStyle name="Normal 36 2 2 2 2 33" xfId="54224"/>
    <cellStyle name="Normal 36 2 2 2 2 34" xfId="55976"/>
    <cellStyle name="Normal 36 2 2 2 2 35" xfId="57729"/>
    <cellStyle name="Normal 36 2 2 2 2 36" xfId="59481"/>
    <cellStyle name="Normal 36 2 2 2 2 37" xfId="61233"/>
    <cellStyle name="Normal 36 2 2 2 2 38" xfId="62745"/>
    <cellStyle name="Normal 36 2 2 2 2 39" xfId="63611"/>
    <cellStyle name="Normal 36 2 2 2 2 4" xfId="5173"/>
    <cellStyle name="Normal 36 2 2 2 2 5" xfId="6925"/>
    <cellStyle name="Normal 36 2 2 2 2 6" xfId="8677"/>
    <cellStyle name="Normal 36 2 2 2 2 7" xfId="10430"/>
    <cellStyle name="Normal 36 2 2 2 2 8" xfId="12182"/>
    <cellStyle name="Normal 36 2 2 2 2 9" xfId="13934"/>
    <cellStyle name="Normal 36 2 2 2 20" xfId="31021"/>
    <cellStyle name="Normal 36 2 2 2 21" xfId="32774"/>
    <cellStyle name="Normal 36 2 2 2 22" xfId="34736"/>
    <cellStyle name="Normal 36 2 2 2 23" xfId="35410"/>
    <cellStyle name="Normal 36 2 2 2 24" xfId="37357"/>
    <cellStyle name="Normal 36 2 2 2 25" xfId="38903"/>
    <cellStyle name="Normal 36 2 2 2 26" xfId="40658"/>
    <cellStyle name="Normal 36 2 2 2 27" xfId="42410"/>
    <cellStyle name="Normal 36 2 2 2 28" xfId="44357"/>
    <cellStyle name="Normal 36 2 2 2 29" xfId="45028"/>
    <cellStyle name="Normal 36 2 2 2 3" xfId="1609"/>
    <cellStyle name="Normal 36 2 2 2 3 10" xfId="17879"/>
    <cellStyle name="Normal 36 2 2 2 3 11" xfId="19631"/>
    <cellStyle name="Normal 36 2 2 2 3 12" xfId="21384"/>
    <cellStyle name="Normal 36 2 2 2 3 13" xfId="23136"/>
    <cellStyle name="Normal 36 2 2 2 3 14" xfId="24888"/>
    <cellStyle name="Normal 36 2 2 2 3 15" xfId="26640"/>
    <cellStyle name="Normal 36 2 2 2 3 16" xfId="28392"/>
    <cellStyle name="Normal 36 2 2 2 3 17" xfId="30145"/>
    <cellStyle name="Normal 36 2 2 2 3 18" xfId="31897"/>
    <cellStyle name="Normal 36 2 2 2 3 19" xfId="33650"/>
    <cellStyle name="Normal 36 2 2 2 3 2" xfId="3861"/>
    <cellStyle name="Normal 36 2 2 2 3 20" xfId="36286"/>
    <cellStyle name="Normal 36 2 2 2 3 21" xfId="38026"/>
    <cellStyle name="Normal 36 2 2 2 3 22" xfId="39779"/>
    <cellStyle name="Normal 36 2 2 2 3 23" xfId="41534"/>
    <cellStyle name="Normal 36 2 2 2 3 24" xfId="43286"/>
    <cellStyle name="Normal 36 2 2 2 3 25" xfId="45904"/>
    <cellStyle name="Normal 36 2 2 2 3 26" xfId="47656"/>
    <cellStyle name="Normal 36 2 2 2 3 27" xfId="49408"/>
    <cellStyle name="Normal 36 2 2 2 3 28" xfId="51160"/>
    <cellStyle name="Normal 36 2 2 2 3 29" xfId="52912"/>
    <cellStyle name="Normal 36 2 2 2 3 3" xfId="5613"/>
    <cellStyle name="Normal 36 2 2 2 3 30" xfId="54664"/>
    <cellStyle name="Normal 36 2 2 2 3 31" xfId="56416"/>
    <cellStyle name="Normal 36 2 2 2 3 32" xfId="58169"/>
    <cellStyle name="Normal 36 2 2 2 3 33" xfId="59921"/>
    <cellStyle name="Normal 36 2 2 2 3 34" xfId="61673"/>
    <cellStyle name="Normal 36 2 2 2 3 4" xfId="7365"/>
    <cellStyle name="Normal 36 2 2 2 3 5" xfId="9117"/>
    <cellStyle name="Normal 36 2 2 2 3 6" xfId="10870"/>
    <cellStyle name="Normal 36 2 2 2 3 7" xfId="12622"/>
    <cellStyle name="Normal 36 2 2 2 3 8" xfId="14374"/>
    <cellStyle name="Normal 36 2 2 2 3 9" xfId="16126"/>
    <cellStyle name="Normal 36 2 2 2 30" xfId="46780"/>
    <cellStyle name="Normal 36 2 2 2 31" xfId="48532"/>
    <cellStyle name="Normal 36 2 2 2 32" xfId="50284"/>
    <cellStyle name="Normal 36 2 2 2 33" xfId="52036"/>
    <cellStyle name="Normal 36 2 2 2 34" xfId="53788"/>
    <cellStyle name="Normal 36 2 2 2 35" xfId="55540"/>
    <cellStyle name="Normal 36 2 2 2 36" xfId="57293"/>
    <cellStyle name="Normal 36 2 2 2 37" xfId="59045"/>
    <cellStyle name="Normal 36 2 2 2 38" xfId="60797"/>
    <cellStyle name="Normal 36 2 2 2 39" xfId="62744"/>
    <cellStyle name="Normal 36 2 2 2 4" xfId="2985"/>
    <cellStyle name="Normal 36 2 2 2 40" xfId="63610"/>
    <cellStyle name="Normal 36 2 2 2 5" xfId="4737"/>
    <cellStyle name="Normal 36 2 2 2 6" xfId="6489"/>
    <cellStyle name="Normal 36 2 2 2 7" xfId="8241"/>
    <cellStyle name="Normal 36 2 2 2 8" xfId="9994"/>
    <cellStyle name="Normal 36 2 2 2 9" xfId="11746"/>
    <cellStyle name="Normal 36 2 2 20" xfId="29116"/>
    <cellStyle name="Normal 36 2 2 21" xfId="30868"/>
    <cellStyle name="Normal 36 2 2 22" xfId="32621"/>
    <cellStyle name="Normal 36 2 2 23" xfId="34735"/>
    <cellStyle name="Normal 36 2 2 24" xfId="35257"/>
    <cellStyle name="Normal 36 2 2 25" xfId="37356"/>
    <cellStyle name="Normal 36 2 2 26" xfId="38750"/>
    <cellStyle name="Normal 36 2 2 27" xfId="40505"/>
    <cellStyle name="Normal 36 2 2 28" xfId="42257"/>
    <cellStyle name="Normal 36 2 2 29" xfId="44356"/>
    <cellStyle name="Normal 36 2 2 3" xfId="1610"/>
    <cellStyle name="Normal 36 2 2 3 10" xfId="15533"/>
    <cellStyle name="Normal 36 2 2 3 11" xfId="17286"/>
    <cellStyle name="Normal 36 2 2 3 12" xfId="19038"/>
    <cellStyle name="Normal 36 2 2 3 13" xfId="20791"/>
    <cellStyle name="Normal 36 2 2 3 14" xfId="22543"/>
    <cellStyle name="Normal 36 2 2 3 15" xfId="24295"/>
    <cellStyle name="Normal 36 2 2 3 16" xfId="26047"/>
    <cellStyle name="Normal 36 2 2 3 17" xfId="27799"/>
    <cellStyle name="Normal 36 2 2 3 18" xfId="29552"/>
    <cellStyle name="Normal 36 2 2 3 19" xfId="31304"/>
    <cellStyle name="Normal 36 2 2 3 2" xfId="1611"/>
    <cellStyle name="Normal 36 2 2 3 2 10" xfId="18162"/>
    <cellStyle name="Normal 36 2 2 3 2 11" xfId="19914"/>
    <cellStyle name="Normal 36 2 2 3 2 12" xfId="21667"/>
    <cellStyle name="Normal 36 2 2 3 2 13" xfId="23419"/>
    <cellStyle name="Normal 36 2 2 3 2 14" xfId="25171"/>
    <cellStyle name="Normal 36 2 2 3 2 15" xfId="26923"/>
    <cellStyle name="Normal 36 2 2 3 2 16" xfId="28675"/>
    <cellStyle name="Normal 36 2 2 3 2 17" xfId="30428"/>
    <cellStyle name="Normal 36 2 2 3 2 18" xfId="32180"/>
    <cellStyle name="Normal 36 2 2 3 2 19" xfId="33933"/>
    <cellStyle name="Normal 36 2 2 3 2 2" xfId="4144"/>
    <cellStyle name="Normal 36 2 2 3 2 20" xfId="36569"/>
    <cellStyle name="Normal 36 2 2 3 2 21" xfId="38309"/>
    <cellStyle name="Normal 36 2 2 3 2 22" xfId="40062"/>
    <cellStyle name="Normal 36 2 2 3 2 23" xfId="41817"/>
    <cellStyle name="Normal 36 2 2 3 2 24" xfId="43569"/>
    <cellStyle name="Normal 36 2 2 3 2 25" xfId="46187"/>
    <cellStyle name="Normal 36 2 2 3 2 26" xfId="47939"/>
    <cellStyle name="Normal 36 2 2 3 2 27" xfId="49691"/>
    <cellStyle name="Normal 36 2 2 3 2 28" xfId="51443"/>
    <cellStyle name="Normal 36 2 2 3 2 29" xfId="53195"/>
    <cellStyle name="Normal 36 2 2 3 2 3" xfId="5896"/>
    <cellStyle name="Normal 36 2 2 3 2 30" xfId="54947"/>
    <cellStyle name="Normal 36 2 2 3 2 31" xfId="56699"/>
    <cellStyle name="Normal 36 2 2 3 2 32" xfId="58452"/>
    <cellStyle name="Normal 36 2 2 3 2 33" xfId="60204"/>
    <cellStyle name="Normal 36 2 2 3 2 34" xfId="61956"/>
    <cellStyle name="Normal 36 2 2 3 2 4" xfId="7648"/>
    <cellStyle name="Normal 36 2 2 3 2 5" xfId="9400"/>
    <cellStyle name="Normal 36 2 2 3 2 6" xfId="11153"/>
    <cellStyle name="Normal 36 2 2 3 2 7" xfId="12905"/>
    <cellStyle name="Normal 36 2 2 3 2 8" xfId="14657"/>
    <cellStyle name="Normal 36 2 2 3 2 9" xfId="16409"/>
    <cellStyle name="Normal 36 2 2 3 20" xfId="33057"/>
    <cellStyle name="Normal 36 2 2 3 21" xfId="34738"/>
    <cellStyle name="Normal 36 2 2 3 22" xfId="35693"/>
    <cellStyle name="Normal 36 2 2 3 23" xfId="37359"/>
    <cellStyle name="Normal 36 2 2 3 24" xfId="39186"/>
    <cellStyle name="Normal 36 2 2 3 25" xfId="40941"/>
    <cellStyle name="Normal 36 2 2 3 26" xfId="42693"/>
    <cellStyle name="Normal 36 2 2 3 27" xfId="44359"/>
    <cellStyle name="Normal 36 2 2 3 28" xfId="45311"/>
    <cellStyle name="Normal 36 2 2 3 29" xfId="47063"/>
    <cellStyle name="Normal 36 2 2 3 3" xfId="3268"/>
    <cellStyle name="Normal 36 2 2 3 30" xfId="48815"/>
    <cellStyle name="Normal 36 2 2 3 31" xfId="50567"/>
    <cellStyle name="Normal 36 2 2 3 32" xfId="52319"/>
    <cellStyle name="Normal 36 2 2 3 33" xfId="54071"/>
    <cellStyle name="Normal 36 2 2 3 34" xfId="55823"/>
    <cellStyle name="Normal 36 2 2 3 35" xfId="57576"/>
    <cellStyle name="Normal 36 2 2 3 36" xfId="59328"/>
    <cellStyle name="Normal 36 2 2 3 37" xfId="61080"/>
    <cellStyle name="Normal 36 2 2 3 38" xfId="62746"/>
    <cellStyle name="Normal 36 2 2 3 39" xfId="63612"/>
    <cellStyle name="Normal 36 2 2 3 4" xfId="5020"/>
    <cellStyle name="Normal 36 2 2 3 5" xfId="6772"/>
    <cellStyle name="Normal 36 2 2 3 6" xfId="8524"/>
    <cellStyle name="Normal 36 2 2 3 7" xfId="10277"/>
    <cellStyle name="Normal 36 2 2 3 8" xfId="12029"/>
    <cellStyle name="Normal 36 2 2 3 9" xfId="13781"/>
    <cellStyle name="Normal 36 2 2 30" xfId="44875"/>
    <cellStyle name="Normal 36 2 2 31" xfId="46627"/>
    <cellStyle name="Normal 36 2 2 32" xfId="48379"/>
    <cellStyle name="Normal 36 2 2 33" xfId="50131"/>
    <cellStyle name="Normal 36 2 2 34" xfId="51883"/>
    <cellStyle name="Normal 36 2 2 35" xfId="53635"/>
    <cellStyle name="Normal 36 2 2 36" xfId="55387"/>
    <cellStyle name="Normal 36 2 2 37" xfId="57140"/>
    <cellStyle name="Normal 36 2 2 38" xfId="58892"/>
    <cellStyle name="Normal 36 2 2 39" xfId="60644"/>
    <cellStyle name="Normal 36 2 2 4" xfId="1612"/>
    <cellStyle name="Normal 36 2 2 4 10" xfId="17726"/>
    <cellStyle name="Normal 36 2 2 4 11" xfId="19478"/>
    <cellStyle name="Normal 36 2 2 4 12" xfId="21231"/>
    <cellStyle name="Normal 36 2 2 4 13" xfId="22983"/>
    <cellStyle name="Normal 36 2 2 4 14" xfId="24735"/>
    <cellStyle name="Normal 36 2 2 4 15" xfId="26487"/>
    <cellStyle name="Normal 36 2 2 4 16" xfId="28239"/>
    <cellStyle name="Normal 36 2 2 4 17" xfId="29992"/>
    <cellStyle name="Normal 36 2 2 4 18" xfId="31744"/>
    <cellStyle name="Normal 36 2 2 4 19" xfId="33497"/>
    <cellStyle name="Normal 36 2 2 4 2" xfId="3708"/>
    <cellStyle name="Normal 36 2 2 4 20" xfId="36133"/>
    <cellStyle name="Normal 36 2 2 4 21" xfId="37873"/>
    <cellStyle name="Normal 36 2 2 4 22" xfId="39626"/>
    <cellStyle name="Normal 36 2 2 4 23" xfId="41381"/>
    <cellStyle name="Normal 36 2 2 4 24" xfId="43133"/>
    <cellStyle name="Normal 36 2 2 4 25" xfId="45751"/>
    <cellStyle name="Normal 36 2 2 4 26" xfId="47503"/>
    <cellStyle name="Normal 36 2 2 4 27" xfId="49255"/>
    <cellStyle name="Normal 36 2 2 4 28" xfId="51007"/>
    <cellStyle name="Normal 36 2 2 4 29" xfId="52759"/>
    <cellStyle name="Normal 36 2 2 4 3" xfId="5460"/>
    <cellStyle name="Normal 36 2 2 4 30" xfId="54511"/>
    <cellStyle name="Normal 36 2 2 4 31" xfId="56263"/>
    <cellStyle name="Normal 36 2 2 4 32" xfId="58016"/>
    <cellStyle name="Normal 36 2 2 4 33" xfId="59768"/>
    <cellStyle name="Normal 36 2 2 4 34" xfId="61520"/>
    <cellStyle name="Normal 36 2 2 4 4" xfId="7212"/>
    <cellStyle name="Normal 36 2 2 4 5" xfId="8964"/>
    <cellStyle name="Normal 36 2 2 4 6" xfId="10717"/>
    <cellStyle name="Normal 36 2 2 4 7" xfId="12469"/>
    <cellStyle name="Normal 36 2 2 4 8" xfId="14221"/>
    <cellStyle name="Normal 36 2 2 4 9" xfId="15973"/>
    <cellStyle name="Normal 36 2 2 40" xfId="62743"/>
    <cellStyle name="Normal 36 2 2 41" xfId="63609"/>
    <cellStyle name="Normal 36 2 2 5" xfId="2832"/>
    <cellStyle name="Normal 36 2 2 6" xfId="4584"/>
    <cellStyle name="Normal 36 2 2 7" xfId="6336"/>
    <cellStyle name="Normal 36 2 2 8" xfId="8088"/>
    <cellStyle name="Normal 36 2 2 9" xfId="9841"/>
    <cellStyle name="Normal 36 2 20" xfId="27255"/>
    <cellStyle name="Normal 36 2 21" xfId="29008"/>
    <cellStyle name="Normal 36 2 22" xfId="30760"/>
    <cellStyle name="Normal 36 2 23" xfId="32513"/>
    <cellStyle name="Normal 36 2 24" xfId="34734"/>
    <cellStyle name="Normal 36 2 25" xfId="35149"/>
    <cellStyle name="Normal 36 2 26" xfId="37355"/>
    <cellStyle name="Normal 36 2 27" xfId="38642"/>
    <cellStyle name="Normal 36 2 28" xfId="40397"/>
    <cellStyle name="Normal 36 2 29" xfId="42149"/>
    <cellStyle name="Normal 36 2 3" xfId="1613"/>
    <cellStyle name="Normal 36 2 3 10" xfId="13499"/>
    <cellStyle name="Normal 36 2 3 11" xfId="15251"/>
    <cellStyle name="Normal 36 2 3 12" xfId="17004"/>
    <cellStyle name="Normal 36 2 3 13" xfId="18756"/>
    <cellStyle name="Normal 36 2 3 14" xfId="20509"/>
    <cellStyle name="Normal 36 2 3 15" xfId="22261"/>
    <cellStyle name="Normal 36 2 3 16" xfId="24013"/>
    <cellStyle name="Normal 36 2 3 17" xfId="25765"/>
    <cellStyle name="Normal 36 2 3 18" xfId="27517"/>
    <cellStyle name="Normal 36 2 3 19" xfId="29270"/>
    <cellStyle name="Normal 36 2 3 2" xfId="1614"/>
    <cellStyle name="Normal 36 2 3 2 10" xfId="15687"/>
    <cellStyle name="Normal 36 2 3 2 11" xfId="17440"/>
    <cellStyle name="Normal 36 2 3 2 12" xfId="19192"/>
    <cellStyle name="Normal 36 2 3 2 13" xfId="20945"/>
    <cellStyle name="Normal 36 2 3 2 14" xfId="22697"/>
    <cellStyle name="Normal 36 2 3 2 15" xfId="24449"/>
    <cellStyle name="Normal 36 2 3 2 16" xfId="26201"/>
    <cellStyle name="Normal 36 2 3 2 17" xfId="27953"/>
    <cellStyle name="Normal 36 2 3 2 18" xfId="29706"/>
    <cellStyle name="Normal 36 2 3 2 19" xfId="31458"/>
    <cellStyle name="Normal 36 2 3 2 2" xfId="1615"/>
    <cellStyle name="Normal 36 2 3 2 2 10" xfId="18316"/>
    <cellStyle name="Normal 36 2 3 2 2 11" xfId="20068"/>
    <cellStyle name="Normal 36 2 3 2 2 12" xfId="21821"/>
    <cellStyle name="Normal 36 2 3 2 2 13" xfId="23573"/>
    <cellStyle name="Normal 36 2 3 2 2 14" xfId="25325"/>
    <cellStyle name="Normal 36 2 3 2 2 15" xfId="27077"/>
    <cellStyle name="Normal 36 2 3 2 2 16" xfId="28829"/>
    <cellStyle name="Normal 36 2 3 2 2 17" xfId="30582"/>
    <cellStyle name="Normal 36 2 3 2 2 18" xfId="32334"/>
    <cellStyle name="Normal 36 2 3 2 2 19" xfId="34087"/>
    <cellStyle name="Normal 36 2 3 2 2 2" xfId="4298"/>
    <cellStyle name="Normal 36 2 3 2 2 20" xfId="36723"/>
    <cellStyle name="Normal 36 2 3 2 2 21" xfId="38463"/>
    <cellStyle name="Normal 36 2 3 2 2 22" xfId="40216"/>
    <cellStyle name="Normal 36 2 3 2 2 23" xfId="41971"/>
    <cellStyle name="Normal 36 2 3 2 2 24" xfId="43723"/>
    <cellStyle name="Normal 36 2 3 2 2 25" xfId="46341"/>
    <cellStyle name="Normal 36 2 3 2 2 26" xfId="48093"/>
    <cellStyle name="Normal 36 2 3 2 2 27" xfId="49845"/>
    <cellStyle name="Normal 36 2 3 2 2 28" xfId="51597"/>
    <cellStyle name="Normal 36 2 3 2 2 29" xfId="53349"/>
    <cellStyle name="Normal 36 2 3 2 2 3" xfId="6050"/>
    <cellStyle name="Normal 36 2 3 2 2 30" xfId="55101"/>
    <cellStyle name="Normal 36 2 3 2 2 31" xfId="56853"/>
    <cellStyle name="Normal 36 2 3 2 2 32" xfId="58606"/>
    <cellStyle name="Normal 36 2 3 2 2 33" xfId="60358"/>
    <cellStyle name="Normal 36 2 3 2 2 34" xfId="62110"/>
    <cellStyle name="Normal 36 2 3 2 2 4" xfId="7802"/>
    <cellStyle name="Normal 36 2 3 2 2 5" xfId="9554"/>
    <cellStyle name="Normal 36 2 3 2 2 6" xfId="11307"/>
    <cellStyle name="Normal 36 2 3 2 2 7" xfId="13059"/>
    <cellStyle name="Normal 36 2 3 2 2 8" xfId="14811"/>
    <cellStyle name="Normal 36 2 3 2 2 9" xfId="16563"/>
    <cellStyle name="Normal 36 2 3 2 20" xfId="33211"/>
    <cellStyle name="Normal 36 2 3 2 21" xfId="34740"/>
    <cellStyle name="Normal 36 2 3 2 22" xfId="35847"/>
    <cellStyle name="Normal 36 2 3 2 23" xfId="37361"/>
    <cellStyle name="Normal 36 2 3 2 24" xfId="39340"/>
    <cellStyle name="Normal 36 2 3 2 25" xfId="41095"/>
    <cellStyle name="Normal 36 2 3 2 26" xfId="42847"/>
    <cellStyle name="Normal 36 2 3 2 27" xfId="44361"/>
    <cellStyle name="Normal 36 2 3 2 28" xfId="45465"/>
    <cellStyle name="Normal 36 2 3 2 29" xfId="47217"/>
    <cellStyle name="Normal 36 2 3 2 3" xfId="3422"/>
    <cellStyle name="Normal 36 2 3 2 30" xfId="48969"/>
    <cellStyle name="Normal 36 2 3 2 31" xfId="50721"/>
    <cellStyle name="Normal 36 2 3 2 32" xfId="52473"/>
    <cellStyle name="Normal 36 2 3 2 33" xfId="54225"/>
    <cellStyle name="Normal 36 2 3 2 34" xfId="55977"/>
    <cellStyle name="Normal 36 2 3 2 35" xfId="57730"/>
    <cellStyle name="Normal 36 2 3 2 36" xfId="59482"/>
    <cellStyle name="Normal 36 2 3 2 37" xfId="61234"/>
    <cellStyle name="Normal 36 2 3 2 38" xfId="62748"/>
    <cellStyle name="Normal 36 2 3 2 39" xfId="63614"/>
    <cellStyle name="Normal 36 2 3 2 4" xfId="5174"/>
    <cellStyle name="Normal 36 2 3 2 5" xfId="6926"/>
    <cellStyle name="Normal 36 2 3 2 6" xfId="8678"/>
    <cellStyle name="Normal 36 2 3 2 7" xfId="10431"/>
    <cellStyle name="Normal 36 2 3 2 8" xfId="12183"/>
    <cellStyle name="Normal 36 2 3 2 9" xfId="13935"/>
    <cellStyle name="Normal 36 2 3 20" xfId="31022"/>
    <cellStyle name="Normal 36 2 3 21" xfId="32775"/>
    <cellStyle name="Normal 36 2 3 22" xfId="34739"/>
    <cellStyle name="Normal 36 2 3 23" xfId="35411"/>
    <cellStyle name="Normal 36 2 3 24" xfId="37360"/>
    <cellStyle name="Normal 36 2 3 25" xfId="38904"/>
    <cellStyle name="Normal 36 2 3 26" xfId="40659"/>
    <cellStyle name="Normal 36 2 3 27" xfId="42411"/>
    <cellStyle name="Normal 36 2 3 28" xfId="44360"/>
    <cellStyle name="Normal 36 2 3 29" xfId="45029"/>
    <cellStyle name="Normal 36 2 3 3" xfId="1616"/>
    <cellStyle name="Normal 36 2 3 3 10" xfId="17880"/>
    <cellStyle name="Normal 36 2 3 3 11" xfId="19632"/>
    <cellStyle name="Normal 36 2 3 3 12" xfId="21385"/>
    <cellStyle name="Normal 36 2 3 3 13" xfId="23137"/>
    <cellStyle name="Normal 36 2 3 3 14" xfId="24889"/>
    <cellStyle name="Normal 36 2 3 3 15" xfId="26641"/>
    <cellStyle name="Normal 36 2 3 3 16" xfId="28393"/>
    <cellStyle name="Normal 36 2 3 3 17" xfId="30146"/>
    <cellStyle name="Normal 36 2 3 3 18" xfId="31898"/>
    <cellStyle name="Normal 36 2 3 3 19" xfId="33651"/>
    <cellStyle name="Normal 36 2 3 3 2" xfId="3862"/>
    <cellStyle name="Normal 36 2 3 3 20" xfId="36287"/>
    <cellStyle name="Normal 36 2 3 3 21" xfId="38027"/>
    <cellStyle name="Normal 36 2 3 3 22" xfId="39780"/>
    <cellStyle name="Normal 36 2 3 3 23" xfId="41535"/>
    <cellStyle name="Normal 36 2 3 3 24" xfId="43287"/>
    <cellStyle name="Normal 36 2 3 3 25" xfId="45905"/>
    <cellStyle name="Normal 36 2 3 3 26" xfId="47657"/>
    <cellStyle name="Normal 36 2 3 3 27" xfId="49409"/>
    <cellStyle name="Normal 36 2 3 3 28" xfId="51161"/>
    <cellStyle name="Normal 36 2 3 3 29" xfId="52913"/>
    <cellStyle name="Normal 36 2 3 3 3" xfId="5614"/>
    <cellStyle name="Normal 36 2 3 3 30" xfId="54665"/>
    <cellStyle name="Normal 36 2 3 3 31" xfId="56417"/>
    <cellStyle name="Normal 36 2 3 3 32" xfId="58170"/>
    <cellStyle name="Normal 36 2 3 3 33" xfId="59922"/>
    <cellStyle name="Normal 36 2 3 3 34" xfId="61674"/>
    <cellStyle name="Normal 36 2 3 3 4" xfId="7366"/>
    <cellStyle name="Normal 36 2 3 3 5" xfId="9118"/>
    <cellStyle name="Normal 36 2 3 3 6" xfId="10871"/>
    <cellStyle name="Normal 36 2 3 3 7" xfId="12623"/>
    <cellStyle name="Normal 36 2 3 3 8" xfId="14375"/>
    <cellStyle name="Normal 36 2 3 3 9" xfId="16127"/>
    <cellStyle name="Normal 36 2 3 30" xfId="46781"/>
    <cellStyle name="Normal 36 2 3 31" xfId="48533"/>
    <cellStyle name="Normal 36 2 3 32" xfId="50285"/>
    <cellStyle name="Normal 36 2 3 33" xfId="52037"/>
    <cellStyle name="Normal 36 2 3 34" xfId="53789"/>
    <cellStyle name="Normal 36 2 3 35" xfId="55541"/>
    <cellStyle name="Normal 36 2 3 36" xfId="57294"/>
    <cellStyle name="Normal 36 2 3 37" xfId="59046"/>
    <cellStyle name="Normal 36 2 3 38" xfId="60798"/>
    <cellStyle name="Normal 36 2 3 39" xfId="62747"/>
    <cellStyle name="Normal 36 2 3 4" xfId="2986"/>
    <cellStyle name="Normal 36 2 3 40" xfId="63613"/>
    <cellStyle name="Normal 36 2 3 5" xfId="4738"/>
    <cellStyle name="Normal 36 2 3 6" xfId="6490"/>
    <cellStyle name="Normal 36 2 3 7" xfId="8242"/>
    <cellStyle name="Normal 36 2 3 8" xfId="9995"/>
    <cellStyle name="Normal 36 2 3 9" xfId="11747"/>
    <cellStyle name="Normal 36 2 30" xfId="44355"/>
    <cellStyle name="Normal 36 2 31" xfId="44767"/>
    <cellStyle name="Normal 36 2 32" xfId="46519"/>
    <cellStyle name="Normal 36 2 33" xfId="48271"/>
    <cellStyle name="Normal 36 2 34" xfId="50023"/>
    <cellStyle name="Normal 36 2 35" xfId="51775"/>
    <cellStyle name="Normal 36 2 36" xfId="53527"/>
    <cellStyle name="Normal 36 2 37" xfId="55279"/>
    <cellStyle name="Normal 36 2 38" xfId="57032"/>
    <cellStyle name="Normal 36 2 39" xfId="58784"/>
    <cellStyle name="Normal 36 2 4" xfId="1617"/>
    <cellStyle name="Normal 36 2 4 10" xfId="15425"/>
    <cellStyle name="Normal 36 2 4 11" xfId="17178"/>
    <cellStyle name="Normal 36 2 4 12" xfId="18930"/>
    <cellStyle name="Normal 36 2 4 13" xfId="20683"/>
    <cellStyle name="Normal 36 2 4 14" xfId="22435"/>
    <cellStyle name="Normal 36 2 4 15" xfId="24187"/>
    <cellStyle name="Normal 36 2 4 16" xfId="25939"/>
    <cellStyle name="Normal 36 2 4 17" xfId="27691"/>
    <cellStyle name="Normal 36 2 4 18" xfId="29444"/>
    <cellStyle name="Normal 36 2 4 19" xfId="31196"/>
    <cellStyle name="Normal 36 2 4 2" xfId="1618"/>
    <cellStyle name="Normal 36 2 4 2 10" xfId="18054"/>
    <cellStyle name="Normal 36 2 4 2 11" xfId="19806"/>
    <cellStyle name="Normal 36 2 4 2 12" xfId="21559"/>
    <cellStyle name="Normal 36 2 4 2 13" xfId="23311"/>
    <cellStyle name="Normal 36 2 4 2 14" xfId="25063"/>
    <cellStyle name="Normal 36 2 4 2 15" xfId="26815"/>
    <cellStyle name="Normal 36 2 4 2 16" xfId="28567"/>
    <cellStyle name="Normal 36 2 4 2 17" xfId="30320"/>
    <cellStyle name="Normal 36 2 4 2 18" xfId="32072"/>
    <cellStyle name="Normal 36 2 4 2 19" xfId="33825"/>
    <cellStyle name="Normal 36 2 4 2 2" xfId="4036"/>
    <cellStyle name="Normal 36 2 4 2 20" xfId="36461"/>
    <cellStyle name="Normal 36 2 4 2 21" xfId="38201"/>
    <cellStyle name="Normal 36 2 4 2 22" xfId="39954"/>
    <cellStyle name="Normal 36 2 4 2 23" xfId="41709"/>
    <cellStyle name="Normal 36 2 4 2 24" xfId="43461"/>
    <cellStyle name="Normal 36 2 4 2 25" xfId="46079"/>
    <cellStyle name="Normal 36 2 4 2 26" xfId="47831"/>
    <cellStyle name="Normal 36 2 4 2 27" xfId="49583"/>
    <cellStyle name="Normal 36 2 4 2 28" xfId="51335"/>
    <cellStyle name="Normal 36 2 4 2 29" xfId="53087"/>
    <cellStyle name="Normal 36 2 4 2 3" xfId="5788"/>
    <cellStyle name="Normal 36 2 4 2 30" xfId="54839"/>
    <cellStyle name="Normal 36 2 4 2 31" xfId="56591"/>
    <cellStyle name="Normal 36 2 4 2 32" xfId="58344"/>
    <cellStyle name="Normal 36 2 4 2 33" xfId="60096"/>
    <cellStyle name="Normal 36 2 4 2 34" xfId="61848"/>
    <cellStyle name="Normal 36 2 4 2 4" xfId="7540"/>
    <cellStyle name="Normal 36 2 4 2 5" xfId="9292"/>
    <cellStyle name="Normal 36 2 4 2 6" xfId="11045"/>
    <cellStyle name="Normal 36 2 4 2 7" xfId="12797"/>
    <cellStyle name="Normal 36 2 4 2 8" xfId="14549"/>
    <cellStyle name="Normal 36 2 4 2 9" xfId="16301"/>
    <cellStyle name="Normal 36 2 4 20" xfId="32949"/>
    <cellStyle name="Normal 36 2 4 21" xfId="34741"/>
    <cellStyle name="Normal 36 2 4 22" xfId="35585"/>
    <cellStyle name="Normal 36 2 4 23" xfId="37362"/>
    <cellStyle name="Normal 36 2 4 24" xfId="39078"/>
    <cellStyle name="Normal 36 2 4 25" xfId="40833"/>
    <cellStyle name="Normal 36 2 4 26" xfId="42585"/>
    <cellStyle name="Normal 36 2 4 27" xfId="44362"/>
    <cellStyle name="Normal 36 2 4 28" xfId="45203"/>
    <cellStyle name="Normal 36 2 4 29" xfId="46955"/>
    <cellStyle name="Normal 36 2 4 3" xfId="3160"/>
    <cellStyle name="Normal 36 2 4 30" xfId="48707"/>
    <cellStyle name="Normal 36 2 4 31" xfId="50459"/>
    <cellStyle name="Normal 36 2 4 32" xfId="52211"/>
    <cellStyle name="Normal 36 2 4 33" xfId="53963"/>
    <cellStyle name="Normal 36 2 4 34" xfId="55715"/>
    <cellStyle name="Normal 36 2 4 35" xfId="57468"/>
    <cellStyle name="Normal 36 2 4 36" xfId="59220"/>
    <cellStyle name="Normal 36 2 4 37" xfId="60972"/>
    <cellStyle name="Normal 36 2 4 38" xfId="62749"/>
    <cellStyle name="Normal 36 2 4 39" xfId="63615"/>
    <cellStyle name="Normal 36 2 4 4" xfId="4912"/>
    <cellStyle name="Normal 36 2 4 5" xfId="6664"/>
    <cellStyle name="Normal 36 2 4 6" xfId="8416"/>
    <cellStyle name="Normal 36 2 4 7" xfId="10169"/>
    <cellStyle name="Normal 36 2 4 8" xfId="11921"/>
    <cellStyle name="Normal 36 2 4 9" xfId="13673"/>
    <cellStyle name="Normal 36 2 40" xfId="60536"/>
    <cellStyle name="Normal 36 2 41" xfId="62742"/>
    <cellStyle name="Normal 36 2 42" xfId="63608"/>
    <cellStyle name="Normal 36 2 5" xfId="1619"/>
    <cellStyle name="Normal 36 2 5 10" xfId="17618"/>
    <cellStyle name="Normal 36 2 5 11" xfId="19370"/>
    <cellStyle name="Normal 36 2 5 12" xfId="21123"/>
    <cellStyle name="Normal 36 2 5 13" xfId="22875"/>
    <cellStyle name="Normal 36 2 5 14" xfId="24627"/>
    <cellStyle name="Normal 36 2 5 15" xfId="26379"/>
    <cellStyle name="Normal 36 2 5 16" xfId="28131"/>
    <cellStyle name="Normal 36 2 5 17" xfId="29884"/>
    <cellStyle name="Normal 36 2 5 18" xfId="31636"/>
    <cellStyle name="Normal 36 2 5 19" xfId="33389"/>
    <cellStyle name="Normal 36 2 5 2" xfId="3600"/>
    <cellStyle name="Normal 36 2 5 20" xfId="36025"/>
    <cellStyle name="Normal 36 2 5 21" xfId="37765"/>
    <cellStyle name="Normal 36 2 5 22" xfId="39518"/>
    <cellStyle name="Normal 36 2 5 23" xfId="41273"/>
    <cellStyle name="Normal 36 2 5 24" xfId="43025"/>
    <cellStyle name="Normal 36 2 5 25" xfId="45643"/>
    <cellStyle name="Normal 36 2 5 26" xfId="47395"/>
    <cellStyle name="Normal 36 2 5 27" xfId="49147"/>
    <cellStyle name="Normal 36 2 5 28" xfId="50899"/>
    <cellStyle name="Normal 36 2 5 29" xfId="52651"/>
    <cellStyle name="Normal 36 2 5 3" xfId="5352"/>
    <cellStyle name="Normal 36 2 5 30" xfId="54403"/>
    <cellStyle name="Normal 36 2 5 31" xfId="56155"/>
    <cellStyle name="Normal 36 2 5 32" xfId="57908"/>
    <cellStyle name="Normal 36 2 5 33" xfId="59660"/>
    <cellStyle name="Normal 36 2 5 34" xfId="61412"/>
    <cellStyle name="Normal 36 2 5 4" xfId="7104"/>
    <cellStyle name="Normal 36 2 5 5" xfId="8856"/>
    <cellStyle name="Normal 36 2 5 6" xfId="10609"/>
    <cellStyle name="Normal 36 2 5 7" xfId="12361"/>
    <cellStyle name="Normal 36 2 5 8" xfId="14113"/>
    <cellStyle name="Normal 36 2 5 9" xfId="15865"/>
    <cellStyle name="Normal 36 2 6" xfId="2724"/>
    <cellStyle name="Normal 36 2 7" xfId="4476"/>
    <cellStyle name="Normal 36 2 8" xfId="6228"/>
    <cellStyle name="Normal 36 2 9" xfId="7980"/>
    <cellStyle name="Normal 36 20" xfId="25448"/>
    <cellStyle name="Normal 36 21" xfId="27200"/>
    <cellStyle name="Normal 36 22" xfId="28953"/>
    <cellStyle name="Normal 36 23" xfId="30705"/>
    <cellStyle name="Normal 36 24" xfId="32458"/>
    <cellStyle name="Normal 36 25" xfId="34733"/>
    <cellStyle name="Normal 36 26" xfId="35094"/>
    <cellStyle name="Normal 36 27" xfId="37354"/>
    <cellStyle name="Normal 36 28" xfId="38587"/>
    <cellStyle name="Normal 36 29" xfId="40342"/>
    <cellStyle name="Normal 36 3" xfId="1620"/>
    <cellStyle name="Normal 36 3 10" xfId="11538"/>
    <cellStyle name="Normal 36 3 11" xfId="13290"/>
    <cellStyle name="Normal 36 3 12" xfId="15042"/>
    <cellStyle name="Normal 36 3 13" xfId="16795"/>
    <cellStyle name="Normal 36 3 14" xfId="18547"/>
    <cellStyle name="Normal 36 3 15" xfId="20300"/>
    <cellStyle name="Normal 36 3 16" xfId="22052"/>
    <cellStyle name="Normal 36 3 17" xfId="23804"/>
    <cellStyle name="Normal 36 3 18" xfId="25556"/>
    <cellStyle name="Normal 36 3 19" xfId="27308"/>
    <cellStyle name="Normal 36 3 2" xfId="1621"/>
    <cellStyle name="Normal 36 3 2 10" xfId="13500"/>
    <cellStyle name="Normal 36 3 2 11" xfId="15252"/>
    <cellStyle name="Normal 36 3 2 12" xfId="17005"/>
    <cellStyle name="Normal 36 3 2 13" xfId="18757"/>
    <cellStyle name="Normal 36 3 2 14" xfId="20510"/>
    <cellStyle name="Normal 36 3 2 15" xfId="22262"/>
    <cellStyle name="Normal 36 3 2 16" xfId="24014"/>
    <cellStyle name="Normal 36 3 2 17" xfId="25766"/>
    <cellStyle name="Normal 36 3 2 18" xfId="27518"/>
    <cellStyle name="Normal 36 3 2 19" xfId="29271"/>
    <cellStyle name="Normal 36 3 2 2" xfId="1622"/>
    <cellStyle name="Normal 36 3 2 2 10" xfId="15688"/>
    <cellStyle name="Normal 36 3 2 2 11" xfId="17441"/>
    <cellStyle name="Normal 36 3 2 2 12" xfId="19193"/>
    <cellStyle name="Normal 36 3 2 2 13" xfId="20946"/>
    <cellStyle name="Normal 36 3 2 2 14" xfId="22698"/>
    <cellStyle name="Normal 36 3 2 2 15" xfId="24450"/>
    <cellStyle name="Normal 36 3 2 2 16" xfId="26202"/>
    <cellStyle name="Normal 36 3 2 2 17" xfId="27954"/>
    <cellStyle name="Normal 36 3 2 2 18" xfId="29707"/>
    <cellStyle name="Normal 36 3 2 2 19" xfId="31459"/>
    <cellStyle name="Normal 36 3 2 2 2" xfId="1623"/>
    <cellStyle name="Normal 36 3 2 2 2 10" xfId="18317"/>
    <cellStyle name="Normal 36 3 2 2 2 11" xfId="20069"/>
    <cellStyle name="Normal 36 3 2 2 2 12" xfId="21822"/>
    <cellStyle name="Normal 36 3 2 2 2 13" xfId="23574"/>
    <cellStyle name="Normal 36 3 2 2 2 14" xfId="25326"/>
    <cellStyle name="Normal 36 3 2 2 2 15" xfId="27078"/>
    <cellStyle name="Normal 36 3 2 2 2 16" xfId="28830"/>
    <cellStyle name="Normal 36 3 2 2 2 17" xfId="30583"/>
    <cellStyle name="Normal 36 3 2 2 2 18" xfId="32335"/>
    <cellStyle name="Normal 36 3 2 2 2 19" xfId="34088"/>
    <cellStyle name="Normal 36 3 2 2 2 2" xfId="4299"/>
    <cellStyle name="Normal 36 3 2 2 2 20" xfId="36724"/>
    <cellStyle name="Normal 36 3 2 2 2 21" xfId="38464"/>
    <cellStyle name="Normal 36 3 2 2 2 22" xfId="40217"/>
    <cellStyle name="Normal 36 3 2 2 2 23" xfId="41972"/>
    <cellStyle name="Normal 36 3 2 2 2 24" xfId="43724"/>
    <cellStyle name="Normal 36 3 2 2 2 25" xfId="46342"/>
    <cellStyle name="Normal 36 3 2 2 2 26" xfId="48094"/>
    <cellStyle name="Normal 36 3 2 2 2 27" xfId="49846"/>
    <cellStyle name="Normal 36 3 2 2 2 28" xfId="51598"/>
    <cellStyle name="Normal 36 3 2 2 2 29" xfId="53350"/>
    <cellStyle name="Normal 36 3 2 2 2 3" xfId="6051"/>
    <cellStyle name="Normal 36 3 2 2 2 30" xfId="55102"/>
    <cellStyle name="Normal 36 3 2 2 2 31" xfId="56854"/>
    <cellStyle name="Normal 36 3 2 2 2 32" xfId="58607"/>
    <cellStyle name="Normal 36 3 2 2 2 33" xfId="60359"/>
    <cellStyle name="Normal 36 3 2 2 2 34" xfId="62111"/>
    <cellStyle name="Normal 36 3 2 2 2 4" xfId="7803"/>
    <cellStyle name="Normal 36 3 2 2 2 5" xfId="9555"/>
    <cellStyle name="Normal 36 3 2 2 2 6" xfId="11308"/>
    <cellStyle name="Normal 36 3 2 2 2 7" xfId="13060"/>
    <cellStyle name="Normal 36 3 2 2 2 8" xfId="14812"/>
    <cellStyle name="Normal 36 3 2 2 2 9" xfId="16564"/>
    <cellStyle name="Normal 36 3 2 2 20" xfId="33212"/>
    <cellStyle name="Normal 36 3 2 2 21" xfId="34744"/>
    <cellStyle name="Normal 36 3 2 2 22" xfId="35848"/>
    <cellStyle name="Normal 36 3 2 2 23" xfId="37365"/>
    <cellStyle name="Normal 36 3 2 2 24" xfId="39341"/>
    <cellStyle name="Normal 36 3 2 2 25" xfId="41096"/>
    <cellStyle name="Normal 36 3 2 2 26" xfId="42848"/>
    <cellStyle name="Normal 36 3 2 2 27" xfId="44365"/>
    <cellStyle name="Normal 36 3 2 2 28" xfId="45466"/>
    <cellStyle name="Normal 36 3 2 2 29" xfId="47218"/>
    <cellStyle name="Normal 36 3 2 2 3" xfId="3423"/>
    <cellStyle name="Normal 36 3 2 2 30" xfId="48970"/>
    <cellStyle name="Normal 36 3 2 2 31" xfId="50722"/>
    <cellStyle name="Normal 36 3 2 2 32" xfId="52474"/>
    <cellStyle name="Normal 36 3 2 2 33" xfId="54226"/>
    <cellStyle name="Normal 36 3 2 2 34" xfId="55978"/>
    <cellStyle name="Normal 36 3 2 2 35" xfId="57731"/>
    <cellStyle name="Normal 36 3 2 2 36" xfId="59483"/>
    <cellStyle name="Normal 36 3 2 2 37" xfId="61235"/>
    <cellStyle name="Normal 36 3 2 2 38" xfId="62752"/>
    <cellStyle name="Normal 36 3 2 2 39" xfId="63618"/>
    <cellStyle name="Normal 36 3 2 2 4" xfId="5175"/>
    <cellStyle name="Normal 36 3 2 2 5" xfId="6927"/>
    <cellStyle name="Normal 36 3 2 2 6" xfId="8679"/>
    <cellStyle name="Normal 36 3 2 2 7" xfId="10432"/>
    <cellStyle name="Normal 36 3 2 2 8" xfId="12184"/>
    <cellStyle name="Normal 36 3 2 2 9" xfId="13936"/>
    <cellStyle name="Normal 36 3 2 20" xfId="31023"/>
    <cellStyle name="Normal 36 3 2 21" xfId="32776"/>
    <cellStyle name="Normal 36 3 2 22" xfId="34743"/>
    <cellStyle name="Normal 36 3 2 23" xfId="35412"/>
    <cellStyle name="Normal 36 3 2 24" xfId="37364"/>
    <cellStyle name="Normal 36 3 2 25" xfId="38905"/>
    <cellStyle name="Normal 36 3 2 26" xfId="40660"/>
    <cellStyle name="Normal 36 3 2 27" xfId="42412"/>
    <cellStyle name="Normal 36 3 2 28" xfId="44364"/>
    <cellStyle name="Normal 36 3 2 29" xfId="45030"/>
    <cellStyle name="Normal 36 3 2 3" xfId="1624"/>
    <cellStyle name="Normal 36 3 2 3 10" xfId="17881"/>
    <cellStyle name="Normal 36 3 2 3 11" xfId="19633"/>
    <cellStyle name="Normal 36 3 2 3 12" xfId="21386"/>
    <cellStyle name="Normal 36 3 2 3 13" xfId="23138"/>
    <cellStyle name="Normal 36 3 2 3 14" xfId="24890"/>
    <cellStyle name="Normal 36 3 2 3 15" xfId="26642"/>
    <cellStyle name="Normal 36 3 2 3 16" xfId="28394"/>
    <cellStyle name="Normal 36 3 2 3 17" xfId="30147"/>
    <cellStyle name="Normal 36 3 2 3 18" xfId="31899"/>
    <cellStyle name="Normal 36 3 2 3 19" xfId="33652"/>
    <cellStyle name="Normal 36 3 2 3 2" xfId="3863"/>
    <cellStyle name="Normal 36 3 2 3 20" xfId="36288"/>
    <cellStyle name="Normal 36 3 2 3 21" xfId="38028"/>
    <cellStyle name="Normal 36 3 2 3 22" xfId="39781"/>
    <cellStyle name="Normal 36 3 2 3 23" xfId="41536"/>
    <cellStyle name="Normal 36 3 2 3 24" xfId="43288"/>
    <cellStyle name="Normal 36 3 2 3 25" xfId="45906"/>
    <cellStyle name="Normal 36 3 2 3 26" xfId="47658"/>
    <cellStyle name="Normal 36 3 2 3 27" xfId="49410"/>
    <cellStyle name="Normal 36 3 2 3 28" xfId="51162"/>
    <cellStyle name="Normal 36 3 2 3 29" xfId="52914"/>
    <cellStyle name="Normal 36 3 2 3 3" xfId="5615"/>
    <cellStyle name="Normal 36 3 2 3 30" xfId="54666"/>
    <cellStyle name="Normal 36 3 2 3 31" xfId="56418"/>
    <cellStyle name="Normal 36 3 2 3 32" xfId="58171"/>
    <cellStyle name="Normal 36 3 2 3 33" xfId="59923"/>
    <cellStyle name="Normal 36 3 2 3 34" xfId="61675"/>
    <cellStyle name="Normal 36 3 2 3 4" xfId="7367"/>
    <cellStyle name="Normal 36 3 2 3 5" xfId="9119"/>
    <cellStyle name="Normal 36 3 2 3 6" xfId="10872"/>
    <cellStyle name="Normal 36 3 2 3 7" xfId="12624"/>
    <cellStyle name="Normal 36 3 2 3 8" xfId="14376"/>
    <cellStyle name="Normal 36 3 2 3 9" xfId="16128"/>
    <cellStyle name="Normal 36 3 2 30" xfId="46782"/>
    <cellStyle name="Normal 36 3 2 31" xfId="48534"/>
    <cellStyle name="Normal 36 3 2 32" xfId="50286"/>
    <cellStyle name="Normal 36 3 2 33" xfId="52038"/>
    <cellStyle name="Normal 36 3 2 34" xfId="53790"/>
    <cellStyle name="Normal 36 3 2 35" xfId="55542"/>
    <cellStyle name="Normal 36 3 2 36" xfId="57295"/>
    <cellStyle name="Normal 36 3 2 37" xfId="59047"/>
    <cellStyle name="Normal 36 3 2 38" xfId="60799"/>
    <cellStyle name="Normal 36 3 2 39" xfId="62751"/>
    <cellStyle name="Normal 36 3 2 4" xfId="2987"/>
    <cellStyle name="Normal 36 3 2 40" xfId="63617"/>
    <cellStyle name="Normal 36 3 2 5" xfId="4739"/>
    <cellStyle name="Normal 36 3 2 6" xfId="6491"/>
    <cellStyle name="Normal 36 3 2 7" xfId="8243"/>
    <cellStyle name="Normal 36 3 2 8" xfId="9996"/>
    <cellStyle name="Normal 36 3 2 9" xfId="11748"/>
    <cellStyle name="Normal 36 3 20" xfId="29061"/>
    <cellStyle name="Normal 36 3 21" xfId="30813"/>
    <cellStyle name="Normal 36 3 22" xfId="32566"/>
    <cellStyle name="Normal 36 3 23" xfId="34742"/>
    <cellStyle name="Normal 36 3 24" xfId="35202"/>
    <cellStyle name="Normal 36 3 25" xfId="37363"/>
    <cellStyle name="Normal 36 3 26" xfId="38695"/>
    <cellStyle name="Normal 36 3 27" xfId="40450"/>
    <cellStyle name="Normal 36 3 28" xfId="42202"/>
    <cellStyle name="Normal 36 3 29" xfId="44363"/>
    <cellStyle name="Normal 36 3 3" xfId="1625"/>
    <cellStyle name="Normal 36 3 3 10" xfId="15478"/>
    <cellStyle name="Normal 36 3 3 11" xfId="17231"/>
    <cellStyle name="Normal 36 3 3 12" xfId="18983"/>
    <cellStyle name="Normal 36 3 3 13" xfId="20736"/>
    <cellStyle name="Normal 36 3 3 14" xfId="22488"/>
    <cellStyle name="Normal 36 3 3 15" xfId="24240"/>
    <cellStyle name="Normal 36 3 3 16" xfId="25992"/>
    <cellStyle name="Normal 36 3 3 17" xfId="27744"/>
    <cellStyle name="Normal 36 3 3 18" xfId="29497"/>
    <cellStyle name="Normal 36 3 3 19" xfId="31249"/>
    <cellStyle name="Normal 36 3 3 2" xfId="1626"/>
    <cellStyle name="Normal 36 3 3 2 10" xfId="18107"/>
    <cellStyle name="Normal 36 3 3 2 11" xfId="19859"/>
    <cellStyle name="Normal 36 3 3 2 12" xfId="21612"/>
    <cellStyle name="Normal 36 3 3 2 13" xfId="23364"/>
    <cellStyle name="Normal 36 3 3 2 14" xfId="25116"/>
    <cellStyle name="Normal 36 3 3 2 15" xfId="26868"/>
    <cellStyle name="Normal 36 3 3 2 16" xfId="28620"/>
    <cellStyle name="Normal 36 3 3 2 17" xfId="30373"/>
    <cellStyle name="Normal 36 3 3 2 18" xfId="32125"/>
    <cellStyle name="Normal 36 3 3 2 19" xfId="33878"/>
    <cellStyle name="Normal 36 3 3 2 2" xfId="4089"/>
    <cellStyle name="Normal 36 3 3 2 20" xfId="36514"/>
    <cellStyle name="Normal 36 3 3 2 21" xfId="38254"/>
    <cellStyle name="Normal 36 3 3 2 22" xfId="40007"/>
    <cellStyle name="Normal 36 3 3 2 23" xfId="41762"/>
    <cellStyle name="Normal 36 3 3 2 24" xfId="43514"/>
    <cellStyle name="Normal 36 3 3 2 25" xfId="46132"/>
    <cellStyle name="Normal 36 3 3 2 26" xfId="47884"/>
    <cellStyle name="Normal 36 3 3 2 27" xfId="49636"/>
    <cellStyle name="Normal 36 3 3 2 28" xfId="51388"/>
    <cellStyle name="Normal 36 3 3 2 29" xfId="53140"/>
    <cellStyle name="Normal 36 3 3 2 3" xfId="5841"/>
    <cellStyle name="Normal 36 3 3 2 30" xfId="54892"/>
    <cellStyle name="Normal 36 3 3 2 31" xfId="56644"/>
    <cellStyle name="Normal 36 3 3 2 32" xfId="58397"/>
    <cellStyle name="Normal 36 3 3 2 33" xfId="60149"/>
    <cellStyle name="Normal 36 3 3 2 34" xfId="61901"/>
    <cellStyle name="Normal 36 3 3 2 4" xfId="7593"/>
    <cellStyle name="Normal 36 3 3 2 5" xfId="9345"/>
    <cellStyle name="Normal 36 3 3 2 6" xfId="11098"/>
    <cellStyle name="Normal 36 3 3 2 7" xfId="12850"/>
    <cellStyle name="Normal 36 3 3 2 8" xfId="14602"/>
    <cellStyle name="Normal 36 3 3 2 9" xfId="16354"/>
    <cellStyle name="Normal 36 3 3 20" xfId="33002"/>
    <cellStyle name="Normal 36 3 3 21" xfId="34745"/>
    <cellStyle name="Normal 36 3 3 22" xfId="35638"/>
    <cellStyle name="Normal 36 3 3 23" xfId="37366"/>
    <cellStyle name="Normal 36 3 3 24" xfId="39131"/>
    <cellStyle name="Normal 36 3 3 25" xfId="40886"/>
    <cellStyle name="Normal 36 3 3 26" xfId="42638"/>
    <cellStyle name="Normal 36 3 3 27" xfId="44366"/>
    <cellStyle name="Normal 36 3 3 28" xfId="45256"/>
    <cellStyle name="Normal 36 3 3 29" xfId="47008"/>
    <cellStyle name="Normal 36 3 3 3" xfId="3213"/>
    <cellStyle name="Normal 36 3 3 30" xfId="48760"/>
    <cellStyle name="Normal 36 3 3 31" xfId="50512"/>
    <cellStyle name="Normal 36 3 3 32" xfId="52264"/>
    <cellStyle name="Normal 36 3 3 33" xfId="54016"/>
    <cellStyle name="Normal 36 3 3 34" xfId="55768"/>
    <cellStyle name="Normal 36 3 3 35" xfId="57521"/>
    <cellStyle name="Normal 36 3 3 36" xfId="59273"/>
    <cellStyle name="Normal 36 3 3 37" xfId="61025"/>
    <cellStyle name="Normal 36 3 3 38" xfId="62753"/>
    <cellStyle name="Normal 36 3 3 39" xfId="63619"/>
    <cellStyle name="Normal 36 3 3 4" xfId="4965"/>
    <cellStyle name="Normal 36 3 3 5" xfId="6717"/>
    <cellStyle name="Normal 36 3 3 6" xfId="8469"/>
    <cellStyle name="Normal 36 3 3 7" xfId="10222"/>
    <cellStyle name="Normal 36 3 3 8" xfId="11974"/>
    <cellStyle name="Normal 36 3 3 9" xfId="13726"/>
    <cellStyle name="Normal 36 3 30" xfId="44820"/>
    <cellStyle name="Normal 36 3 31" xfId="46572"/>
    <cellStyle name="Normal 36 3 32" xfId="48324"/>
    <cellStyle name="Normal 36 3 33" xfId="50076"/>
    <cellStyle name="Normal 36 3 34" xfId="51828"/>
    <cellStyle name="Normal 36 3 35" xfId="53580"/>
    <cellStyle name="Normal 36 3 36" xfId="55332"/>
    <cellStyle name="Normal 36 3 37" xfId="57085"/>
    <cellStyle name="Normal 36 3 38" xfId="58837"/>
    <cellStyle name="Normal 36 3 39" xfId="60589"/>
    <cellStyle name="Normal 36 3 4" xfId="1627"/>
    <cellStyle name="Normal 36 3 4 10" xfId="17671"/>
    <cellStyle name="Normal 36 3 4 11" xfId="19423"/>
    <cellStyle name="Normal 36 3 4 12" xfId="21176"/>
    <cellStyle name="Normal 36 3 4 13" xfId="22928"/>
    <cellStyle name="Normal 36 3 4 14" xfId="24680"/>
    <cellStyle name="Normal 36 3 4 15" xfId="26432"/>
    <cellStyle name="Normal 36 3 4 16" xfId="28184"/>
    <cellStyle name="Normal 36 3 4 17" xfId="29937"/>
    <cellStyle name="Normal 36 3 4 18" xfId="31689"/>
    <cellStyle name="Normal 36 3 4 19" xfId="33442"/>
    <cellStyle name="Normal 36 3 4 2" xfId="3653"/>
    <cellStyle name="Normal 36 3 4 20" xfId="36078"/>
    <cellStyle name="Normal 36 3 4 21" xfId="37818"/>
    <cellStyle name="Normal 36 3 4 22" xfId="39571"/>
    <cellStyle name="Normal 36 3 4 23" xfId="41326"/>
    <cellStyle name="Normal 36 3 4 24" xfId="43078"/>
    <cellStyle name="Normal 36 3 4 25" xfId="45696"/>
    <cellStyle name="Normal 36 3 4 26" xfId="47448"/>
    <cellStyle name="Normal 36 3 4 27" xfId="49200"/>
    <cellStyle name="Normal 36 3 4 28" xfId="50952"/>
    <cellStyle name="Normal 36 3 4 29" xfId="52704"/>
    <cellStyle name="Normal 36 3 4 3" xfId="5405"/>
    <cellStyle name="Normal 36 3 4 30" xfId="54456"/>
    <cellStyle name="Normal 36 3 4 31" xfId="56208"/>
    <cellStyle name="Normal 36 3 4 32" xfId="57961"/>
    <cellStyle name="Normal 36 3 4 33" xfId="59713"/>
    <cellStyle name="Normal 36 3 4 34" xfId="61465"/>
    <cellStyle name="Normal 36 3 4 4" xfId="7157"/>
    <cellStyle name="Normal 36 3 4 5" xfId="8909"/>
    <cellStyle name="Normal 36 3 4 6" xfId="10662"/>
    <cellStyle name="Normal 36 3 4 7" xfId="12414"/>
    <cellStyle name="Normal 36 3 4 8" xfId="14166"/>
    <cellStyle name="Normal 36 3 4 9" xfId="15918"/>
    <cellStyle name="Normal 36 3 40" xfId="62750"/>
    <cellStyle name="Normal 36 3 41" xfId="63616"/>
    <cellStyle name="Normal 36 3 5" xfId="2777"/>
    <cellStyle name="Normal 36 3 6" xfId="4529"/>
    <cellStyle name="Normal 36 3 7" xfId="6281"/>
    <cellStyle name="Normal 36 3 8" xfId="8033"/>
    <cellStyle name="Normal 36 3 9" xfId="9786"/>
    <cellStyle name="Normal 36 30" xfId="42094"/>
    <cellStyle name="Normal 36 31" xfId="44354"/>
    <cellStyle name="Normal 36 32" xfId="44712"/>
    <cellStyle name="Normal 36 33" xfId="46464"/>
    <cellStyle name="Normal 36 34" xfId="48216"/>
    <cellStyle name="Normal 36 35" xfId="49968"/>
    <cellStyle name="Normal 36 36" xfId="51720"/>
    <cellStyle name="Normal 36 37" xfId="53472"/>
    <cellStyle name="Normal 36 38" xfId="55224"/>
    <cellStyle name="Normal 36 39" xfId="56977"/>
    <cellStyle name="Normal 36 4" xfId="1628"/>
    <cellStyle name="Normal 36 4 10" xfId="13501"/>
    <cellStyle name="Normal 36 4 11" xfId="15253"/>
    <cellStyle name="Normal 36 4 12" xfId="17006"/>
    <cellStyle name="Normal 36 4 13" xfId="18758"/>
    <cellStyle name="Normal 36 4 14" xfId="20511"/>
    <cellStyle name="Normal 36 4 15" xfId="22263"/>
    <cellStyle name="Normal 36 4 16" xfId="24015"/>
    <cellStyle name="Normal 36 4 17" xfId="25767"/>
    <cellStyle name="Normal 36 4 18" xfId="27519"/>
    <cellStyle name="Normal 36 4 19" xfId="29272"/>
    <cellStyle name="Normal 36 4 2" xfId="1629"/>
    <cellStyle name="Normal 36 4 2 10" xfId="15689"/>
    <cellStyle name="Normal 36 4 2 11" xfId="17442"/>
    <cellStyle name="Normal 36 4 2 12" xfId="19194"/>
    <cellStyle name="Normal 36 4 2 13" xfId="20947"/>
    <cellStyle name="Normal 36 4 2 14" xfId="22699"/>
    <cellStyle name="Normal 36 4 2 15" xfId="24451"/>
    <cellStyle name="Normal 36 4 2 16" xfId="26203"/>
    <cellStyle name="Normal 36 4 2 17" xfId="27955"/>
    <cellStyle name="Normal 36 4 2 18" xfId="29708"/>
    <cellStyle name="Normal 36 4 2 19" xfId="31460"/>
    <cellStyle name="Normal 36 4 2 2" xfId="1630"/>
    <cellStyle name="Normal 36 4 2 2 10" xfId="18318"/>
    <cellStyle name="Normal 36 4 2 2 11" xfId="20070"/>
    <cellStyle name="Normal 36 4 2 2 12" xfId="21823"/>
    <cellStyle name="Normal 36 4 2 2 13" xfId="23575"/>
    <cellStyle name="Normal 36 4 2 2 14" xfId="25327"/>
    <cellStyle name="Normal 36 4 2 2 15" xfId="27079"/>
    <cellStyle name="Normal 36 4 2 2 16" xfId="28831"/>
    <cellStyle name="Normal 36 4 2 2 17" xfId="30584"/>
    <cellStyle name="Normal 36 4 2 2 18" xfId="32336"/>
    <cellStyle name="Normal 36 4 2 2 19" xfId="34089"/>
    <cellStyle name="Normal 36 4 2 2 2" xfId="4300"/>
    <cellStyle name="Normal 36 4 2 2 20" xfId="36725"/>
    <cellStyle name="Normal 36 4 2 2 21" xfId="38465"/>
    <cellStyle name="Normal 36 4 2 2 22" xfId="40218"/>
    <cellStyle name="Normal 36 4 2 2 23" xfId="41973"/>
    <cellStyle name="Normal 36 4 2 2 24" xfId="43725"/>
    <cellStyle name="Normal 36 4 2 2 25" xfId="46343"/>
    <cellStyle name="Normal 36 4 2 2 26" xfId="48095"/>
    <cellStyle name="Normal 36 4 2 2 27" xfId="49847"/>
    <cellStyle name="Normal 36 4 2 2 28" xfId="51599"/>
    <cellStyle name="Normal 36 4 2 2 29" xfId="53351"/>
    <cellStyle name="Normal 36 4 2 2 3" xfId="6052"/>
    <cellStyle name="Normal 36 4 2 2 30" xfId="55103"/>
    <cellStyle name="Normal 36 4 2 2 31" xfId="56855"/>
    <cellStyle name="Normal 36 4 2 2 32" xfId="58608"/>
    <cellStyle name="Normal 36 4 2 2 33" xfId="60360"/>
    <cellStyle name="Normal 36 4 2 2 34" xfId="62112"/>
    <cellStyle name="Normal 36 4 2 2 4" xfId="7804"/>
    <cellStyle name="Normal 36 4 2 2 5" xfId="9556"/>
    <cellStyle name="Normal 36 4 2 2 6" xfId="11309"/>
    <cellStyle name="Normal 36 4 2 2 7" xfId="13061"/>
    <cellStyle name="Normal 36 4 2 2 8" xfId="14813"/>
    <cellStyle name="Normal 36 4 2 2 9" xfId="16565"/>
    <cellStyle name="Normal 36 4 2 20" xfId="33213"/>
    <cellStyle name="Normal 36 4 2 21" xfId="34747"/>
    <cellStyle name="Normal 36 4 2 22" xfId="35849"/>
    <cellStyle name="Normal 36 4 2 23" xfId="37368"/>
    <cellStyle name="Normal 36 4 2 24" xfId="39342"/>
    <cellStyle name="Normal 36 4 2 25" xfId="41097"/>
    <cellStyle name="Normal 36 4 2 26" xfId="42849"/>
    <cellStyle name="Normal 36 4 2 27" xfId="44368"/>
    <cellStyle name="Normal 36 4 2 28" xfId="45467"/>
    <cellStyle name="Normal 36 4 2 29" xfId="47219"/>
    <cellStyle name="Normal 36 4 2 3" xfId="3424"/>
    <cellStyle name="Normal 36 4 2 30" xfId="48971"/>
    <cellStyle name="Normal 36 4 2 31" xfId="50723"/>
    <cellStyle name="Normal 36 4 2 32" xfId="52475"/>
    <cellStyle name="Normal 36 4 2 33" xfId="54227"/>
    <cellStyle name="Normal 36 4 2 34" xfId="55979"/>
    <cellStyle name="Normal 36 4 2 35" xfId="57732"/>
    <cellStyle name="Normal 36 4 2 36" xfId="59484"/>
    <cellStyle name="Normal 36 4 2 37" xfId="61236"/>
    <cellStyle name="Normal 36 4 2 38" xfId="62755"/>
    <cellStyle name="Normal 36 4 2 39" xfId="63621"/>
    <cellStyle name="Normal 36 4 2 4" xfId="5176"/>
    <cellStyle name="Normal 36 4 2 5" xfId="6928"/>
    <cellStyle name="Normal 36 4 2 6" xfId="8680"/>
    <cellStyle name="Normal 36 4 2 7" xfId="10433"/>
    <cellStyle name="Normal 36 4 2 8" xfId="12185"/>
    <cellStyle name="Normal 36 4 2 9" xfId="13937"/>
    <cellStyle name="Normal 36 4 20" xfId="31024"/>
    <cellStyle name="Normal 36 4 21" xfId="32777"/>
    <cellStyle name="Normal 36 4 22" xfId="34746"/>
    <cellStyle name="Normal 36 4 23" xfId="35413"/>
    <cellStyle name="Normal 36 4 24" xfId="37367"/>
    <cellStyle name="Normal 36 4 25" xfId="38906"/>
    <cellStyle name="Normal 36 4 26" xfId="40661"/>
    <cellStyle name="Normal 36 4 27" xfId="42413"/>
    <cellStyle name="Normal 36 4 28" xfId="44367"/>
    <cellStyle name="Normal 36 4 29" xfId="45031"/>
    <cellStyle name="Normal 36 4 3" xfId="1631"/>
    <cellStyle name="Normal 36 4 3 10" xfId="17882"/>
    <cellStyle name="Normal 36 4 3 11" xfId="19634"/>
    <cellStyle name="Normal 36 4 3 12" xfId="21387"/>
    <cellStyle name="Normal 36 4 3 13" xfId="23139"/>
    <cellStyle name="Normal 36 4 3 14" xfId="24891"/>
    <cellStyle name="Normal 36 4 3 15" xfId="26643"/>
    <cellStyle name="Normal 36 4 3 16" xfId="28395"/>
    <cellStyle name="Normal 36 4 3 17" xfId="30148"/>
    <cellStyle name="Normal 36 4 3 18" xfId="31900"/>
    <cellStyle name="Normal 36 4 3 19" xfId="33653"/>
    <cellStyle name="Normal 36 4 3 2" xfId="3864"/>
    <cellStyle name="Normal 36 4 3 20" xfId="36289"/>
    <cellStyle name="Normal 36 4 3 21" xfId="38029"/>
    <cellStyle name="Normal 36 4 3 22" xfId="39782"/>
    <cellStyle name="Normal 36 4 3 23" xfId="41537"/>
    <cellStyle name="Normal 36 4 3 24" xfId="43289"/>
    <cellStyle name="Normal 36 4 3 25" xfId="45907"/>
    <cellStyle name="Normal 36 4 3 26" xfId="47659"/>
    <cellStyle name="Normal 36 4 3 27" xfId="49411"/>
    <cellStyle name="Normal 36 4 3 28" xfId="51163"/>
    <cellStyle name="Normal 36 4 3 29" xfId="52915"/>
    <cellStyle name="Normal 36 4 3 3" xfId="5616"/>
    <cellStyle name="Normal 36 4 3 30" xfId="54667"/>
    <cellStyle name="Normal 36 4 3 31" xfId="56419"/>
    <cellStyle name="Normal 36 4 3 32" xfId="58172"/>
    <cellStyle name="Normal 36 4 3 33" xfId="59924"/>
    <cellStyle name="Normal 36 4 3 34" xfId="61676"/>
    <cellStyle name="Normal 36 4 3 4" xfId="7368"/>
    <cellStyle name="Normal 36 4 3 5" xfId="9120"/>
    <cellStyle name="Normal 36 4 3 6" xfId="10873"/>
    <cellStyle name="Normal 36 4 3 7" xfId="12625"/>
    <cellStyle name="Normal 36 4 3 8" xfId="14377"/>
    <cellStyle name="Normal 36 4 3 9" xfId="16129"/>
    <cellStyle name="Normal 36 4 30" xfId="46783"/>
    <cellStyle name="Normal 36 4 31" xfId="48535"/>
    <cellStyle name="Normal 36 4 32" xfId="50287"/>
    <cellStyle name="Normal 36 4 33" xfId="52039"/>
    <cellStyle name="Normal 36 4 34" xfId="53791"/>
    <cellStyle name="Normal 36 4 35" xfId="55543"/>
    <cellStyle name="Normal 36 4 36" xfId="57296"/>
    <cellStyle name="Normal 36 4 37" xfId="59048"/>
    <cellStyle name="Normal 36 4 38" xfId="60800"/>
    <cellStyle name="Normal 36 4 39" xfId="62754"/>
    <cellStyle name="Normal 36 4 4" xfId="2988"/>
    <cellStyle name="Normal 36 4 40" xfId="63620"/>
    <cellStyle name="Normal 36 4 5" xfId="4740"/>
    <cellStyle name="Normal 36 4 6" xfId="6492"/>
    <cellStyle name="Normal 36 4 7" xfId="8244"/>
    <cellStyle name="Normal 36 4 8" xfId="9997"/>
    <cellStyle name="Normal 36 4 9" xfId="11749"/>
    <cellStyle name="Normal 36 40" xfId="58729"/>
    <cellStyle name="Normal 36 41" xfId="60481"/>
    <cellStyle name="Normal 36 42" xfId="62741"/>
    <cellStyle name="Normal 36 43" xfId="63607"/>
    <cellStyle name="Normal 36 5" xfId="1632"/>
    <cellStyle name="Normal 36 5 10" xfId="15370"/>
    <cellStyle name="Normal 36 5 11" xfId="17123"/>
    <cellStyle name="Normal 36 5 12" xfId="18875"/>
    <cellStyle name="Normal 36 5 13" xfId="20628"/>
    <cellStyle name="Normal 36 5 14" xfId="22380"/>
    <cellStyle name="Normal 36 5 15" xfId="24132"/>
    <cellStyle name="Normal 36 5 16" xfId="25884"/>
    <cellStyle name="Normal 36 5 17" xfId="27636"/>
    <cellStyle name="Normal 36 5 18" xfId="29389"/>
    <cellStyle name="Normal 36 5 19" xfId="31141"/>
    <cellStyle name="Normal 36 5 2" xfId="1633"/>
    <cellStyle name="Normal 36 5 2 10" xfId="17999"/>
    <cellStyle name="Normal 36 5 2 11" xfId="19751"/>
    <cellStyle name="Normal 36 5 2 12" xfId="21504"/>
    <cellStyle name="Normal 36 5 2 13" xfId="23256"/>
    <cellStyle name="Normal 36 5 2 14" xfId="25008"/>
    <cellStyle name="Normal 36 5 2 15" xfId="26760"/>
    <cellStyle name="Normal 36 5 2 16" xfId="28512"/>
    <cellStyle name="Normal 36 5 2 17" xfId="30265"/>
    <cellStyle name="Normal 36 5 2 18" xfId="32017"/>
    <cellStyle name="Normal 36 5 2 19" xfId="33770"/>
    <cellStyle name="Normal 36 5 2 2" xfId="3981"/>
    <cellStyle name="Normal 36 5 2 20" xfId="36406"/>
    <cellStyle name="Normal 36 5 2 21" xfId="38146"/>
    <cellStyle name="Normal 36 5 2 22" xfId="39899"/>
    <cellStyle name="Normal 36 5 2 23" xfId="41654"/>
    <cellStyle name="Normal 36 5 2 24" xfId="43406"/>
    <cellStyle name="Normal 36 5 2 25" xfId="46024"/>
    <cellStyle name="Normal 36 5 2 26" xfId="47776"/>
    <cellStyle name="Normal 36 5 2 27" xfId="49528"/>
    <cellStyle name="Normal 36 5 2 28" xfId="51280"/>
    <cellStyle name="Normal 36 5 2 29" xfId="53032"/>
    <cellStyle name="Normal 36 5 2 3" xfId="5733"/>
    <cellStyle name="Normal 36 5 2 30" xfId="54784"/>
    <cellStyle name="Normal 36 5 2 31" xfId="56536"/>
    <cellStyle name="Normal 36 5 2 32" xfId="58289"/>
    <cellStyle name="Normal 36 5 2 33" xfId="60041"/>
    <cellStyle name="Normal 36 5 2 34" xfId="61793"/>
    <cellStyle name="Normal 36 5 2 4" xfId="7485"/>
    <cellStyle name="Normal 36 5 2 5" xfId="9237"/>
    <cellStyle name="Normal 36 5 2 6" xfId="10990"/>
    <cellStyle name="Normal 36 5 2 7" xfId="12742"/>
    <cellStyle name="Normal 36 5 2 8" xfId="14494"/>
    <cellStyle name="Normal 36 5 2 9" xfId="16246"/>
    <cellStyle name="Normal 36 5 20" xfId="32894"/>
    <cellStyle name="Normal 36 5 21" xfId="34748"/>
    <cellStyle name="Normal 36 5 22" xfId="35530"/>
    <cellStyle name="Normal 36 5 23" xfId="37369"/>
    <cellStyle name="Normal 36 5 24" xfId="39023"/>
    <cellStyle name="Normal 36 5 25" xfId="40778"/>
    <cellStyle name="Normal 36 5 26" xfId="42530"/>
    <cellStyle name="Normal 36 5 27" xfId="44369"/>
    <cellStyle name="Normal 36 5 28" xfId="45148"/>
    <cellStyle name="Normal 36 5 29" xfId="46900"/>
    <cellStyle name="Normal 36 5 3" xfId="3105"/>
    <cellStyle name="Normal 36 5 30" xfId="48652"/>
    <cellStyle name="Normal 36 5 31" xfId="50404"/>
    <cellStyle name="Normal 36 5 32" xfId="52156"/>
    <cellStyle name="Normal 36 5 33" xfId="53908"/>
    <cellStyle name="Normal 36 5 34" xfId="55660"/>
    <cellStyle name="Normal 36 5 35" xfId="57413"/>
    <cellStyle name="Normal 36 5 36" xfId="59165"/>
    <cellStyle name="Normal 36 5 37" xfId="60917"/>
    <cellStyle name="Normal 36 5 38" xfId="62756"/>
    <cellStyle name="Normal 36 5 39" xfId="63622"/>
    <cellStyle name="Normal 36 5 4" xfId="4857"/>
    <cellStyle name="Normal 36 5 5" xfId="6609"/>
    <cellStyle name="Normal 36 5 6" xfId="8361"/>
    <cellStyle name="Normal 36 5 7" xfId="10114"/>
    <cellStyle name="Normal 36 5 8" xfId="11866"/>
    <cellStyle name="Normal 36 5 9" xfId="13618"/>
    <cellStyle name="Normal 36 6" xfId="1634"/>
    <cellStyle name="Normal 36 6 10" xfId="17563"/>
    <cellStyle name="Normal 36 6 11" xfId="19315"/>
    <cellStyle name="Normal 36 6 12" xfId="21068"/>
    <cellStyle name="Normal 36 6 13" xfId="22820"/>
    <cellStyle name="Normal 36 6 14" xfId="24572"/>
    <cellStyle name="Normal 36 6 15" xfId="26324"/>
    <cellStyle name="Normal 36 6 16" xfId="28076"/>
    <cellStyle name="Normal 36 6 17" xfId="29829"/>
    <cellStyle name="Normal 36 6 18" xfId="31581"/>
    <cellStyle name="Normal 36 6 19" xfId="33334"/>
    <cellStyle name="Normal 36 6 2" xfId="3545"/>
    <cellStyle name="Normal 36 6 20" xfId="35970"/>
    <cellStyle name="Normal 36 6 21" xfId="37707"/>
    <cellStyle name="Normal 36 6 22" xfId="39463"/>
    <cellStyle name="Normal 36 6 23" xfId="41218"/>
    <cellStyle name="Normal 36 6 24" xfId="42970"/>
    <cellStyle name="Normal 36 6 25" xfId="45588"/>
    <cellStyle name="Normal 36 6 26" xfId="47340"/>
    <cellStyle name="Normal 36 6 27" xfId="49092"/>
    <cellStyle name="Normal 36 6 28" xfId="50844"/>
    <cellStyle name="Normal 36 6 29" xfId="52596"/>
    <cellStyle name="Normal 36 6 3" xfId="5297"/>
    <cellStyle name="Normal 36 6 30" xfId="54348"/>
    <cellStyle name="Normal 36 6 31" xfId="56100"/>
    <cellStyle name="Normal 36 6 32" xfId="57853"/>
    <cellStyle name="Normal 36 6 33" xfId="59605"/>
    <cellStyle name="Normal 36 6 34" xfId="61357"/>
    <cellStyle name="Normal 36 6 4" xfId="7049"/>
    <cellStyle name="Normal 36 6 5" xfId="8801"/>
    <cellStyle name="Normal 36 6 6" xfId="10554"/>
    <cellStyle name="Normal 36 6 7" xfId="12306"/>
    <cellStyle name="Normal 36 6 8" xfId="14058"/>
    <cellStyle name="Normal 36 6 9" xfId="15810"/>
    <cellStyle name="Normal 36 7" xfId="2669"/>
    <cellStyle name="Normal 36 8" xfId="4421"/>
    <cellStyle name="Normal 36 9" xfId="6173"/>
    <cellStyle name="Normal 37" xfId="1635"/>
    <cellStyle name="Normal 37 10" xfId="7926"/>
    <cellStyle name="Normal 37 11" xfId="9679"/>
    <cellStyle name="Normal 37 12" xfId="11431"/>
    <cellStyle name="Normal 37 13" xfId="13183"/>
    <cellStyle name="Normal 37 14" xfId="14935"/>
    <cellStyle name="Normal 37 15" xfId="16688"/>
    <cellStyle name="Normal 37 16" xfId="18440"/>
    <cellStyle name="Normal 37 17" xfId="20193"/>
    <cellStyle name="Normal 37 18" xfId="21945"/>
    <cellStyle name="Normal 37 19" xfId="23697"/>
    <cellStyle name="Normal 37 2" xfId="1636"/>
    <cellStyle name="Normal 37 2 10" xfId="9734"/>
    <cellStyle name="Normal 37 2 11" xfId="11486"/>
    <cellStyle name="Normal 37 2 12" xfId="13238"/>
    <cellStyle name="Normal 37 2 13" xfId="14990"/>
    <cellStyle name="Normal 37 2 14" xfId="16743"/>
    <cellStyle name="Normal 37 2 15" xfId="18495"/>
    <cellStyle name="Normal 37 2 16" xfId="20248"/>
    <cellStyle name="Normal 37 2 17" xfId="22000"/>
    <cellStyle name="Normal 37 2 18" xfId="23752"/>
    <cellStyle name="Normal 37 2 19" xfId="25504"/>
    <cellStyle name="Normal 37 2 2" xfId="1637"/>
    <cellStyle name="Normal 37 2 2 10" xfId="11594"/>
    <cellStyle name="Normal 37 2 2 11" xfId="13346"/>
    <cellStyle name="Normal 37 2 2 12" xfId="15098"/>
    <cellStyle name="Normal 37 2 2 13" xfId="16851"/>
    <cellStyle name="Normal 37 2 2 14" xfId="18603"/>
    <cellStyle name="Normal 37 2 2 15" xfId="20356"/>
    <cellStyle name="Normal 37 2 2 16" xfId="22108"/>
    <cellStyle name="Normal 37 2 2 17" xfId="23860"/>
    <cellStyle name="Normal 37 2 2 18" xfId="25612"/>
    <cellStyle name="Normal 37 2 2 19" xfId="27364"/>
    <cellStyle name="Normal 37 2 2 2" xfId="1638"/>
    <cellStyle name="Normal 37 2 2 2 10" xfId="13502"/>
    <cellStyle name="Normal 37 2 2 2 11" xfId="15254"/>
    <cellStyle name="Normal 37 2 2 2 12" xfId="17007"/>
    <cellStyle name="Normal 37 2 2 2 13" xfId="18759"/>
    <cellStyle name="Normal 37 2 2 2 14" xfId="20512"/>
    <cellStyle name="Normal 37 2 2 2 15" xfId="22264"/>
    <cellStyle name="Normal 37 2 2 2 16" xfId="24016"/>
    <cellStyle name="Normal 37 2 2 2 17" xfId="25768"/>
    <cellStyle name="Normal 37 2 2 2 18" xfId="27520"/>
    <cellStyle name="Normal 37 2 2 2 19" xfId="29273"/>
    <cellStyle name="Normal 37 2 2 2 2" xfId="1639"/>
    <cellStyle name="Normal 37 2 2 2 2 10" xfId="15690"/>
    <cellStyle name="Normal 37 2 2 2 2 11" xfId="17443"/>
    <cellStyle name="Normal 37 2 2 2 2 12" xfId="19195"/>
    <cellStyle name="Normal 37 2 2 2 2 13" xfId="20948"/>
    <cellStyle name="Normal 37 2 2 2 2 14" xfId="22700"/>
    <cellStyle name="Normal 37 2 2 2 2 15" xfId="24452"/>
    <cellStyle name="Normal 37 2 2 2 2 16" xfId="26204"/>
    <cellStyle name="Normal 37 2 2 2 2 17" xfId="27956"/>
    <cellStyle name="Normal 37 2 2 2 2 18" xfId="29709"/>
    <cellStyle name="Normal 37 2 2 2 2 19" xfId="31461"/>
    <cellStyle name="Normal 37 2 2 2 2 2" xfId="1640"/>
    <cellStyle name="Normal 37 2 2 2 2 2 10" xfId="18319"/>
    <cellStyle name="Normal 37 2 2 2 2 2 11" xfId="20071"/>
    <cellStyle name="Normal 37 2 2 2 2 2 12" xfId="21824"/>
    <cellStyle name="Normal 37 2 2 2 2 2 13" xfId="23576"/>
    <cellStyle name="Normal 37 2 2 2 2 2 14" xfId="25328"/>
    <cellStyle name="Normal 37 2 2 2 2 2 15" xfId="27080"/>
    <cellStyle name="Normal 37 2 2 2 2 2 16" xfId="28832"/>
    <cellStyle name="Normal 37 2 2 2 2 2 17" xfId="30585"/>
    <cellStyle name="Normal 37 2 2 2 2 2 18" xfId="32337"/>
    <cellStyle name="Normal 37 2 2 2 2 2 19" xfId="34090"/>
    <cellStyle name="Normal 37 2 2 2 2 2 2" xfId="4301"/>
    <cellStyle name="Normal 37 2 2 2 2 2 20" xfId="36726"/>
    <cellStyle name="Normal 37 2 2 2 2 2 21" xfId="38466"/>
    <cellStyle name="Normal 37 2 2 2 2 2 22" xfId="40219"/>
    <cellStyle name="Normal 37 2 2 2 2 2 23" xfId="41974"/>
    <cellStyle name="Normal 37 2 2 2 2 2 24" xfId="43726"/>
    <cellStyle name="Normal 37 2 2 2 2 2 25" xfId="46344"/>
    <cellStyle name="Normal 37 2 2 2 2 2 26" xfId="48096"/>
    <cellStyle name="Normal 37 2 2 2 2 2 27" xfId="49848"/>
    <cellStyle name="Normal 37 2 2 2 2 2 28" xfId="51600"/>
    <cellStyle name="Normal 37 2 2 2 2 2 29" xfId="53352"/>
    <cellStyle name="Normal 37 2 2 2 2 2 3" xfId="6053"/>
    <cellStyle name="Normal 37 2 2 2 2 2 30" xfId="55104"/>
    <cellStyle name="Normal 37 2 2 2 2 2 31" xfId="56856"/>
    <cellStyle name="Normal 37 2 2 2 2 2 32" xfId="58609"/>
    <cellStyle name="Normal 37 2 2 2 2 2 33" xfId="60361"/>
    <cellStyle name="Normal 37 2 2 2 2 2 34" xfId="62113"/>
    <cellStyle name="Normal 37 2 2 2 2 2 4" xfId="7805"/>
    <cellStyle name="Normal 37 2 2 2 2 2 5" xfId="9557"/>
    <cellStyle name="Normal 37 2 2 2 2 2 6" xfId="11310"/>
    <cellStyle name="Normal 37 2 2 2 2 2 7" xfId="13062"/>
    <cellStyle name="Normal 37 2 2 2 2 2 8" xfId="14814"/>
    <cellStyle name="Normal 37 2 2 2 2 2 9" xfId="16566"/>
    <cellStyle name="Normal 37 2 2 2 2 20" xfId="33214"/>
    <cellStyle name="Normal 37 2 2 2 2 21" xfId="34753"/>
    <cellStyle name="Normal 37 2 2 2 2 22" xfId="35850"/>
    <cellStyle name="Normal 37 2 2 2 2 23" xfId="37374"/>
    <cellStyle name="Normal 37 2 2 2 2 24" xfId="39343"/>
    <cellStyle name="Normal 37 2 2 2 2 25" xfId="41098"/>
    <cellStyle name="Normal 37 2 2 2 2 26" xfId="42850"/>
    <cellStyle name="Normal 37 2 2 2 2 27" xfId="44374"/>
    <cellStyle name="Normal 37 2 2 2 2 28" xfId="45468"/>
    <cellStyle name="Normal 37 2 2 2 2 29" xfId="47220"/>
    <cellStyle name="Normal 37 2 2 2 2 3" xfId="3425"/>
    <cellStyle name="Normal 37 2 2 2 2 30" xfId="48972"/>
    <cellStyle name="Normal 37 2 2 2 2 31" xfId="50724"/>
    <cellStyle name="Normal 37 2 2 2 2 32" xfId="52476"/>
    <cellStyle name="Normal 37 2 2 2 2 33" xfId="54228"/>
    <cellStyle name="Normal 37 2 2 2 2 34" xfId="55980"/>
    <cellStyle name="Normal 37 2 2 2 2 35" xfId="57733"/>
    <cellStyle name="Normal 37 2 2 2 2 36" xfId="59485"/>
    <cellStyle name="Normal 37 2 2 2 2 37" xfId="61237"/>
    <cellStyle name="Normal 37 2 2 2 2 38" xfId="62761"/>
    <cellStyle name="Normal 37 2 2 2 2 39" xfId="63627"/>
    <cellStyle name="Normal 37 2 2 2 2 4" xfId="5177"/>
    <cellStyle name="Normal 37 2 2 2 2 5" xfId="6929"/>
    <cellStyle name="Normal 37 2 2 2 2 6" xfId="8681"/>
    <cellStyle name="Normal 37 2 2 2 2 7" xfId="10434"/>
    <cellStyle name="Normal 37 2 2 2 2 8" xfId="12186"/>
    <cellStyle name="Normal 37 2 2 2 2 9" xfId="13938"/>
    <cellStyle name="Normal 37 2 2 2 20" xfId="31025"/>
    <cellStyle name="Normal 37 2 2 2 21" xfId="32778"/>
    <cellStyle name="Normal 37 2 2 2 22" xfId="34752"/>
    <cellStyle name="Normal 37 2 2 2 23" xfId="35414"/>
    <cellStyle name="Normal 37 2 2 2 24" xfId="37373"/>
    <cellStyle name="Normal 37 2 2 2 25" xfId="38907"/>
    <cellStyle name="Normal 37 2 2 2 26" xfId="40662"/>
    <cellStyle name="Normal 37 2 2 2 27" xfId="42414"/>
    <cellStyle name="Normal 37 2 2 2 28" xfId="44373"/>
    <cellStyle name="Normal 37 2 2 2 29" xfId="45032"/>
    <cellStyle name="Normal 37 2 2 2 3" xfId="1641"/>
    <cellStyle name="Normal 37 2 2 2 3 10" xfId="17883"/>
    <cellStyle name="Normal 37 2 2 2 3 11" xfId="19635"/>
    <cellStyle name="Normal 37 2 2 2 3 12" xfId="21388"/>
    <cellStyle name="Normal 37 2 2 2 3 13" xfId="23140"/>
    <cellStyle name="Normal 37 2 2 2 3 14" xfId="24892"/>
    <cellStyle name="Normal 37 2 2 2 3 15" xfId="26644"/>
    <cellStyle name="Normal 37 2 2 2 3 16" xfId="28396"/>
    <cellStyle name="Normal 37 2 2 2 3 17" xfId="30149"/>
    <cellStyle name="Normal 37 2 2 2 3 18" xfId="31901"/>
    <cellStyle name="Normal 37 2 2 2 3 19" xfId="33654"/>
    <cellStyle name="Normal 37 2 2 2 3 2" xfId="3865"/>
    <cellStyle name="Normal 37 2 2 2 3 20" xfId="36290"/>
    <cellStyle name="Normal 37 2 2 2 3 21" xfId="38030"/>
    <cellStyle name="Normal 37 2 2 2 3 22" xfId="39783"/>
    <cellStyle name="Normal 37 2 2 2 3 23" xfId="41538"/>
    <cellStyle name="Normal 37 2 2 2 3 24" xfId="43290"/>
    <cellStyle name="Normal 37 2 2 2 3 25" xfId="45908"/>
    <cellStyle name="Normal 37 2 2 2 3 26" xfId="47660"/>
    <cellStyle name="Normal 37 2 2 2 3 27" xfId="49412"/>
    <cellStyle name="Normal 37 2 2 2 3 28" xfId="51164"/>
    <cellStyle name="Normal 37 2 2 2 3 29" xfId="52916"/>
    <cellStyle name="Normal 37 2 2 2 3 3" xfId="5617"/>
    <cellStyle name="Normal 37 2 2 2 3 30" xfId="54668"/>
    <cellStyle name="Normal 37 2 2 2 3 31" xfId="56420"/>
    <cellStyle name="Normal 37 2 2 2 3 32" xfId="58173"/>
    <cellStyle name="Normal 37 2 2 2 3 33" xfId="59925"/>
    <cellStyle name="Normal 37 2 2 2 3 34" xfId="61677"/>
    <cellStyle name="Normal 37 2 2 2 3 4" xfId="7369"/>
    <cellStyle name="Normal 37 2 2 2 3 5" xfId="9121"/>
    <cellStyle name="Normal 37 2 2 2 3 6" xfId="10874"/>
    <cellStyle name="Normal 37 2 2 2 3 7" xfId="12626"/>
    <cellStyle name="Normal 37 2 2 2 3 8" xfId="14378"/>
    <cellStyle name="Normal 37 2 2 2 3 9" xfId="16130"/>
    <cellStyle name="Normal 37 2 2 2 30" xfId="46784"/>
    <cellStyle name="Normal 37 2 2 2 31" xfId="48536"/>
    <cellStyle name="Normal 37 2 2 2 32" xfId="50288"/>
    <cellStyle name="Normal 37 2 2 2 33" xfId="52040"/>
    <cellStyle name="Normal 37 2 2 2 34" xfId="53792"/>
    <cellStyle name="Normal 37 2 2 2 35" xfId="55544"/>
    <cellStyle name="Normal 37 2 2 2 36" xfId="57297"/>
    <cellStyle name="Normal 37 2 2 2 37" xfId="59049"/>
    <cellStyle name="Normal 37 2 2 2 38" xfId="60801"/>
    <cellStyle name="Normal 37 2 2 2 39" xfId="62760"/>
    <cellStyle name="Normal 37 2 2 2 4" xfId="2989"/>
    <cellStyle name="Normal 37 2 2 2 40" xfId="63626"/>
    <cellStyle name="Normal 37 2 2 2 5" xfId="4741"/>
    <cellStyle name="Normal 37 2 2 2 6" xfId="6493"/>
    <cellStyle name="Normal 37 2 2 2 7" xfId="8245"/>
    <cellStyle name="Normal 37 2 2 2 8" xfId="9998"/>
    <cellStyle name="Normal 37 2 2 2 9" xfId="11750"/>
    <cellStyle name="Normal 37 2 2 20" xfId="29117"/>
    <cellStyle name="Normal 37 2 2 21" xfId="30869"/>
    <cellStyle name="Normal 37 2 2 22" xfId="32622"/>
    <cellStyle name="Normal 37 2 2 23" xfId="34751"/>
    <cellStyle name="Normal 37 2 2 24" xfId="35258"/>
    <cellStyle name="Normal 37 2 2 25" xfId="37372"/>
    <cellStyle name="Normal 37 2 2 26" xfId="38751"/>
    <cellStyle name="Normal 37 2 2 27" xfId="40506"/>
    <cellStyle name="Normal 37 2 2 28" xfId="42258"/>
    <cellStyle name="Normal 37 2 2 29" xfId="44372"/>
    <cellStyle name="Normal 37 2 2 3" xfId="1642"/>
    <cellStyle name="Normal 37 2 2 3 10" xfId="15534"/>
    <cellStyle name="Normal 37 2 2 3 11" xfId="17287"/>
    <cellStyle name="Normal 37 2 2 3 12" xfId="19039"/>
    <cellStyle name="Normal 37 2 2 3 13" xfId="20792"/>
    <cellStyle name="Normal 37 2 2 3 14" xfId="22544"/>
    <cellStyle name="Normal 37 2 2 3 15" xfId="24296"/>
    <cellStyle name="Normal 37 2 2 3 16" xfId="26048"/>
    <cellStyle name="Normal 37 2 2 3 17" xfId="27800"/>
    <cellStyle name="Normal 37 2 2 3 18" xfId="29553"/>
    <cellStyle name="Normal 37 2 2 3 19" xfId="31305"/>
    <cellStyle name="Normal 37 2 2 3 2" xfId="1643"/>
    <cellStyle name="Normal 37 2 2 3 2 10" xfId="18163"/>
    <cellStyle name="Normal 37 2 2 3 2 11" xfId="19915"/>
    <cellStyle name="Normal 37 2 2 3 2 12" xfId="21668"/>
    <cellStyle name="Normal 37 2 2 3 2 13" xfId="23420"/>
    <cellStyle name="Normal 37 2 2 3 2 14" xfId="25172"/>
    <cellStyle name="Normal 37 2 2 3 2 15" xfId="26924"/>
    <cellStyle name="Normal 37 2 2 3 2 16" xfId="28676"/>
    <cellStyle name="Normal 37 2 2 3 2 17" xfId="30429"/>
    <cellStyle name="Normal 37 2 2 3 2 18" xfId="32181"/>
    <cellStyle name="Normal 37 2 2 3 2 19" xfId="33934"/>
    <cellStyle name="Normal 37 2 2 3 2 2" xfId="4145"/>
    <cellStyle name="Normal 37 2 2 3 2 20" xfId="36570"/>
    <cellStyle name="Normal 37 2 2 3 2 21" xfId="38310"/>
    <cellStyle name="Normal 37 2 2 3 2 22" xfId="40063"/>
    <cellStyle name="Normal 37 2 2 3 2 23" xfId="41818"/>
    <cellStyle name="Normal 37 2 2 3 2 24" xfId="43570"/>
    <cellStyle name="Normal 37 2 2 3 2 25" xfId="46188"/>
    <cellStyle name="Normal 37 2 2 3 2 26" xfId="47940"/>
    <cellStyle name="Normal 37 2 2 3 2 27" xfId="49692"/>
    <cellStyle name="Normal 37 2 2 3 2 28" xfId="51444"/>
    <cellStyle name="Normal 37 2 2 3 2 29" xfId="53196"/>
    <cellStyle name="Normal 37 2 2 3 2 3" xfId="5897"/>
    <cellStyle name="Normal 37 2 2 3 2 30" xfId="54948"/>
    <cellStyle name="Normal 37 2 2 3 2 31" xfId="56700"/>
    <cellStyle name="Normal 37 2 2 3 2 32" xfId="58453"/>
    <cellStyle name="Normal 37 2 2 3 2 33" xfId="60205"/>
    <cellStyle name="Normal 37 2 2 3 2 34" xfId="61957"/>
    <cellStyle name="Normal 37 2 2 3 2 4" xfId="7649"/>
    <cellStyle name="Normal 37 2 2 3 2 5" xfId="9401"/>
    <cellStyle name="Normal 37 2 2 3 2 6" xfId="11154"/>
    <cellStyle name="Normal 37 2 2 3 2 7" xfId="12906"/>
    <cellStyle name="Normal 37 2 2 3 2 8" xfId="14658"/>
    <cellStyle name="Normal 37 2 2 3 2 9" xfId="16410"/>
    <cellStyle name="Normal 37 2 2 3 20" xfId="33058"/>
    <cellStyle name="Normal 37 2 2 3 21" xfId="34754"/>
    <cellStyle name="Normal 37 2 2 3 22" xfId="35694"/>
    <cellStyle name="Normal 37 2 2 3 23" xfId="37375"/>
    <cellStyle name="Normal 37 2 2 3 24" xfId="39187"/>
    <cellStyle name="Normal 37 2 2 3 25" xfId="40942"/>
    <cellStyle name="Normal 37 2 2 3 26" xfId="42694"/>
    <cellStyle name="Normal 37 2 2 3 27" xfId="44375"/>
    <cellStyle name="Normal 37 2 2 3 28" xfId="45312"/>
    <cellStyle name="Normal 37 2 2 3 29" xfId="47064"/>
    <cellStyle name="Normal 37 2 2 3 3" xfId="3269"/>
    <cellStyle name="Normal 37 2 2 3 30" xfId="48816"/>
    <cellStyle name="Normal 37 2 2 3 31" xfId="50568"/>
    <cellStyle name="Normal 37 2 2 3 32" xfId="52320"/>
    <cellStyle name="Normal 37 2 2 3 33" xfId="54072"/>
    <cellStyle name="Normal 37 2 2 3 34" xfId="55824"/>
    <cellStyle name="Normal 37 2 2 3 35" xfId="57577"/>
    <cellStyle name="Normal 37 2 2 3 36" xfId="59329"/>
    <cellStyle name="Normal 37 2 2 3 37" xfId="61081"/>
    <cellStyle name="Normal 37 2 2 3 38" xfId="62762"/>
    <cellStyle name="Normal 37 2 2 3 39" xfId="63628"/>
    <cellStyle name="Normal 37 2 2 3 4" xfId="5021"/>
    <cellStyle name="Normal 37 2 2 3 5" xfId="6773"/>
    <cellStyle name="Normal 37 2 2 3 6" xfId="8525"/>
    <cellStyle name="Normal 37 2 2 3 7" xfId="10278"/>
    <cellStyle name="Normal 37 2 2 3 8" xfId="12030"/>
    <cellStyle name="Normal 37 2 2 3 9" xfId="13782"/>
    <cellStyle name="Normal 37 2 2 30" xfId="44876"/>
    <cellStyle name="Normal 37 2 2 31" xfId="46628"/>
    <cellStyle name="Normal 37 2 2 32" xfId="48380"/>
    <cellStyle name="Normal 37 2 2 33" xfId="50132"/>
    <cellStyle name="Normal 37 2 2 34" xfId="51884"/>
    <cellStyle name="Normal 37 2 2 35" xfId="53636"/>
    <cellStyle name="Normal 37 2 2 36" xfId="55388"/>
    <cellStyle name="Normal 37 2 2 37" xfId="57141"/>
    <cellStyle name="Normal 37 2 2 38" xfId="58893"/>
    <cellStyle name="Normal 37 2 2 39" xfId="60645"/>
    <cellStyle name="Normal 37 2 2 4" xfId="1644"/>
    <cellStyle name="Normal 37 2 2 4 10" xfId="17727"/>
    <cellStyle name="Normal 37 2 2 4 11" xfId="19479"/>
    <cellStyle name="Normal 37 2 2 4 12" xfId="21232"/>
    <cellStyle name="Normal 37 2 2 4 13" xfId="22984"/>
    <cellStyle name="Normal 37 2 2 4 14" xfId="24736"/>
    <cellStyle name="Normal 37 2 2 4 15" xfId="26488"/>
    <cellStyle name="Normal 37 2 2 4 16" xfId="28240"/>
    <cellStyle name="Normal 37 2 2 4 17" xfId="29993"/>
    <cellStyle name="Normal 37 2 2 4 18" xfId="31745"/>
    <cellStyle name="Normal 37 2 2 4 19" xfId="33498"/>
    <cellStyle name="Normal 37 2 2 4 2" xfId="3709"/>
    <cellStyle name="Normal 37 2 2 4 20" xfId="36134"/>
    <cellStyle name="Normal 37 2 2 4 21" xfId="37874"/>
    <cellStyle name="Normal 37 2 2 4 22" xfId="39627"/>
    <cellStyle name="Normal 37 2 2 4 23" xfId="41382"/>
    <cellStyle name="Normal 37 2 2 4 24" xfId="43134"/>
    <cellStyle name="Normal 37 2 2 4 25" xfId="45752"/>
    <cellStyle name="Normal 37 2 2 4 26" xfId="47504"/>
    <cellStyle name="Normal 37 2 2 4 27" xfId="49256"/>
    <cellStyle name="Normal 37 2 2 4 28" xfId="51008"/>
    <cellStyle name="Normal 37 2 2 4 29" xfId="52760"/>
    <cellStyle name="Normal 37 2 2 4 3" xfId="5461"/>
    <cellStyle name="Normal 37 2 2 4 30" xfId="54512"/>
    <cellStyle name="Normal 37 2 2 4 31" xfId="56264"/>
    <cellStyle name="Normal 37 2 2 4 32" xfId="58017"/>
    <cellStyle name="Normal 37 2 2 4 33" xfId="59769"/>
    <cellStyle name="Normal 37 2 2 4 34" xfId="61521"/>
    <cellStyle name="Normal 37 2 2 4 4" xfId="7213"/>
    <cellStyle name="Normal 37 2 2 4 5" xfId="8965"/>
    <cellStyle name="Normal 37 2 2 4 6" xfId="10718"/>
    <cellStyle name="Normal 37 2 2 4 7" xfId="12470"/>
    <cellStyle name="Normal 37 2 2 4 8" xfId="14222"/>
    <cellStyle name="Normal 37 2 2 4 9" xfId="15974"/>
    <cellStyle name="Normal 37 2 2 40" xfId="62759"/>
    <cellStyle name="Normal 37 2 2 41" xfId="63625"/>
    <cellStyle name="Normal 37 2 2 5" xfId="2833"/>
    <cellStyle name="Normal 37 2 2 6" xfId="4585"/>
    <cellStyle name="Normal 37 2 2 7" xfId="6337"/>
    <cellStyle name="Normal 37 2 2 8" xfId="8089"/>
    <cellStyle name="Normal 37 2 2 9" xfId="9842"/>
    <cellStyle name="Normal 37 2 20" xfId="27256"/>
    <cellStyle name="Normal 37 2 21" xfId="29009"/>
    <cellStyle name="Normal 37 2 22" xfId="30761"/>
    <cellStyle name="Normal 37 2 23" xfId="32514"/>
    <cellStyle name="Normal 37 2 24" xfId="34750"/>
    <cellStyle name="Normal 37 2 25" xfId="35150"/>
    <cellStyle name="Normal 37 2 26" xfId="37371"/>
    <cellStyle name="Normal 37 2 27" xfId="38643"/>
    <cellStyle name="Normal 37 2 28" xfId="40398"/>
    <cellStyle name="Normal 37 2 29" xfId="42150"/>
    <cellStyle name="Normal 37 2 3" xfId="1645"/>
    <cellStyle name="Normal 37 2 3 10" xfId="13503"/>
    <cellStyle name="Normal 37 2 3 11" xfId="15255"/>
    <cellStyle name="Normal 37 2 3 12" xfId="17008"/>
    <cellStyle name="Normal 37 2 3 13" xfId="18760"/>
    <cellStyle name="Normal 37 2 3 14" xfId="20513"/>
    <cellStyle name="Normal 37 2 3 15" xfId="22265"/>
    <cellStyle name="Normal 37 2 3 16" xfId="24017"/>
    <cellStyle name="Normal 37 2 3 17" xfId="25769"/>
    <cellStyle name="Normal 37 2 3 18" xfId="27521"/>
    <cellStyle name="Normal 37 2 3 19" xfId="29274"/>
    <cellStyle name="Normal 37 2 3 2" xfId="1646"/>
    <cellStyle name="Normal 37 2 3 2 10" xfId="15691"/>
    <cellStyle name="Normal 37 2 3 2 11" xfId="17444"/>
    <cellStyle name="Normal 37 2 3 2 12" xfId="19196"/>
    <cellStyle name="Normal 37 2 3 2 13" xfId="20949"/>
    <cellStyle name="Normal 37 2 3 2 14" xfId="22701"/>
    <cellStyle name="Normal 37 2 3 2 15" xfId="24453"/>
    <cellStyle name="Normal 37 2 3 2 16" xfId="26205"/>
    <cellStyle name="Normal 37 2 3 2 17" xfId="27957"/>
    <cellStyle name="Normal 37 2 3 2 18" xfId="29710"/>
    <cellStyle name="Normal 37 2 3 2 19" xfId="31462"/>
    <cellStyle name="Normal 37 2 3 2 2" xfId="1647"/>
    <cellStyle name="Normal 37 2 3 2 2 10" xfId="18320"/>
    <cellStyle name="Normal 37 2 3 2 2 11" xfId="20072"/>
    <cellStyle name="Normal 37 2 3 2 2 12" xfId="21825"/>
    <cellStyle name="Normal 37 2 3 2 2 13" xfId="23577"/>
    <cellStyle name="Normal 37 2 3 2 2 14" xfId="25329"/>
    <cellStyle name="Normal 37 2 3 2 2 15" xfId="27081"/>
    <cellStyle name="Normal 37 2 3 2 2 16" xfId="28833"/>
    <cellStyle name="Normal 37 2 3 2 2 17" xfId="30586"/>
    <cellStyle name="Normal 37 2 3 2 2 18" xfId="32338"/>
    <cellStyle name="Normal 37 2 3 2 2 19" xfId="34091"/>
    <cellStyle name="Normal 37 2 3 2 2 2" xfId="4302"/>
    <cellStyle name="Normal 37 2 3 2 2 20" xfId="36727"/>
    <cellStyle name="Normal 37 2 3 2 2 21" xfId="38467"/>
    <cellStyle name="Normal 37 2 3 2 2 22" xfId="40220"/>
    <cellStyle name="Normal 37 2 3 2 2 23" xfId="41975"/>
    <cellStyle name="Normal 37 2 3 2 2 24" xfId="43727"/>
    <cellStyle name="Normal 37 2 3 2 2 25" xfId="46345"/>
    <cellStyle name="Normal 37 2 3 2 2 26" xfId="48097"/>
    <cellStyle name="Normal 37 2 3 2 2 27" xfId="49849"/>
    <cellStyle name="Normal 37 2 3 2 2 28" xfId="51601"/>
    <cellStyle name="Normal 37 2 3 2 2 29" xfId="53353"/>
    <cellStyle name="Normal 37 2 3 2 2 3" xfId="6054"/>
    <cellStyle name="Normal 37 2 3 2 2 30" xfId="55105"/>
    <cellStyle name="Normal 37 2 3 2 2 31" xfId="56857"/>
    <cellStyle name="Normal 37 2 3 2 2 32" xfId="58610"/>
    <cellStyle name="Normal 37 2 3 2 2 33" xfId="60362"/>
    <cellStyle name="Normal 37 2 3 2 2 34" xfId="62114"/>
    <cellStyle name="Normal 37 2 3 2 2 4" xfId="7806"/>
    <cellStyle name="Normal 37 2 3 2 2 5" xfId="9558"/>
    <cellStyle name="Normal 37 2 3 2 2 6" xfId="11311"/>
    <cellStyle name="Normal 37 2 3 2 2 7" xfId="13063"/>
    <cellStyle name="Normal 37 2 3 2 2 8" xfId="14815"/>
    <cellStyle name="Normal 37 2 3 2 2 9" xfId="16567"/>
    <cellStyle name="Normal 37 2 3 2 20" xfId="33215"/>
    <cellStyle name="Normal 37 2 3 2 21" xfId="34756"/>
    <cellStyle name="Normal 37 2 3 2 22" xfId="35851"/>
    <cellStyle name="Normal 37 2 3 2 23" xfId="37377"/>
    <cellStyle name="Normal 37 2 3 2 24" xfId="39344"/>
    <cellStyle name="Normal 37 2 3 2 25" xfId="41099"/>
    <cellStyle name="Normal 37 2 3 2 26" xfId="42851"/>
    <cellStyle name="Normal 37 2 3 2 27" xfId="44377"/>
    <cellStyle name="Normal 37 2 3 2 28" xfId="45469"/>
    <cellStyle name="Normal 37 2 3 2 29" xfId="47221"/>
    <cellStyle name="Normal 37 2 3 2 3" xfId="3426"/>
    <cellStyle name="Normal 37 2 3 2 30" xfId="48973"/>
    <cellStyle name="Normal 37 2 3 2 31" xfId="50725"/>
    <cellStyle name="Normal 37 2 3 2 32" xfId="52477"/>
    <cellStyle name="Normal 37 2 3 2 33" xfId="54229"/>
    <cellStyle name="Normal 37 2 3 2 34" xfId="55981"/>
    <cellStyle name="Normal 37 2 3 2 35" xfId="57734"/>
    <cellStyle name="Normal 37 2 3 2 36" xfId="59486"/>
    <cellStyle name="Normal 37 2 3 2 37" xfId="61238"/>
    <cellStyle name="Normal 37 2 3 2 38" xfId="62764"/>
    <cellStyle name="Normal 37 2 3 2 39" xfId="63630"/>
    <cellStyle name="Normal 37 2 3 2 4" xfId="5178"/>
    <cellStyle name="Normal 37 2 3 2 5" xfId="6930"/>
    <cellStyle name="Normal 37 2 3 2 6" xfId="8682"/>
    <cellStyle name="Normal 37 2 3 2 7" xfId="10435"/>
    <cellStyle name="Normal 37 2 3 2 8" xfId="12187"/>
    <cellStyle name="Normal 37 2 3 2 9" xfId="13939"/>
    <cellStyle name="Normal 37 2 3 20" xfId="31026"/>
    <cellStyle name="Normal 37 2 3 21" xfId="32779"/>
    <cellStyle name="Normal 37 2 3 22" xfId="34755"/>
    <cellStyle name="Normal 37 2 3 23" xfId="35415"/>
    <cellStyle name="Normal 37 2 3 24" xfId="37376"/>
    <cellStyle name="Normal 37 2 3 25" xfId="38908"/>
    <cellStyle name="Normal 37 2 3 26" xfId="40663"/>
    <cellStyle name="Normal 37 2 3 27" xfId="42415"/>
    <cellStyle name="Normal 37 2 3 28" xfId="44376"/>
    <cellStyle name="Normal 37 2 3 29" xfId="45033"/>
    <cellStyle name="Normal 37 2 3 3" xfId="1648"/>
    <cellStyle name="Normal 37 2 3 3 10" xfId="17884"/>
    <cellStyle name="Normal 37 2 3 3 11" xfId="19636"/>
    <cellStyle name="Normal 37 2 3 3 12" xfId="21389"/>
    <cellStyle name="Normal 37 2 3 3 13" xfId="23141"/>
    <cellStyle name="Normal 37 2 3 3 14" xfId="24893"/>
    <cellStyle name="Normal 37 2 3 3 15" xfId="26645"/>
    <cellStyle name="Normal 37 2 3 3 16" xfId="28397"/>
    <cellStyle name="Normal 37 2 3 3 17" xfId="30150"/>
    <cellStyle name="Normal 37 2 3 3 18" xfId="31902"/>
    <cellStyle name="Normal 37 2 3 3 19" xfId="33655"/>
    <cellStyle name="Normal 37 2 3 3 2" xfId="3866"/>
    <cellStyle name="Normal 37 2 3 3 20" xfId="36291"/>
    <cellStyle name="Normal 37 2 3 3 21" xfId="38031"/>
    <cellStyle name="Normal 37 2 3 3 22" xfId="39784"/>
    <cellStyle name="Normal 37 2 3 3 23" xfId="41539"/>
    <cellStyle name="Normal 37 2 3 3 24" xfId="43291"/>
    <cellStyle name="Normal 37 2 3 3 25" xfId="45909"/>
    <cellStyle name="Normal 37 2 3 3 26" xfId="47661"/>
    <cellStyle name="Normal 37 2 3 3 27" xfId="49413"/>
    <cellStyle name="Normal 37 2 3 3 28" xfId="51165"/>
    <cellStyle name="Normal 37 2 3 3 29" xfId="52917"/>
    <cellStyle name="Normal 37 2 3 3 3" xfId="5618"/>
    <cellStyle name="Normal 37 2 3 3 30" xfId="54669"/>
    <cellStyle name="Normal 37 2 3 3 31" xfId="56421"/>
    <cellStyle name="Normal 37 2 3 3 32" xfId="58174"/>
    <cellStyle name="Normal 37 2 3 3 33" xfId="59926"/>
    <cellStyle name="Normal 37 2 3 3 34" xfId="61678"/>
    <cellStyle name="Normal 37 2 3 3 4" xfId="7370"/>
    <cellStyle name="Normal 37 2 3 3 5" xfId="9122"/>
    <cellStyle name="Normal 37 2 3 3 6" xfId="10875"/>
    <cellStyle name="Normal 37 2 3 3 7" xfId="12627"/>
    <cellStyle name="Normal 37 2 3 3 8" xfId="14379"/>
    <cellStyle name="Normal 37 2 3 3 9" xfId="16131"/>
    <cellStyle name="Normal 37 2 3 30" xfId="46785"/>
    <cellStyle name="Normal 37 2 3 31" xfId="48537"/>
    <cellStyle name="Normal 37 2 3 32" xfId="50289"/>
    <cellStyle name="Normal 37 2 3 33" xfId="52041"/>
    <cellStyle name="Normal 37 2 3 34" xfId="53793"/>
    <cellStyle name="Normal 37 2 3 35" xfId="55545"/>
    <cellStyle name="Normal 37 2 3 36" xfId="57298"/>
    <cellStyle name="Normal 37 2 3 37" xfId="59050"/>
    <cellStyle name="Normal 37 2 3 38" xfId="60802"/>
    <cellStyle name="Normal 37 2 3 39" xfId="62763"/>
    <cellStyle name="Normal 37 2 3 4" xfId="2990"/>
    <cellStyle name="Normal 37 2 3 40" xfId="63629"/>
    <cellStyle name="Normal 37 2 3 5" xfId="4742"/>
    <cellStyle name="Normal 37 2 3 6" xfId="6494"/>
    <cellStyle name="Normal 37 2 3 7" xfId="8246"/>
    <cellStyle name="Normal 37 2 3 8" xfId="9999"/>
    <cellStyle name="Normal 37 2 3 9" xfId="11751"/>
    <cellStyle name="Normal 37 2 30" xfId="44371"/>
    <cellStyle name="Normal 37 2 31" xfId="44768"/>
    <cellStyle name="Normal 37 2 32" xfId="46520"/>
    <cellStyle name="Normal 37 2 33" xfId="48272"/>
    <cellStyle name="Normal 37 2 34" xfId="50024"/>
    <cellStyle name="Normal 37 2 35" xfId="51776"/>
    <cellStyle name="Normal 37 2 36" xfId="53528"/>
    <cellStyle name="Normal 37 2 37" xfId="55280"/>
    <cellStyle name="Normal 37 2 38" xfId="57033"/>
    <cellStyle name="Normal 37 2 39" xfId="58785"/>
    <cellStyle name="Normal 37 2 4" xfId="1649"/>
    <cellStyle name="Normal 37 2 4 10" xfId="15426"/>
    <cellStyle name="Normal 37 2 4 11" xfId="17179"/>
    <cellStyle name="Normal 37 2 4 12" xfId="18931"/>
    <cellStyle name="Normal 37 2 4 13" xfId="20684"/>
    <cellStyle name="Normal 37 2 4 14" xfId="22436"/>
    <cellStyle name="Normal 37 2 4 15" xfId="24188"/>
    <cellStyle name="Normal 37 2 4 16" xfId="25940"/>
    <cellStyle name="Normal 37 2 4 17" xfId="27692"/>
    <cellStyle name="Normal 37 2 4 18" xfId="29445"/>
    <cellStyle name="Normal 37 2 4 19" xfId="31197"/>
    <cellStyle name="Normal 37 2 4 2" xfId="1650"/>
    <cellStyle name="Normal 37 2 4 2 10" xfId="18055"/>
    <cellStyle name="Normal 37 2 4 2 11" xfId="19807"/>
    <cellStyle name="Normal 37 2 4 2 12" xfId="21560"/>
    <cellStyle name="Normal 37 2 4 2 13" xfId="23312"/>
    <cellStyle name="Normal 37 2 4 2 14" xfId="25064"/>
    <cellStyle name="Normal 37 2 4 2 15" xfId="26816"/>
    <cellStyle name="Normal 37 2 4 2 16" xfId="28568"/>
    <cellStyle name="Normal 37 2 4 2 17" xfId="30321"/>
    <cellStyle name="Normal 37 2 4 2 18" xfId="32073"/>
    <cellStyle name="Normal 37 2 4 2 19" xfId="33826"/>
    <cellStyle name="Normal 37 2 4 2 2" xfId="4037"/>
    <cellStyle name="Normal 37 2 4 2 20" xfId="36462"/>
    <cellStyle name="Normal 37 2 4 2 21" xfId="38202"/>
    <cellStyle name="Normal 37 2 4 2 22" xfId="39955"/>
    <cellStyle name="Normal 37 2 4 2 23" xfId="41710"/>
    <cellStyle name="Normal 37 2 4 2 24" xfId="43462"/>
    <cellStyle name="Normal 37 2 4 2 25" xfId="46080"/>
    <cellStyle name="Normal 37 2 4 2 26" xfId="47832"/>
    <cellStyle name="Normal 37 2 4 2 27" xfId="49584"/>
    <cellStyle name="Normal 37 2 4 2 28" xfId="51336"/>
    <cellStyle name="Normal 37 2 4 2 29" xfId="53088"/>
    <cellStyle name="Normal 37 2 4 2 3" xfId="5789"/>
    <cellStyle name="Normal 37 2 4 2 30" xfId="54840"/>
    <cellStyle name="Normal 37 2 4 2 31" xfId="56592"/>
    <cellStyle name="Normal 37 2 4 2 32" xfId="58345"/>
    <cellStyle name="Normal 37 2 4 2 33" xfId="60097"/>
    <cellStyle name="Normal 37 2 4 2 34" xfId="61849"/>
    <cellStyle name="Normal 37 2 4 2 4" xfId="7541"/>
    <cellStyle name="Normal 37 2 4 2 5" xfId="9293"/>
    <cellStyle name="Normal 37 2 4 2 6" xfId="11046"/>
    <cellStyle name="Normal 37 2 4 2 7" xfId="12798"/>
    <cellStyle name="Normal 37 2 4 2 8" xfId="14550"/>
    <cellStyle name="Normal 37 2 4 2 9" xfId="16302"/>
    <cellStyle name="Normal 37 2 4 20" xfId="32950"/>
    <cellStyle name="Normal 37 2 4 21" xfId="34757"/>
    <cellStyle name="Normal 37 2 4 22" xfId="35586"/>
    <cellStyle name="Normal 37 2 4 23" xfId="37378"/>
    <cellStyle name="Normal 37 2 4 24" xfId="39079"/>
    <cellStyle name="Normal 37 2 4 25" xfId="40834"/>
    <cellStyle name="Normal 37 2 4 26" xfId="42586"/>
    <cellStyle name="Normal 37 2 4 27" xfId="44378"/>
    <cellStyle name="Normal 37 2 4 28" xfId="45204"/>
    <cellStyle name="Normal 37 2 4 29" xfId="46956"/>
    <cellStyle name="Normal 37 2 4 3" xfId="3161"/>
    <cellStyle name="Normal 37 2 4 30" xfId="48708"/>
    <cellStyle name="Normal 37 2 4 31" xfId="50460"/>
    <cellStyle name="Normal 37 2 4 32" xfId="52212"/>
    <cellStyle name="Normal 37 2 4 33" xfId="53964"/>
    <cellStyle name="Normal 37 2 4 34" xfId="55716"/>
    <cellStyle name="Normal 37 2 4 35" xfId="57469"/>
    <cellStyle name="Normal 37 2 4 36" xfId="59221"/>
    <cellStyle name="Normal 37 2 4 37" xfId="60973"/>
    <cellStyle name="Normal 37 2 4 38" xfId="62765"/>
    <cellStyle name="Normal 37 2 4 39" xfId="63631"/>
    <cellStyle name="Normal 37 2 4 4" xfId="4913"/>
    <cellStyle name="Normal 37 2 4 5" xfId="6665"/>
    <cellStyle name="Normal 37 2 4 6" xfId="8417"/>
    <cellStyle name="Normal 37 2 4 7" xfId="10170"/>
    <cellStyle name="Normal 37 2 4 8" xfId="11922"/>
    <cellStyle name="Normal 37 2 4 9" xfId="13674"/>
    <cellStyle name="Normal 37 2 40" xfId="60537"/>
    <cellStyle name="Normal 37 2 41" xfId="62758"/>
    <cellStyle name="Normal 37 2 42" xfId="63624"/>
    <cellStyle name="Normal 37 2 5" xfId="1651"/>
    <cellStyle name="Normal 37 2 5 10" xfId="17619"/>
    <cellStyle name="Normal 37 2 5 11" xfId="19371"/>
    <cellStyle name="Normal 37 2 5 12" xfId="21124"/>
    <cellStyle name="Normal 37 2 5 13" xfId="22876"/>
    <cellStyle name="Normal 37 2 5 14" xfId="24628"/>
    <cellStyle name="Normal 37 2 5 15" xfId="26380"/>
    <cellStyle name="Normal 37 2 5 16" xfId="28132"/>
    <cellStyle name="Normal 37 2 5 17" xfId="29885"/>
    <cellStyle name="Normal 37 2 5 18" xfId="31637"/>
    <cellStyle name="Normal 37 2 5 19" xfId="33390"/>
    <cellStyle name="Normal 37 2 5 2" xfId="3601"/>
    <cellStyle name="Normal 37 2 5 20" xfId="36026"/>
    <cellStyle name="Normal 37 2 5 21" xfId="37766"/>
    <cellStyle name="Normal 37 2 5 22" xfId="39519"/>
    <cellStyle name="Normal 37 2 5 23" xfId="41274"/>
    <cellStyle name="Normal 37 2 5 24" xfId="43026"/>
    <cellStyle name="Normal 37 2 5 25" xfId="45644"/>
    <cellStyle name="Normal 37 2 5 26" xfId="47396"/>
    <cellStyle name="Normal 37 2 5 27" xfId="49148"/>
    <cellStyle name="Normal 37 2 5 28" xfId="50900"/>
    <cellStyle name="Normal 37 2 5 29" xfId="52652"/>
    <cellStyle name="Normal 37 2 5 3" xfId="5353"/>
    <cellStyle name="Normal 37 2 5 30" xfId="54404"/>
    <cellStyle name="Normal 37 2 5 31" xfId="56156"/>
    <cellStyle name="Normal 37 2 5 32" xfId="57909"/>
    <cellStyle name="Normal 37 2 5 33" xfId="59661"/>
    <cellStyle name="Normal 37 2 5 34" xfId="61413"/>
    <cellStyle name="Normal 37 2 5 4" xfId="7105"/>
    <cellStyle name="Normal 37 2 5 5" xfId="8857"/>
    <cellStyle name="Normal 37 2 5 6" xfId="10610"/>
    <cellStyle name="Normal 37 2 5 7" xfId="12362"/>
    <cellStyle name="Normal 37 2 5 8" xfId="14114"/>
    <cellStyle name="Normal 37 2 5 9" xfId="15866"/>
    <cellStyle name="Normal 37 2 6" xfId="2725"/>
    <cellStyle name="Normal 37 2 7" xfId="4477"/>
    <cellStyle name="Normal 37 2 8" xfId="6229"/>
    <cellStyle name="Normal 37 2 9" xfId="7981"/>
    <cellStyle name="Normal 37 20" xfId="25449"/>
    <cellStyle name="Normal 37 21" xfId="27201"/>
    <cellStyle name="Normal 37 22" xfId="28954"/>
    <cellStyle name="Normal 37 23" xfId="30706"/>
    <cellStyle name="Normal 37 24" xfId="32459"/>
    <cellStyle name="Normal 37 25" xfId="34749"/>
    <cellStyle name="Normal 37 26" xfId="35095"/>
    <cellStyle name="Normal 37 27" xfId="37370"/>
    <cellStyle name="Normal 37 28" xfId="38588"/>
    <cellStyle name="Normal 37 29" xfId="40343"/>
    <cellStyle name="Normal 37 3" xfId="1652"/>
    <cellStyle name="Normal 37 3 10" xfId="11539"/>
    <cellStyle name="Normal 37 3 11" xfId="13291"/>
    <cellStyle name="Normal 37 3 12" xfId="15043"/>
    <cellStyle name="Normal 37 3 13" xfId="16796"/>
    <cellStyle name="Normal 37 3 14" xfId="18548"/>
    <cellStyle name="Normal 37 3 15" xfId="20301"/>
    <cellStyle name="Normal 37 3 16" xfId="22053"/>
    <cellStyle name="Normal 37 3 17" xfId="23805"/>
    <cellStyle name="Normal 37 3 18" xfId="25557"/>
    <cellStyle name="Normal 37 3 19" xfId="27309"/>
    <cellStyle name="Normal 37 3 2" xfId="1653"/>
    <cellStyle name="Normal 37 3 2 10" xfId="13504"/>
    <cellStyle name="Normal 37 3 2 11" xfId="15256"/>
    <cellStyle name="Normal 37 3 2 12" xfId="17009"/>
    <cellStyle name="Normal 37 3 2 13" xfId="18761"/>
    <cellStyle name="Normal 37 3 2 14" xfId="20514"/>
    <cellStyle name="Normal 37 3 2 15" xfId="22266"/>
    <cellStyle name="Normal 37 3 2 16" xfId="24018"/>
    <cellStyle name="Normal 37 3 2 17" xfId="25770"/>
    <cellStyle name="Normal 37 3 2 18" xfId="27522"/>
    <cellStyle name="Normal 37 3 2 19" xfId="29275"/>
    <cellStyle name="Normal 37 3 2 2" xfId="1654"/>
    <cellStyle name="Normal 37 3 2 2 10" xfId="15692"/>
    <cellStyle name="Normal 37 3 2 2 11" xfId="17445"/>
    <cellStyle name="Normal 37 3 2 2 12" xfId="19197"/>
    <cellStyle name="Normal 37 3 2 2 13" xfId="20950"/>
    <cellStyle name="Normal 37 3 2 2 14" xfId="22702"/>
    <cellStyle name="Normal 37 3 2 2 15" xfId="24454"/>
    <cellStyle name="Normal 37 3 2 2 16" xfId="26206"/>
    <cellStyle name="Normal 37 3 2 2 17" xfId="27958"/>
    <cellStyle name="Normal 37 3 2 2 18" xfId="29711"/>
    <cellStyle name="Normal 37 3 2 2 19" xfId="31463"/>
    <cellStyle name="Normal 37 3 2 2 2" xfId="1655"/>
    <cellStyle name="Normal 37 3 2 2 2 10" xfId="18321"/>
    <cellStyle name="Normal 37 3 2 2 2 11" xfId="20073"/>
    <cellStyle name="Normal 37 3 2 2 2 12" xfId="21826"/>
    <cellStyle name="Normal 37 3 2 2 2 13" xfId="23578"/>
    <cellStyle name="Normal 37 3 2 2 2 14" xfId="25330"/>
    <cellStyle name="Normal 37 3 2 2 2 15" xfId="27082"/>
    <cellStyle name="Normal 37 3 2 2 2 16" xfId="28834"/>
    <cellStyle name="Normal 37 3 2 2 2 17" xfId="30587"/>
    <cellStyle name="Normal 37 3 2 2 2 18" xfId="32339"/>
    <cellStyle name="Normal 37 3 2 2 2 19" xfId="34092"/>
    <cellStyle name="Normal 37 3 2 2 2 2" xfId="4303"/>
    <cellStyle name="Normal 37 3 2 2 2 20" xfId="36728"/>
    <cellStyle name="Normal 37 3 2 2 2 21" xfId="38468"/>
    <cellStyle name="Normal 37 3 2 2 2 22" xfId="40221"/>
    <cellStyle name="Normal 37 3 2 2 2 23" xfId="41976"/>
    <cellStyle name="Normal 37 3 2 2 2 24" xfId="43728"/>
    <cellStyle name="Normal 37 3 2 2 2 25" xfId="46346"/>
    <cellStyle name="Normal 37 3 2 2 2 26" xfId="48098"/>
    <cellStyle name="Normal 37 3 2 2 2 27" xfId="49850"/>
    <cellStyle name="Normal 37 3 2 2 2 28" xfId="51602"/>
    <cellStyle name="Normal 37 3 2 2 2 29" xfId="53354"/>
    <cellStyle name="Normal 37 3 2 2 2 3" xfId="6055"/>
    <cellStyle name="Normal 37 3 2 2 2 30" xfId="55106"/>
    <cellStyle name="Normal 37 3 2 2 2 31" xfId="56858"/>
    <cellStyle name="Normal 37 3 2 2 2 32" xfId="58611"/>
    <cellStyle name="Normal 37 3 2 2 2 33" xfId="60363"/>
    <cellStyle name="Normal 37 3 2 2 2 34" xfId="62115"/>
    <cellStyle name="Normal 37 3 2 2 2 4" xfId="7807"/>
    <cellStyle name="Normal 37 3 2 2 2 5" xfId="9559"/>
    <cellStyle name="Normal 37 3 2 2 2 6" xfId="11312"/>
    <cellStyle name="Normal 37 3 2 2 2 7" xfId="13064"/>
    <cellStyle name="Normal 37 3 2 2 2 8" xfId="14816"/>
    <cellStyle name="Normal 37 3 2 2 2 9" xfId="16568"/>
    <cellStyle name="Normal 37 3 2 2 20" xfId="33216"/>
    <cellStyle name="Normal 37 3 2 2 21" xfId="34760"/>
    <cellStyle name="Normal 37 3 2 2 22" xfId="35852"/>
    <cellStyle name="Normal 37 3 2 2 23" xfId="37381"/>
    <cellStyle name="Normal 37 3 2 2 24" xfId="39345"/>
    <cellStyle name="Normal 37 3 2 2 25" xfId="41100"/>
    <cellStyle name="Normal 37 3 2 2 26" xfId="42852"/>
    <cellStyle name="Normal 37 3 2 2 27" xfId="44381"/>
    <cellStyle name="Normal 37 3 2 2 28" xfId="45470"/>
    <cellStyle name="Normal 37 3 2 2 29" xfId="47222"/>
    <cellStyle name="Normal 37 3 2 2 3" xfId="3427"/>
    <cellStyle name="Normal 37 3 2 2 30" xfId="48974"/>
    <cellStyle name="Normal 37 3 2 2 31" xfId="50726"/>
    <cellStyle name="Normal 37 3 2 2 32" xfId="52478"/>
    <cellStyle name="Normal 37 3 2 2 33" xfId="54230"/>
    <cellStyle name="Normal 37 3 2 2 34" xfId="55982"/>
    <cellStyle name="Normal 37 3 2 2 35" xfId="57735"/>
    <cellStyle name="Normal 37 3 2 2 36" xfId="59487"/>
    <cellStyle name="Normal 37 3 2 2 37" xfId="61239"/>
    <cellStyle name="Normal 37 3 2 2 38" xfId="62768"/>
    <cellStyle name="Normal 37 3 2 2 39" xfId="63634"/>
    <cellStyle name="Normal 37 3 2 2 4" xfId="5179"/>
    <cellStyle name="Normal 37 3 2 2 5" xfId="6931"/>
    <cellStyle name="Normal 37 3 2 2 6" xfId="8683"/>
    <cellStyle name="Normal 37 3 2 2 7" xfId="10436"/>
    <cellStyle name="Normal 37 3 2 2 8" xfId="12188"/>
    <cellStyle name="Normal 37 3 2 2 9" xfId="13940"/>
    <cellStyle name="Normal 37 3 2 20" xfId="31027"/>
    <cellStyle name="Normal 37 3 2 21" xfId="32780"/>
    <cellStyle name="Normal 37 3 2 22" xfId="34759"/>
    <cellStyle name="Normal 37 3 2 23" xfId="35416"/>
    <cellStyle name="Normal 37 3 2 24" xfId="37380"/>
    <cellStyle name="Normal 37 3 2 25" xfId="38909"/>
    <cellStyle name="Normal 37 3 2 26" xfId="40664"/>
    <cellStyle name="Normal 37 3 2 27" xfId="42416"/>
    <cellStyle name="Normal 37 3 2 28" xfId="44380"/>
    <cellStyle name="Normal 37 3 2 29" xfId="45034"/>
    <cellStyle name="Normal 37 3 2 3" xfId="1656"/>
    <cellStyle name="Normal 37 3 2 3 10" xfId="17885"/>
    <cellStyle name="Normal 37 3 2 3 11" xfId="19637"/>
    <cellStyle name="Normal 37 3 2 3 12" xfId="21390"/>
    <cellStyle name="Normal 37 3 2 3 13" xfId="23142"/>
    <cellStyle name="Normal 37 3 2 3 14" xfId="24894"/>
    <cellStyle name="Normal 37 3 2 3 15" xfId="26646"/>
    <cellStyle name="Normal 37 3 2 3 16" xfId="28398"/>
    <cellStyle name="Normal 37 3 2 3 17" xfId="30151"/>
    <cellStyle name="Normal 37 3 2 3 18" xfId="31903"/>
    <cellStyle name="Normal 37 3 2 3 19" xfId="33656"/>
    <cellStyle name="Normal 37 3 2 3 2" xfId="3867"/>
    <cellStyle name="Normal 37 3 2 3 20" xfId="36292"/>
    <cellStyle name="Normal 37 3 2 3 21" xfId="38032"/>
    <cellStyle name="Normal 37 3 2 3 22" xfId="39785"/>
    <cellStyle name="Normal 37 3 2 3 23" xfId="41540"/>
    <cellStyle name="Normal 37 3 2 3 24" xfId="43292"/>
    <cellStyle name="Normal 37 3 2 3 25" xfId="45910"/>
    <cellStyle name="Normal 37 3 2 3 26" xfId="47662"/>
    <cellStyle name="Normal 37 3 2 3 27" xfId="49414"/>
    <cellStyle name="Normal 37 3 2 3 28" xfId="51166"/>
    <cellStyle name="Normal 37 3 2 3 29" xfId="52918"/>
    <cellStyle name="Normal 37 3 2 3 3" xfId="5619"/>
    <cellStyle name="Normal 37 3 2 3 30" xfId="54670"/>
    <cellStyle name="Normal 37 3 2 3 31" xfId="56422"/>
    <cellStyle name="Normal 37 3 2 3 32" xfId="58175"/>
    <cellStyle name="Normal 37 3 2 3 33" xfId="59927"/>
    <cellStyle name="Normal 37 3 2 3 34" xfId="61679"/>
    <cellStyle name="Normal 37 3 2 3 4" xfId="7371"/>
    <cellStyle name="Normal 37 3 2 3 5" xfId="9123"/>
    <cellStyle name="Normal 37 3 2 3 6" xfId="10876"/>
    <cellStyle name="Normal 37 3 2 3 7" xfId="12628"/>
    <cellStyle name="Normal 37 3 2 3 8" xfId="14380"/>
    <cellStyle name="Normal 37 3 2 3 9" xfId="16132"/>
    <cellStyle name="Normal 37 3 2 30" xfId="46786"/>
    <cellStyle name="Normal 37 3 2 31" xfId="48538"/>
    <cellStyle name="Normal 37 3 2 32" xfId="50290"/>
    <cellStyle name="Normal 37 3 2 33" xfId="52042"/>
    <cellStyle name="Normal 37 3 2 34" xfId="53794"/>
    <cellStyle name="Normal 37 3 2 35" xfId="55546"/>
    <cellStyle name="Normal 37 3 2 36" xfId="57299"/>
    <cellStyle name="Normal 37 3 2 37" xfId="59051"/>
    <cellStyle name="Normal 37 3 2 38" xfId="60803"/>
    <cellStyle name="Normal 37 3 2 39" xfId="62767"/>
    <cellStyle name="Normal 37 3 2 4" xfId="2991"/>
    <cellStyle name="Normal 37 3 2 40" xfId="63633"/>
    <cellStyle name="Normal 37 3 2 5" xfId="4743"/>
    <cellStyle name="Normal 37 3 2 6" xfId="6495"/>
    <cellStyle name="Normal 37 3 2 7" xfId="8247"/>
    <cellStyle name="Normal 37 3 2 8" xfId="10000"/>
    <cellStyle name="Normal 37 3 2 9" xfId="11752"/>
    <cellStyle name="Normal 37 3 20" xfId="29062"/>
    <cellStyle name="Normal 37 3 21" xfId="30814"/>
    <cellStyle name="Normal 37 3 22" xfId="32567"/>
    <cellStyle name="Normal 37 3 23" xfId="34758"/>
    <cellStyle name="Normal 37 3 24" xfId="35203"/>
    <cellStyle name="Normal 37 3 25" xfId="37379"/>
    <cellStyle name="Normal 37 3 26" xfId="38696"/>
    <cellStyle name="Normal 37 3 27" xfId="40451"/>
    <cellStyle name="Normal 37 3 28" xfId="42203"/>
    <cellStyle name="Normal 37 3 29" xfId="44379"/>
    <cellStyle name="Normal 37 3 3" xfId="1657"/>
    <cellStyle name="Normal 37 3 3 10" xfId="15479"/>
    <cellStyle name="Normal 37 3 3 11" xfId="17232"/>
    <cellStyle name="Normal 37 3 3 12" xfId="18984"/>
    <cellStyle name="Normal 37 3 3 13" xfId="20737"/>
    <cellStyle name="Normal 37 3 3 14" xfId="22489"/>
    <cellStyle name="Normal 37 3 3 15" xfId="24241"/>
    <cellStyle name="Normal 37 3 3 16" xfId="25993"/>
    <cellStyle name="Normal 37 3 3 17" xfId="27745"/>
    <cellStyle name="Normal 37 3 3 18" xfId="29498"/>
    <cellStyle name="Normal 37 3 3 19" xfId="31250"/>
    <cellStyle name="Normal 37 3 3 2" xfId="1658"/>
    <cellStyle name="Normal 37 3 3 2 10" xfId="18108"/>
    <cellStyle name="Normal 37 3 3 2 11" xfId="19860"/>
    <cellStyle name="Normal 37 3 3 2 12" xfId="21613"/>
    <cellStyle name="Normal 37 3 3 2 13" xfId="23365"/>
    <cellStyle name="Normal 37 3 3 2 14" xfId="25117"/>
    <cellStyle name="Normal 37 3 3 2 15" xfId="26869"/>
    <cellStyle name="Normal 37 3 3 2 16" xfId="28621"/>
    <cellStyle name="Normal 37 3 3 2 17" xfId="30374"/>
    <cellStyle name="Normal 37 3 3 2 18" xfId="32126"/>
    <cellStyle name="Normal 37 3 3 2 19" xfId="33879"/>
    <cellStyle name="Normal 37 3 3 2 2" xfId="4090"/>
    <cellStyle name="Normal 37 3 3 2 20" xfId="36515"/>
    <cellStyle name="Normal 37 3 3 2 21" xfId="38255"/>
    <cellStyle name="Normal 37 3 3 2 22" xfId="40008"/>
    <cellStyle name="Normal 37 3 3 2 23" xfId="41763"/>
    <cellStyle name="Normal 37 3 3 2 24" xfId="43515"/>
    <cellStyle name="Normal 37 3 3 2 25" xfId="46133"/>
    <cellStyle name="Normal 37 3 3 2 26" xfId="47885"/>
    <cellStyle name="Normal 37 3 3 2 27" xfId="49637"/>
    <cellStyle name="Normal 37 3 3 2 28" xfId="51389"/>
    <cellStyle name="Normal 37 3 3 2 29" xfId="53141"/>
    <cellStyle name="Normal 37 3 3 2 3" xfId="5842"/>
    <cellStyle name="Normal 37 3 3 2 30" xfId="54893"/>
    <cellStyle name="Normal 37 3 3 2 31" xfId="56645"/>
    <cellStyle name="Normal 37 3 3 2 32" xfId="58398"/>
    <cellStyle name="Normal 37 3 3 2 33" xfId="60150"/>
    <cellStyle name="Normal 37 3 3 2 34" xfId="61902"/>
    <cellStyle name="Normal 37 3 3 2 4" xfId="7594"/>
    <cellStyle name="Normal 37 3 3 2 5" xfId="9346"/>
    <cellStyle name="Normal 37 3 3 2 6" xfId="11099"/>
    <cellStyle name="Normal 37 3 3 2 7" xfId="12851"/>
    <cellStyle name="Normal 37 3 3 2 8" xfId="14603"/>
    <cellStyle name="Normal 37 3 3 2 9" xfId="16355"/>
    <cellStyle name="Normal 37 3 3 20" xfId="33003"/>
    <cellStyle name="Normal 37 3 3 21" xfId="34761"/>
    <cellStyle name="Normal 37 3 3 22" xfId="35639"/>
    <cellStyle name="Normal 37 3 3 23" xfId="37382"/>
    <cellStyle name="Normal 37 3 3 24" xfId="39132"/>
    <cellStyle name="Normal 37 3 3 25" xfId="40887"/>
    <cellStyle name="Normal 37 3 3 26" xfId="42639"/>
    <cellStyle name="Normal 37 3 3 27" xfId="44382"/>
    <cellStyle name="Normal 37 3 3 28" xfId="45257"/>
    <cellStyle name="Normal 37 3 3 29" xfId="47009"/>
    <cellStyle name="Normal 37 3 3 3" xfId="3214"/>
    <cellStyle name="Normal 37 3 3 30" xfId="48761"/>
    <cellStyle name="Normal 37 3 3 31" xfId="50513"/>
    <cellStyle name="Normal 37 3 3 32" xfId="52265"/>
    <cellStyle name="Normal 37 3 3 33" xfId="54017"/>
    <cellStyle name="Normal 37 3 3 34" xfId="55769"/>
    <cellStyle name="Normal 37 3 3 35" xfId="57522"/>
    <cellStyle name="Normal 37 3 3 36" xfId="59274"/>
    <cellStyle name="Normal 37 3 3 37" xfId="61026"/>
    <cellStyle name="Normal 37 3 3 38" xfId="62769"/>
    <cellStyle name="Normal 37 3 3 39" xfId="63635"/>
    <cellStyle name="Normal 37 3 3 4" xfId="4966"/>
    <cellStyle name="Normal 37 3 3 5" xfId="6718"/>
    <cellStyle name="Normal 37 3 3 6" xfId="8470"/>
    <cellStyle name="Normal 37 3 3 7" xfId="10223"/>
    <cellStyle name="Normal 37 3 3 8" xfId="11975"/>
    <cellStyle name="Normal 37 3 3 9" xfId="13727"/>
    <cellStyle name="Normal 37 3 30" xfId="44821"/>
    <cellStyle name="Normal 37 3 31" xfId="46573"/>
    <cellStyle name="Normal 37 3 32" xfId="48325"/>
    <cellStyle name="Normal 37 3 33" xfId="50077"/>
    <cellStyle name="Normal 37 3 34" xfId="51829"/>
    <cellStyle name="Normal 37 3 35" xfId="53581"/>
    <cellStyle name="Normal 37 3 36" xfId="55333"/>
    <cellStyle name="Normal 37 3 37" xfId="57086"/>
    <cellStyle name="Normal 37 3 38" xfId="58838"/>
    <cellStyle name="Normal 37 3 39" xfId="60590"/>
    <cellStyle name="Normal 37 3 4" xfId="1659"/>
    <cellStyle name="Normal 37 3 4 10" xfId="17672"/>
    <cellStyle name="Normal 37 3 4 11" xfId="19424"/>
    <cellStyle name="Normal 37 3 4 12" xfId="21177"/>
    <cellStyle name="Normal 37 3 4 13" xfId="22929"/>
    <cellStyle name="Normal 37 3 4 14" xfId="24681"/>
    <cellStyle name="Normal 37 3 4 15" xfId="26433"/>
    <cellStyle name="Normal 37 3 4 16" xfId="28185"/>
    <cellStyle name="Normal 37 3 4 17" xfId="29938"/>
    <cellStyle name="Normal 37 3 4 18" xfId="31690"/>
    <cellStyle name="Normal 37 3 4 19" xfId="33443"/>
    <cellStyle name="Normal 37 3 4 2" xfId="3654"/>
    <cellStyle name="Normal 37 3 4 20" xfId="36079"/>
    <cellStyle name="Normal 37 3 4 21" xfId="37819"/>
    <cellStyle name="Normal 37 3 4 22" xfId="39572"/>
    <cellStyle name="Normal 37 3 4 23" xfId="41327"/>
    <cellStyle name="Normal 37 3 4 24" xfId="43079"/>
    <cellStyle name="Normal 37 3 4 25" xfId="45697"/>
    <cellStyle name="Normal 37 3 4 26" xfId="47449"/>
    <cellStyle name="Normal 37 3 4 27" xfId="49201"/>
    <cellStyle name="Normal 37 3 4 28" xfId="50953"/>
    <cellStyle name="Normal 37 3 4 29" xfId="52705"/>
    <cellStyle name="Normal 37 3 4 3" xfId="5406"/>
    <cellStyle name="Normal 37 3 4 30" xfId="54457"/>
    <cellStyle name="Normal 37 3 4 31" xfId="56209"/>
    <cellStyle name="Normal 37 3 4 32" xfId="57962"/>
    <cellStyle name="Normal 37 3 4 33" xfId="59714"/>
    <cellStyle name="Normal 37 3 4 34" xfId="61466"/>
    <cellStyle name="Normal 37 3 4 4" xfId="7158"/>
    <cellStyle name="Normal 37 3 4 5" xfId="8910"/>
    <cellStyle name="Normal 37 3 4 6" xfId="10663"/>
    <cellStyle name="Normal 37 3 4 7" xfId="12415"/>
    <cellStyle name="Normal 37 3 4 8" xfId="14167"/>
    <cellStyle name="Normal 37 3 4 9" xfId="15919"/>
    <cellStyle name="Normal 37 3 40" xfId="62766"/>
    <cellStyle name="Normal 37 3 41" xfId="63632"/>
    <cellStyle name="Normal 37 3 5" xfId="2778"/>
    <cellStyle name="Normal 37 3 6" xfId="4530"/>
    <cellStyle name="Normal 37 3 7" xfId="6282"/>
    <cellStyle name="Normal 37 3 8" xfId="8034"/>
    <cellStyle name="Normal 37 3 9" xfId="9787"/>
    <cellStyle name="Normal 37 30" xfId="42095"/>
    <cellStyle name="Normal 37 31" xfId="44370"/>
    <cellStyle name="Normal 37 32" xfId="44713"/>
    <cellStyle name="Normal 37 33" xfId="46465"/>
    <cellStyle name="Normal 37 34" xfId="48217"/>
    <cellStyle name="Normal 37 35" xfId="49969"/>
    <cellStyle name="Normal 37 36" xfId="51721"/>
    <cellStyle name="Normal 37 37" xfId="53473"/>
    <cellStyle name="Normal 37 38" xfId="55225"/>
    <cellStyle name="Normal 37 39" xfId="56978"/>
    <cellStyle name="Normal 37 4" xfId="1660"/>
    <cellStyle name="Normal 37 4 10" xfId="13505"/>
    <cellStyle name="Normal 37 4 11" xfId="15257"/>
    <cellStyle name="Normal 37 4 12" xfId="17010"/>
    <cellStyle name="Normal 37 4 13" xfId="18762"/>
    <cellStyle name="Normal 37 4 14" xfId="20515"/>
    <cellStyle name="Normal 37 4 15" xfId="22267"/>
    <cellStyle name="Normal 37 4 16" xfId="24019"/>
    <cellStyle name="Normal 37 4 17" xfId="25771"/>
    <cellStyle name="Normal 37 4 18" xfId="27523"/>
    <cellStyle name="Normal 37 4 19" xfId="29276"/>
    <cellStyle name="Normal 37 4 2" xfId="1661"/>
    <cellStyle name="Normal 37 4 2 10" xfId="15693"/>
    <cellStyle name="Normal 37 4 2 11" xfId="17446"/>
    <cellStyle name="Normal 37 4 2 12" xfId="19198"/>
    <cellStyle name="Normal 37 4 2 13" xfId="20951"/>
    <cellStyle name="Normal 37 4 2 14" xfId="22703"/>
    <cellStyle name="Normal 37 4 2 15" xfId="24455"/>
    <cellStyle name="Normal 37 4 2 16" xfId="26207"/>
    <cellStyle name="Normal 37 4 2 17" xfId="27959"/>
    <cellStyle name="Normal 37 4 2 18" xfId="29712"/>
    <cellStyle name="Normal 37 4 2 19" xfId="31464"/>
    <cellStyle name="Normal 37 4 2 2" xfId="1662"/>
    <cellStyle name="Normal 37 4 2 2 10" xfId="18322"/>
    <cellStyle name="Normal 37 4 2 2 11" xfId="20074"/>
    <cellStyle name="Normal 37 4 2 2 12" xfId="21827"/>
    <cellStyle name="Normal 37 4 2 2 13" xfId="23579"/>
    <cellStyle name="Normal 37 4 2 2 14" xfId="25331"/>
    <cellStyle name="Normal 37 4 2 2 15" xfId="27083"/>
    <cellStyle name="Normal 37 4 2 2 16" xfId="28835"/>
    <cellStyle name="Normal 37 4 2 2 17" xfId="30588"/>
    <cellStyle name="Normal 37 4 2 2 18" xfId="32340"/>
    <cellStyle name="Normal 37 4 2 2 19" xfId="34093"/>
    <cellStyle name="Normal 37 4 2 2 2" xfId="4304"/>
    <cellStyle name="Normal 37 4 2 2 20" xfId="36729"/>
    <cellStyle name="Normal 37 4 2 2 21" xfId="38469"/>
    <cellStyle name="Normal 37 4 2 2 22" xfId="40222"/>
    <cellStyle name="Normal 37 4 2 2 23" xfId="41977"/>
    <cellStyle name="Normal 37 4 2 2 24" xfId="43729"/>
    <cellStyle name="Normal 37 4 2 2 25" xfId="46347"/>
    <cellStyle name="Normal 37 4 2 2 26" xfId="48099"/>
    <cellStyle name="Normal 37 4 2 2 27" xfId="49851"/>
    <cellStyle name="Normal 37 4 2 2 28" xfId="51603"/>
    <cellStyle name="Normal 37 4 2 2 29" xfId="53355"/>
    <cellStyle name="Normal 37 4 2 2 3" xfId="6056"/>
    <cellStyle name="Normal 37 4 2 2 30" xfId="55107"/>
    <cellStyle name="Normal 37 4 2 2 31" xfId="56859"/>
    <cellStyle name="Normal 37 4 2 2 32" xfId="58612"/>
    <cellStyle name="Normal 37 4 2 2 33" xfId="60364"/>
    <cellStyle name="Normal 37 4 2 2 34" xfId="62116"/>
    <cellStyle name="Normal 37 4 2 2 4" xfId="7808"/>
    <cellStyle name="Normal 37 4 2 2 5" xfId="9560"/>
    <cellStyle name="Normal 37 4 2 2 6" xfId="11313"/>
    <cellStyle name="Normal 37 4 2 2 7" xfId="13065"/>
    <cellStyle name="Normal 37 4 2 2 8" xfId="14817"/>
    <cellStyle name="Normal 37 4 2 2 9" xfId="16569"/>
    <cellStyle name="Normal 37 4 2 20" xfId="33217"/>
    <cellStyle name="Normal 37 4 2 21" xfId="34763"/>
    <cellStyle name="Normal 37 4 2 22" xfId="35853"/>
    <cellStyle name="Normal 37 4 2 23" xfId="37384"/>
    <cellStyle name="Normal 37 4 2 24" xfId="39346"/>
    <cellStyle name="Normal 37 4 2 25" xfId="41101"/>
    <cellStyle name="Normal 37 4 2 26" xfId="42853"/>
    <cellStyle name="Normal 37 4 2 27" xfId="44384"/>
    <cellStyle name="Normal 37 4 2 28" xfId="45471"/>
    <cellStyle name="Normal 37 4 2 29" xfId="47223"/>
    <cellStyle name="Normal 37 4 2 3" xfId="3428"/>
    <cellStyle name="Normal 37 4 2 30" xfId="48975"/>
    <cellStyle name="Normal 37 4 2 31" xfId="50727"/>
    <cellStyle name="Normal 37 4 2 32" xfId="52479"/>
    <cellStyle name="Normal 37 4 2 33" xfId="54231"/>
    <cellStyle name="Normal 37 4 2 34" xfId="55983"/>
    <cellStyle name="Normal 37 4 2 35" xfId="57736"/>
    <cellStyle name="Normal 37 4 2 36" xfId="59488"/>
    <cellStyle name="Normal 37 4 2 37" xfId="61240"/>
    <cellStyle name="Normal 37 4 2 38" xfId="62771"/>
    <cellStyle name="Normal 37 4 2 39" xfId="63637"/>
    <cellStyle name="Normal 37 4 2 4" xfId="5180"/>
    <cellStyle name="Normal 37 4 2 5" xfId="6932"/>
    <cellStyle name="Normal 37 4 2 6" xfId="8684"/>
    <cellStyle name="Normal 37 4 2 7" xfId="10437"/>
    <cellStyle name="Normal 37 4 2 8" xfId="12189"/>
    <cellStyle name="Normal 37 4 2 9" xfId="13941"/>
    <cellStyle name="Normal 37 4 20" xfId="31028"/>
    <cellStyle name="Normal 37 4 21" xfId="32781"/>
    <cellStyle name="Normal 37 4 22" xfId="34762"/>
    <cellStyle name="Normal 37 4 23" xfId="35417"/>
    <cellStyle name="Normal 37 4 24" xfId="37383"/>
    <cellStyle name="Normal 37 4 25" xfId="38910"/>
    <cellStyle name="Normal 37 4 26" xfId="40665"/>
    <cellStyle name="Normal 37 4 27" xfId="42417"/>
    <cellStyle name="Normal 37 4 28" xfId="44383"/>
    <cellStyle name="Normal 37 4 29" xfId="45035"/>
    <cellStyle name="Normal 37 4 3" xfId="1663"/>
    <cellStyle name="Normal 37 4 3 10" xfId="17886"/>
    <cellStyle name="Normal 37 4 3 11" xfId="19638"/>
    <cellStyle name="Normal 37 4 3 12" xfId="21391"/>
    <cellStyle name="Normal 37 4 3 13" xfId="23143"/>
    <cellStyle name="Normal 37 4 3 14" xfId="24895"/>
    <cellStyle name="Normal 37 4 3 15" xfId="26647"/>
    <cellStyle name="Normal 37 4 3 16" xfId="28399"/>
    <cellStyle name="Normal 37 4 3 17" xfId="30152"/>
    <cellStyle name="Normal 37 4 3 18" xfId="31904"/>
    <cellStyle name="Normal 37 4 3 19" xfId="33657"/>
    <cellStyle name="Normal 37 4 3 2" xfId="3868"/>
    <cellStyle name="Normal 37 4 3 20" xfId="36293"/>
    <cellStyle name="Normal 37 4 3 21" xfId="38033"/>
    <cellStyle name="Normal 37 4 3 22" xfId="39786"/>
    <cellStyle name="Normal 37 4 3 23" xfId="41541"/>
    <cellStyle name="Normal 37 4 3 24" xfId="43293"/>
    <cellStyle name="Normal 37 4 3 25" xfId="45911"/>
    <cellStyle name="Normal 37 4 3 26" xfId="47663"/>
    <cellStyle name="Normal 37 4 3 27" xfId="49415"/>
    <cellStyle name="Normal 37 4 3 28" xfId="51167"/>
    <cellStyle name="Normal 37 4 3 29" xfId="52919"/>
    <cellStyle name="Normal 37 4 3 3" xfId="5620"/>
    <cellStyle name="Normal 37 4 3 30" xfId="54671"/>
    <cellStyle name="Normal 37 4 3 31" xfId="56423"/>
    <cellStyle name="Normal 37 4 3 32" xfId="58176"/>
    <cellStyle name="Normal 37 4 3 33" xfId="59928"/>
    <cellStyle name="Normal 37 4 3 34" xfId="61680"/>
    <cellStyle name="Normal 37 4 3 4" xfId="7372"/>
    <cellStyle name="Normal 37 4 3 5" xfId="9124"/>
    <cellStyle name="Normal 37 4 3 6" xfId="10877"/>
    <cellStyle name="Normal 37 4 3 7" xfId="12629"/>
    <cellStyle name="Normal 37 4 3 8" xfId="14381"/>
    <cellStyle name="Normal 37 4 3 9" xfId="16133"/>
    <cellStyle name="Normal 37 4 30" xfId="46787"/>
    <cellStyle name="Normal 37 4 31" xfId="48539"/>
    <cellStyle name="Normal 37 4 32" xfId="50291"/>
    <cellStyle name="Normal 37 4 33" xfId="52043"/>
    <cellStyle name="Normal 37 4 34" xfId="53795"/>
    <cellStyle name="Normal 37 4 35" xfId="55547"/>
    <cellStyle name="Normal 37 4 36" xfId="57300"/>
    <cellStyle name="Normal 37 4 37" xfId="59052"/>
    <cellStyle name="Normal 37 4 38" xfId="60804"/>
    <cellStyle name="Normal 37 4 39" xfId="62770"/>
    <cellStyle name="Normal 37 4 4" xfId="2992"/>
    <cellStyle name="Normal 37 4 40" xfId="63636"/>
    <cellStyle name="Normal 37 4 5" xfId="4744"/>
    <cellStyle name="Normal 37 4 6" xfId="6496"/>
    <cellStyle name="Normal 37 4 7" xfId="8248"/>
    <cellStyle name="Normal 37 4 8" xfId="10001"/>
    <cellStyle name="Normal 37 4 9" xfId="11753"/>
    <cellStyle name="Normal 37 40" xfId="58730"/>
    <cellStyle name="Normal 37 41" xfId="60482"/>
    <cellStyle name="Normal 37 42" xfId="62757"/>
    <cellStyle name="Normal 37 43" xfId="63623"/>
    <cellStyle name="Normal 37 5" xfId="1664"/>
    <cellStyle name="Normal 37 5 10" xfId="15371"/>
    <cellStyle name="Normal 37 5 11" xfId="17124"/>
    <cellStyle name="Normal 37 5 12" xfId="18876"/>
    <cellStyle name="Normal 37 5 13" xfId="20629"/>
    <cellStyle name="Normal 37 5 14" xfId="22381"/>
    <cellStyle name="Normal 37 5 15" xfId="24133"/>
    <cellStyle name="Normal 37 5 16" xfId="25885"/>
    <cellStyle name="Normal 37 5 17" xfId="27637"/>
    <cellStyle name="Normal 37 5 18" xfId="29390"/>
    <cellStyle name="Normal 37 5 19" xfId="31142"/>
    <cellStyle name="Normal 37 5 2" xfId="1665"/>
    <cellStyle name="Normal 37 5 2 10" xfId="18000"/>
    <cellStyle name="Normal 37 5 2 11" xfId="19752"/>
    <cellStyle name="Normal 37 5 2 12" xfId="21505"/>
    <cellStyle name="Normal 37 5 2 13" xfId="23257"/>
    <cellStyle name="Normal 37 5 2 14" xfId="25009"/>
    <cellStyle name="Normal 37 5 2 15" xfId="26761"/>
    <cellStyle name="Normal 37 5 2 16" xfId="28513"/>
    <cellStyle name="Normal 37 5 2 17" xfId="30266"/>
    <cellStyle name="Normal 37 5 2 18" xfId="32018"/>
    <cellStyle name="Normal 37 5 2 19" xfId="33771"/>
    <cellStyle name="Normal 37 5 2 2" xfId="3982"/>
    <cellStyle name="Normal 37 5 2 20" xfId="36407"/>
    <cellStyle name="Normal 37 5 2 21" xfId="38147"/>
    <cellStyle name="Normal 37 5 2 22" xfId="39900"/>
    <cellStyle name="Normal 37 5 2 23" xfId="41655"/>
    <cellStyle name="Normal 37 5 2 24" xfId="43407"/>
    <cellStyle name="Normal 37 5 2 25" xfId="46025"/>
    <cellStyle name="Normal 37 5 2 26" xfId="47777"/>
    <cellStyle name="Normal 37 5 2 27" xfId="49529"/>
    <cellStyle name="Normal 37 5 2 28" xfId="51281"/>
    <cellStyle name="Normal 37 5 2 29" xfId="53033"/>
    <cellStyle name="Normal 37 5 2 3" xfId="5734"/>
    <cellStyle name="Normal 37 5 2 30" xfId="54785"/>
    <cellStyle name="Normal 37 5 2 31" xfId="56537"/>
    <cellStyle name="Normal 37 5 2 32" xfId="58290"/>
    <cellStyle name="Normal 37 5 2 33" xfId="60042"/>
    <cellStyle name="Normal 37 5 2 34" xfId="61794"/>
    <cellStyle name="Normal 37 5 2 4" xfId="7486"/>
    <cellStyle name="Normal 37 5 2 5" xfId="9238"/>
    <cellStyle name="Normal 37 5 2 6" xfId="10991"/>
    <cellStyle name="Normal 37 5 2 7" xfId="12743"/>
    <cellStyle name="Normal 37 5 2 8" xfId="14495"/>
    <cellStyle name="Normal 37 5 2 9" xfId="16247"/>
    <cellStyle name="Normal 37 5 20" xfId="32895"/>
    <cellStyle name="Normal 37 5 21" xfId="34764"/>
    <cellStyle name="Normal 37 5 22" xfId="35531"/>
    <cellStyle name="Normal 37 5 23" xfId="37385"/>
    <cellStyle name="Normal 37 5 24" xfId="39024"/>
    <cellStyle name="Normal 37 5 25" xfId="40779"/>
    <cellStyle name="Normal 37 5 26" xfId="42531"/>
    <cellStyle name="Normal 37 5 27" xfId="44385"/>
    <cellStyle name="Normal 37 5 28" xfId="45149"/>
    <cellStyle name="Normal 37 5 29" xfId="46901"/>
    <cellStyle name="Normal 37 5 3" xfId="3106"/>
    <cellStyle name="Normal 37 5 30" xfId="48653"/>
    <cellStyle name="Normal 37 5 31" xfId="50405"/>
    <cellStyle name="Normal 37 5 32" xfId="52157"/>
    <cellStyle name="Normal 37 5 33" xfId="53909"/>
    <cellStyle name="Normal 37 5 34" xfId="55661"/>
    <cellStyle name="Normal 37 5 35" xfId="57414"/>
    <cellStyle name="Normal 37 5 36" xfId="59166"/>
    <cellStyle name="Normal 37 5 37" xfId="60918"/>
    <cellStyle name="Normal 37 5 38" xfId="62772"/>
    <cellStyle name="Normal 37 5 39" xfId="63638"/>
    <cellStyle name="Normal 37 5 4" xfId="4858"/>
    <cellStyle name="Normal 37 5 5" xfId="6610"/>
    <cellStyle name="Normal 37 5 6" xfId="8362"/>
    <cellStyle name="Normal 37 5 7" xfId="10115"/>
    <cellStyle name="Normal 37 5 8" xfId="11867"/>
    <cellStyle name="Normal 37 5 9" xfId="13619"/>
    <cellStyle name="Normal 37 6" xfId="1666"/>
    <cellStyle name="Normal 37 6 10" xfId="17564"/>
    <cellStyle name="Normal 37 6 11" xfId="19316"/>
    <cellStyle name="Normal 37 6 12" xfId="21069"/>
    <cellStyle name="Normal 37 6 13" xfId="22821"/>
    <cellStyle name="Normal 37 6 14" xfId="24573"/>
    <cellStyle name="Normal 37 6 15" xfId="26325"/>
    <cellStyle name="Normal 37 6 16" xfId="28077"/>
    <cellStyle name="Normal 37 6 17" xfId="29830"/>
    <cellStyle name="Normal 37 6 18" xfId="31582"/>
    <cellStyle name="Normal 37 6 19" xfId="33335"/>
    <cellStyle name="Normal 37 6 2" xfId="3546"/>
    <cellStyle name="Normal 37 6 20" xfId="35971"/>
    <cellStyle name="Normal 37 6 21" xfId="37708"/>
    <cellStyle name="Normal 37 6 22" xfId="39464"/>
    <cellStyle name="Normal 37 6 23" xfId="41219"/>
    <cellStyle name="Normal 37 6 24" xfId="42971"/>
    <cellStyle name="Normal 37 6 25" xfId="45589"/>
    <cellStyle name="Normal 37 6 26" xfId="47341"/>
    <cellStyle name="Normal 37 6 27" xfId="49093"/>
    <cellStyle name="Normal 37 6 28" xfId="50845"/>
    <cellStyle name="Normal 37 6 29" xfId="52597"/>
    <cellStyle name="Normal 37 6 3" xfId="5298"/>
    <cellStyle name="Normal 37 6 30" xfId="54349"/>
    <cellStyle name="Normal 37 6 31" xfId="56101"/>
    <cellStyle name="Normal 37 6 32" xfId="57854"/>
    <cellStyle name="Normal 37 6 33" xfId="59606"/>
    <cellStyle name="Normal 37 6 34" xfId="61358"/>
    <cellStyle name="Normal 37 6 4" xfId="7050"/>
    <cellStyle name="Normal 37 6 5" xfId="8802"/>
    <cellStyle name="Normal 37 6 6" xfId="10555"/>
    <cellStyle name="Normal 37 6 7" xfId="12307"/>
    <cellStyle name="Normal 37 6 8" xfId="14059"/>
    <cellStyle name="Normal 37 6 9" xfId="15811"/>
    <cellStyle name="Normal 37 7" xfId="2670"/>
    <cellStyle name="Normal 37 8" xfId="4422"/>
    <cellStyle name="Normal 37 9" xfId="6174"/>
    <cellStyle name="Normal 38" xfId="1667"/>
    <cellStyle name="Normal 38 10" xfId="7928"/>
    <cellStyle name="Normal 38 11" xfId="9681"/>
    <cellStyle name="Normal 38 12" xfId="11433"/>
    <cellStyle name="Normal 38 13" xfId="13185"/>
    <cellStyle name="Normal 38 14" xfId="14937"/>
    <cellStyle name="Normal 38 15" xfId="16690"/>
    <cellStyle name="Normal 38 16" xfId="18442"/>
    <cellStyle name="Normal 38 17" xfId="20195"/>
    <cellStyle name="Normal 38 18" xfId="21947"/>
    <cellStyle name="Normal 38 19" xfId="23699"/>
    <cellStyle name="Normal 38 2" xfId="1668"/>
    <cellStyle name="Normal 38 2 10" xfId="9736"/>
    <cellStyle name="Normal 38 2 11" xfId="11488"/>
    <cellStyle name="Normal 38 2 12" xfId="13240"/>
    <cellStyle name="Normal 38 2 13" xfId="14992"/>
    <cellStyle name="Normal 38 2 14" xfId="16745"/>
    <cellStyle name="Normal 38 2 15" xfId="18497"/>
    <cellStyle name="Normal 38 2 16" xfId="20250"/>
    <cellStyle name="Normal 38 2 17" xfId="22002"/>
    <cellStyle name="Normal 38 2 18" xfId="23754"/>
    <cellStyle name="Normal 38 2 19" xfId="25506"/>
    <cellStyle name="Normal 38 2 2" xfId="1669"/>
    <cellStyle name="Normal 38 2 2 10" xfId="11596"/>
    <cellStyle name="Normal 38 2 2 11" xfId="13348"/>
    <cellStyle name="Normal 38 2 2 12" xfId="15100"/>
    <cellStyle name="Normal 38 2 2 13" xfId="16853"/>
    <cellStyle name="Normal 38 2 2 14" xfId="18605"/>
    <cellStyle name="Normal 38 2 2 15" xfId="20358"/>
    <cellStyle name="Normal 38 2 2 16" xfId="22110"/>
    <cellStyle name="Normal 38 2 2 17" xfId="23862"/>
    <cellStyle name="Normal 38 2 2 18" xfId="25614"/>
    <cellStyle name="Normal 38 2 2 19" xfId="27366"/>
    <cellStyle name="Normal 38 2 2 2" xfId="1670"/>
    <cellStyle name="Normal 38 2 2 2 10" xfId="13506"/>
    <cellStyle name="Normal 38 2 2 2 11" xfId="15258"/>
    <cellStyle name="Normal 38 2 2 2 12" xfId="17011"/>
    <cellStyle name="Normal 38 2 2 2 13" xfId="18763"/>
    <cellStyle name="Normal 38 2 2 2 14" xfId="20516"/>
    <cellStyle name="Normal 38 2 2 2 15" xfId="22268"/>
    <cellStyle name="Normal 38 2 2 2 16" xfId="24020"/>
    <cellStyle name="Normal 38 2 2 2 17" xfId="25772"/>
    <cellStyle name="Normal 38 2 2 2 18" xfId="27524"/>
    <cellStyle name="Normal 38 2 2 2 19" xfId="29277"/>
    <cellStyle name="Normal 38 2 2 2 2" xfId="1671"/>
    <cellStyle name="Normal 38 2 2 2 2 10" xfId="15694"/>
    <cellStyle name="Normal 38 2 2 2 2 11" xfId="17447"/>
    <cellStyle name="Normal 38 2 2 2 2 12" xfId="19199"/>
    <cellStyle name="Normal 38 2 2 2 2 13" xfId="20952"/>
    <cellStyle name="Normal 38 2 2 2 2 14" xfId="22704"/>
    <cellStyle name="Normal 38 2 2 2 2 15" xfId="24456"/>
    <cellStyle name="Normal 38 2 2 2 2 16" xfId="26208"/>
    <cellStyle name="Normal 38 2 2 2 2 17" xfId="27960"/>
    <cellStyle name="Normal 38 2 2 2 2 18" xfId="29713"/>
    <cellStyle name="Normal 38 2 2 2 2 19" xfId="31465"/>
    <cellStyle name="Normal 38 2 2 2 2 2" xfId="1672"/>
    <cellStyle name="Normal 38 2 2 2 2 2 10" xfId="18323"/>
    <cellStyle name="Normal 38 2 2 2 2 2 11" xfId="20075"/>
    <cellStyle name="Normal 38 2 2 2 2 2 12" xfId="21828"/>
    <cellStyle name="Normal 38 2 2 2 2 2 13" xfId="23580"/>
    <cellStyle name="Normal 38 2 2 2 2 2 14" xfId="25332"/>
    <cellStyle name="Normal 38 2 2 2 2 2 15" xfId="27084"/>
    <cellStyle name="Normal 38 2 2 2 2 2 16" xfId="28836"/>
    <cellStyle name="Normal 38 2 2 2 2 2 17" xfId="30589"/>
    <cellStyle name="Normal 38 2 2 2 2 2 18" xfId="32341"/>
    <cellStyle name="Normal 38 2 2 2 2 2 19" xfId="34094"/>
    <cellStyle name="Normal 38 2 2 2 2 2 2" xfId="4305"/>
    <cellStyle name="Normal 38 2 2 2 2 2 20" xfId="36730"/>
    <cellStyle name="Normal 38 2 2 2 2 2 21" xfId="38470"/>
    <cellStyle name="Normal 38 2 2 2 2 2 22" xfId="40223"/>
    <cellStyle name="Normal 38 2 2 2 2 2 23" xfId="41978"/>
    <cellStyle name="Normal 38 2 2 2 2 2 24" xfId="43730"/>
    <cellStyle name="Normal 38 2 2 2 2 2 25" xfId="46348"/>
    <cellStyle name="Normal 38 2 2 2 2 2 26" xfId="48100"/>
    <cellStyle name="Normal 38 2 2 2 2 2 27" xfId="49852"/>
    <cellStyle name="Normal 38 2 2 2 2 2 28" xfId="51604"/>
    <cellStyle name="Normal 38 2 2 2 2 2 29" xfId="53356"/>
    <cellStyle name="Normal 38 2 2 2 2 2 3" xfId="6057"/>
    <cellStyle name="Normal 38 2 2 2 2 2 30" xfId="55108"/>
    <cellStyle name="Normal 38 2 2 2 2 2 31" xfId="56860"/>
    <cellStyle name="Normal 38 2 2 2 2 2 32" xfId="58613"/>
    <cellStyle name="Normal 38 2 2 2 2 2 33" xfId="60365"/>
    <cellStyle name="Normal 38 2 2 2 2 2 34" xfId="62117"/>
    <cellStyle name="Normal 38 2 2 2 2 2 4" xfId="7809"/>
    <cellStyle name="Normal 38 2 2 2 2 2 5" xfId="9561"/>
    <cellStyle name="Normal 38 2 2 2 2 2 6" xfId="11314"/>
    <cellStyle name="Normal 38 2 2 2 2 2 7" xfId="13066"/>
    <cellStyle name="Normal 38 2 2 2 2 2 8" xfId="14818"/>
    <cellStyle name="Normal 38 2 2 2 2 2 9" xfId="16570"/>
    <cellStyle name="Normal 38 2 2 2 2 20" xfId="33218"/>
    <cellStyle name="Normal 38 2 2 2 2 21" xfId="34769"/>
    <cellStyle name="Normal 38 2 2 2 2 22" xfId="35854"/>
    <cellStyle name="Normal 38 2 2 2 2 23" xfId="37390"/>
    <cellStyle name="Normal 38 2 2 2 2 24" xfId="39347"/>
    <cellStyle name="Normal 38 2 2 2 2 25" xfId="41102"/>
    <cellStyle name="Normal 38 2 2 2 2 26" xfId="42854"/>
    <cellStyle name="Normal 38 2 2 2 2 27" xfId="44390"/>
    <cellStyle name="Normal 38 2 2 2 2 28" xfId="45472"/>
    <cellStyle name="Normal 38 2 2 2 2 29" xfId="47224"/>
    <cellStyle name="Normal 38 2 2 2 2 3" xfId="3429"/>
    <cellStyle name="Normal 38 2 2 2 2 30" xfId="48976"/>
    <cellStyle name="Normal 38 2 2 2 2 31" xfId="50728"/>
    <cellStyle name="Normal 38 2 2 2 2 32" xfId="52480"/>
    <cellStyle name="Normal 38 2 2 2 2 33" xfId="54232"/>
    <cellStyle name="Normal 38 2 2 2 2 34" xfId="55984"/>
    <cellStyle name="Normal 38 2 2 2 2 35" xfId="57737"/>
    <cellStyle name="Normal 38 2 2 2 2 36" xfId="59489"/>
    <cellStyle name="Normal 38 2 2 2 2 37" xfId="61241"/>
    <cellStyle name="Normal 38 2 2 2 2 38" xfId="62777"/>
    <cellStyle name="Normal 38 2 2 2 2 39" xfId="63643"/>
    <cellStyle name="Normal 38 2 2 2 2 4" xfId="5181"/>
    <cellStyle name="Normal 38 2 2 2 2 5" xfId="6933"/>
    <cellStyle name="Normal 38 2 2 2 2 6" xfId="8685"/>
    <cellStyle name="Normal 38 2 2 2 2 7" xfId="10438"/>
    <cellStyle name="Normal 38 2 2 2 2 8" xfId="12190"/>
    <cellStyle name="Normal 38 2 2 2 2 9" xfId="13942"/>
    <cellStyle name="Normal 38 2 2 2 20" xfId="31029"/>
    <cellStyle name="Normal 38 2 2 2 21" xfId="32782"/>
    <cellStyle name="Normal 38 2 2 2 22" xfId="34768"/>
    <cellStyle name="Normal 38 2 2 2 23" xfId="35418"/>
    <cellStyle name="Normal 38 2 2 2 24" xfId="37389"/>
    <cellStyle name="Normal 38 2 2 2 25" xfId="38911"/>
    <cellStyle name="Normal 38 2 2 2 26" xfId="40666"/>
    <cellStyle name="Normal 38 2 2 2 27" xfId="42418"/>
    <cellStyle name="Normal 38 2 2 2 28" xfId="44389"/>
    <cellStyle name="Normal 38 2 2 2 29" xfId="45036"/>
    <cellStyle name="Normal 38 2 2 2 3" xfId="1673"/>
    <cellStyle name="Normal 38 2 2 2 3 10" xfId="17887"/>
    <cellStyle name="Normal 38 2 2 2 3 11" xfId="19639"/>
    <cellStyle name="Normal 38 2 2 2 3 12" xfId="21392"/>
    <cellStyle name="Normal 38 2 2 2 3 13" xfId="23144"/>
    <cellStyle name="Normal 38 2 2 2 3 14" xfId="24896"/>
    <cellStyle name="Normal 38 2 2 2 3 15" xfId="26648"/>
    <cellStyle name="Normal 38 2 2 2 3 16" xfId="28400"/>
    <cellStyle name="Normal 38 2 2 2 3 17" xfId="30153"/>
    <cellStyle name="Normal 38 2 2 2 3 18" xfId="31905"/>
    <cellStyle name="Normal 38 2 2 2 3 19" xfId="33658"/>
    <cellStyle name="Normal 38 2 2 2 3 2" xfId="3869"/>
    <cellStyle name="Normal 38 2 2 2 3 20" xfId="36294"/>
    <cellStyle name="Normal 38 2 2 2 3 21" xfId="38034"/>
    <cellStyle name="Normal 38 2 2 2 3 22" xfId="39787"/>
    <cellStyle name="Normal 38 2 2 2 3 23" xfId="41542"/>
    <cellStyle name="Normal 38 2 2 2 3 24" xfId="43294"/>
    <cellStyle name="Normal 38 2 2 2 3 25" xfId="45912"/>
    <cellStyle name="Normal 38 2 2 2 3 26" xfId="47664"/>
    <cellStyle name="Normal 38 2 2 2 3 27" xfId="49416"/>
    <cellStyle name="Normal 38 2 2 2 3 28" xfId="51168"/>
    <cellStyle name="Normal 38 2 2 2 3 29" xfId="52920"/>
    <cellStyle name="Normal 38 2 2 2 3 3" xfId="5621"/>
    <cellStyle name="Normal 38 2 2 2 3 30" xfId="54672"/>
    <cellStyle name="Normal 38 2 2 2 3 31" xfId="56424"/>
    <cellStyle name="Normal 38 2 2 2 3 32" xfId="58177"/>
    <cellStyle name="Normal 38 2 2 2 3 33" xfId="59929"/>
    <cellStyle name="Normal 38 2 2 2 3 34" xfId="61681"/>
    <cellStyle name="Normal 38 2 2 2 3 4" xfId="7373"/>
    <cellStyle name="Normal 38 2 2 2 3 5" xfId="9125"/>
    <cellStyle name="Normal 38 2 2 2 3 6" xfId="10878"/>
    <cellStyle name="Normal 38 2 2 2 3 7" xfId="12630"/>
    <cellStyle name="Normal 38 2 2 2 3 8" xfId="14382"/>
    <cellStyle name="Normal 38 2 2 2 3 9" xfId="16134"/>
    <cellStyle name="Normal 38 2 2 2 30" xfId="46788"/>
    <cellStyle name="Normal 38 2 2 2 31" xfId="48540"/>
    <cellStyle name="Normal 38 2 2 2 32" xfId="50292"/>
    <cellStyle name="Normal 38 2 2 2 33" xfId="52044"/>
    <cellStyle name="Normal 38 2 2 2 34" xfId="53796"/>
    <cellStyle name="Normal 38 2 2 2 35" xfId="55548"/>
    <cellStyle name="Normal 38 2 2 2 36" xfId="57301"/>
    <cellStyle name="Normal 38 2 2 2 37" xfId="59053"/>
    <cellStyle name="Normal 38 2 2 2 38" xfId="60805"/>
    <cellStyle name="Normal 38 2 2 2 39" xfId="62776"/>
    <cellStyle name="Normal 38 2 2 2 4" xfId="2993"/>
    <cellStyle name="Normal 38 2 2 2 40" xfId="63642"/>
    <cellStyle name="Normal 38 2 2 2 5" xfId="4745"/>
    <cellStyle name="Normal 38 2 2 2 6" xfId="6497"/>
    <cellStyle name="Normal 38 2 2 2 7" xfId="8249"/>
    <cellStyle name="Normal 38 2 2 2 8" xfId="10002"/>
    <cellStyle name="Normal 38 2 2 2 9" xfId="11754"/>
    <cellStyle name="Normal 38 2 2 20" xfId="29119"/>
    <cellStyle name="Normal 38 2 2 21" xfId="30871"/>
    <cellStyle name="Normal 38 2 2 22" xfId="32624"/>
    <cellStyle name="Normal 38 2 2 23" xfId="34767"/>
    <cellStyle name="Normal 38 2 2 24" xfId="35260"/>
    <cellStyle name="Normal 38 2 2 25" xfId="37388"/>
    <cellStyle name="Normal 38 2 2 26" xfId="38753"/>
    <cellStyle name="Normal 38 2 2 27" xfId="40508"/>
    <cellStyle name="Normal 38 2 2 28" xfId="42260"/>
    <cellStyle name="Normal 38 2 2 29" xfId="44388"/>
    <cellStyle name="Normal 38 2 2 3" xfId="1674"/>
    <cellStyle name="Normal 38 2 2 3 10" xfId="15536"/>
    <cellStyle name="Normal 38 2 2 3 11" xfId="17289"/>
    <cellStyle name="Normal 38 2 2 3 12" xfId="19041"/>
    <cellStyle name="Normal 38 2 2 3 13" xfId="20794"/>
    <cellStyle name="Normal 38 2 2 3 14" xfId="22546"/>
    <cellStyle name="Normal 38 2 2 3 15" xfId="24298"/>
    <cellStyle name="Normal 38 2 2 3 16" xfId="26050"/>
    <cellStyle name="Normal 38 2 2 3 17" xfId="27802"/>
    <cellStyle name="Normal 38 2 2 3 18" xfId="29555"/>
    <cellStyle name="Normal 38 2 2 3 19" xfId="31307"/>
    <cellStyle name="Normal 38 2 2 3 2" xfId="1675"/>
    <cellStyle name="Normal 38 2 2 3 2 10" xfId="18165"/>
    <cellStyle name="Normal 38 2 2 3 2 11" xfId="19917"/>
    <cellStyle name="Normal 38 2 2 3 2 12" xfId="21670"/>
    <cellStyle name="Normal 38 2 2 3 2 13" xfId="23422"/>
    <cellStyle name="Normal 38 2 2 3 2 14" xfId="25174"/>
    <cellStyle name="Normal 38 2 2 3 2 15" xfId="26926"/>
    <cellStyle name="Normal 38 2 2 3 2 16" xfId="28678"/>
    <cellStyle name="Normal 38 2 2 3 2 17" xfId="30431"/>
    <cellStyle name="Normal 38 2 2 3 2 18" xfId="32183"/>
    <cellStyle name="Normal 38 2 2 3 2 19" xfId="33936"/>
    <cellStyle name="Normal 38 2 2 3 2 2" xfId="4147"/>
    <cellStyle name="Normal 38 2 2 3 2 20" xfId="36572"/>
    <cellStyle name="Normal 38 2 2 3 2 21" xfId="38312"/>
    <cellStyle name="Normal 38 2 2 3 2 22" xfId="40065"/>
    <cellStyle name="Normal 38 2 2 3 2 23" xfId="41820"/>
    <cellStyle name="Normal 38 2 2 3 2 24" xfId="43572"/>
    <cellStyle name="Normal 38 2 2 3 2 25" xfId="46190"/>
    <cellStyle name="Normal 38 2 2 3 2 26" xfId="47942"/>
    <cellStyle name="Normal 38 2 2 3 2 27" xfId="49694"/>
    <cellStyle name="Normal 38 2 2 3 2 28" xfId="51446"/>
    <cellStyle name="Normal 38 2 2 3 2 29" xfId="53198"/>
    <cellStyle name="Normal 38 2 2 3 2 3" xfId="5899"/>
    <cellStyle name="Normal 38 2 2 3 2 30" xfId="54950"/>
    <cellStyle name="Normal 38 2 2 3 2 31" xfId="56702"/>
    <cellStyle name="Normal 38 2 2 3 2 32" xfId="58455"/>
    <cellStyle name="Normal 38 2 2 3 2 33" xfId="60207"/>
    <cellStyle name="Normal 38 2 2 3 2 34" xfId="61959"/>
    <cellStyle name="Normal 38 2 2 3 2 4" xfId="7651"/>
    <cellStyle name="Normal 38 2 2 3 2 5" xfId="9403"/>
    <cellStyle name="Normal 38 2 2 3 2 6" xfId="11156"/>
    <cellStyle name="Normal 38 2 2 3 2 7" xfId="12908"/>
    <cellStyle name="Normal 38 2 2 3 2 8" xfId="14660"/>
    <cellStyle name="Normal 38 2 2 3 2 9" xfId="16412"/>
    <cellStyle name="Normal 38 2 2 3 20" xfId="33060"/>
    <cellStyle name="Normal 38 2 2 3 21" xfId="34770"/>
    <cellStyle name="Normal 38 2 2 3 22" xfId="35696"/>
    <cellStyle name="Normal 38 2 2 3 23" xfId="37391"/>
    <cellStyle name="Normal 38 2 2 3 24" xfId="39189"/>
    <cellStyle name="Normal 38 2 2 3 25" xfId="40944"/>
    <cellStyle name="Normal 38 2 2 3 26" xfId="42696"/>
    <cellStyle name="Normal 38 2 2 3 27" xfId="44391"/>
    <cellStyle name="Normal 38 2 2 3 28" xfId="45314"/>
    <cellStyle name="Normal 38 2 2 3 29" xfId="47066"/>
    <cellStyle name="Normal 38 2 2 3 3" xfId="3271"/>
    <cellStyle name="Normal 38 2 2 3 30" xfId="48818"/>
    <cellStyle name="Normal 38 2 2 3 31" xfId="50570"/>
    <cellStyle name="Normal 38 2 2 3 32" xfId="52322"/>
    <cellStyle name="Normal 38 2 2 3 33" xfId="54074"/>
    <cellStyle name="Normal 38 2 2 3 34" xfId="55826"/>
    <cellStyle name="Normal 38 2 2 3 35" xfId="57579"/>
    <cellStyle name="Normal 38 2 2 3 36" xfId="59331"/>
    <cellStyle name="Normal 38 2 2 3 37" xfId="61083"/>
    <cellStyle name="Normal 38 2 2 3 38" xfId="62778"/>
    <cellStyle name="Normal 38 2 2 3 39" xfId="63644"/>
    <cellStyle name="Normal 38 2 2 3 4" xfId="5023"/>
    <cellStyle name="Normal 38 2 2 3 5" xfId="6775"/>
    <cellStyle name="Normal 38 2 2 3 6" xfId="8527"/>
    <cellStyle name="Normal 38 2 2 3 7" xfId="10280"/>
    <cellStyle name="Normal 38 2 2 3 8" xfId="12032"/>
    <cellStyle name="Normal 38 2 2 3 9" xfId="13784"/>
    <cellStyle name="Normal 38 2 2 30" xfId="44878"/>
    <cellStyle name="Normal 38 2 2 31" xfId="46630"/>
    <cellStyle name="Normal 38 2 2 32" xfId="48382"/>
    <cellStyle name="Normal 38 2 2 33" xfId="50134"/>
    <cellStyle name="Normal 38 2 2 34" xfId="51886"/>
    <cellStyle name="Normal 38 2 2 35" xfId="53638"/>
    <cellStyle name="Normal 38 2 2 36" xfId="55390"/>
    <cellStyle name="Normal 38 2 2 37" xfId="57143"/>
    <cellStyle name="Normal 38 2 2 38" xfId="58895"/>
    <cellStyle name="Normal 38 2 2 39" xfId="60647"/>
    <cellStyle name="Normal 38 2 2 4" xfId="1676"/>
    <cellStyle name="Normal 38 2 2 4 10" xfId="17729"/>
    <cellStyle name="Normal 38 2 2 4 11" xfId="19481"/>
    <cellStyle name="Normal 38 2 2 4 12" xfId="21234"/>
    <cellStyle name="Normal 38 2 2 4 13" xfId="22986"/>
    <cellStyle name="Normal 38 2 2 4 14" xfId="24738"/>
    <cellStyle name="Normal 38 2 2 4 15" xfId="26490"/>
    <cellStyle name="Normal 38 2 2 4 16" xfId="28242"/>
    <cellStyle name="Normal 38 2 2 4 17" xfId="29995"/>
    <cellStyle name="Normal 38 2 2 4 18" xfId="31747"/>
    <cellStyle name="Normal 38 2 2 4 19" xfId="33500"/>
    <cellStyle name="Normal 38 2 2 4 2" xfId="3711"/>
    <cellStyle name="Normal 38 2 2 4 20" xfId="36136"/>
    <cellStyle name="Normal 38 2 2 4 21" xfId="37876"/>
    <cellStyle name="Normal 38 2 2 4 22" xfId="39629"/>
    <cellStyle name="Normal 38 2 2 4 23" xfId="41384"/>
    <cellStyle name="Normal 38 2 2 4 24" xfId="43136"/>
    <cellStyle name="Normal 38 2 2 4 25" xfId="45754"/>
    <cellStyle name="Normal 38 2 2 4 26" xfId="47506"/>
    <cellStyle name="Normal 38 2 2 4 27" xfId="49258"/>
    <cellStyle name="Normal 38 2 2 4 28" xfId="51010"/>
    <cellStyle name="Normal 38 2 2 4 29" xfId="52762"/>
    <cellStyle name="Normal 38 2 2 4 3" xfId="5463"/>
    <cellStyle name="Normal 38 2 2 4 30" xfId="54514"/>
    <cellStyle name="Normal 38 2 2 4 31" xfId="56266"/>
    <cellStyle name="Normal 38 2 2 4 32" xfId="58019"/>
    <cellStyle name="Normal 38 2 2 4 33" xfId="59771"/>
    <cellStyle name="Normal 38 2 2 4 34" xfId="61523"/>
    <cellStyle name="Normal 38 2 2 4 4" xfId="7215"/>
    <cellStyle name="Normal 38 2 2 4 5" xfId="8967"/>
    <cellStyle name="Normal 38 2 2 4 6" xfId="10720"/>
    <cellStyle name="Normal 38 2 2 4 7" xfId="12472"/>
    <cellStyle name="Normal 38 2 2 4 8" xfId="14224"/>
    <cellStyle name="Normal 38 2 2 4 9" xfId="15976"/>
    <cellStyle name="Normal 38 2 2 40" xfId="62775"/>
    <cellStyle name="Normal 38 2 2 41" xfId="63641"/>
    <cellStyle name="Normal 38 2 2 5" xfId="2835"/>
    <cellStyle name="Normal 38 2 2 6" xfId="4587"/>
    <cellStyle name="Normal 38 2 2 7" xfId="6339"/>
    <cellStyle name="Normal 38 2 2 8" xfId="8091"/>
    <cellStyle name="Normal 38 2 2 9" xfId="9844"/>
    <cellStyle name="Normal 38 2 20" xfId="27258"/>
    <cellStyle name="Normal 38 2 21" xfId="29011"/>
    <cellStyle name="Normal 38 2 22" xfId="30763"/>
    <cellStyle name="Normal 38 2 23" xfId="32516"/>
    <cellStyle name="Normal 38 2 24" xfId="34766"/>
    <cellStyle name="Normal 38 2 25" xfId="35152"/>
    <cellStyle name="Normal 38 2 26" xfId="37387"/>
    <cellStyle name="Normal 38 2 27" xfId="38645"/>
    <cellStyle name="Normal 38 2 28" xfId="40400"/>
    <cellStyle name="Normal 38 2 29" xfId="42152"/>
    <cellStyle name="Normal 38 2 3" xfId="1677"/>
    <cellStyle name="Normal 38 2 3 10" xfId="13507"/>
    <cellStyle name="Normal 38 2 3 11" xfId="15259"/>
    <cellStyle name="Normal 38 2 3 12" xfId="17012"/>
    <cellStyle name="Normal 38 2 3 13" xfId="18764"/>
    <cellStyle name="Normal 38 2 3 14" xfId="20517"/>
    <cellStyle name="Normal 38 2 3 15" xfId="22269"/>
    <cellStyle name="Normal 38 2 3 16" xfId="24021"/>
    <cellStyle name="Normal 38 2 3 17" xfId="25773"/>
    <cellStyle name="Normal 38 2 3 18" xfId="27525"/>
    <cellStyle name="Normal 38 2 3 19" xfId="29278"/>
    <cellStyle name="Normal 38 2 3 2" xfId="1678"/>
    <cellStyle name="Normal 38 2 3 2 10" xfId="15695"/>
    <cellStyle name="Normal 38 2 3 2 11" xfId="17448"/>
    <cellStyle name="Normal 38 2 3 2 12" xfId="19200"/>
    <cellStyle name="Normal 38 2 3 2 13" xfId="20953"/>
    <cellStyle name="Normal 38 2 3 2 14" xfId="22705"/>
    <cellStyle name="Normal 38 2 3 2 15" xfId="24457"/>
    <cellStyle name="Normal 38 2 3 2 16" xfId="26209"/>
    <cellStyle name="Normal 38 2 3 2 17" xfId="27961"/>
    <cellStyle name="Normal 38 2 3 2 18" xfId="29714"/>
    <cellStyle name="Normal 38 2 3 2 19" xfId="31466"/>
    <cellStyle name="Normal 38 2 3 2 2" xfId="1679"/>
    <cellStyle name="Normal 38 2 3 2 2 10" xfId="18324"/>
    <cellStyle name="Normal 38 2 3 2 2 11" xfId="20076"/>
    <cellStyle name="Normal 38 2 3 2 2 12" xfId="21829"/>
    <cellStyle name="Normal 38 2 3 2 2 13" xfId="23581"/>
    <cellStyle name="Normal 38 2 3 2 2 14" xfId="25333"/>
    <cellStyle name="Normal 38 2 3 2 2 15" xfId="27085"/>
    <cellStyle name="Normal 38 2 3 2 2 16" xfId="28837"/>
    <cellStyle name="Normal 38 2 3 2 2 17" xfId="30590"/>
    <cellStyle name="Normal 38 2 3 2 2 18" xfId="32342"/>
    <cellStyle name="Normal 38 2 3 2 2 19" xfId="34095"/>
    <cellStyle name="Normal 38 2 3 2 2 2" xfId="4306"/>
    <cellStyle name="Normal 38 2 3 2 2 20" xfId="36731"/>
    <cellStyle name="Normal 38 2 3 2 2 21" xfId="38471"/>
    <cellStyle name="Normal 38 2 3 2 2 22" xfId="40224"/>
    <cellStyle name="Normal 38 2 3 2 2 23" xfId="41979"/>
    <cellStyle name="Normal 38 2 3 2 2 24" xfId="43731"/>
    <cellStyle name="Normal 38 2 3 2 2 25" xfId="46349"/>
    <cellStyle name="Normal 38 2 3 2 2 26" xfId="48101"/>
    <cellStyle name="Normal 38 2 3 2 2 27" xfId="49853"/>
    <cellStyle name="Normal 38 2 3 2 2 28" xfId="51605"/>
    <cellStyle name="Normal 38 2 3 2 2 29" xfId="53357"/>
    <cellStyle name="Normal 38 2 3 2 2 3" xfId="6058"/>
    <cellStyle name="Normal 38 2 3 2 2 30" xfId="55109"/>
    <cellStyle name="Normal 38 2 3 2 2 31" xfId="56861"/>
    <cellStyle name="Normal 38 2 3 2 2 32" xfId="58614"/>
    <cellStyle name="Normal 38 2 3 2 2 33" xfId="60366"/>
    <cellStyle name="Normal 38 2 3 2 2 34" xfId="62118"/>
    <cellStyle name="Normal 38 2 3 2 2 4" xfId="7810"/>
    <cellStyle name="Normal 38 2 3 2 2 5" xfId="9562"/>
    <cellStyle name="Normal 38 2 3 2 2 6" xfId="11315"/>
    <cellStyle name="Normal 38 2 3 2 2 7" xfId="13067"/>
    <cellStyle name="Normal 38 2 3 2 2 8" xfId="14819"/>
    <cellStyle name="Normal 38 2 3 2 2 9" xfId="16571"/>
    <cellStyle name="Normal 38 2 3 2 20" xfId="33219"/>
    <cellStyle name="Normal 38 2 3 2 21" xfId="34772"/>
    <cellStyle name="Normal 38 2 3 2 22" xfId="35855"/>
    <cellStyle name="Normal 38 2 3 2 23" xfId="37393"/>
    <cellStyle name="Normal 38 2 3 2 24" xfId="39348"/>
    <cellStyle name="Normal 38 2 3 2 25" xfId="41103"/>
    <cellStyle name="Normal 38 2 3 2 26" xfId="42855"/>
    <cellStyle name="Normal 38 2 3 2 27" xfId="44393"/>
    <cellStyle name="Normal 38 2 3 2 28" xfId="45473"/>
    <cellStyle name="Normal 38 2 3 2 29" xfId="47225"/>
    <cellStyle name="Normal 38 2 3 2 3" xfId="3430"/>
    <cellStyle name="Normal 38 2 3 2 30" xfId="48977"/>
    <cellStyle name="Normal 38 2 3 2 31" xfId="50729"/>
    <cellStyle name="Normal 38 2 3 2 32" xfId="52481"/>
    <cellStyle name="Normal 38 2 3 2 33" xfId="54233"/>
    <cellStyle name="Normal 38 2 3 2 34" xfId="55985"/>
    <cellStyle name="Normal 38 2 3 2 35" xfId="57738"/>
    <cellStyle name="Normal 38 2 3 2 36" xfId="59490"/>
    <cellStyle name="Normal 38 2 3 2 37" xfId="61242"/>
    <cellStyle name="Normal 38 2 3 2 38" xfId="62780"/>
    <cellStyle name="Normal 38 2 3 2 39" xfId="63646"/>
    <cellStyle name="Normal 38 2 3 2 4" xfId="5182"/>
    <cellStyle name="Normal 38 2 3 2 5" xfId="6934"/>
    <cellStyle name="Normal 38 2 3 2 6" xfId="8686"/>
    <cellStyle name="Normal 38 2 3 2 7" xfId="10439"/>
    <cellStyle name="Normal 38 2 3 2 8" xfId="12191"/>
    <cellStyle name="Normal 38 2 3 2 9" xfId="13943"/>
    <cellStyle name="Normal 38 2 3 20" xfId="31030"/>
    <cellStyle name="Normal 38 2 3 21" xfId="32783"/>
    <cellStyle name="Normal 38 2 3 22" xfId="34771"/>
    <cellStyle name="Normal 38 2 3 23" xfId="35419"/>
    <cellStyle name="Normal 38 2 3 24" xfId="37392"/>
    <cellStyle name="Normal 38 2 3 25" xfId="38912"/>
    <cellStyle name="Normal 38 2 3 26" xfId="40667"/>
    <cellStyle name="Normal 38 2 3 27" xfId="42419"/>
    <cellStyle name="Normal 38 2 3 28" xfId="44392"/>
    <cellStyle name="Normal 38 2 3 29" xfId="45037"/>
    <cellStyle name="Normal 38 2 3 3" xfId="1680"/>
    <cellStyle name="Normal 38 2 3 3 10" xfId="17888"/>
    <cellStyle name="Normal 38 2 3 3 11" xfId="19640"/>
    <cellStyle name="Normal 38 2 3 3 12" xfId="21393"/>
    <cellStyle name="Normal 38 2 3 3 13" xfId="23145"/>
    <cellStyle name="Normal 38 2 3 3 14" xfId="24897"/>
    <cellStyle name="Normal 38 2 3 3 15" xfId="26649"/>
    <cellStyle name="Normal 38 2 3 3 16" xfId="28401"/>
    <cellStyle name="Normal 38 2 3 3 17" xfId="30154"/>
    <cellStyle name="Normal 38 2 3 3 18" xfId="31906"/>
    <cellStyle name="Normal 38 2 3 3 19" xfId="33659"/>
    <cellStyle name="Normal 38 2 3 3 2" xfId="3870"/>
    <cellStyle name="Normal 38 2 3 3 20" xfId="36295"/>
    <cellStyle name="Normal 38 2 3 3 21" xfId="38035"/>
    <cellStyle name="Normal 38 2 3 3 22" xfId="39788"/>
    <cellStyle name="Normal 38 2 3 3 23" xfId="41543"/>
    <cellStyle name="Normal 38 2 3 3 24" xfId="43295"/>
    <cellStyle name="Normal 38 2 3 3 25" xfId="45913"/>
    <cellStyle name="Normal 38 2 3 3 26" xfId="47665"/>
    <cellStyle name="Normal 38 2 3 3 27" xfId="49417"/>
    <cellStyle name="Normal 38 2 3 3 28" xfId="51169"/>
    <cellStyle name="Normal 38 2 3 3 29" xfId="52921"/>
    <cellStyle name="Normal 38 2 3 3 3" xfId="5622"/>
    <cellStyle name="Normal 38 2 3 3 30" xfId="54673"/>
    <cellStyle name="Normal 38 2 3 3 31" xfId="56425"/>
    <cellStyle name="Normal 38 2 3 3 32" xfId="58178"/>
    <cellStyle name="Normal 38 2 3 3 33" xfId="59930"/>
    <cellStyle name="Normal 38 2 3 3 34" xfId="61682"/>
    <cellStyle name="Normal 38 2 3 3 4" xfId="7374"/>
    <cellStyle name="Normal 38 2 3 3 5" xfId="9126"/>
    <cellStyle name="Normal 38 2 3 3 6" xfId="10879"/>
    <cellStyle name="Normal 38 2 3 3 7" xfId="12631"/>
    <cellStyle name="Normal 38 2 3 3 8" xfId="14383"/>
    <cellStyle name="Normal 38 2 3 3 9" xfId="16135"/>
    <cellStyle name="Normal 38 2 3 30" xfId="46789"/>
    <cellStyle name="Normal 38 2 3 31" xfId="48541"/>
    <cellStyle name="Normal 38 2 3 32" xfId="50293"/>
    <cellStyle name="Normal 38 2 3 33" xfId="52045"/>
    <cellStyle name="Normal 38 2 3 34" xfId="53797"/>
    <cellStyle name="Normal 38 2 3 35" xfId="55549"/>
    <cellStyle name="Normal 38 2 3 36" xfId="57302"/>
    <cellStyle name="Normal 38 2 3 37" xfId="59054"/>
    <cellStyle name="Normal 38 2 3 38" xfId="60806"/>
    <cellStyle name="Normal 38 2 3 39" xfId="62779"/>
    <cellStyle name="Normal 38 2 3 4" xfId="2994"/>
    <cellStyle name="Normal 38 2 3 40" xfId="63645"/>
    <cellStyle name="Normal 38 2 3 5" xfId="4746"/>
    <cellStyle name="Normal 38 2 3 6" xfId="6498"/>
    <cellStyle name="Normal 38 2 3 7" xfId="8250"/>
    <cellStyle name="Normal 38 2 3 8" xfId="10003"/>
    <cellStyle name="Normal 38 2 3 9" xfId="11755"/>
    <cellStyle name="Normal 38 2 30" xfId="44387"/>
    <cellStyle name="Normal 38 2 31" xfId="44770"/>
    <cellStyle name="Normal 38 2 32" xfId="46522"/>
    <cellStyle name="Normal 38 2 33" xfId="48274"/>
    <cellStyle name="Normal 38 2 34" xfId="50026"/>
    <cellStyle name="Normal 38 2 35" xfId="51778"/>
    <cellStyle name="Normal 38 2 36" xfId="53530"/>
    <cellStyle name="Normal 38 2 37" xfId="55282"/>
    <cellStyle name="Normal 38 2 38" xfId="57035"/>
    <cellStyle name="Normal 38 2 39" xfId="58787"/>
    <cellStyle name="Normal 38 2 4" xfId="1681"/>
    <cellStyle name="Normal 38 2 4 10" xfId="15428"/>
    <cellStyle name="Normal 38 2 4 11" xfId="17181"/>
    <cellStyle name="Normal 38 2 4 12" xfId="18933"/>
    <cellStyle name="Normal 38 2 4 13" xfId="20686"/>
    <cellStyle name="Normal 38 2 4 14" xfId="22438"/>
    <cellStyle name="Normal 38 2 4 15" xfId="24190"/>
    <cellStyle name="Normal 38 2 4 16" xfId="25942"/>
    <cellStyle name="Normal 38 2 4 17" xfId="27694"/>
    <cellStyle name="Normal 38 2 4 18" xfId="29447"/>
    <cellStyle name="Normal 38 2 4 19" xfId="31199"/>
    <cellStyle name="Normal 38 2 4 2" xfId="1682"/>
    <cellStyle name="Normal 38 2 4 2 10" xfId="18057"/>
    <cellStyle name="Normal 38 2 4 2 11" xfId="19809"/>
    <cellStyle name="Normal 38 2 4 2 12" xfId="21562"/>
    <cellStyle name="Normal 38 2 4 2 13" xfId="23314"/>
    <cellStyle name="Normal 38 2 4 2 14" xfId="25066"/>
    <cellStyle name="Normal 38 2 4 2 15" xfId="26818"/>
    <cellStyle name="Normal 38 2 4 2 16" xfId="28570"/>
    <cellStyle name="Normal 38 2 4 2 17" xfId="30323"/>
    <cellStyle name="Normal 38 2 4 2 18" xfId="32075"/>
    <cellStyle name="Normal 38 2 4 2 19" xfId="33828"/>
    <cellStyle name="Normal 38 2 4 2 2" xfId="4039"/>
    <cellStyle name="Normal 38 2 4 2 20" xfId="36464"/>
    <cellStyle name="Normal 38 2 4 2 21" xfId="38204"/>
    <cellStyle name="Normal 38 2 4 2 22" xfId="39957"/>
    <cellStyle name="Normal 38 2 4 2 23" xfId="41712"/>
    <cellStyle name="Normal 38 2 4 2 24" xfId="43464"/>
    <cellStyle name="Normal 38 2 4 2 25" xfId="46082"/>
    <cellStyle name="Normal 38 2 4 2 26" xfId="47834"/>
    <cellStyle name="Normal 38 2 4 2 27" xfId="49586"/>
    <cellStyle name="Normal 38 2 4 2 28" xfId="51338"/>
    <cellStyle name="Normal 38 2 4 2 29" xfId="53090"/>
    <cellStyle name="Normal 38 2 4 2 3" xfId="5791"/>
    <cellStyle name="Normal 38 2 4 2 30" xfId="54842"/>
    <cellStyle name="Normal 38 2 4 2 31" xfId="56594"/>
    <cellStyle name="Normal 38 2 4 2 32" xfId="58347"/>
    <cellStyle name="Normal 38 2 4 2 33" xfId="60099"/>
    <cellStyle name="Normal 38 2 4 2 34" xfId="61851"/>
    <cellStyle name="Normal 38 2 4 2 4" xfId="7543"/>
    <cellStyle name="Normal 38 2 4 2 5" xfId="9295"/>
    <cellStyle name="Normal 38 2 4 2 6" xfId="11048"/>
    <cellStyle name="Normal 38 2 4 2 7" xfId="12800"/>
    <cellStyle name="Normal 38 2 4 2 8" xfId="14552"/>
    <cellStyle name="Normal 38 2 4 2 9" xfId="16304"/>
    <cellStyle name="Normal 38 2 4 20" xfId="32952"/>
    <cellStyle name="Normal 38 2 4 21" xfId="34773"/>
    <cellStyle name="Normal 38 2 4 22" xfId="35588"/>
    <cellStyle name="Normal 38 2 4 23" xfId="37394"/>
    <cellStyle name="Normal 38 2 4 24" xfId="39081"/>
    <cellStyle name="Normal 38 2 4 25" xfId="40836"/>
    <cellStyle name="Normal 38 2 4 26" xfId="42588"/>
    <cellStyle name="Normal 38 2 4 27" xfId="44394"/>
    <cellStyle name="Normal 38 2 4 28" xfId="45206"/>
    <cellStyle name="Normal 38 2 4 29" xfId="46958"/>
    <cellStyle name="Normal 38 2 4 3" xfId="3163"/>
    <cellStyle name="Normal 38 2 4 30" xfId="48710"/>
    <cellStyle name="Normal 38 2 4 31" xfId="50462"/>
    <cellStyle name="Normal 38 2 4 32" xfId="52214"/>
    <cellStyle name="Normal 38 2 4 33" xfId="53966"/>
    <cellStyle name="Normal 38 2 4 34" xfId="55718"/>
    <cellStyle name="Normal 38 2 4 35" xfId="57471"/>
    <cellStyle name="Normal 38 2 4 36" xfId="59223"/>
    <cellStyle name="Normal 38 2 4 37" xfId="60975"/>
    <cellStyle name="Normal 38 2 4 38" xfId="62781"/>
    <cellStyle name="Normal 38 2 4 39" xfId="63647"/>
    <cellStyle name="Normal 38 2 4 4" xfId="4915"/>
    <cellStyle name="Normal 38 2 4 5" xfId="6667"/>
    <cellStyle name="Normal 38 2 4 6" xfId="8419"/>
    <cellStyle name="Normal 38 2 4 7" xfId="10172"/>
    <cellStyle name="Normal 38 2 4 8" xfId="11924"/>
    <cellStyle name="Normal 38 2 4 9" xfId="13676"/>
    <cellStyle name="Normal 38 2 40" xfId="60539"/>
    <cellStyle name="Normal 38 2 41" xfId="62774"/>
    <cellStyle name="Normal 38 2 42" xfId="63640"/>
    <cellStyle name="Normal 38 2 5" xfId="1683"/>
    <cellStyle name="Normal 38 2 5 10" xfId="17621"/>
    <cellStyle name="Normal 38 2 5 11" xfId="19373"/>
    <cellStyle name="Normal 38 2 5 12" xfId="21126"/>
    <cellStyle name="Normal 38 2 5 13" xfId="22878"/>
    <cellStyle name="Normal 38 2 5 14" xfId="24630"/>
    <cellStyle name="Normal 38 2 5 15" xfId="26382"/>
    <cellStyle name="Normal 38 2 5 16" xfId="28134"/>
    <cellStyle name="Normal 38 2 5 17" xfId="29887"/>
    <cellStyle name="Normal 38 2 5 18" xfId="31639"/>
    <cellStyle name="Normal 38 2 5 19" xfId="33392"/>
    <cellStyle name="Normal 38 2 5 2" xfId="3603"/>
    <cellStyle name="Normal 38 2 5 20" xfId="36028"/>
    <cellStyle name="Normal 38 2 5 21" xfId="37768"/>
    <cellStyle name="Normal 38 2 5 22" xfId="39521"/>
    <cellStyle name="Normal 38 2 5 23" xfId="41276"/>
    <cellStyle name="Normal 38 2 5 24" xfId="43028"/>
    <cellStyle name="Normal 38 2 5 25" xfId="45646"/>
    <cellStyle name="Normal 38 2 5 26" xfId="47398"/>
    <cellStyle name="Normal 38 2 5 27" xfId="49150"/>
    <cellStyle name="Normal 38 2 5 28" xfId="50902"/>
    <cellStyle name="Normal 38 2 5 29" xfId="52654"/>
    <cellStyle name="Normal 38 2 5 3" xfId="5355"/>
    <cellStyle name="Normal 38 2 5 30" xfId="54406"/>
    <cellStyle name="Normal 38 2 5 31" xfId="56158"/>
    <cellStyle name="Normal 38 2 5 32" xfId="57911"/>
    <cellStyle name="Normal 38 2 5 33" xfId="59663"/>
    <cellStyle name="Normal 38 2 5 34" xfId="61415"/>
    <cellStyle name="Normal 38 2 5 4" xfId="7107"/>
    <cellStyle name="Normal 38 2 5 5" xfId="8859"/>
    <cellStyle name="Normal 38 2 5 6" xfId="10612"/>
    <cellStyle name="Normal 38 2 5 7" xfId="12364"/>
    <cellStyle name="Normal 38 2 5 8" xfId="14116"/>
    <cellStyle name="Normal 38 2 5 9" xfId="15868"/>
    <cellStyle name="Normal 38 2 6" xfId="2727"/>
    <cellStyle name="Normal 38 2 7" xfId="4479"/>
    <cellStyle name="Normal 38 2 8" xfId="6231"/>
    <cellStyle name="Normal 38 2 9" xfId="7983"/>
    <cellStyle name="Normal 38 20" xfId="25451"/>
    <cellStyle name="Normal 38 21" xfId="27203"/>
    <cellStyle name="Normal 38 22" xfId="28956"/>
    <cellStyle name="Normal 38 23" xfId="30708"/>
    <cellStyle name="Normal 38 24" xfId="32461"/>
    <cellStyle name="Normal 38 25" xfId="34765"/>
    <cellStyle name="Normal 38 26" xfId="35097"/>
    <cellStyle name="Normal 38 27" xfId="37386"/>
    <cellStyle name="Normal 38 28" xfId="38590"/>
    <cellStyle name="Normal 38 29" xfId="40345"/>
    <cellStyle name="Normal 38 3" xfId="1684"/>
    <cellStyle name="Normal 38 3 10" xfId="11541"/>
    <cellStyle name="Normal 38 3 11" xfId="13293"/>
    <cellStyle name="Normal 38 3 12" xfId="15045"/>
    <cellStyle name="Normal 38 3 13" xfId="16798"/>
    <cellStyle name="Normal 38 3 14" xfId="18550"/>
    <cellStyle name="Normal 38 3 15" xfId="20303"/>
    <cellStyle name="Normal 38 3 16" xfId="22055"/>
    <cellStyle name="Normal 38 3 17" xfId="23807"/>
    <cellStyle name="Normal 38 3 18" xfId="25559"/>
    <cellStyle name="Normal 38 3 19" xfId="27311"/>
    <cellStyle name="Normal 38 3 2" xfId="1685"/>
    <cellStyle name="Normal 38 3 2 10" xfId="13508"/>
    <cellStyle name="Normal 38 3 2 11" xfId="15260"/>
    <cellStyle name="Normal 38 3 2 12" xfId="17013"/>
    <cellStyle name="Normal 38 3 2 13" xfId="18765"/>
    <cellStyle name="Normal 38 3 2 14" xfId="20518"/>
    <cellStyle name="Normal 38 3 2 15" xfId="22270"/>
    <cellStyle name="Normal 38 3 2 16" xfId="24022"/>
    <cellStyle name="Normal 38 3 2 17" xfId="25774"/>
    <cellStyle name="Normal 38 3 2 18" xfId="27526"/>
    <cellStyle name="Normal 38 3 2 19" xfId="29279"/>
    <cellStyle name="Normal 38 3 2 2" xfId="1686"/>
    <cellStyle name="Normal 38 3 2 2 10" xfId="15696"/>
    <cellStyle name="Normal 38 3 2 2 11" xfId="17449"/>
    <cellStyle name="Normal 38 3 2 2 12" xfId="19201"/>
    <cellStyle name="Normal 38 3 2 2 13" xfId="20954"/>
    <cellStyle name="Normal 38 3 2 2 14" xfId="22706"/>
    <cellStyle name="Normal 38 3 2 2 15" xfId="24458"/>
    <cellStyle name="Normal 38 3 2 2 16" xfId="26210"/>
    <cellStyle name="Normal 38 3 2 2 17" xfId="27962"/>
    <cellStyle name="Normal 38 3 2 2 18" xfId="29715"/>
    <cellStyle name="Normal 38 3 2 2 19" xfId="31467"/>
    <cellStyle name="Normal 38 3 2 2 2" xfId="1687"/>
    <cellStyle name="Normal 38 3 2 2 2 10" xfId="18325"/>
    <cellStyle name="Normal 38 3 2 2 2 11" xfId="20077"/>
    <cellStyle name="Normal 38 3 2 2 2 12" xfId="21830"/>
    <cellStyle name="Normal 38 3 2 2 2 13" xfId="23582"/>
    <cellStyle name="Normal 38 3 2 2 2 14" xfId="25334"/>
    <cellStyle name="Normal 38 3 2 2 2 15" xfId="27086"/>
    <cellStyle name="Normal 38 3 2 2 2 16" xfId="28838"/>
    <cellStyle name="Normal 38 3 2 2 2 17" xfId="30591"/>
    <cellStyle name="Normal 38 3 2 2 2 18" xfId="32343"/>
    <cellStyle name="Normal 38 3 2 2 2 19" xfId="34096"/>
    <cellStyle name="Normal 38 3 2 2 2 2" xfId="4307"/>
    <cellStyle name="Normal 38 3 2 2 2 20" xfId="36732"/>
    <cellStyle name="Normal 38 3 2 2 2 21" xfId="38472"/>
    <cellStyle name="Normal 38 3 2 2 2 22" xfId="40225"/>
    <cellStyle name="Normal 38 3 2 2 2 23" xfId="41980"/>
    <cellStyle name="Normal 38 3 2 2 2 24" xfId="43732"/>
    <cellStyle name="Normal 38 3 2 2 2 25" xfId="46350"/>
    <cellStyle name="Normal 38 3 2 2 2 26" xfId="48102"/>
    <cellStyle name="Normal 38 3 2 2 2 27" xfId="49854"/>
    <cellStyle name="Normal 38 3 2 2 2 28" xfId="51606"/>
    <cellStyle name="Normal 38 3 2 2 2 29" xfId="53358"/>
    <cellStyle name="Normal 38 3 2 2 2 3" xfId="6059"/>
    <cellStyle name="Normal 38 3 2 2 2 30" xfId="55110"/>
    <cellStyle name="Normal 38 3 2 2 2 31" xfId="56862"/>
    <cellStyle name="Normal 38 3 2 2 2 32" xfId="58615"/>
    <cellStyle name="Normal 38 3 2 2 2 33" xfId="60367"/>
    <cellStyle name="Normal 38 3 2 2 2 34" xfId="62119"/>
    <cellStyle name="Normal 38 3 2 2 2 4" xfId="7811"/>
    <cellStyle name="Normal 38 3 2 2 2 5" xfId="9563"/>
    <cellStyle name="Normal 38 3 2 2 2 6" xfId="11316"/>
    <cellStyle name="Normal 38 3 2 2 2 7" xfId="13068"/>
    <cellStyle name="Normal 38 3 2 2 2 8" xfId="14820"/>
    <cellStyle name="Normal 38 3 2 2 2 9" xfId="16572"/>
    <cellStyle name="Normal 38 3 2 2 20" xfId="33220"/>
    <cellStyle name="Normal 38 3 2 2 21" xfId="34776"/>
    <cellStyle name="Normal 38 3 2 2 22" xfId="35856"/>
    <cellStyle name="Normal 38 3 2 2 23" xfId="37397"/>
    <cellStyle name="Normal 38 3 2 2 24" xfId="39349"/>
    <cellStyle name="Normal 38 3 2 2 25" xfId="41104"/>
    <cellStyle name="Normal 38 3 2 2 26" xfId="42856"/>
    <cellStyle name="Normal 38 3 2 2 27" xfId="44397"/>
    <cellStyle name="Normal 38 3 2 2 28" xfId="45474"/>
    <cellStyle name="Normal 38 3 2 2 29" xfId="47226"/>
    <cellStyle name="Normal 38 3 2 2 3" xfId="3431"/>
    <cellStyle name="Normal 38 3 2 2 30" xfId="48978"/>
    <cellStyle name="Normal 38 3 2 2 31" xfId="50730"/>
    <cellStyle name="Normal 38 3 2 2 32" xfId="52482"/>
    <cellStyle name="Normal 38 3 2 2 33" xfId="54234"/>
    <cellStyle name="Normal 38 3 2 2 34" xfId="55986"/>
    <cellStyle name="Normal 38 3 2 2 35" xfId="57739"/>
    <cellStyle name="Normal 38 3 2 2 36" xfId="59491"/>
    <cellStyle name="Normal 38 3 2 2 37" xfId="61243"/>
    <cellStyle name="Normal 38 3 2 2 38" xfId="62784"/>
    <cellStyle name="Normal 38 3 2 2 39" xfId="63650"/>
    <cellStyle name="Normal 38 3 2 2 4" xfId="5183"/>
    <cellStyle name="Normal 38 3 2 2 5" xfId="6935"/>
    <cellStyle name="Normal 38 3 2 2 6" xfId="8687"/>
    <cellStyle name="Normal 38 3 2 2 7" xfId="10440"/>
    <cellStyle name="Normal 38 3 2 2 8" xfId="12192"/>
    <cellStyle name="Normal 38 3 2 2 9" xfId="13944"/>
    <cellStyle name="Normal 38 3 2 20" xfId="31031"/>
    <cellStyle name="Normal 38 3 2 21" xfId="32784"/>
    <cellStyle name="Normal 38 3 2 22" xfId="34775"/>
    <cellStyle name="Normal 38 3 2 23" xfId="35420"/>
    <cellStyle name="Normal 38 3 2 24" xfId="37396"/>
    <cellStyle name="Normal 38 3 2 25" xfId="38913"/>
    <cellStyle name="Normal 38 3 2 26" xfId="40668"/>
    <cellStyle name="Normal 38 3 2 27" xfId="42420"/>
    <cellStyle name="Normal 38 3 2 28" xfId="44396"/>
    <cellStyle name="Normal 38 3 2 29" xfId="45038"/>
    <cellStyle name="Normal 38 3 2 3" xfId="1688"/>
    <cellStyle name="Normal 38 3 2 3 10" xfId="17889"/>
    <cellStyle name="Normal 38 3 2 3 11" xfId="19641"/>
    <cellStyle name="Normal 38 3 2 3 12" xfId="21394"/>
    <cellStyle name="Normal 38 3 2 3 13" xfId="23146"/>
    <cellStyle name="Normal 38 3 2 3 14" xfId="24898"/>
    <cellStyle name="Normal 38 3 2 3 15" xfId="26650"/>
    <cellStyle name="Normal 38 3 2 3 16" xfId="28402"/>
    <cellStyle name="Normal 38 3 2 3 17" xfId="30155"/>
    <cellStyle name="Normal 38 3 2 3 18" xfId="31907"/>
    <cellStyle name="Normal 38 3 2 3 19" xfId="33660"/>
    <cellStyle name="Normal 38 3 2 3 2" xfId="3871"/>
    <cellStyle name="Normal 38 3 2 3 20" xfId="36296"/>
    <cellStyle name="Normal 38 3 2 3 21" xfId="38036"/>
    <cellStyle name="Normal 38 3 2 3 22" xfId="39789"/>
    <cellStyle name="Normal 38 3 2 3 23" xfId="41544"/>
    <cellStyle name="Normal 38 3 2 3 24" xfId="43296"/>
    <cellStyle name="Normal 38 3 2 3 25" xfId="45914"/>
    <cellStyle name="Normal 38 3 2 3 26" xfId="47666"/>
    <cellStyle name="Normal 38 3 2 3 27" xfId="49418"/>
    <cellStyle name="Normal 38 3 2 3 28" xfId="51170"/>
    <cellStyle name="Normal 38 3 2 3 29" xfId="52922"/>
    <cellStyle name="Normal 38 3 2 3 3" xfId="5623"/>
    <cellStyle name="Normal 38 3 2 3 30" xfId="54674"/>
    <cellStyle name="Normal 38 3 2 3 31" xfId="56426"/>
    <cellStyle name="Normal 38 3 2 3 32" xfId="58179"/>
    <cellStyle name="Normal 38 3 2 3 33" xfId="59931"/>
    <cellStyle name="Normal 38 3 2 3 34" xfId="61683"/>
    <cellStyle name="Normal 38 3 2 3 4" xfId="7375"/>
    <cellStyle name="Normal 38 3 2 3 5" xfId="9127"/>
    <cellStyle name="Normal 38 3 2 3 6" xfId="10880"/>
    <cellStyle name="Normal 38 3 2 3 7" xfId="12632"/>
    <cellStyle name="Normal 38 3 2 3 8" xfId="14384"/>
    <cellStyle name="Normal 38 3 2 3 9" xfId="16136"/>
    <cellStyle name="Normal 38 3 2 30" xfId="46790"/>
    <cellStyle name="Normal 38 3 2 31" xfId="48542"/>
    <cellStyle name="Normal 38 3 2 32" xfId="50294"/>
    <cellStyle name="Normal 38 3 2 33" xfId="52046"/>
    <cellStyle name="Normal 38 3 2 34" xfId="53798"/>
    <cellStyle name="Normal 38 3 2 35" xfId="55550"/>
    <cellStyle name="Normal 38 3 2 36" xfId="57303"/>
    <cellStyle name="Normal 38 3 2 37" xfId="59055"/>
    <cellStyle name="Normal 38 3 2 38" xfId="60807"/>
    <cellStyle name="Normal 38 3 2 39" xfId="62783"/>
    <cellStyle name="Normal 38 3 2 4" xfId="2995"/>
    <cellStyle name="Normal 38 3 2 40" xfId="63649"/>
    <cellStyle name="Normal 38 3 2 5" xfId="4747"/>
    <cellStyle name="Normal 38 3 2 6" xfId="6499"/>
    <cellStyle name="Normal 38 3 2 7" xfId="8251"/>
    <cellStyle name="Normal 38 3 2 8" xfId="10004"/>
    <cellStyle name="Normal 38 3 2 9" xfId="11756"/>
    <cellStyle name="Normal 38 3 20" xfId="29064"/>
    <cellStyle name="Normal 38 3 21" xfId="30816"/>
    <cellStyle name="Normal 38 3 22" xfId="32569"/>
    <cellStyle name="Normal 38 3 23" xfId="34774"/>
    <cellStyle name="Normal 38 3 24" xfId="35205"/>
    <cellStyle name="Normal 38 3 25" xfId="37395"/>
    <cellStyle name="Normal 38 3 26" xfId="38698"/>
    <cellStyle name="Normal 38 3 27" xfId="40453"/>
    <cellStyle name="Normal 38 3 28" xfId="42205"/>
    <cellStyle name="Normal 38 3 29" xfId="44395"/>
    <cellStyle name="Normal 38 3 3" xfId="1689"/>
    <cellStyle name="Normal 38 3 3 10" xfId="15481"/>
    <cellStyle name="Normal 38 3 3 11" xfId="17234"/>
    <cellStyle name="Normal 38 3 3 12" xfId="18986"/>
    <cellStyle name="Normal 38 3 3 13" xfId="20739"/>
    <cellStyle name="Normal 38 3 3 14" xfId="22491"/>
    <cellStyle name="Normal 38 3 3 15" xfId="24243"/>
    <cellStyle name="Normal 38 3 3 16" xfId="25995"/>
    <cellStyle name="Normal 38 3 3 17" xfId="27747"/>
    <cellStyle name="Normal 38 3 3 18" xfId="29500"/>
    <cellStyle name="Normal 38 3 3 19" xfId="31252"/>
    <cellStyle name="Normal 38 3 3 2" xfId="1690"/>
    <cellStyle name="Normal 38 3 3 2 10" xfId="18110"/>
    <cellStyle name="Normal 38 3 3 2 11" xfId="19862"/>
    <cellStyle name="Normal 38 3 3 2 12" xfId="21615"/>
    <cellStyle name="Normal 38 3 3 2 13" xfId="23367"/>
    <cellStyle name="Normal 38 3 3 2 14" xfId="25119"/>
    <cellStyle name="Normal 38 3 3 2 15" xfId="26871"/>
    <cellStyle name="Normal 38 3 3 2 16" xfId="28623"/>
    <cellStyle name="Normal 38 3 3 2 17" xfId="30376"/>
    <cellStyle name="Normal 38 3 3 2 18" xfId="32128"/>
    <cellStyle name="Normal 38 3 3 2 19" xfId="33881"/>
    <cellStyle name="Normal 38 3 3 2 2" xfId="4092"/>
    <cellStyle name="Normal 38 3 3 2 20" xfId="36517"/>
    <cellStyle name="Normal 38 3 3 2 21" xfId="38257"/>
    <cellStyle name="Normal 38 3 3 2 22" xfId="40010"/>
    <cellStyle name="Normal 38 3 3 2 23" xfId="41765"/>
    <cellStyle name="Normal 38 3 3 2 24" xfId="43517"/>
    <cellStyle name="Normal 38 3 3 2 25" xfId="46135"/>
    <cellStyle name="Normal 38 3 3 2 26" xfId="47887"/>
    <cellStyle name="Normal 38 3 3 2 27" xfId="49639"/>
    <cellStyle name="Normal 38 3 3 2 28" xfId="51391"/>
    <cellStyle name="Normal 38 3 3 2 29" xfId="53143"/>
    <cellStyle name="Normal 38 3 3 2 3" xfId="5844"/>
    <cellStyle name="Normal 38 3 3 2 30" xfId="54895"/>
    <cellStyle name="Normal 38 3 3 2 31" xfId="56647"/>
    <cellStyle name="Normal 38 3 3 2 32" xfId="58400"/>
    <cellStyle name="Normal 38 3 3 2 33" xfId="60152"/>
    <cellStyle name="Normal 38 3 3 2 34" xfId="61904"/>
    <cellStyle name="Normal 38 3 3 2 4" xfId="7596"/>
    <cellStyle name="Normal 38 3 3 2 5" xfId="9348"/>
    <cellStyle name="Normal 38 3 3 2 6" xfId="11101"/>
    <cellStyle name="Normal 38 3 3 2 7" xfId="12853"/>
    <cellStyle name="Normal 38 3 3 2 8" xfId="14605"/>
    <cellStyle name="Normal 38 3 3 2 9" xfId="16357"/>
    <cellStyle name="Normal 38 3 3 20" xfId="33005"/>
    <cellStyle name="Normal 38 3 3 21" xfId="34777"/>
    <cellStyle name="Normal 38 3 3 22" xfId="35641"/>
    <cellStyle name="Normal 38 3 3 23" xfId="37398"/>
    <cellStyle name="Normal 38 3 3 24" xfId="39134"/>
    <cellStyle name="Normal 38 3 3 25" xfId="40889"/>
    <cellStyle name="Normal 38 3 3 26" xfId="42641"/>
    <cellStyle name="Normal 38 3 3 27" xfId="44398"/>
    <cellStyle name="Normal 38 3 3 28" xfId="45259"/>
    <cellStyle name="Normal 38 3 3 29" xfId="47011"/>
    <cellStyle name="Normal 38 3 3 3" xfId="3216"/>
    <cellStyle name="Normal 38 3 3 30" xfId="48763"/>
    <cellStyle name="Normal 38 3 3 31" xfId="50515"/>
    <cellStyle name="Normal 38 3 3 32" xfId="52267"/>
    <cellStyle name="Normal 38 3 3 33" xfId="54019"/>
    <cellStyle name="Normal 38 3 3 34" xfId="55771"/>
    <cellStyle name="Normal 38 3 3 35" xfId="57524"/>
    <cellStyle name="Normal 38 3 3 36" xfId="59276"/>
    <cellStyle name="Normal 38 3 3 37" xfId="61028"/>
    <cellStyle name="Normal 38 3 3 38" xfId="62785"/>
    <cellStyle name="Normal 38 3 3 39" xfId="63651"/>
    <cellStyle name="Normal 38 3 3 4" xfId="4968"/>
    <cellStyle name="Normal 38 3 3 5" xfId="6720"/>
    <cellStyle name="Normal 38 3 3 6" xfId="8472"/>
    <cellStyle name="Normal 38 3 3 7" xfId="10225"/>
    <cellStyle name="Normal 38 3 3 8" xfId="11977"/>
    <cellStyle name="Normal 38 3 3 9" xfId="13729"/>
    <cellStyle name="Normal 38 3 30" xfId="44823"/>
    <cellStyle name="Normal 38 3 31" xfId="46575"/>
    <cellStyle name="Normal 38 3 32" xfId="48327"/>
    <cellStyle name="Normal 38 3 33" xfId="50079"/>
    <cellStyle name="Normal 38 3 34" xfId="51831"/>
    <cellStyle name="Normal 38 3 35" xfId="53583"/>
    <cellStyle name="Normal 38 3 36" xfId="55335"/>
    <cellStyle name="Normal 38 3 37" xfId="57088"/>
    <cellStyle name="Normal 38 3 38" xfId="58840"/>
    <cellStyle name="Normal 38 3 39" xfId="60592"/>
    <cellStyle name="Normal 38 3 4" xfId="1691"/>
    <cellStyle name="Normal 38 3 4 10" xfId="17674"/>
    <cellStyle name="Normal 38 3 4 11" xfId="19426"/>
    <cellStyle name="Normal 38 3 4 12" xfId="21179"/>
    <cellStyle name="Normal 38 3 4 13" xfId="22931"/>
    <cellStyle name="Normal 38 3 4 14" xfId="24683"/>
    <cellStyle name="Normal 38 3 4 15" xfId="26435"/>
    <cellStyle name="Normal 38 3 4 16" xfId="28187"/>
    <cellStyle name="Normal 38 3 4 17" xfId="29940"/>
    <cellStyle name="Normal 38 3 4 18" xfId="31692"/>
    <cellStyle name="Normal 38 3 4 19" xfId="33445"/>
    <cellStyle name="Normal 38 3 4 2" xfId="3656"/>
    <cellStyle name="Normal 38 3 4 20" xfId="36081"/>
    <cellStyle name="Normal 38 3 4 21" xfId="37821"/>
    <cellStyle name="Normal 38 3 4 22" xfId="39574"/>
    <cellStyle name="Normal 38 3 4 23" xfId="41329"/>
    <cellStyle name="Normal 38 3 4 24" xfId="43081"/>
    <cellStyle name="Normal 38 3 4 25" xfId="45699"/>
    <cellStyle name="Normal 38 3 4 26" xfId="47451"/>
    <cellStyle name="Normal 38 3 4 27" xfId="49203"/>
    <cellStyle name="Normal 38 3 4 28" xfId="50955"/>
    <cellStyle name="Normal 38 3 4 29" xfId="52707"/>
    <cellStyle name="Normal 38 3 4 3" xfId="5408"/>
    <cellStyle name="Normal 38 3 4 30" xfId="54459"/>
    <cellStyle name="Normal 38 3 4 31" xfId="56211"/>
    <cellStyle name="Normal 38 3 4 32" xfId="57964"/>
    <cellStyle name="Normal 38 3 4 33" xfId="59716"/>
    <cellStyle name="Normal 38 3 4 34" xfId="61468"/>
    <cellStyle name="Normal 38 3 4 4" xfId="7160"/>
    <cellStyle name="Normal 38 3 4 5" xfId="8912"/>
    <cellStyle name="Normal 38 3 4 6" xfId="10665"/>
    <cellStyle name="Normal 38 3 4 7" xfId="12417"/>
    <cellStyle name="Normal 38 3 4 8" xfId="14169"/>
    <cellStyle name="Normal 38 3 4 9" xfId="15921"/>
    <cellStyle name="Normal 38 3 40" xfId="62782"/>
    <cellStyle name="Normal 38 3 41" xfId="63648"/>
    <cellStyle name="Normal 38 3 5" xfId="2780"/>
    <cellStyle name="Normal 38 3 6" xfId="4532"/>
    <cellStyle name="Normal 38 3 7" xfId="6284"/>
    <cellStyle name="Normal 38 3 8" xfId="8036"/>
    <cellStyle name="Normal 38 3 9" xfId="9789"/>
    <cellStyle name="Normal 38 30" xfId="42097"/>
    <cellStyle name="Normal 38 31" xfId="44386"/>
    <cellStyle name="Normal 38 32" xfId="44715"/>
    <cellStyle name="Normal 38 33" xfId="46467"/>
    <cellStyle name="Normal 38 34" xfId="48219"/>
    <cellStyle name="Normal 38 35" xfId="49971"/>
    <cellStyle name="Normal 38 36" xfId="51723"/>
    <cellStyle name="Normal 38 37" xfId="53475"/>
    <cellStyle name="Normal 38 38" xfId="55227"/>
    <cellStyle name="Normal 38 39" xfId="56980"/>
    <cellStyle name="Normal 38 4" xfId="1692"/>
    <cellStyle name="Normal 38 4 10" xfId="13509"/>
    <cellStyle name="Normal 38 4 11" xfId="15261"/>
    <cellStyle name="Normal 38 4 12" xfId="17014"/>
    <cellStyle name="Normal 38 4 13" xfId="18766"/>
    <cellStyle name="Normal 38 4 14" xfId="20519"/>
    <cellStyle name="Normal 38 4 15" xfId="22271"/>
    <cellStyle name="Normal 38 4 16" xfId="24023"/>
    <cellStyle name="Normal 38 4 17" xfId="25775"/>
    <cellStyle name="Normal 38 4 18" xfId="27527"/>
    <cellStyle name="Normal 38 4 19" xfId="29280"/>
    <cellStyle name="Normal 38 4 2" xfId="1693"/>
    <cellStyle name="Normal 38 4 2 10" xfId="15697"/>
    <cellStyle name="Normal 38 4 2 11" xfId="17450"/>
    <cellStyle name="Normal 38 4 2 12" xfId="19202"/>
    <cellStyle name="Normal 38 4 2 13" xfId="20955"/>
    <cellStyle name="Normal 38 4 2 14" xfId="22707"/>
    <cellStyle name="Normal 38 4 2 15" xfId="24459"/>
    <cellStyle name="Normal 38 4 2 16" xfId="26211"/>
    <cellStyle name="Normal 38 4 2 17" xfId="27963"/>
    <cellStyle name="Normal 38 4 2 18" xfId="29716"/>
    <cellStyle name="Normal 38 4 2 19" xfId="31468"/>
    <cellStyle name="Normal 38 4 2 2" xfId="1694"/>
    <cellStyle name="Normal 38 4 2 2 10" xfId="18326"/>
    <cellStyle name="Normal 38 4 2 2 11" xfId="20078"/>
    <cellStyle name="Normal 38 4 2 2 12" xfId="21831"/>
    <cellStyle name="Normal 38 4 2 2 13" xfId="23583"/>
    <cellStyle name="Normal 38 4 2 2 14" xfId="25335"/>
    <cellStyle name="Normal 38 4 2 2 15" xfId="27087"/>
    <cellStyle name="Normal 38 4 2 2 16" xfId="28839"/>
    <cellStyle name="Normal 38 4 2 2 17" xfId="30592"/>
    <cellStyle name="Normal 38 4 2 2 18" xfId="32344"/>
    <cellStyle name="Normal 38 4 2 2 19" xfId="34097"/>
    <cellStyle name="Normal 38 4 2 2 2" xfId="4308"/>
    <cellStyle name="Normal 38 4 2 2 20" xfId="36733"/>
    <cellStyle name="Normal 38 4 2 2 21" xfId="38473"/>
    <cellStyle name="Normal 38 4 2 2 22" xfId="40226"/>
    <cellStyle name="Normal 38 4 2 2 23" xfId="41981"/>
    <cellStyle name="Normal 38 4 2 2 24" xfId="43733"/>
    <cellStyle name="Normal 38 4 2 2 25" xfId="46351"/>
    <cellStyle name="Normal 38 4 2 2 26" xfId="48103"/>
    <cellStyle name="Normal 38 4 2 2 27" xfId="49855"/>
    <cellStyle name="Normal 38 4 2 2 28" xfId="51607"/>
    <cellStyle name="Normal 38 4 2 2 29" xfId="53359"/>
    <cellStyle name="Normal 38 4 2 2 3" xfId="6060"/>
    <cellStyle name="Normal 38 4 2 2 30" xfId="55111"/>
    <cellStyle name="Normal 38 4 2 2 31" xfId="56863"/>
    <cellStyle name="Normal 38 4 2 2 32" xfId="58616"/>
    <cellStyle name="Normal 38 4 2 2 33" xfId="60368"/>
    <cellStyle name="Normal 38 4 2 2 34" xfId="62120"/>
    <cellStyle name="Normal 38 4 2 2 4" xfId="7812"/>
    <cellStyle name="Normal 38 4 2 2 5" xfId="9564"/>
    <cellStyle name="Normal 38 4 2 2 6" xfId="11317"/>
    <cellStyle name="Normal 38 4 2 2 7" xfId="13069"/>
    <cellStyle name="Normal 38 4 2 2 8" xfId="14821"/>
    <cellStyle name="Normal 38 4 2 2 9" xfId="16573"/>
    <cellStyle name="Normal 38 4 2 20" xfId="33221"/>
    <cellStyle name="Normal 38 4 2 21" xfId="34779"/>
    <cellStyle name="Normal 38 4 2 22" xfId="35857"/>
    <cellStyle name="Normal 38 4 2 23" xfId="37400"/>
    <cellStyle name="Normal 38 4 2 24" xfId="39350"/>
    <cellStyle name="Normal 38 4 2 25" xfId="41105"/>
    <cellStyle name="Normal 38 4 2 26" xfId="42857"/>
    <cellStyle name="Normal 38 4 2 27" xfId="44400"/>
    <cellStyle name="Normal 38 4 2 28" xfId="45475"/>
    <cellStyle name="Normal 38 4 2 29" xfId="47227"/>
    <cellStyle name="Normal 38 4 2 3" xfId="3432"/>
    <cellStyle name="Normal 38 4 2 30" xfId="48979"/>
    <cellStyle name="Normal 38 4 2 31" xfId="50731"/>
    <cellStyle name="Normal 38 4 2 32" xfId="52483"/>
    <cellStyle name="Normal 38 4 2 33" xfId="54235"/>
    <cellStyle name="Normal 38 4 2 34" xfId="55987"/>
    <cellStyle name="Normal 38 4 2 35" xfId="57740"/>
    <cellStyle name="Normal 38 4 2 36" xfId="59492"/>
    <cellStyle name="Normal 38 4 2 37" xfId="61244"/>
    <cellStyle name="Normal 38 4 2 38" xfId="62787"/>
    <cellStyle name="Normal 38 4 2 39" xfId="63653"/>
    <cellStyle name="Normal 38 4 2 4" xfId="5184"/>
    <cellStyle name="Normal 38 4 2 5" xfId="6936"/>
    <cellStyle name="Normal 38 4 2 6" xfId="8688"/>
    <cellStyle name="Normal 38 4 2 7" xfId="10441"/>
    <cellStyle name="Normal 38 4 2 8" xfId="12193"/>
    <cellStyle name="Normal 38 4 2 9" xfId="13945"/>
    <cellStyle name="Normal 38 4 20" xfId="31032"/>
    <cellStyle name="Normal 38 4 21" xfId="32785"/>
    <cellStyle name="Normal 38 4 22" xfId="34778"/>
    <cellStyle name="Normal 38 4 23" xfId="35421"/>
    <cellStyle name="Normal 38 4 24" xfId="37399"/>
    <cellStyle name="Normal 38 4 25" xfId="38914"/>
    <cellStyle name="Normal 38 4 26" xfId="40669"/>
    <cellStyle name="Normal 38 4 27" xfId="42421"/>
    <cellStyle name="Normal 38 4 28" xfId="44399"/>
    <cellStyle name="Normal 38 4 29" xfId="45039"/>
    <cellStyle name="Normal 38 4 3" xfId="1695"/>
    <cellStyle name="Normal 38 4 3 10" xfId="17890"/>
    <cellStyle name="Normal 38 4 3 11" xfId="19642"/>
    <cellStyle name="Normal 38 4 3 12" xfId="21395"/>
    <cellStyle name="Normal 38 4 3 13" xfId="23147"/>
    <cellStyle name="Normal 38 4 3 14" xfId="24899"/>
    <cellStyle name="Normal 38 4 3 15" xfId="26651"/>
    <cellStyle name="Normal 38 4 3 16" xfId="28403"/>
    <cellStyle name="Normal 38 4 3 17" xfId="30156"/>
    <cellStyle name="Normal 38 4 3 18" xfId="31908"/>
    <cellStyle name="Normal 38 4 3 19" xfId="33661"/>
    <cellStyle name="Normal 38 4 3 2" xfId="3872"/>
    <cellStyle name="Normal 38 4 3 20" xfId="36297"/>
    <cellStyle name="Normal 38 4 3 21" xfId="38037"/>
    <cellStyle name="Normal 38 4 3 22" xfId="39790"/>
    <cellStyle name="Normal 38 4 3 23" xfId="41545"/>
    <cellStyle name="Normal 38 4 3 24" xfId="43297"/>
    <cellStyle name="Normal 38 4 3 25" xfId="45915"/>
    <cellStyle name="Normal 38 4 3 26" xfId="47667"/>
    <cellStyle name="Normal 38 4 3 27" xfId="49419"/>
    <cellStyle name="Normal 38 4 3 28" xfId="51171"/>
    <cellStyle name="Normal 38 4 3 29" xfId="52923"/>
    <cellStyle name="Normal 38 4 3 3" xfId="5624"/>
    <cellStyle name="Normal 38 4 3 30" xfId="54675"/>
    <cellStyle name="Normal 38 4 3 31" xfId="56427"/>
    <cellStyle name="Normal 38 4 3 32" xfId="58180"/>
    <cellStyle name="Normal 38 4 3 33" xfId="59932"/>
    <cellStyle name="Normal 38 4 3 34" xfId="61684"/>
    <cellStyle name="Normal 38 4 3 4" xfId="7376"/>
    <cellStyle name="Normal 38 4 3 5" xfId="9128"/>
    <cellStyle name="Normal 38 4 3 6" xfId="10881"/>
    <cellStyle name="Normal 38 4 3 7" xfId="12633"/>
    <cellStyle name="Normal 38 4 3 8" xfId="14385"/>
    <cellStyle name="Normal 38 4 3 9" xfId="16137"/>
    <cellStyle name="Normal 38 4 30" xfId="46791"/>
    <cellStyle name="Normal 38 4 31" xfId="48543"/>
    <cellStyle name="Normal 38 4 32" xfId="50295"/>
    <cellStyle name="Normal 38 4 33" xfId="52047"/>
    <cellStyle name="Normal 38 4 34" xfId="53799"/>
    <cellStyle name="Normal 38 4 35" xfId="55551"/>
    <cellStyle name="Normal 38 4 36" xfId="57304"/>
    <cellStyle name="Normal 38 4 37" xfId="59056"/>
    <cellStyle name="Normal 38 4 38" xfId="60808"/>
    <cellStyle name="Normal 38 4 39" xfId="62786"/>
    <cellStyle name="Normal 38 4 4" xfId="2996"/>
    <cellStyle name="Normal 38 4 40" xfId="63652"/>
    <cellStyle name="Normal 38 4 5" xfId="4748"/>
    <cellStyle name="Normal 38 4 6" xfId="6500"/>
    <cellStyle name="Normal 38 4 7" xfId="8252"/>
    <cellStyle name="Normal 38 4 8" xfId="10005"/>
    <cellStyle name="Normal 38 4 9" xfId="11757"/>
    <cellStyle name="Normal 38 40" xfId="58732"/>
    <cellStyle name="Normal 38 41" xfId="60484"/>
    <cellStyle name="Normal 38 42" xfId="62773"/>
    <cellStyle name="Normal 38 43" xfId="63639"/>
    <cellStyle name="Normal 38 5" xfId="1696"/>
    <cellStyle name="Normal 38 5 10" xfId="15373"/>
    <cellStyle name="Normal 38 5 11" xfId="17126"/>
    <cellStyle name="Normal 38 5 12" xfId="18878"/>
    <cellStyle name="Normal 38 5 13" xfId="20631"/>
    <cellStyle name="Normal 38 5 14" xfId="22383"/>
    <cellStyle name="Normal 38 5 15" xfId="24135"/>
    <cellStyle name="Normal 38 5 16" xfId="25887"/>
    <cellStyle name="Normal 38 5 17" xfId="27639"/>
    <cellStyle name="Normal 38 5 18" xfId="29392"/>
    <cellStyle name="Normal 38 5 19" xfId="31144"/>
    <cellStyle name="Normal 38 5 2" xfId="1697"/>
    <cellStyle name="Normal 38 5 2 10" xfId="18002"/>
    <cellStyle name="Normal 38 5 2 11" xfId="19754"/>
    <cellStyle name="Normal 38 5 2 12" xfId="21507"/>
    <cellStyle name="Normal 38 5 2 13" xfId="23259"/>
    <cellStyle name="Normal 38 5 2 14" xfId="25011"/>
    <cellStyle name="Normal 38 5 2 15" xfId="26763"/>
    <cellStyle name="Normal 38 5 2 16" xfId="28515"/>
    <cellStyle name="Normal 38 5 2 17" xfId="30268"/>
    <cellStyle name="Normal 38 5 2 18" xfId="32020"/>
    <cellStyle name="Normal 38 5 2 19" xfId="33773"/>
    <cellStyle name="Normal 38 5 2 2" xfId="3984"/>
    <cellStyle name="Normal 38 5 2 20" xfId="36409"/>
    <cellStyle name="Normal 38 5 2 21" xfId="38149"/>
    <cellStyle name="Normal 38 5 2 22" xfId="39902"/>
    <cellStyle name="Normal 38 5 2 23" xfId="41657"/>
    <cellStyle name="Normal 38 5 2 24" xfId="43409"/>
    <cellStyle name="Normal 38 5 2 25" xfId="46027"/>
    <cellStyle name="Normal 38 5 2 26" xfId="47779"/>
    <cellStyle name="Normal 38 5 2 27" xfId="49531"/>
    <cellStyle name="Normal 38 5 2 28" xfId="51283"/>
    <cellStyle name="Normal 38 5 2 29" xfId="53035"/>
    <cellStyle name="Normal 38 5 2 3" xfId="5736"/>
    <cellStyle name="Normal 38 5 2 30" xfId="54787"/>
    <cellStyle name="Normal 38 5 2 31" xfId="56539"/>
    <cellStyle name="Normal 38 5 2 32" xfId="58292"/>
    <cellStyle name="Normal 38 5 2 33" xfId="60044"/>
    <cellStyle name="Normal 38 5 2 34" xfId="61796"/>
    <cellStyle name="Normal 38 5 2 4" xfId="7488"/>
    <cellStyle name="Normal 38 5 2 5" xfId="9240"/>
    <cellStyle name="Normal 38 5 2 6" xfId="10993"/>
    <cellStyle name="Normal 38 5 2 7" xfId="12745"/>
    <cellStyle name="Normal 38 5 2 8" xfId="14497"/>
    <cellStyle name="Normal 38 5 2 9" xfId="16249"/>
    <cellStyle name="Normal 38 5 20" xfId="32897"/>
    <cellStyle name="Normal 38 5 21" xfId="34780"/>
    <cellStyle name="Normal 38 5 22" xfId="35533"/>
    <cellStyle name="Normal 38 5 23" xfId="37401"/>
    <cellStyle name="Normal 38 5 24" xfId="39026"/>
    <cellStyle name="Normal 38 5 25" xfId="40781"/>
    <cellStyle name="Normal 38 5 26" xfId="42533"/>
    <cellStyle name="Normal 38 5 27" xfId="44401"/>
    <cellStyle name="Normal 38 5 28" xfId="45151"/>
    <cellStyle name="Normal 38 5 29" xfId="46903"/>
    <cellStyle name="Normal 38 5 3" xfId="3108"/>
    <cellStyle name="Normal 38 5 30" xfId="48655"/>
    <cellStyle name="Normal 38 5 31" xfId="50407"/>
    <cellStyle name="Normal 38 5 32" xfId="52159"/>
    <cellStyle name="Normal 38 5 33" xfId="53911"/>
    <cellStyle name="Normal 38 5 34" xfId="55663"/>
    <cellStyle name="Normal 38 5 35" xfId="57416"/>
    <cellStyle name="Normal 38 5 36" xfId="59168"/>
    <cellStyle name="Normal 38 5 37" xfId="60920"/>
    <cellStyle name="Normal 38 5 38" xfId="62788"/>
    <cellStyle name="Normal 38 5 39" xfId="63654"/>
    <cellStyle name="Normal 38 5 4" xfId="4860"/>
    <cellStyle name="Normal 38 5 5" xfId="6612"/>
    <cellStyle name="Normal 38 5 6" xfId="8364"/>
    <cellStyle name="Normal 38 5 7" xfId="10117"/>
    <cellStyle name="Normal 38 5 8" xfId="11869"/>
    <cellStyle name="Normal 38 5 9" xfId="13621"/>
    <cellStyle name="Normal 38 6" xfId="1698"/>
    <cellStyle name="Normal 38 6 10" xfId="17566"/>
    <cellStyle name="Normal 38 6 11" xfId="19318"/>
    <cellStyle name="Normal 38 6 12" xfId="21071"/>
    <cellStyle name="Normal 38 6 13" xfId="22823"/>
    <cellStyle name="Normal 38 6 14" xfId="24575"/>
    <cellStyle name="Normal 38 6 15" xfId="26327"/>
    <cellStyle name="Normal 38 6 16" xfId="28079"/>
    <cellStyle name="Normal 38 6 17" xfId="29832"/>
    <cellStyle name="Normal 38 6 18" xfId="31584"/>
    <cellStyle name="Normal 38 6 19" xfId="33337"/>
    <cellStyle name="Normal 38 6 2" xfId="3548"/>
    <cellStyle name="Normal 38 6 20" xfId="35973"/>
    <cellStyle name="Normal 38 6 21" xfId="37678"/>
    <cellStyle name="Normal 38 6 22" xfId="39466"/>
    <cellStyle name="Normal 38 6 23" xfId="41221"/>
    <cellStyle name="Normal 38 6 24" xfId="42973"/>
    <cellStyle name="Normal 38 6 25" xfId="45591"/>
    <cellStyle name="Normal 38 6 26" xfId="47343"/>
    <cellStyle name="Normal 38 6 27" xfId="49095"/>
    <cellStyle name="Normal 38 6 28" xfId="50847"/>
    <cellStyle name="Normal 38 6 29" xfId="52599"/>
    <cellStyle name="Normal 38 6 3" xfId="5300"/>
    <cellStyle name="Normal 38 6 30" xfId="54351"/>
    <cellStyle name="Normal 38 6 31" xfId="56103"/>
    <cellStyle name="Normal 38 6 32" xfId="57856"/>
    <cellStyle name="Normal 38 6 33" xfId="59608"/>
    <cellStyle name="Normal 38 6 34" xfId="61360"/>
    <cellStyle name="Normal 38 6 4" xfId="7052"/>
    <cellStyle name="Normal 38 6 5" xfId="8804"/>
    <cellStyle name="Normal 38 6 6" xfId="10557"/>
    <cellStyle name="Normal 38 6 7" xfId="12309"/>
    <cellStyle name="Normal 38 6 8" xfId="14061"/>
    <cellStyle name="Normal 38 6 9" xfId="15813"/>
    <cellStyle name="Normal 38 7" xfId="2672"/>
    <cellStyle name="Normal 38 8" xfId="4424"/>
    <cellStyle name="Normal 38 9" xfId="6176"/>
    <cellStyle name="Normal 39" xfId="1699"/>
    <cellStyle name="Normal 39 10" xfId="7929"/>
    <cellStyle name="Normal 39 11" xfId="9682"/>
    <cellStyle name="Normal 39 12" xfId="11434"/>
    <cellStyle name="Normal 39 13" xfId="13186"/>
    <cellStyle name="Normal 39 14" xfId="14938"/>
    <cellStyle name="Normal 39 15" xfId="16691"/>
    <cellStyle name="Normal 39 16" xfId="18443"/>
    <cellStyle name="Normal 39 17" xfId="20196"/>
    <cellStyle name="Normal 39 18" xfId="21948"/>
    <cellStyle name="Normal 39 19" xfId="23700"/>
    <cellStyle name="Normal 39 2" xfId="1700"/>
    <cellStyle name="Normal 39 2 10" xfId="9737"/>
    <cellStyle name="Normal 39 2 11" xfId="11489"/>
    <cellStyle name="Normal 39 2 12" xfId="13241"/>
    <cellStyle name="Normal 39 2 13" xfId="14993"/>
    <cellStyle name="Normal 39 2 14" xfId="16746"/>
    <cellStyle name="Normal 39 2 15" xfId="18498"/>
    <cellStyle name="Normal 39 2 16" xfId="20251"/>
    <cellStyle name="Normal 39 2 17" xfId="22003"/>
    <cellStyle name="Normal 39 2 18" xfId="23755"/>
    <cellStyle name="Normal 39 2 19" xfId="25507"/>
    <cellStyle name="Normal 39 2 2" xfId="1701"/>
    <cellStyle name="Normal 39 2 2 10" xfId="11597"/>
    <cellStyle name="Normal 39 2 2 11" xfId="13349"/>
    <cellStyle name="Normal 39 2 2 12" xfId="15101"/>
    <cellStyle name="Normal 39 2 2 13" xfId="16854"/>
    <cellStyle name="Normal 39 2 2 14" xfId="18606"/>
    <cellStyle name="Normal 39 2 2 15" xfId="20359"/>
    <cellStyle name="Normal 39 2 2 16" xfId="22111"/>
    <cellStyle name="Normal 39 2 2 17" xfId="23863"/>
    <cellStyle name="Normal 39 2 2 18" xfId="25615"/>
    <cellStyle name="Normal 39 2 2 19" xfId="27367"/>
    <cellStyle name="Normal 39 2 2 2" xfId="1702"/>
    <cellStyle name="Normal 39 2 2 2 10" xfId="13510"/>
    <cellStyle name="Normal 39 2 2 2 11" xfId="15262"/>
    <cellStyle name="Normal 39 2 2 2 12" xfId="17015"/>
    <cellStyle name="Normal 39 2 2 2 13" xfId="18767"/>
    <cellStyle name="Normal 39 2 2 2 14" xfId="20520"/>
    <cellStyle name="Normal 39 2 2 2 15" xfId="22272"/>
    <cellStyle name="Normal 39 2 2 2 16" xfId="24024"/>
    <cellStyle name="Normal 39 2 2 2 17" xfId="25776"/>
    <cellStyle name="Normal 39 2 2 2 18" xfId="27528"/>
    <cellStyle name="Normal 39 2 2 2 19" xfId="29281"/>
    <cellStyle name="Normal 39 2 2 2 2" xfId="1703"/>
    <cellStyle name="Normal 39 2 2 2 2 10" xfId="15698"/>
    <cellStyle name="Normal 39 2 2 2 2 11" xfId="17451"/>
    <cellStyle name="Normal 39 2 2 2 2 12" xfId="19203"/>
    <cellStyle name="Normal 39 2 2 2 2 13" xfId="20956"/>
    <cellStyle name="Normal 39 2 2 2 2 14" xfId="22708"/>
    <cellStyle name="Normal 39 2 2 2 2 15" xfId="24460"/>
    <cellStyle name="Normal 39 2 2 2 2 16" xfId="26212"/>
    <cellStyle name="Normal 39 2 2 2 2 17" xfId="27964"/>
    <cellStyle name="Normal 39 2 2 2 2 18" xfId="29717"/>
    <cellStyle name="Normal 39 2 2 2 2 19" xfId="31469"/>
    <cellStyle name="Normal 39 2 2 2 2 2" xfId="1704"/>
    <cellStyle name="Normal 39 2 2 2 2 2 10" xfId="18327"/>
    <cellStyle name="Normal 39 2 2 2 2 2 11" xfId="20079"/>
    <cellStyle name="Normal 39 2 2 2 2 2 12" xfId="21832"/>
    <cellStyle name="Normal 39 2 2 2 2 2 13" xfId="23584"/>
    <cellStyle name="Normal 39 2 2 2 2 2 14" xfId="25336"/>
    <cellStyle name="Normal 39 2 2 2 2 2 15" xfId="27088"/>
    <cellStyle name="Normal 39 2 2 2 2 2 16" xfId="28840"/>
    <cellStyle name="Normal 39 2 2 2 2 2 17" xfId="30593"/>
    <cellStyle name="Normal 39 2 2 2 2 2 18" xfId="32345"/>
    <cellStyle name="Normal 39 2 2 2 2 2 19" xfId="34098"/>
    <cellStyle name="Normal 39 2 2 2 2 2 2" xfId="4309"/>
    <cellStyle name="Normal 39 2 2 2 2 2 20" xfId="36734"/>
    <cellStyle name="Normal 39 2 2 2 2 2 21" xfId="38474"/>
    <cellStyle name="Normal 39 2 2 2 2 2 22" xfId="40227"/>
    <cellStyle name="Normal 39 2 2 2 2 2 23" xfId="41982"/>
    <cellStyle name="Normal 39 2 2 2 2 2 24" xfId="43734"/>
    <cellStyle name="Normal 39 2 2 2 2 2 25" xfId="46352"/>
    <cellStyle name="Normal 39 2 2 2 2 2 26" xfId="48104"/>
    <cellStyle name="Normal 39 2 2 2 2 2 27" xfId="49856"/>
    <cellStyle name="Normal 39 2 2 2 2 2 28" xfId="51608"/>
    <cellStyle name="Normal 39 2 2 2 2 2 29" xfId="53360"/>
    <cellStyle name="Normal 39 2 2 2 2 2 3" xfId="6061"/>
    <cellStyle name="Normal 39 2 2 2 2 2 30" xfId="55112"/>
    <cellStyle name="Normal 39 2 2 2 2 2 31" xfId="56864"/>
    <cellStyle name="Normal 39 2 2 2 2 2 32" xfId="58617"/>
    <cellStyle name="Normal 39 2 2 2 2 2 33" xfId="60369"/>
    <cellStyle name="Normal 39 2 2 2 2 2 34" xfId="62121"/>
    <cellStyle name="Normal 39 2 2 2 2 2 4" xfId="7813"/>
    <cellStyle name="Normal 39 2 2 2 2 2 5" xfId="9565"/>
    <cellStyle name="Normal 39 2 2 2 2 2 6" xfId="11318"/>
    <cellStyle name="Normal 39 2 2 2 2 2 7" xfId="13070"/>
    <cellStyle name="Normal 39 2 2 2 2 2 8" xfId="14822"/>
    <cellStyle name="Normal 39 2 2 2 2 2 9" xfId="16574"/>
    <cellStyle name="Normal 39 2 2 2 2 20" xfId="33222"/>
    <cellStyle name="Normal 39 2 2 2 2 21" xfId="34785"/>
    <cellStyle name="Normal 39 2 2 2 2 22" xfId="35858"/>
    <cellStyle name="Normal 39 2 2 2 2 23" xfId="37406"/>
    <cellStyle name="Normal 39 2 2 2 2 24" xfId="39351"/>
    <cellStyle name="Normal 39 2 2 2 2 25" xfId="41106"/>
    <cellStyle name="Normal 39 2 2 2 2 26" xfId="42858"/>
    <cellStyle name="Normal 39 2 2 2 2 27" xfId="44406"/>
    <cellStyle name="Normal 39 2 2 2 2 28" xfId="45476"/>
    <cellStyle name="Normal 39 2 2 2 2 29" xfId="47228"/>
    <cellStyle name="Normal 39 2 2 2 2 3" xfId="3433"/>
    <cellStyle name="Normal 39 2 2 2 2 30" xfId="48980"/>
    <cellStyle name="Normal 39 2 2 2 2 31" xfId="50732"/>
    <cellStyle name="Normal 39 2 2 2 2 32" xfId="52484"/>
    <cellStyle name="Normal 39 2 2 2 2 33" xfId="54236"/>
    <cellStyle name="Normal 39 2 2 2 2 34" xfId="55988"/>
    <cellStyle name="Normal 39 2 2 2 2 35" xfId="57741"/>
    <cellStyle name="Normal 39 2 2 2 2 36" xfId="59493"/>
    <cellStyle name="Normal 39 2 2 2 2 37" xfId="61245"/>
    <cellStyle name="Normal 39 2 2 2 2 38" xfId="62793"/>
    <cellStyle name="Normal 39 2 2 2 2 39" xfId="63659"/>
    <cellStyle name="Normal 39 2 2 2 2 4" xfId="5185"/>
    <cellStyle name="Normal 39 2 2 2 2 5" xfId="6937"/>
    <cellStyle name="Normal 39 2 2 2 2 6" xfId="8689"/>
    <cellStyle name="Normal 39 2 2 2 2 7" xfId="10442"/>
    <cellStyle name="Normal 39 2 2 2 2 8" xfId="12194"/>
    <cellStyle name="Normal 39 2 2 2 2 9" xfId="13946"/>
    <cellStyle name="Normal 39 2 2 2 20" xfId="31033"/>
    <cellStyle name="Normal 39 2 2 2 21" xfId="32786"/>
    <cellStyle name="Normal 39 2 2 2 22" xfId="34784"/>
    <cellStyle name="Normal 39 2 2 2 23" xfId="35422"/>
    <cellStyle name="Normal 39 2 2 2 24" xfId="37405"/>
    <cellStyle name="Normal 39 2 2 2 25" xfId="38915"/>
    <cellStyle name="Normal 39 2 2 2 26" xfId="40670"/>
    <cellStyle name="Normal 39 2 2 2 27" xfId="42422"/>
    <cellStyle name="Normal 39 2 2 2 28" xfId="44405"/>
    <cellStyle name="Normal 39 2 2 2 29" xfId="45040"/>
    <cellStyle name="Normal 39 2 2 2 3" xfId="1705"/>
    <cellStyle name="Normal 39 2 2 2 3 10" xfId="17891"/>
    <cellStyle name="Normal 39 2 2 2 3 11" xfId="19643"/>
    <cellStyle name="Normal 39 2 2 2 3 12" xfId="21396"/>
    <cellStyle name="Normal 39 2 2 2 3 13" xfId="23148"/>
    <cellStyle name="Normal 39 2 2 2 3 14" xfId="24900"/>
    <cellStyle name="Normal 39 2 2 2 3 15" xfId="26652"/>
    <cellStyle name="Normal 39 2 2 2 3 16" xfId="28404"/>
    <cellStyle name="Normal 39 2 2 2 3 17" xfId="30157"/>
    <cellStyle name="Normal 39 2 2 2 3 18" xfId="31909"/>
    <cellStyle name="Normal 39 2 2 2 3 19" xfId="33662"/>
    <cellStyle name="Normal 39 2 2 2 3 2" xfId="3873"/>
    <cellStyle name="Normal 39 2 2 2 3 20" xfId="36298"/>
    <cellStyle name="Normal 39 2 2 2 3 21" xfId="38038"/>
    <cellStyle name="Normal 39 2 2 2 3 22" xfId="39791"/>
    <cellStyle name="Normal 39 2 2 2 3 23" xfId="41546"/>
    <cellStyle name="Normal 39 2 2 2 3 24" xfId="43298"/>
    <cellStyle name="Normal 39 2 2 2 3 25" xfId="45916"/>
    <cellStyle name="Normal 39 2 2 2 3 26" xfId="47668"/>
    <cellStyle name="Normal 39 2 2 2 3 27" xfId="49420"/>
    <cellStyle name="Normal 39 2 2 2 3 28" xfId="51172"/>
    <cellStyle name="Normal 39 2 2 2 3 29" xfId="52924"/>
    <cellStyle name="Normal 39 2 2 2 3 3" xfId="5625"/>
    <cellStyle name="Normal 39 2 2 2 3 30" xfId="54676"/>
    <cellStyle name="Normal 39 2 2 2 3 31" xfId="56428"/>
    <cellStyle name="Normal 39 2 2 2 3 32" xfId="58181"/>
    <cellStyle name="Normal 39 2 2 2 3 33" xfId="59933"/>
    <cellStyle name="Normal 39 2 2 2 3 34" xfId="61685"/>
    <cellStyle name="Normal 39 2 2 2 3 4" xfId="7377"/>
    <cellStyle name="Normal 39 2 2 2 3 5" xfId="9129"/>
    <cellStyle name="Normal 39 2 2 2 3 6" xfId="10882"/>
    <cellStyle name="Normal 39 2 2 2 3 7" xfId="12634"/>
    <cellStyle name="Normal 39 2 2 2 3 8" xfId="14386"/>
    <cellStyle name="Normal 39 2 2 2 3 9" xfId="16138"/>
    <cellStyle name="Normal 39 2 2 2 30" xfId="46792"/>
    <cellStyle name="Normal 39 2 2 2 31" xfId="48544"/>
    <cellStyle name="Normal 39 2 2 2 32" xfId="50296"/>
    <cellStyle name="Normal 39 2 2 2 33" xfId="52048"/>
    <cellStyle name="Normal 39 2 2 2 34" xfId="53800"/>
    <cellStyle name="Normal 39 2 2 2 35" xfId="55552"/>
    <cellStyle name="Normal 39 2 2 2 36" xfId="57305"/>
    <cellStyle name="Normal 39 2 2 2 37" xfId="59057"/>
    <cellStyle name="Normal 39 2 2 2 38" xfId="60809"/>
    <cellStyle name="Normal 39 2 2 2 39" xfId="62792"/>
    <cellStyle name="Normal 39 2 2 2 4" xfId="2997"/>
    <cellStyle name="Normal 39 2 2 2 40" xfId="63658"/>
    <cellStyle name="Normal 39 2 2 2 5" xfId="4749"/>
    <cellStyle name="Normal 39 2 2 2 6" xfId="6501"/>
    <cellStyle name="Normal 39 2 2 2 7" xfId="8253"/>
    <cellStyle name="Normal 39 2 2 2 8" xfId="10006"/>
    <cellStyle name="Normal 39 2 2 2 9" xfId="11758"/>
    <cellStyle name="Normal 39 2 2 20" xfId="29120"/>
    <cellStyle name="Normal 39 2 2 21" xfId="30872"/>
    <cellStyle name="Normal 39 2 2 22" xfId="32625"/>
    <cellStyle name="Normal 39 2 2 23" xfId="34783"/>
    <cellStyle name="Normal 39 2 2 24" xfId="35261"/>
    <cellStyle name="Normal 39 2 2 25" xfId="37404"/>
    <cellStyle name="Normal 39 2 2 26" xfId="38754"/>
    <cellStyle name="Normal 39 2 2 27" xfId="40509"/>
    <cellStyle name="Normal 39 2 2 28" xfId="42261"/>
    <cellStyle name="Normal 39 2 2 29" xfId="44404"/>
    <cellStyle name="Normal 39 2 2 3" xfId="1706"/>
    <cellStyle name="Normal 39 2 2 3 10" xfId="15537"/>
    <cellStyle name="Normal 39 2 2 3 11" xfId="17290"/>
    <cellStyle name="Normal 39 2 2 3 12" xfId="19042"/>
    <cellStyle name="Normal 39 2 2 3 13" xfId="20795"/>
    <cellStyle name="Normal 39 2 2 3 14" xfId="22547"/>
    <cellStyle name="Normal 39 2 2 3 15" xfId="24299"/>
    <cellStyle name="Normal 39 2 2 3 16" xfId="26051"/>
    <cellStyle name="Normal 39 2 2 3 17" xfId="27803"/>
    <cellStyle name="Normal 39 2 2 3 18" xfId="29556"/>
    <cellStyle name="Normal 39 2 2 3 19" xfId="31308"/>
    <cellStyle name="Normal 39 2 2 3 2" xfId="1707"/>
    <cellStyle name="Normal 39 2 2 3 2 10" xfId="18166"/>
    <cellStyle name="Normal 39 2 2 3 2 11" xfId="19918"/>
    <cellStyle name="Normal 39 2 2 3 2 12" xfId="21671"/>
    <cellStyle name="Normal 39 2 2 3 2 13" xfId="23423"/>
    <cellStyle name="Normal 39 2 2 3 2 14" xfId="25175"/>
    <cellStyle name="Normal 39 2 2 3 2 15" xfId="26927"/>
    <cellStyle name="Normal 39 2 2 3 2 16" xfId="28679"/>
    <cellStyle name="Normal 39 2 2 3 2 17" xfId="30432"/>
    <cellStyle name="Normal 39 2 2 3 2 18" xfId="32184"/>
    <cellStyle name="Normal 39 2 2 3 2 19" xfId="33937"/>
    <cellStyle name="Normal 39 2 2 3 2 2" xfId="4148"/>
    <cellStyle name="Normal 39 2 2 3 2 20" xfId="36573"/>
    <cellStyle name="Normal 39 2 2 3 2 21" xfId="38313"/>
    <cellStyle name="Normal 39 2 2 3 2 22" xfId="40066"/>
    <cellStyle name="Normal 39 2 2 3 2 23" xfId="41821"/>
    <cellStyle name="Normal 39 2 2 3 2 24" xfId="43573"/>
    <cellStyle name="Normal 39 2 2 3 2 25" xfId="46191"/>
    <cellStyle name="Normal 39 2 2 3 2 26" xfId="47943"/>
    <cellStyle name="Normal 39 2 2 3 2 27" xfId="49695"/>
    <cellStyle name="Normal 39 2 2 3 2 28" xfId="51447"/>
    <cellStyle name="Normal 39 2 2 3 2 29" xfId="53199"/>
    <cellStyle name="Normal 39 2 2 3 2 3" xfId="5900"/>
    <cellStyle name="Normal 39 2 2 3 2 30" xfId="54951"/>
    <cellStyle name="Normal 39 2 2 3 2 31" xfId="56703"/>
    <cellStyle name="Normal 39 2 2 3 2 32" xfId="58456"/>
    <cellStyle name="Normal 39 2 2 3 2 33" xfId="60208"/>
    <cellStyle name="Normal 39 2 2 3 2 34" xfId="61960"/>
    <cellStyle name="Normal 39 2 2 3 2 4" xfId="7652"/>
    <cellStyle name="Normal 39 2 2 3 2 5" xfId="9404"/>
    <cellStyle name="Normal 39 2 2 3 2 6" xfId="11157"/>
    <cellStyle name="Normal 39 2 2 3 2 7" xfId="12909"/>
    <cellStyle name="Normal 39 2 2 3 2 8" xfId="14661"/>
    <cellStyle name="Normal 39 2 2 3 2 9" xfId="16413"/>
    <cellStyle name="Normal 39 2 2 3 20" xfId="33061"/>
    <cellStyle name="Normal 39 2 2 3 21" xfId="34786"/>
    <cellStyle name="Normal 39 2 2 3 22" xfId="35697"/>
    <cellStyle name="Normal 39 2 2 3 23" xfId="37407"/>
    <cellStyle name="Normal 39 2 2 3 24" xfId="39190"/>
    <cellStyle name="Normal 39 2 2 3 25" xfId="40945"/>
    <cellStyle name="Normal 39 2 2 3 26" xfId="42697"/>
    <cellStyle name="Normal 39 2 2 3 27" xfId="44407"/>
    <cellStyle name="Normal 39 2 2 3 28" xfId="45315"/>
    <cellStyle name="Normal 39 2 2 3 29" xfId="47067"/>
    <cellStyle name="Normal 39 2 2 3 3" xfId="3272"/>
    <cellStyle name="Normal 39 2 2 3 30" xfId="48819"/>
    <cellStyle name="Normal 39 2 2 3 31" xfId="50571"/>
    <cellStyle name="Normal 39 2 2 3 32" xfId="52323"/>
    <cellStyle name="Normal 39 2 2 3 33" xfId="54075"/>
    <cellStyle name="Normal 39 2 2 3 34" xfId="55827"/>
    <cellStyle name="Normal 39 2 2 3 35" xfId="57580"/>
    <cellStyle name="Normal 39 2 2 3 36" xfId="59332"/>
    <cellStyle name="Normal 39 2 2 3 37" xfId="61084"/>
    <cellStyle name="Normal 39 2 2 3 38" xfId="62794"/>
    <cellStyle name="Normal 39 2 2 3 39" xfId="63660"/>
    <cellStyle name="Normal 39 2 2 3 4" xfId="5024"/>
    <cellStyle name="Normal 39 2 2 3 5" xfId="6776"/>
    <cellStyle name="Normal 39 2 2 3 6" xfId="8528"/>
    <cellStyle name="Normal 39 2 2 3 7" xfId="10281"/>
    <cellStyle name="Normal 39 2 2 3 8" xfId="12033"/>
    <cellStyle name="Normal 39 2 2 3 9" xfId="13785"/>
    <cellStyle name="Normal 39 2 2 30" xfId="44879"/>
    <cellStyle name="Normal 39 2 2 31" xfId="46631"/>
    <cellStyle name="Normal 39 2 2 32" xfId="48383"/>
    <cellStyle name="Normal 39 2 2 33" xfId="50135"/>
    <cellStyle name="Normal 39 2 2 34" xfId="51887"/>
    <cellStyle name="Normal 39 2 2 35" xfId="53639"/>
    <cellStyle name="Normal 39 2 2 36" xfId="55391"/>
    <cellStyle name="Normal 39 2 2 37" xfId="57144"/>
    <cellStyle name="Normal 39 2 2 38" xfId="58896"/>
    <cellStyle name="Normal 39 2 2 39" xfId="60648"/>
    <cellStyle name="Normal 39 2 2 4" xfId="1708"/>
    <cellStyle name="Normal 39 2 2 4 10" xfId="17730"/>
    <cellStyle name="Normal 39 2 2 4 11" xfId="19482"/>
    <cellStyle name="Normal 39 2 2 4 12" xfId="21235"/>
    <cellStyle name="Normal 39 2 2 4 13" xfId="22987"/>
    <cellStyle name="Normal 39 2 2 4 14" xfId="24739"/>
    <cellStyle name="Normal 39 2 2 4 15" xfId="26491"/>
    <cellStyle name="Normal 39 2 2 4 16" xfId="28243"/>
    <cellStyle name="Normal 39 2 2 4 17" xfId="29996"/>
    <cellStyle name="Normal 39 2 2 4 18" xfId="31748"/>
    <cellStyle name="Normal 39 2 2 4 19" xfId="33501"/>
    <cellStyle name="Normal 39 2 2 4 2" xfId="3712"/>
    <cellStyle name="Normal 39 2 2 4 20" xfId="36137"/>
    <cellStyle name="Normal 39 2 2 4 21" xfId="37877"/>
    <cellStyle name="Normal 39 2 2 4 22" xfId="39630"/>
    <cellStyle name="Normal 39 2 2 4 23" xfId="41385"/>
    <cellStyle name="Normal 39 2 2 4 24" xfId="43137"/>
    <cellStyle name="Normal 39 2 2 4 25" xfId="45755"/>
    <cellStyle name="Normal 39 2 2 4 26" xfId="47507"/>
    <cellStyle name="Normal 39 2 2 4 27" xfId="49259"/>
    <cellStyle name="Normal 39 2 2 4 28" xfId="51011"/>
    <cellStyle name="Normal 39 2 2 4 29" xfId="52763"/>
    <cellStyle name="Normal 39 2 2 4 3" xfId="5464"/>
    <cellStyle name="Normal 39 2 2 4 30" xfId="54515"/>
    <cellStyle name="Normal 39 2 2 4 31" xfId="56267"/>
    <cellStyle name="Normal 39 2 2 4 32" xfId="58020"/>
    <cellStyle name="Normal 39 2 2 4 33" xfId="59772"/>
    <cellStyle name="Normal 39 2 2 4 34" xfId="61524"/>
    <cellStyle name="Normal 39 2 2 4 4" xfId="7216"/>
    <cellStyle name="Normal 39 2 2 4 5" xfId="8968"/>
    <cellStyle name="Normal 39 2 2 4 6" xfId="10721"/>
    <cellStyle name="Normal 39 2 2 4 7" xfId="12473"/>
    <cellStyle name="Normal 39 2 2 4 8" xfId="14225"/>
    <cellStyle name="Normal 39 2 2 4 9" xfId="15977"/>
    <cellStyle name="Normal 39 2 2 40" xfId="62791"/>
    <cellStyle name="Normal 39 2 2 41" xfId="63657"/>
    <cellStyle name="Normal 39 2 2 5" xfId="2836"/>
    <cellStyle name="Normal 39 2 2 6" xfId="4588"/>
    <cellStyle name="Normal 39 2 2 7" xfId="6340"/>
    <cellStyle name="Normal 39 2 2 8" xfId="8092"/>
    <cellStyle name="Normal 39 2 2 9" xfId="9845"/>
    <cellStyle name="Normal 39 2 20" xfId="27259"/>
    <cellStyle name="Normal 39 2 21" xfId="29012"/>
    <cellStyle name="Normal 39 2 22" xfId="30764"/>
    <cellStyle name="Normal 39 2 23" xfId="32517"/>
    <cellStyle name="Normal 39 2 24" xfId="34782"/>
    <cellStyle name="Normal 39 2 25" xfId="35153"/>
    <cellStyle name="Normal 39 2 26" xfId="37403"/>
    <cellStyle name="Normal 39 2 27" xfId="38646"/>
    <cellStyle name="Normal 39 2 28" xfId="40401"/>
    <cellStyle name="Normal 39 2 29" xfId="42153"/>
    <cellStyle name="Normal 39 2 3" xfId="1709"/>
    <cellStyle name="Normal 39 2 3 10" xfId="13511"/>
    <cellStyle name="Normal 39 2 3 11" xfId="15263"/>
    <cellStyle name="Normal 39 2 3 12" xfId="17016"/>
    <cellStyle name="Normal 39 2 3 13" xfId="18768"/>
    <cellStyle name="Normal 39 2 3 14" xfId="20521"/>
    <cellStyle name="Normal 39 2 3 15" xfId="22273"/>
    <cellStyle name="Normal 39 2 3 16" xfId="24025"/>
    <cellStyle name="Normal 39 2 3 17" xfId="25777"/>
    <cellStyle name="Normal 39 2 3 18" xfId="27529"/>
    <cellStyle name="Normal 39 2 3 19" xfId="29282"/>
    <cellStyle name="Normal 39 2 3 2" xfId="1710"/>
    <cellStyle name="Normal 39 2 3 2 10" xfId="15699"/>
    <cellStyle name="Normal 39 2 3 2 11" xfId="17452"/>
    <cellStyle name="Normal 39 2 3 2 12" xfId="19204"/>
    <cellStyle name="Normal 39 2 3 2 13" xfId="20957"/>
    <cellStyle name="Normal 39 2 3 2 14" xfId="22709"/>
    <cellStyle name="Normal 39 2 3 2 15" xfId="24461"/>
    <cellStyle name="Normal 39 2 3 2 16" xfId="26213"/>
    <cellStyle name="Normal 39 2 3 2 17" xfId="27965"/>
    <cellStyle name="Normal 39 2 3 2 18" xfId="29718"/>
    <cellStyle name="Normal 39 2 3 2 19" xfId="31470"/>
    <cellStyle name="Normal 39 2 3 2 2" xfId="1711"/>
    <cellStyle name="Normal 39 2 3 2 2 10" xfId="18328"/>
    <cellStyle name="Normal 39 2 3 2 2 11" xfId="20080"/>
    <cellStyle name="Normal 39 2 3 2 2 12" xfId="21833"/>
    <cellStyle name="Normal 39 2 3 2 2 13" xfId="23585"/>
    <cellStyle name="Normal 39 2 3 2 2 14" xfId="25337"/>
    <cellStyle name="Normal 39 2 3 2 2 15" xfId="27089"/>
    <cellStyle name="Normal 39 2 3 2 2 16" xfId="28841"/>
    <cellStyle name="Normal 39 2 3 2 2 17" xfId="30594"/>
    <cellStyle name="Normal 39 2 3 2 2 18" xfId="32346"/>
    <cellStyle name="Normal 39 2 3 2 2 19" xfId="34099"/>
    <cellStyle name="Normal 39 2 3 2 2 2" xfId="4310"/>
    <cellStyle name="Normal 39 2 3 2 2 20" xfId="36735"/>
    <cellStyle name="Normal 39 2 3 2 2 21" xfId="38475"/>
    <cellStyle name="Normal 39 2 3 2 2 22" xfId="40228"/>
    <cellStyle name="Normal 39 2 3 2 2 23" xfId="41983"/>
    <cellStyle name="Normal 39 2 3 2 2 24" xfId="43735"/>
    <cellStyle name="Normal 39 2 3 2 2 25" xfId="46353"/>
    <cellStyle name="Normal 39 2 3 2 2 26" xfId="48105"/>
    <cellStyle name="Normal 39 2 3 2 2 27" xfId="49857"/>
    <cellStyle name="Normal 39 2 3 2 2 28" xfId="51609"/>
    <cellStyle name="Normal 39 2 3 2 2 29" xfId="53361"/>
    <cellStyle name="Normal 39 2 3 2 2 3" xfId="6062"/>
    <cellStyle name="Normal 39 2 3 2 2 30" xfId="55113"/>
    <cellStyle name="Normal 39 2 3 2 2 31" xfId="56865"/>
    <cellStyle name="Normal 39 2 3 2 2 32" xfId="58618"/>
    <cellStyle name="Normal 39 2 3 2 2 33" xfId="60370"/>
    <cellStyle name="Normal 39 2 3 2 2 34" xfId="62122"/>
    <cellStyle name="Normal 39 2 3 2 2 4" xfId="7814"/>
    <cellStyle name="Normal 39 2 3 2 2 5" xfId="9566"/>
    <cellStyle name="Normal 39 2 3 2 2 6" xfId="11319"/>
    <cellStyle name="Normal 39 2 3 2 2 7" xfId="13071"/>
    <cellStyle name="Normal 39 2 3 2 2 8" xfId="14823"/>
    <cellStyle name="Normal 39 2 3 2 2 9" xfId="16575"/>
    <cellStyle name="Normal 39 2 3 2 20" xfId="33223"/>
    <cellStyle name="Normal 39 2 3 2 21" xfId="34788"/>
    <cellStyle name="Normal 39 2 3 2 22" xfId="35859"/>
    <cellStyle name="Normal 39 2 3 2 23" xfId="37409"/>
    <cellStyle name="Normal 39 2 3 2 24" xfId="39352"/>
    <cellStyle name="Normal 39 2 3 2 25" xfId="41107"/>
    <cellStyle name="Normal 39 2 3 2 26" xfId="42859"/>
    <cellStyle name="Normal 39 2 3 2 27" xfId="44409"/>
    <cellStyle name="Normal 39 2 3 2 28" xfId="45477"/>
    <cellStyle name="Normal 39 2 3 2 29" xfId="47229"/>
    <cellStyle name="Normal 39 2 3 2 3" xfId="3434"/>
    <cellStyle name="Normal 39 2 3 2 30" xfId="48981"/>
    <cellStyle name="Normal 39 2 3 2 31" xfId="50733"/>
    <cellStyle name="Normal 39 2 3 2 32" xfId="52485"/>
    <cellStyle name="Normal 39 2 3 2 33" xfId="54237"/>
    <cellStyle name="Normal 39 2 3 2 34" xfId="55989"/>
    <cellStyle name="Normal 39 2 3 2 35" xfId="57742"/>
    <cellStyle name="Normal 39 2 3 2 36" xfId="59494"/>
    <cellStyle name="Normal 39 2 3 2 37" xfId="61246"/>
    <cellStyle name="Normal 39 2 3 2 38" xfId="62796"/>
    <cellStyle name="Normal 39 2 3 2 39" xfId="63662"/>
    <cellStyle name="Normal 39 2 3 2 4" xfId="5186"/>
    <cellStyle name="Normal 39 2 3 2 5" xfId="6938"/>
    <cellStyle name="Normal 39 2 3 2 6" xfId="8690"/>
    <cellStyle name="Normal 39 2 3 2 7" xfId="10443"/>
    <cellStyle name="Normal 39 2 3 2 8" xfId="12195"/>
    <cellStyle name="Normal 39 2 3 2 9" xfId="13947"/>
    <cellStyle name="Normal 39 2 3 20" xfId="31034"/>
    <cellStyle name="Normal 39 2 3 21" xfId="32787"/>
    <cellStyle name="Normal 39 2 3 22" xfId="34787"/>
    <cellStyle name="Normal 39 2 3 23" xfId="35423"/>
    <cellStyle name="Normal 39 2 3 24" xfId="37408"/>
    <cellStyle name="Normal 39 2 3 25" xfId="38916"/>
    <cellStyle name="Normal 39 2 3 26" xfId="40671"/>
    <cellStyle name="Normal 39 2 3 27" xfId="42423"/>
    <cellStyle name="Normal 39 2 3 28" xfId="44408"/>
    <cellStyle name="Normal 39 2 3 29" xfId="45041"/>
    <cellStyle name="Normal 39 2 3 3" xfId="1712"/>
    <cellStyle name="Normal 39 2 3 3 10" xfId="17892"/>
    <cellStyle name="Normal 39 2 3 3 11" xfId="19644"/>
    <cellStyle name="Normal 39 2 3 3 12" xfId="21397"/>
    <cellStyle name="Normal 39 2 3 3 13" xfId="23149"/>
    <cellStyle name="Normal 39 2 3 3 14" xfId="24901"/>
    <cellStyle name="Normal 39 2 3 3 15" xfId="26653"/>
    <cellStyle name="Normal 39 2 3 3 16" xfId="28405"/>
    <cellStyle name="Normal 39 2 3 3 17" xfId="30158"/>
    <cellStyle name="Normal 39 2 3 3 18" xfId="31910"/>
    <cellStyle name="Normal 39 2 3 3 19" xfId="33663"/>
    <cellStyle name="Normal 39 2 3 3 2" xfId="3874"/>
    <cellStyle name="Normal 39 2 3 3 20" xfId="36299"/>
    <cellStyle name="Normal 39 2 3 3 21" xfId="38039"/>
    <cellStyle name="Normal 39 2 3 3 22" xfId="39792"/>
    <cellStyle name="Normal 39 2 3 3 23" xfId="41547"/>
    <cellStyle name="Normal 39 2 3 3 24" xfId="43299"/>
    <cellStyle name="Normal 39 2 3 3 25" xfId="45917"/>
    <cellStyle name="Normal 39 2 3 3 26" xfId="47669"/>
    <cellStyle name="Normal 39 2 3 3 27" xfId="49421"/>
    <cellStyle name="Normal 39 2 3 3 28" xfId="51173"/>
    <cellStyle name="Normal 39 2 3 3 29" xfId="52925"/>
    <cellStyle name="Normal 39 2 3 3 3" xfId="5626"/>
    <cellStyle name="Normal 39 2 3 3 30" xfId="54677"/>
    <cellStyle name="Normal 39 2 3 3 31" xfId="56429"/>
    <cellStyle name="Normal 39 2 3 3 32" xfId="58182"/>
    <cellStyle name="Normal 39 2 3 3 33" xfId="59934"/>
    <cellStyle name="Normal 39 2 3 3 34" xfId="61686"/>
    <cellStyle name="Normal 39 2 3 3 4" xfId="7378"/>
    <cellStyle name="Normal 39 2 3 3 5" xfId="9130"/>
    <cellStyle name="Normal 39 2 3 3 6" xfId="10883"/>
    <cellStyle name="Normal 39 2 3 3 7" xfId="12635"/>
    <cellStyle name="Normal 39 2 3 3 8" xfId="14387"/>
    <cellStyle name="Normal 39 2 3 3 9" xfId="16139"/>
    <cellStyle name="Normal 39 2 3 30" xfId="46793"/>
    <cellStyle name="Normal 39 2 3 31" xfId="48545"/>
    <cellStyle name="Normal 39 2 3 32" xfId="50297"/>
    <cellStyle name="Normal 39 2 3 33" xfId="52049"/>
    <cellStyle name="Normal 39 2 3 34" xfId="53801"/>
    <cellStyle name="Normal 39 2 3 35" xfId="55553"/>
    <cellStyle name="Normal 39 2 3 36" xfId="57306"/>
    <cellStyle name="Normal 39 2 3 37" xfId="59058"/>
    <cellStyle name="Normal 39 2 3 38" xfId="60810"/>
    <cellStyle name="Normal 39 2 3 39" xfId="62795"/>
    <cellStyle name="Normal 39 2 3 4" xfId="2998"/>
    <cellStyle name="Normal 39 2 3 40" xfId="63661"/>
    <cellStyle name="Normal 39 2 3 5" xfId="4750"/>
    <cellStyle name="Normal 39 2 3 6" xfId="6502"/>
    <cellStyle name="Normal 39 2 3 7" xfId="8254"/>
    <cellStyle name="Normal 39 2 3 8" xfId="10007"/>
    <cellStyle name="Normal 39 2 3 9" xfId="11759"/>
    <cellStyle name="Normal 39 2 30" xfId="44403"/>
    <cellStyle name="Normal 39 2 31" xfId="44771"/>
    <cellStyle name="Normal 39 2 32" xfId="46523"/>
    <cellStyle name="Normal 39 2 33" xfId="48275"/>
    <cellStyle name="Normal 39 2 34" xfId="50027"/>
    <cellStyle name="Normal 39 2 35" xfId="51779"/>
    <cellStyle name="Normal 39 2 36" xfId="53531"/>
    <cellStyle name="Normal 39 2 37" xfId="55283"/>
    <cellStyle name="Normal 39 2 38" xfId="57036"/>
    <cellStyle name="Normal 39 2 39" xfId="58788"/>
    <cellStyle name="Normal 39 2 4" xfId="1713"/>
    <cellStyle name="Normal 39 2 4 10" xfId="15429"/>
    <cellStyle name="Normal 39 2 4 11" xfId="17182"/>
    <cellStyle name="Normal 39 2 4 12" xfId="18934"/>
    <cellStyle name="Normal 39 2 4 13" xfId="20687"/>
    <cellStyle name="Normal 39 2 4 14" xfId="22439"/>
    <cellStyle name="Normal 39 2 4 15" xfId="24191"/>
    <cellStyle name="Normal 39 2 4 16" xfId="25943"/>
    <cellStyle name="Normal 39 2 4 17" xfId="27695"/>
    <cellStyle name="Normal 39 2 4 18" xfId="29448"/>
    <cellStyle name="Normal 39 2 4 19" xfId="31200"/>
    <cellStyle name="Normal 39 2 4 2" xfId="1714"/>
    <cellStyle name="Normal 39 2 4 2 10" xfId="18058"/>
    <cellStyle name="Normal 39 2 4 2 11" xfId="19810"/>
    <cellStyle name="Normal 39 2 4 2 12" xfId="21563"/>
    <cellStyle name="Normal 39 2 4 2 13" xfId="23315"/>
    <cellStyle name="Normal 39 2 4 2 14" xfId="25067"/>
    <cellStyle name="Normal 39 2 4 2 15" xfId="26819"/>
    <cellStyle name="Normal 39 2 4 2 16" xfId="28571"/>
    <cellStyle name="Normal 39 2 4 2 17" xfId="30324"/>
    <cellStyle name="Normal 39 2 4 2 18" xfId="32076"/>
    <cellStyle name="Normal 39 2 4 2 19" xfId="33829"/>
    <cellStyle name="Normal 39 2 4 2 2" xfId="4040"/>
    <cellStyle name="Normal 39 2 4 2 20" xfId="36465"/>
    <cellStyle name="Normal 39 2 4 2 21" xfId="38205"/>
    <cellStyle name="Normal 39 2 4 2 22" xfId="39958"/>
    <cellStyle name="Normal 39 2 4 2 23" xfId="41713"/>
    <cellStyle name="Normal 39 2 4 2 24" xfId="43465"/>
    <cellStyle name="Normal 39 2 4 2 25" xfId="46083"/>
    <cellStyle name="Normal 39 2 4 2 26" xfId="47835"/>
    <cellStyle name="Normal 39 2 4 2 27" xfId="49587"/>
    <cellStyle name="Normal 39 2 4 2 28" xfId="51339"/>
    <cellStyle name="Normal 39 2 4 2 29" xfId="53091"/>
    <cellStyle name="Normal 39 2 4 2 3" xfId="5792"/>
    <cellStyle name="Normal 39 2 4 2 30" xfId="54843"/>
    <cellStyle name="Normal 39 2 4 2 31" xfId="56595"/>
    <cellStyle name="Normal 39 2 4 2 32" xfId="58348"/>
    <cellStyle name="Normal 39 2 4 2 33" xfId="60100"/>
    <cellStyle name="Normal 39 2 4 2 34" xfId="61852"/>
    <cellStyle name="Normal 39 2 4 2 4" xfId="7544"/>
    <cellStyle name="Normal 39 2 4 2 5" xfId="9296"/>
    <cellStyle name="Normal 39 2 4 2 6" xfId="11049"/>
    <cellStyle name="Normal 39 2 4 2 7" xfId="12801"/>
    <cellStyle name="Normal 39 2 4 2 8" xfId="14553"/>
    <cellStyle name="Normal 39 2 4 2 9" xfId="16305"/>
    <cellStyle name="Normal 39 2 4 20" xfId="32953"/>
    <cellStyle name="Normal 39 2 4 21" xfId="34789"/>
    <cellStyle name="Normal 39 2 4 22" xfId="35589"/>
    <cellStyle name="Normal 39 2 4 23" xfId="37410"/>
    <cellStyle name="Normal 39 2 4 24" xfId="39082"/>
    <cellStyle name="Normal 39 2 4 25" xfId="40837"/>
    <cellStyle name="Normal 39 2 4 26" xfId="42589"/>
    <cellStyle name="Normal 39 2 4 27" xfId="44410"/>
    <cellStyle name="Normal 39 2 4 28" xfId="45207"/>
    <cellStyle name="Normal 39 2 4 29" xfId="46959"/>
    <cellStyle name="Normal 39 2 4 3" xfId="3164"/>
    <cellStyle name="Normal 39 2 4 30" xfId="48711"/>
    <cellStyle name="Normal 39 2 4 31" xfId="50463"/>
    <cellStyle name="Normal 39 2 4 32" xfId="52215"/>
    <cellStyle name="Normal 39 2 4 33" xfId="53967"/>
    <cellStyle name="Normal 39 2 4 34" xfId="55719"/>
    <cellStyle name="Normal 39 2 4 35" xfId="57472"/>
    <cellStyle name="Normal 39 2 4 36" xfId="59224"/>
    <cellStyle name="Normal 39 2 4 37" xfId="60976"/>
    <cellStyle name="Normal 39 2 4 38" xfId="62797"/>
    <cellStyle name="Normal 39 2 4 39" xfId="63663"/>
    <cellStyle name="Normal 39 2 4 4" xfId="4916"/>
    <cellStyle name="Normal 39 2 4 5" xfId="6668"/>
    <cellStyle name="Normal 39 2 4 6" xfId="8420"/>
    <cellStyle name="Normal 39 2 4 7" xfId="10173"/>
    <cellStyle name="Normal 39 2 4 8" xfId="11925"/>
    <cellStyle name="Normal 39 2 4 9" xfId="13677"/>
    <cellStyle name="Normal 39 2 40" xfId="60540"/>
    <cellStyle name="Normal 39 2 41" xfId="62790"/>
    <cellStyle name="Normal 39 2 42" xfId="63656"/>
    <cellStyle name="Normal 39 2 5" xfId="1715"/>
    <cellStyle name="Normal 39 2 5 10" xfId="17622"/>
    <cellStyle name="Normal 39 2 5 11" xfId="19374"/>
    <cellStyle name="Normal 39 2 5 12" xfId="21127"/>
    <cellStyle name="Normal 39 2 5 13" xfId="22879"/>
    <cellStyle name="Normal 39 2 5 14" xfId="24631"/>
    <cellStyle name="Normal 39 2 5 15" xfId="26383"/>
    <cellStyle name="Normal 39 2 5 16" xfId="28135"/>
    <cellStyle name="Normal 39 2 5 17" xfId="29888"/>
    <cellStyle name="Normal 39 2 5 18" xfId="31640"/>
    <cellStyle name="Normal 39 2 5 19" xfId="33393"/>
    <cellStyle name="Normal 39 2 5 2" xfId="3604"/>
    <cellStyle name="Normal 39 2 5 20" xfId="36029"/>
    <cellStyle name="Normal 39 2 5 21" xfId="37769"/>
    <cellStyle name="Normal 39 2 5 22" xfId="39522"/>
    <cellStyle name="Normal 39 2 5 23" xfId="41277"/>
    <cellStyle name="Normal 39 2 5 24" xfId="43029"/>
    <cellStyle name="Normal 39 2 5 25" xfId="45647"/>
    <cellStyle name="Normal 39 2 5 26" xfId="47399"/>
    <cellStyle name="Normal 39 2 5 27" xfId="49151"/>
    <cellStyle name="Normal 39 2 5 28" xfId="50903"/>
    <cellStyle name="Normal 39 2 5 29" xfId="52655"/>
    <cellStyle name="Normal 39 2 5 3" xfId="5356"/>
    <cellStyle name="Normal 39 2 5 30" xfId="54407"/>
    <cellStyle name="Normal 39 2 5 31" xfId="56159"/>
    <cellStyle name="Normal 39 2 5 32" xfId="57912"/>
    <cellStyle name="Normal 39 2 5 33" xfId="59664"/>
    <cellStyle name="Normal 39 2 5 34" xfId="61416"/>
    <cellStyle name="Normal 39 2 5 4" xfId="7108"/>
    <cellStyle name="Normal 39 2 5 5" xfId="8860"/>
    <cellStyle name="Normal 39 2 5 6" xfId="10613"/>
    <cellStyle name="Normal 39 2 5 7" xfId="12365"/>
    <cellStyle name="Normal 39 2 5 8" xfId="14117"/>
    <cellStyle name="Normal 39 2 5 9" xfId="15869"/>
    <cellStyle name="Normal 39 2 6" xfId="2728"/>
    <cellStyle name="Normal 39 2 7" xfId="4480"/>
    <cellStyle name="Normal 39 2 8" xfId="6232"/>
    <cellStyle name="Normal 39 2 9" xfId="7984"/>
    <cellStyle name="Normal 39 20" xfId="25452"/>
    <cellStyle name="Normal 39 21" xfId="27204"/>
    <cellStyle name="Normal 39 22" xfId="28957"/>
    <cellStyle name="Normal 39 23" xfId="30709"/>
    <cellStyle name="Normal 39 24" xfId="32462"/>
    <cellStyle name="Normal 39 25" xfId="34781"/>
    <cellStyle name="Normal 39 26" xfId="35098"/>
    <cellStyle name="Normal 39 27" xfId="37402"/>
    <cellStyle name="Normal 39 28" xfId="38591"/>
    <cellStyle name="Normal 39 29" xfId="40346"/>
    <cellStyle name="Normal 39 3" xfId="1716"/>
    <cellStyle name="Normal 39 3 10" xfId="11542"/>
    <cellStyle name="Normal 39 3 11" xfId="13294"/>
    <cellStyle name="Normal 39 3 12" xfId="15046"/>
    <cellStyle name="Normal 39 3 13" xfId="16799"/>
    <cellStyle name="Normal 39 3 14" xfId="18551"/>
    <cellStyle name="Normal 39 3 15" xfId="20304"/>
    <cellStyle name="Normal 39 3 16" xfId="22056"/>
    <cellStyle name="Normal 39 3 17" xfId="23808"/>
    <cellStyle name="Normal 39 3 18" xfId="25560"/>
    <cellStyle name="Normal 39 3 19" xfId="27312"/>
    <cellStyle name="Normal 39 3 2" xfId="1717"/>
    <cellStyle name="Normal 39 3 2 10" xfId="13512"/>
    <cellStyle name="Normal 39 3 2 11" xfId="15264"/>
    <cellStyle name="Normal 39 3 2 12" xfId="17017"/>
    <cellStyle name="Normal 39 3 2 13" xfId="18769"/>
    <cellStyle name="Normal 39 3 2 14" xfId="20522"/>
    <cellStyle name="Normal 39 3 2 15" xfId="22274"/>
    <cellStyle name="Normal 39 3 2 16" xfId="24026"/>
    <cellStyle name="Normal 39 3 2 17" xfId="25778"/>
    <cellStyle name="Normal 39 3 2 18" xfId="27530"/>
    <cellStyle name="Normal 39 3 2 19" xfId="29283"/>
    <cellStyle name="Normal 39 3 2 2" xfId="1718"/>
    <cellStyle name="Normal 39 3 2 2 10" xfId="15700"/>
    <cellStyle name="Normal 39 3 2 2 11" xfId="17453"/>
    <cellStyle name="Normal 39 3 2 2 12" xfId="19205"/>
    <cellStyle name="Normal 39 3 2 2 13" xfId="20958"/>
    <cellStyle name="Normal 39 3 2 2 14" xfId="22710"/>
    <cellStyle name="Normal 39 3 2 2 15" xfId="24462"/>
    <cellStyle name="Normal 39 3 2 2 16" xfId="26214"/>
    <cellStyle name="Normal 39 3 2 2 17" xfId="27966"/>
    <cellStyle name="Normal 39 3 2 2 18" xfId="29719"/>
    <cellStyle name="Normal 39 3 2 2 19" xfId="31471"/>
    <cellStyle name="Normal 39 3 2 2 2" xfId="1719"/>
    <cellStyle name="Normal 39 3 2 2 2 10" xfId="18329"/>
    <cellStyle name="Normal 39 3 2 2 2 11" xfId="20081"/>
    <cellStyle name="Normal 39 3 2 2 2 12" xfId="21834"/>
    <cellStyle name="Normal 39 3 2 2 2 13" xfId="23586"/>
    <cellStyle name="Normal 39 3 2 2 2 14" xfId="25338"/>
    <cellStyle name="Normal 39 3 2 2 2 15" xfId="27090"/>
    <cellStyle name="Normal 39 3 2 2 2 16" xfId="28842"/>
    <cellStyle name="Normal 39 3 2 2 2 17" xfId="30595"/>
    <cellStyle name="Normal 39 3 2 2 2 18" xfId="32347"/>
    <cellStyle name="Normal 39 3 2 2 2 19" xfId="34100"/>
    <cellStyle name="Normal 39 3 2 2 2 2" xfId="4311"/>
    <cellStyle name="Normal 39 3 2 2 2 20" xfId="36736"/>
    <cellStyle name="Normal 39 3 2 2 2 21" xfId="38476"/>
    <cellStyle name="Normal 39 3 2 2 2 22" xfId="40229"/>
    <cellStyle name="Normal 39 3 2 2 2 23" xfId="41984"/>
    <cellStyle name="Normal 39 3 2 2 2 24" xfId="43736"/>
    <cellStyle name="Normal 39 3 2 2 2 25" xfId="46354"/>
    <cellStyle name="Normal 39 3 2 2 2 26" xfId="48106"/>
    <cellStyle name="Normal 39 3 2 2 2 27" xfId="49858"/>
    <cellStyle name="Normal 39 3 2 2 2 28" xfId="51610"/>
    <cellStyle name="Normal 39 3 2 2 2 29" xfId="53362"/>
    <cellStyle name="Normal 39 3 2 2 2 3" xfId="6063"/>
    <cellStyle name="Normal 39 3 2 2 2 30" xfId="55114"/>
    <cellStyle name="Normal 39 3 2 2 2 31" xfId="56866"/>
    <cellStyle name="Normal 39 3 2 2 2 32" xfId="58619"/>
    <cellStyle name="Normal 39 3 2 2 2 33" xfId="60371"/>
    <cellStyle name="Normal 39 3 2 2 2 34" xfId="62123"/>
    <cellStyle name="Normal 39 3 2 2 2 4" xfId="7815"/>
    <cellStyle name="Normal 39 3 2 2 2 5" xfId="9567"/>
    <cellStyle name="Normal 39 3 2 2 2 6" xfId="11320"/>
    <cellStyle name="Normal 39 3 2 2 2 7" xfId="13072"/>
    <cellStyle name="Normal 39 3 2 2 2 8" xfId="14824"/>
    <cellStyle name="Normal 39 3 2 2 2 9" xfId="16576"/>
    <cellStyle name="Normal 39 3 2 2 20" xfId="33224"/>
    <cellStyle name="Normal 39 3 2 2 21" xfId="34791"/>
    <cellStyle name="Normal 39 3 2 2 22" xfId="35860"/>
    <cellStyle name="Normal 39 3 2 2 23" xfId="37412"/>
    <cellStyle name="Normal 39 3 2 2 24" xfId="39353"/>
    <cellStyle name="Normal 39 3 2 2 25" xfId="41108"/>
    <cellStyle name="Normal 39 3 2 2 26" xfId="42860"/>
    <cellStyle name="Normal 39 3 2 2 27" xfId="44412"/>
    <cellStyle name="Normal 39 3 2 2 28" xfId="45478"/>
    <cellStyle name="Normal 39 3 2 2 29" xfId="47230"/>
    <cellStyle name="Normal 39 3 2 2 3" xfId="3435"/>
    <cellStyle name="Normal 39 3 2 2 30" xfId="48982"/>
    <cellStyle name="Normal 39 3 2 2 31" xfId="50734"/>
    <cellStyle name="Normal 39 3 2 2 32" xfId="52486"/>
    <cellStyle name="Normal 39 3 2 2 33" xfId="54238"/>
    <cellStyle name="Normal 39 3 2 2 34" xfId="55990"/>
    <cellStyle name="Normal 39 3 2 2 35" xfId="57743"/>
    <cellStyle name="Normal 39 3 2 2 36" xfId="59495"/>
    <cellStyle name="Normal 39 3 2 2 37" xfId="61247"/>
    <cellStyle name="Normal 39 3 2 2 38" xfId="62799"/>
    <cellStyle name="Normal 39 3 2 2 39" xfId="63665"/>
    <cellStyle name="Normal 39 3 2 2 4" xfId="5187"/>
    <cellStyle name="Normal 39 3 2 2 5" xfId="6939"/>
    <cellStyle name="Normal 39 3 2 2 6" xfId="8691"/>
    <cellStyle name="Normal 39 3 2 2 7" xfId="10444"/>
    <cellStyle name="Normal 39 3 2 2 8" xfId="12196"/>
    <cellStyle name="Normal 39 3 2 2 9" xfId="13948"/>
    <cellStyle name="Normal 39 3 2 20" xfId="31035"/>
    <cellStyle name="Normal 39 3 2 21" xfId="32788"/>
    <cellStyle name="Normal 39 3 2 22" xfId="34790"/>
    <cellStyle name="Normal 39 3 2 23" xfId="35424"/>
    <cellStyle name="Normal 39 3 2 24" xfId="37411"/>
    <cellStyle name="Normal 39 3 2 25" xfId="38917"/>
    <cellStyle name="Normal 39 3 2 26" xfId="40672"/>
    <cellStyle name="Normal 39 3 2 27" xfId="42424"/>
    <cellStyle name="Normal 39 3 2 28" xfId="44411"/>
    <cellStyle name="Normal 39 3 2 29" xfId="45042"/>
    <cellStyle name="Normal 39 3 2 3" xfId="1720"/>
    <cellStyle name="Normal 39 3 2 3 10" xfId="17893"/>
    <cellStyle name="Normal 39 3 2 3 11" xfId="19645"/>
    <cellStyle name="Normal 39 3 2 3 12" xfId="21398"/>
    <cellStyle name="Normal 39 3 2 3 13" xfId="23150"/>
    <cellStyle name="Normal 39 3 2 3 14" xfId="24902"/>
    <cellStyle name="Normal 39 3 2 3 15" xfId="26654"/>
    <cellStyle name="Normal 39 3 2 3 16" xfId="28406"/>
    <cellStyle name="Normal 39 3 2 3 17" xfId="30159"/>
    <cellStyle name="Normal 39 3 2 3 18" xfId="31911"/>
    <cellStyle name="Normal 39 3 2 3 19" xfId="33664"/>
    <cellStyle name="Normal 39 3 2 3 2" xfId="3875"/>
    <cellStyle name="Normal 39 3 2 3 20" xfId="36300"/>
    <cellStyle name="Normal 39 3 2 3 21" xfId="38040"/>
    <cellStyle name="Normal 39 3 2 3 22" xfId="39793"/>
    <cellStyle name="Normal 39 3 2 3 23" xfId="41548"/>
    <cellStyle name="Normal 39 3 2 3 24" xfId="43300"/>
    <cellStyle name="Normal 39 3 2 3 25" xfId="45918"/>
    <cellStyle name="Normal 39 3 2 3 26" xfId="47670"/>
    <cellStyle name="Normal 39 3 2 3 27" xfId="49422"/>
    <cellStyle name="Normal 39 3 2 3 28" xfId="51174"/>
    <cellStyle name="Normal 39 3 2 3 29" xfId="52926"/>
    <cellStyle name="Normal 39 3 2 3 3" xfId="5627"/>
    <cellStyle name="Normal 39 3 2 3 30" xfId="54678"/>
    <cellStyle name="Normal 39 3 2 3 31" xfId="56430"/>
    <cellStyle name="Normal 39 3 2 3 32" xfId="58183"/>
    <cellStyle name="Normal 39 3 2 3 33" xfId="59935"/>
    <cellStyle name="Normal 39 3 2 3 34" xfId="61687"/>
    <cellStyle name="Normal 39 3 2 3 4" xfId="7379"/>
    <cellStyle name="Normal 39 3 2 3 5" xfId="9131"/>
    <cellStyle name="Normal 39 3 2 3 6" xfId="10884"/>
    <cellStyle name="Normal 39 3 2 3 7" xfId="12636"/>
    <cellStyle name="Normal 39 3 2 3 8" xfId="14388"/>
    <cellStyle name="Normal 39 3 2 3 9" xfId="16140"/>
    <cellStyle name="Normal 39 3 2 30" xfId="46794"/>
    <cellStyle name="Normal 39 3 2 31" xfId="48546"/>
    <cellStyle name="Normal 39 3 2 32" xfId="50298"/>
    <cellStyle name="Normal 39 3 2 33" xfId="52050"/>
    <cellStyle name="Normal 39 3 2 34" xfId="53802"/>
    <cellStyle name="Normal 39 3 2 35" xfId="55554"/>
    <cellStyle name="Normal 39 3 2 36" xfId="57307"/>
    <cellStyle name="Normal 39 3 2 37" xfId="59059"/>
    <cellStyle name="Normal 39 3 2 38" xfId="60811"/>
    <cellStyle name="Normal 39 3 2 39" xfId="62798"/>
    <cellStyle name="Normal 39 3 2 4" xfId="2999"/>
    <cellStyle name="Normal 39 3 2 40" xfId="63664"/>
    <cellStyle name="Normal 39 3 2 5" xfId="4751"/>
    <cellStyle name="Normal 39 3 2 6" xfId="6503"/>
    <cellStyle name="Normal 39 3 2 7" xfId="8255"/>
    <cellStyle name="Normal 39 3 2 8" xfId="10008"/>
    <cellStyle name="Normal 39 3 2 9" xfId="11760"/>
    <cellStyle name="Normal 39 3 20" xfId="29065"/>
    <cellStyle name="Normal 39 3 21" xfId="30817"/>
    <cellStyle name="Normal 39 3 22" xfId="32570"/>
    <cellStyle name="Normal 39 3 23" xfId="35206"/>
    <cellStyle name="Normal 39 3 24" xfId="38699"/>
    <cellStyle name="Normal 39 3 25" xfId="40454"/>
    <cellStyle name="Normal 39 3 26" xfId="42206"/>
    <cellStyle name="Normal 39 3 27" xfId="44824"/>
    <cellStyle name="Normal 39 3 28" xfId="46576"/>
    <cellStyle name="Normal 39 3 29" xfId="48328"/>
    <cellStyle name="Normal 39 3 3" xfId="1721"/>
    <cellStyle name="Normal 39 3 3 10" xfId="15482"/>
    <cellStyle name="Normal 39 3 3 11" xfId="17235"/>
    <cellStyle name="Normal 39 3 3 12" xfId="18987"/>
    <cellStyle name="Normal 39 3 3 13" xfId="20740"/>
    <cellStyle name="Normal 39 3 3 14" xfId="22492"/>
    <cellStyle name="Normal 39 3 3 15" xfId="24244"/>
    <cellStyle name="Normal 39 3 3 16" xfId="25996"/>
    <cellStyle name="Normal 39 3 3 17" xfId="27748"/>
    <cellStyle name="Normal 39 3 3 18" xfId="29501"/>
    <cellStyle name="Normal 39 3 3 19" xfId="31253"/>
    <cellStyle name="Normal 39 3 3 2" xfId="1722"/>
    <cellStyle name="Normal 39 3 3 2 10" xfId="18111"/>
    <cellStyle name="Normal 39 3 3 2 11" xfId="19863"/>
    <cellStyle name="Normal 39 3 3 2 12" xfId="21616"/>
    <cellStyle name="Normal 39 3 3 2 13" xfId="23368"/>
    <cellStyle name="Normal 39 3 3 2 14" xfId="25120"/>
    <cellStyle name="Normal 39 3 3 2 15" xfId="26872"/>
    <cellStyle name="Normal 39 3 3 2 16" xfId="28624"/>
    <cellStyle name="Normal 39 3 3 2 17" xfId="30377"/>
    <cellStyle name="Normal 39 3 3 2 18" xfId="32129"/>
    <cellStyle name="Normal 39 3 3 2 19" xfId="33882"/>
    <cellStyle name="Normal 39 3 3 2 2" xfId="4093"/>
    <cellStyle name="Normal 39 3 3 2 20" xfId="36518"/>
    <cellStyle name="Normal 39 3 3 2 21" xfId="38258"/>
    <cellStyle name="Normal 39 3 3 2 22" xfId="40011"/>
    <cellStyle name="Normal 39 3 3 2 23" xfId="41766"/>
    <cellStyle name="Normal 39 3 3 2 24" xfId="43518"/>
    <cellStyle name="Normal 39 3 3 2 25" xfId="46136"/>
    <cellStyle name="Normal 39 3 3 2 26" xfId="47888"/>
    <cellStyle name="Normal 39 3 3 2 27" xfId="49640"/>
    <cellStyle name="Normal 39 3 3 2 28" xfId="51392"/>
    <cellStyle name="Normal 39 3 3 2 29" xfId="53144"/>
    <cellStyle name="Normal 39 3 3 2 3" xfId="5845"/>
    <cellStyle name="Normal 39 3 3 2 30" xfId="54896"/>
    <cellStyle name="Normal 39 3 3 2 31" xfId="56648"/>
    <cellStyle name="Normal 39 3 3 2 32" xfId="58401"/>
    <cellStyle name="Normal 39 3 3 2 33" xfId="60153"/>
    <cellStyle name="Normal 39 3 3 2 34" xfId="61905"/>
    <cellStyle name="Normal 39 3 3 2 4" xfId="7597"/>
    <cellStyle name="Normal 39 3 3 2 5" xfId="9349"/>
    <cellStyle name="Normal 39 3 3 2 6" xfId="11102"/>
    <cellStyle name="Normal 39 3 3 2 7" xfId="12854"/>
    <cellStyle name="Normal 39 3 3 2 8" xfId="14606"/>
    <cellStyle name="Normal 39 3 3 2 9" xfId="16358"/>
    <cellStyle name="Normal 39 3 3 20" xfId="33006"/>
    <cellStyle name="Normal 39 3 3 21" xfId="34792"/>
    <cellStyle name="Normal 39 3 3 22" xfId="35642"/>
    <cellStyle name="Normal 39 3 3 23" xfId="37413"/>
    <cellStyle name="Normal 39 3 3 24" xfId="39135"/>
    <cellStyle name="Normal 39 3 3 25" xfId="40890"/>
    <cellStyle name="Normal 39 3 3 26" xfId="42642"/>
    <cellStyle name="Normal 39 3 3 27" xfId="44413"/>
    <cellStyle name="Normal 39 3 3 28" xfId="45260"/>
    <cellStyle name="Normal 39 3 3 29" xfId="47012"/>
    <cellStyle name="Normal 39 3 3 3" xfId="3217"/>
    <cellStyle name="Normal 39 3 3 30" xfId="48764"/>
    <cellStyle name="Normal 39 3 3 31" xfId="50516"/>
    <cellStyle name="Normal 39 3 3 32" xfId="52268"/>
    <cellStyle name="Normal 39 3 3 33" xfId="54020"/>
    <cellStyle name="Normal 39 3 3 34" xfId="55772"/>
    <cellStyle name="Normal 39 3 3 35" xfId="57525"/>
    <cellStyle name="Normal 39 3 3 36" xfId="59277"/>
    <cellStyle name="Normal 39 3 3 37" xfId="61029"/>
    <cellStyle name="Normal 39 3 3 38" xfId="62800"/>
    <cellStyle name="Normal 39 3 3 39" xfId="63666"/>
    <cellStyle name="Normal 39 3 3 4" xfId="4969"/>
    <cellStyle name="Normal 39 3 3 5" xfId="6721"/>
    <cellStyle name="Normal 39 3 3 6" xfId="8473"/>
    <cellStyle name="Normal 39 3 3 7" xfId="10226"/>
    <cellStyle name="Normal 39 3 3 8" xfId="11978"/>
    <cellStyle name="Normal 39 3 3 9" xfId="13730"/>
    <cellStyle name="Normal 39 3 30" xfId="50080"/>
    <cellStyle name="Normal 39 3 31" xfId="51832"/>
    <cellStyle name="Normal 39 3 32" xfId="53584"/>
    <cellStyle name="Normal 39 3 33" xfId="55336"/>
    <cellStyle name="Normal 39 3 34" xfId="57089"/>
    <cellStyle name="Normal 39 3 35" xfId="58841"/>
    <cellStyle name="Normal 39 3 36" xfId="60593"/>
    <cellStyle name="Normal 39 3 4" xfId="1723"/>
    <cellStyle name="Normal 39 3 4 10" xfId="17675"/>
    <cellStyle name="Normal 39 3 4 11" xfId="19427"/>
    <cellStyle name="Normal 39 3 4 12" xfId="21180"/>
    <cellStyle name="Normal 39 3 4 13" xfId="22932"/>
    <cellStyle name="Normal 39 3 4 14" xfId="24684"/>
    <cellStyle name="Normal 39 3 4 15" xfId="26436"/>
    <cellStyle name="Normal 39 3 4 16" xfId="28188"/>
    <cellStyle name="Normal 39 3 4 17" xfId="29941"/>
    <cellStyle name="Normal 39 3 4 18" xfId="31693"/>
    <cellStyle name="Normal 39 3 4 19" xfId="33446"/>
    <cellStyle name="Normal 39 3 4 2" xfId="3657"/>
    <cellStyle name="Normal 39 3 4 20" xfId="36082"/>
    <cellStyle name="Normal 39 3 4 21" xfId="37822"/>
    <cellStyle name="Normal 39 3 4 22" xfId="39575"/>
    <cellStyle name="Normal 39 3 4 23" xfId="41330"/>
    <cellStyle name="Normal 39 3 4 24" xfId="43082"/>
    <cellStyle name="Normal 39 3 4 25" xfId="45700"/>
    <cellStyle name="Normal 39 3 4 26" xfId="47452"/>
    <cellStyle name="Normal 39 3 4 27" xfId="49204"/>
    <cellStyle name="Normal 39 3 4 28" xfId="50956"/>
    <cellStyle name="Normal 39 3 4 29" xfId="52708"/>
    <cellStyle name="Normal 39 3 4 3" xfId="5409"/>
    <cellStyle name="Normal 39 3 4 30" xfId="54460"/>
    <cellStyle name="Normal 39 3 4 31" xfId="56212"/>
    <cellStyle name="Normal 39 3 4 32" xfId="57965"/>
    <cellStyle name="Normal 39 3 4 33" xfId="59717"/>
    <cellStyle name="Normal 39 3 4 34" xfId="61469"/>
    <cellStyle name="Normal 39 3 4 4" xfId="7161"/>
    <cellStyle name="Normal 39 3 4 5" xfId="8913"/>
    <cellStyle name="Normal 39 3 4 6" xfId="10666"/>
    <cellStyle name="Normal 39 3 4 7" xfId="12418"/>
    <cellStyle name="Normal 39 3 4 8" xfId="14170"/>
    <cellStyle name="Normal 39 3 4 9" xfId="15922"/>
    <cellStyle name="Normal 39 3 5" xfId="2781"/>
    <cellStyle name="Normal 39 3 6" xfId="4533"/>
    <cellStyle name="Normal 39 3 7" xfId="6285"/>
    <cellStyle name="Normal 39 3 8" xfId="8037"/>
    <cellStyle name="Normal 39 3 9" xfId="9790"/>
    <cellStyle name="Normal 39 30" xfId="42098"/>
    <cellStyle name="Normal 39 31" xfId="44402"/>
    <cellStyle name="Normal 39 32" xfId="44716"/>
    <cellStyle name="Normal 39 33" xfId="46468"/>
    <cellStyle name="Normal 39 34" xfId="48220"/>
    <cellStyle name="Normal 39 35" xfId="49972"/>
    <cellStyle name="Normal 39 36" xfId="51724"/>
    <cellStyle name="Normal 39 37" xfId="53476"/>
    <cellStyle name="Normal 39 38" xfId="55228"/>
    <cellStyle name="Normal 39 39" xfId="56981"/>
    <cellStyle name="Normal 39 4" xfId="1724"/>
    <cellStyle name="Normal 39 4 10" xfId="13513"/>
    <cellStyle name="Normal 39 4 11" xfId="15265"/>
    <cellStyle name="Normal 39 4 12" xfId="17018"/>
    <cellStyle name="Normal 39 4 13" xfId="18770"/>
    <cellStyle name="Normal 39 4 14" xfId="20523"/>
    <cellStyle name="Normal 39 4 15" xfId="22275"/>
    <cellStyle name="Normal 39 4 16" xfId="24027"/>
    <cellStyle name="Normal 39 4 17" xfId="25779"/>
    <cellStyle name="Normal 39 4 18" xfId="27531"/>
    <cellStyle name="Normal 39 4 19" xfId="29284"/>
    <cellStyle name="Normal 39 4 2" xfId="1725"/>
    <cellStyle name="Normal 39 4 2 10" xfId="15701"/>
    <cellStyle name="Normal 39 4 2 11" xfId="17454"/>
    <cellStyle name="Normal 39 4 2 12" xfId="19206"/>
    <cellStyle name="Normal 39 4 2 13" xfId="20959"/>
    <cellStyle name="Normal 39 4 2 14" xfId="22711"/>
    <cellStyle name="Normal 39 4 2 15" xfId="24463"/>
    <cellStyle name="Normal 39 4 2 16" xfId="26215"/>
    <cellStyle name="Normal 39 4 2 17" xfId="27967"/>
    <cellStyle name="Normal 39 4 2 18" xfId="29720"/>
    <cellStyle name="Normal 39 4 2 19" xfId="31472"/>
    <cellStyle name="Normal 39 4 2 2" xfId="1726"/>
    <cellStyle name="Normal 39 4 2 2 10" xfId="18330"/>
    <cellStyle name="Normal 39 4 2 2 11" xfId="20082"/>
    <cellStyle name="Normal 39 4 2 2 12" xfId="21835"/>
    <cellStyle name="Normal 39 4 2 2 13" xfId="23587"/>
    <cellStyle name="Normal 39 4 2 2 14" xfId="25339"/>
    <cellStyle name="Normal 39 4 2 2 15" xfId="27091"/>
    <cellStyle name="Normal 39 4 2 2 16" xfId="28843"/>
    <cellStyle name="Normal 39 4 2 2 17" xfId="30596"/>
    <cellStyle name="Normal 39 4 2 2 18" xfId="32348"/>
    <cellStyle name="Normal 39 4 2 2 19" xfId="34101"/>
    <cellStyle name="Normal 39 4 2 2 2" xfId="4312"/>
    <cellStyle name="Normal 39 4 2 2 20" xfId="36737"/>
    <cellStyle name="Normal 39 4 2 2 21" xfId="38477"/>
    <cellStyle name="Normal 39 4 2 2 22" xfId="40230"/>
    <cellStyle name="Normal 39 4 2 2 23" xfId="41985"/>
    <cellStyle name="Normal 39 4 2 2 24" xfId="43737"/>
    <cellStyle name="Normal 39 4 2 2 25" xfId="46355"/>
    <cellStyle name="Normal 39 4 2 2 26" xfId="48107"/>
    <cellStyle name="Normal 39 4 2 2 27" xfId="49859"/>
    <cellStyle name="Normal 39 4 2 2 28" xfId="51611"/>
    <cellStyle name="Normal 39 4 2 2 29" xfId="53363"/>
    <cellStyle name="Normal 39 4 2 2 3" xfId="6064"/>
    <cellStyle name="Normal 39 4 2 2 30" xfId="55115"/>
    <cellStyle name="Normal 39 4 2 2 31" xfId="56867"/>
    <cellStyle name="Normal 39 4 2 2 32" xfId="58620"/>
    <cellStyle name="Normal 39 4 2 2 33" xfId="60372"/>
    <cellStyle name="Normal 39 4 2 2 34" xfId="62124"/>
    <cellStyle name="Normal 39 4 2 2 4" xfId="7816"/>
    <cellStyle name="Normal 39 4 2 2 5" xfId="9568"/>
    <cellStyle name="Normal 39 4 2 2 6" xfId="11321"/>
    <cellStyle name="Normal 39 4 2 2 7" xfId="13073"/>
    <cellStyle name="Normal 39 4 2 2 8" xfId="14825"/>
    <cellStyle name="Normal 39 4 2 2 9" xfId="16577"/>
    <cellStyle name="Normal 39 4 2 20" xfId="33225"/>
    <cellStyle name="Normal 39 4 2 21" xfId="34794"/>
    <cellStyle name="Normal 39 4 2 22" xfId="35861"/>
    <cellStyle name="Normal 39 4 2 23" xfId="37415"/>
    <cellStyle name="Normal 39 4 2 24" xfId="39354"/>
    <cellStyle name="Normal 39 4 2 25" xfId="41109"/>
    <cellStyle name="Normal 39 4 2 26" xfId="42861"/>
    <cellStyle name="Normal 39 4 2 27" xfId="44415"/>
    <cellStyle name="Normal 39 4 2 28" xfId="45479"/>
    <cellStyle name="Normal 39 4 2 29" xfId="47231"/>
    <cellStyle name="Normal 39 4 2 3" xfId="3436"/>
    <cellStyle name="Normal 39 4 2 30" xfId="48983"/>
    <cellStyle name="Normal 39 4 2 31" xfId="50735"/>
    <cellStyle name="Normal 39 4 2 32" xfId="52487"/>
    <cellStyle name="Normal 39 4 2 33" xfId="54239"/>
    <cellStyle name="Normal 39 4 2 34" xfId="55991"/>
    <cellStyle name="Normal 39 4 2 35" xfId="57744"/>
    <cellStyle name="Normal 39 4 2 36" xfId="59496"/>
    <cellStyle name="Normal 39 4 2 37" xfId="61248"/>
    <cellStyle name="Normal 39 4 2 38" xfId="62802"/>
    <cellStyle name="Normal 39 4 2 39" xfId="63668"/>
    <cellStyle name="Normal 39 4 2 4" xfId="5188"/>
    <cellStyle name="Normal 39 4 2 5" xfId="6940"/>
    <cellStyle name="Normal 39 4 2 6" xfId="8692"/>
    <cellStyle name="Normal 39 4 2 7" xfId="10445"/>
    <cellStyle name="Normal 39 4 2 8" xfId="12197"/>
    <cellStyle name="Normal 39 4 2 9" xfId="13949"/>
    <cellStyle name="Normal 39 4 20" xfId="31036"/>
    <cellStyle name="Normal 39 4 21" xfId="32789"/>
    <cellStyle name="Normal 39 4 22" xfId="34793"/>
    <cellStyle name="Normal 39 4 23" xfId="35425"/>
    <cellStyle name="Normal 39 4 24" xfId="37414"/>
    <cellStyle name="Normal 39 4 25" xfId="38918"/>
    <cellStyle name="Normal 39 4 26" xfId="40673"/>
    <cellStyle name="Normal 39 4 27" xfId="42425"/>
    <cellStyle name="Normal 39 4 28" xfId="44414"/>
    <cellStyle name="Normal 39 4 29" xfId="45043"/>
    <cellStyle name="Normal 39 4 3" xfId="1727"/>
    <cellStyle name="Normal 39 4 3 10" xfId="17894"/>
    <cellStyle name="Normal 39 4 3 11" xfId="19646"/>
    <cellStyle name="Normal 39 4 3 12" xfId="21399"/>
    <cellStyle name="Normal 39 4 3 13" xfId="23151"/>
    <cellStyle name="Normal 39 4 3 14" xfId="24903"/>
    <cellStyle name="Normal 39 4 3 15" xfId="26655"/>
    <cellStyle name="Normal 39 4 3 16" xfId="28407"/>
    <cellStyle name="Normal 39 4 3 17" xfId="30160"/>
    <cellStyle name="Normal 39 4 3 18" xfId="31912"/>
    <cellStyle name="Normal 39 4 3 19" xfId="33665"/>
    <cellStyle name="Normal 39 4 3 2" xfId="3876"/>
    <cellStyle name="Normal 39 4 3 20" xfId="36301"/>
    <cellStyle name="Normal 39 4 3 21" xfId="38041"/>
    <cellStyle name="Normal 39 4 3 22" xfId="39794"/>
    <cellStyle name="Normal 39 4 3 23" xfId="41549"/>
    <cellStyle name="Normal 39 4 3 24" xfId="43301"/>
    <cellStyle name="Normal 39 4 3 25" xfId="45919"/>
    <cellStyle name="Normal 39 4 3 26" xfId="47671"/>
    <cellStyle name="Normal 39 4 3 27" xfId="49423"/>
    <cellStyle name="Normal 39 4 3 28" xfId="51175"/>
    <cellStyle name="Normal 39 4 3 29" xfId="52927"/>
    <cellStyle name="Normal 39 4 3 3" xfId="5628"/>
    <cellStyle name="Normal 39 4 3 30" xfId="54679"/>
    <cellStyle name="Normal 39 4 3 31" xfId="56431"/>
    <cellStyle name="Normal 39 4 3 32" xfId="58184"/>
    <cellStyle name="Normal 39 4 3 33" xfId="59936"/>
    <cellStyle name="Normal 39 4 3 34" xfId="61688"/>
    <cellStyle name="Normal 39 4 3 4" xfId="7380"/>
    <cellStyle name="Normal 39 4 3 5" xfId="9132"/>
    <cellStyle name="Normal 39 4 3 6" xfId="10885"/>
    <cellStyle name="Normal 39 4 3 7" xfId="12637"/>
    <cellStyle name="Normal 39 4 3 8" xfId="14389"/>
    <cellStyle name="Normal 39 4 3 9" xfId="16141"/>
    <cellStyle name="Normal 39 4 30" xfId="46795"/>
    <cellStyle name="Normal 39 4 31" xfId="48547"/>
    <cellStyle name="Normal 39 4 32" xfId="50299"/>
    <cellStyle name="Normal 39 4 33" xfId="52051"/>
    <cellStyle name="Normal 39 4 34" xfId="53803"/>
    <cellStyle name="Normal 39 4 35" xfId="55555"/>
    <cellStyle name="Normal 39 4 36" xfId="57308"/>
    <cellStyle name="Normal 39 4 37" xfId="59060"/>
    <cellStyle name="Normal 39 4 38" xfId="60812"/>
    <cellStyle name="Normal 39 4 39" xfId="62801"/>
    <cellStyle name="Normal 39 4 4" xfId="3000"/>
    <cellStyle name="Normal 39 4 40" xfId="63667"/>
    <cellStyle name="Normal 39 4 5" xfId="4752"/>
    <cellStyle name="Normal 39 4 6" xfId="6504"/>
    <cellStyle name="Normal 39 4 7" xfId="8256"/>
    <cellStyle name="Normal 39 4 8" xfId="10009"/>
    <cellStyle name="Normal 39 4 9" xfId="11761"/>
    <cellStyle name="Normal 39 40" xfId="58733"/>
    <cellStyle name="Normal 39 41" xfId="60485"/>
    <cellStyle name="Normal 39 42" xfId="62789"/>
    <cellStyle name="Normal 39 43" xfId="63655"/>
    <cellStyle name="Normal 39 5" xfId="1728"/>
    <cellStyle name="Normal 39 5 10" xfId="15374"/>
    <cellStyle name="Normal 39 5 11" xfId="17127"/>
    <cellStyle name="Normal 39 5 12" xfId="18879"/>
    <cellStyle name="Normal 39 5 13" xfId="20632"/>
    <cellStyle name="Normal 39 5 14" xfId="22384"/>
    <cellStyle name="Normal 39 5 15" xfId="24136"/>
    <cellStyle name="Normal 39 5 16" xfId="25888"/>
    <cellStyle name="Normal 39 5 17" xfId="27640"/>
    <cellStyle name="Normal 39 5 18" xfId="29393"/>
    <cellStyle name="Normal 39 5 19" xfId="31145"/>
    <cellStyle name="Normal 39 5 2" xfId="1729"/>
    <cellStyle name="Normal 39 5 2 10" xfId="18003"/>
    <cellStyle name="Normal 39 5 2 11" xfId="19755"/>
    <cellStyle name="Normal 39 5 2 12" xfId="21508"/>
    <cellStyle name="Normal 39 5 2 13" xfId="23260"/>
    <cellStyle name="Normal 39 5 2 14" xfId="25012"/>
    <cellStyle name="Normal 39 5 2 15" xfId="26764"/>
    <cellStyle name="Normal 39 5 2 16" xfId="28516"/>
    <cellStyle name="Normal 39 5 2 17" xfId="30269"/>
    <cellStyle name="Normal 39 5 2 18" xfId="32021"/>
    <cellStyle name="Normal 39 5 2 19" xfId="33774"/>
    <cellStyle name="Normal 39 5 2 2" xfId="3985"/>
    <cellStyle name="Normal 39 5 2 20" xfId="36410"/>
    <cellStyle name="Normal 39 5 2 21" xfId="38150"/>
    <cellStyle name="Normal 39 5 2 22" xfId="39903"/>
    <cellStyle name="Normal 39 5 2 23" xfId="41658"/>
    <cellStyle name="Normal 39 5 2 24" xfId="43410"/>
    <cellStyle name="Normal 39 5 2 25" xfId="46028"/>
    <cellStyle name="Normal 39 5 2 26" xfId="47780"/>
    <cellStyle name="Normal 39 5 2 27" xfId="49532"/>
    <cellStyle name="Normal 39 5 2 28" xfId="51284"/>
    <cellStyle name="Normal 39 5 2 29" xfId="53036"/>
    <cellStyle name="Normal 39 5 2 3" xfId="5737"/>
    <cellStyle name="Normal 39 5 2 30" xfId="54788"/>
    <cellStyle name="Normal 39 5 2 31" xfId="56540"/>
    <cellStyle name="Normal 39 5 2 32" xfId="58293"/>
    <cellStyle name="Normal 39 5 2 33" xfId="60045"/>
    <cellStyle name="Normal 39 5 2 34" xfId="61797"/>
    <cellStyle name="Normal 39 5 2 4" xfId="7489"/>
    <cellStyle name="Normal 39 5 2 5" xfId="9241"/>
    <cellStyle name="Normal 39 5 2 6" xfId="10994"/>
    <cellStyle name="Normal 39 5 2 7" xfId="12746"/>
    <cellStyle name="Normal 39 5 2 8" xfId="14498"/>
    <cellStyle name="Normal 39 5 2 9" xfId="16250"/>
    <cellStyle name="Normal 39 5 20" xfId="32898"/>
    <cellStyle name="Normal 39 5 21" xfId="34795"/>
    <cellStyle name="Normal 39 5 22" xfId="35534"/>
    <cellStyle name="Normal 39 5 23" xfId="37416"/>
    <cellStyle name="Normal 39 5 24" xfId="39027"/>
    <cellStyle name="Normal 39 5 25" xfId="40782"/>
    <cellStyle name="Normal 39 5 26" xfId="42534"/>
    <cellStyle name="Normal 39 5 27" xfId="44416"/>
    <cellStyle name="Normal 39 5 28" xfId="45152"/>
    <cellStyle name="Normal 39 5 29" xfId="46904"/>
    <cellStyle name="Normal 39 5 3" xfId="3109"/>
    <cellStyle name="Normal 39 5 30" xfId="48656"/>
    <cellStyle name="Normal 39 5 31" xfId="50408"/>
    <cellStyle name="Normal 39 5 32" xfId="52160"/>
    <cellStyle name="Normal 39 5 33" xfId="53912"/>
    <cellStyle name="Normal 39 5 34" xfId="55664"/>
    <cellStyle name="Normal 39 5 35" xfId="57417"/>
    <cellStyle name="Normal 39 5 36" xfId="59169"/>
    <cellStyle name="Normal 39 5 37" xfId="60921"/>
    <cellStyle name="Normal 39 5 38" xfId="62803"/>
    <cellStyle name="Normal 39 5 39" xfId="63669"/>
    <cellStyle name="Normal 39 5 4" xfId="4861"/>
    <cellStyle name="Normal 39 5 5" xfId="6613"/>
    <cellStyle name="Normal 39 5 6" xfId="8365"/>
    <cellStyle name="Normal 39 5 7" xfId="10118"/>
    <cellStyle name="Normal 39 5 8" xfId="11870"/>
    <cellStyle name="Normal 39 5 9" xfId="13622"/>
    <cellStyle name="Normal 39 6" xfId="1730"/>
    <cellStyle name="Normal 39 6 10" xfId="17567"/>
    <cellStyle name="Normal 39 6 11" xfId="19319"/>
    <cellStyle name="Normal 39 6 12" xfId="21072"/>
    <cellStyle name="Normal 39 6 13" xfId="22824"/>
    <cellStyle name="Normal 39 6 14" xfId="24576"/>
    <cellStyle name="Normal 39 6 15" xfId="26328"/>
    <cellStyle name="Normal 39 6 16" xfId="28080"/>
    <cellStyle name="Normal 39 6 17" xfId="29833"/>
    <cellStyle name="Normal 39 6 18" xfId="31585"/>
    <cellStyle name="Normal 39 6 19" xfId="33338"/>
    <cellStyle name="Normal 39 6 2" xfId="3549"/>
    <cellStyle name="Normal 39 6 20" xfId="35974"/>
    <cellStyle name="Normal 39 6 21" xfId="37711"/>
    <cellStyle name="Normal 39 6 22" xfId="39467"/>
    <cellStyle name="Normal 39 6 23" xfId="41222"/>
    <cellStyle name="Normal 39 6 24" xfId="42974"/>
    <cellStyle name="Normal 39 6 25" xfId="45592"/>
    <cellStyle name="Normal 39 6 26" xfId="47344"/>
    <cellStyle name="Normal 39 6 27" xfId="49096"/>
    <cellStyle name="Normal 39 6 28" xfId="50848"/>
    <cellStyle name="Normal 39 6 29" xfId="52600"/>
    <cellStyle name="Normal 39 6 3" xfId="5301"/>
    <cellStyle name="Normal 39 6 30" xfId="54352"/>
    <cellStyle name="Normal 39 6 31" xfId="56104"/>
    <cellStyle name="Normal 39 6 32" xfId="57857"/>
    <cellStyle name="Normal 39 6 33" xfId="59609"/>
    <cellStyle name="Normal 39 6 34" xfId="61361"/>
    <cellStyle name="Normal 39 6 4" xfId="7053"/>
    <cellStyle name="Normal 39 6 5" xfId="8805"/>
    <cellStyle name="Normal 39 6 6" xfId="10558"/>
    <cellStyle name="Normal 39 6 7" xfId="12310"/>
    <cellStyle name="Normal 39 6 8" xfId="14062"/>
    <cellStyle name="Normal 39 6 9" xfId="15814"/>
    <cellStyle name="Normal 39 7" xfId="2673"/>
    <cellStyle name="Normal 39 8" xfId="4425"/>
    <cellStyle name="Normal 39 9" xfId="6177"/>
    <cellStyle name="Normal 4" xfId="1731"/>
    <cellStyle name="Normal 4 2" xfId="1732"/>
    <cellStyle name="Normal 40" xfId="1733"/>
    <cellStyle name="Normal 40 10" xfId="7930"/>
    <cellStyle name="Normal 40 11" xfId="9683"/>
    <cellStyle name="Normal 40 12" xfId="11435"/>
    <cellStyle name="Normal 40 13" xfId="13187"/>
    <cellStyle name="Normal 40 14" xfId="14939"/>
    <cellStyle name="Normal 40 15" xfId="16692"/>
    <cellStyle name="Normal 40 16" xfId="18444"/>
    <cellStyle name="Normal 40 17" xfId="20197"/>
    <cellStyle name="Normal 40 18" xfId="21949"/>
    <cellStyle name="Normal 40 19" xfId="23701"/>
    <cellStyle name="Normal 40 2" xfId="1734"/>
    <cellStyle name="Normal 40 2 10" xfId="9738"/>
    <cellStyle name="Normal 40 2 11" xfId="11490"/>
    <cellStyle name="Normal 40 2 12" xfId="13242"/>
    <cellStyle name="Normal 40 2 13" xfId="14994"/>
    <cellStyle name="Normal 40 2 14" xfId="16747"/>
    <cellStyle name="Normal 40 2 15" xfId="18499"/>
    <cellStyle name="Normal 40 2 16" xfId="20252"/>
    <cellStyle name="Normal 40 2 17" xfId="22004"/>
    <cellStyle name="Normal 40 2 18" xfId="23756"/>
    <cellStyle name="Normal 40 2 19" xfId="25508"/>
    <cellStyle name="Normal 40 2 2" xfId="1735"/>
    <cellStyle name="Normal 40 2 2 10" xfId="11598"/>
    <cellStyle name="Normal 40 2 2 11" xfId="13350"/>
    <cellStyle name="Normal 40 2 2 12" xfId="15102"/>
    <cellStyle name="Normal 40 2 2 13" xfId="16855"/>
    <cellStyle name="Normal 40 2 2 14" xfId="18607"/>
    <cellStyle name="Normal 40 2 2 15" xfId="20360"/>
    <cellStyle name="Normal 40 2 2 16" xfId="22112"/>
    <cellStyle name="Normal 40 2 2 17" xfId="23864"/>
    <cellStyle name="Normal 40 2 2 18" xfId="25616"/>
    <cellStyle name="Normal 40 2 2 19" xfId="27368"/>
    <cellStyle name="Normal 40 2 2 2" xfId="1736"/>
    <cellStyle name="Normal 40 2 2 2 10" xfId="13514"/>
    <cellStyle name="Normal 40 2 2 2 11" xfId="15266"/>
    <cellStyle name="Normal 40 2 2 2 12" xfId="17019"/>
    <cellStyle name="Normal 40 2 2 2 13" xfId="18771"/>
    <cellStyle name="Normal 40 2 2 2 14" xfId="20524"/>
    <cellStyle name="Normal 40 2 2 2 15" xfId="22276"/>
    <cellStyle name="Normal 40 2 2 2 16" xfId="24028"/>
    <cellStyle name="Normal 40 2 2 2 17" xfId="25780"/>
    <cellStyle name="Normal 40 2 2 2 18" xfId="27532"/>
    <cellStyle name="Normal 40 2 2 2 19" xfId="29285"/>
    <cellStyle name="Normal 40 2 2 2 2" xfId="1737"/>
    <cellStyle name="Normal 40 2 2 2 2 10" xfId="15702"/>
    <cellStyle name="Normal 40 2 2 2 2 11" xfId="17455"/>
    <cellStyle name="Normal 40 2 2 2 2 12" xfId="19207"/>
    <cellStyle name="Normal 40 2 2 2 2 13" xfId="20960"/>
    <cellStyle name="Normal 40 2 2 2 2 14" xfId="22712"/>
    <cellStyle name="Normal 40 2 2 2 2 15" xfId="24464"/>
    <cellStyle name="Normal 40 2 2 2 2 16" xfId="26216"/>
    <cellStyle name="Normal 40 2 2 2 2 17" xfId="27968"/>
    <cellStyle name="Normal 40 2 2 2 2 18" xfId="29721"/>
    <cellStyle name="Normal 40 2 2 2 2 19" xfId="31473"/>
    <cellStyle name="Normal 40 2 2 2 2 2" xfId="1738"/>
    <cellStyle name="Normal 40 2 2 2 2 2 10" xfId="18331"/>
    <cellStyle name="Normal 40 2 2 2 2 2 11" xfId="20083"/>
    <cellStyle name="Normal 40 2 2 2 2 2 12" xfId="21836"/>
    <cellStyle name="Normal 40 2 2 2 2 2 13" xfId="23588"/>
    <cellStyle name="Normal 40 2 2 2 2 2 14" xfId="25340"/>
    <cellStyle name="Normal 40 2 2 2 2 2 15" xfId="27092"/>
    <cellStyle name="Normal 40 2 2 2 2 2 16" xfId="28844"/>
    <cellStyle name="Normal 40 2 2 2 2 2 17" xfId="30597"/>
    <cellStyle name="Normal 40 2 2 2 2 2 18" xfId="32349"/>
    <cellStyle name="Normal 40 2 2 2 2 2 19" xfId="34102"/>
    <cellStyle name="Normal 40 2 2 2 2 2 2" xfId="4313"/>
    <cellStyle name="Normal 40 2 2 2 2 2 20" xfId="36738"/>
    <cellStyle name="Normal 40 2 2 2 2 2 21" xfId="38478"/>
    <cellStyle name="Normal 40 2 2 2 2 2 22" xfId="40231"/>
    <cellStyle name="Normal 40 2 2 2 2 2 23" xfId="41986"/>
    <cellStyle name="Normal 40 2 2 2 2 2 24" xfId="43738"/>
    <cellStyle name="Normal 40 2 2 2 2 2 25" xfId="46356"/>
    <cellStyle name="Normal 40 2 2 2 2 2 26" xfId="48108"/>
    <cellStyle name="Normal 40 2 2 2 2 2 27" xfId="49860"/>
    <cellStyle name="Normal 40 2 2 2 2 2 28" xfId="51612"/>
    <cellStyle name="Normal 40 2 2 2 2 2 29" xfId="53364"/>
    <cellStyle name="Normal 40 2 2 2 2 2 3" xfId="6065"/>
    <cellStyle name="Normal 40 2 2 2 2 2 30" xfId="55116"/>
    <cellStyle name="Normal 40 2 2 2 2 2 31" xfId="56868"/>
    <cellStyle name="Normal 40 2 2 2 2 2 32" xfId="58621"/>
    <cellStyle name="Normal 40 2 2 2 2 2 33" xfId="60373"/>
    <cellStyle name="Normal 40 2 2 2 2 2 34" xfId="62125"/>
    <cellStyle name="Normal 40 2 2 2 2 2 4" xfId="7817"/>
    <cellStyle name="Normal 40 2 2 2 2 2 5" xfId="9569"/>
    <cellStyle name="Normal 40 2 2 2 2 2 6" xfId="11322"/>
    <cellStyle name="Normal 40 2 2 2 2 2 7" xfId="13074"/>
    <cellStyle name="Normal 40 2 2 2 2 2 8" xfId="14826"/>
    <cellStyle name="Normal 40 2 2 2 2 2 9" xfId="16578"/>
    <cellStyle name="Normal 40 2 2 2 2 20" xfId="33226"/>
    <cellStyle name="Normal 40 2 2 2 2 21" xfId="34800"/>
    <cellStyle name="Normal 40 2 2 2 2 22" xfId="35862"/>
    <cellStyle name="Normal 40 2 2 2 2 23" xfId="37421"/>
    <cellStyle name="Normal 40 2 2 2 2 24" xfId="39355"/>
    <cellStyle name="Normal 40 2 2 2 2 25" xfId="41110"/>
    <cellStyle name="Normal 40 2 2 2 2 26" xfId="42862"/>
    <cellStyle name="Normal 40 2 2 2 2 27" xfId="44421"/>
    <cellStyle name="Normal 40 2 2 2 2 28" xfId="45480"/>
    <cellStyle name="Normal 40 2 2 2 2 29" xfId="47232"/>
    <cellStyle name="Normal 40 2 2 2 2 3" xfId="3437"/>
    <cellStyle name="Normal 40 2 2 2 2 30" xfId="48984"/>
    <cellStyle name="Normal 40 2 2 2 2 31" xfId="50736"/>
    <cellStyle name="Normal 40 2 2 2 2 32" xfId="52488"/>
    <cellStyle name="Normal 40 2 2 2 2 33" xfId="54240"/>
    <cellStyle name="Normal 40 2 2 2 2 34" xfId="55992"/>
    <cellStyle name="Normal 40 2 2 2 2 35" xfId="57745"/>
    <cellStyle name="Normal 40 2 2 2 2 36" xfId="59497"/>
    <cellStyle name="Normal 40 2 2 2 2 37" xfId="61249"/>
    <cellStyle name="Normal 40 2 2 2 2 38" xfId="62808"/>
    <cellStyle name="Normal 40 2 2 2 2 39" xfId="63674"/>
    <cellStyle name="Normal 40 2 2 2 2 4" xfId="5189"/>
    <cellStyle name="Normal 40 2 2 2 2 5" xfId="6941"/>
    <cellStyle name="Normal 40 2 2 2 2 6" xfId="8693"/>
    <cellStyle name="Normal 40 2 2 2 2 7" xfId="10446"/>
    <cellStyle name="Normal 40 2 2 2 2 8" xfId="12198"/>
    <cellStyle name="Normal 40 2 2 2 2 9" xfId="13950"/>
    <cellStyle name="Normal 40 2 2 2 20" xfId="31037"/>
    <cellStyle name="Normal 40 2 2 2 21" xfId="32790"/>
    <cellStyle name="Normal 40 2 2 2 22" xfId="34799"/>
    <cellStyle name="Normal 40 2 2 2 23" xfId="35426"/>
    <cellStyle name="Normal 40 2 2 2 24" xfId="37420"/>
    <cellStyle name="Normal 40 2 2 2 25" xfId="38919"/>
    <cellStyle name="Normal 40 2 2 2 26" xfId="40674"/>
    <cellStyle name="Normal 40 2 2 2 27" xfId="42426"/>
    <cellStyle name="Normal 40 2 2 2 28" xfId="44420"/>
    <cellStyle name="Normal 40 2 2 2 29" xfId="45044"/>
    <cellStyle name="Normal 40 2 2 2 3" xfId="1739"/>
    <cellStyle name="Normal 40 2 2 2 3 10" xfId="17895"/>
    <cellStyle name="Normal 40 2 2 2 3 11" xfId="19647"/>
    <cellStyle name="Normal 40 2 2 2 3 12" xfId="21400"/>
    <cellStyle name="Normal 40 2 2 2 3 13" xfId="23152"/>
    <cellStyle name="Normal 40 2 2 2 3 14" xfId="24904"/>
    <cellStyle name="Normal 40 2 2 2 3 15" xfId="26656"/>
    <cellStyle name="Normal 40 2 2 2 3 16" xfId="28408"/>
    <cellStyle name="Normal 40 2 2 2 3 17" xfId="30161"/>
    <cellStyle name="Normal 40 2 2 2 3 18" xfId="31913"/>
    <cellStyle name="Normal 40 2 2 2 3 19" xfId="33666"/>
    <cellStyle name="Normal 40 2 2 2 3 2" xfId="3877"/>
    <cellStyle name="Normal 40 2 2 2 3 20" xfId="36302"/>
    <cellStyle name="Normal 40 2 2 2 3 21" xfId="38042"/>
    <cellStyle name="Normal 40 2 2 2 3 22" xfId="39795"/>
    <cellStyle name="Normal 40 2 2 2 3 23" xfId="41550"/>
    <cellStyle name="Normal 40 2 2 2 3 24" xfId="43302"/>
    <cellStyle name="Normal 40 2 2 2 3 25" xfId="45920"/>
    <cellStyle name="Normal 40 2 2 2 3 26" xfId="47672"/>
    <cellStyle name="Normal 40 2 2 2 3 27" xfId="49424"/>
    <cellStyle name="Normal 40 2 2 2 3 28" xfId="51176"/>
    <cellStyle name="Normal 40 2 2 2 3 29" xfId="52928"/>
    <cellStyle name="Normal 40 2 2 2 3 3" xfId="5629"/>
    <cellStyle name="Normal 40 2 2 2 3 30" xfId="54680"/>
    <cellStyle name="Normal 40 2 2 2 3 31" xfId="56432"/>
    <cellStyle name="Normal 40 2 2 2 3 32" xfId="58185"/>
    <cellStyle name="Normal 40 2 2 2 3 33" xfId="59937"/>
    <cellStyle name="Normal 40 2 2 2 3 34" xfId="61689"/>
    <cellStyle name="Normal 40 2 2 2 3 4" xfId="7381"/>
    <cellStyle name="Normal 40 2 2 2 3 5" xfId="9133"/>
    <cellStyle name="Normal 40 2 2 2 3 6" xfId="10886"/>
    <cellStyle name="Normal 40 2 2 2 3 7" xfId="12638"/>
    <cellStyle name="Normal 40 2 2 2 3 8" xfId="14390"/>
    <cellStyle name="Normal 40 2 2 2 3 9" xfId="16142"/>
    <cellStyle name="Normal 40 2 2 2 30" xfId="46796"/>
    <cellStyle name="Normal 40 2 2 2 31" xfId="48548"/>
    <cellStyle name="Normal 40 2 2 2 32" xfId="50300"/>
    <cellStyle name="Normal 40 2 2 2 33" xfId="52052"/>
    <cellStyle name="Normal 40 2 2 2 34" xfId="53804"/>
    <cellStyle name="Normal 40 2 2 2 35" xfId="55556"/>
    <cellStyle name="Normal 40 2 2 2 36" xfId="57309"/>
    <cellStyle name="Normal 40 2 2 2 37" xfId="59061"/>
    <cellStyle name="Normal 40 2 2 2 38" xfId="60813"/>
    <cellStyle name="Normal 40 2 2 2 39" xfId="62807"/>
    <cellStyle name="Normal 40 2 2 2 4" xfId="3001"/>
    <cellStyle name="Normal 40 2 2 2 40" xfId="63673"/>
    <cellStyle name="Normal 40 2 2 2 5" xfId="4753"/>
    <cellStyle name="Normal 40 2 2 2 6" xfId="6505"/>
    <cellStyle name="Normal 40 2 2 2 7" xfId="8257"/>
    <cellStyle name="Normal 40 2 2 2 8" xfId="10010"/>
    <cellStyle name="Normal 40 2 2 2 9" xfId="11762"/>
    <cellStyle name="Normal 40 2 2 20" xfId="29121"/>
    <cellStyle name="Normal 40 2 2 21" xfId="30873"/>
    <cellStyle name="Normal 40 2 2 22" xfId="32626"/>
    <cellStyle name="Normal 40 2 2 23" xfId="34798"/>
    <cellStyle name="Normal 40 2 2 24" xfId="35262"/>
    <cellStyle name="Normal 40 2 2 25" xfId="37419"/>
    <cellStyle name="Normal 40 2 2 26" xfId="38755"/>
    <cellStyle name="Normal 40 2 2 27" xfId="40510"/>
    <cellStyle name="Normal 40 2 2 28" xfId="42262"/>
    <cellStyle name="Normal 40 2 2 29" xfId="44419"/>
    <cellStyle name="Normal 40 2 2 3" xfId="1740"/>
    <cellStyle name="Normal 40 2 2 3 10" xfId="15538"/>
    <cellStyle name="Normal 40 2 2 3 11" xfId="17291"/>
    <cellStyle name="Normal 40 2 2 3 12" xfId="19043"/>
    <cellStyle name="Normal 40 2 2 3 13" xfId="20796"/>
    <cellStyle name="Normal 40 2 2 3 14" xfId="22548"/>
    <cellStyle name="Normal 40 2 2 3 15" xfId="24300"/>
    <cellStyle name="Normal 40 2 2 3 16" xfId="26052"/>
    <cellStyle name="Normal 40 2 2 3 17" xfId="27804"/>
    <cellStyle name="Normal 40 2 2 3 18" xfId="29557"/>
    <cellStyle name="Normal 40 2 2 3 19" xfId="31309"/>
    <cellStyle name="Normal 40 2 2 3 2" xfId="1741"/>
    <cellStyle name="Normal 40 2 2 3 2 10" xfId="18167"/>
    <cellStyle name="Normal 40 2 2 3 2 11" xfId="19919"/>
    <cellStyle name="Normal 40 2 2 3 2 12" xfId="21672"/>
    <cellStyle name="Normal 40 2 2 3 2 13" xfId="23424"/>
    <cellStyle name="Normal 40 2 2 3 2 14" xfId="25176"/>
    <cellStyle name="Normal 40 2 2 3 2 15" xfId="26928"/>
    <cellStyle name="Normal 40 2 2 3 2 16" xfId="28680"/>
    <cellStyle name="Normal 40 2 2 3 2 17" xfId="30433"/>
    <cellStyle name="Normal 40 2 2 3 2 18" xfId="32185"/>
    <cellStyle name="Normal 40 2 2 3 2 19" xfId="33938"/>
    <cellStyle name="Normal 40 2 2 3 2 2" xfId="4149"/>
    <cellStyle name="Normal 40 2 2 3 2 20" xfId="36574"/>
    <cellStyle name="Normal 40 2 2 3 2 21" xfId="38314"/>
    <cellStyle name="Normal 40 2 2 3 2 22" xfId="40067"/>
    <cellStyle name="Normal 40 2 2 3 2 23" xfId="41822"/>
    <cellStyle name="Normal 40 2 2 3 2 24" xfId="43574"/>
    <cellStyle name="Normal 40 2 2 3 2 25" xfId="46192"/>
    <cellStyle name="Normal 40 2 2 3 2 26" xfId="47944"/>
    <cellStyle name="Normal 40 2 2 3 2 27" xfId="49696"/>
    <cellStyle name="Normal 40 2 2 3 2 28" xfId="51448"/>
    <cellStyle name="Normal 40 2 2 3 2 29" xfId="53200"/>
    <cellStyle name="Normal 40 2 2 3 2 3" xfId="5901"/>
    <cellStyle name="Normal 40 2 2 3 2 30" xfId="54952"/>
    <cellStyle name="Normal 40 2 2 3 2 31" xfId="56704"/>
    <cellStyle name="Normal 40 2 2 3 2 32" xfId="58457"/>
    <cellStyle name="Normal 40 2 2 3 2 33" xfId="60209"/>
    <cellStyle name="Normal 40 2 2 3 2 34" xfId="61961"/>
    <cellStyle name="Normal 40 2 2 3 2 4" xfId="7653"/>
    <cellStyle name="Normal 40 2 2 3 2 5" xfId="9405"/>
    <cellStyle name="Normal 40 2 2 3 2 6" xfId="11158"/>
    <cellStyle name="Normal 40 2 2 3 2 7" xfId="12910"/>
    <cellStyle name="Normal 40 2 2 3 2 8" xfId="14662"/>
    <cellStyle name="Normal 40 2 2 3 2 9" xfId="16414"/>
    <cellStyle name="Normal 40 2 2 3 20" xfId="33062"/>
    <cellStyle name="Normal 40 2 2 3 21" xfId="34801"/>
    <cellStyle name="Normal 40 2 2 3 22" xfId="35698"/>
    <cellStyle name="Normal 40 2 2 3 23" xfId="37422"/>
    <cellStyle name="Normal 40 2 2 3 24" xfId="39191"/>
    <cellStyle name="Normal 40 2 2 3 25" xfId="40946"/>
    <cellStyle name="Normal 40 2 2 3 26" xfId="42698"/>
    <cellStyle name="Normal 40 2 2 3 27" xfId="44422"/>
    <cellStyle name="Normal 40 2 2 3 28" xfId="45316"/>
    <cellStyle name="Normal 40 2 2 3 29" xfId="47068"/>
    <cellStyle name="Normal 40 2 2 3 3" xfId="3273"/>
    <cellStyle name="Normal 40 2 2 3 30" xfId="48820"/>
    <cellStyle name="Normal 40 2 2 3 31" xfId="50572"/>
    <cellStyle name="Normal 40 2 2 3 32" xfId="52324"/>
    <cellStyle name="Normal 40 2 2 3 33" xfId="54076"/>
    <cellStyle name="Normal 40 2 2 3 34" xfId="55828"/>
    <cellStyle name="Normal 40 2 2 3 35" xfId="57581"/>
    <cellStyle name="Normal 40 2 2 3 36" xfId="59333"/>
    <cellStyle name="Normal 40 2 2 3 37" xfId="61085"/>
    <cellStyle name="Normal 40 2 2 3 38" xfId="62809"/>
    <cellStyle name="Normal 40 2 2 3 39" xfId="63675"/>
    <cellStyle name="Normal 40 2 2 3 4" xfId="5025"/>
    <cellStyle name="Normal 40 2 2 3 5" xfId="6777"/>
    <cellStyle name="Normal 40 2 2 3 6" xfId="8529"/>
    <cellStyle name="Normal 40 2 2 3 7" xfId="10282"/>
    <cellStyle name="Normal 40 2 2 3 8" xfId="12034"/>
    <cellStyle name="Normal 40 2 2 3 9" xfId="13786"/>
    <cellStyle name="Normal 40 2 2 30" xfId="44880"/>
    <cellStyle name="Normal 40 2 2 31" xfId="46632"/>
    <cellStyle name="Normal 40 2 2 32" xfId="48384"/>
    <cellStyle name="Normal 40 2 2 33" xfId="50136"/>
    <cellStyle name="Normal 40 2 2 34" xfId="51888"/>
    <cellStyle name="Normal 40 2 2 35" xfId="53640"/>
    <cellStyle name="Normal 40 2 2 36" xfId="55392"/>
    <cellStyle name="Normal 40 2 2 37" xfId="57145"/>
    <cellStyle name="Normal 40 2 2 38" xfId="58897"/>
    <cellStyle name="Normal 40 2 2 39" xfId="60649"/>
    <cellStyle name="Normal 40 2 2 4" xfId="1742"/>
    <cellStyle name="Normal 40 2 2 4 10" xfId="17731"/>
    <cellStyle name="Normal 40 2 2 4 11" xfId="19483"/>
    <cellStyle name="Normal 40 2 2 4 12" xfId="21236"/>
    <cellStyle name="Normal 40 2 2 4 13" xfId="22988"/>
    <cellStyle name="Normal 40 2 2 4 14" xfId="24740"/>
    <cellStyle name="Normal 40 2 2 4 15" xfId="26492"/>
    <cellStyle name="Normal 40 2 2 4 16" xfId="28244"/>
    <cellStyle name="Normal 40 2 2 4 17" xfId="29997"/>
    <cellStyle name="Normal 40 2 2 4 18" xfId="31749"/>
    <cellStyle name="Normal 40 2 2 4 19" xfId="33502"/>
    <cellStyle name="Normal 40 2 2 4 2" xfId="3713"/>
    <cellStyle name="Normal 40 2 2 4 20" xfId="36138"/>
    <cellStyle name="Normal 40 2 2 4 21" xfId="37878"/>
    <cellStyle name="Normal 40 2 2 4 22" xfId="39631"/>
    <cellStyle name="Normal 40 2 2 4 23" xfId="41386"/>
    <cellStyle name="Normal 40 2 2 4 24" xfId="43138"/>
    <cellStyle name="Normal 40 2 2 4 25" xfId="45756"/>
    <cellStyle name="Normal 40 2 2 4 26" xfId="47508"/>
    <cellStyle name="Normal 40 2 2 4 27" xfId="49260"/>
    <cellStyle name="Normal 40 2 2 4 28" xfId="51012"/>
    <cellStyle name="Normal 40 2 2 4 29" xfId="52764"/>
    <cellStyle name="Normal 40 2 2 4 3" xfId="5465"/>
    <cellStyle name="Normal 40 2 2 4 30" xfId="54516"/>
    <cellStyle name="Normal 40 2 2 4 31" xfId="56268"/>
    <cellStyle name="Normal 40 2 2 4 32" xfId="58021"/>
    <cellStyle name="Normal 40 2 2 4 33" xfId="59773"/>
    <cellStyle name="Normal 40 2 2 4 34" xfId="61525"/>
    <cellStyle name="Normal 40 2 2 4 4" xfId="7217"/>
    <cellStyle name="Normal 40 2 2 4 5" xfId="8969"/>
    <cellStyle name="Normal 40 2 2 4 6" xfId="10722"/>
    <cellStyle name="Normal 40 2 2 4 7" xfId="12474"/>
    <cellStyle name="Normal 40 2 2 4 8" xfId="14226"/>
    <cellStyle name="Normal 40 2 2 4 9" xfId="15978"/>
    <cellStyle name="Normal 40 2 2 40" xfId="62806"/>
    <cellStyle name="Normal 40 2 2 41" xfId="63672"/>
    <cellStyle name="Normal 40 2 2 5" xfId="2837"/>
    <cellStyle name="Normal 40 2 2 6" xfId="4589"/>
    <cellStyle name="Normal 40 2 2 7" xfId="6341"/>
    <cellStyle name="Normal 40 2 2 8" xfId="8093"/>
    <cellStyle name="Normal 40 2 2 9" xfId="9846"/>
    <cellStyle name="Normal 40 2 20" xfId="27260"/>
    <cellStyle name="Normal 40 2 21" xfId="29013"/>
    <cellStyle name="Normal 40 2 22" xfId="30765"/>
    <cellStyle name="Normal 40 2 23" xfId="32518"/>
    <cellStyle name="Normal 40 2 24" xfId="34797"/>
    <cellStyle name="Normal 40 2 25" xfId="35154"/>
    <cellStyle name="Normal 40 2 26" xfId="37418"/>
    <cellStyle name="Normal 40 2 27" xfId="38647"/>
    <cellStyle name="Normal 40 2 28" xfId="40402"/>
    <cellStyle name="Normal 40 2 29" xfId="42154"/>
    <cellStyle name="Normal 40 2 3" xfId="1743"/>
    <cellStyle name="Normal 40 2 3 10" xfId="13515"/>
    <cellStyle name="Normal 40 2 3 11" xfId="15267"/>
    <cellStyle name="Normal 40 2 3 12" xfId="17020"/>
    <cellStyle name="Normal 40 2 3 13" xfId="18772"/>
    <cellStyle name="Normal 40 2 3 14" xfId="20525"/>
    <cellStyle name="Normal 40 2 3 15" xfId="22277"/>
    <cellStyle name="Normal 40 2 3 16" xfId="24029"/>
    <cellStyle name="Normal 40 2 3 17" xfId="25781"/>
    <cellStyle name="Normal 40 2 3 18" xfId="27533"/>
    <cellStyle name="Normal 40 2 3 19" xfId="29286"/>
    <cellStyle name="Normal 40 2 3 2" xfId="1744"/>
    <cellStyle name="Normal 40 2 3 2 10" xfId="15703"/>
    <cellStyle name="Normal 40 2 3 2 11" xfId="17456"/>
    <cellStyle name="Normal 40 2 3 2 12" xfId="19208"/>
    <cellStyle name="Normal 40 2 3 2 13" xfId="20961"/>
    <cellStyle name="Normal 40 2 3 2 14" xfId="22713"/>
    <cellStyle name="Normal 40 2 3 2 15" xfId="24465"/>
    <cellStyle name="Normal 40 2 3 2 16" xfId="26217"/>
    <cellStyle name="Normal 40 2 3 2 17" xfId="27969"/>
    <cellStyle name="Normal 40 2 3 2 18" xfId="29722"/>
    <cellStyle name="Normal 40 2 3 2 19" xfId="31474"/>
    <cellStyle name="Normal 40 2 3 2 2" xfId="1745"/>
    <cellStyle name="Normal 40 2 3 2 2 10" xfId="18332"/>
    <cellStyle name="Normal 40 2 3 2 2 11" xfId="20084"/>
    <cellStyle name="Normal 40 2 3 2 2 12" xfId="21837"/>
    <cellStyle name="Normal 40 2 3 2 2 13" xfId="23589"/>
    <cellStyle name="Normal 40 2 3 2 2 14" xfId="25341"/>
    <cellStyle name="Normal 40 2 3 2 2 15" xfId="27093"/>
    <cellStyle name="Normal 40 2 3 2 2 16" xfId="28845"/>
    <cellStyle name="Normal 40 2 3 2 2 17" xfId="30598"/>
    <cellStyle name="Normal 40 2 3 2 2 18" xfId="32350"/>
    <cellStyle name="Normal 40 2 3 2 2 19" xfId="34103"/>
    <cellStyle name="Normal 40 2 3 2 2 2" xfId="4314"/>
    <cellStyle name="Normal 40 2 3 2 2 20" xfId="36739"/>
    <cellStyle name="Normal 40 2 3 2 2 21" xfId="38479"/>
    <cellStyle name="Normal 40 2 3 2 2 22" xfId="40232"/>
    <cellStyle name="Normal 40 2 3 2 2 23" xfId="41987"/>
    <cellStyle name="Normal 40 2 3 2 2 24" xfId="43739"/>
    <cellStyle name="Normal 40 2 3 2 2 25" xfId="46357"/>
    <cellStyle name="Normal 40 2 3 2 2 26" xfId="48109"/>
    <cellStyle name="Normal 40 2 3 2 2 27" xfId="49861"/>
    <cellStyle name="Normal 40 2 3 2 2 28" xfId="51613"/>
    <cellStyle name="Normal 40 2 3 2 2 29" xfId="53365"/>
    <cellStyle name="Normal 40 2 3 2 2 3" xfId="6066"/>
    <cellStyle name="Normal 40 2 3 2 2 30" xfId="55117"/>
    <cellStyle name="Normal 40 2 3 2 2 31" xfId="56869"/>
    <cellStyle name="Normal 40 2 3 2 2 32" xfId="58622"/>
    <cellStyle name="Normal 40 2 3 2 2 33" xfId="60374"/>
    <cellStyle name="Normal 40 2 3 2 2 34" xfId="62126"/>
    <cellStyle name="Normal 40 2 3 2 2 4" xfId="7818"/>
    <cellStyle name="Normal 40 2 3 2 2 5" xfId="9570"/>
    <cellStyle name="Normal 40 2 3 2 2 6" xfId="11323"/>
    <cellStyle name="Normal 40 2 3 2 2 7" xfId="13075"/>
    <cellStyle name="Normal 40 2 3 2 2 8" xfId="14827"/>
    <cellStyle name="Normal 40 2 3 2 2 9" xfId="16579"/>
    <cellStyle name="Normal 40 2 3 2 20" xfId="33227"/>
    <cellStyle name="Normal 40 2 3 2 21" xfId="34803"/>
    <cellStyle name="Normal 40 2 3 2 22" xfId="35863"/>
    <cellStyle name="Normal 40 2 3 2 23" xfId="37424"/>
    <cellStyle name="Normal 40 2 3 2 24" xfId="39356"/>
    <cellStyle name="Normal 40 2 3 2 25" xfId="41111"/>
    <cellStyle name="Normal 40 2 3 2 26" xfId="42863"/>
    <cellStyle name="Normal 40 2 3 2 27" xfId="44424"/>
    <cellStyle name="Normal 40 2 3 2 28" xfId="45481"/>
    <cellStyle name="Normal 40 2 3 2 29" xfId="47233"/>
    <cellStyle name="Normal 40 2 3 2 3" xfId="3438"/>
    <cellStyle name="Normal 40 2 3 2 30" xfId="48985"/>
    <cellStyle name="Normal 40 2 3 2 31" xfId="50737"/>
    <cellStyle name="Normal 40 2 3 2 32" xfId="52489"/>
    <cellStyle name="Normal 40 2 3 2 33" xfId="54241"/>
    <cellStyle name="Normal 40 2 3 2 34" xfId="55993"/>
    <cellStyle name="Normal 40 2 3 2 35" xfId="57746"/>
    <cellStyle name="Normal 40 2 3 2 36" xfId="59498"/>
    <cellStyle name="Normal 40 2 3 2 37" xfId="61250"/>
    <cellStyle name="Normal 40 2 3 2 38" xfId="62811"/>
    <cellStyle name="Normal 40 2 3 2 39" xfId="63677"/>
    <cellStyle name="Normal 40 2 3 2 4" xfId="5190"/>
    <cellStyle name="Normal 40 2 3 2 5" xfId="6942"/>
    <cellStyle name="Normal 40 2 3 2 6" xfId="8694"/>
    <cellStyle name="Normal 40 2 3 2 7" xfId="10447"/>
    <cellStyle name="Normal 40 2 3 2 8" xfId="12199"/>
    <cellStyle name="Normal 40 2 3 2 9" xfId="13951"/>
    <cellStyle name="Normal 40 2 3 20" xfId="31038"/>
    <cellStyle name="Normal 40 2 3 21" xfId="32791"/>
    <cellStyle name="Normal 40 2 3 22" xfId="34802"/>
    <cellStyle name="Normal 40 2 3 23" xfId="35427"/>
    <cellStyle name="Normal 40 2 3 24" xfId="37423"/>
    <cellStyle name="Normal 40 2 3 25" xfId="38920"/>
    <cellStyle name="Normal 40 2 3 26" xfId="40675"/>
    <cellStyle name="Normal 40 2 3 27" xfId="42427"/>
    <cellStyle name="Normal 40 2 3 28" xfId="44423"/>
    <cellStyle name="Normal 40 2 3 29" xfId="45045"/>
    <cellStyle name="Normal 40 2 3 3" xfId="1746"/>
    <cellStyle name="Normal 40 2 3 3 10" xfId="17896"/>
    <cellStyle name="Normal 40 2 3 3 11" xfId="19648"/>
    <cellStyle name="Normal 40 2 3 3 12" xfId="21401"/>
    <cellStyle name="Normal 40 2 3 3 13" xfId="23153"/>
    <cellStyle name="Normal 40 2 3 3 14" xfId="24905"/>
    <cellStyle name="Normal 40 2 3 3 15" xfId="26657"/>
    <cellStyle name="Normal 40 2 3 3 16" xfId="28409"/>
    <cellStyle name="Normal 40 2 3 3 17" xfId="30162"/>
    <cellStyle name="Normal 40 2 3 3 18" xfId="31914"/>
    <cellStyle name="Normal 40 2 3 3 19" xfId="33667"/>
    <cellStyle name="Normal 40 2 3 3 2" xfId="3878"/>
    <cellStyle name="Normal 40 2 3 3 20" xfId="36303"/>
    <cellStyle name="Normal 40 2 3 3 21" xfId="38043"/>
    <cellStyle name="Normal 40 2 3 3 22" xfId="39796"/>
    <cellStyle name="Normal 40 2 3 3 23" xfId="41551"/>
    <cellStyle name="Normal 40 2 3 3 24" xfId="43303"/>
    <cellStyle name="Normal 40 2 3 3 25" xfId="45921"/>
    <cellStyle name="Normal 40 2 3 3 26" xfId="47673"/>
    <cellStyle name="Normal 40 2 3 3 27" xfId="49425"/>
    <cellStyle name="Normal 40 2 3 3 28" xfId="51177"/>
    <cellStyle name="Normal 40 2 3 3 29" xfId="52929"/>
    <cellStyle name="Normal 40 2 3 3 3" xfId="5630"/>
    <cellStyle name="Normal 40 2 3 3 30" xfId="54681"/>
    <cellStyle name="Normal 40 2 3 3 31" xfId="56433"/>
    <cellStyle name="Normal 40 2 3 3 32" xfId="58186"/>
    <cellStyle name="Normal 40 2 3 3 33" xfId="59938"/>
    <cellStyle name="Normal 40 2 3 3 34" xfId="61690"/>
    <cellStyle name="Normal 40 2 3 3 4" xfId="7382"/>
    <cellStyle name="Normal 40 2 3 3 5" xfId="9134"/>
    <cellStyle name="Normal 40 2 3 3 6" xfId="10887"/>
    <cellStyle name="Normal 40 2 3 3 7" xfId="12639"/>
    <cellStyle name="Normal 40 2 3 3 8" xfId="14391"/>
    <cellStyle name="Normal 40 2 3 3 9" xfId="16143"/>
    <cellStyle name="Normal 40 2 3 30" xfId="46797"/>
    <cellStyle name="Normal 40 2 3 31" xfId="48549"/>
    <cellStyle name="Normal 40 2 3 32" xfId="50301"/>
    <cellStyle name="Normal 40 2 3 33" xfId="52053"/>
    <cellStyle name="Normal 40 2 3 34" xfId="53805"/>
    <cellStyle name="Normal 40 2 3 35" xfId="55557"/>
    <cellStyle name="Normal 40 2 3 36" xfId="57310"/>
    <cellStyle name="Normal 40 2 3 37" xfId="59062"/>
    <cellStyle name="Normal 40 2 3 38" xfId="60814"/>
    <cellStyle name="Normal 40 2 3 39" xfId="62810"/>
    <cellStyle name="Normal 40 2 3 4" xfId="3002"/>
    <cellStyle name="Normal 40 2 3 40" xfId="63676"/>
    <cellStyle name="Normal 40 2 3 5" xfId="4754"/>
    <cellStyle name="Normal 40 2 3 6" xfId="6506"/>
    <cellStyle name="Normal 40 2 3 7" xfId="8258"/>
    <cellStyle name="Normal 40 2 3 8" xfId="10011"/>
    <cellStyle name="Normal 40 2 3 9" xfId="11763"/>
    <cellStyle name="Normal 40 2 30" xfId="44418"/>
    <cellStyle name="Normal 40 2 31" xfId="44772"/>
    <cellStyle name="Normal 40 2 32" xfId="46524"/>
    <cellStyle name="Normal 40 2 33" xfId="48276"/>
    <cellStyle name="Normal 40 2 34" xfId="50028"/>
    <cellStyle name="Normal 40 2 35" xfId="51780"/>
    <cellStyle name="Normal 40 2 36" xfId="53532"/>
    <cellStyle name="Normal 40 2 37" xfId="55284"/>
    <cellStyle name="Normal 40 2 38" xfId="57037"/>
    <cellStyle name="Normal 40 2 39" xfId="58789"/>
    <cellStyle name="Normal 40 2 4" xfId="1747"/>
    <cellStyle name="Normal 40 2 4 10" xfId="15430"/>
    <cellStyle name="Normal 40 2 4 11" xfId="17183"/>
    <cellStyle name="Normal 40 2 4 12" xfId="18935"/>
    <cellStyle name="Normal 40 2 4 13" xfId="20688"/>
    <cellStyle name="Normal 40 2 4 14" xfId="22440"/>
    <cellStyle name="Normal 40 2 4 15" xfId="24192"/>
    <cellStyle name="Normal 40 2 4 16" xfId="25944"/>
    <cellStyle name="Normal 40 2 4 17" xfId="27696"/>
    <cellStyle name="Normal 40 2 4 18" xfId="29449"/>
    <cellStyle name="Normal 40 2 4 19" xfId="31201"/>
    <cellStyle name="Normal 40 2 4 2" xfId="1748"/>
    <cellStyle name="Normal 40 2 4 2 10" xfId="18059"/>
    <cellStyle name="Normal 40 2 4 2 11" xfId="19811"/>
    <cellStyle name="Normal 40 2 4 2 12" xfId="21564"/>
    <cellStyle name="Normal 40 2 4 2 13" xfId="23316"/>
    <cellStyle name="Normal 40 2 4 2 14" xfId="25068"/>
    <cellStyle name="Normal 40 2 4 2 15" xfId="26820"/>
    <cellStyle name="Normal 40 2 4 2 16" xfId="28572"/>
    <cellStyle name="Normal 40 2 4 2 17" xfId="30325"/>
    <cellStyle name="Normal 40 2 4 2 18" xfId="32077"/>
    <cellStyle name="Normal 40 2 4 2 19" xfId="33830"/>
    <cellStyle name="Normal 40 2 4 2 2" xfId="4041"/>
    <cellStyle name="Normal 40 2 4 2 20" xfId="36466"/>
    <cellStyle name="Normal 40 2 4 2 21" xfId="38206"/>
    <cellStyle name="Normal 40 2 4 2 22" xfId="39959"/>
    <cellStyle name="Normal 40 2 4 2 23" xfId="41714"/>
    <cellStyle name="Normal 40 2 4 2 24" xfId="43466"/>
    <cellStyle name="Normal 40 2 4 2 25" xfId="46084"/>
    <cellStyle name="Normal 40 2 4 2 26" xfId="47836"/>
    <cellStyle name="Normal 40 2 4 2 27" xfId="49588"/>
    <cellStyle name="Normal 40 2 4 2 28" xfId="51340"/>
    <cellStyle name="Normal 40 2 4 2 29" xfId="53092"/>
    <cellStyle name="Normal 40 2 4 2 3" xfId="5793"/>
    <cellStyle name="Normal 40 2 4 2 30" xfId="54844"/>
    <cellStyle name="Normal 40 2 4 2 31" xfId="56596"/>
    <cellStyle name="Normal 40 2 4 2 32" xfId="58349"/>
    <cellStyle name="Normal 40 2 4 2 33" xfId="60101"/>
    <cellStyle name="Normal 40 2 4 2 34" xfId="61853"/>
    <cellStyle name="Normal 40 2 4 2 4" xfId="7545"/>
    <cellStyle name="Normal 40 2 4 2 5" xfId="9297"/>
    <cellStyle name="Normal 40 2 4 2 6" xfId="11050"/>
    <cellStyle name="Normal 40 2 4 2 7" xfId="12802"/>
    <cellStyle name="Normal 40 2 4 2 8" xfId="14554"/>
    <cellStyle name="Normal 40 2 4 2 9" xfId="16306"/>
    <cellStyle name="Normal 40 2 4 20" xfId="32954"/>
    <cellStyle name="Normal 40 2 4 21" xfId="34804"/>
    <cellStyle name="Normal 40 2 4 22" xfId="35590"/>
    <cellStyle name="Normal 40 2 4 23" xfId="37425"/>
    <cellStyle name="Normal 40 2 4 24" xfId="39083"/>
    <cellStyle name="Normal 40 2 4 25" xfId="40838"/>
    <cellStyle name="Normal 40 2 4 26" xfId="42590"/>
    <cellStyle name="Normal 40 2 4 27" xfId="44425"/>
    <cellStyle name="Normal 40 2 4 28" xfId="45208"/>
    <cellStyle name="Normal 40 2 4 29" xfId="46960"/>
    <cellStyle name="Normal 40 2 4 3" xfId="3165"/>
    <cellStyle name="Normal 40 2 4 30" xfId="48712"/>
    <cellStyle name="Normal 40 2 4 31" xfId="50464"/>
    <cellStyle name="Normal 40 2 4 32" xfId="52216"/>
    <cellStyle name="Normal 40 2 4 33" xfId="53968"/>
    <cellStyle name="Normal 40 2 4 34" xfId="55720"/>
    <cellStyle name="Normal 40 2 4 35" xfId="57473"/>
    <cellStyle name="Normal 40 2 4 36" xfId="59225"/>
    <cellStyle name="Normal 40 2 4 37" xfId="60977"/>
    <cellStyle name="Normal 40 2 4 38" xfId="62812"/>
    <cellStyle name="Normal 40 2 4 39" xfId="63678"/>
    <cellStyle name="Normal 40 2 4 4" xfId="4917"/>
    <cellStyle name="Normal 40 2 4 5" xfId="6669"/>
    <cellStyle name="Normal 40 2 4 6" xfId="8421"/>
    <cellStyle name="Normal 40 2 4 7" xfId="10174"/>
    <cellStyle name="Normal 40 2 4 8" xfId="11926"/>
    <cellStyle name="Normal 40 2 4 9" xfId="13678"/>
    <cellStyle name="Normal 40 2 40" xfId="60541"/>
    <cellStyle name="Normal 40 2 41" xfId="62805"/>
    <cellStyle name="Normal 40 2 42" xfId="63671"/>
    <cellStyle name="Normal 40 2 5" xfId="1749"/>
    <cellStyle name="Normal 40 2 5 10" xfId="17623"/>
    <cellStyle name="Normal 40 2 5 11" xfId="19375"/>
    <cellStyle name="Normal 40 2 5 12" xfId="21128"/>
    <cellStyle name="Normal 40 2 5 13" xfId="22880"/>
    <cellStyle name="Normal 40 2 5 14" xfId="24632"/>
    <cellStyle name="Normal 40 2 5 15" xfId="26384"/>
    <cellStyle name="Normal 40 2 5 16" xfId="28136"/>
    <cellStyle name="Normal 40 2 5 17" xfId="29889"/>
    <cellStyle name="Normal 40 2 5 18" xfId="31641"/>
    <cellStyle name="Normal 40 2 5 19" xfId="33394"/>
    <cellStyle name="Normal 40 2 5 2" xfId="3605"/>
    <cellStyle name="Normal 40 2 5 20" xfId="36030"/>
    <cellStyle name="Normal 40 2 5 21" xfId="37770"/>
    <cellStyle name="Normal 40 2 5 22" xfId="39523"/>
    <cellStyle name="Normal 40 2 5 23" xfId="41278"/>
    <cellStyle name="Normal 40 2 5 24" xfId="43030"/>
    <cellStyle name="Normal 40 2 5 25" xfId="45648"/>
    <cellStyle name="Normal 40 2 5 26" xfId="47400"/>
    <cellStyle name="Normal 40 2 5 27" xfId="49152"/>
    <cellStyle name="Normal 40 2 5 28" xfId="50904"/>
    <cellStyle name="Normal 40 2 5 29" xfId="52656"/>
    <cellStyle name="Normal 40 2 5 3" xfId="5357"/>
    <cellStyle name="Normal 40 2 5 30" xfId="54408"/>
    <cellStyle name="Normal 40 2 5 31" xfId="56160"/>
    <cellStyle name="Normal 40 2 5 32" xfId="57913"/>
    <cellStyle name="Normal 40 2 5 33" xfId="59665"/>
    <cellStyle name="Normal 40 2 5 34" xfId="61417"/>
    <cellStyle name="Normal 40 2 5 4" xfId="7109"/>
    <cellStyle name="Normal 40 2 5 5" xfId="8861"/>
    <cellStyle name="Normal 40 2 5 6" xfId="10614"/>
    <cellStyle name="Normal 40 2 5 7" xfId="12366"/>
    <cellStyle name="Normal 40 2 5 8" xfId="14118"/>
    <cellStyle name="Normal 40 2 5 9" xfId="15870"/>
    <cellStyle name="Normal 40 2 6" xfId="2729"/>
    <cellStyle name="Normal 40 2 7" xfId="4481"/>
    <cellStyle name="Normal 40 2 8" xfId="6233"/>
    <cellStyle name="Normal 40 2 9" xfId="7985"/>
    <cellStyle name="Normal 40 20" xfId="25453"/>
    <cellStyle name="Normal 40 21" xfId="27205"/>
    <cellStyle name="Normal 40 22" xfId="28958"/>
    <cellStyle name="Normal 40 23" xfId="30710"/>
    <cellStyle name="Normal 40 24" xfId="32463"/>
    <cellStyle name="Normal 40 25" xfId="34796"/>
    <cellStyle name="Normal 40 26" xfId="35099"/>
    <cellStyle name="Normal 40 27" xfId="37417"/>
    <cellStyle name="Normal 40 28" xfId="38592"/>
    <cellStyle name="Normal 40 29" xfId="40347"/>
    <cellStyle name="Normal 40 3" xfId="1750"/>
    <cellStyle name="Normal 40 3 10" xfId="11543"/>
    <cellStyle name="Normal 40 3 11" xfId="13295"/>
    <cellStyle name="Normal 40 3 12" xfId="15047"/>
    <cellStyle name="Normal 40 3 13" xfId="16800"/>
    <cellStyle name="Normal 40 3 14" xfId="18552"/>
    <cellStyle name="Normal 40 3 15" xfId="20305"/>
    <cellStyle name="Normal 40 3 16" xfId="22057"/>
    <cellStyle name="Normal 40 3 17" xfId="23809"/>
    <cellStyle name="Normal 40 3 18" xfId="25561"/>
    <cellStyle name="Normal 40 3 19" xfId="27313"/>
    <cellStyle name="Normal 40 3 2" xfId="1751"/>
    <cellStyle name="Normal 40 3 2 10" xfId="13516"/>
    <cellStyle name="Normal 40 3 2 11" xfId="15268"/>
    <cellStyle name="Normal 40 3 2 12" xfId="17021"/>
    <cellStyle name="Normal 40 3 2 13" xfId="18773"/>
    <cellStyle name="Normal 40 3 2 14" xfId="20526"/>
    <cellStyle name="Normal 40 3 2 15" xfId="22278"/>
    <cellStyle name="Normal 40 3 2 16" xfId="24030"/>
    <cellStyle name="Normal 40 3 2 17" xfId="25782"/>
    <cellStyle name="Normal 40 3 2 18" xfId="27534"/>
    <cellStyle name="Normal 40 3 2 19" xfId="29287"/>
    <cellStyle name="Normal 40 3 2 2" xfId="1752"/>
    <cellStyle name="Normal 40 3 2 2 10" xfId="15704"/>
    <cellStyle name="Normal 40 3 2 2 11" xfId="17457"/>
    <cellStyle name="Normal 40 3 2 2 12" xfId="19209"/>
    <cellStyle name="Normal 40 3 2 2 13" xfId="20962"/>
    <cellStyle name="Normal 40 3 2 2 14" xfId="22714"/>
    <cellStyle name="Normal 40 3 2 2 15" xfId="24466"/>
    <cellStyle name="Normal 40 3 2 2 16" xfId="26218"/>
    <cellStyle name="Normal 40 3 2 2 17" xfId="27970"/>
    <cellStyle name="Normal 40 3 2 2 18" xfId="29723"/>
    <cellStyle name="Normal 40 3 2 2 19" xfId="31475"/>
    <cellStyle name="Normal 40 3 2 2 2" xfId="1753"/>
    <cellStyle name="Normal 40 3 2 2 2 10" xfId="18333"/>
    <cellStyle name="Normal 40 3 2 2 2 11" xfId="20085"/>
    <cellStyle name="Normal 40 3 2 2 2 12" xfId="21838"/>
    <cellStyle name="Normal 40 3 2 2 2 13" xfId="23590"/>
    <cellStyle name="Normal 40 3 2 2 2 14" xfId="25342"/>
    <cellStyle name="Normal 40 3 2 2 2 15" xfId="27094"/>
    <cellStyle name="Normal 40 3 2 2 2 16" xfId="28846"/>
    <cellStyle name="Normal 40 3 2 2 2 17" xfId="30599"/>
    <cellStyle name="Normal 40 3 2 2 2 18" xfId="32351"/>
    <cellStyle name="Normal 40 3 2 2 2 19" xfId="34104"/>
    <cellStyle name="Normal 40 3 2 2 2 2" xfId="4315"/>
    <cellStyle name="Normal 40 3 2 2 2 20" xfId="36740"/>
    <cellStyle name="Normal 40 3 2 2 2 21" xfId="38480"/>
    <cellStyle name="Normal 40 3 2 2 2 22" xfId="40233"/>
    <cellStyle name="Normal 40 3 2 2 2 23" xfId="41988"/>
    <cellStyle name="Normal 40 3 2 2 2 24" xfId="43740"/>
    <cellStyle name="Normal 40 3 2 2 2 25" xfId="46358"/>
    <cellStyle name="Normal 40 3 2 2 2 26" xfId="48110"/>
    <cellStyle name="Normal 40 3 2 2 2 27" xfId="49862"/>
    <cellStyle name="Normal 40 3 2 2 2 28" xfId="51614"/>
    <cellStyle name="Normal 40 3 2 2 2 29" xfId="53366"/>
    <cellStyle name="Normal 40 3 2 2 2 3" xfId="6067"/>
    <cellStyle name="Normal 40 3 2 2 2 30" xfId="55118"/>
    <cellStyle name="Normal 40 3 2 2 2 31" xfId="56870"/>
    <cellStyle name="Normal 40 3 2 2 2 32" xfId="58623"/>
    <cellStyle name="Normal 40 3 2 2 2 33" xfId="60375"/>
    <cellStyle name="Normal 40 3 2 2 2 34" xfId="62127"/>
    <cellStyle name="Normal 40 3 2 2 2 4" xfId="7819"/>
    <cellStyle name="Normal 40 3 2 2 2 5" xfId="9571"/>
    <cellStyle name="Normal 40 3 2 2 2 6" xfId="11324"/>
    <cellStyle name="Normal 40 3 2 2 2 7" xfId="13076"/>
    <cellStyle name="Normal 40 3 2 2 2 8" xfId="14828"/>
    <cellStyle name="Normal 40 3 2 2 2 9" xfId="16580"/>
    <cellStyle name="Normal 40 3 2 2 20" xfId="33228"/>
    <cellStyle name="Normal 40 3 2 2 21" xfId="34807"/>
    <cellStyle name="Normal 40 3 2 2 22" xfId="35864"/>
    <cellStyle name="Normal 40 3 2 2 23" xfId="37428"/>
    <cellStyle name="Normal 40 3 2 2 24" xfId="39357"/>
    <cellStyle name="Normal 40 3 2 2 25" xfId="41112"/>
    <cellStyle name="Normal 40 3 2 2 26" xfId="42864"/>
    <cellStyle name="Normal 40 3 2 2 27" xfId="44428"/>
    <cellStyle name="Normal 40 3 2 2 28" xfId="45482"/>
    <cellStyle name="Normal 40 3 2 2 29" xfId="47234"/>
    <cellStyle name="Normal 40 3 2 2 3" xfId="3439"/>
    <cellStyle name="Normal 40 3 2 2 30" xfId="48986"/>
    <cellStyle name="Normal 40 3 2 2 31" xfId="50738"/>
    <cellStyle name="Normal 40 3 2 2 32" xfId="52490"/>
    <cellStyle name="Normal 40 3 2 2 33" xfId="54242"/>
    <cellStyle name="Normal 40 3 2 2 34" xfId="55994"/>
    <cellStyle name="Normal 40 3 2 2 35" xfId="57747"/>
    <cellStyle name="Normal 40 3 2 2 36" xfId="59499"/>
    <cellStyle name="Normal 40 3 2 2 37" xfId="61251"/>
    <cellStyle name="Normal 40 3 2 2 38" xfId="62815"/>
    <cellStyle name="Normal 40 3 2 2 39" xfId="63681"/>
    <cellStyle name="Normal 40 3 2 2 4" xfId="5191"/>
    <cellStyle name="Normal 40 3 2 2 5" xfId="6943"/>
    <cellStyle name="Normal 40 3 2 2 6" xfId="8695"/>
    <cellStyle name="Normal 40 3 2 2 7" xfId="10448"/>
    <cellStyle name="Normal 40 3 2 2 8" xfId="12200"/>
    <cellStyle name="Normal 40 3 2 2 9" xfId="13952"/>
    <cellStyle name="Normal 40 3 2 20" xfId="31039"/>
    <cellStyle name="Normal 40 3 2 21" xfId="32792"/>
    <cellStyle name="Normal 40 3 2 22" xfId="34806"/>
    <cellStyle name="Normal 40 3 2 23" xfId="35428"/>
    <cellStyle name="Normal 40 3 2 24" xfId="37427"/>
    <cellStyle name="Normal 40 3 2 25" xfId="38921"/>
    <cellStyle name="Normal 40 3 2 26" xfId="40676"/>
    <cellStyle name="Normal 40 3 2 27" xfId="42428"/>
    <cellStyle name="Normal 40 3 2 28" xfId="44427"/>
    <cellStyle name="Normal 40 3 2 29" xfId="45046"/>
    <cellStyle name="Normal 40 3 2 3" xfId="1754"/>
    <cellStyle name="Normal 40 3 2 3 10" xfId="17897"/>
    <cellStyle name="Normal 40 3 2 3 11" xfId="19649"/>
    <cellStyle name="Normal 40 3 2 3 12" xfId="21402"/>
    <cellStyle name="Normal 40 3 2 3 13" xfId="23154"/>
    <cellStyle name="Normal 40 3 2 3 14" xfId="24906"/>
    <cellStyle name="Normal 40 3 2 3 15" xfId="26658"/>
    <cellStyle name="Normal 40 3 2 3 16" xfId="28410"/>
    <cellStyle name="Normal 40 3 2 3 17" xfId="30163"/>
    <cellStyle name="Normal 40 3 2 3 18" xfId="31915"/>
    <cellStyle name="Normal 40 3 2 3 19" xfId="33668"/>
    <cellStyle name="Normal 40 3 2 3 2" xfId="3879"/>
    <cellStyle name="Normal 40 3 2 3 20" xfId="36304"/>
    <cellStyle name="Normal 40 3 2 3 21" xfId="38044"/>
    <cellStyle name="Normal 40 3 2 3 22" xfId="39797"/>
    <cellStyle name="Normal 40 3 2 3 23" xfId="41552"/>
    <cellStyle name="Normal 40 3 2 3 24" xfId="43304"/>
    <cellStyle name="Normal 40 3 2 3 25" xfId="45922"/>
    <cellStyle name="Normal 40 3 2 3 26" xfId="47674"/>
    <cellStyle name="Normal 40 3 2 3 27" xfId="49426"/>
    <cellStyle name="Normal 40 3 2 3 28" xfId="51178"/>
    <cellStyle name="Normal 40 3 2 3 29" xfId="52930"/>
    <cellStyle name="Normal 40 3 2 3 3" xfId="5631"/>
    <cellStyle name="Normal 40 3 2 3 30" xfId="54682"/>
    <cellStyle name="Normal 40 3 2 3 31" xfId="56434"/>
    <cellStyle name="Normal 40 3 2 3 32" xfId="58187"/>
    <cellStyle name="Normal 40 3 2 3 33" xfId="59939"/>
    <cellStyle name="Normal 40 3 2 3 34" xfId="61691"/>
    <cellStyle name="Normal 40 3 2 3 4" xfId="7383"/>
    <cellStyle name="Normal 40 3 2 3 5" xfId="9135"/>
    <cellStyle name="Normal 40 3 2 3 6" xfId="10888"/>
    <cellStyle name="Normal 40 3 2 3 7" xfId="12640"/>
    <cellStyle name="Normal 40 3 2 3 8" xfId="14392"/>
    <cellStyle name="Normal 40 3 2 3 9" xfId="16144"/>
    <cellStyle name="Normal 40 3 2 30" xfId="46798"/>
    <cellStyle name="Normal 40 3 2 31" xfId="48550"/>
    <cellStyle name="Normal 40 3 2 32" xfId="50302"/>
    <cellStyle name="Normal 40 3 2 33" xfId="52054"/>
    <cellStyle name="Normal 40 3 2 34" xfId="53806"/>
    <cellStyle name="Normal 40 3 2 35" xfId="55558"/>
    <cellStyle name="Normal 40 3 2 36" xfId="57311"/>
    <cellStyle name="Normal 40 3 2 37" xfId="59063"/>
    <cellStyle name="Normal 40 3 2 38" xfId="60815"/>
    <cellStyle name="Normal 40 3 2 39" xfId="62814"/>
    <cellStyle name="Normal 40 3 2 4" xfId="3003"/>
    <cellStyle name="Normal 40 3 2 40" xfId="63680"/>
    <cellStyle name="Normal 40 3 2 5" xfId="4755"/>
    <cellStyle name="Normal 40 3 2 6" xfId="6507"/>
    <cellStyle name="Normal 40 3 2 7" xfId="8259"/>
    <cellStyle name="Normal 40 3 2 8" xfId="10012"/>
    <cellStyle name="Normal 40 3 2 9" xfId="11764"/>
    <cellStyle name="Normal 40 3 20" xfId="29066"/>
    <cellStyle name="Normal 40 3 21" xfId="30818"/>
    <cellStyle name="Normal 40 3 22" xfId="32571"/>
    <cellStyle name="Normal 40 3 23" xfId="34805"/>
    <cellStyle name="Normal 40 3 24" xfId="35207"/>
    <cellStyle name="Normal 40 3 25" xfId="37426"/>
    <cellStyle name="Normal 40 3 26" xfId="38700"/>
    <cellStyle name="Normal 40 3 27" xfId="40455"/>
    <cellStyle name="Normal 40 3 28" xfId="42207"/>
    <cellStyle name="Normal 40 3 29" xfId="44426"/>
    <cellStyle name="Normal 40 3 3" xfId="1755"/>
    <cellStyle name="Normal 40 3 3 10" xfId="15483"/>
    <cellStyle name="Normal 40 3 3 11" xfId="17236"/>
    <cellStyle name="Normal 40 3 3 12" xfId="18988"/>
    <cellStyle name="Normal 40 3 3 13" xfId="20741"/>
    <cellStyle name="Normal 40 3 3 14" xfId="22493"/>
    <cellStyle name="Normal 40 3 3 15" xfId="24245"/>
    <cellStyle name="Normal 40 3 3 16" xfId="25997"/>
    <cellStyle name="Normal 40 3 3 17" xfId="27749"/>
    <cellStyle name="Normal 40 3 3 18" xfId="29502"/>
    <cellStyle name="Normal 40 3 3 19" xfId="31254"/>
    <cellStyle name="Normal 40 3 3 2" xfId="1756"/>
    <cellStyle name="Normal 40 3 3 2 10" xfId="18112"/>
    <cellStyle name="Normal 40 3 3 2 11" xfId="19864"/>
    <cellStyle name="Normal 40 3 3 2 12" xfId="21617"/>
    <cellStyle name="Normal 40 3 3 2 13" xfId="23369"/>
    <cellStyle name="Normal 40 3 3 2 14" xfId="25121"/>
    <cellStyle name="Normal 40 3 3 2 15" xfId="26873"/>
    <cellStyle name="Normal 40 3 3 2 16" xfId="28625"/>
    <cellStyle name="Normal 40 3 3 2 17" xfId="30378"/>
    <cellStyle name="Normal 40 3 3 2 18" xfId="32130"/>
    <cellStyle name="Normal 40 3 3 2 19" xfId="33883"/>
    <cellStyle name="Normal 40 3 3 2 2" xfId="4094"/>
    <cellStyle name="Normal 40 3 3 2 20" xfId="36519"/>
    <cellStyle name="Normal 40 3 3 2 21" xfId="38259"/>
    <cellStyle name="Normal 40 3 3 2 22" xfId="40012"/>
    <cellStyle name="Normal 40 3 3 2 23" xfId="41767"/>
    <cellStyle name="Normal 40 3 3 2 24" xfId="43519"/>
    <cellStyle name="Normal 40 3 3 2 25" xfId="46137"/>
    <cellStyle name="Normal 40 3 3 2 26" xfId="47889"/>
    <cellStyle name="Normal 40 3 3 2 27" xfId="49641"/>
    <cellStyle name="Normal 40 3 3 2 28" xfId="51393"/>
    <cellStyle name="Normal 40 3 3 2 29" xfId="53145"/>
    <cellStyle name="Normal 40 3 3 2 3" xfId="5846"/>
    <cellStyle name="Normal 40 3 3 2 30" xfId="54897"/>
    <cellStyle name="Normal 40 3 3 2 31" xfId="56649"/>
    <cellStyle name="Normal 40 3 3 2 32" xfId="58402"/>
    <cellStyle name="Normal 40 3 3 2 33" xfId="60154"/>
    <cellStyle name="Normal 40 3 3 2 34" xfId="61906"/>
    <cellStyle name="Normal 40 3 3 2 4" xfId="7598"/>
    <cellStyle name="Normal 40 3 3 2 5" xfId="9350"/>
    <cellStyle name="Normal 40 3 3 2 6" xfId="11103"/>
    <cellStyle name="Normal 40 3 3 2 7" xfId="12855"/>
    <cellStyle name="Normal 40 3 3 2 8" xfId="14607"/>
    <cellStyle name="Normal 40 3 3 2 9" xfId="16359"/>
    <cellStyle name="Normal 40 3 3 20" xfId="33007"/>
    <cellStyle name="Normal 40 3 3 21" xfId="34808"/>
    <cellStyle name="Normal 40 3 3 22" xfId="35643"/>
    <cellStyle name="Normal 40 3 3 23" xfId="37429"/>
    <cellStyle name="Normal 40 3 3 24" xfId="39136"/>
    <cellStyle name="Normal 40 3 3 25" xfId="40891"/>
    <cellStyle name="Normal 40 3 3 26" xfId="42643"/>
    <cellStyle name="Normal 40 3 3 27" xfId="44429"/>
    <cellStyle name="Normal 40 3 3 28" xfId="45261"/>
    <cellStyle name="Normal 40 3 3 29" xfId="47013"/>
    <cellStyle name="Normal 40 3 3 3" xfId="3218"/>
    <cellStyle name="Normal 40 3 3 30" xfId="48765"/>
    <cellStyle name="Normal 40 3 3 31" xfId="50517"/>
    <cellStyle name="Normal 40 3 3 32" xfId="52269"/>
    <cellStyle name="Normal 40 3 3 33" xfId="54021"/>
    <cellStyle name="Normal 40 3 3 34" xfId="55773"/>
    <cellStyle name="Normal 40 3 3 35" xfId="57526"/>
    <cellStyle name="Normal 40 3 3 36" xfId="59278"/>
    <cellStyle name="Normal 40 3 3 37" xfId="61030"/>
    <cellStyle name="Normal 40 3 3 38" xfId="62816"/>
    <cellStyle name="Normal 40 3 3 39" xfId="63682"/>
    <cellStyle name="Normal 40 3 3 4" xfId="4970"/>
    <cellStyle name="Normal 40 3 3 5" xfId="6722"/>
    <cellStyle name="Normal 40 3 3 6" xfId="8474"/>
    <cellStyle name="Normal 40 3 3 7" xfId="10227"/>
    <cellStyle name="Normal 40 3 3 8" xfId="11979"/>
    <cellStyle name="Normal 40 3 3 9" xfId="13731"/>
    <cellStyle name="Normal 40 3 30" xfId="44825"/>
    <cellStyle name="Normal 40 3 31" xfId="46577"/>
    <cellStyle name="Normal 40 3 32" xfId="48329"/>
    <cellStyle name="Normal 40 3 33" xfId="50081"/>
    <cellStyle name="Normal 40 3 34" xfId="51833"/>
    <cellStyle name="Normal 40 3 35" xfId="53585"/>
    <cellStyle name="Normal 40 3 36" xfId="55337"/>
    <cellStyle name="Normal 40 3 37" xfId="57090"/>
    <cellStyle name="Normal 40 3 38" xfId="58842"/>
    <cellStyle name="Normal 40 3 39" xfId="60594"/>
    <cellStyle name="Normal 40 3 4" xfId="1757"/>
    <cellStyle name="Normal 40 3 4 10" xfId="17676"/>
    <cellStyle name="Normal 40 3 4 11" xfId="19428"/>
    <cellStyle name="Normal 40 3 4 12" xfId="21181"/>
    <cellStyle name="Normal 40 3 4 13" xfId="22933"/>
    <cellStyle name="Normal 40 3 4 14" xfId="24685"/>
    <cellStyle name="Normal 40 3 4 15" xfId="26437"/>
    <cellStyle name="Normal 40 3 4 16" xfId="28189"/>
    <cellStyle name="Normal 40 3 4 17" xfId="29942"/>
    <cellStyle name="Normal 40 3 4 18" xfId="31694"/>
    <cellStyle name="Normal 40 3 4 19" xfId="33447"/>
    <cellStyle name="Normal 40 3 4 2" xfId="3658"/>
    <cellStyle name="Normal 40 3 4 20" xfId="36083"/>
    <cellStyle name="Normal 40 3 4 21" xfId="37823"/>
    <cellStyle name="Normal 40 3 4 22" xfId="39576"/>
    <cellStyle name="Normal 40 3 4 23" xfId="41331"/>
    <cellStyle name="Normal 40 3 4 24" xfId="43083"/>
    <cellStyle name="Normal 40 3 4 25" xfId="45701"/>
    <cellStyle name="Normal 40 3 4 26" xfId="47453"/>
    <cellStyle name="Normal 40 3 4 27" xfId="49205"/>
    <cellStyle name="Normal 40 3 4 28" xfId="50957"/>
    <cellStyle name="Normal 40 3 4 29" xfId="52709"/>
    <cellStyle name="Normal 40 3 4 3" xfId="5410"/>
    <cellStyle name="Normal 40 3 4 30" xfId="54461"/>
    <cellStyle name="Normal 40 3 4 31" xfId="56213"/>
    <cellStyle name="Normal 40 3 4 32" xfId="57966"/>
    <cellStyle name="Normal 40 3 4 33" xfId="59718"/>
    <cellStyle name="Normal 40 3 4 34" xfId="61470"/>
    <cellStyle name="Normal 40 3 4 4" xfId="7162"/>
    <cellStyle name="Normal 40 3 4 5" xfId="8914"/>
    <cellStyle name="Normal 40 3 4 6" xfId="10667"/>
    <cellStyle name="Normal 40 3 4 7" xfId="12419"/>
    <cellStyle name="Normal 40 3 4 8" xfId="14171"/>
    <cellStyle name="Normal 40 3 4 9" xfId="15923"/>
    <cellStyle name="Normal 40 3 40" xfId="62813"/>
    <cellStyle name="Normal 40 3 41" xfId="63679"/>
    <cellStyle name="Normal 40 3 5" xfId="2782"/>
    <cellStyle name="Normal 40 3 6" xfId="4534"/>
    <cellStyle name="Normal 40 3 7" xfId="6286"/>
    <cellStyle name="Normal 40 3 8" xfId="8038"/>
    <cellStyle name="Normal 40 3 9" xfId="9791"/>
    <cellStyle name="Normal 40 30" xfId="42099"/>
    <cellStyle name="Normal 40 31" xfId="44417"/>
    <cellStyle name="Normal 40 32" xfId="44717"/>
    <cellStyle name="Normal 40 33" xfId="46469"/>
    <cellStyle name="Normal 40 34" xfId="48221"/>
    <cellStyle name="Normal 40 35" xfId="49973"/>
    <cellStyle name="Normal 40 36" xfId="51725"/>
    <cellStyle name="Normal 40 37" xfId="53477"/>
    <cellStyle name="Normal 40 38" xfId="55229"/>
    <cellStyle name="Normal 40 39" xfId="56982"/>
    <cellStyle name="Normal 40 4" xfId="1758"/>
    <cellStyle name="Normal 40 4 10" xfId="13517"/>
    <cellStyle name="Normal 40 4 11" xfId="15269"/>
    <cellStyle name="Normal 40 4 12" xfId="17022"/>
    <cellStyle name="Normal 40 4 13" xfId="18774"/>
    <cellStyle name="Normal 40 4 14" xfId="20527"/>
    <cellStyle name="Normal 40 4 15" xfId="22279"/>
    <cellStyle name="Normal 40 4 16" xfId="24031"/>
    <cellStyle name="Normal 40 4 17" xfId="25783"/>
    <cellStyle name="Normal 40 4 18" xfId="27535"/>
    <cellStyle name="Normal 40 4 19" xfId="29288"/>
    <cellStyle name="Normal 40 4 2" xfId="1759"/>
    <cellStyle name="Normal 40 4 2 10" xfId="15705"/>
    <cellStyle name="Normal 40 4 2 11" xfId="17458"/>
    <cellStyle name="Normal 40 4 2 12" xfId="19210"/>
    <cellStyle name="Normal 40 4 2 13" xfId="20963"/>
    <cellStyle name="Normal 40 4 2 14" xfId="22715"/>
    <cellStyle name="Normal 40 4 2 15" xfId="24467"/>
    <cellStyle name="Normal 40 4 2 16" xfId="26219"/>
    <cellStyle name="Normal 40 4 2 17" xfId="27971"/>
    <cellStyle name="Normal 40 4 2 18" xfId="29724"/>
    <cellStyle name="Normal 40 4 2 19" xfId="31476"/>
    <cellStyle name="Normal 40 4 2 2" xfId="1760"/>
    <cellStyle name="Normal 40 4 2 2 10" xfId="18334"/>
    <cellStyle name="Normal 40 4 2 2 11" xfId="20086"/>
    <cellStyle name="Normal 40 4 2 2 12" xfId="21839"/>
    <cellStyle name="Normal 40 4 2 2 13" xfId="23591"/>
    <cellStyle name="Normal 40 4 2 2 14" xfId="25343"/>
    <cellStyle name="Normal 40 4 2 2 15" xfId="27095"/>
    <cellStyle name="Normal 40 4 2 2 16" xfId="28847"/>
    <cellStyle name="Normal 40 4 2 2 17" xfId="30600"/>
    <cellStyle name="Normal 40 4 2 2 18" xfId="32352"/>
    <cellStyle name="Normal 40 4 2 2 19" xfId="34105"/>
    <cellStyle name="Normal 40 4 2 2 2" xfId="4316"/>
    <cellStyle name="Normal 40 4 2 2 20" xfId="36741"/>
    <cellStyle name="Normal 40 4 2 2 21" xfId="38481"/>
    <cellStyle name="Normal 40 4 2 2 22" xfId="40234"/>
    <cellStyle name="Normal 40 4 2 2 23" xfId="41989"/>
    <cellStyle name="Normal 40 4 2 2 24" xfId="43741"/>
    <cellStyle name="Normal 40 4 2 2 25" xfId="46359"/>
    <cellStyle name="Normal 40 4 2 2 26" xfId="48111"/>
    <cellStyle name="Normal 40 4 2 2 27" xfId="49863"/>
    <cellStyle name="Normal 40 4 2 2 28" xfId="51615"/>
    <cellStyle name="Normal 40 4 2 2 29" xfId="53367"/>
    <cellStyle name="Normal 40 4 2 2 3" xfId="6068"/>
    <cellStyle name="Normal 40 4 2 2 30" xfId="55119"/>
    <cellStyle name="Normal 40 4 2 2 31" xfId="56871"/>
    <cellStyle name="Normal 40 4 2 2 32" xfId="58624"/>
    <cellStyle name="Normal 40 4 2 2 33" xfId="60376"/>
    <cellStyle name="Normal 40 4 2 2 34" xfId="62128"/>
    <cellStyle name="Normal 40 4 2 2 4" xfId="7820"/>
    <cellStyle name="Normal 40 4 2 2 5" xfId="9572"/>
    <cellStyle name="Normal 40 4 2 2 6" xfId="11325"/>
    <cellStyle name="Normal 40 4 2 2 7" xfId="13077"/>
    <cellStyle name="Normal 40 4 2 2 8" xfId="14829"/>
    <cellStyle name="Normal 40 4 2 2 9" xfId="16581"/>
    <cellStyle name="Normal 40 4 2 20" xfId="33229"/>
    <cellStyle name="Normal 40 4 2 21" xfId="34810"/>
    <cellStyle name="Normal 40 4 2 22" xfId="35865"/>
    <cellStyle name="Normal 40 4 2 23" xfId="37431"/>
    <cellStyle name="Normal 40 4 2 24" xfId="39358"/>
    <cellStyle name="Normal 40 4 2 25" xfId="41113"/>
    <cellStyle name="Normal 40 4 2 26" xfId="42865"/>
    <cellStyle name="Normal 40 4 2 27" xfId="44431"/>
    <cellStyle name="Normal 40 4 2 28" xfId="45483"/>
    <cellStyle name="Normal 40 4 2 29" xfId="47235"/>
    <cellStyle name="Normal 40 4 2 3" xfId="3440"/>
    <cellStyle name="Normal 40 4 2 30" xfId="48987"/>
    <cellStyle name="Normal 40 4 2 31" xfId="50739"/>
    <cellStyle name="Normal 40 4 2 32" xfId="52491"/>
    <cellStyle name="Normal 40 4 2 33" xfId="54243"/>
    <cellStyle name="Normal 40 4 2 34" xfId="55995"/>
    <cellStyle name="Normal 40 4 2 35" xfId="57748"/>
    <cellStyle name="Normal 40 4 2 36" xfId="59500"/>
    <cellStyle name="Normal 40 4 2 37" xfId="61252"/>
    <cellStyle name="Normal 40 4 2 38" xfId="62818"/>
    <cellStyle name="Normal 40 4 2 39" xfId="63684"/>
    <cellStyle name="Normal 40 4 2 4" xfId="5192"/>
    <cellStyle name="Normal 40 4 2 5" xfId="6944"/>
    <cellStyle name="Normal 40 4 2 6" xfId="8696"/>
    <cellStyle name="Normal 40 4 2 7" xfId="10449"/>
    <cellStyle name="Normal 40 4 2 8" xfId="12201"/>
    <cellStyle name="Normal 40 4 2 9" xfId="13953"/>
    <cellStyle name="Normal 40 4 20" xfId="31040"/>
    <cellStyle name="Normal 40 4 21" xfId="32793"/>
    <cellStyle name="Normal 40 4 22" xfId="34809"/>
    <cellStyle name="Normal 40 4 23" xfId="35429"/>
    <cellStyle name="Normal 40 4 24" xfId="37430"/>
    <cellStyle name="Normal 40 4 25" xfId="38922"/>
    <cellStyle name="Normal 40 4 26" xfId="40677"/>
    <cellStyle name="Normal 40 4 27" xfId="42429"/>
    <cellStyle name="Normal 40 4 28" xfId="44430"/>
    <cellStyle name="Normal 40 4 29" xfId="45047"/>
    <cellStyle name="Normal 40 4 3" xfId="1761"/>
    <cellStyle name="Normal 40 4 3 10" xfId="17898"/>
    <cellStyle name="Normal 40 4 3 11" xfId="19650"/>
    <cellStyle name="Normal 40 4 3 12" xfId="21403"/>
    <cellStyle name="Normal 40 4 3 13" xfId="23155"/>
    <cellStyle name="Normal 40 4 3 14" xfId="24907"/>
    <cellStyle name="Normal 40 4 3 15" xfId="26659"/>
    <cellStyle name="Normal 40 4 3 16" xfId="28411"/>
    <cellStyle name="Normal 40 4 3 17" xfId="30164"/>
    <cellStyle name="Normal 40 4 3 18" xfId="31916"/>
    <cellStyle name="Normal 40 4 3 19" xfId="33669"/>
    <cellStyle name="Normal 40 4 3 2" xfId="3880"/>
    <cellStyle name="Normal 40 4 3 20" xfId="36305"/>
    <cellStyle name="Normal 40 4 3 21" xfId="38045"/>
    <cellStyle name="Normal 40 4 3 22" xfId="39798"/>
    <cellStyle name="Normal 40 4 3 23" xfId="41553"/>
    <cellStyle name="Normal 40 4 3 24" xfId="43305"/>
    <cellStyle name="Normal 40 4 3 25" xfId="45923"/>
    <cellStyle name="Normal 40 4 3 26" xfId="47675"/>
    <cellStyle name="Normal 40 4 3 27" xfId="49427"/>
    <cellStyle name="Normal 40 4 3 28" xfId="51179"/>
    <cellStyle name="Normal 40 4 3 29" xfId="52931"/>
    <cellStyle name="Normal 40 4 3 3" xfId="5632"/>
    <cellStyle name="Normal 40 4 3 30" xfId="54683"/>
    <cellStyle name="Normal 40 4 3 31" xfId="56435"/>
    <cellStyle name="Normal 40 4 3 32" xfId="58188"/>
    <cellStyle name="Normal 40 4 3 33" xfId="59940"/>
    <cellStyle name="Normal 40 4 3 34" xfId="61692"/>
    <cellStyle name="Normal 40 4 3 4" xfId="7384"/>
    <cellStyle name="Normal 40 4 3 5" xfId="9136"/>
    <cellStyle name="Normal 40 4 3 6" xfId="10889"/>
    <cellStyle name="Normal 40 4 3 7" xfId="12641"/>
    <cellStyle name="Normal 40 4 3 8" xfId="14393"/>
    <cellStyle name="Normal 40 4 3 9" xfId="16145"/>
    <cellStyle name="Normal 40 4 30" xfId="46799"/>
    <cellStyle name="Normal 40 4 31" xfId="48551"/>
    <cellStyle name="Normal 40 4 32" xfId="50303"/>
    <cellStyle name="Normal 40 4 33" xfId="52055"/>
    <cellStyle name="Normal 40 4 34" xfId="53807"/>
    <cellStyle name="Normal 40 4 35" xfId="55559"/>
    <cellStyle name="Normal 40 4 36" xfId="57312"/>
    <cellStyle name="Normal 40 4 37" xfId="59064"/>
    <cellStyle name="Normal 40 4 38" xfId="60816"/>
    <cellStyle name="Normal 40 4 39" xfId="62817"/>
    <cellStyle name="Normal 40 4 4" xfId="3004"/>
    <cellStyle name="Normal 40 4 40" xfId="63683"/>
    <cellStyle name="Normal 40 4 5" xfId="4756"/>
    <cellStyle name="Normal 40 4 6" xfId="6508"/>
    <cellStyle name="Normal 40 4 7" xfId="8260"/>
    <cellStyle name="Normal 40 4 8" xfId="10013"/>
    <cellStyle name="Normal 40 4 9" xfId="11765"/>
    <cellStyle name="Normal 40 40" xfId="58734"/>
    <cellStyle name="Normal 40 41" xfId="60486"/>
    <cellStyle name="Normal 40 42" xfId="62804"/>
    <cellStyle name="Normal 40 43" xfId="63670"/>
    <cellStyle name="Normal 40 5" xfId="1762"/>
    <cellStyle name="Normal 40 5 10" xfId="15375"/>
    <cellStyle name="Normal 40 5 11" xfId="17128"/>
    <cellStyle name="Normal 40 5 12" xfId="18880"/>
    <cellStyle name="Normal 40 5 13" xfId="20633"/>
    <cellStyle name="Normal 40 5 14" xfId="22385"/>
    <cellStyle name="Normal 40 5 15" xfId="24137"/>
    <cellStyle name="Normal 40 5 16" xfId="25889"/>
    <cellStyle name="Normal 40 5 17" xfId="27641"/>
    <cellStyle name="Normal 40 5 18" xfId="29394"/>
    <cellStyle name="Normal 40 5 19" xfId="31146"/>
    <cellStyle name="Normal 40 5 2" xfId="1763"/>
    <cellStyle name="Normal 40 5 2 10" xfId="18004"/>
    <cellStyle name="Normal 40 5 2 11" xfId="19756"/>
    <cellStyle name="Normal 40 5 2 12" xfId="21509"/>
    <cellStyle name="Normal 40 5 2 13" xfId="23261"/>
    <cellStyle name="Normal 40 5 2 14" xfId="25013"/>
    <cellStyle name="Normal 40 5 2 15" xfId="26765"/>
    <cellStyle name="Normal 40 5 2 16" xfId="28517"/>
    <cellStyle name="Normal 40 5 2 17" xfId="30270"/>
    <cellStyle name="Normal 40 5 2 18" xfId="32022"/>
    <cellStyle name="Normal 40 5 2 19" xfId="33775"/>
    <cellStyle name="Normal 40 5 2 2" xfId="3986"/>
    <cellStyle name="Normal 40 5 2 20" xfId="36411"/>
    <cellStyle name="Normal 40 5 2 21" xfId="38151"/>
    <cellStyle name="Normal 40 5 2 22" xfId="39904"/>
    <cellStyle name="Normal 40 5 2 23" xfId="41659"/>
    <cellStyle name="Normal 40 5 2 24" xfId="43411"/>
    <cellStyle name="Normal 40 5 2 25" xfId="46029"/>
    <cellStyle name="Normal 40 5 2 26" xfId="47781"/>
    <cellStyle name="Normal 40 5 2 27" xfId="49533"/>
    <cellStyle name="Normal 40 5 2 28" xfId="51285"/>
    <cellStyle name="Normal 40 5 2 29" xfId="53037"/>
    <cellStyle name="Normal 40 5 2 3" xfId="5738"/>
    <cellStyle name="Normal 40 5 2 30" xfId="54789"/>
    <cellStyle name="Normal 40 5 2 31" xfId="56541"/>
    <cellStyle name="Normal 40 5 2 32" xfId="58294"/>
    <cellStyle name="Normal 40 5 2 33" xfId="60046"/>
    <cellStyle name="Normal 40 5 2 34" xfId="61798"/>
    <cellStyle name="Normal 40 5 2 4" xfId="7490"/>
    <cellStyle name="Normal 40 5 2 5" xfId="9242"/>
    <cellStyle name="Normal 40 5 2 6" xfId="10995"/>
    <cellStyle name="Normal 40 5 2 7" xfId="12747"/>
    <cellStyle name="Normal 40 5 2 8" xfId="14499"/>
    <cellStyle name="Normal 40 5 2 9" xfId="16251"/>
    <cellStyle name="Normal 40 5 20" xfId="32899"/>
    <cellStyle name="Normal 40 5 21" xfId="34811"/>
    <cellStyle name="Normal 40 5 22" xfId="35535"/>
    <cellStyle name="Normal 40 5 23" xfId="37432"/>
    <cellStyle name="Normal 40 5 24" xfId="39028"/>
    <cellStyle name="Normal 40 5 25" xfId="40783"/>
    <cellStyle name="Normal 40 5 26" xfId="42535"/>
    <cellStyle name="Normal 40 5 27" xfId="44432"/>
    <cellStyle name="Normal 40 5 28" xfId="45153"/>
    <cellStyle name="Normal 40 5 29" xfId="46905"/>
    <cellStyle name="Normal 40 5 3" xfId="3110"/>
    <cellStyle name="Normal 40 5 30" xfId="48657"/>
    <cellStyle name="Normal 40 5 31" xfId="50409"/>
    <cellStyle name="Normal 40 5 32" xfId="52161"/>
    <cellStyle name="Normal 40 5 33" xfId="53913"/>
    <cellStyle name="Normal 40 5 34" xfId="55665"/>
    <cellStyle name="Normal 40 5 35" xfId="57418"/>
    <cellStyle name="Normal 40 5 36" xfId="59170"/>
    <cellStyle name="Normal 40 5 37" xfId="60922"/>
    <cellStyle name="Normal 40 5 38" xfId="62819"/>
    <cellStyle name="Normal 40 5 39" xfId="63685"/>
    <cellStyle name="Normal 40 5 4" xfId="4862"/>
    <cellStyle name="Normal 40 5 5" xfId="6614"/>
    <cellStyle name="Normal 40 5 6" xfId="8366"/>
    <cellStyle name="Normal 40 5 7" xfId="10119"/>
    <cellStyle name="Normal 40 5 8" xfId="11871"/>
    <cellStyle name="Normal 40 5 9" xfId="13623"/>
    <cellStyle name="Normal 40 6" xfId="1764"/>
    <cellStyle name="Normal 40 6 10" xfId="17568"/>
    <cellStyle name="Normal 40 6 11" xfId="19320"/>
    <cellStyle name="Normal 40 6 12" xfId="21073"/>
    <cellStyle name="Normal 40 6 13" xfId="22825"/>
    <cellStyle name="Normal 40 6 14" xfId="24577"/>
    <cellStyle name="Normal 40 6 15" xfId="26329"/>
    <cellStyle name="Normal 40 6 16" xfId="28081"/>
    <cellStyle name="Normal 40 6 17" xfId="29834"/>
    <cellStyle name="Normal 40 6 18" xfId="31586"/>
    <cellStyle name="Normal 40 6 19" xfId="33339"/>
    <cellStyle name="Normal 40 6 2" xfId="3550"/>
    <cellStyle name="Normal 40 6 20" xfId="35975"/>
    <cellStyle name="Normal 40 6 21" xfId="37712"/>
    <cellStyle name="Normal 40 6 22" xfId="39468"/>
    <cellStyle name="Normal 40 6 23" xfId="41223"/>
    <cellStyle name="Normal 40 6 24" xfId="42975"/>
    <cellStyle name="Normal 40 6 25" xfId="45593"/>
    <cellStyle name="Normal 40 6 26" xfId="47345"/>
    <cellStyle name="Normal 40 6 27" xfId="49097"/>
    <cellStyle name="Normal 40 6 28" xfId="50849"/>
    <cellStyle name="Normal 40 6 29" xfId="52601"/>
    <cellStyle name="Normal 40 6 3" xfId="5302"/>
    <cellStyle name="Normal 40 6 30" xfId="54353"/>
    <cellStyle name="Normal 40 6 31" xfId="56105"/>
    <cellStyle name="Normal 40 6 32" xfId="57858"/>
    <cellStyle name="Normal 40 6 33" xfId="59610"/>
    <cellStyle name="Normal 40 6 34" xfId="61362"/>
    <cellStyle name="Normal 40 6 4" xfId="7054"/>
    <cellStyle name="Normal 40 6 5" xfId="8806"/>
    <cellStyle name="Normal 40 6 6" xfId="10559"/>
    <cellStyle name="Normal 40 6 7" xfId="12311"/>
    <cellStyle name="Normal 40 6 8" xfId="14063"/>
    <cellStyle name="Normal 40 6 9" xfId="15815"/>
    <cellStyle name="Normal 40 7" xfId="2674"/>
    <cellStyle name="Normal 40 8" xfId="4426"/>
    <cellStyle name="Normal 40 9" xfId="6178"/>
    <cellStyle name="Normal 41" xfId="1765"/>
    <cellStyle name="Normal 41 10" xfId="7931"/>
    <cellStyle name="Normal 41 11" xfId="9684"/>
    <cellStyle name="Normal 41 12" xfId="11436"/>
    <cellStyle name="Normal 41 13" xfId="13188"/>
    <cellStyle name="Normal 41 14" xfId="14940"/>
    <cellStyle name="Normal 41 15" xfId="16693"/>
    <cellStyle name="Normal 41 16" xfId="18445"/>
    <cellStyle name="Normal 41 17" xfId="20198"/>
    <cellStyle name="Normal 41 18" xfId="21950"/>
    <cellStyle name="Normal 41 19" xfId="23702"/>
    <cellStyle name="Normal 41 2" xfId="1766"/>
    <cellStyle name="Normal 41 2 10" xfId="9739"/>
    <cellStyle name="Normal 41 2 11" xfId="11491"/>
    <cellStyle name="Normal 41 2 12" xfId="13243"/>
    <cellStyle name="Normal 41 2 13" xfId="14995"/>
    <cellStyle name="Normal 41 2 14" xfId="16748"/>
    <cellStyle name="Normal 41 2 15" xfId="18500"/>
    <cellStyle name="Normal 41 2 16" xfId="20253"/>
    <cellStyle name="Normal 41 2 17" xfId="22005"/>
    <cellStyle name="Normal 41 2 18" xfId="23757"/>
    <cellStyle name="Normal 41 2 19" xfId="25509"/>
    <cellStyle name="Normal 41 2 2" xfId="1767"/>
    <cellStyle name="Normal 41 2 2 10" xfId="11599"/>
    <cellStyle name="Normal 41 2 2 11" xfId="13351"/>
    <cellStyle name="Normal 41 2 2 12" xfId="15103"/>
    <cellStyle name="Normal 41 2 2 13" xfId="16856"/>
    <cellStyle name="Normal 41 2 2 14" xfId="18608"/>
    <cellStyle name="Normal 41 2 2 15" xfId="20361"/>
    <cellStyle name="Normal 41 2 2 16" xfId="22113"/>
    <cellStyle name="Normal 41 2 2 17" xfId="23865"/>
    <cellStyle name="Normal 41 2 2 18" xfId="25617"/>
    <cellStyle name="Normal 41 2 2 19" xfId="27369"/>
    <cellStyle name="Normal 41 2 2 2" xfId="1768"/>
    <cellStyle name="Normal 41 2 2 2 10" xfId="13518"/>
    <cellStyle name="Normal 41 2 2 2 11" xfId="15270"/>
    <cellStyle name="Normal 41 2 2 2 12" xfId="17023"/>
    <cellStyle name="Normal 41 2 2 2 13" xfId="18775"/>
    <cellStyle name="Normal 41 2 2 2 14" xfId="20528"/>
    <cellStyle name="Normal 41 2 2 2 15" xfId="22280"/>
    <cellStyle name="Normal 41 2 2 2 16" xfId="24032"/>
    <cellStyle name="Normal 41 2 2 2 17" xfId="25784"/>
    <cellStyle name="Normal 41 2 2 2 18" xfId="27536"/>
    <cellStyle name="Normal 41 2 2 2 19" xfId="29289"/>
    <cellStyle name="Normal 41 2 2 2 2" xfId="1769"/>
    <cellStyle name="Normal 41 2 2 2 2 10" xfId="15706"/>
    <cellStyle name="Normal 41 2 2 2 2 11" xfId="17459"/>
    <cellStyle name="Normal 41 2 2 2 2 12" xfId="19211"/>
    <cellStyle name="Normal 41 2 2 2 2 13" xfId="20964"/>
    <cellStyle name="Normal 41 2 2 2 2 14" xfId="22716"/>
    <cellStyle name="Normal 41 2 2 2 2 15" xfId="24468"/>
    <cellStyle name="Normal 41 2 2 2 2 16" xfId="26220"/>
    <cellStyle name="Normal 41 2 2 2 2 17" xfId="27972"/>
    <cellStyle name="Normal 41 2 2 2 2 18" xfId="29725"/>
    <cellStyle name="Normal 41 2 2 2 2 19" xfId="31477"/>
    <cellStyle name="Normal 41 2 2 2 2 2" xfId="1770"/>
    <cellStyle name="Normal 41 2 2 2 2 2 10" xfId="18335"/>
    <cellStyle name="Normal 41 2 2 2 2 2 11" xfId="20087"/>
    <cellStyle name="Normal 41 2 2 2 2 2 12" xfId="21840"/>
    <cellStyle name="Normal 41 2 2 2 2 2 13" xfId="23592"/>
    <cellStyle name="Normal 41 2 2 2 2 2 14" xfId="25344"/>
    <cellStyle name="Normal 41 2 2 2 2 2 15" xfId="27096"/>
    <cellStyle name="Normal 41 2 2 2 2 2 16" xfId="28848"/>
    <cellStyle name="Normal 41 2 2 2 2 2 17" xfId="30601"/>
    <cellStyle name="Normal 41 2 2 2 2 2 18" xfId="32353"/>
    <cellStyle name="Normal 41 2 2 2 2 2 19" xfId="34106"/>
    <cellStyle name="Normal 41 2 2 2 2 2 2" xfId="4317"/>
    <cellStyle name="Normal 41 2 2 2 2 2 20" xfId="36742"/>
    <cellStyle name="Normal 41 2 2 2 2 2 21" xfId="38482"/>
    <cellStyle name="Normal 41 2 2 2 2 2 22" xfId="40235"/>
    <cellStyle name="Normal 41 2 2 2 2 2 23" xfId="41990"/>
    <cellStyle name="Normal 41 2 2 2 2 2 24" xfId="43742"/>
    <cellStyle name="Normal 41 2 2 2 2 2 25" xfId="46360"/>
    <cellStyle name="Normal 41 2 2 2 2 2 26" xfId="48112"/>
    <cellStyle name="Normal 41 2 2 2 2 2 27" xfId="49864"/>
    <cellStyle name="Normal 41 2 2 2 2 2 28" xfId="51616"/>
    <cellStyle name="Normal 41 2 2 2 2 2 29" xfId="53368"/>
    <cellStyle name="Normal 41 2 2 2 2 2 3" xfId="6069"/>
    <cellStyle name="Normal 41 2 2 2 2 2 30" xfId="55120"/>
    <cellStyle name="Normal 41 2 2 2 2 2 31" xfId="56872"/>
    <cellStyle name="Normal 41 2 2 2 2 2 32" xfId="58625"/>
    <cellStyle name="Normal 41 2 2 2 2 2 33" xfId="60377"/>
    <cellStyle name="Normal 41 2 2 2 2 2 34" xfId="62129"/>
    <cellStyle name="Normal 41 2 2 2 2 2 4" xfId="7821"/>
    <cellStyle name="Normal 41 2 2 2 2 2 5" xfId="9573"/>
    <cellStyle name="Normal 41 2 2 2 2 2 6" xfId="11326"/>
    <cellStyle name="Normal 41 2 2 2 2 2 7" xfId="13078"/>
    <cellStyle name="Normal 41 2 2 2 2 2 8" xfId="14830"/>
    <cellStyle name="Normal 41 2 2 2 2 2 9" xfId="16582"/>
    <cellStyle name="Normal 41 2 2 2 2 20" xfId="33230"/>
    <cellStyle name="Normal 41 2 2 2 2 21" xfId="34816"/>
    <cellStyle name="Normal 41 2 2 2 2 22" xfId="35866"/>
    <cellStyle name="Normal 41 2 2 2 2 23" xfId="37437"/>
    <cellStyle name="Normal 41 2 2 2 2 24" xfId="39359"/>
    <cellStyle name="Normal 41 2 2 2 2 25" xfId="41114"/>
    <cellStyle name="Normal 41 2 2 2 2 26" xfId="42866"/>
    <cellStyle name="Normal 41 2 2 2 2 27" xfId="44437"/>
    <cellStyle name="Normal 41 2 2 2 2 28" xfId="45484"/>
    <cellStyle name="Normal 41 2 2 2 2 29" xfId="47236"/>
    <cellStyle name="Normal 41 2 2 2 2 3" xfId="3441"/>
    <cellStyle name="Normal 41 2 2 2 2 30" xfId="48988"/>
    <cellStyle name="Normal 41 2 2 2 2 31" xfId="50740"/>
    <cellStyle name="Normal 41 2 2 2 2 32" xfId="52492"/>
    <cellStyle name="Normal 41 2 2 2 2 33" xfId="54244"/>
    <cellStyle name="Normal 41 2 2 2 2 34" xfId="55996"/>
    <cellStyle name="Normal 41 2 2 2 2 35" xfId="57749"/>
    <cellStyle name="Normal 41 2 2 2 2 36" xfId="59501"/>
    <cellStyle name="Normal 41 2 2 2 2 37" xfId="61253"/>
    <cellStyle name="Normal 41 2 2 2 2 38" xfId="62824"/>
    <cellStyle name="Normal 41 2 2 2 2 39" xfId="63690"/>
    <cellStyle name="Normal 41 2 2 2 2 4" xfId="5193"/>
    <cellStyle name="Normal 41 2 2 2 2 5" xfId="6945"/>
    <cellStyle name="Normal 41 2 2 2 2 6" xfId="8697"/>
    <cellStyle name="Normal 41 2 2 2 2 7" xfId="10450"/>
    <cellStyle name="Normal 41 2 2 2 2 8" xfId="12202"/>
    <cellStyle name="Normal 41 2 2 2 2 9" xfId="13954"/>
    <cellStyle name="Normal 41 2 2 2 20" xfId="31041"/>
    <cellStyle name="Normal 41 2 2 2 21" xfId="32794"/>
    <cellStyle name="Normal 41 2 2 2 22" xfId="34815"/>
    <cellStyle name="Normal 41 2 2 2 23" xfId="35430"/>
    <cellStyle name="Normal 41 2 2 2 24" xfId="37436"/>
    <cellStyle name="Normal 41 2 2 2 25" xfId="38923"/>
    <cellStyle name="Normal 41 2 2 2 26" xfId="40678"/>
    <cellStyle name="Normal 41 2 2 2 27" xfId="42430"/>
    <cellStyle name="Normal 41 2 2 2 28" xfId="44436"/>
    <cellStyle name="Normal 41 2 2 2 29" xfId="45048"/>
    <cellStyle name="Normal 41 2 2 2 3" xfId="1771"/>
    <cellStyle name="Normal 41 2 2 2 3 10" xfId="17899"/>
    <cellStyle name="Normal 41 2 2 2 3 11" xfId="19651"/>
    <cellStyle name="Normal 41 2 2 2 3 12" xfId="21404"/>
    <cellStyle name="Normal 41 2 2 2 3 13" xfId="23156"/>
    <cellStyle name="Normal 41 2 2 2 3 14" xfId="24908"/>
    <cellStyle name="Normal 41 2 2 2 3 15" xfId="26660"/>
    <cellStyle name="Normal 41 2 2 2 3 16" xfId="28412"/>
    <cellStyle name="Normal 41 2 2 2 3 17" xfId="30165"/>
    <cellStyle name="Normal 41 2 2 2 3 18" xfId="31917"/>
    <cellStyle name="Normal 41 2 2 2 3 19" xfId="33670"/>
    <cellStyle name="Normal 41 2 2 2 3 2" xfId="3881"/>
    <cellStyle name="Normal 41 2 2 2 3 20" xfId="36306"/>
    <cellStyle name="Normal 41 2 2 2 3 21" xfId="38046"/>
    <cellStyle name="Normal 41 2 2 2 3 22" xfId="39799"/>
    <cellStyle name="Normal 41 2 2 2 3 23" xfId="41554"/>
    <cellStyle name="Normal 41 2 2 2 3 24" xfId="43306"/>
    <cellStyle name="Normal 41 2 2 2 3 25" xfId="45924"/>
    <cellStyle name="Normal 41 2 2 2 3 26" xfId="47676"/>
    <cellStyle name="Normal 41 2 2 2 3 27" xfId="49428"/>
    <cellStyle name="Normal 41 2 2 2 3 28" xfId="51180"/>
    <cellStyle name="Normal 41 2 2 2 3 29" xfId="52932"/>
    <cellStyle name="Normal 41 2 2 2 3 3" xfId="5633"/>
    <cellStyle name="Normal 41 2 2 2 3 30" xfId="54684"/>
    <cellStyle name="Normal 41 2 2 2 3 31" xfId="56436"/>
    <cellStyle name="Normal 41 2 2 2 3 32" xfId="58189"/>
    <cellStyle name="Normal 41 2 2 2 3 33" xfId="59941"/>
    <cellStyle name="Normal 41 2 2 2 3 34" xfId="61693"/>
    <cellStyle name="Normal 41 2 2 2 3 4" xfId="7385"/>
    <cellStyle name="Normal 41 2 2 2 3 5" xfId="9137"/>
    <cellStyle name="Normal 41 2 2 2 3 6" xfId="10890"/>
    <cellStyle name="Normal 41 2 2 2 3 7" xfId="12642"/>
    <cellStyle name="Normal 41 2 2 2 3 8" xfId="14394"/>
    <cellStyle name="Normal 41 2 2 2 3 9" xfId="16146"/>
    <cellStyle name="Normal 41 2 2 2 30" xfId="46800"/>
    <cellStyle name="Normal 41 2 2 2 31" xfId="48552"/>
    <cellStyle name="Normal 41 2 2 2 32" xfId="50304"/>
    <cellStyle name="Normal 41 2 2 2 33" xfId="52056"/>
    <cellStyle name="Normal 41 2 2 2 34" xfId="53808"/>
    <cellStyle name="Normal 41 2 2 2 35" xfId="55560"/>
    <cellStyle name="Normal 41 2 2 2 36" xfId="57313"/>
    <cellStyle name="Normal 41 2 2 2 37" xfId="59065"/>
    <cellStyle name="Normal 41 2 2 2 38" xfId="60817"/>
    <cellStyle name="Normal 41 2 2 2 39" xfId="62823"/>
    <cellStyle name="Normal 41 2 2 2 4" xfId="3005"/>
    <cellStyle name="Normal 41 2 2 2 40" xfId="63689"/>
    <cellStyle name="Normal 41 2 2 2 5" xfId="4757"/>
    <cellStyle name="Normal 41 2 2 2 6" xfId="6509"/>
    <cellStyle name="Normal 41 2 2 2 7" xfId="8261"/>
    <cellStyle name="Normal 41 2 2 2 8" xfId="10014"/>
    <cellStyle name="Normal 41 2 2 2 9" xfId="11766"/>
    <cellStyle name="Normal 41 2 2 20" xfId="29122"/>
    <cellStyle name="Normal 41 2 2 21" xfId="30874"/>
    <cellStyle name="Normal 41 2 2 22" xfId="32627"/>
    <cellStyle name="Normal 41 2 2 23" xfId="34814"/>
    <cellStyle name="Normal 41 2 2 24" xfId="35263"/>
    <cellStyle name="Normal 41 2 2 25" xfId="37435"/>
    <cellStyle name="Normal 41 2 2 26" xfId="38756"/>
    <cellStyle name="Normal 41 2 2 27" xfId="40511"/>
    <cellStyle name="Normal 41 2 2 28" xfId="42263"/>
    <cellStyle name="Normal 41 2 2 29" xfId="44435"/>
    <cellStyle name="Normal 41 2 2 3" xfId="1772"/>
    <cellStyle name="Normal 41 2 2 3 10" xfId="15539"/>
    <cellStyle name="Normal 41 2 2 3 11" xfId="17292"/>
    <cellStyle name="Normal 41 2 2 3 12" xfId="19044"/>
    <cellStyle name="Normal 41 2 2 3 13" xfId="20797"/>
    <cellStyle name="Normal 41 2 2 3 14" xfId="22549"/>
    <cellStyle name="Normal 41 2 2 3 15" xfId="24301"/>
    <cellStyle name="Normal 41 2 2 3 16" xfId="26053"/>
    <cellStyle name="Normal 41 2 2 3 17" xfId="27805"/>
    <cellStyle name="Normal 41 2 2 3 18" xfId="29558"/>
    <cellStyle name="Normal 41 2 2 3 19" xfId="31310"/>
    <cellStyle name="Normal 41 2 2 3 2" xfId="1773"/>
    <cellStyle name="Normal 41 2 2 3 2 10" xfId="18168"/>
    <cellStyle name="Normal 41 2 2 3 2 11" xfId="19920"/>
    <cellStyle name="Normal 41 2 2 3 2 12" xfId="21673"/>
    <cellStyle name="Normal 41 2 2 3 2 13" xfId="23425"/>
    <cellStyle name="Normal 41 2 2 3 2 14" xfId="25177"/>
    <cellStyle name="Normal 41 2 2 3 2 15" xfId="26929"/>
    <cellStyle name="Normal 41 2 2 3 2 16" xfId="28681"/>
    <cellStyle name="Normal 41 2 2 3 2 17" xfId="30434"/>
    <cellStyle name="Normal 41 2 2 3 2 18" xfId="32186"/>
    <cellStyle name="Normal 41 2 2 3 2 19" xfId="33939"/>
    <cellStyle name="Normal 41 2 2 3 2 2" xfId="4150"/>
    <cellStyle name="Normal 41 2 2 3 2 20" xfId="36575"/>
    <cellStyle name="Normal 41 2 2 3 2 21" xfId="38315"/>
    <cellStyle name="Normal 41 2 2 3 2 22" xfId="40068"/>
    <cellStyle name="Normal 41 2 2 3 2 23" xfId="41823"/>
    <cellStyle name="Normal 41 2 2 3 2 24" xfId="43575"/>
    <cellStyle name="Normal 41 2 2 3 2 25" xfId="46193"/>
    <cellStyle name="Normal 41 2 2 3 2 26" xfId="47945"/>
    <cellStyle name="Normal 41 2 2 3 2 27" xfId="49697"/>
    <cellStyle name="Normal 41 2 2 3 2 28" xfId="51449"/>
    <cellStyle name="Normal 41 2 2 3 2 29" xfId="53201"/>
    <cellStyle name="Normal 41 2 2 3 2 3" xfId="5902"/>
    <cellStyle name="Normal 41 2 2 3 2 30" xfId="54953"/>
    <cellStyle name="Normal 41 2 2 3 2 31" xfId="56705"/>
    <cellStyle name="Normal 41 2 2 3 2 32" xfId="58458"/>
    <cellStyle name="Normal 41 2 2 3 2 33" xfId="60210"/>
    <cellStyle name="Normal 41 2 2 3 2 34" xfId="61962"/>
    <cellStyle name="Normal 41 2 2 3 2 4" xfId="7654"/>
    <cellStyle name="Normal 41 2 2 3 2 5" xfId="9406"/>
    <cellStyle name="Normal 41 2 2 3 2 6" xfId="11159"/>
    <cellStyle name="Normal 41 2 2 3 2 7" xfId="12911"/>
    <cellStyle name="Normal 41 2 2 3 2 8" xfId="14663"/>
    <cellStyle name="Normal 41 2 2 3 2 9" xfId="16415"/>
    <cellStyle name="Normal 41 2 2 3 20" xfId="33063"/>
    <cellStyle name="Normal 41 2 2 3 21" xfId="34817"/>
    <cellStyle name="Normal 41 2 2 3 22" xfId="35699"/>
    <cellStyle name="Normal 41 2 2 3 23" xfId="37438"/>
    <cellStyle name="Normal 41 2 2 3 24" xfId="39192"/>
    <cellStyle name="Normal 41 2 2 3 25" xfId="40947"/>
    <cellStyle name="Normal 41 2 2 3 26" xfId="42699"/>
    <cellStyle name="Normal 41 2 2 3 27" xfId="44438"/>
    <cellStyle name="Normal 41 2 2 3 28" xfId="45317"/>
    <cellStyle name="Normal 41 2 2 3 29" xfId="47069"/>
    <cellStyle name="Normal 41 2 2 3 3" xfId="3274"/>
    <cellStyle name="Normal 41 2 2 3 30" xfId="48821"/>
    <cellStyle name="Normal 41 2 2 3 31" xfId="50573"/>
    <cellStyle name="Normal 41 2 2 3 32" xfId="52325"/>
    <cellStyle name="Normal 41 2 2 3 33" xfId="54077"/>
    <cellStyle name="Normal 41 2 2 3 34" xfId="55829"/>
    <cellStyle name="Normal 41 2 2 3 35" xfId="57582"/>
    <cellStyle name="Normal 41 2 2 3 36" xfId="59334"/>
    <cellStyle name="Normal 41 2 2 3 37" xfId="61086"/>
    <cellStyle name="Normal 41 2 2 3 38" xfId="62825"/>
    <cellStyle name="Normal 41 2 2 3 39" xfId="63691"/>
    <cellStyle name="Normal 41 2 2 3 4" xfId="5026"/>
    <cellStyle name="Normal 41 2 2 3 5" xfId="6778"/>
    <cellStyle name="Normal 41 2 2 3 6" xfId="8530"/>
    <cellStyle name="Normal 41 2 2 3 7" xfId="10283"/>
    <cellStyle name="Normal 41 2 2 3 8" xfId="12035"/>
    <cellStyle name="Normal 41 2 2 3 9" xfId="13787"/>
    <cellStyle name="Normal 41 2 2 30" xfId="44881"/>
    <cellStyle name="Normal 41 2 2 31" xfId="46633"/>
    <cellStyle name="Normal 41 2 2 32" xfId="48385"/>
    <cellStyle name="Normal 41 2 2 33" xfId="50137"/>
    <cellStyle name="Normal 41 2 2 34" xfId="51889"/>
    <cellStyle name="Normal 41 2 2 35" xfId="53641"/>
    <cellStyle name="Normal 41 2 2 36" xfId="55393"/>
    <cellStyle name="Normal 41 2 2 37" xfId="57146"/>
    <cellStyle name="Normal 41 2 2 38" xfId="58898"/>
    <cellStyle name="Normal 41 2 2 39" xfId="60650"/>
    <cellStyle name="Normal 41 2 2 4" xfId="1774"/>
    <cellStyle name="Normal 41 2 2 4 10" xfId="17732"/>
    <cellStyle name="Normal 41 2 2 4 11" xfId="19484"/>
    <cellStyle name="Normal 41 2 2 4 12" xfId="21237"/>
    <cellStyle name="Normal 41 2 2 4 13" xfId="22989"/>
    <cellStyle name="Normal 41 2 2 4 14" xfId="24741"/>
    <cellStyle name="Normal 41 2 2 4 15" xfId="26493"/>
    <cellStyle name="Normal 41 2 2 4 16" xfId="28245"/>
    <cellStyle name="Normal 41 2 2 4 17" xfId="29998"/>
    <cellStyle name="Normal 41 2 2 4 18" xfId="31750"/>
    <cellStyle name="Normal 41 2 2 4 19" xfId="33503"/>
    <cellStyle name="Normal 41 2 2 4 2" xfId="3714"/>
    <cellStyle name="Normal 41 2 2 4 20" xfId="36139"/>
    <cellStyle name="Normal 41 2 2 4 21" xfId="37879"/>
    <cellStyle name="Normal 41 2 2 4 22" xfId="39632"/>
    <cellStyle name="Normal 41 2 2 4 23" xfId="41387"/>
    <cellStyle name="Normal 41 2 2 4 24" xfId="43139"/>
    <cellStyle name="Normal 41 2 2 4 25" xfId="45757"/>
    <cellStyle name="Normal 41 2 2 4 26" xfId="47509"/>
    <cellStyle name="Normal 41 2 2 4 27" xfId="49261"/>
    <cellStyle name="Normal 41 2 2 4 28" xfId="51013"/>
    <cellStyle name="Normal 41 2 2 4 29" xfId="52765"/>
    <cellStyle name="Normal 41 2 2 4 3" xfId="5466"/>
    <cellStyle name="Normal 41 2 2 4 30" xfId="54517"/>
    <cellStyle name="Normal 41 2 2 4 31" xfId="56269"/>
    <cellStyle name="Normal 41 2 2 4 32" xfId="58022"/>
    <cellStyle name="Normal 41 2 2 4 33" xfId="59774"/>
    <cellStyle name="Normal 41 2 2 4 34" xfId="61526"/>
    <cellStyle name="Normal 41 2 2 4 4" xfId="7218"/>
    <cellStyle name="Normal 41 2 2 4 5" xfId="8970"/>
    <cellStyle name="Normal 41 2 2 4 6" xfId="10723"/>
    <cellStyle name="Normal 41 2 2 4 7" xfId="12475"/>
    <cellStyle name="Normal 41 2 2 4 8" xfId="14227"/>
    <cellStyle name="Normal 41 2 2 4 9" xfId="15979"/>
    <cellStyle name="Normal 41 2 2 40" xfId="62822"/>
    <cellStyle name="Normal 41 2 2 41" xfId="63688"/>
    <cellStyle name="Normal 41 2 2 5" xfId="2838"/>
    <cellStyle name="Normal 41 2 2 6" xfId="4590"/>
    <cellStyle name="Normal 41 2 2 7" xfId="6342"/>
    <cellStyle name="Normal 41 2 2 8" xfId="8094"/>
    <cellStyle name="Normal 41 2 2 9" xfId="9847"/>
    <cellStyle name="Normal 41 2 20" xfId="27261"/>
    <cellStyle name="Normal 41 2 21" xfId="29014"/>
    <cellStyle name="Normal 41 2 22" xfId="30766"/>
    <cellStyle name="Normal 41 2 23" xfId="32519"/>
    <cellStyle name="Normal 41 2 24" xfId="34813"/>
    <cellStyle name="Normal 41 2 25" xfId="35155"/>
    <cellStyle name="Normal 41 2 26" xfId="37434"/>
    <cellStyle name="Normal 41 2 27" xfId="38648"/>
    <cellStyle name="Normal 41 2 28" xfId="40403"/>
    <cellStyle name="Normal 41 2 29" xfId="42155"/>
    <cellStyle name="Normal 41 2 3" xfId="1775"/>
    <cellStyle name="Normal 41 2 3 10" xfId="13519"/>
    <cellStyle name="Normal 41 2 3 11" xfId="15271"/>
    <cellStyle name="Normal 41 2 3 12" xfId="17024"/>
    <cellStyle name="Normal 41 2 3 13" xfId="18776"/>
    <cellStyle name="Normal 41 2 3 14" xfId="20529"/>
    <cellStyle name="Normal 41 2 3 15" xfId="22281"/>
    <cellStyle name="Normal 41 2 3 16" xfId="24033"/>
    <cellStyle name="Normal 41 2 3 17" xfId="25785"/>
    <cellStyle name="Normal 41 2 3 18" xfId="27537"/>
    <cellStyle name="Normal 41 2 3 19" xfId="29290"/>
    <cellStyle name="Normal 41 2 3 2" xfId="1776"/>
    <cellStyle name="Normal 41 2 3 2 10" xfId="15707"/>
    <cellStyle name="Normal 41 2 3 2 11" xfId="17460"/>
    <cellStyle name="Normal 41 2 3 2 12" xfId="19212"/>
    <cellStyle name="Normal 41 2 3 2 13" xfId="20965"/>
    <cellStyle name="Normal 41 2 3 2 14" xfId="22717"/>
    <cellStyle name="Normal 41 2 3 2 15" xfId="24469"/>
    <cellStyle name="Normal 41 2 3 2 16" xfId="26221"/>
    <cellStyle name="Normal 41 2 3 2 17" xfId="27973"/>
    <cellStyle name="Normal 41 2 3 2 18" xfId="29726"/>
    <cellStyle name="Normal 41 2 3 2 19" xfId="31478"/>
    <cellStyle name="Normal 41 2 3 2 2" xfId="1777"/>
    <cellStyle name="Normal 41 2 3 2 2 10" xfId="18336"/>
    <cellStyle name="Normal 41 2 3 2 2 11" xfId="20088"/>
    <cellStyle name="Normal 41 2 3 2 2 12" xfId="21841"/>
    <cellStyle name="Normal 41 2 3 2 2 13" xfId="23593"/>
    <cellStyle name="Normal 41 2 3 2 2 14" xfId="25345"/>
    <cellStyle name="Normal 41 2 3 2 2 15" xfId="27097"/>
    <cellStyle name="Normal 41 2 3 2 2 16" xfId="28849"/>
    <cellStyle name="Normal 41 2 3 2 2 17" xfId="30602"/>
    <cellStyle name="Normal 41 2 3 2 2 18" xfId="32354"/>
    <cellStyle name="Normal 41 2 3 2 2 19" xfId="34107"/>
    <cellStyle name="Normal 41 2 3 2 2 2" xfId="4318"/>
    <cellStyle name="Normal 41 2 3 2 2 20" xfId="36743"/>
    <cellStyle name="Normal 41 2 3 2 2 21" xfId="38483"/>
    <cellStyle name="Normal 41 2 3 2 2 22" xfId="40236"/>
    <cellStyle name="Normal 41 2 3 2 2 23" xfId="41991"/>
    <cellStyle name="Normal 41 2 3 2 2 24" xfId="43743"/>
    <cellStyle name="Normal 41 2 3 2 2 25" xfId="46361"/>
    <cellStyle name="Normal 41 2 3 2 2 26" xfId="48113"/>
    <cellStyle name="Normal 41 2 3 2 2 27" xfId="49865"/>
    <cellStyle name="Normal 41 2 3 2 2 28" xfId="51617"/>
    <cellStyle name="Normal 41 2 3 2 2 29" xfId="53369"/>
    <cellStyle name="Normal 41 2 3 2 2 3" xfId="6070"/>
    <cellStyle name="Normal 41 2 3 2 2 30" xfId="55121"/>
    <cellStyle name="Normal 41 2 3 2 2 31" xfId="56873"/>
    <cellStyle name="Normal 41 2 3 2 2 32" xfId="58626"/>
    <cellStyle name="Normal 41 2 3 2 2 33" xfId="60378"/>
    <cellStyle name="Normal 41 2 3 2 2 34" xfId="62130"/>
    <cellStyle name="Normal 41 2 3 2 2 4" xfId="7822"/>
    <cellStyle name="Normal 41 2 3 2 2 5" xfId="9574"/>
    <cellStyle name="Normal 41 2 3 2 2 6" xfId="11327"/>
    <cellStyle name="Normal 41 2 3 2 2 7" xfId="13079"/>
    <cellStyle name="Normal 41 2 3 2 2 8" xfId="14831"/>
    <cellStyle name="Normal 41 2 3 2 2 9" xfId="16583"/>
    <cellStyle name="Normal 41 2 3 2 20" xfId="33231"/>
    <cellStyle name="Normal 41 2 3 2 21" xfId="34819"/>
    <cellStyle name="Normal 41 2 3 2 22" xfId="35867"/>
    <cellStyle name="Normal 41 2 3 2 23" xfId="37440"/>
    <cellStyle name="Normal 41 2 3 2 24" xfId="39360"/>
    <cellStyle name="Normal 41 2 3 2 25" xfId="41115"/>
    <cellStyle name="Normal 41 2 3 2 26" xfId="42867"/>
    <cellStyle name="Normal 41 2 3 2 27" xfId="44440"/>
    <cellStyle name="Normal 41 2 3 2 28" xfId="45485"/>
    <cellStyle name="Normal 41 2 3 2 29" xfId="47237"/>
    <cellStyle name="Normal 41 2 3 2 3" xfId="3442"/>
    <cellStyle name="Normal 41 2 3 2 30" xfId="48989"/>
    <cellStyle name="Normal 41 2 3 2 31" xfId="50741"/>
    <cellStyle name="Normal 41 2 3 2 32" xfId="52493"/>
    <cellStyle name="Normal 41 2 3 2 33" xfId="54245"/>
    <cellStyle name="Normal 41 2 3 2 34" xfId="55997"/>
    <cellStyle name="Normal 41 2 3 2 35" xfId="57750"/>
    <cellStyle name="Normal 41 2 3 2 36" xfId="59502"/>
    <cellStyle name="Normal 41 2 3 2 37" xfId="61254"/>
    <cellStyle name="Normal 41 2 3 2 38" xfId="62827"/>
    <cellStyle name="Normal 41 2 3 2 39" xfId="63693"/>
    <cellStyle name="Normal 41 2 3 2 4" xfId="5194"/>
    <cellStyle name="Normal 41 2 3 2 5" xfId="6946"/>
    <cellStyle name="Normal 41 2 3 2 6" xfId="8698"/>
    <cellStyle name="Normal 41 2 3 2 7" xfId="10451"/>
    <cellStyle name="Normal 41 2 3 2 8" xfId="12203"/>
    <cellStyle name="Normal 41 2 3 2 9" xfId="13955"/>
    <cellStyle name="Normal 41 2 3 20" xfId="31042"/>
    <cellStyle name="Normal 41 2 3 21" xfId="32795"/>
    <cellStyle name="Normal 41 2 3 22" xfId="34818"/>
    <cellStyle name="Normal 41 2 3 23" xfId="35431"/>
    <cellStyle name="Normal 41 2 3 24" xfId="37439"/>
    <cellStyle name="Normal 41 2 3 25" xfId="38924"/>
    <cellStyle name="Normal 41 2 3 26" xfId="40679"/>
    <cellStyle name="Normal 41 2 3 27" xfId="42431"/>
    <cellStyle name="Normal 41 2 3 28" xfId="44439"/>
    <cellStyle name="Normal 41 2 3 29" xfId="45049"/>
    <cellStyle name="Normal 41 2 3 3" xfId="1778"/>
    <cellStyle name="Normal 41 2 3 3 10" xfId="17900"/>
    <cellStyle name="Normal 41 2 3 3 11" xfId="19652"/>
    <cellStyle name="Normal 41 2 3 3 12" xfId="21405"/>
    <cellStyle name="Normal 41 2 3 3 13" xfId="23157"/>
    <cellStyle name="Normal 41 2 3 3 14" xfId="24909"/>
    <cellStyle name="Normal 41 2 3 3 15" xfId="26661"/>
    <cellStyle name="Normal 41 2 3 3 16" xfId="28413"/>
    <cellStyle name="Normal 41 2 3 3 17" xfId="30166"/>
    <cellStyle name="Normal 41 2 3 3 18" xfId="31918"/>
    <cellStyle name="Normal 41 2 3 3 19" xfId="33671"/>
    <cellStyle name="Normal 41 2 3 3 2" xfId="3882"/>
    <cellStyle name="Normal 41 2 3 3 20" xfId="36307"/>
    <cellStyle name="Normal 41 2 3 3 21" xfId="38047"/>
    <cellStyle name="Normal 41 2 3 3 22" xfId="39800"/>
    <cellStyle name="Normal 41 2 3 3 23" xfId="41555"/>
    <cellStyle name="Normal 41 2 3 3 24" xfId="43307"/>
    <cellStyle name="Normal 41 2 3 3 25" xfId="45925"/>
    <cellStyle name="Normal 41 2 3 3 26" xfId="47677"/>
    <cellStyle name="Normal 41 2 3 3 27" xfId="49429"/>
    <cellStyle name="Normal 41 2 3 3 28" xfId="51181"/>
    <cellStyle name="Normal 41 2 3 3 29" xfId="52933"/>
    <cellStyle name="Normal 41 2 3 3 3" xfId="5634"/>
    <cellStyle name="Normal 41 2 3 3 30" xfId="54685"/>
    <cellStyle name="Normal 41 2 3 3 31" xfId="56437"/>
    <cellStyle name="Normal 41 2 3 3 32" xfId="58190"/>
    <cellStyle name="Normal 41 2 3 3 33" xfId="59942"/>
    <cellStyle name="Normal 41 2 3 3 34" xfId="61694"/>
    <cellStyle name="Normal 41 2 3 3 4" xfId="7386"/>
    <cellStyle name="Normal 41 2 3 3 5" xfId="9138"/>
    <cellStyle name="Normal 41 2 3 3 6" xfId="10891"/>
    <cellStyle name="Normal 41 2 3 3 7" xfId="12643"/>
    <cellStyle name="Normal 41 2 3 3 8" xfId="14395"/>
    <cellStyle name="Normal 41 2 3 3 9" xfId="16147"/>
    <cellStyle name="Normal 41 2 3 30" xfId="46801"/>
    <cellStyle name="Normal 41 2 3 31" xfId="48553"/>
    <cellStyle name="Normal 41 2 3 32" xfId="50305"/>
    <cellStyle name="Normal 41 2 3 33" xfId="52057"/>
    <cellStyle name="Normal 41 2 3 34" xfId="53809"/>
    <cellStyle name="Normal 41 2 3 35" xfId="55561"/>
    <cellStyle name="Normal 41 2 3 36" xfId="57314"/>
    <cellStyle name="Normal 41 2 3 37" xfId="59066"/>
    <cellStyle name="Normal 41 2 3 38" xfId="60818"/>
    <cellStyle name="Normal 41 2 3 39" xfId="62826"/>
    <cellStyle name="Normal 41 2 3 4" xfId="3006"/>
    <cellStyle name="Normal 41 2 3 40" xfId="63692"/>
    <cellStyle name="Normal 41 2 3 5" xfId="4758"/>
    <cellStyle name="Normal 41 2 3 6" xfId="6510"/>
    <cellStyle name="Normal 41 2 3 7" xfId="8262"/>
    <cellStyle name="Normal 41 2 3 8" xfId="10015"/>
    <cellStyle name="Normal 41 2 3 9" xfId="11767"/>
    <cellStyle name="Normal 41 2 30" xfId="44434"/>
    <cellStyle name="Normal 41 2 31" xfId="44773"/>
    <cellStyle name="Normal 41 2 32" xfId="46525"/>
    <cellStyle name="Normal 41 2 33" xfId="48277"/>
    <cellStyle name="Normal 41 2 34" xfId="50029"/>
    <cellStyle name="Normal 41 2 35" xfId="51781"/>
    <cellStyle name="Normal 41 2 36" xfId="53533"/>
    <cellStyle name="Normal 41 2 37" xfId="55285"/>
    <cellStyle name="Normal 41 2 38" xfId="57038"/>
    <cellStyle name="Normal 41 2 39" xfId="58790"/>
    <cellStyle name="Normal 41 2 4" xfId="1779"/>
    <cellStyle name="Normal 41 2 4 10" xfId="15431"/>
    <cellStyle name="Normal 41 2 4 11" xfId="17184"/>
    <cellStyle name="Normal 41 2 4 12" xfId="18936"/>
    <cellStyle name="Normal 41 2 4 13" xfId="20689"/>
    <cellStyle name="Normal 41 2 4 14" xfId="22441"/>
    <cellStyle name="Normal 41 2 4 15" xfId="24193"/>
    <cellStyle name="Normal 41 2 4 16" xfId="25945"/>
    <cellStyle name="Normal 41 2 4 17" xfId="27697"/>
    <cellStyle name="Normal 41 2 4 18" xfId="29450"/>
    <cellStyle name="Normal 41 2 4 19" xfId="31202"/>
    <cellStyle name="Normal 41 2 4 2" xfId="1780"/>
    <cellStyle name="Normal 41 2 4 2 10" xfId="18060"/>
    <cellStyle name="Normal 41 2 4 2 11" xfId="19812"/>
    <cellStyle name="Normal 41 2 4 2 12" xfId="21565"/>
    <cellStyle name="Normal 41 2 4 2 13" xfId="23317"/>
    <cellStyle name="Normal 41 2 4 2 14" xfId="25069"/>
    <cellStyle name="Normal 41 2 4 2 15" xfId="26821"/>
    <cellStyle name="Normal 41 2 4 2 16" xfId="28573"/>
    <cellStyle name="Normal 41 2 4 2 17" xfId="30326"/>
    <cellStyle name="Normal 41 2 4 2 18" xfId="32078"/>
    <cellStyle name="Normal 41 2 4 2 19" xfId="33831"/>
    <cellStyle name="Normal 41 2 4 2 2" xfId="4042"/>
    <cellStyle name="Normal 41 2 4 2 20" xfId="36467"/>
    <cellStyle name="Normal 41 2 4 2 21" xfId="38207"/>
    <cellStyle name="Normal 41 2 4 2 22" xfId="39960"/>
    <cellStyle name="Normal 41 2 4 2 23" xfId="41715"/>
    <cellStyle name="Normal 41 2 4 2 24" xfId="43467"/>
    <cellStyle name="Normal 41 2 4 2 25" xfId="46085"/>
    <cellStyle name="Normal 41 2 4 2 26" xfId="47837"/>
    <cellStyle name="Normal 41 2 4 2 27" xfId="49589"/>
    <cellStyle name="Normal 41 2 4 2 28" xfId="51341"/>
    <cellStyle name="Normal 41 2 4 2 29" xfId="53093"/>
    <cellStyle name="Normal 41 2 4 2 3" xfId="5794"/>
    <cellStyle name="Normal 41 2 4 2 30" xfId="54845"/>
    <cellStyle name="Normal 41 2 4 2 31" xfId="56597"/>
    <cellStyle name="Normal 41 2 4 2 32" xfId="58350"/>
    <cellStyle name="Normal 41 2 4 2 33" xfId="60102"/>
    <cellStyle name="Normal 41 2 4 2 34" xfId="61854"/>
    <cellStyle name="Normal 41 2 4 2 4" xfId="7546"/>
    <cellStyle name="Normal 41 2 4 2 5" xfId="9298"/>
    <cellStyle name="Normal 41 2 4 2 6" xfId="11051"/>
    <cellStyle name="Normal 41 2 4 2 7" xfId="12803"/>
    <cellStyle name="Normal 41 2 4 2 8" xfId="14555"/>
    <cellStyle name="Normal 41 2 4 2 9" xfId="16307"/>
    <cellStyle name="Normal 41 2 4 20" xfId="32955"/>
    <cellStyle name="Normal 41 2 4 21" xfId="34820"/>
    <cellStyle name="Normal 41 2 4 22" xfId="35591"/>
    <cellStyle name="Normal 41 2 4 23" xfId="37441"/>
    <cellStyle name="Normal 41 2 4 24" xfId="39084"/>
    <cellStyle name="Normal 41 2 4 25" xfId="40839"/>
    <cellStyle name="Normal 41 2 4 26" xfId="42591"/>
    <cellStyle name="Normal 41 2 4 27" xfId="44441"/>
    <cellStyle name="Normal 41 2 4 28" xfId="45209"/>
    <cellStyle name="Normal 41 2 4 29" xfId="46961"/>
    <cellStyle name="Normal 41 2 4 3" xfId="3166"/>
    <cellStyle name="Normal 41 2 4 30" xfId="48713"/>
    <cellStyle name="Normal 41 2 4 31" xfId="50465"/>
    <cellStyle name="Normal 41 2 4 32" xfId="52217"/>
    <cellStyle name="Normal 41 2 4 33" xfId="53969"/>
    <cellStyle name="Normal 41 2 4 34" xfId="55721"/>
    <cellStyle name="Normal 41 2 4 35" xfId="57474"/>
    <cellStyle name="Normal 41 2 4 36" xfId="59226"/>
    <cellStyle name="Normal 41 2 4 37" xfId="60978"/>
    <cellStyle name="Normal 41 2 4 38" xfId="62828"/>
    <cellStyle name="Normal 41 2 4 39" xfId="63694"/>
    <cellStyle name="Normal 41 2 4 4" xfId="4918"/>
    <cellStyle name="Normal 41 2 4 5" xfId="6670"/>
    <cellStyle name="Normal 41 2 4 6" xfId="8422"/>
    <cellStyle name="Normal 41 2 4 7" xfId="10175"/>
    <cellStyle name="Normal 41 2 4 8" xfId="11927"/>
    <cellStyle name="Normal 41 2 4 9" xfId="13679"/>
    <cellStyle name="Normal 41 2 40" xfId="60542"/>
    <cellStyle name="Normal 41 2 41" xfId="62821"/>
    <cellStyle name="Normal 41 2 42" xfId="63687"/>
    <cellStyle name="Normal 41 2 5" xfId="1781"/>
    <cellStyle name="Normal 41 2 5 10" xfId="17624"/>
    <cellStyle name="Normal 41 2 5 11" xfId="19376"/>
    <cellStyle name="Normal 41 2 5 12" xfId="21129"/>
    <cellStyle name="Normal 41 2 5 13" xfId="22881"/>
    <cellStyle name="Normal 41 2 5 14" xfId="24633"/>
    <cellStyle name="Normal 41 2 5 15" xfId="26385"/>
    <cellStyle name="Normal 41 2 5 16" xfId="28137"/>
    <cellStyle name="Normal 41 2 5 17" xfId="29890"/>
    <cellStyle name="Normal 41 2 5 18" xfId="31642"/>
    <cellStyle name="Normal 41 2 5 19" xfId="33395"/>
    <cellStyle name="Normal 41 2 5 2" xfId="3606"/>
    <cellStyle name="Normal 41 2 5 20" xfId="36031"/>
    <cellStyle name="Normal 41 2 5 21" xfId="37771"/>
    <cellStyle name="Normal 41 2 5 22" xfId="39524"/>
    <cellStyle name="Normal 41 2 5 23" xfId="41279"/>
    <cellStyle name="Normal 41 2 5 24" xfId="43031"/>
    <cellStyle name="Normal 41 2 5 25" xfId="45649"/>
    <cellStyle name="Normal 41 2 5 26" xfId="47401"/>
    <cellStyle name="Normal 41 2 5 27" xfId="49153"/>
    <cellStyle name="Normal 41 2 5 28" xfId="50905"/>
    <cellStyle name="Normal 41 2 5 29" xfId="52657"/>
    <cellStyle name="Normal 41 2 5 3" xfId="5358"/>
    <cellStyle name="Normal 41 2 5 30" xfId="54409"/>
    <cellStyle name="Normal 41 2 5 31" xfId="56161"/>
    <cellStyle name="Normal 41 2 5 32" xfId="57914"/>
    <cellStyle name="Normal 41 2 5 33" xfId="59666"/>
    <cellStyle name="Normal 41 2 5 34" xfId="61418"/>
    <cellStyle name="Normal 41 2 5 4" xfId="7110"/>
    <cellStyle name="Normal 41 2 5 5" xfId="8862"/>
    <cellStyle name="Normal 41 2 5 6" xfId="10615"/>
    <cellStyle name="Normal 41 2 5 7" xfId="12367"/>
    <cellStyle name="Normal 41 2 5 8" xfId="14119"/>
    <cellStyle name="Normal 41 2 5 9" xfId="15871"/>
    <cellStyle name="Normal 41 2 6" xfId="2730"/>
    <cellStyle name="Normal 41 2 7" xfId="4482"/>
    <cellStyle name="Normal 41 2 8" xfId="6234"/>
    <cellStyle name="Normal 41 2 9" xfId="7986"/>
    <cellStyle name="Normal 41 20" xfId="25454"/>
    <cellStyle name="Normal 41 21" xfId="27206"/>
    <cellStyle name="Normal 41 22" xfId="28959"/>
    <cellStyle name="Normal 41 23" xfId="30711"/>
    <cellStyle name="Normal 41 24" xfId="32464"/>
    <cellStyle name="Normal 41 25" xfId="34812"/>
    <cellStyle name="Normal 41 26" xfId="35100"/>
    <cellStyle name="Normal 41 27" xfId="37433"/>
    <cellStyle name="Normal 41 28" xfId="38593"/>
    <cellStyle name="Normal 41 29" xfId="40348"/>
    <cellStyle name="Normal 41 3" xfId="1782"/>
    <cellStyle name="Normal 41 3 10" xfId="11544"/>
    <cellStyle name="Normal 41 3 11" xfId="13296"/>
    <cellStyle name="Normal 41 3 12" xfId="15048"/>
    <cellStyle name="Normal 41 3 13" xfId="16801"/>
    <cellStyle name="Normal 41 3 14" xfId="18553"/>
    <cellStyle name="Normal 41 3 15" xfId="20306"/>
    <cellStyle name="Normal 41 3 16" xfId="22058"/>
    <cellStyle name="Normal 41 3 17" xfId="23810"/>
    <cellStyle name="Normal 41 3 18" xfId="25562"/>
    <cellStyle name="Normal 41 3 19" xfId="27314"/>
    <cellStyle name="Normal 41 3 2" xfId="1783"/>
    <cellStyle name="Normal 41 3 2 10" xfId="13520"/>
    <cellStyle name="Normal 41 3 2 11" xfId="15272"/>
    <cellStyle name="Normal 41 3 2 12" xfId="17025"/>
    <cellStyle name="Normal 41 3 2 13" xfId="18777"/>
    <cellStyle name="Normal 41 3 2 14" xfId="20530"/>
    <cellStyle name="Normal 41 3 2 15" xfId="22282"/>
    <cellStyle name="Normal 41 3 2 16" xfId="24034"/>
    <cellStyle name="Normal 41 3 2 17" xfId="25786"/>
    <cellStyle name="Normal 41 3 2 18" xfId="27538"/>
    <cellStyle name="Normal 41 3 2 19" xfId="29291"/>
    <cellStyle name="Normal 41 3 2 2" xfId="1784"/>
    <cellStyle name="Normal 41 3 2 2 10" xfId="15708"/>
    <cellStyle name="Normal 41 3 2 2 11" xfId="17461"/>
    <cellStyle name="Normal 41 3 2 2 12" xfId="19213"/>
    <cellStyle name="Normal 41 3 2 2 13" xfId="20966"/>
    <cellStyle name="Normal 41 3 2 2 14" xfId="22718"/>
    <cellStyle name="Normal 41 3 2 2 15" xfId="24470"/>
    <cellStyle name="Normal 41 3 2 2 16" xfId="26222"/>
    <cellStyle name="Normal 41 3 2 2 17" xfId="27974"/>
    <cellStyle name="Normal 41 3 2 2 18" xfId="29727"/>
    <cellStyle name="Normal 41 3 2 2 19" xfId="31479"/>
    <cellStyle name="Normal 41 3 2 2 2" xfId="1785"/>
    <cellStyle name="Normal 41 3 2 2 2 10" xfId="18337"/>
    <cellStyle name="Normal 41 3 2 2 2 11" xfId="20089"/>
    <cellStyle name="Normal 41 3 2 2 2 12" xfId="21842"/>
    <cellStyle name="Normal 41 3 2 2 2 13" xfId="23594"/>
    <cellStyle name="Normal 41 3 2 2 2 14" xfId="25346"/>
    <cellStyle name="Normal 41 3 2 2 2 15" xfId="27098"/>
    <cellStyle name="Normal 41 3 2 2 2 16" xfId="28850"/>
    <cellStyle name="Normal 41 3 2 2 2 17" xfId="30603"/>
    <cellStyle name="Normal 41 3 2 2 2 18" xfId="32355"/>
    <cellStyle name="Normal 41 3 2 2 2 19" xfId="34108"/>
    <cellStyle name="Normal 41 3 2 2 2 2" xfId="4319"/>
    <cellStyle name="Normal 41 3 2 2 2 20" xfId="36744"/>
    <cellStyle name="Normal 41 3 2 2 2 21" xfId="38484"/>
    <cellStyle name="Normal 41 3 2 2 2 22" xfId="40237"/>
    <cellStyle name="Normal 41 3 2 2 2 23" xfId="41992"/>
    <cellStyle name="Normal 41 3 2 2 2 24" xfId="43744"/>
    <cellStyle name="Normal 41 3 2 2 2 25" xfId="46362"/>
    <cellStyle name="Normal 41 3 2 2 2 26" xfId="48114"/>
    <cellStyle name="Normal 41 3 2 2 2 27" xfId="49866"/>
    <cellStyle name="Normal 41 3 2 2 2 28" xfId="51618"/>
    <cellStyle name="Normal 41 3 2 2 2 29" xfId="53370"/>
    <cellStyle name="Normal 41 3 2 2 2 3" xfId="6071"/>
    <cellStyle name="Normal 41 3 2 2 2 30" xfId="55122"/>
    <cellStyle name="Normal 41 3 2 2 2 31" xfId="56874"/>
    <cellStyle name="Normal 41 3 2 2 2 32" xfId="58627"/>
    <cellStyle name="Normal 41 3 2 2 2 33" xfId="60379"/>
    <cellStyle name="Normal 41 3 2 2 2 34" xfId="62131"/>
    <cellStyle name="Normal 41 3 2 2 2 4" xfId="7823"/>
    <cellStyle name="Normal 41 3 2 2 2 5" xfId="9575"/>
    <cellStyle name="Normal 41 3 2 2 2 6" xfId="11328"/>
    <cellStyle name="Normal 41 3 2 2 2 7" xfId="13080"/>
    <cellStyle name="Normal 41 3 2 2 2 8" xfId="14832"/>
    <cellStyle name="Normal 41 3 2 2 2 9" xfId="16584"/>
    <cellStyle name="Normal 41 3 2 2 20" xfId="33232"/>
    <cellStyle name="Normal 41 3 2 2 21" xfId="34823"/>
    <cellStyle name="Normal 41 3 2 2 22" xfId="35868"/>
    <cellStyle name="Normal 41 3 2 2 23" xfId="37444"/>
    <cellStyle name="Normal 41 3 2 2 24" xfId="39361"/>
    <cellStyle name="Normal 41 3 2 2 25" xfId="41116"/>
    <cellStyle name="Normal 41 3 2 2 26" xfId="42868"/>
    <cellStyle name="Normal 41 3 2 2 27" xfId="44444"/>
    <cellStyle name="Normal 41 3 2 2 28" xfId="45486"/>
    <cellStyle name="Normal 41 3 2 2 29" xfId="47238"/>
    <cellStyle name="Normal 41 3 2 2 3" xfId="3443"/>
    <cellStyle name="Normal 41 3 2 2 30" xfId="48990"/>
    <cellStyle name="Normal 41 3 2 2 31" xfId="50742"/>
    <cellStyle name="Normal 41 3 2 2 32" xfId="52494"/>
    <cellStyle name="Normal 41 3 2 2 33" xfId="54246"/>
    <cellStyle name="Normal 41 3 2 2 34" xfId="55998"/>
    <cellStyle name="Normal 41 3 2 2 35" xfId="57751"/>
    <cellStyle name="Normal 41 3 2 2 36" xfId="59503"/>
    <cellStyle name="Normal 41 3 2 2 37" xfId="61255"/>
    <cellStyle name="Normal 41 3 2 2 38" xfId="62831"/>
    <cellStyle name="Normal 41 3 2 2 39" xfId="63697"/>
    <cellStyle name="Normal 41 3 2 2 4" xfId="5195"/>
    <cellStyle name="Normal 41 3 2 2 5" xfId="6947"/>
    <cellStyle name="Normal 41 3 2 2 6" xfId="8699"/>
    <cellStyle name="Normal 41 3 2 2 7" xfId="10452"/>
    <cellStyle name="Normal 41 3 2 2 8" xfId="12204"/>
    <cellStyle name="Normal 41 3 2 2 9" xfId="13956"/>
    <cellStyle name="Normal 41 3 2 20" xfId="31043"/>
    <cellStyle name="Normal 41 3 2 21" xfId="32796"/>
    <cellStyle name="Normal 41 3 2 22" xfId="34822"/>
    <cellStyle name="Normal 41 3 2 23" xfId="35432"/>
    <cellStyle name="Normal 41 3 2 24" xfId="37443"/>
    <cellStyle name="Normal 41 3 2 25" xfId="38925"/>
    <cellStyle name="Normal 41 3 2 26" xfId="40680"/>
    <cellStyle name="Normal 41 3 2 27" xfId="42432"/>
    <cellStyle name="Normal 41 3 2 28" xfId="44443"/>
    <cellStyle name="Normal 41 3 2 29" xfId="45050"/>
    <cellStyle name="Normal 41 3 2 3" xfId="1786"/>
    <cellStyle name="Normal 41 3 2 3 10" xfId="17901"/>
    <cellStyle name="Normal 41 3 2 3 11" xfId="19653"/>
    <cellStyle name="Normal 41 3 2 3 12" xfId="21406"/>
    <cellStyle name="Normal 41 3 2 3 13" xfId="23158"/>
    <cellStyle name="Normal 41 3 2 3 14" xfId="24910"/>
    <cellStyle name="Normal 41 3 2 3 15" xfId="26662"/>
    <cellStyle name="Normal 41 3 2 3 16" xfId="28414"/>
    <cellStyle name="Normal 41 3 2 3 17" xfId="30167"/>
    <cellStyle name="Normal 41 3 2 3 18" xfId="31919"/>
    <cellStyle name="Normal 41 3 2 3 19" xfId="33672"/>
    <cellStyle name="Normal 41 3 2 3 2" xfId="3883"/>
    <cellStyle name="Normal 41 3 2 3 20" xfId="36308"/>
    <cellStyle name="Normal 41 3 2 3 21" xfId="38048"/>
    <cellStyle name="Normal 41 3 2 3 22" xfId="39801"/>
    <cellStyle name="Normal 41 3 2 3 23" xfId="41556"/>
    <cellStyle name="Normal 41 3 2 3 24" xfId="43308"/>
    <cellStyle name="Normal 41 3 2 3 25" xfId="45926"/>
    <cellStyle name="Normal 41 3 2 3 26" xfId="47678"/>
    <cellStyle name="Normal 41 3 2 3 27" xfId="49430"/>
    <cellStyle name="Normal 41 3 2 3 28" xfId="51182"/>
    <cellStyle name="Normal 41 3 2 3 29" xfId="52934"/>
    <cellStyle name="Normal 41 3 2 3 3" xfId="5635"/>
    <cellStyle name="Normal 41 3 2 3 30" xfId="54686"/>
    <cellStyle name="Normal 41 3 2 3 31" xfId="56438"/>
    <cellStyle name="Normal 41 3 2 3 32" xfId="58191"/>
    <cellStyle name="Normal 41 3 2 3 33" xfId="59943"/>
    <cellStyle name="Normal 41 3 2 3 34" xfId="61695"/>
    <cellStyle name="Normal 41 3 2 3 4" xfId="7387"/>
    <cellStyle name="Normal 41 3 2 3 5" xfId="9139"/>
    <cellStyle name="Normal 41 3 2 3 6" xfId="10892"/>
    <cellStyle name="Normal 41 3 2 3 7" xfId="12644"/>
    <cellStyle name="Normal 41 3 2 3 8" xfId="14396"/>
    <cellStyle name="Normal 41 3 2 3 9" xfId="16148"/>
    <cellStyle name="Normal 41 3 2 30" xfId="46802"/>
    <cellStyle name="Normal 41 3 2 31" xfId="48554"/>
    <cellStyle name="Normal 41 3 2 32" xfId="50306"/>
    <cellStyle name="Normal 41 3 2 33" xfId="52058"/>
    <cellStyle name="Normal 41 3 2 34" xfId="53810"/>
    <cellStyle name="Normal 41 3 2 35" xfId="55562"/>
    <cellStyle name="Normal 41 3 2 36" xfId="57315"/>
    <cellStyle name="Normal 41 3 2 37" xfId="59067"/>
    <cellStyle name="Normal 41 3 2 38" xfId="60819"/>
    <cellStyle name="Normal 41 3 2 39" xfId="62830"/>
    <cellStyle name="Normal 41 3 2 4" xfId="3007"/>
    <cellStyle name="Normal 41 3 2 40" xfId="63696"/>
    <cellStyle name="Normal 41 3 2 5" xfId="4759"/>
    <cellStyle name="Normal 41 3 2 6" xfId="6511"/>
    <cellStyle name="Normal 41 3 2 7" xfId="8263"/>
    <cellStyle name="Normal 41 3 2 8" xfId="10016"/>
    <cellStyle name="Normal 41 3 2 9" xfId="11768"/>
    <cellStyle name="Normal 41 3 20" xfId="29067"/>
    <cellStyle name="Normal 41 3 21" xfId="30819"/>
    <cellStyle name="Normal 41 3 22" xfId="32572"/>
    <cellStyle name="Normal 41 3 23" xfId="34821"/>
    <cellStyle name="Normal 41 3 24" xfId="35208"/>
    <cellStyle name="Normal 41 3 25" xfId="37442"/>
    <cellStyle name="Normal 41 3 26" xfId="38701"/>
    <cellStyle name="Normal 41 3 27" xfId="40456"/>
    <cellStyle name="Normal 41 3 28" xfId="42208"/>
    <cellStyle name="Normal 41 3 29" xfId="44442"/>
    <cellStyle name="Normal 41 3 3" xfId="1787"/>
    <cellStyle name="Normal 41 3 3 10" xfId="15484"/>
    <cellStyle name="Normal 41 3 3 11" xfId="17237"/>
    <cellStyle name="Normal 41 3 3 12" xfId="18989"/>
    <cellStyle name="Normal 41 3 3 13" xfId="20742"/>
    <cellStyle name="Normal 41 3 3 14" xfId="22494"/>
    <cellStyle name="Normal 41 3 3 15" xfId="24246"/>
    <cellStyle name="Normal 41 3 3 16" xfId="25998"/>
    <cellStyle name="Normal 41 3 3 17" xfId="27750"/>
    <cellStyle name="Normal 41 3 3 18" xfId="29503"/>
    <cellStyle name="Normal 41 3 3 19" xfId="31255"/>
    <cellStyle name="Normal 41 3 3 2" xfId="1788"/>
    <cellStyle name="Normal 41 3 3 2 10" xfId="18113"/>
    <cellStyle name="Normal 41 3 3 2 11" xfId="19865"/>
    <cellStyle name="Normal 41 3 3 2 12" xfId="21618"/>
    <cellStyle name="Normal 41 3 3 2 13" xfId="23370"/>
    <cellStyle name="Normal 41 3 3 2 14" xfId="25122"/>
    <cellStyle name="Normal 41 3 3 2 15" xfId="26874"/>
    <cellStyle name="Normal 41 3 3 2 16" xfId="28626"/>
    <cellStyle name="Normal 41 3 3 2 17" xfId="30379"/>
    <cellStyle name="Normal 41 3 3 2 18" xfId="32131"/>
    <cellStyle name="Normal 41 3 3 2 19" xfId="33884"/>
    <cellStyle name="Normal 41 3 3 2 2" xfId="4095"/>
    <cellStyle name="Normal 41 3 3 2 20" xfId="36520"/>
    <cellStyle name="Normal 41 3 3 2 21" xfId="38260"/>
    <cellStyle name="Normal 41 3 3 2 22" xfId="40013"/>
    <cellStyle name="Normal 41 3 3 2 23" xfId="41768"/>
    <cellStyle name="Normal 41 3 3 2 24" xfId="43520"/>
    <cellStyle name="Normal 41 3 3 2 25" xfId="46138"/>
    <cellStyle name="Normal 41 3 3 2 26" xfId="47890"/>
    <cellStyle name="Normal 41 3 3 2 27" xfId="49642"/>
    <cellStyle name="Normal 41 3 3 2 28" xfId="51394"/>
    <cellStyle name="Normal 41 3 3 2 29" xfId="53146"/>
    <cellStyle name="Normal 41 3 3 2 3" xfId="5847"/>
    <cellStyle name="Normal 41 3 3 2 30" xfId="54898"/>
    <cellStyle name="Normal 41 3 3 2 31" xfId="56650"/>
    <cellStyle name="Normal 41 3 3 2 32" xfId="58403"/>
    <cellStyle name="Normal 41 3 3 2 33" xfId="60155"/>
    <cellStyle name="Normal 41 3 3 2 34" xfId="61907"/>
    <cellStyle name="Normal 41 3 3 2 4" xfId="7599"/>
    <cellStyle name="Normal 41 3 3 2 5" xfId="9351"/>
    <cellStyle name="Normal 41 3 3 2 6" xfId="11104"/>
    <cellStyle name="Normal 41 3 3 2 7" xfId="12856"/>
    <cellStyle name="Normal 41 3 3 2 8" xfId="14608"/>
    <cellStyle name="Normal 41 3 3 2 9" xfId="16360"/>
    <cellStyle name="Normal 41 3 3 20" xfId="33008"/>
    <cellStyle name="Normal 41 3 3 21" xfId="34824"/>
    <cellStyle name="Normal 41 3 3 22" xfId="35644"/>
    <cellStyle name="Normal 41 3 3 23" xfId="37445"/>
    <cellStyle name="Normal 41 3 3 24" xfId="39137"/>
    <cellStyle name="Normal 41 3 3 25" xfId="40892"/>
    <cellStyle name="Normal 41 3 3 26" xfId="42644"/>
    <cellStyle name="Normal 41 3 3 27" xfId="44445"/>
    <cellStyle name="Normal 41 3 3 28" xfId="45262"/>
    <cellStyle name="Normal 41 3 3 29" xfId="47014"/>
    <cellStyle name="Normal 41 3 3 3" xfId="3219"/>
    <cellStyle name="Normal 41 3 3 30" xfId="48766"/>
    <cellStyle name="Normal 41 3 3 31" xfId="50518"/>
    <cellStyle name="Normal 41 3 3 32" xfId="52270"/>
    <cellStyle name="Normal 41 3 3 33" xfId="54022"/>
    <cellStyle name="Normal 41 3 3 34" xfId="55774"/>
    <cellStyle name="Normal 41 3 3 35" xfId="57527"/>
    <cellStyle name="Normal 41 3 3 36" xfId="59279"/>
    <cellStyle name="Normal 41 3 3 37" xfId="61031"/>
    <cellStyle name="Normal 41 3 3 38" xfId="62832"/>
    <cellStyle name="Normal 41 3 3 39" xfId="63698"/>
    <cellStyle name="Normal 41 3 3 4" xfId="4971"/>
    <cellStyle name="Normal 41 3 3 5" xfId="6723"/>
    <cellStyle name="Normal 41 3 3 6" xfId="8475"/>
    <cellStyle name="Normal 41 3 3 7" xfId="10228"/>
    <cellStyle name="Normal 41 3 3 8" xfId="11980"/>
    <cellStyle name="Normal 41 3 3 9" xfId="13732"/>
    <cellStyle name="Normal 41 3 30" xfId="44826"/>
    <cellStyle name="Normal 41 3 31" xfId="46578"/>
    <cellStyle name="Normal 41 3 32" xfId="48330"/>
    <cellStyle name="Normal 41 3 33" xfId="50082"/>
    <cellStyle name="Normal 41 3 34" xfId="51834"/>
    <cellStyle name="Normal 41 3 35" xfId="53586"/>
    <cellStyle name="Normal 41 3 36" xfId="55338"/>
    <cellStyle name="Normal 41 3 37" xfId="57091"/>
    <cellStyle name="Normal 41 3 38" xfId="58843"/>
    <cellStyle name="Normal 41 3 39" xfId="60595"/>
    <cellStyle name="Normal 41 3 4" xfId="1789"/>
    <cellStyle name="Normal 41 3 4 10" xfId="17677"/>
    <cellStyle name="Normal 41 3 4 11" xfId="19429"/>
    <cellStyle name="Normal 41 3 4 12" xfId="21182"/>
    <cellStyle name="Normal 41 3 4 13" xfId="22934"/>
    <cellStyle name="Normal 41 3 4 14" xfId="24686"/>
    <cellStyle name="Normal 41 3 4 15" xfId="26438"/>
    <cellStyle name="Normal 41 3 4 16" xfId="28190"/>
    <cellStyle name="Normal 41 3 4 17" xfId="29943"/>
    <cellStyle name="Normal 41 3 4 18" xfId="31695"/>
    <cellStyle name="Normal 41 3 4 19" xfId="33448"/>
    <cellStyle name="Normal 41 3 4 2" xfId="3659"/>
    <cellStyle name="Normal 41 3 4 20" xfId="36084"/>
    <cellStyle name="Normal 41 3 4 21" xfId="37824"/>
    <cellStyle name="Normal 41 3 4 22" xfId="39577"/>
    <cellStyle name="Normal 41 3 4 23" xfId="41332"/>
    <cellStyle name="Normal 41 3 4 24" xfId="43084"/>
    <cellStyle name="Normal 41 3 4 25" xfId="45702"/>
    <cellStyle name="Normal 41 3 4 26" xfId="47454"/>
    <cellStyle name="Normal 41 3 4 27" xfId="49206"/>
    <cellStyle name="Normal 41 3 4 28" xfId="50958"/>
    <cellStyle name="Normal 41 3 4 29" xfId="52710"/>
    <cellStyle name="Normal 41 3 4 3" xfId="5411"/>
    <cellStyle name="Normal 41 3 4 30" xfId="54462"/>
    <cellStyle name="Normal 41 3 4 31" xfId="56214"/>
    <cellStyle name="Normal 41 3 4 32" xfId="57967"/>
    <cellStyle name="Normal 41 3 4 33" xfId="59719"/>
    <cellStyle name="Normal 41 3 4 34" xfId="61471"/>
    <cellStyle name="Normal 41 3 4 4" xfId="7163"/>
    <cellStyle name="Normal 41 3 4 5" xfId="8915"/>
    <cellStyle name="Normal 41 3 4 6" xfId="10668"/>
    <cellStyle name="Normal 41 3 4 7" xfId="12420"/>
    <cellStyle name="Normal 41 3 4 8" xfId="14172"/>
    <cellStyle name="Normal 41 3 4 9" xfId="15924"/>
    <cellStyle name="Normal 41 3 40" xfId="62829"/>
    <cellStyle name="Normal 41 3 41" xfId="63695"/>
    <cellStyle name="Normal 41 3 5" xfId="2783"/>
    <cellStyle name="Normal 41 3 6" xfId="4535"/>
    <cellStyle name="Normal 41 3 7" xfId="6287"/>
    <cellStyle name="Normal 41 3 8" xfId="8039"/>
    <cellStyle name="Normal 41 3 9" xfId="9792"/>
    <cellStyle name="Normal 41 30" xfId="42100"/>
    <cellStyle name="Normal 41 31" xfId="44433"/>
    <cellStyle name="Normal 41 32" xfId="44718"/>
    <cellStyle name="Normal 41 33" xfId="46470"/>
    <cellStyle name="Normal 41 34" xfId="48222"/>
    <cellStyle name="Normal 41 35" xfId="49974"/>
    <cellStyle name="Normal 41 36" xfId="51726"/>
    <cellStyle name="Normal 41 37" xfId="53478"/>
    <cellStyle name="Normal 41 38" xfId="55230"/>
    <cellStyle name="Normal 41 39" xfId="56983"/>
    <cellStyle name="Normal 41 4" xfId="1790"/>
    <cellStyle name="Normal 41 4 10" xfId="13521"/>
    <cellStyle name="Normal 41 4 11" xfId="15273"/>
    <cellStyle name="Normal 41 4 12" xfId="17026"/>
    <cellStyle name="Normal 41 4 13" xfId="18778"/>
    <cellStyle name="Normal 41 4 14" xfId="20531"/>
    <cellStyle name="Normal 41 4 15" xfId="22283"/>
    <cellStyle name="Normal 41 4 16" xfId="24035"/>
    <cellStyle name="Normal 41 4 17" xfId="25787"/>
    <cellStyle name="Normal 41 4 18" xfId="27539"/>
    <cellStyle name="Normal 41 4 19" xfId="29292"/>
    <cellStyle name="Normal 41 4 2" xfId="1791"/>
    <cellStyle name="Normal 41 4 2 10" xfId="15709"/>
    <cellStyle name="Normal 41 4 2 11" xfId="17462"/>
    <cellStyle name="Normal 41 4 2 12" xfId="19214"/>
    <cellStyle name="Normal 41 4 2 13" xfId="20967"/>
    <cellStyle name="Normal 41 4 2 14" xfId="22719"/>
    <cellStyle name="Normal 41 4 2 15" xfId="24471"/>
    <cellStyle name="Normal 41 4 2 16" xfId="26223"/>
    <cellStyle name="Normal 41 4 2 17" xfId="27975"/>
    <cellStyle name="Normal 41 4 2 18" xfId="29728"/>
    <cellStyle name="Normal 41 4 2 19" xfId="31480"/>
    <cellStyle name="Normal 41 4 2 2" xfId="1792"/>
    <cellStyle name="Normal 41 4 2 2 10" xfId="18338"/>
    <cellStyle name="Normal 41 4 2 2 11" xfId="20090"/>
    <cellStyle name="Normal 41 4 2 2 12" xfId="21843"/>
    <cellStyle name="Normal 41 4 2 2 13" xfId="23595"/>
    <cellStyle name="Normal 41 4 2 2 14" xfId="25347"/>
    <cellStyle name="Normal 41 4 2 2 15" xfId="27099"/>
    <cellStyle name="Normal 41 4 2 2 16" xfId="28851"/>
    <cellStyle name="Normal 41 4 2 2 17" xfId="30604"/>
    <cellStyle name="Normal 41 4 2 2 18" xfId="32356"/>
    <cellStyle name="Normal 41 4 2 2 19" xfId="34109"/>
    <cellStyle name="Normal 41 4 2 2 2" xfId="4320"/>
    <cellStyle name="Normal 41 4 2 2 20" xfId="36745"/>
    <cellStyle name="Normal 41 4 2 2 21" xfId="38485"/>
    <cellStyle name="Normal 41 4 2 2 22" xfId="40238"/>
    <cellStyle name="Normal 41 4 2 2 23" xfId="41993"/>
    <cellStyle name="Normal 41 4 2 2 24" xfId="43745"/>
    <cellStyle name="Normal 41 4 2 2 25" xfId="46363"/>
    <cellStyle name="Normal 41 4 2 2 26" xfId="48115"/>
    <cellStyle name="Normal 41 4 2 2 27" xfId="49867"/>
    <cellStyle name="Normal 41 4 2 2 28" xfId="51619"/>
    <cellStyle name="Normal 41 4 2 2 29" xfId="53371"/>
    <cellStyle name="Normal 41 4 2 2 3" xfId="6072"/>
    <cellStyle name="Normal 41 4 2 2 30" xfId="55123"/>
    <cellStyle name="Normal 41 4 2 2 31" xfId="56875"/>
    <cellStyle name="Normal 41 4 2 2 32" xfId="58628"/>
    <cellStyle name="Normal 41 4 2 2 33" xfId="60380"/>
    <cellStyle name="Normal 41 4 2 2 34" xfId="62132"/>
    <cellStyle name="Normal 41 4 2 2 4" xfId="7824"/>
    <cellStyle name="Normal 41 4 2 2 5" xfId="9576"/>
    <cellStyle name="Normal 41 4 2 2 6" xfId="11329"/>
    <cellStyle name="Normal 41 4 2 2 7" xfId="13081"/>
    <cellStyle name="Normal 41 4 2 2 8" xfId="14833"/>
    <cellStyle name="Normal 41 4 2 2 9" xfId="16585"/>
    <cellStyle name="Normal 41 4 2 20" xfId="33233"/>
    <cellStyle name="Normal 41 4 2 21" xfId="34826"/>
    <cellStyle name="Normal 41 4 2 22" xfId="35869"/>
    <cellStyle name="Normal 41 4 2 23" xfId="37447"/>
    <cellStyle name="Normal 41 4 2 24" xfId="39362"/>
    <cellStyle name="Normal 41 4 2 25" xfId="41117"/>
    <cellStyle name="Normal 41 4 2 26" xfId="42869"/>
    <cellStyle name="Normal 41 4 2 27" xfId="44447"/>
    <cellStyle name="Normal 41 4 2 28" xfId="45487"/>
    <cellStyle name="Normal 41 4 2 29" xfId="47239"/>
    <cellStyle name="Normal 41 4 2 3" xfId="3444"/>
    <cellStyle name="Normal 41 4 2 30" xfId="48991"/>
    <cellStyle name="Normal 41 4 2 31" xfId="50743"/>
    <cellStyle name="Normal 41 4 2 32" xfId="52495"/>
    <cellStyle name="Normal 41 4 2 33" xfId="54247"/>
    <cellStyle name="Normal 41 4 2 34" xfId="55999"/>
    <cellStyle name="Normal 41 4 2 35" xfId="57752"/>
    <cellStyle name="Normal 41 4 2 36" xfId="59504"/>
    <cellStyle name="Normal 41 4 2 37" xfId="61256"/>
    <cellStyle name="Normal 41 4 2 38" xfId="62834"/>
    <cellStyle name="Normal 41 4 2 39" xfId="63700"/>
    <cellStyle name="Normal 41 4 2 4" xfId="5196"/>
    <cellStyle name="Normal 41 4 2 5" xfId="6948"/>
    <cellStyle name="Normal 41 4 2 6" xfId="8700"/>
    <cellStyle name="Normal 41 4 2 7" xfId="10453"/>
    <cellStyle name="Normal 41 4 2 8" xfId="12205"/>
    <cellStyle name="Normal 41 4 2 9" xfId="13957"/>
    <cellStyle name="Normal 41 4 20" xfId="31044"/>
    <cellStyle name="Normal 41 4 21" xfId="32797"/>
    <cellStyle name="Normal 41 4 22" xfId="34825"/>
    <cellStyle name="Normal 41 4 23" xfId="35433"/>
    <cellStyle name="Normal 41 4 24" xfId="37446"/>
    <cellStyle name="Normal 41 4 25" xfId="38926"/>
    <cellStyle name="Normal 41 4 26" xfId="40681"/>
    <cellStyle name="Normal 41 4 27" xfId="42433"/>
    <cellStyle name="Normal 41 4 28" xfId="44446"/>
    <cellStyle name="Normal 41 4 29" xfId="45051"/>
    <cellStyle name="Normal 41 4 3" xfId="1793"/>
    <cellStyle name="Normal 41 4 3 10" xfId="17902"/>
    <cellStyle name="Normal 41 4 3 11" xfId="19654"/>
    <cellStyle name="Normal 41 4 3 12" xfId="21407"/>
    <cellStyle name="Normal 41 4 3 13" xfId="23159"/>
    <cellStyle name="Normal 41 4 3 14" xfId="24911"/>
    <cellStyle name="Normal 41 4 3 15" xfId="26663"/>
    <cellStyle name="Normal 41 4 3 16" xfId="28415"/>
    <cellStyle name="Normal 41 4 3 17" xfId="30168"/>
    <cellStyle name="Normal 41 4 3 18" xfId="31920"/>
    <cellStyle name="Normal 41 4 3 19" xfId="33673"/>
    <cellStyle name="Normal 41 4 3 2" xfId="3884"/>
    <cellStyle name="Normal 41 4 3 20" xfId="36309"/>
    <cellStyle name="Normal 41 4 3 21" xfId="38049"/>
    <cellStyle name="Normal 41 4 3 22" xfId="39802"/>
    <cellStyle name="Normal 41 4 3 23" xfId="41557"/>
    <cellStyle name="Normal 41 4 3 24" xfId="43309"/>
    <cellStyle name="Normal 41 4 3 25" xfId="45927"/>
    <cellStyle name="Normal 41 4 3 26" xfId="47679"/>
    <cellStyle name="Normal 41 4 3 27" xfId="49431"/>
    <cellStyle name="Normal 41 4 3 28" xfId="51183"/>
    <cellStyle name="Normal 41 4 3 29" xfId="52935"/>
    <cellStyle name="Normal 41 4 3 3" xfId="5636"/>
    <cellStyle name="Normal 41 4 3 30" xfId="54687"/>
    <cellStyle name="Normal 41 4 3 31" xfId="56439"/>
    <cellStyle name="Normal 41 4 3 32" xfId="58192"/>
    <cellStyle name="Normal 41 4 3 33" xfId="59944"/>
    <cellStyle name="Normal 41 4 3 34" xfId="61696"/>
    <cellStyle name="Normal 41 4 3 4" xfId="7388"/>
    <cellStyle name="Normal 41 4 3 5" xfId="9140"/>
    <cellStyle name="Normal 41 4 3 6" xfId="10893"/>
    <cellStyle name="Normal 41 4 3 7" xfId="12645"/>
    <cellStyle name="Normal 41 4 3 8" xfId="14397"/>
    <cellStyle name="Normal 41 4 3 9" xfId="16149"/>
    <cellStyle name="Normal 41 4 30" xfId="46803"/>
    <cellStyle name="Normal 41 4 31" xfId="48555"/>
    <cellStyle name="Normal 41 4 32" xfId="50307"/>
    <cellStyle name="Normal 41 4 33" xfId="52059"/>
    <cellStyle name="Normal 41 4 34" xfId="53811"/>
    <cellStyle name="Normal 41 4 35" xfId="55563"/>
    <cellStyle name="Normal 41 4 36" xfId="57316"/>
    <cellStyle name="Normal 41 4 37" xfId="59068"/>
    <cellStyle name="Normal 41 4 38" xfId="60820"/>
    <cellStyle name="Normal 41 4 39" xfId="62833"/>
    <cellStyle name="Normal 41 4 4" xfId="3008"/>
    <cellStyle name="Normal 41 4 40" xfId="63699"/>
    <cellStyle name="Normal 41 4 5" xfId="4760"/>
    <cellStyle name="Normal 41 4 6" xfId="6512"/>
    <cellStyle name="Normal 41 4 7" xfId="8264"/>
    <cellStyle name="Normal 41 4 8" xfId="10017"/>
    <cellStyle name="Normal 41 4 9" xfId="11769"/>
    <cellStyle name="Normal 41 40" xfId="58735"/>
    <cellStyle name="Normal 41 41" xfId="60487"/>
    <cellStyle name="Normal 41 42" xfId="62820"/>
    <cellStyle name="Normal 41 43" xfId="63686"/>
    <cellStyle name="Normal 41 5" xfId="1794"/>
    <cellStyle name="Normal 41 5 10" xfId="15376"/>
    <cellStyle name="Normal 41 5 11" xfId="17129"/>
    <cellStyle name="Normal 41 5 12" xfId="18881"/>
    <cellStyle name="Normal 41 5 13" xfId="20634"/>
    <cellStyle name="Normal 41 5 14" xfId="22386"/>
    <cellStyle name="Normal 41 5 15" xfId="24138"/>
    <cellStyle name="Normal 41 5 16" xfId="25890"/>
    <cellStyle name="Normal 41 5 17" xfId="27642"/>
    <cellStyle name="Normal 41 5 18" xfId="29395"/>
    <cellStyle name="Normal 41 5 19" xfId="31147"/>
    <cellStyle name="Normal 41 5 2" xfId="1795"/>
    <cellStyle name="Normal 41 5 2 10" xfId="18005"/>
    <cellStyle name="Normal 41 5 2 11" xfId="19757"/>
    <cellStyle name="Normal 41 5 2 12" xfId="21510"/>
    <cellStyle name="Normal 41 5 2 13" xfId="23262"/>
    <cellStyle name="Normal 41 5 2 14" xfId="25014"/>
    <cellStyle name="Normal 41 5 2 15" xfId="26766"/>
    <cellStyle name="Normal 41 5 2 16" xfId="28518"/>
    <cellStyle name="Normal 41 5 2 17" xfId="30271"/>
    <cellStyle name="Normal 41 5 2 18" xfId="32023"/>
    <cellStyle name="Normal 41 5 2 19" xfId="33776"/>
    <cellStyle name="Normal 41 5 2 2" xfId="3987"/>
    <cellStyle name="Normal 41 5 2 20" xfId="36412"/>
    <cellStyle name="Normal 41 5 2 21" xfId="38152"/>
    <cellStyle name="Normal 41 5 2 22" xfId="39905"/>
    <cellStyle name="Normal 41 5 2 23" xfId="41660"/>
    <cellStyle name="Normal 41 5 2 24" xfId="43412"/>
    <cellStyle name="Normal 41 5 2 25" xfId="46030"/>
    <cellStyle name="Normal 41 5 2 26" xfId="47782"/>
    <cellStyle name="Normal 41 5 2 27" xfId="49534"/>
    <cellStyle name="Normal 41 5 2 28" xfId="51286"/>
    <cellStyle name="Normal 41 5 2 29" xfId="53038"/>
    <cellStyle name="Normal 41 5 2 3" xfId="5739"/>
    <cellStyle name="Normal 41 5 2 30" xfId="54790"/>
    <cellStyle name="Normal 41 5 2 31" xfId="56542"/>
    <cellStyle name="Normal 41 5 2 32" xfId="58295"/>
    <cellStyle name="Normal 41 5 2 33" xfId="60047"/>
    <cellStyle name="Normal 41 5 2 34" xfId="61799"/>
    <cellStyle name="Normal 41 5 2 4" xfId="7491"/>
    <cellStyle name="Normal 41 5 2 5" xfId="9243"/>
    <cellStyle name="Normal 41 5 2 6" xfId="10996"/>
    <cellStyle name="Normal 41 5 2 7" xfId="12748"/>
    <cellStyle name="Normal 41 5 2 8" xfId="14500"/>
    <cellStyle name="Normal 41 5 2 9" xfId="16252"/>
    <cellStyle name="Normal 41 5 20" xfId="32900"/>
    <cellStyle name="Normal 41 5 21" xfId="34827"/>
    <cellStyle name="Normal 41 5 22" xfId="35536"/>
    <cellStyle name="Normal 41 5 23" xfId="37448"/>
    <cellStyle name="Normal 41 5 24" xfId="39029"/>
    <cellStyle name="Normal 41 5 25" xfId="40784"/>
    <cellStyle name="Normal 41 5 26" xfId="42536"/>
    <cellStyle name="Normal 41 5 27" xfId="44448"/>
    <cellStyle name="Normal 41 5 28" xfId="45154"/>
    <cellStyle name="Normal 41 5 29" xfId="46906"/>
    <cellStyle name="Normal 41 5 3" xfId="3111"/>
    <cellStyle name="Normal 41 5 30" xfId="48658"/>
    <cellStyle name="Normal 41 5 31" xfId="50410"/>
    <cellStyle name="Normal 41 5 32" xfId="52162"/>
    <cellStyle name="Normal 41 5 33" xfId="53914"/>
    <cellStyle name="Normal 41 5 34" xfId="55666"/>
    <cellStyle name="Normal 41 5 35" xfId="57419"/>
    <cellStyle name="Normal 41 5 36" xfId="59171"/>
    <cellStyle name="Normal 41 5 37" xfId="60923"/>
    <cellStyle name="Normal 41 5 38" xfId="62835"/>
    <cellStyle name="Normal 41 5 39" xfId="63701"/>
    <cellStyle name="Normal 41 5 4" xfId="4863"/>
    <cellStyle name="Normal 41 5 5" xfId="6615"/>
    <cellStyle name="Normal 41 5 6" xfId="8367"/>
    <cellStyle name="Normal 41 5 7" xfId="10120"/>
    <cellStyle name="Normal 41 5 8" xfId="11872"/>
    <cellStyle name="Normal 41 5 9" xfId="13624"/>
    <cellStyle name="Normal 41 6" xfId="1796"/>
    <cellStyle name="Normal 41 6 10" xfId="17569"/>
    <cellStyle name="Normal 41 6 11" xfId="19321"/>
    <cellStyle name="Normal 41 6 12" xfId="21074"/>
    <cellStyle name="Normal 41 6 13" xfId="22826"/>
    <cellStyle name="Normal 41 6 14" xfId="24578"/>
    <cellStyle name="Normal 41 6 15" xfId="26330"/>
    <cellStyle name="Normal 41 6 16" xfId="28082"/>
    <cellStyle name="Normal 41 6 17" xfId="29835"/>
    <cellStyle name="Normal 41 6 18" xfId="31587"/>
    <cellStyle name="Normal 41 6 19" xfId="33340"/>
    <cellStyle name="Normal 41 6 2" xfId="3551"/>
    <cellStyle name="Normal 41 6 20" xfId="35976"/>
    <cellStyle name="Normal 41 6 21" xfId="37713"/>
    <cellStyle name="Normal 41 6 22" xfId="39469"/>
    <cellStyle name="Normal 41 6 23" xfId="41224"/>
    <cellStyle name="Normal 41 6 24" xfId="42976"/>
    <cellStyle name="Normal 41 6 25" xfId="45594"/>
    <cellStyle name="Normal 41 6 26" xfId="47346"/>
    <cellStyle name="Normal 41 6 27" xfId="49098"/>
    <cellStyle name="Normal 41 6 28" xfId="50850"/>
    <cellStyle name="Normal 41 6 29" xfId="52602"/>
    <cellStyle name="Normal 41 6 3" xfId="5303"/>
    <cellStyle name="Normal 41 6 30" xfId="54354"/>
    <cellStyle name="Normal 41 6 31" xfId="56106"/>
    <cellStyle name="Normal 41 6 32" xfId="57859"/>
    <cellStyle name="Normal 41 6 33" xfId="59611"/>
    <cellStyle name="Normal 41 6 34" xfId="61363"/>
    <cellStyle name="Normal 41 6 4" xfId="7055"/>
    <cellStyle name="Normal 41 6 5" xfId="8807"/>
    <cellStyle name="Normal 41 6 6" xfId="10560"/>
    <cellStyle name="Normal 41 6 7" xfId="12312"/>
    <cellStyle name="Normal 41 6 8" xfId="14064"/>
    <cellStyle name="Normal 41 6 9" xfId="15816"/>
    <cellStyle name="Normal 41 7" xfId="2675"/>
    <cellStyle name="Normal 41 8" xfId="4427"/>
    <cellStyle name="Normal 41 9" xfId="6179"/>
    <cellStyle name="Normal 42" xfId="1797"/>
    <cellStyle name="Normal 42 10" xfId="6180"/>
    <cellStyle name="Normal 42 11" xfId="7932"/>
    <cellStyle name="Normal 42 12" xfId="9685"/>
    <cellStyle name="Normal 42 13" xfId="11437"/>
    <cellStyle name="Normal 42 14" xfId="13189"/>
    <cellStyle name="Normal 42 15" xfId="14941"/>
    <cellStyle name="Normal 42 16" xfId="16694"/>
    <cellStyle name="Normal 42 17" xfId="18446"/>
    <cellStyle name="Normal 42 18" xfId="20199"/>
    <cellStyle name="Normal 42 19" xfId="21951"/>
    <cellStyle name="Normal 42 2" xfId="1798"/>
    <cellStyle name="Normal 42 2 10" xfId="7933"/>
    <cellStyle name="Normal 42 2 11" xfId="9686"/>
    <cellStyle name="Normal 42 2 12" xfId="11438"/>
    <cellStyle name="Normal 42 2 13" xfId="13190"/>
    <cellStyle name="Normal 42 2 14" xfId="14942"/>
    <cellStyle name="Normal 42 2 15" xfId="16695"/>
    <cellStyle name="Normal 42 2 16" xfId="18447"/>
    <cellStyle name="Normal 42 2 17" xfId="20200"/>
    <cellStyle name="Normal 42 2 18" xfId="21952"/>
    <cellStyle name="Normal 42 2 19" xfId="23704"/>
    <cellStyle name="Normal 42 2 2" xfId="1799"/>
    <cellStyle name="Normal 42 2 2 10" xfId="9741"/>
    <cellStyle name="Normal 42 2 2 11" xfId="11493"/>
    <cellStyle name="Normal 42 2 2 12" xfId="13245"/>
    <cellStyle name="Normal 42 2 2 13" xfId="14997"/>
    <cellStyle name="Normal 42 2 2 14" xfId="16750"/>
    <cellStyle name="Normal 42 2 2 15" xfId="18502"/>
    <cellStyle name="Normal 42 2 2 16" xfId="20255"/>
    <cellStyle name="Normal 42 2 2 17" xfId="22007"/>
    <cellStyle name="Normal 42 2 2 18" xfId="23759"/>
    <cellStyle name="Normal 42 2 2 19" xfId="25511"/>
    <cellStyle name="Normal 42 2 2 2" xfId="1800"/>
    <cellStyle name="Normal 42 2 2 2 10" xfId="11601"/>
    <cellStyle name="Normal 42 2 2 2 11" xfId="13353"/>
    <cellStyle name="Normal 42 2 2 2 12" xfId="15105"/>
    <cellStyle name="Normal 42 2 2 2 13" xfId="16858"/>
    <cellStyle name="Normal 42 2 2 2 14" xfId="18610"/>
    <cellStyle name="Normal 42 2 2 2 15" xfId="20363"/>
    <cellStyle name="Normal 42 2 2 2 16" xfId="22115"/>
    <cellStyle name="Normal 42 2 2 2 17" xfId="23867"/>
    <cellStyle name="Normal 42 2 2 2 18" xfId="25619"/>
    <cellStyle name="Normal 42 2 2 2 19" xfId="27371"/>
    <cellStyle name="Normal 42 2 2 2 2" xfId="1801"/>
    <cellStyle name="Normal 42 2 2 2 2 10" xfId="13522"/>
    <cellStyle name="Normal 42 2 2 2 2 11" xfId="15274"/>
    <cellStyle name="Normal 42 2 2 2 2 12" xfId="17027"/>
    <cellStyle name="Normal 42 2 2 2 2 13" xfId="18779"/>
    <cellStyle name="Normal 42 2 2 2 2 14" xfId="20532"/>
    <cellStyle name="Normal 42 2 2 2 2 15" xfId="22284"/>
    <cellStyle name="Normal 42 2 2 2 2 16" xfId="24036"/>
    <cellStyle name="Normal 42 2 2 2 2 17" xfId="25788"/>
    <cellStyle name="Normal 42 2 2 2 2 18" xfId="27540"/>
    <cellStyle name="Normal 42 2 2 2 2 19" xfId="29293"/>
    <cellStyle name="Normal 42 2 2 2 2 2" xfId="1802"/>
    <cellStyle name="Normal 42 2 2 2 2 2 10" xfId="15710"/>
    <cellStyle name="Normal 42 2 2 2 2 2 11" xfId="17463"/>
    <cellStyle name="Normal 42 2 2 2 2 2 12" xfId="19215"/>
    <cellStyle name="Normal 42 2 2 2 2 2 13" xfId="20968"/>
    <cellStyle name="Normal 42 2 2 2 2 2 14" xfId="22720"/>
    <cellStyle name="Normal 42 2 2 2 2 2 15" xfId="24472"/>
    <cellStyle name="Normal 42 2 2 2 2 2 16" xfId="26224"/>
    <cellStyle name="Normal 42 2 2 2 2 2 17" xfId="27976"/>
    <cellStyle name="Normal 42 2 2 2 2 2 18" xfId="29729"/>
    <cellStyle name="Normal 42 2 2 2 2 2 19" xfId="31481"/>
    <cellStyle name="Normal 42 2 2 2 2 2 2" xfId="1803"/>
    <cellStyle name="Normal 42 2 2 2 2 2 2 10" xfId="18339"/>
    <cellStyle name="Normal 42 2 2 2 2 2 2 11" xfId="20091"/>
    <cellStyle name="Normal 42 2 2 2 2 2 2 12" xfId="21844"/>
    <cellStyle name="Normal 42 2 2 2 2 2 2 13" xfId="23596"/>
    <cellStyle name="Normal 42 2 2 2 2 2 2 14" xfId="25348"/>
    <cellStyle name="Normal 42 2 2 2 2 2 2 15" xfId="27100"/>
    <cellStyle name="Normal 42 2 2 2 2 2 2 16" xfId="28852"/>
    <cellStyle name="Normal 42 2 2 2 2 2 2 17" xfId="30605"/>
    <cellStyle name="Normal 42 2 2 2 2 2 2 18" xfId="32357"/>
    <cellStyle name="Normal 42 2 2 2 2 2 2 19" xfId="34110"/>
    <cellStyle name="Normal 42 2 2 2 2 2 2 2" xfId="4321"/>
    <cellStyle name="Normal 42 2 2 2 2 2 2 20" xfId="36746"/>
    <cellStyle name="Normal 42 2 2 2 2 2 2 21" xfId="38486"/>
    <cellStyle name="Normal 42 2 2 2 2 2 2 22" xfId="40239"/>
    <cellStyle name="Normal 42 2 2 2 2 2 2 23" xfId="41994"/>
    <cellStyle name="Normal 42 2 2 2 2 2 2 24" xfId="43746"/>
    <cellStyle name="Normal 42 2 2 2 2 2 2 25" xfId="46364"/>
    <cellStyle name="Normal 42 2 2 2 2 2 2 26" xfId="48116"/>
    <cellStyle name="Normal 42 2 2 2 2 2 2 27" xfId="49868"/>
    <cellStyle name="Normal 42 2 2 2 2 2 2 28" xfId="51620"/>
    <cellStyle name="Normal 42 2 2 2 2 2 2 29" xfId="53372"/>
    <cellStyle name="Normal 42 2 2 2 2 2 2 3" xfId="6073"/>
    <cellStyle name="Normal 42 2 2 2 2 2 2 30" xfId="55124"/>
    <cellStyle name="Normal 42 2 2 2 2 2 2 31" xfId="56876"/>
    <cellStyle name="Normal 42 2 2 2 2 2 2 32" xfId="58629"/>
    <cellStyle name="Normal 42 2 2 2 2 2 2 33" xfId="60381"/>
    <cellStyle name="Normal 42 2 2 2 2 2 2 34" xfId="62133"/>
    <cellStyle name="Normal 42 2 2 2 2 2 2 4" xfId="7825"/>
    <cellStyle name="Normal 42 2 2 2 2 2 2 5" xfId="9577"/>
    <cellStyle name="Normal 42 2 2 2 2 2 2 6" xfId="11330"/>
    <cellStyle name="Normal 42 2 2 2 2 2 2 7" xfId="13082"/>
    <cellStyle name="Normal 42 2 2 2 2 2 2 8" xfId="14834"/>
    <cellStyle name="Normal 42 2 2 2 2 2 2 9" xfId="16586"/>
    <cellStyle name="Normal 42 2 2 2 2 2 20" xfId="33234"/>
    <cellStyle name="Normal 42 2 2 2 2 2 21" xfId="34833"/>
    <cellStyle name="Normal 42 2 2 2 2 2 22" xfId="35870"/>
    <cellStyle name="Normal 42 2 2 2 2 2 23" xfId="37454"/>
    <cellStyle name="Normal 42 2 2 2 2 2 24" xfId="39363"/>
    <cellStyle name="Normal 42 2 2 2 2 2 25" xfId="41118"/>
    <cellStyle name="Normal 42 2 2 2 2 2 26" xfId="42870"/>
    <cellStyle name="Normal 42 2 2 2 2 2 27" xfId="44454"/>
    <cellStyle name="Normal 42 2 2 2 2 2 28" xfId="45488"/>
    <cellStyle name="Normal 42 2 2 2 2 2 29" xfId="47240"/>
    <cellStyle name="Normal 42 2 2 2 2 2 3" xfId="3445"/>
    <cellStyle name="Normal 42 2 2 2 2 2 30" xfId="48992"/>
    <cellStyle name="Normal 42 2 2 2 2 2 31" xfId="50744"/>
    <cellStyle name="Normal 42 2 2 2 2 2 32" xfId="52496"/>
    <cellStyle name="Normal 42 2 2 2 2 2 33" xfId="54248"/>
    <cellStyle name="Normal 42 2 2 2 2 2 34" xfId="56000"/>
    <cellStyle name="Normal 42 2 2 2 2 2 35" xfId="57753"/>
    <cellStyle name="Normal 42 2 2 2 2 2 36" xfId="59505"/>
    <cellStyle name="Normal 42 2 2 2 2 2 37" xfId="61257"/>
    <cellStyle name="Normal 42 2 2 2 2 2 38" xfId="62841"/>
    <cellStyle name="Normal 42 2 2 2 2 2 39" xfId="63707"/>
    <cellStyle name="Normal 42 2 2 2 2 2 4" xfId="5197"/>
    <cellStyle name="Normal 42 2 2 2 2 2 5" xfId="6949"/>
    <cellStyle name="Normal 42 2 2 2 2 2 6" xfId="8701"/>
    <cellStyle name="Normal 42 2 2 2 2 2 7" xfId="10454"/>
    <cellStyle name="Normal 42 2 2 2 2 2 8" xfId="12206"/>
    <cellStyle name="Normal 42 2 2 2 2 2 9" xfId="13958"/>
    <cellStyle name="Normal 42 2 2 2 2 20" xfId="31045"/>
    <cellStyle name="Normal 42 2 2 2 2 21" xfId="32798"/>
    <cellStyle name="Normal 42 2 2 2 2 22" xfId="34832"/>
    <cellStyle name="Normal 42 2 2 2 2 23" xfId="35434"/>
    <cellStyle name="Normal 42 2 2 2 2 24" xfId="37453"/>
    <cellStyle name="Normal 42 2 2 2 2 25" xfId="38927"/>
    <cellStyle name="Normal 42 2 2 2 2 26" xfId="40682"/>
    <cellStyle name="Normal 42 2 2 2 2 27" xfId="42434"/>
    <cellStyle name="Normal 42 2 2 2 2 28" xfId="44453"/>
    <cellStyle name="Normal 42 2 2 2 2 29" xfId="45052"/>
    <cellStyle name="Normal 42 2 2 2 2 3" xfId="1804"/>
    <cellStyle name="Normal 42 2 2 2 2 3 10" xfId="17903"/>
    <cellStyle name="Normal 42 2 2 2 2 3 11" xfId="19655"/>
    <cellStyle name="Normal 42 2 2 2 2 3 12" xfId="21408"/>
    <cellStyle name="Normal 42 2 2 2 2 3 13" xfId="23160"/>
    <cellStyle name="Normal 42 2 2 2 2 3 14" xfId="24912"/>
    <cellStyle name="Normal 42 2 2 2 2 3 15" xfId="26664"/>
    <cellStyle name="Normal 42 2 2 2 2 3 16" xfId="28416"/>
    <cellStyle name="Normal 42 2 2 2 2 3 17" xfId="30169"/>
    <cellStyle name="Normal 42 2 2 2 2 3 18" xfId="31921"/>
    <cellStyle name="Normal 42 2 2 2 2 3 19" xfId="33674"/>
    <cellStyle name="Normal 42 2 2 2 2 3 2" xfId="3885"/>
    <cellStyle name="Normal 42 2 2 2 2 3 20" xfId="36310"/>
    <cellStyle name="Normal 42 2 2 2 2 3 21" xfId="38050"/>
    <cellStyle name="Normal 42 2 2 2 2 3 22" xfId="39803"/>
    <cellStyle name="Normal 42 2 2 2 2 3 23" xfId="41558"/>
    <cellStyle name="Normal 42 2 2 2 2 3 24" xfId="43310"/>
    <cellStyle name="Normal 42 2 2 2 2 3 25" xfId="45928"/>
    <cellStyle name="Normal 42 2 2 2 2 3 26" xfId="47680"/>
    <cellStyle name="Normal 42 2 2 2 2 3 27" xfId="49432"/>
    <cellStyle name="Normal 42 2 2 2 2 3 28" xfId="51184"/>
    <cellStyle name="Normal 42 2 2 2 2 3 29" xfId="52936"/>
    <cellStyle name="Normal 42 2 2 2 2 3 3" xfId="5637"/>
    <cellStyle name="Normal 42 2 2 2 2 3 30" xfId="54688"/>
    <cellStyle name="Normal 42 2 2 2 2 3 31" xfId="56440"/>
    <cellStyle name="Normal 42 2 2 2 2 3 32" xfId="58193"/>
    <cellStyle name="Normal 42 2 2 2 2 3 33" xfId="59945"/>
    <cellStyle name="Normal 42 2 2 2 2 3 34" xfId="61697"/>
    <cellStyle name="Normal 42 2 2 2 2 3 4" xfId="7389"/>
    <cellStyle name="Normal 42 2 2 2 2 3 5" xfId="9141"/>
    <cellStyle name="Normal 42 2 2 2 2 3 6" xfId="10894"/>
    <cellStyle name="Normal 42 2 2 2 2 3 7" xfId="12646"/>
    <cellStyle name="Normal 42 2 2 2 2 3 8" xfId="14398"/>
    <cellStyle name="Normal 42 2 2 2 2 3 9" xfId="16150"/>
    <cellStyle name="Normal 42 2 2 2 2 30" xfId="46804"/>
    <cellStyle name="Normal 42 2 2 2 2 31" xfId="48556"/>
    <cellStyle name="Normal 42 2 2 2 2 32" xfId="50308"/>
    <cellStyle name="Normal 42 2 2 2 2 33" xfId="52060"/>
    <cellStyle name="Normal 42 2 2 2 2 34" xfId="53812"/>
    <cellStyle name="Normal 42 2 2 2 2 35" xfId="55564"/>
    <cellStyle name="Normal 42 2 2 2 2 36" xfId="57317"/>
    <cellStyle name="Normal 42 2 2 2 2 37" xfId="59069"/>
    <cellStyle name="Normal 42 2 2 2 2 38" xfId="60821"/>
    <cellStyle name="Normal 42 2 2 2 2 39" xfId="62840"/>
    <cellStyle name="Normal 42 2 2 2 2 4" xfId="3009"/>
    <cellStyle name="Normal 42 2 2 2 2 40" xfId="63706"/>
    <cellStyle name="Normal 42 2 2 2 2 5" xfId="4761"/>
    <cellStyle name="Normal 42 2 2 2 2 6" xfId="6513"/>
    <cellStyle name="Normal 42 2 2 2 2 7" xfId="8265"/>
    <cellStyle name="Normal 42 2 2 2 2 8" xfId="10018"/>
    <cellStyle name="Normal 42 2 2 2 2 9" xfId="11770"/>
    <cellStyle name="Normal 42 2 2 2 20" xfId="29124"/>
    <cellStyle name="Normal 42 2 2 2 21" xfId="30876"/>
    <cellStyle name="Normal 42 2 2 2 22" xfId="32629"/>
    <cellStyle name="Normal 42 2 2 2 23" xfId="34831"/>
    <cellStyle name="Normal 42 2 2 2 24" xfId="35265"/>
    <cellStyle name="Normal 42 2 2 2 25" xfId="37452"/>
    <cellStyle name="Normal 42 2 2 2 26" xfId="38758"/>
    <cellStyle name="Normal 42 2 2 2 27" xfId="40513"/>
    <cellStyle name="Normal 42 2 2 2 28" xfId="42265"/>
    <cellStyle name="Normal 42 2 2 2 29" xfId="44452"/>
    <cellStyle name="Normal 42 2 2 2 3" xfId="1805"/>
    <cellStyle name="Normal 42 2 2 2 3 10" xfId="15541"/>
    <cellStyle name="Normal 42 2 2 2 3 11" xfId="17294"/>
    <cellStyle name="Normal 42 2 2 2 3 12" xfId="19046"/>
    <cellStyle name="Normal 42 2 2 2 3 13" xfId="20799"/>
    <cellStyle name="Normal 42 2 2 2 3 14" xfId="22551"/>
    <cellStyle name="Normal 42 2 2 2 3 15" xfId="24303"/>
    <cellStyle name="Normal 42 2 2 2 3 16" xfId="26055"/>
    <cellStyle name="Normal 42 2 2 2 3 17" xfId="27807"/>
    <cellStyle name="Normal 42 2 2 2 3 18" xfId="29560"/>
    <cellStyle name="Normal 42 2 2 2 3 19" xfId="31312"/>
    <cellStyle name="Normal 42 2 2 2 3 2" xfId="1806"/>
    <cellStyle name="Normal 42 2 2 2 3 2 10" xfId="18170"/>
    <cellStyle name="Normal 42 2 2 2 3 2 11" xfId="19922"/>
    <cellStyle name="Normal 42 2 2 2 3 2 12" xfId="21675"/>
    <cellStyle name="Normal 42 2 2 2 3 2 13" xfId="23427"/>
    <cellStyle name="Normal 42 2 2 2 3 2 14" xfId="25179"/>
    <cellStyle name="Normal 42 2 2 2 3 2 15" xfId="26931"/>
    <cellStyle name="Normal 42 2 2 2 3 2 16" xfId="28683"/>
    <cellStyle name="Normal 42 2 2 2 3 2 17" xfId="30436"/>
    <cellStyle name="Normal 42 2 2 2 3 2 18" xfId="32188"/>
    <cellStyle name="Normal 42 2 2 2 3 2 19" xfId="33941"/>
    <cellStyle name="Normal 42 2 2 2 3 2 2" xfId="4152"/>
    <cellStyle name="Normal 42 2 2 2 3 2 20" xfId="36577"/>
    <cellStyle name="Normal 42 2 2 2 3 2 21" xfId="38317"/>
    <cellStyle name="Normal 42 2 2 2 3 2 22" xfId="40070"/>
    <cellStyle name="Normal 42 2 2 2 3 2 23" xfId="41825"/>
    <cellStyle name="Normal 42 2 2 2 3 2 24" xfId="43577"/>
    <cellStyle name="Normal 42 2 2 2 3 2 25" xfId="46195"/>
    <cellStyle name="Normal 42 2 2 2 3 2 26" xfId="47947"/>
    <cellStyle name="Normal 42 2 2 2 3 2 27" xfId="49699"/>
    <cellStyle name="Normal 42 2 2 2 3 2 28" xfId="51451"/>
    <cellStyle name="Normal 42 2 2 2 3 2 29" xfId="53203"/>
    <cellStyle name="Normal 42 2 2 2 3 2 3" xfId="5904"/>
    <cellStyle name="Normal 42 2 2 2 3 2 30" xfId="54955"/>
    <cellStyle name="Normal 42 2 2 2 3 2 31" xfId="56707"/>
    <cellStyle name="Normal 42 2 2 2 3 2 32" xfId="58460"/>
    <cellStyle name="Normal 42 2 2 2 3 2 33" xfId="60212"/>
    <cellStyle name="Normal 42 2 2 2 3 2 34" xfId="61964"/>
    <cellStyle name="Normal 42 2 2 2 3 2 4" xfId="7656"/>
    <cellStyle name="Normal 42 2 2 2 3 2 5" xfId="9408"/>
    <cellStyle name="Normal 42 2 2 2 3 2 6" xfId="11161"/>
    <cellStyle name="Normal 42 2 2 2 3 2 7" xfId="12913"/>
    <cellStyle name="Normal 42 2 2 2 3 2 8" xfId="14665"/>
    <cellStyle name="Normal 42 2 2 2 3 2 9" xfId="16417"/>
    <cellStyle name="Normal 42 2 2 2 3 20" xfId="33065"/>
    <cellStyle name="Normal 42 2 2 2 3 21" xfId="34834"/>
    <cellStyle name="Normal 42 2 2 2 3 22" xfId="35701"/>
    <cellStyle name="Normal 42 2 2 2 3 23" xfId="37455"/>
    <cellStyle name="Normal 42 2 2 2 3 24" xfId="39194"/>
    <cellStyle name="Normal 42 2 2 2 3 25" xfId="40949"/>
    <cellStyle name="Normal 42 2 2 2 3 26" xfId="42701"/>
    <cellStyle name="Normal 42 2 2 2 3 27" xfId="44455"/>
    <cellStyle name="Normal 42 2 2 2 3 28" xfId="45319"/>
    <cellStyle name="Normal 42 2 2 2 3 29" xfId="47071"/>
    <cellStyle name="Normal 42 2 2 2 3 3" xfId="3276"/>
    <cellStyle name="Normal 42 2 2 2 3 30" xfId="48823"/>
    <cellStyle name="Normal 42 2 2 2 3 31" xfId="50575"/>
    <cellStyle name="Normal 42 2 2 2 3 32" xfId="52327"/>
    <cellStyle name="Normal 42 2 2 2 3 33" xfId="54079"/>
    <cellStyle name="Normal 42 2 2 2 3 34" xfId="55831"/>
    <cellStyle name="Normal 42 2 2 2 3 35" xfId="57584"/>
    <cellStyle name="Normal 42 2 2 2 3 36" xfId="59336"/>
    <cellStyle name="Normal 42 2 2 2 3 37" xfId="61088"/>
    <cellStyle name="Normal 42 2 2 2 3 38" xfId="62842"/>
    <cellStyle name="Normal 42 2 2 2 3 39" xfId="63708"/>
    <cellStyle name="Normal 42 2 2 2 3 4" xfId="5028"/>
    <cellStyle name="Normal 42 2 2 2 3 5" xfId="6780"/>
    <cellStyle name="Normal 42 2 2 2 3 6" xfId="8532"/>
    <cellStyle name="Normal 42 2 2 2 3 7" xfId="10285"/>
    <cellStyle name="Normal 42 2 2 2 3 8" xfId="12037"/>
    <cellStyle name="Normal 42 2 2 2 3 9" xfId="13789"/>
    <cellStyle name="Normal 42 2 2 2 30" xfId="44883"/>
    <cellStyle name="Normal 42 2 2 2 31" xfId="46635"/>
    <cellStyle name="Normal 42 2 2 2 32" xfId="48387"/>
    <cellStyle name="Normal 42 2 2 2 33" xfId="50139"/>
    <cellStyle name="Normal 42 2 2 2 34" xfId="51891"/>
    <cellStyle name="Normal 42 2 2 2 35" xfId="53643"/>
    <cellStyle name="Normal 42 2 2 2 36" xfId="55395"/>
    <cellStyle name="Normal 42 2 2 2 37" xfId="57148"/>
    <cellStyle name="Normal 42 2 2 2 38" xfId="58900"/>
    <cellStyle name="Normal 42 2 2 2 39" xfId="60652"/>
    <cellStyle name="Normal 42 2 2 2 4" xfId="1807"/>
    <cellStyle name="Normal 42 2 2 2 4 10" xfId="17734"/>
    <cellStyle name="Normal 42 2 2 2 4 11" xfId="19486"/>
    <cellStyle name="Normal 42 2 2 2 4 12" xfId="21239"/>
    <cellStyle name="Normal 42 2 2 2 4 13" xfId="22991"/>
    <cellStyle name="Normal 42 2 2 2 4 14" xfId="24743"/>
    <cellStyle name="Normal 42 2 2 2 4 15" xfId="26495"/>
    <cellStyle name="Normal 42 2 2 2 4 16" xfId="28247"/>
    <cellStyle name="Normal 42 2 2 2 4 17" xfId="30000"/>
    <cellStyle name="Normal 42 2 2 2 4 18" xfId="31752"/>
    <cellStyle name="Normal 42 2 2 2 4 19" xfId="33505"/>
    <cellStyle name="Normal 42 2 2 2 4 2" xfId="3716"/>
    <cellStyle name="Normal 42 2 2 2 4 20" xfId="36141"/>
    <cellStyle name="Normal 42 2 2 2 4 21" xfId="37881"/>
    <cellStyle name="Normal 42 2 2 2 4 22" xfId="39634"/>
    <cellStyle name="Normal 42 2 2 2 4 23" xfId="41389"/>
    <cellStyle name="Normal 42 2 2 2 4 24" xfId="43141"/>
    <cellStyle name="Normal 42 2 2 2 4 25" xfId="45759"/>
    <cellStyle name="Normal 42 2 2 2 4 26" xfId="47511"/>
    <cellStyle name="Normal 42 2 2 2 4 27" xfId="49263"/>
    <cellStyle name="Normal 42 2 2 2 4 28" xfId="51015"/>
    <cellStyle name="Normal 42 2 2 2 4 29" xfId="52767"/>
    <cellStyle name="Normal 42 2 2 2 4 3" xfId="5468"/>
    <cellStyle name="Normal 42 2 2 2 4 30" xfId="54519"/>
    <cellStyle name="Normal 42 2 2 2 4 31" xfId="56271"/>
    <cellStyle name="Normal 42 2 2 2 4 32" xfId="58024"/>
    <cellStyle name="Normal 42 2 2 2 4 33" xfId="59776"/>
    <cellStyle name="Normal 42 2 2 2 4 34" xfId="61528"/>
    <cellStyle name="Normal 42 2 2 2 4 4" xfId="7220"/>
    <cellStyle name="Normal 42 2 2 2 4 5" xfId="8972"/>
    <cellStyle name="Normal 42 2 2 2 4 6" xfId="10725"/>
    <cellStyle name="Normal 42 2 2 2 4 7" xfId="12477"/>
    <cellStyle name="Normal 42 2 2 2 4 8" xfId="14229"/>
    <cellStyle name="Normal 42 2 2 2 4 9" xfId="15981"/>
    <cellStyle name="Normal 42 2 2 2 40" xfId="62839"/>
    <cellStyle name="Normal 42 2 2 2 41" xfId="63705"/>
    <cellStyle name="Normal 42 2 2 2 5" xfId="2840"/>
    <cellStyle name="Normal 42 2 2 2 6" xfId="4592"/>
    <cellStyle name="Normal 42 2 2 2 7" xfId="6344"/>
    <cellStyle name="Normal 42 2 2 2 8" xfId="8096"/>
    <cellStyle name="Normal 42 2 2 2 9" xfId="9849"/>
    <cellStyle name="Normal 42 2 2 20" xfId="27263"/>
    <cellStyle name="Normal 42 2 2 21" xfId="29016"/>
    <cellStyle name="Normal 42 2 2 22" xfId="30768"/>
    <cellStyle name="Normal 42 2 2 23" xfId="32521"/>
    <cellStyle name="Normal 42 2 2 24" xfId="34830"/>
    <cellStyle name="Normal 42 2 2 25" xfId="35157"/>
    <cellStyle name="Normal 42 2 2 26" xfId="37451"/>
    <cellStyle name="Normal 42 2 2 27" xfId="38650"/>
    <cellStyle name="Normal 42 2 2 28" xfId="40405"/>
    <cellStyle name="Normal 42 2 2 29" xfId="42157"/>
    <cellStyle name="Normal 42 2 2 3" xfId="1808"/>
    <cellStyle name="Normal 42 2 2 3 10" xfId="13523"/>
    <cellStyle name="Normal 42 2 2 3 11" xfId="15275"/>
    <cellStyle name="Normal 42 2 2 3 12" xfId="17028"/>
    <cellStyle name="Normal 42 2 2 3 13" xfId="18780"/>
    <cellStyle name="Normal 42 2 2 3 14" xfId="20533"/>
    <cellStyle name="Normal 42 2 2 3 15" xfId="22285"/>
    <cellStyle name="Normal 42 2 2 3 16" xfId="24037"/>
    <cellStyle name="Normal 42 2 2 3 17" xfId="25789"/>
    <cellStyle name="Normal 42 2 2 3 18" xfId="27541"/>
    <cellStyle name="Normal 42 2 2 3 19" xfId="29294"/>
    <cellStyle name="Normal 42 2 2 3 2" xfId="1809"/>
    <cellStyle name="Normal 42 2 2 3 2 10" xfId="15711"/>
    <cellStyle name="Normal 42 2 2 3 2 11" xfId="17464"/>
    <cellStyle name="Normal 42 2 2 3 2 12" xfId="19216"/>
    <cellStyle name="Normal 42 2 2 3 2 13" xfId="20969"/>
    <cellStyle name="Normal 42 2 2 3 2 14" xfId="22721"/>
    <cellStyle name="Normal 42 2 2 3 2 15" xfId="24473"/>
    <cellStyle name="Normal 42 2 2 3 2 16" xfId="26225"/>
    <cellStyle name="Normal 42 2 2 3 2 17" xfId="27977"/>
    <cellStyle name="Normal 42 2 2 3 2 18" xfId="29730"/>
    <cellStyle name="Normal 42 2 2 3 2 19" xfId="31482"/>
    <cellStyle name="Normal 42 2 2 3 2 2" xfId="1810"/>
    <cellStyle name="Normal 42 2 2 3 2 2 10" xfId="18340"/>
    <cellStyle name="Normal 42 2 2 3 2 2 11" xfId="20092"/>
    <cellStyle name="Normal 42 2 2 3 2 2 12" xfId="21845"/>
    <cellStyle name="Normal 42 2 2 3 2 2 13" xfId="23597"/>
    <cellStyle name="Normal 42 2 2 3 2 2 14" xfId="25349"/>
    <cellStyle name="Normal 42 2 2 3 2 2 15" xfId="27101"/>
    <cellStyle name="Normal 42 2 2 3 2 2 16" xfId="28853"/>
    <cellStyle name="Normal 42 2 2 3 2 2 17" xfId="30606"/>
    <cellStyle name="Normal 42 2 2 3 2 2 18" xfId="32358"/>
    <cellStyle name="Normal 42 2 2 3 2 2 19" xfId="34111"/>
    <cellStyle name="Normal 42 2 2 3 2 2 2" xfId="4322"/>
    <cellStyle name="Normal 42 2 2 3 2 2 20" xfId="36747"/>
    <cellStyle name="Normal 42 2 2 3 2 2 21" xfId="38487"/>
    <cellStyle name="Normal 42 2 2 3 2 2 22" xfId="40240"/>
    <cellStyle name="Normal 42 2 2 3 2 2 23" xfId="41995"/>
    <cellStyle name="Normal 42 2 2 3 2 2 24" xfId="43747"/>
    <cellStyle name="Normal 42 2 2 3 2 2 25" xfId="46365"/>
    <cellStyle name="Normal 42 2 2 3 2 2 26" xfId="48117"/>
    <cellStyle name="Normal 42 2 2 3 2 2 27" xfId="49869"/>
    <cellStyle name="Normal 42 2 2 3 2 2 28" xfId="51621"/>
    <cellStyle name="Normal 42 2 2 3 2 2 29" xfId="53373"/>
    <cellStyle name="Normal 42 2 2 3 2 2 3" xfId="6074"/>
    <cellStyle name="Normal 42 2 2 3 2 2 30" xfId="55125"/>
    <cellStyle name="Normal 42 2 2 3 2 2 31" xfId="56877"/>
    <cellStyle name="Normal 42 2 2 3 2 2 32" xfId="58630"/>
    <cellStyle name="Normal 42 2 2 3 2 2 33" xfId="60382"/>
    <cellStyle name="Normal 42 2 2 3 2 2 34" xfId="62134"/>
    <cellStyle name="Normal 42 2 2 3 2 2 4" xfId="7826"/>
    <cellStyle name="Normal 42 2 2 3 2 2 5" xfId="9578"/>
    <cellStyle name="Normal 42 2 2 3 2 2 6" xfId="11331"/>
    <cellStyle name="Normal 42 2 2 3 2 2 7" xfId="13083"/>
    <cellStyle name="Normal 42 2 2 3 2 2 8" xfId="14835"/>
    <cellStyle name="Normal 42 2 2 3 2 2 9" xfId="16587"/>
    <cellStyle name="Normal 42 2 2 3 2 20" xfId="33235"/>
    <cellStyle name="Normal 42 2 2 3 2 21" xfId="34836"/>
    <cellStyle name="Normal 42 2 2 3 2 22" xfId="35871"/>
    <cellStyle name="Normal 42 2 2 3 2 23" xfId="37457"/>
    <cellStyle name="Normal 42 2 2 3 2 24" xfId="39364"/>
    <cellStyle name="Normal 42 2 2 3 2 25" xfId="41119"/>
    <cellStyle name="Normal 42 2 2 3 2 26" xfId="42871"/>
    <cellStyle name="Normal 42 2 2 3 2 27" xfId="44457"/>
    <cellStyle name="Normal 42 2 2 3 2 28" xfId="45489"/>
    <cellStyle name="Normal 42 2 2 3 2 29" xfId="47241"/>
    <cellStyle name="Normal 42 2 2 3 2 3" xfId="3446"/>
    <cellStyle name="Normal 42 2 2 3 2 30" xfId="48993"/>
    <cellStyle name="Normal 42 2 2 3 2 31" xfId="50745"/>
    <cellStyle name="Normal 42 2 2 3 2 32" xfId="52497"/>
    <cellStyle name="Normal 42 2 2 3 2 33" xfId="54249"/>
    <cellStyle name="Normal 42 2 2 3 2 34" xfId="56001"/>
    <cellStyle name="Normal 42 2 2 3 2 35" xfId="57754"/>
    <cellStyle name="Normal 42 2 2 3 2 36" xfId="59506"/>
    <cellStyle name="Normal 42 2 2 3 2 37" xfId="61258"/>
    <cellStyle name="Normal 42 2 2 3 2 38" xfId="62844"/>
    <cellStyle name="Normal 42 2 2 3 2 39" xfId="63710"/>
    <cellStyle name="Normal 42 2 2 3 2 4" xfId="5198"/>
    <cellStyle name="Normal 42 2 2 3 2 5" xfId="6950"/>
    <cellStyle name="Normal 42 2 2 3 2 6" xfId="8702"/>
    <cellStyle name="Normal 42 2 2 3 2 7" xfId="10455"/>
    <cellStyle name="Normal 42 2 2 3 2 8" xfId="12207"/>
    <cellStyle name="Normal 42 2 2 3 2 9" xfId="13959"/>
    <cellStyle name="Normal 42 2 2 3 20" xfId="31046"/>
    <cellStyle name="Normal 42 2 2 3 21" xfId="32799"/>
    <cellStyle name="Normal 42 2 2 3 22" xfId="34835"/>
    <cellStyle name="Normal 42 2 2 3 23" xfId="35435"/>
    <cellStyle name="Normal 42 2 2 3 24" xfId="37456"/>
    <cellStyle name="Normal 42 2 2 3 25" xfId="38928"/>
    <cellStyle name="Normal 42 2 2 3 26" xfId="40683"/>
    <cellStyle name="Normal 42 2 2 3 27" xfId="42435"/>
    <cellStyle name="Normal 42 2 2 3 28" xfId="44456"/>
    <cellStyle name="Normal 42 2 2 3 29" xfId="45053"/>
    <cellStyle name="Normal 42 2 2 3 3" xfId="1811"/>
    <cellStyle name="Normal 42 2 2 3 3 10" xfId="17904"/>
    <cellStyle name="Normal 42 2 2 3 3 11" xfId="19656"/>
    <cellStyle name="Normal 42 2 2 3 3 12" xfId="21409"/>
    <cellStyle name="Normal 42 2 2 3 3 13" xfId="23161"/>
    <cellStyle name="Normal 42 2 2 3 3 14" xfId="24913"/>
    <cellStyle name="Normal 42 2 2 3 3 15" xfId="26665"/>
    <cellStyle name="Normal 42 2 2 3 3 16" xfId="28417"/>
    <cellStyle name="Normal 42 2 2 3 3 17" xfId="30170"/>
    <cellStyle name="Normal 42 2 2 3 3 18" xfId="31922"/>
    <cellStyle name="Normal 42 2 2 3 3 19" xfId="33675"/>
    <cellStyle name="Normal 42 2 2 3 3 2" xfId="3886"/>
    <cellStyle name="Normal 42 2 2 3 3 20" xfId="36311"/>
    <cellStyle name="Normal 42 2 2 3 3 21" xfId="38051"/>
    <cellStyle name="Normal 42 2 2 3 3 22" xfId="39804"/>
    <cellStyle name="Normal 42 2 2 3 3 23" xfId="41559"/>
    <cellStyle name="Normal 42 2 2 3 3 24" xfId="43311"/>
    <cellStyle name="Normal 42 2 2 3 3 25" xfId="45929"/>
    <cellStyle name="Normal 42 2 2 3 3 26" xfId="47681"/>
    <cellStyle name="Normal 42 2 2 3 3 27" xfId="49433"/>
    <cellStyle name="Normal 42 2 2 3 3 28" xfId="51185"/>
    <cellStyle name="Normal 42 2 2 3 3 29" xfId="52937"/>
    <cellStyle name="Normal 42 2 2 3 3 3" xfId="5638"/>
    <cellStyle name="Normal 42 2 2 3 3 30" xfId="54689"/>
    <cellStyle name="Normal 42 2 2 3 3 31" xfId="56441"/>
    <cellStyle name="Normal 42 2 2 3 3 32" xfId="58194"/>
    <cellStyle name="Normal 42 2 2 3 3 33" xfId="59946"/>
    <cellStyle name="Normal 42 2 2 3 3 34" xfId="61698"/>
    <cellStyle name="Normal 42 2 2 3 3 4" xfId="7390"/>
    <cellStyle name="Normal 42 2 2 3 3 5" xfId="9142"/>
    <cellStyle name="Normal 42 2 2 3 3 6" xfId="10895"/>
    <cellStyle name="Normal 42 2 2 3 3 7" xfId="12647"/>
    <cellStyle name="Normal 42 2 2 3 3 8" xfId="14399"/>
    <cellStyle name="Normal 42 2 2 3 3 9" xfId="16151"/>
    <cellStyle name="Normal 42 2 2 3 30" xfId="46805"/>
    <cellStyle name="Normal 42 2 2 3 31" xfId="48557"/>
    <cellStyle name="Normal 42 2 2 3 32" xfId="50309"/>
    <cellStyle name="Normal 42 2 2 3 33" xfId="52061"/>
    <cellStyle name="Normal 42 2 2 3 34" xfId="53813"/>
    <cellStyle name="Normal 42 2 2 3 35" xfId="55565"/>
    <cellStyle name="Normal 42 2 2 3 36" xfId="57318"/>
    <cellStyle name="Normal 42 2 2 3 37" xfId="59070"/>
    <cellStyle name="Normal 42 2 2 3 38" xfId="60822"/>
    <cellStyle name="Normal 42 2 2 3 39" xfId="62843"/>
    <cellStyle name="Normal 42 2 2 3 4" xfId="3010"/>
    <cellStyle name="Normal 42 2 2 3 40" xfId="63709"/>
    <cellStyle name="Normal 42 2 2 3 5" xfId="4762"/>
    <cellStyle name="Normal 42 2 2 3 6" xfId="6514"/>
    <cellStyle name="Normal 42 2 2 3 7" xfId="8266"/>
    <cellStyle name="Normal 42 2 2 3 8" xfId="10019"/>
    <cellStyle name="Normal 42 2 2 3 9" xfId="11771"/>
    <cellStyle name="Normal 42 2 2 30" xfId="44451"/>
    <cellStyle name="Normal 42 2 2 31" xfId="44775"/>
    <cellStyle name="Normal 42 2 2 32" xfId="46527"/>
    <cellStyle name="Normal 42 2 2 33" xfId="48279"/>
    <cellStyle name="Normal 42 2 2 34" xfId="50031"/>
    <cellStyle name="Normal 42 2 2 35" xfId="51783"/>
    <cellStyle name="Normal 42 2 2 36" xfId="53535"/>
    <cellStyle name="Normal 42 2 2 37" xfId="55287"/>
    <cellStyle name="Normal 42 2 2 38" xfId="57040"/>
    <cellStyle name="Normal 42 2 2 39" xfId="58792"/>
    <cellStyle name="Normal 42 2 2 4" xfId="1812"/>
    <cellStyle name="Normal 42 2 2 4 10" xfId="15433"/>
    <cellStyle name="Normal 42 2 2 4 11" xfId="17186"/>
    <cellStyle name="Normal 42 2 2 4 12" xfId="18938"/>
    <cellStyle name="Normal 42 2 2 4 13" xfId="20691"/>
    <cellStyle name="Normal 42 2 2 4 14" xfId="22443"/>
    <cellStyle name="Normal 42 2 2 4 15" xfId="24195"/>
    <cellStyle name="Normal 42 2 2 4 16" xfId="25947"/>
    <cellStyle name="Normal 42 2 2 4 17" xfId="27699"/>
    <cellStyle name="Normal 42 2 2 4 18" xfId="29452"/>
    <cellStyle name="Normal 42 2 2 4 19" xfId="31204"/>
    <cellStyle name="Normal 42 2 2 4 2" xfId="1813"/>
    <cellStyle name="Normal 42 2 2 4 2 10" xfId="18062"/>
    <cellStyle name="Normal 42 2 2 4 2 11" xfId="19814"/>
    <cellStyle name="Normal 42 2 2 4 2 12" xfId="21567"/>
    <cellStyle name="Normal 42 2 2 4 2 13" xfId="23319"/>
    <cellStyle name="Normal 42 2 2 4 2 14" xfId="25071"/>
    <cellStyle name="Normal 42 2 2 4 2 15" xfId="26823"/>
    <cellStyle name="Normal 42 2 2 4 2 16" xfId="28575"/>
    <cellStyle name="Normal 42 2 2 4 2 17" xfId="30328"/>
    <cellStyle name="Normal 42 2 2 4 2 18" xfId="32080"/>
    <cellStyle name="Normal 42 2 2 4 2 19" xfId="33833"/>
    <cellStyle name="Normal 42 2 2 4 2 2" xfId="4044"/>
    <cellStyle name="Normal 42 2 2 4 2 20" xfId="36469"/>
    <cellStyle name="Normal 42 2 2 4 2 21" xfId="38209"/>
    <cellStyle name="Normal 42 2 2 4 2 22" xfId="39962"/>
    <cellStyle name="Normal 42 2 2 4 2 23" xfId="41717"/>
    <cellStyle name="Normal 42 2 2 4 2 24" xfId="43469"/>
    <cellStyle name="Normal 42 2 2 4 2 25" xfId="46087"/>
    <cellStyle name="Normal 42 2 2 4 2 26" xfId="47839"/>
    <cellStyle name="Normal 42 2 2 4 2 27" xfId="49591"/>
    <cellStyle name="Normal 42 2 2 4 2 28" xfId="51343"/>
    <cellStyle name="Normal 42 2 2 4 2 29" xfId="53095"/>
    <cellStyle name="Normal 42 2 2 4 2 3" xfId="5796"/>
    <cellStyle name="Normal 42 2 2 4 2 30" xfId="54847"/>
    <cellStyle name="Normal 42 2 2 4 2 31" xfId="56599"/>
    <cellStyle name="Normal 42 2 2 4 2 32" xfId="58352"/>
    <cellStyle name="Normal 42 2 2 4 2 33" xfId="60104"/>
    <cellStyle name="Normal 42 2 2 4 2 34" xfId="61856"/>
    <cellStyle name="Normal 42 2 2 4 2 4" xfId="7548"/>
    <cellStyle name="Normal 42 2 2 4 2 5" xfId="9300"/>
    <cellStyle name="Normal 42 2 2 4 2 6" xfId="11053"/>
    <cellStyle name="Normal 42 2 2 4 2 7" xfId="12805"/>
    <cellStyle name="Normal 42 2 2 4 2 8" xfId="14557"/>
    <cellStyle name="Normal 42 2 2 4 2 9" xfId="16309"/>
    <cellStyle name="Normal 42 2 2 4 20" xfId="32957"/>
    <cellStyle name="Normal 42 2 2 4 21" xfId="34837"/>
    <cellStyle name="Normal 42 2 2 4 22" xfId="35593"/>
    <cellStyle name="Normal 42 2 2 4 23" xfId="37458"/>
    <cellStyle name="Normal 42 2 2 4 24" xfId="39086"/>
    <cellStyle name="Normal 42 2 2 4 25" xfId="40841"/>
    <cellStyle name="Normal 42 2 2 4 26" xfId="42593"/>
    <cellStyle name="Normal 42 2 2 4 27" xfId="44458"/>
    <cellStyle name="Normal 42 2 2 4 28" xfId="45211"/>
    <cellStyle name="Normal 42 2 2 4 29" xfId="46963"/>
    <cellStyle name="Normal 42 2 2 4 3" xfId="3168"/>
    <cellStyle name="Normal 42 2 2 4 30" xfId="48715"/>
    <cellStyle name="Normal 42 2 2 4 31" xfId="50467"/>
    <cellStyle name="Normal 42 2 2 4 32" xfId="52219"/>
    <cellStyle name="Normal 42 2 2 4 33" xfId="53971"/>
    <cellStyle name="Normal 42 2 2 4 34" xfId="55723"/>
    <cellStyle name="Normal 42 2 2 4 35" xfId="57476"/>
    <cellStyle name="Normal 42 2 2 4 36" xfId="59228"/>
    <cellStyle name="Normal 42 2 2 4 37" xfId="60980"/>
    <cellStyle name="Normal 42 2 2 4 38" xfId="62845"/>
    <cellStyle name="Normal 42 2 2 4 39" xfId="63711"/>
    <cellStyle name="Normal 42 2 2 4 4" xfId="4920"/>
    <cellStyle name="Normal 42 2 2 4 5" xfId="6672"/>
    <cellStyle name="Normal 42 2 2 4 6" xfId="8424"/>
    <cellStyle name="Normal 42 2 2 4 7" xfId="10177"/>
    <cellStyle name="Normal 42 2 2 4 8" xfId="11929"/>
    <cellStyle name="Normal 42 2 2 4 9" xfId="13681"/>
    <cellStyle name="Normal 42 2 2 40" xfId="60544"/>
    <cellStyle name="Normal 42 2 2 41" xfId="62838"/>
    <cellStyle name="Normal 42 2 2 42" xfId="63704"/>
    <cellStyle name="Normal 42 2 2 5" xfId="1814"/>
    <cellStyle name="Normal 42 2 2 5 10" xfId="17626"/>
    <cellStyle name="Normal 42 2 2 5 11" xfId="19378"/>
    <cellStyle name="Normal 42 2 2 5 12" xfId="21131"/>
    <cellStyle name="Normal 42 2 2 5 13" xfId="22883"/>
    <cellStyle name="Normal 42 2 2 5 14" xfId="24635"/>
    <cellStyle name="Normal 42 2 2 5 15" xfId="26387"/>
    <cellStyle name="Normal 42 2 2 5 16" xfId="28139"/>
    <cellStyle name="Normal 42 2 2 5 17" xfId="29892"/>
    <cellStyle name="Normal 42 2 2 5 18" xfId="31644"/>
    <cellStyle name="Normal 42 2 2 5 19" xfId="33397"/>
    <cellStyle name="Normal 42 2 2 5 2" xfId="3608"/>
    <cellStyle name="Normal 42 2 2 5 20" xfId="36033"/>
    <cellStyle name="Normal 42 2 2 5 21" xfId="37773"/>
    <cellStyle name="Normal 42 2 2 5 22" xfId="39526"/>
    <cellStyle name="Normal 42 2 2 5 23" xfId="41281"/>
    <cellStyle name="Normal 42 2 2 5 24" xfId="43033"/>
    <cellStyle name="Normal 42 2 2 5 25" xfId="45651"/>
    <cellStyle name="Normal 42 2 2 5 26" xfId="47403"/>
    <cellStyle name="Normal 42 2 2 5 27" xfId="49155"/>
    <cellStyle name="Normal 42 2 2 5 28" xfId="50907"/>
    <cellStyle name="Normal 42 2 2 5 29" xfId="52659"/>
    <cellStyle name="Normal 42 2 2 5 3" xfId="5360"/>
    <cellStyle name="Normal 42 2 2 5 30" xfId="54411"/>
    <cellStyle name="Normal 42 2 2 5 31" xfId="56163"/>
    <cellStyle name="Normal 42 2 2 5 32" xfId="57916"/>
    <cellStyle name="Normal 42 2 2 5 33" xfId="59668"/>
    <cellStyle name="Normal 42 2 2 5 34" xfId="61420"/>
    <cellStyle name="Normal 42 2 2 5 4" xfId="7112"/>
    <cellStyle name="Normal 42 2 2 5 5" xfId="8864"/>
    <cellStyle name="Normal 42 2 2 5 6" xfId="10617"/>
    <cellStyle name="Normal 42 2 2 5 7" xfId="12369"/>
    <cellStyle name="Normal 42 2 2 5 8" xfId="14121"/>
    <cellStyle name="Normal 42 2 2 5 9" xfId="15873"/>
    <cellStyle name="Normal 42 2 2 6" xfId="2732"/>
    <cellStyle name="Normal 42 2 2 7" xfId="4484"/>
    <cellStyle name="Normal 42 2 2 8" xfId="6236"/>
    <cellStyle name="Normal 42 2 2 9" xfId="7988"/>
    <cellStyle name="Normal 42 2 20" xfId="25456"/>
    <cellStyle name="Normal 42 2 21" xfId="27208"/>
    <cellStyle name="Normal 42 2 22" xfId="28961"/>
    <cellStyle name="Normal 42 2 23" xfId="30713"/>
    <cellStyle name="Normal 42 2 24" xfId="32466"/>
    <cellStyle name="Normal 42 2 25" xfId="34829"/>
    <cellStyle name="Normal 42 2 26" xfId="35102"/>
    <cellStyle name="Normal 42 2 27" xfId="37450"/>
    <cellStyle name="Normal 42 2 28" xfId="38595"/>
    <cellStyle name="Normal 42 2 29" xfId="40350"/>
    <cellStyle name="Normal 42 2 3" xfId="1815"/>
    <cellStyle name="Normal 42 2 3 10" xfId="11546"/>
    <cellStyle name="Normal 42 2 3 11" xfId="13298"/>
    <cellStyle name="Normal 42 2 3 12" xfId="15050"/>
    <cellStyle name="Normal 42 2 3 13" xfId="16803"/>
    <cellStyle name="Normal 42 2 3 14" xfId="18555"/>
    <cellStyle name="Normal 42 2 3 15" xfId="20308"/>
    <cellStyle name="Normal 42 2 3 16" xfId="22060"/>
    <cellStyle name="Normal 42 2 3 17" xfId="23812"/>
    <cellStyle name="Normal 42 2 3 18" xfId="25564"/>
    <cellStyle name="Normal 42 2 3 19" xfId="27316"/>
    <cellStyle name="Normal 42 2 3 2" xfId="1816"/>
    <cellStyle name="Normal 42 2 3 2 10" xfId="13524"/>
    <cellStyle name="Normal 42 2 3 2 11" xfId="15276"/>
    <cellStyle name="Normal 42 2 3 2 12" xfId="17029"/>
    <cellStyle name="Normal 42 2 3 2 13" xfId="18781"/>
    <cellStyle name="Normal 42 2 3 2 14" xfId="20534"/>
    <cellStyle name="Normal 42 2 3 2 15" xfId="22286"/>
    <cellStyle name="Normal 42 2 3 2 16" xfId="24038"/>
    <cellStyle name="Normal 42 2 3 2 17" xfId="25790"/>
    <cellStyle name="Normal 42 2 3 2 18" xfId="27542"/>
    <cellStyle name="Normal 42 2 3 2 19" xfId="29295"/>
    <cellStyle name="Normal 42 2 3 2 2" xfId="1817"/>
    <cellStyle name="Normal 42 2 3 2 2 10" xfId="15712"/>
    <cellStyle name="Normal 42 2 3 2 2 11" xfId="17465"/>
    <cellStyle name="Normal 42 2 3 2 2 12" xfId="19217"/>
    <cellStyle name="Normal 42 2 3 2 2 13" xfId="20970"/>
    <cellStyle name="Normal 42 2 3 2 2 14" xfId="22722"/>
    <cellStyle name="Normal 42 2 3 2 2 15" xfId="24474"/>
    <cellStyle name="Normal 42 2 3 2 2 16" xfId="26226"/>
    <cellStyle name="Normal 42 2 3 2 2 17" xfId="27978"/>
    <cellStyle name="Normal 42 2 3 2 2 18" xfId="29731"/>
    <cellStyle name="Normal 42 2 3 2 2 19" xfId="31483"/>
    <cellStyle name="Normal 42 2 3 2 2 2" xfId="1818"/>
    <cellStyle name="Normal 42 2 3 2 2 2 10" xfId="18341"/>
    <cellStyle name="Normal 42 2 3 2 2 2 11" xfId="20093"/>
    <cellStyle name="Normal 42 2 3 2 2 2 12" xfId="21846"/>
    <cellStyle name="Normal 42 2 3 2 2 2 13" xfId="23598"/>
    <cellStyle name="Normal 42 2 3 2 2 2 14" xfId="25350"/>
    <cellStyle name="Normal 42 2 3 2 2 2 15" xfId="27102"/>
    <cellStyle name="Normal 42 2 3 2 2 2 16" xfId="28854"/>
    <cellStyle name="Normal 42 2 3 2 2 2 17" xfId="30607"/>
    <cellStyle name="Normal 42 2 3 2 2 2 18" xfId="32359"/>
    <cellStyle name="Normal 42 2 3 2 2 2 19" xfId="34112"/>
    <cellStyle name="Normal 42 2 3 2 2 2 2" xfId="4323"/>
    <cellStyle name="Normal 42 2 3 2 2 2 20" xfId="36748"/>
    <cellStyle name="Normal 42 2 3 2 2 2 21" xfId="38488"/>
    <cellStyle name="Normal 42 2 3 2 2 2 22" xfId="40241"/>
    <cellStyle name="Normal 42 2 3 2 2 2 23" xfId="41996"/>
    <cellStyle name="Normal 42 2 3 2 2 2 24" xfId="43748"/>
    <cellStyle name="Normal 42 2 3 2 2 2 25" xfId="46366"/>
    <cellStyle name="Normal 42 2 3 2 2 2 26" xfId="48118"/>
    <cellStyle name="Normal 42 2 3 2 2 2 27" xfId="49870"/>
    <cellStyle name="Normal 42 2 3 2 2 2 28" xfId="51622"/>
    <cellStyle name="Normal 42 2 3 2 2 2 29" xfId="53374"/>
    <cellStyle name="Normal 42 2 3 2 2 2 3" xfId="6075"/>
    <cellStyle name="Normal 42 2 3 2 2 2 30" xfId="55126"/>
    <cellStyle name="Normal 42 2 3 2 2 2 31" xfId="56878"/>
    <cellStyle name="Normal 42 2 3 2 2 2 32" xfId="58631"/>
    <cellStyle name="Normal 42 2 3 2 2 2 33" xfId="60383"/>
    <cellStyle name="Normal 42 2 3 2 2 2 34" xfId="62135"/>
    <cellStyle name="Normal 42 2 3 2 2 2 4" xfId="7827"/>
    <cellStyle name="Normal 42 2 3 2 2 2 5" xfId="9579"/>
    <cellStyle name="Normal 42 2 3 2 2 2 6" xfId="11332"/>
    <cellStyle name="Normal 42 2 3 2 2 2 7" xfId="13084"/>
    <cellStyle name="Normal 42 2 3 2 2 2 8" xfId="14836"/>
    <cellStyle name="Normal 42 2 3 2 2 2 9" xfId="16588"/>
    <cellStyle name="Normal 42 2 3 2 2 20" xfId="33236"/>
    <cellStyle name="Normal 42 2 3 2 2 21" xfId="34840"/>
    <cellStyle name="Normal 42 2 3 2 2 22" xfId="35872"/>
    <cellStyle name="Normal 42 2 3 2 2 23" xfId="37461"/>
    <cellStyle name="Normal 42 2 3 2 2 24" xfId="39365"/>
    <cellStyle name="Normal 42 2 3 2 2 25" xfId="41120"/>
    <cellStyle name="Normal 42 2 3 2 2 26" xfId="42872"/>
    <cellStyle name="Normal 42 2 3 2 2 27" xfId="44461"/>
    <cellStyle name="Normal 42 2 3 2 2 28" xfId="45490"/>
    <cellStyle name="Normal 42 2 3 2 2 29" xfId="47242"/>
    <cellStyle name="Normal 42 2 3 2 2 3" xfId="3447"/>
    <cellStyle name="Normal 42 2 3 2 2 30" xfId="48994"/>
    <cellStyle name="Normal 42 2 3 2 2 31" xfId="50746"/>
    <cellStyle name="Normal 42 2 3 2 2 32" xfId="52498"/>
    <cellStyle name="Normal 42 2 3 2 2 33" xfId="54250"/>
    <cellStyle name="Normal 42 2 3 2 2 34" xfId="56002"/>
    <cellStyle name="Normal 42 2 3 2 2 35" xfId="57755"/>
    <cellStyle name="Normal 42 2 3 2 2 36" xfId="59507"/>
    <cellStyle name="Normal 42 2 3 2 2 37" xfId="61259"/>
    <cellStyle name="Normal 42 2 3 2 2 38" xfId="62848"/>
    <cellStyle name="Normal 42 2 3 2 2 39" xfId="63714"/>
    <cellStyle name="Normal 42 2 3 2 2 4" xfId="5199"/>
    <cellStyle name="Normal 42 2 3 2 2 5" xfId="6951"/>
    <cellStyle name="Normal 42 2 3 2 2 6" xfId="8703"/>
    <cellStyle name="Normal 42 2 3 2 2 7" xfId="10456"/>
    <cellStyle name="Normal 42 2 3 2 2 8" xfId="12208"/>
    <cellStyle name="Normal 42 2 3 2 2 9" xfId="13960"/>
    <cellStyle name="Normal 42 2 3 2 20" xfId="31047"/>
    <cellStyle name="Normal 42 2 3 2 21" xfId="32800"/>
    <cellStyle name="Normal 42 2 3 2 22" xfId="34839"/>
    <cellStyle name="Normal 42 2 3 2 23" xfId="35436"/>
    <cellStyle name="Normal 42 2 3 2 24" xfId="37460"/>
    <cellStyle name="Normal 42 2 3 2 25" xfId="38929"/>
    <cellStyle name="Normal 42 2 3 2 26" xfId="40684"/>
    <cellStyle name="Normal 42 2 3 2 27" xfId="42436"/>
    <cellStyle name="Normal 42 2 3 2 28" xfId="44460"/>
    <cellStyle name="Normal 42 2 3 2 29" xfId="45054"/>
    <cellStyle name="Normal 42 2 3 2 3" xfId="1819"/>
    <cellStyle name="Normal 42 2 3 2 3 10" xfId="17905"/>
    <cellStyle name="Normal 42 2 3 2 3 11" xfId="19657"/>
    <cellStyle name="Normal 42 2 3 2 3 12" xfId="21410"/>
    <cellStyle name="Normal 42 2 3 2 3 13" xfId="23162"/>
    <cellStyle name="Normal 42 2 3 2 3 14" xfId="24914"/>
    <cellStyle name="Normal 42 2 3 2 3 15" xfId="26666"/>
    <cellStyle name="Normal 42 2 3 2 3 16" xfId="28418"/>
    <cellStyle name="Normal 42 2 3 2 3 17" xfId="30171"/>
    <cellStyle name="Normal 42 2 3 2 3 18" xfId="31923"/>
    <cellStyle name="Normal 42 2 3 2 3 19" xfId="33676"/>
    <cellStyle name="Normal 42 2 3 2 3 2" xfId="3887"/>
    <cellStyle name="Normal 42 2 3 2 3 20" xfId="36312"/>
    <cellStyle name="Normal 42 2 3 2 3 21" xfId="38052"/>
    <cellStyle name="Normal 42 2 3 2 3 22" xfId="39805"/>
    <cellStyle name="Normal 42 2 3 2 3 23" xfId="41560"/>
    <cellStyle name="Normal 42 2 3 2 3 24" xfId="43312"/>
    <cellStyle name="Normal 42 2 3 2 3 25" xfId="45930"/>
    <cellStyle name="Normal 42 2 3 2 3 26" xfId="47682"/>
    <cellStyle name="Normal 42 2 3 2 3 27" xfId="49434"/>
    <cellStyle name="Normal 42 2 3 2 3 28" xfId="51186"/>
    <cellStyle name="Normal 42 2 3 2 3 29" xfId="52938"/>
    <cellStyle name="Normal 42 2 3 2 3 3" xfId="5639"/>
    <cellStyle name="Normal 42 2 3 2 3 30" xfId="54690"/>
    <cellStyle name="Normal 42 2 3 2 3 31" xfId="56442"/>
    <cellStyle name="Normal 42 2 3 2 3 32" xfId="58195"/>
    <cellStyle name="Normal 42 2 3 2 3 33" xfId="59947"/>
    <cellStyle name="Normal 42 2 3 2 3 34" xfId="61699"/>
    <cellStyle name="Normal 42 2 3 2 3 4" xfId="7391"/>
    <cellStyle name="Normal 42 2 3 2 3 5" xfId="9143"/>
    <cellStyle name="Normal 42 2 3 2 3 6" xfId="10896"/>
    <cellStyle name="Normal 42 2 3 2 3 7" xfId="12648"/>
    <cellStyle name="Normal 42 2 3 2 3 8" xfId="14400"/>
    <cellStyle name="Normal 42 2 3 2 3 9" xfId="16152"/>
    <cellStyle name="Normal 42 2 3 2 30" xfId="46806"/>
    <cellStyle name="Normal 42 2 3 2 31" xfId="48558"/>
    <cellStyle name="Normal 42 2 3 2 32" xfId="50310"/>
    <cellStyle name="Normal 42 2 3 2 33" xfId="52062"/>
    <cellStyle name="Normal 42 2 3 2 34" xfId="53814"/>
    <cellStyle name="Normal 42 2 3 2 35" xfId="55566"/>
    <cellStyle name="Normal 42 2 3 2 36" xfId="57319"/>
    <cellStyle name="Normal 42 2 3 2 37" xfId="59071"/>
    <cellStyle name="Normal 42 2 3 2 38" xfId="60823"/>
    <cellStyle name="Normal 42 2 3 2 39" xfId="62847"/>
    <cellStyle name="Normal 42 2 3 2 4" xfId="3011"/>
    <cellStyle name="Normal 42 2 3 2 40" xfId="63713"/>
    <cellStyle name="Normal 42 2 3 2 5" xfId="4763"/>
    <cellStyle name="Normal 42 2 3 2 6" xfId="6515"/>
    <cellStyle name="Normal 42 2 3 2 7" xfId="8267"/>
    <cellStyle name="Normal 42 2 3 2 8" xfId="10020"/>
    <cellStyle name="Normal 42 2 3 2 9" xfId="11772"/>
    <cellStyle name="Normal 42 2 3 20" xfId="29069"/>
    <cellStyle name="Normal 42 2 3 21" xfId="30821"/>
    <cellStyle name="Normal 42 2 3 22" xfId="32574"/>
    <cellStyle name="Normal 42 2 3 23" xfId="34838"/>
    <cellStyle name="Normal 42 2 3 24" xfId="35210"/>
    <cellStyle name="Normal 42 2 3 25" xfId="37459"/>
    <cellStyle name="Normal 42 2 3 26" xfId="38703"/>
    <cellStyle name="Normal 42 2 3 27" xfId="40458"/>
    <cellStyle name="Normal 42 2 3 28" xfId="42210"/>
    <cellStyle name="Normal 42 2 3 29" xfId="44459"/>
    <cellStyle name="Normal 42 2 3 3" xfId="1820"/>
    <cellStyle name="Normal 42 2 3 3 10" xfId="15486"/>
    <cellStyle name="Normal 42 2 3 3 11" xfId="17239"/>
    <cellStyle name="Normal 42 2 3 3 12" xfId="18991"/>
    <cellStyle name="Normal 42 2 3 3 13" xfId="20744"/>
    <cellStyle name="Normal 42 2 3 3 14" xfId="22496"/>
    <cellStyle name="Normal 42 2 3 3 15" xfId="24248"/>
    <cellStyle name="Normal 42 2 3 3 16" xfId="26000"/>
    <cellStyle name="Normal 42 2 3 3 17" xfId="27752"/>
    <cellStyle name="Normal 42 2 3 3 18" xfId="29505"/>
    <cellStyle name="Normal 42 2 3 3 19" xfId="31257"/>
    <cellStyle name="Normal 42 2 3 3 2" xfId="1821"/>
    <cellStyle name="Normal 42 2 3 3 2 10" xfId="18115"/>
    <cellStyle name="Normal 42 2 3 3 2 11" xfId="19867"/>
    <cellStyle name="Normal 42 2 3 3 2 12" xfId="21620"/>
    <cellStyle name="Normal 42 2 3 3 2 13" xfId="23372"/>
    <cellStyle name="Normal 42 2 3 3 2 14" xfId="25124"/>
    <cellStyle name="Normal 42 2 3 3 2 15" xfId="26876"/>
    <cellStyle name="Normal 42 2 3 3 2 16" xfId="28628"/>
    <cellStyle name="Normal 42 2 3 3 2 17" xfId="30381"/>
    <cellStyle name="Normal 42 2 3 3 2 18" xfId="32133"/>
    <cellStyle name="Normal 42 2 3 3 2 19" xfId="33886"/>
    <cellStyle name="Normal 42 2 3 3 2 2" xfId="4097"/>
    <cellStyle name="Normal 42 2 3 3 2 20" xfId="36522"/>
    <cellStyle name="Normal 42 2 3 3 2 21" xfId="38262"/>
    <cellStyle name="Normal 42 2 3 3 2 22" xfId="40015"/>
    <cellStyle name="Normal 42 2 3 3 2 23" xfId="41770"/>
    <cellStyle name="Normal 42 2 3 3 2 24" xfId="43522"/>
    <cellStyle name="Normal 42 2 3 3 2 25" xfId="46140"/>
    <cellStyle name="Normal 42 2 3 3 2 26" xfId="47892"/>
    <cellStyle name="Normal 42 2 3 3 2 27" xfId="49644"/>
    <cellStyle name="Normal 42 2 3 3 2 28" xfId="51396"/>
    <cellStyle name="Normal 42 2 3 3 2 29" xfId="53148"/>
    <cellStyle name="Normal 42 2 3 3 2 3" xfId="5849"/>
    <cellStyle name="Normal 42 2 3 3 2 30" xfId="54900"/>
    <cellStyle name="Normal 42 2 3 3 2 31" xfId="56652"/>
    <cellStyle name="Normal 42 2 3 3 2 32" xfId="58405"/>
    <cellStyle name="Normal 42 2 3 3 2 33" xfId="60157"/>
    <cellStyle name="Normal 42 2 3 3 2 34" xfId="61909"/>
    <cellStyle name="Normal 42 2 3 3 2 4" xfId="7601"/>
    <cellStyle name="Normal 42 2 3 3 2 5" xfId="9353"/>
    <cellStyle name="Normal 42 2 3 3 2 6" xfId="11106"/>
    <cellStyle name="Normal 42 2 3 3 2 7" xfId="12858"/>
    <cellStyle name="Normal 42 2 3 3 2 8" xfId="14610"/>
    <cellStyle name="Normal 42 2 3 3 2 9" xfId="16362"/>
    <cellStyle name="Normal 42 2 3 3 20" xfId="33010"/>
    <cellStyle name="Normal 42 2 3 3 21" xfId="34841"/>
    <cellStyle name="Normal 42 2 3 3 22" xfId="35646"/>
    <cellStyle name="Normal 42 2 3 3 23" xfId="37462"/>
    <cellStyle name="Normal 42 2 3 3 24" xfId="39139"/>
    <cellStyle name="Normal 42 2 3 3 25" xfId="40894"/>
    <cellStyle name="Normal 42 2 3 3 26" xfId="42646"/>
    <cellStyle name="Normal 42 2 3 3 27" xfId="44462"/>
    <cellStyle name="Normal 42 2 3 3 28" xfId="45264"/>
    <cellStyle name="Normal 42 2 3 3 29" xfId="47016"/>
    <cellStyle name="Normal 42 2 3 3 3" xfId="3221"/>
    <cellStyle name="Normal 42 2 3 3 30" xfId="48768"/>
    <cellStyle name="Normal 42 2 3 3 31" xfId="50520"/>
    <cellStyle name="Normal 42 2 3 3 32" xfId="52272"/>
    <cellStyle name="Normal 42 2 3 3 33" xfId="54024"/>
    <cellStyle name="Normal 42 2 3 3 34" xfId="55776"/>
    <cellStyle name="Normal 42 2 3 3 35" xfId="57529"/>
    <cellStyle name="Normal 42 2 3 3 36" xfId="59281"/>
    <cellStyle name="Normal 42 2 3 3 37" xfId="61033"/>
    <cellStyle name="Normal 42 2 3 3 38" xfId="62849"/>
    <cellStyle name="Normal 42 2 3 3 39" xfId="63715"/>
    <cellStyle name="Normal 42 2 3 3 4" xfId="4973"/>
    <cellStyle name="Normal 42 2 3 3 5" xfId="6725"/>
    <cellStyle name="Normal 42 2 3 3 6" xfId="8477"/>
    <cellStyle name="Normal 42 2 3 3 7" xfId="10230"/>
    <cellStyle name="Normal 42 2 3 3 8" xfId="11982"/>
    <cellStyle name="Normal 42 2 3 3 9" xfId="13734"/>
    <cellStyle name="Normal 42 2 3 30" xfId="44828"/>
    <cellStyle name="Normal 42 2 3 31" xfId="46580"/>
    <cellStyle name="Normal 42 2 3 32" xfId="48332"/>
    <cellStyle name="Normal 42 2 3 33" xfId="50084"/>
    <cellStyle name="Normal 42 2 3 34" xfId="51836"/>
    <cellStyle name="Normal 42 2 3 35" xfId="53588"/>
    <cellStyle name="Normal 42 2 3 36" xfId="55340"/>
    <cellStyle name="Normal 42 2 3 37" xfId="57093"/>
    <cellStyle name="Normal 42 2 3 38" xfId="58845"/>
    <cellStyle name="Normal 42 2 3 39" xfId="60597"/>
    <cellStyle name="Normal 42 2 3 4" xfId="1822"/>
    <cellStyle name="Normal 42 2 3 4 10" xfId="17679"/>
    <cellStyle name="Normal 42 2 3 4 11" xfId="19431"/>
    <cellStyle name="Normal 42 2 3 4 12" xfId="21184"/>
    <cellStyle name="Normal 42 2 3 4 13" xfId="22936"/>
    <cellStyle name="Normal 42 2 3 4 14" xfId="24688"/>
    <cellStyle name="Normal 42 2 3 4 15" xfId="26440"/>
    <cellStyle name="Normal 42 2 3 4 16" xfId="28192"/>
    <cellStyle name="Normal 42 2 3 4 17" xfId="29945"/>
    <cellStyle name="Normal 42 2 3 4 18" xfId="31697"/>
    <cellStyle name="Normal 42 2 3 4 19" xfId="33450"/>
    <cellStyle name="Normal 42 2 3 4 2" xfId="3661"/>
    <cellStyle name="Normal 42 2 3 4 20" xfId="36086"/>
    <cellStyle name="Normal 42 2 3 4 21" xfId="37826"/>
    <cellStyle name="Normal 42 2 3 4 22" xfId="39579"/>
    <cellStyle name="Normal 42 2 3 4 23" xfId="41334"/>
    <cellStyle name="Normal 42 2 3 4 24" xfId="43086"/>
    <cellStyle name="Normal 42 2 3 4 25" xfId="45704"/>
    <cellStyle name="Normal 42 2 3 4 26" xfId="47456"/>
    <cellStyle name="Normal 42 2 3 4 27" xfId="49208"/>
    <cellStyle name="Normal 42 2 3 4 28" xfId="50960"/>
    <cellStyle name="Normal 42 2 3 4 29" xfId="52712"/>
    <cellStyle name="Normal 42 2 3 4 3" xfId="5413"/>
    <cellStyle name="Normal 42 2 3 4 30" xfId="54464"/>
    <cellStyle name="Normal 42 2 3 4 31" xfId="56216"/>
    <cellStyle name="Normal 42 2 3 4 32" xfId="57969"/>
    <cellStyle name="Normal 42 2 3 4 33" xfId="59721"/>
    <cellStyle name="Normal 42 2 3 4 34" xfId="61473"/>
    <cellStyle name="Normal 42 2 3 4 4" xfId="7165"/>
    <cellStyle name="Normal 42 2 3 4 5" xfId="8917"/>
    <cellStyle name="Normal 42 2 3 4 6" xfId="10670"/>
    <cellStyle name="Normal 42 2 3 4 7" xfId="12422"/>
    <cellStyle name="Normal 42 2 3 4 8" xfId="14174"/>
    <cellStyle name="Normal 42 2 3 4 9" xfId="15926"/>
    <cellStyle name="Normal 42 2 3 40" xfId="62846"/>
    <cellStyle name="Normal 42 2 3 41" xfId="63712"/>
    <cellStyle name="Normal 42 2 3 5" xfId="2785"/>
    <cellStyle name="Normal 42 2 3 6" xfId="4537"/>
    <cellStyle name="Normal 42 2 3 7" xfId="6289"/>
    <cellStyle name="Normal 42 2 3 8" xfId="8041"/>
    <cellStyle name="Normal 42 2 3 9" xfId="9794"/>
    <cellStyle name="Normal 42 2 30" xfId="42102"/>
    <cellStyle name="Normal 42 2 31" xfId="44450"/>
    <cellStyle name="Normal 42 2 32" xfId="44720"/>
    <cellStyle name="Normal 42 2 33" xfId="46472"/>
    <cellStyle name="Normal 42 2 34" xfId="48224"/>
    <cellStyle name="Normal 42 2 35" xfId="49976"/>
    <cellStyle name="Normal 42 2 36" xfId="51728"/>
    <cellStyle name="Normal 42 2 37" xfId="53480"/>
    <cellStyle name="Normal 42 2 38" xfId="55232"/>
    <cellStyle name="Normal 42 2 39" xfId="56985"/>
    <cellStyle name="Normal 42 2 4" xfId="1823"/>
    <cellStyle name="Normal 42 2 4 10" xfId="13525"/>
    <cellStyle name="Normal 42 2 4 11" xfId="15277"/>
    <cellStyle name="Normal 42 2 4 12" xfId="17030"/>
    <cellStyle name="Normal 42 2 4 13" xfId="18782"/>
    <cellStyle name="Normal 42 2 4 14" xfId="20535"/>
    <cellStyle name="Normal 42 2 4 15" xfId="22287"/>
    <cellStyle name="Normal 42 2 4 16" xfId="24039"/>
    <cellStyle name="Normal 42 2 4 17" xfId="25791"/>
    <cellStyle name="Normal 42 2 4 18" xfId="27543"/>
    <cellStyle name="Normal 42 2 4 19" xfId="29296"/>
    <cellStyle name="Normal 42 2 4 2" xfId="1824"/>
    <cellStyle name="Normal 42 2 4 2 10" xfId="15713"/>
    <cellStyle name="Normal 42 2 4 2 11" xfId="17466"/>
    <cellStyle name="Normal 42 2 4 2 12" xfId="19218"/>
    <cellStyle name="Normal 42 2 4 2 13" xfId="20971"/>
    <cellStyle name="Normal 42 2 4 2 14" xfId="22723"/>
    <cellStyle name="Normal 42 2 4 2 15" xfId="24475"/>
    <cellStyle name="Normal 42 2 4 2 16" xfId="26227"/>
    <cellStyle name="Normal 42 2 4 2 17" xfId="27979"/>
    <cellStyle name="Normal 42 2 4 2 18" xfId="29732"/>
    <cellStyle name="Normal 42 2 4 2 19" xfId="31484"/>
    <cellStyle name="Normal 42 2 4 2 2" xfId="1825"/>
    <cellStyle name="Normal 42 2 4 2 2 10" xfId="18342"/>
    <cellStyle name="Normal 42 2 4 2 2 11" xfId="20094"/>
    <cellStyle name="Normal 42 2 4 2 2 12" xfId="21847"/>
    <cellStyle name="Normal 42 2 4 2 2 13" xfId="23599"/>
    <cellStyle name="Normal 42 2 4 2 2 14" xfId="25351"/>
    <cellStyle name="Normal 42 2 4 2 2 15" xfId="27103"/>
    <cellStyle name="Normal 42 2 4 2 2 16" xfId="28855"/>
    <cellStyle name="Normal 42 2 4 2 2 17" xfId="30608"/>
    <cellStyle name="Normal 42 2 4 2 2 18" xfId="32360"/>
    <cellStyle name="Normal 42 2 4 2 2 19" xfId="34113"/>
    <cellStyle name="Normal 42 2 4 2 2 2" xfId="4324"/>
    <cellStyle name="Normal 42 2 4 2 2 20" xfId="36749"/>
    <cellStyle name="Normal 42 2 4 2 2 21" xfId="38489"/>
    <cellStyle name="Normal 42 2 4 2 2 22" xfId="40242"/>
    <cellStyle name="Normal 42 2 4 2 2 23" xfId="41997"/>
    <cellStyle name="Normal 42 2 4 2 2 24" xfId="43749"/>
    <cellStyle name="Normal 42 2 4 2 2 25" xfId="46367"/>
    <cellStyle name="Normal 42 2 4 2 2 26" xfId="48119"/>
    <cellStyle name="Normal 42 2 4 2 2 27" xfId="49871"/>
    <cellStyle name="Normal 42 2 4 2 2 28" xfId="51623"/>
    <cellStyle name="Normal 42 2 4 2 2 29" xfId="53375"/>
    <cellStyle name="Normal 42 2 4 2 2 3" xfId="6076"/>
    <cellStyle name="Normal 42 2 4 2 2 30" xfId="55127"/>
    <cellStyle name="Normal 42 2 4 2 2 31" xfId="56879"/>
    <cellStyle name="Normal 42 2 4 2 2 32" xfId="58632"/>
    <cellStyle name="Normal 42 2 4 2 2 33" xfId="60384"/>
    <cellStyle name="Normal 42 2 4 2 2 34" xfId="62136"/>
    <cellStyle name="Normal 42 2 4 2 2 4" xfId="7828"/>
    <cellStyle name="Normal 42 2 4 2 2 5" xfId="9580"/>
    <cellStyle name="Normal 42 2 4 2 2 6" xfId="11333"/>
    <cellStyle name="Normal 42 2 4 2 2 7" xfId="13085"/>
    <cellStyle name="Normal 42 2 4 2 2 8" xfId="14837"/>
    <cellStyle name="Normal 42 2 4 2 2 9" xfId="16589"/>
    <cellStyle name="Normal 42 2 4 2 20" xfId="33237"/>
    <cellStyle name="Normal 42 2 4 2 21" xfId="34843"/>
    <cellStyle name="Normal 42 2 4 2 22" xfId="35873"/>
    <cellStyle name="Normal 42 2 4 2 23" xfId="37464"/>
    <cellStyle name="Normal 42 2 4 2 24" xfId="39366"/>
    <cellStyle name="Normal 42 2 4 2 25" xfId="41121"/>
    <cellStyle name="Normal 42 2 4 2 26" xfId="42873"/>
    <cellStyle name="Normal 42 2 4 2 27" xfId="44464"/>
    <cellStyle name="Normal 42 2 4 2 28" xfId="45491"/>
    <cellStyle name="Normal 42 2 4 2 29" xfId="47243"/>
    <cellStyle name="Normal 42 2 4 2 3" xfId="3448"/>
    <cellStyle name="Normal 42 2 4 2 30" xfId="48995"/>
    <cellStyle name="Normal 42 2 4 2 31" xfId="50747"/>
    <cellStyle name="Normal 42 2 4 2 32" xfId="52499"/>
    <cellStyle name="Normal 42 2 4 2 33" xfId="54251"/>
    <cellStyle name="Normal 42 2 4 2 34" xfId="56003"/>
    <cellStyle name="Normal 42 2 4 2 35" xfId="57756"/>
    <cellStyle name="Normal 42 2 4 2 36" xfId="59508"/>
    <cellStyle name="Normal 42 2 4 2 37" xfId="61260"/>
    <cellStyle name="Normal 42 2 4 2 38" xfId="62851"/>
    <cellStyle name="Normal 42 2 4 2 39" xfId="63717"/>
    <cellStyle name="Normal 42 2 4 2 4" xfId="5200"/>
    <cellStyle name="Normal 42 2 4 2 5" xfId="6952"/>
    <cellStyle name="Normal 42 2 4 2 6" xfId="8704"/>
    <cellStyle name="Normal 42 2 4 2 7" xfId="10457"/>
    <cellStyle name="Normal 42 2 4 2 8" xfId="12209"/>
    <cellStyle name="Normal 42 2 4 2 9" xfId="13961"/>
    <cellStyle name="Normal 42 2 4 20" xfId="31048"/>
    <cellStyle name="Normal 42 2 4 21" xfId="32801"/>
    <cellStyle name="Normal 42 2 4 22" xfId="34842"/>
    <cellStyle name="Normal 42 2 4 23" xfId="35437"/>
    <cellStyle name="Normal 42 2 4 24" xfId="37463"/>
    <cellStyle name="Normal 42 2 4 25" xfId="38930"/>
    <cellStyle name="Normal 42 2 4 26" xfId="40685"/>
    <cellStyle name="Normal 42 2 4 27" xfId="42437"/>
    <cellStyle name="Normal 42 2 4 28" xfId="44463"/>
    <cellStyle name="Normal 42 2 4 29" xfId="45055"/>
    <cellStyle name="Normal 42 2 4 3" xfId="1826"/>
    <cellStyle name="Normal 42 2 4 3 10" xfId="17906"/>
    <cellStyle name="Normal 42 2 4 3 11" xfId="19658"/>
    <cellStyle name="Normal 42 2 4 3 12" xfId="21411"/>
    <cellStyle name="Normal 42 2 4 3 13" xfId="23163"/>
    <cellStyle name="Normal 42 2 4 3 14" xfId="24915"/>
    <cellStyle name="Normal 42 2 4 3 15" xfId="26667"/>
    <cellStyle name="Normal 42 2 4 3 16" xfId="28419"/>
    <cellStyle name="Normal 42 2 4 3 17" xfId="30172"/>
    <cellStyle name="Normal 42 2 4 3 18" xfId="31924"/>
    <cellStyle name="Normal 42 2 4 3 19" xfId="33677"/>
    <cellStyle name="Normal 42 2 4 3 2" xfId="3888"/>
    <cellStyle name="Normal 42 2 4 3 20" xfId="36313"/>
    <cellStyle name="Normal 42 2 4 3 21" xfId="38053"/>
    <cellStyle name="Normal 42 2 4 3 22" xfId="39806"/>
    <cellStyle name="Normal 42 2 4 3 23" xfId="41561"/>
    <cellStyle name="Normal 42 2 4 3 24" xfId="43313"/>
    <cellStyle name="Normal 42 2 4 3 25" xfId="45931"/>
    <cellStyle name="Normal 42 2 4 3 26" xfId="47683"/>
    <cellStyle name="Normal 42 2 4 3 27" xfId="49435"/>
    <cellStyle name="Normal 42 2 4 3 28" xfId="51187"/>
    <cellStyle name="Normal 42 2 4 3 29" xfId="52939"/>
    <cellStyle name="Normal 42 2 4 3 3" xfId="5640"/>
    <cellStyle name="Normal 42 2 4 3 30" xfId="54691"/>
    <cellStyle name="Normal 42 2 4 3 31" xfId="56443"/>
    <cellStyle name="Normal 42 2 4 3 32" xfId="58196"/>
    <cellStyle name="Normal 42 2 4 3 33" xfId="59948"/>
    <cellStyle name="Normal 42 2 4 3 34" xfId="61700"/>
    <cellStyle name="Normal 42 2 4 3 4" xfId="7392"/>
    <cellStyle name="Normal 42 2 4 3 5" xfId="9144"/>
    <cellStyle name="Normal 42 2 4 3 6" xfId="10897"/>
    <cellStyle name="Normal 42 2 4 3 7" xfId="12649"/>
    <cellStyle name="Normal 42 2 4 3 8" xfId="14401"/>
    <cellStyle name="Normal 42 2 4 3 9" xfId="16153"/>
    <cellStyle name="Normal 42 2 4 30" xfId="46807"/>
    <cellStyle name="Normal 42 2 4 31" xfId="48559"/>
    <cellStyle name="Normal 42 2 4 32" xfId="50311"/>
    <cellStyle name="Normal 42 2 4 33" xfId="52063"/>
    <cellStyle name="Normal 42 2 4 34" xfId="53815"/>
    <cellStyle name="Normal 42 2 4 35" xfId="55567"/>
    <cellStyle name="Normal 42 2 4 36" xfId="57320"/>
    <cellStyle name="Normal 42 2 4 37" xfId="59072"/>
    <cellStyle name="Normal 42 2 4 38" xfId="60824"/>
    <cellStyle name="Normal 42 2 4 39" xfId="62850"/>
    <cellStyle name="Normal 42 2 4 4" xfId="3012"/>
    <cellStyle name="Normal 42 2 4 40" xfId="63716"/>
    <cellStyle name="Normal 42 2 4 5" xfId="4764"/>
    <cellStyle name="Normal 42 2 4 6" xfId="6516"/>
    <cellStyle name="Normal 42 2 4 7" xfId="8268"/>
    <cellStyle name="Normal 42 2 4 8" xfId="10021"/>
    <cellStyle name="Normal 42 2 4 9" xfId="11773"/>
    <cellStyle name="Normal 42 2 40" xfId="58737"/>
    <cellStyle name="Normal 42 2 41" xfId="60489"/>
    <cellStyle name="Normal 42 2 42" xfId="62837"/>
    <cellStyle name="Normal 42 2 43" xfId="63703"/>
    <cellStyle name="Normal 42 2 5" xfId="1827"/>
    <cellStyle name="Normal 42 2 5 10" xfId="15378"/>
    <cellStyle name="Normal 42 2 5 11" xfId="17131"/>
    <cellStyle name="Normal 42 2 5 12" xfId="18883"/>
    <cellStyle name="Normal 42 2 5 13" xfId="20636"/>
    <cellStyle name="Normal 42 2 5 14" xfId="22388"/>
    <cellStyle name="Normal 42 2 5 15" xfId="24140"/>
    <cellStyle name="Normal 42 2 5 16" xfId="25892"/>
    <cellStyle name="Normal 42 2 5 17" xfId="27644"/>
    <cellStyle name="Normal 42 2 5 18" xfId="29397"/>
    <cellStyle name="Normal 42 2 5 19" xfId="31149"/>
    <cellStyle name="Normal 42 2 5 2" xfId="1828"/>
    <cellStyle name="Normal 42 2 5 2 10" xfId="18007"/>
    <cellStyle name="Normal 42 2 5 2 11" xfId="19759"/>
    <cellStyle name="Normal 42 2 5 2 12" xfId="21512"/>
    <cellStyle name="Normal 42 2 5 2 13" xfId="23264"/>
    <cellStyle name="Normal 42 2 5 2 14" xfId="25016"/>
    <cellStyle name="Normal 42 2 5 2 15" xfId="26768"/>
    <cellStyle name="Normal 42 2 5 2 16" xfId="28520"/>
    <cellStyle name="Normal 42 2 5 2 17" xfId="30273"/>
    <cellStyle name="Normal 42 2 5 2 18" xfId="32025"/>
    <cellStyle name="Normal 42 2 5 2 19" xfId="33778"/>
    <cellStyle name="Normal 42 2 5 2 2" xfId="3989"/>
    <cellStyle name="Normal 42 2 5 2 20" xfId="36414"/>
    <cellStyle name="Normal 42 2 5 2 21" xfId="38154"/>
    <cellStyle name="Normal 42 2 5 2 22" xfId="39907"/>
    <cellStyle name="Normal 42 2 5 2 23" xfId="41662"/>
    <cellStyle name="Normal 42 2 5 2 24" xfId="43414"/>
    <cellStyle name="Normal 42 2 5 2 25" xfId="46032"/>
    <cellStyle name="Normal 42 2 5 2 26" xfId="47784"/>
    <cellStyle name="Normal 42 2 5 2 27" xfId="49536"/>
    <cellStyle name="Normal 42 2 5 2 28" xfId="51288"/>
    <cellStyle name="Normal 42 2 5 2 29" xfId="53040"/>
    <cellStyle name="Normal 42 2 5 2 3" xfId="5741"/>
    <cellStyle name="Normal 42 2 5 2 30" xfId="54792"/>
    <cellStyle name="Normal 42 2 5 2 31" xfId="56544"/>
    <cellStyle name="Normal 42 2 5 2 32" xfId="58297"/>
    <cellStyle name="Normal 42 2 5 2 33" xfId="60049"/>
    <cellStyle name="Normal 42 2 5 2 34" xfId="61801"/>
    <cellStyle name="Normal 42 2 5 2 4" xfId="7493"/>
    <cellStyle name="Normal 42 2 5 2 5" xfId="9245"/>
    <cellStyle name="Normal 42 2 5 2 6" xfId="10998"/>
    <cellStyle name="Normal 42 2 5 2 7" xfId="12750"/>
    <cellStyle name="Normal 42 2 5 2 8" xfId="14502"/>
    <cellStyle name="Normal 42 2 5 2 9" xfId="16254"/>
    <cellStyle name="Normal 42 2 5 20" xfId="32902"/>
    <cellStyle name="Normal 42 2 5 21" xfId="34844"/>
    <cellStyle name="Normal 42 2 5 22" xfId="35538"/>
    <cellStyle name="Normal 42 2 5 23" xfId="37465"/>
    <cellStyle name="Normal 42 2 5 24" xfId="39031"/>
    <cellStyle name="Normal 42 2 5 25" xfId="40786"/>
    <cellStyle name="Normal 42 2 5 26" xfId="42538"/>
    <cellStyle name="Normal 42 2 5 27" xfId="44465"/>
    <cellStyle name="Normal 42 2 5 28" xfId="45156"/>
    <cellStyle name="Normal 42 2 5 29" xfId="46908"/>
    <cellStyle name="Normal 42 2 5 3" xfId="3113"/>
    <cellStyle name="Normal 42 2 5 30" xfId="48660"/>
    <cellStyle name="Normal 42 2 5 31" xfId="50412"/>
    <cellStyle name="Normal 42 2 5 32" xfId="52164"/>
    <cellStyle name="Normal 42 2 5 33" xfId="53916"/>
    <cellStyle name="Normal 42 2 5 34" xfId="55668"/>
    <cellStyle name="Normal 42 2 5 35" xfId="57421"/>
    <cellStyle name="Normal 42 2 5 36" xfId="59173"/>
    <cellStyle name="Normal 42 2 5 37" xfId="60925"/>
    <cellStyle name="Normal 42 2 5 38" xfId="62852"/>
    <cellStyle name="Normal 42 2 5 39" xfId="63718"/>
    <cellStyle name="Normal 42 2 5 4" xfId="4865"/>
    <cellStyle name="Normal 42 2 5 5" xfId="6617"/>
    <cellStyle name="Normal 42 2 5 6" xfId="8369"/>
    <cellStyle name="Normal 42 2 5 7" xfId="10122"/>
    <cellStyle name="Normal 42 2 5 8" xfId="11874"/>
    <cellStyle name="Normal 42 2 5 9" xfId="13626"/>
    <cellStyle name="Normal 42 2 6" xfId="1829"/>
    <cellStyle name="Normal 42 2 6 10" xfId="17571"/>
    <cellStyle name="Normal 42 2 6 11" xfId="19323"/>
    <cellStyle name="Normal 42 2 6 12" xfId="21076"/>
    <cellStyle name="Normal 42 2 6 13" xfId="22828"/>
    <cellStyle name="Normal 42 2 6 14" xfId="24580"/>
    <cellStyle name="Normal 42 2 6 15" xfId="26332"/>
    <cellStyle name="Normal 42 2 6 16" xfId="28084"/>
    <cellStyle name="Normal 42 2 6 17" xfId="29837"/>
    <cellStyle name="Normal 42 2 6 18" xfId="31589"/>
    <cellStyle name="Normal 42 2 6 19" xfId="33342"/>
    <cellStyle name="Normal 42 2 6 2" xfId="3553"/>
    <cellStyle name="Normal 42 2 6 20" xfId="35978"/>
    <cellStyle name="Normal 42 2 6 21" xfId="37715"/>
    <cellStyle name="Normal 42 2 6 22" xfId="39471"/>
    <cellStyle name="Normal 42 2 6 23" xfId="41226"/>
    <cellStyle name="Normal 42 2 6 24" xfId="42978"/>
    <cellStyle name="Normal 42 2 6 25" xfId="45596"/>
    <cellStyle name="Normal 42 2 6 26" xfId="47348"/>
    <cellStyle name="Normal 42 2 6 27" xfId="49100"/>
    <cellStyle name="Normal 42 2 6 28" xfId="50852"/>
    <cellStyle name="Normal 42 2 6 29" xfId="52604"/>
    <cellStyle name="Normal 42 2 6 3" xfId="5305"/>
    <cellStyle name="Normal 42 2 6 30" xfId="54356"/>
    <cellStyle name="Normal 42 2 6 31" xfId="56108"/>
    <cellStyle name="Normal 42 2 6 32" xfId="57861"/>
    <cellStyle name="Normal 42 2 6 33" xfId="59613"/>
    <cellStyle name="Normal 42 2 6 34" xfId="61365"/>
    <cellStyle name="Normal 42 2 6 4" xfId="7057"/>
    <cellStyle name="Normal 42 2 6 5" xfId="8809"/>
    <cellStyle name="Normal 42 2 6 6" xfId="10562"/>
    <cellStyle name="Normal 42 2 6 7" xfId="12314"/>
    <cellStyle name="Normal 42 2 6 8" xfId="14066"/>
    <cellStyle name="Normal 42 2 6 9" xfId="15818"/>
    <cellStyle name="Normal 42 2 7" xfId="2677"/>
    <cellStyle name="Normal 42 2 8" xfId="4429"/>
    <cellStyle name="Normal 42 2 9" xfId="6181"/>
    <cellStyle name="Normal 42 20" xfId="23703"/>
    <cellStyle name="Normal 42 21" xfId="25455"/>
    <cellStyle name="Normal 42 22" xfId="27207"/>
    <cellStyle name="Normal 42 23" xfId="28960"/>
    <cellStyle name="Normal 42 24" xfId="30712"/>
    <cellStyle name="Normal 42 25" xfId="32465"/>
    <cellStyle name="Normal 42 26" xfId="34828"/>
    <cellStyle name="Normal 42 27" xfId="35101"/>
    <cellStyle name="Normal 42 28" xfId="37449"/>
    <cellStyle name="Normal 42 29" xfId="38594"/>
    <cellStyle name="Normal 42 3" xfId="1830"/>
    <cellStyle name="Normal 42 3 10" xfId="9740"/>
    <cellStyle name="Normal 42 3 11" xfId="11492"/>
    <cellStyle name="Normal 42 3 12" xfId="13244"/>
    <cellStyle name="Normal 42 3 13" xfId="14996"/>
    <cellStyle name="Normal 42 3 14" xfId="16749"/>
    <cellStyle name="Normal 42 3 15" xfId="18501"/>
    <cellStyle name="Normal 42 3 16" xfId="20254"/>
    <cellStyle name="Normal 42 3 17" xfId="22006"/>
    <cellStyle name="Normal 42 3 18" xfId="23758"/>
    <cellStyle name="Normal 42 3 19" xfId="25510"/>
    <cellStyle name="Normal 42 3 2" xfId="1831"/>
    <cellStyle name="Normal 42 3 2 10" xfId="11600"/>
    <cellStyle name="Normal 42 3 2 11" xfId="13352"/>
    <cellStyle name="Normal 42 3 2 12" xfId="15104"/>
    <cellStyle name="Normal 42 3 2 13" xfId="16857"/>
    <cellStyle name="Normal 42 3 2 14" xfId="18609"/>
    <cellStyle name="Normal 42 3 2 15" xfId="20362"/>
    <cellStyle name="Normal 42 3 2 16" xfId="22114"/>
    <cellStyle name="Normal 42 3 2 17" xfId="23866"/>
    <cellStyle name="Normal 42 3 2 18" xfId="25618"/>
    <cellStyle name="Normal 42 3 2 19" xfId="27370"/>
    <cellStyle name="Normal 42 3 2 2" xfId="1832"/>
    <cellStyle name="Normal 42 3 2 2 10" xfId="13526"/>
    <cellStyle name="Normal 42 3 2 2 11" xfId="15278"/>
    <cellStyle name="Normal 42 3 2 2 12" xfId="17031"/>
    <cellStyle name="Normal 42 3 2 2 13" xfId="18783"/>
    <cellStyle name="Normal 42 3 2 2 14" xfId="20536"/>
    <cellStyle name="Normal 42 3 2 2 15" xfId="22288"/>
    <cellStyle name="Normal 42 3 2 2 16" xfId="24040"/>
    <cellStyle name="Normal 42 3 2 2 17" xfId="25792"/>
    <cellStyle name="Normal 42 3 2 2 18" xfId="27544"/>
    <cellStyle name="Normal 42 3 2 2 19" xfId="29297"/>
    <cellStyle name="Normal 42 3 2 2 2" xfId="1833"/>
    <cellStyle name="Normal 42 3 2 2 2 10" xfId="15714"/>
    <cellStyle name="Normal 42 3 2 2 2 11" xfId="17467"/>
    <cellStyle name="Normal 42 3 2 2 2 12" xfId="19219"/>
    <cellStyle name="Normal 42 3 2 2 2 13" xfId="20972"/>
    <cellStyle name="Normal 42 3 2 2 2 14" xfId="22724"/>
    <cellStyle name="Normal 42 3 2 2 2 15" xfId="24476"/>
    <cellStyle name="Normal 42 3 2 2 2 16" xfId="26228"/>
    <cellStyle name="Normal 42 3 2 2 2 17" xfId="27980"/>
    <cellStyle name="Normal 42 3 2 2 2 18" xfId="29733"/>
    <cellStyle name="Normal 42 3 2 2 2 19" xfId="31485"/>
    <cellStyle name="Normal 42 3 2 2 2 2" xfId="1834"/>
    <cellStyle name="Normal 42 3 2 2 2 2 10" xfId="18343"/>
    <cellStyle name="Normal 42 3 2 2 2 2 11" xfId="20095"/>
    <cellStyle name="Normal 42 3 2 2 2 2 12" xfId="21848"/>
    <cellStyle name="Normal 42 3 2 2 2 2 13" xfId="23600"/>
    <cellStyle name="Normal 42 3 2 2 2 2 14" xfId="25352"/>
    <cellStyle name="Normal 42 3 2 2 2 2 15" xfId="27104"/>
    <cellStyle name="Normal 42 3 2 2 2 2 16" xfId="28856"/>
    <cellStyle name="Normal 42 3 2 2 2 2 17" xfId="30609"/>
    <cellStyle name="Normal 42 3 2 2 2 2 18" xfId="32361"/>
    <cellStyle name="Normal 42 3 2 2 2 2 19" xfId="34114"/>
    <cellStyle name="Normal 42 3 2 2 2 2 2" xfId="4325"/>
    <cellStyle name="Normal 42 3 2 2 2 2 20" xfId="36750"/>
    <cellStyle name="Normal 42 3 2 2 2 2 21" xfId="38490"/>
    <cellStyle name="Normal 42 3 2 2 2 2 22" xfId="40243"/>
    <cellStyle name="Normal 42 3 2 2 2 2 23" xfId="41998"/>
    <cellStyle name="Normal 42 3 2 2 2 2 24" xfId="43750"/>
    <cellStyle name="Normal 42 3 2 2 2 2 25" xfId="46368"/>
    <cellStyle name="Normal 42 3 2 2 2 2 26" xfId="48120"/>
    <cellStyle name="Normal 42 3 2 2 2 2 27" xfId="49872"/>
    <cellStyle name="Normal 42 3 2 2 2 2 28" xfId="51624"/>
    <cellStyle name="Normal 42 3 2 2 2 2 29" xfId="53376"/>
    <cellStyle name="Normal 42 3 2 2 2 2 3" xfId="6077"/>
    <cellStyle name="Normal 42 3 2 2 2 2 30" xfId="55128"/>
    <cellStyle name="Normal 42 3 2 2 2 2 31" xfId="56880"/>
    <cellStyle name="Normal 42 3 2 2 2 2 32" xfId="58633"/>
    <cellStyle name="Normal 42 3 2 2 2 2 33" xfId="60385"/>
    <cellStyle name="Normal 42 3 2 2 2 2 34" xfId="62137"/>
    <cellStyle name="Normal 42 3 2 2 2 2 4" xfId="7829"/>
    <cellStyle name="Normal 42 3 2 2 2 2 5" xfId="9581"/>
    <cellStyle name="Normal 42 3 2 2 2 2 6" xfId="11334"/>
    <cellStyle name="Normal 42 3 2 2 2 2 7" xfId="13086"/>
    <cellStyle name="Normal 42 3 2 2 2 2 8" xfId="14838"/>
    <cellStyle name="Normal 42 3 2 2 2 2 9" xfId="16590"/>
    <cellStyle name="Normal 42 3 2 2 2 20" xfId="33238"/>
    <cellStyle name="Normal 42 3 2 2 2 21" xfId="34848"/>
    <cellStyle name="Normal 42 3 2 2 2 22" xfId="35874"/>
    <cellStyle name="Normal 42 3 2 2 2 23" xfId="37469"/>
    <cellStyle name="Normal 42 3 2 2 2 24" xfId="39367"/>
    <cellStyle name="Normal 42 3 2 2 2 25" xfId="41122"/>
    <cellStyle name="Normal 42 3 2 2 2 26" xfId="42874"/>
    <cellStyle name="Normal 42 3 2 2 2 27" xfId="44469"/>
    <cellStyle name="Normal 42 3 2 2 2 28" xfId="45492"/>
    <cellStyle name="Normal 42 3 2 2 2 29" xfId="47244"/>
    <cellStyle name="Normal 42 3 2 2 2 3" xfId="3449"/>
    <cellStyle name="Normal 42 3 2 2 2 30" xfId="48996"/>
    <cellStyle name="Normal 42 3 2 2 2 31" xfId="50748"/>
    <cellStyle name="Normal 42 3 2 2 2 32" xfId="52500"/>
    <cellStyle name="Normal 42 3 2 2 2 33" xfId="54252"/>
    <cellStyle name="Normal 42 3 2 2 2 34" xfId="56004"/>
    <cellStyle name="Normal 42 3 2 2 2 35" xfId="57757"/>
    <cellStyle name="Normal 42 3 2 2 2 36" xfId="59509"/>
    <cellStyle name="Normal 42 3 2 2 2 37" xfId="61261"/>
    <cellStyle name="Normal 42 3 2 2 2 38" xfId="62856"/>
    <cellStyle name="Normal 42 3 2 2 2 39" xfId="63722"/>
    <cellStyle name="Normal 42 3 2 2 2 4" xfId="5201"/>
    <cellStyle name="Normal 42 3 2 2 2 5" xfId="6953"/>
    <cellStyle name="Normal 42 3 2 2 2 6" xfId="8705"/>
    <cellStyle name="Normal 42 3 2 2 2 7" xfId="10458"/>
    <cellStyle name="Normal 42 3 2 2 2 8" xfId="12210"/>
    <cellStyle name="Normal 42 3 2 2 2 9" xfId="13962"/>
    <cellStyle name="Normal 42 3 2 2 20" xfId="31049"/>
    <cellStyle name="Normal 42 3 2 2 21" xfId="32802"/>
    <cellStyle name="Normal 42 3 2 2 22" xfId="34847"/>
    <cellStyle name="Normal 42 3 2 2 23" xfId="35438"/>
    <cellStyle name="Normal 42 3 2 2 24" xfId="37468"/>
    <cellStyle name="Normal 42 3 2 2 25" xfId="38931"/>
    <cellStyle name="Normal 42 3 2 2 26" xfId="40686"/>
    <cellStyle name="Normal 42 3 2 2 27" xfId="42438"/>
    <cellStyle name="Normal 42 3 2 2 28" xfId="44468"/>
    <cellStyle name="Normal 42 3 2 2 29" xfId="45056"/>
    <cellStyle name="Normal 42 3 2 2 3" xfId="1835"/>
    <cellStyle name="Normal 42 3 2 2 3 10" xfId="17907"/>
    <cellStyle name="Normal 42 3 2 2 3 11" xfId="19659"/>
    <cellStyle name="Normal 42 3 2 2 3 12" xfId="21412"/>
    <cellStyle name="Normal 42 3 2 2 3 13" xfId="23164"/>
    <cellStyle name="Normal 42 3 2 2 3 14" xfId="24916"/>
    <cellStyle name="Normal 42 3 2 2 3 15" xfId="26668"/>
    <cellStyle name="Normal 42 3 2 2 3 16" xfId="28420"/>
    <cellStyle name="Normal 42 3 2 2 3 17" xfId="30173"/>
    <cellStyle name="Normal 42 3 2 2 3 18" xfId="31925"/>
    <cellStyle name="Normal 42 3 2 2 3 19" xfId="33678"/>
    <cellStyle name="Normal 42 3 2 2 3 2" xfId="3889"/>
    <cellStyle name="Normal 42 3 2 2 3 20" xfId="36314"/>
    <cellStyle name="Normal 42 3 2 2 3 21" xfId="38054"/>
    <cellStyle name="Normal 42 3 2 2 3 22" xfId="39807"/>
    <cellStyle name="Normal 42 3 2 2 3 23" xfId="41562"/>
    <cellStyle name="Normal 42 3 2 2 3 24" xfId="43314"/>
    <cellStyle name="Normal 42 3 2 2 3 25" xfId="45932"/>
    <cellStyle name="Normal 42 3 2 2 3 26" xfId="47684"/>
    <cellStyle name="Normal 42 3 2 2 3 27" xfId="49436"/>
    <cellStyle name="Normal 42 3 2 2 3 28" xfId="51188"/>
    <cellStyle name="Normal 42 3 2 2 3 29" xfId="52940"/>
    <cellStyle name="Normal 42 3 2 2 3 3" xfId="5641"/>
    <cellStyle name="Normal 42 3 2 2 3 30" xfId="54692"/>
    <cellStyle name="Normal 42 3 2 2 3 31" xfId="56444"/>
    <cellStyle name="Normal 42 3 2 2 3 32" xfId="58197"/>
    <cellStyle name="Normal 42 3 2 2 3 33" xfId="59949"/>
    <cellStyle name="Normal 42 3 2 2 3 34" xfId="61701"/>
    <cellStyle name="Normal 42 3 2 2 3 4" xfId="7393"/>
    <cellStyle name="Normal 42 3 2 2 3 5" xfId="9145"/>
    <cellStyle name="Normal 42 3 2 2 3 6" xfId="10898"/>
    <cellStyle name="Normal 42 3 2 2 3 7" xfId="12650"/>
    <cellStyle name="Normal 42 3 2 2 3 8" xfId="14402"/>
    <cellStyle name="Normal 42 3 2 2 3 9" xfId="16154"/>
    <cellStyle name="Normal 42 3 2 2 30" xfId="46808"/>
    <cellStyle name="Normal 42 3 2 2 31" xfId="48560"/>
    <cellStyle name="Normal 42 3 2 2 32" xfId="50312"/>
    <cellStyle name="Normal 42 3 2 2 33" xfId="52064"/>
    <cellStyle name="Normal 42 3 2 2 34" xfId="53816"/>
    <cellStyle name="Normal 42 3 2 2 35" xfId="55568"/>
    <cellStyle name="Normal 42 3 2 2 36" xfId="57321"/>
    <cellStyle name="Normal 42 3 2 2 37" xfId="59073"/>
    <cellStyle name="Normal 42 3 2 2 38" xfId="60825"/>
    <cellStyle name="Normal 42 3 2 2 39" xfId="62855"/>
    <cellStyle name="Normal 42 3 2 2 4" xfId="3013"/>
    <cellStyle name="Normal 42 3 2 2 40" xfId="63721"/>
    <cellStyle name="Normal 42 3 2 2 5" xfId="4765"/>
    <cellStyle name="Normal 42 3 2 2 6" xfId="6517"/>
    <cellStyle name="Normal 42 3 2 2 7" xfId="8269"/>
    <cellStyle name="Normal 42 3 2 2 8" xfId="10022"/>
    <cellStyle name="Normal 42 3 2 2 9" xfId="11774"/>
    <cellStyle name="Normal 42 3 2 20" xfId="29123"/>
    <cellStyle name="Normal 42 3 2 21" xfId="30875"/>
    <cellStyle name="Normal 42 3 2 22" xfId="32628"/>
    <cellStyle name="Normal 42 3 2 23" xfId="34846"/>
    <cellStyle name="Normal 42 3 2 24" xfId="35264"/>
    <cellStyle name="Normal 42 3 2 25" xfId="37467"/>
    <cellStyle name="Normal 42 3 2 26" xfId="38757"/>
    <cellStyle name="Normal 42 3 2 27" xfId="40512"/>
    <cellStyle name="Normal 42 3 2 28" xfId="42264"/>
    <cellStyle name="Normal 42 3 2 29" xfId="44467"/>
    <cellStyle name="Normal 42 3 2 3" xfId="1836"/>
    <cellStyle name="Normal 42 3 2 3 10" xfId="15540"/>
    <cellStyle name="Normal 42 3 2 3 11" xfId="17293"/>
    <cellStyle name="Normal 42 3 2 3 12" xfId="19045"/>
    <cellStyle name="Normal 42 3 2 3 13" xfId="20798"/>
    <cellStyle name="Normal 42 3 2 3 14" xfId="22550"/>
    <cellStyle name="Normal 42 3 2 3 15" xfId="24302"/>
    <cellStyle name="Normal 42 3 2 3 16" xfId="26054"/>
    <cellStyle name="Normal 42 3 2 3 17" xfId="27806"/>
    <cellStyle name="Normal 42 3 2 3 18" xfId="29559"/>
    <cellStyle name="Normal 42 3 2 3 19" xfId="31311"/>
    <cellStyle name="Normal 42 3 2 3 2" xfId="1837"/>
    <cellStyle name="Normal 42 3 2 3 2 10" xfId="18169"/>
    <cellStyle name="Normal 42 3 2 3 2 11" xfId="19921"/>
    <cellStyle name="Normal 42 3 2 3 2 12" xfId="21674"/>
    <cellStyle name="Normal 42 3 2 3 2 13" xfId="23426"/>
    <cellStyle name="Normal 42 3 2 3 2 14" xfId="25178"/>
    <cellStyle name="Normal 42 3 2 3 2 15" xfId="26930"/>
    <cellStyle name="Normal 42 3 2 3 2 16" xfId="28682"/>
    <cellStyle name="Normal 42 3 2 3 2 17" xfId="30435"/>
    <cellStyle name="Normal 42 3 2 3 2 18" xfId="32187"/>
    <cellStyle name="Normal 42 3 2 3 2 19" xfId="33940"/>
    <cellStyle name="Normal 42 3 2 3 2 2" xfId="4151"/>
    <cellStyle name="Normal 42 3 2 3 2 20" xfId="36576"/>
    <cellStyle name="Normal 42 3 2 3 2 21" xfId="38316"/>
    <cellStyle name="Normal 42 3 2 3 2 22" xfId="40069"/>
    <cellStyle name="Normal 42 3 2 3 2 23" xfId="41824"/>
    <cellStyle name="Normal 42 3 2 3 2 24" xfId="43576"/>
    <cellStyle name="Normal 42 3 2 3 2 25" xfId="46194"/>
    <cellStyle name="Normal 42 3 2 3 2 26" xfId="47946"/>
    <cellStyle name="Normal 42 3 2 3 2 27" xfId="49698"/>
    <cellStyle name="Normal 42 3 2 3 2 28" xfId="51450"/>
    <cellStyle name="Normal 42 3 2 3 2 29" xfId="53202"/>
    <cellStyle name="Normal 42 3 2 3 2 3" xfId="5903"/>
    <cellStyle name="Normal 42 3 2 3 2 30" xfId="54954"/>
    <cellStyle name="Normal 42 3 2 3 2 31" xfId="56706"/>
    <cellStyle name="Normal 42 3 2 3 2 32" xfId="58459"/>
    <cellStyle name="Normal 42 3 2 3 2 33" xfId="60211"/>
    <cellStyle name="Normal 42 3 2 3 2 34" xfId="61963"/>
    <cellStyle name="Normal 42 3 2 3 2 4" xfId="7655"/>
    <cellStyle name="Normal 42 3 2 3 2 5" xfId="9407"/>
    <cellStyle name="Normal 42 3 2 3 2 6" xfId="11160"/>
    <cellStyle name="Normal 42 3 2 3 2 7" xfId="12912"/>
    <cellStyle name="Normal 42 3 2 3 2 8" xfId="14664"/>
    <cellStyle name="Normal 42 3 2 3 2 9" xfId="16416"/>
    <cellStyle name="Normal 42 3 2 3 20" xfId="33064"/>
    <cellStyle name="Normal 42 3 2 3 21" xfId="34849"/>
    <cellStyle name="Normal 42 3 2 3 22" xfId="35700"/>
    <cellStyle name="Normal 42 3 2 3 23" xfId="37470"/>
    <cellStyle name="Normal 42 3 2 3 24" xfId="39193"/>
    <cellStyle name="Normal 42 3 2 3 25" xfId="40948"/>
    <cellStyle name="Normal 42 3 2 3 26" xfId="42700"/>
    <cellStyle name="Normal 42 3 2 3 27" xfId="44470"/>
    <cellStyle name="Normal 42 3 2 3 28" xfId="45318"/>
    <cellStyle name="Normal 42 3 2 3 29" xfId="47070"/>
    <cellStyle name="Normal 42 3 2 3 3" xfId="3275"/>
    <cellStyle name="Normal 42 3 2 3 30" xfId="48822"/>
    <cellStyle name="Normal 42 3 2 3 31" xfId="50574"/>
    <cellStyle name="Normal 42 3 2 3 32" xfId="52326"/>
    <cellStyle name="Normal 42 3 2 3 33" xfId="54078"/>
    <cellStyle name="Normal 42 3 2 3 34" xfId="55830"/>
    <cellStyle name="Normal 42 3 2 3 35" xfId="57583"/>
    <cellStyle name="Normal 42 3 2 3 36" xfId="59335"/>
    <cellStyle name="Normal 42 3 2 3 37" xfId="61087"/>
    <cellStyle name="Normal 42 3 2 3 38" xfId="62857"/>
    <cellStyle name="Normal 42 3 2 3 39" xfId="63723"/>
    <cellStyle name="Normal 42 3 2 3 4" xfId="5027"/>
    <cellStyle name="Normal 42 3 2 3 5" xfId="6779"/>
    <cellStyle name="Normal 42 3 2 3 6" xfId="8531"/>
    <cellStyle name="Normal 42 3 2 3 7" xfId="10284"/>
    <cellStyle name="Normal 42 3 2 3 8" xfId="12036"/>
    <cellStyle name="Normal 42 3 2 3 9" xfId="13788"/>
    <cellStyle name="Normal 42 3 2 30" xfId="44882"/>
    <cellStyle name="Normal 42 3 2 31" xfId="46634"/>
    <cellStyle name="Normal 42 3 2 32" xfId="48386"/>
    <cellStyle name="Normal 42 3 2 33" xfId="50138"/>
    <cellStyle name="Normal 42 3 2 34" xfId="51890"/>
    <cellStyle name="Normal 42 3 2 35" xfId="53642"/>
    <cellStyle name="Normal 42 3 2 36" xfId="55394"/>
    <cellStyle name="Normal 42 3 2 37" xfId="57147"/>
    <cellStyle name="Normal 42 3 2 38" xfId="58899"/>
    <cellStyle name="Normal 42 3 2 39" xfId="60651"/>
    <cellStyle name="Normal 42 3 2 4" xfId="1838"/>
    <cellStyle name="Normal 42 3 2 4 10" xfId="17733"/>
    <cellStyle name="Normal 42 3 2 4 11" xfId="19485"/>
    <cellStyle name="Normal 42 3 2 4 12" xfId="21238"/>
    <cellStyle name="Normal 42 3 2 4 13" xfId="22990"/>
    <cellStyle name="Normal 42 3 2 4 14" xfId="24742"/>
    <cellStyle name="Normal 42 3 2 4 15" xfId="26494"/>
    <cellStyle name="Normal 42 3 2 4 16" xfId="28246"/>
    <cellStyle name="Normal 42 3 2 4 17" xfId="29999"/>
    <cellStyle name="Normal 42 3 2 4 18" xfId="31751"/>
    <cellStyle name="Normal 42 3 2 4 19" xfId="33504"/>
    <cellStyle name="Normal 42 3 2 4 2" xfId="3715"/>
    <cellStyle name="Normal 42 3 2 4 20" xfId="36140"/>
    <cellStyle name="Normal 42 3 2 4 21" xfId="37880"/>
    <cellStyle name="Normal 42 3 2 4 22" xfId="39633"/>
    <cellStyle name="Normal 42 3 2 4 23" xfId="41388"/>
    <cellStyle name="Normal 42 3 2 4 24" xfId="43140"/>
    <cellStyle name="Normal 42 3 2 4 25" xfId="45758"/>
    <cellStyle name="Normal 42 3 2 4 26" xfId="47510"/>
    <cellStyle name="Normal 42 3 2 4 27" xfId="49262"/>
    <cellStyle name="Normal 42 3 2 4 28" xfId="51014"/>
    <cellStyle name="Normal 42 3 2 4 29" xfId="52766"/>
    <cellStyle name="Normal 42 3 2 4 3" xfId="5467"/>
    <cellStyle name="Normal 42 3 2 4 30" xfId="54518"/>
    <cellStyle name="Normal 42 3 2 4 31" xfId="56270"/>
    <cellStyle name="Normal 42 3 2 4 32" xfId="58023"/>
    <cellStyle name="Normal 42 3 2 4 33" xfId="59775"/>
    <cellStyle name="Normal 42 3 2 4 34" xfId="61527"/>
    <cellStyle name="Normal 42 3 2 4 4" xfId="7219"/>
    <cellStyle name="Normal 42 3 2 4 5" xfId="8971"/>
    <cellStyle name="Normal 42 3 2 4 6" xfId="10724"/>
    <cellStyle name="Normal 42 3 2 4 7" xfId="12476"/>
    <cellStyle name="Normal 42 3 2 4 8" xfId="14228"/>
    <cellStyle name="Normal 42 3 2 4 9" xfId="15980"/>
    <cellStyle name="Normal 42 3 2 40" xfId="62854"/>
    <cellStyle name="Normal 42 3 2 41" xfId="63720"/>
    <cellStyle name="Normal 42 3 2 5" xfId="2839"/>
    <cellStyle name="Normal 42 3 2 6" xfId="4591"/>
    <cellStyle name="Normal 42 3 2 7" xfId="6343"/>
    <cellStyle name="Normal 42 3 2 8" xfId="8095"/>
    <cellStyle name="Normal 42 3 2 9" xfId="9848"/>
    <cellStyle name="Normal 42 3 20" xfId="27262"/>
    <cellStyle name="Normal 42 3 21" xfId="29015"/>
    <cellStyle name="Normal 42 3 22" xfId="30767"/>
    <cellStyle name="Normal 42 3 23" xfId="32520"/>
    <cellStyle name="Normal 42 3 24" xfId="34845"/>
    <cellStyle name="Normal 42 3 25" xfId="35156"/>
    <cellStyle name="Normal 42 3 26" xfId="37466"/>
    <cellStyle name="Normal 42 3 27" xfId="38649"/>
    <cellStyle name="Normal 42 3 28" xfId="40404"/>
    <cellStyle name="Normal 42 3 29" xfId="42156"/>
    <cellStyle name="Normal 42 3 3" xfId="1839"/>
    <cellStyle name="Normal 42 3 3 10" xfId="13527"/>
    <cellStyle name="Normal 42 3 3 11" xfId="15279"/>
    <cellStyle name="Normal 42 3 3 12" xfId="17032"/>
    <cellStyle name="Normal 42 3 3 13" xfId="18784"/>
    <cellStyle name="Normal 42 3 3 14" xfId="20537"/>
    <cellStyle name="Normal 42 3 3 15" xfId="22289"/>
    <cellStyle name="Normal 42 3 3 16" xfId="24041"/>
    <cellStyle name="Normal 42 3 3 17" xfId="25793"/>
    <cellStyle name="Normal 42 3 3 18" xfId="27545"/>
    <cellStyle name="Normal 42 3 3 19" xfId="29298"/>
    <cellStyle name="Normal 42 3 3 2" xfId="1840"/>
    <cellStyle name="Normal 42 3 3 2 10" xfId="15715"/>
    <cellStyle name="Normal 42 3 3 2 11" xfId="17468"/>
    <cellStyle name="Normal 42 3 3 2 12" xfId="19220"/>
    <cellStyle name="Normal 42 3 3 2 13" xfId="20973"/>
    <cellStyle name="Normal 42 3 3 2 14" xfId="22725"/>
    <cellStyle name="Normal 42 3 3 2 15" xfId="24477"/>
    <cellStyle name="Normal 42 3 3 2 16" xfId="26229"/>
    <cellStyle name="Normal 42 3 3 2 17" xfId="27981"/>
    <cellStyle name="Normal 42 3 3 2 18" xfId="29734"/>
    <cellStyle name="Normal 42 3 3 2 19" xfId="31486"/>
    <cellStyle name="Normal 42 3 3 2 2" xfId="1841"/>
    <cellStyle name="Normal 42 3 3 2 2 10" xfId="18344"/>
    <cellStyle name="Normal 42 3 3 2 2 11" xfId="20096"/>
    <cellStyle name="Normal 42 3 3 2 2 12" xfId="21849"/>
    <cellStyle name="Normal 42 3 3 2 2 13" xfId="23601"/>
    <cellStyle name="Normal 42 3 3 2 2 14" xfId="25353"/>
    <cellStyle name="Normal 42 3 3 2 2 15" xfId="27105"/>
    <cellStyle name="Normal 42 3 3 2 2 16" xfId="28857"/>
    <cellStyle name="Normal 42 3 3 2 2 17" xfId="30610"/>
    <cellStyle name="Normal 42 3 3 2 2 18" xfId="32362"/>
    <cellStyle name="Normal 42 3 3 2 2 19" xfId="34115"/>
    <cellStyle name="Normal 42 3 3 2 2 2" xfId="4326"/>
    <cellStyle name="Normal 42 3 3 2 2 20" xfId="36751"/>
    <cellStyle name="Normal 42 3 3 2 2 21" xfId="38491"/>
    <cellStyle name="Normal 42 3 3 2 2 22" xfId="40244"/>
    <cellStyle name="Normal 42 3 3 2 2 23" xfId="41999"/>
    <cellStyle name="Normal 42 3 3 2 2 24" xfId="43751"/>
    <cellStyle name="Normal 42 3 3 2 2 25" xfId="46369"/>
    <cellStyle name="Normal 42 3 3 2 2 26" xfId="48121"/>
    <cellStyle name="Normal 42 3 3 2 2 27" xfId="49873"/>
    <cellStyle name="Normal 42 3 3 2 2 28" xfId="51625"/>
    <cellStyle name="Normal 42 3 3 2 2 29" xfId="53377"/>
    <cellStyle name="Normal 42 3 3 2 2 3" xfId="6078"/>
    <cellStyle name="Normal 42 3 3 2 2 30" xfId="55129"/>
    <cellStyle name="Normal 42 3 3 2 2 31" xfId="56881"/>
    <cellStyle name="Normal 42 3 3 2 2 32" xfId="58634"/>
    <cellStyle name="Normal 42 3 3 2 2 33" xfId="60386"/>
    <cellStyle name="Normal 42 3 3 2 2 34" xfId="62138"/>
    <cellStyle name="Normal 42 3 3 2 2 4" xfId="7830"/>
    <cellStyle name="Normal 42 3 3 2 2 5" xfId="9582"/>
    <cellStyle name="Normal 42 3 3 2 2 6" xfId="11335"/>
    <cellStyle name="Normal 42 3 3 2 2 7" xfId="13087"/>
    <cellStyle name="Normal 42 3 3 2 2 8" xfId="14839"/>
    <cellStyle name="Normal 42 3 3 2 2 9" xfId="16591"/>
    <cellStyle name="Normal 42 3 3 2 20" xfId="33239"/>
    <cellStyle name="Normal 42 3 3 2 21" xfId="34851"/>
    <cellStyle name="Normal 42 3 3 2 22" xfId="35875"/>
    <cellStyle name="Normal 42 3 3 2 23" xfId="37472"/>
    <cellStyle name="Normal 42 3 3 2 24" xfId="39368"/>
    <cellStyle name="Normal 42 3 3 2 25" xfId="41123"/>
    <cellStyle name="Normal 42 3 3 2 26" xfId="42875"/>
    <cellStyle name="Normal 42 3 3 2 27" xfId="44472"/>
    <cellStyle name="Normal 42 3 3 2 28" xfId="45493"/>
    <cellStyle name="Normal 42 3 3 2 29" xfId="47245"/>
    <cellStyle name="Normal 42 3 3 2 3" xfId="3450"/>
    <cellStyle name="Normal 42 3 3 2 30" xfId="48997"/>
    <cellStyle name="Normal 42 3 3 2 31" xfId="50749"/>
    <cellStyle name="Normal 42 3 3 2 32" xfId="52501"/>
    <cellStyle name="Normal 42 3 3 2 33" xfId="54253"/>
    <cellStyle name="Normal 42 3 3 2 34" xfId="56005"/>
    <cellStyle name="Normal 42 3 3 2 35" xfId="57758"/>
    <cellStyle name="Normal 42 3 3 2 36" xfId="59510"/>
    <cellStyle name="Normal 42 3 3 2 37" xfId="61262"/>
    <cellStyle name="Normal 42 3 3 2 38" xfId="62859"/>
    <cellStyle name="Normal 42 3 3 2 39" xfId="63725"/>
    <cellStyle name="Normal 42 3 3 2 4" xfId="5202"/>
    <cellStyle name="Normal 42 3 3 2 5" xfId="6954"/>
    <cellStyle name="Normal 42 3 3 2 6" xfId="8706"/>
    <cellStyle name="Normal 42 3 3 2 7" xfId="10459"/>
    <cellStyle name="Normal 42 3 3 2 8" xfId="12211"/>
    <cellStyle name="Normal 42 3 3 2 9" xfId="13963"/>
    <cellStyle name="Normal 42 3 3 20" xfId="31050"/>
    <cellStyle name="Normal 42 3 3 21" xfId="32803"/>
    <cellStyle name="Normal 42 3 3 22" xfId="34850"/>
    <cellStyle name="Normal 42 3 3 23" xfId="35439"/>
    <cellStyle name="Normal 42 3 3 24" xfId="37471"/>
    <cellStyle name="Normal 42 3 3 25" xfId="38932"/>
    <cellStyle name="Normal 42 3 3 26" xfId="40687"/>
    <cellStyle name="Normal 42 3 3 27" xfId="42439"/>
    <cellStyle name="Normal 42 3 3 28" xfId="44471"/>
    <cellStyle name="Normal 42 3 3 29" xfId="45057"/>
    <cellStyle name="Normal 42 3 3 3" xfId="1842"/>
    <cellStyle name="Normal 42 3 3 3 10" xfId="17908"/>
    <cellStyle name="Normal 42 3 3 3 11" xfId="19660"/>
    <cellStyle name="Normal 42 3 3 3 12" xfId="21413"/>
    <cellStyle name="Normal 42 3 3 3 13" xfId="23165"/>
    <cellStyle name="Normal 42 3 3 3 14" xfId="24917"/>
    <cellStyle name="Normal 42 3 3 3 15" xfId="26669"/>
    <cellStyle name="Normal 42 3 3 3 16" xfId="28421"/>
    <cellStyle name="Normal 42 3 3 3 17" xfId="30174"/>
    <cellStyle name="Normal 42 3 3 3 18" xfId="31926"/>
    <cellStyle name="Normal 42 3 3 3 19" xfId="33679"/>
    <cellStyle name="Normal 42 3 3 3 2" xfId="3890"/>
    <cellStyle name="Normal 42 3 3 3 20" xfId="36315"/>
    <cellStyle name="Normal 42 3 3 3 21" xfId="38055"/>
    <cellStyle name="Normal 42 3 3 3 22" xfId="39808"/>
    <cellStyle name="Normal 42 3 3 3 23" xfId="41563"/>
    <cellStyle name="Normal 42 3 3 3 24" xfId="43315"/>
    <cellStyle name="Normal 42 3 3 3 25" xfId="45933"/>
    <cellStyle name="Normal 42 3 3 3 26" xfId="47685"/>
    <cellStyle name="Normal 42 3 3 3 27" xfId="49437"/>
    <cellStyle name="Normal 42 3 3 3 28" xfId="51189"/>
    <cellStyle name="Normal 42 3 3 3 29" xfId="52941"/>
    <cellStyle name="Normal 42 3 3 3 3" xfId="5642"/>
    <cellStyle name="Normal 42 3 3 3 30" xfId="54693"/>
    <cellStyle name="Normal 42 3 3 3 31" xfId="56445"/>
    <cellStyle name="Normal 42 3 3 3 32" xfId="58198"/>
    <cellStyle name="Normal 42 3 3 3 33" xfId="59950"/>
    <cellStyle name="Normal 42 3 3 3 34" xfId="61702"/>
    <cellStyle name="Normal 42 3 3 3 4" xfId="7394"/>
    <cellStyle name="Normal 42 3 3 3 5" xfId="9146"/>
    <cellStyle name="Normal 42 3 3 3 6" xfId="10899"/>
    <cellStyle name="Normal 42 3 3 3 7" xfId="12651"/>
    <cellStyle name="Normal 42 3 3 3 8" xfId="14403"/>
    <cellStyle name="Normal 42 3 3 3 9" xfId="16155"/>
    <cellStyle name="Normal 42 3 3 30" xfId="46809"/>
    <cellStyle name="Normal 42 3 3 31" xfId="48561"/>
    <cellStyle name="Normal 42 3 3 32" xfId="50313"/>
    <cellStyle name="Normal 42 3 3 33" xfId="52065"/>
    <cellStyle name="Normal 42 3 3 34" xfId="53817"/>
    <cellStyle name="Normal 42 3 3 35" xfId="55569"/>
    <cellStyle name="Normal 42 3 3 36" xfId="57322"/>
    <cellStyle name="Normal 42 3 3 37" xfId="59074"/>
    <cellStyle name="Normal 42 3 3 38" xfId="60826"/>
    <cellStyle name="Normal 42 3 3 39" xfId="62858"/>
    <cellStyle name="Normal 42 3 3 4" xfId="3014"/>
    <cellStyle name="Normal 42 3 3 40" xfId="63724"/>
    <cellStyle name="Normal 42 3 3 5" xfId="4766"/>
    <cellStyle name="Normal 42 3 3 6" xfId="6518"/>
    <cellStyle name="Normal 42 3 3 7" xfId="8270"/>
    <cellStyle name="Normal 42 3 3 8" xfId="10023"/>
    <cellStyle name="Normal 42 3 3 9" xfId="11775"/>
    <cellStyle name="Normal 42 3 30" xfId="44466"/>
    <cellStyle name="Normal 42 3 31" xfId="44774"/>
    <cellStyle name="Normal 42 3 32" xfId="46526"/>
    <cellStyle name="Normal 42 3 33" xfId="48278"/>
    <cellStyle name="Normal 42 3 34" xfId="50030"/>
    <cellStyle name="Normal 42 3 35" xfId="51782"/>
    <cellStyle name="Normal 42 3 36" xfId="53534"/>
    <cellStyle name="Normal 42 3 37" xfId="55286"/>
    <cellStyle name="Normal 42 3 38" xfId="57039"/>
    <cellStyle name="Normal 42 3 39" xfId="58791"/>
    <cellStyle name="Normal 42 3 4" xfId="1843"/>
    <cellStyle name="Normal 42 3 4 10" xfId="15432"/>
    <cellStyle name="Normal 42 3 4 11" xfId="17185"/>
    <cellStyle name="Normal 42 3 4 12" xfId="18937"/>
    <cellStyle name="Normal 42 3 4 13" xfId="20690"/>
    <cellStyle name="Normal 42 3 4 14" xfId="22442"/>
    <cellStyle name="Normal 42 3 4 15" xfId="24194"/>
    <cellStyle name="Normal 42 3 4 16" xfId="25946"/>
    <cellStyle name="Normal 42 3 4 17" xfId="27698"/>
    <cellStyle name="Normal 42 3 4 18" xfId="29451"/>
    <cellStyle name="Normal 42 3 4 19" xfId="31203"/>
    <cellStyle name="Normal 42 3 4 2" xfId="1844"/>
    <cellStyle name="Normal 42 3 4 2 10" xfId="18061"/>
    <cellStyle name="Normal 42 3 4 2 11" xfId="19813"/>
    <cellStyle name="Normal 42 3 4 2 12" xfId="21566"/>
    <cellStyle name="Normal 42 3 4 2 13" xfId="23318"/>
    <cellStyle name="Normal 42 3 4 2 14" xfId="25070"/>
    <cellStyle name="Normal 42 3 4 2 15" xfId="26822"/>
    <cellStyle name="Normal 42 3 4 2 16" xfId="28574"/>
    <cellStyle name="Normal 42 3 4 2 17" xfId="30327"/>
    <cellStyle name="Normal 42 3 4 2 18" xfId="32079"/>
    <cellStyle name="Normal 42 3 4 2 19" xfId="33832"/>
    <cellStyle name="Normal 42 3 4 2 2" xfId="4043"/>
    <cellStyle name="Normal 42 3 4 2 20" xfId="36468"/>
    <cellStyle name="Normal 42 3 4 2 21" xfId="38208"/>
    <cellStyle name="Normal 42 3 4 2 22" xfId="39961"/>
    <cellStyle name="Normal 42 3 4 2 23" xfId="41716"/>
    <cellStyle name="Normal 42 3 4 2 24" xfId="43468"/>
    <cellStyle name="Normal 42 3 4 2 25" xfId="46086"/>
    <cellStyle name="Normal 42 3 4 2 26" xfId="47838"/>
    <cellStyle name="Normal 42 3 4 2 27" xfId="49590"/>
    <cellStyle name="Normal 42 3 4 2 28" xfId="51342"/>
    <cellStyle name="Normal 42 3 4 2 29" xfId="53094"/>
    <cellStyle name="Normal 42 3 4 2 3" xfId="5795"/>
    <cellStyle name="Normal 42 3 4 2 30" xfId="54846"/>
    <cellStyle name="Normal 42 3 4 2 31" xfId="56598"/>
    <cellStyle name="Normal 42 3 4 2 32" xfId="58351"/>
    <cellStyle name="Normal 42 3 4 2 33" xfId="60103"/>
    <cellStyle name="Normal 42 3 4 2 34" xfId="61855"/>
    <cellStyle name="Normal 42 3 4 2 4" xfId="7547"/>
    <cellStyle name="Normal 42 3 4 2 5" xfId="9299"/>
    <cellStyle name="Normal 42 3 4 2 6" xfId="11052"/>
    <cellStyle name="Normal 42 3 4 2 7" xfId="12804"/>
    <cellStyle name="Normal 42 3 4 2 8" xfId="14556"/>
    <cellStyle name="Normal 42 3 4 2 9" xfId="16308"/>
    <cellStyle name="Normal 42 3 4 20" xfId="32956"/>
    <cellStyle name="Normal 42 3 4 21" xfId="34852"/>
    <cellStyle name="Normal 42 3 4 22" xfId="35592"/>
    <cellStyle name="Normal 42 3 4 23" xfId="37473"/>
    <cellStyle name="Normal 42 3 4 24" xfId="39085"/>
    <cellStyle name="Normal 42 3 4 25" xfId="40840"/>
    <cellStyle name="Normal 42 3 4 26" xfId="42592"/>
    <cellStyle name="Normal 42 3 4 27" xfId="44473"/>
    <cellStyle name="Normal 42 3 4 28" xfId="45210"/>
    <cellStyle name="Normal 42 3 4 29" xfId="46962"/>
    <cellStyle name="Normal 42 3 4 3" xfId="3167"/>
    <cellStyle name="Normal 42 3 4 30" xfId="48714"/>
    <cellStyle name="Normal 42 3 4 31" xfId="50466"/>
    <cellStyle name="Normal 42 3 4 32" xfId="52218"/>
    <cellStyle name="Normal 42 3 4 33" xfId="53970"/>
    <cellStyle name="Normal 42 3 4 34" xfId="55722"/>
    <cellStyle name="Normal 42 3 4 35" xfId="57475"/>
    <cellStyle name="Normal 42 3 4 36" xfId="59227"/>
    <cellStyle name="Normal 42 3 4 37" xfId="60979"/>
    <cellStyle name="Normal 42 3 4 38" xfId="62860"/>
    <cellStyle name="Normal 42 3 4 39" xfId="63726"/>
    <cellStyle name="Normal 42 3 4 4" xfId="4919"/>
    <cellStyle name="Normal 42 3 4 5" xfId="6671"/>
    <cellStyle name="Normal 42 3 4 6" xfId="8423"/>
    <cellStyle name="Normal 42 3 4 7" xfId="10176"/>
    <cellStyle name="Normal 42 3 4 8" xfId="11928"/>
    <cellStyle name="Normal 42 3 4 9" xfId="13680"/>
    <cellStyle name="Normal 42 3 40" xfId="60543"/>
    <cellStyle name="Normal 42 3 41" xfId="62853"/>
    <cellStyle name="Normal 42 3 42" xfId="63719"/>
    <cellStyle name="Normal 42 3 5" xfId="1845"/>
    <cellStyle name="Normal 42 3 5 10" xfId="17625"/>
    <cellStyle name="Normal 42 3 5 11" xfId="19377"/>
    <cellStyle name="Normal 42 3 5 12" xfId="21130"/>
    <cellStyle name="Normal 42 3 5 13" xfId="22882"/>
    <cellStyle name="Normal 42 3 5 14" xfId="24634"/>
    <cellStyle name="Normal 42 3 5 15" xfId="26386"/>
    <cellStyle name="Normal 42 3 5 16" xfId="28138"/>
    <cellStyle name="Normal 42 3 5 17" xfId="29891"/>
    <cellStyle name="Normal 42 3 5 18" xfId="31643"/>
    <cellStyle name="Normal 42 3 5 19" xfId="33396"/>
    <cellStyle name="Normal 42 3 5 2" xfId="3607"/>
    <cellStyle name="Normal 42 3 5 20" xfId="36032"/>
    <cellStyle name="Normal 42 3 5 21" xfId="37772"/>
    <cellStyle name="Normal 42 3 5 22" xfId="39525"/>
    <cellStyle name="Normal 42 3 5 23" xfId="41280"/>
    <cellStyle name="Normal 42 3 5 24" xfId="43032"/>
    <cellStyle name="Normal 42 3 5 25" xfId="45650"/>
    <cellStyle name="Normal 42 3 5 26" xfId="47402"/>
    <cellStyle name="Normal 42 3 5 27" xfId="49154"/>
    <cellStyle name="Normal 42 3 5 28" xfId="50906"/>
    <cellStyle name="Normal 42 3 5 29" xfId="52658"/>
    <cellStyle name="Normal 42 3 5 3" xfId="5359"/>
    <cellStyle name="Normal 42 3 5 30" xfId="54410"/>
    <cellStyle name="Normal 42 3 5 31" xfId="56162"/>
    <cellStyle name="Normal 42 3 5 32" xfId="57915"/>
    <cellStyle name="Normal 42 3 5 33" xfId="59667"/>
    <cellStyle name="Normal 42 3 5 34" xfId="61419"/>
    <cellStyle name="Normal 42 3 5 4" xfId="7111"/>
    <cellStyle name="Normal 42 3 5 5" xfId="8863"/>
    <cellStyle name="Normal 42 3 5 6" xfId="10616"/>
    <cellStyle name="Normal 42 3 5 7" xfId="12368"/>
    <cellStyle name="Normal 42 3 5 8" xfId="14120"/>
    <cellStyle name="Normal 42 3 5 9" xfId="15872"/>
    <cellStyle name="Normal 42 3 6" xfId="2731"/>
    <cellStyle name="Normal 42 3 7" xfId="4483"/>
    <cellStyle name="Normal 42 3 8" xfId="6235"/>
    <cellStyle name="Normal 42 3 9" xfId="7987"/>
    <cellStyle name="Normal 42 30" xfId="40349"/>
    <cellStyle name="Normal 42 31" xfId="42101"/>
    <cellStyle name="Normal 42 32" xfId="44449"/>
    <cellStyle name="Normal 42 33" xfId="44719"/>
    <cellStyle name="Normal 42 34" xfId="46471"/>
    <cellStyle name="Normal 42 35" xfId="48223"/>
    <cellStyle name="Normal 42 36" xfId="49975"/>
    <cellStyle name="Normal 42 37" xfId="51727"/>
    <cellStyle name="Normal 42 38" xfId="53479"/>
    <cellStyle name="Normal 42 39" xfId="55231"/>
    <cellStyle name="Normal 42 4" xfId="1846"/>
    <cellStyle name="Normal 42 4 10" xfId="11545"/>
    <cellStyle name="Normal 42 4 11" xfId="13297"/>
    <cellStyle name="Normal 42 4 12" xfId="15049"/>
    <cellStyle name="Normal 42 4 13" xfId="16802"/>
    <cellStyle name="Normal 42 4 14" xfId="18554"/>
    <cellStyle name="Normal 42 4 15" xfId="20307"/>
    <cellStyle name="Normal 42 4 16" xfId="22059"/>
    <cellStyle name="Normal 42 4 17" xfId="23811"/>
    <cellStyle name="Normal 42 4 18" xfId="25563"/>
    <cellStyle name="Normal 42 4 19" xfId="27315"/>
    <cellStyle name="Normal 42 4 2" xfId="1847"/>
    <cellStyle name="Normal 42 4 2 10" xfId="13528"/>
    <cellStyle name="Normal 42 4 2 11" xfId="15280"/>
    <cellStyle name="Normal 42 4 2 12" xfId="17033"/>
    <cellStyle name="Normal 42 4 2 13" xfId="18785"/>
    <cellStyle name="Normal 42 4 2 14" xfId="20538"/>
    <cellStyle name="Normal 42 4 2 15" xfId="22290"/>
    <cellStyle name="Normal 42 4 2 16" xfId="24042"/>
    <cellStyle name="Normal 42 4 2 17" xfId="25794"/>
    <cellStyle name="Normal 42 4 2 18" xfId="27546"/>
    <cellStyle name="Normal 42 4 2 19" xfId="29299"/>
    <cellStyle name="Normal 42 4 2 2" xfId="1848"/>
    <cellStyle name="Normal 42 4 2 2 10" xfId="15716"/>
    <cellStyle name="Normal 42 4 2 2 11" xfId="17469"/>
    <cellStyle name="Normal 42 4 2 2 12" xfId="19221"/>
    <cellStyle name="Normal 42 4 2 2 13" xfId="20974"/>
    <cellStyle name="Normal 42 4 2 2 14" xfId="22726"/>
    <cellStyle name="Normal 42 4 2 2 15" xfId="24478"/>
    <cellStyle name="Normal 42 4 2 2 16" xfId="26230"/>
    <cellStyle name="Normal 42 4 2 2 17" xfId="27982"/>
    <cellStyle name="Normal 42 4 2 2 18" xfId="29735"/>
    <cellStyle name="Normal 42 4 2 2 19" xfId="31487"/>
    <cellStyle name="Normal 42 4 2 2 2" xfId="1849"/>
    <cellStyle name="Normal 42 4 2 2 2 10" xfId="18345"/>
    <cellStyle name="Normal 42 4 2 2 2 11" xfId="20097"/>
    <cellStyle name="Normal 42 4 2 2 2 12" xfId="21850"/>
    <cellStyle name="Normal 42 4 2 2 2 13" xfId="23602"/>
    <cellStyle name="Normal 42 4 2 2 2 14" xfId="25354"/>
    <cellStyle name="Normal 42 4 2 2 2 15" xfId="27106"/>
    <cellStyle name="Normal 42 4 2 2 2 16" xfId="28858"/>
    <cellStyle name="Normal 42 4 2 2 2 17" xfId="30611"/>
    <cellStyle name="Normal 42 4 2 2 2 18" xfId="32363"/>
    <cellStyle name="Normal 42 4 2 2 2 19" xfId="34116"/>
    <cellStyle name="Normal 42 4 2 2 2 2" xfId="4327"/>
    <cellStyle name="Normal 42 4 2 2 2 20" xfId="36752"/>
    <cellStyle name="Normal 42 4 2 2 2 21" xfId="38492"/>
    <cellStyle name="Normal 42 4 2 2 2 22" xfId="40245"/>
    <cellStyle name="Normal 42 4 2 2 2 23" xfId="42000"/>
    <cellStyle name="Normal 42 4 2 2 2 24" xfId="43752"/>
    <cellStyle name="Normal 42 4 2 2 2 25" xfId="46370"/>
    <cellStyle name="Normal 42 4 2 2 2 26" xfId="48122"/>
    <cellStyle name="Normal 42 4 2 2 2 27" xfId="49874"/>
    <cellStyle name="Normal 42 4 2 2 2 28" xfId="51626"/>
    <cellStyle name="Normal 42 4 2 2 2 29" xfId="53378"/>
    <cellStyle name="Normal 42 4 2 2 2 3" xfId="6079"/>
    <cellStyle name="Normal 42 4 2 2 2 30" xfId="55130"/>
    <cellStyle name="Normal 42 4 2 2 2 31" xfId="56882"/>
    <cellStyle name="Normal 42 4 2 2 2 32" xfId="58635"/>
    <cellStyle name="Normal 42 4 2 2 2 33" xfId="60387"/>
    <cellStyle name="Normal 42 4 2 2 2 34" xfId="62139"/>
    <cellStyle name="Normal 42 4 2 2 2 4" xfId="7831"/>
    <cellStyle name="Normal 42 4 2 2 2 5" xfId="9583"/>
    <cellStyle name="Normal 42 4 2 2 2 6" xfId="11336"/>
    <cellStyle name="Normal 42 4 2 2 2 7" xfId="13088"/>
    <cellStyle name="Normal 42 4 2 2 2 8" xfId="14840"/>
    <cellStyle name="Normal 42 4 2 2 2 9" xfId="16592"/>
    <cellStyle name="Normal 42 4 2 2 20" xfId="33240"/>
    <cellStyle name="Normal 42 4 2 2 21" xfId="34855"/>
    <cellStyle name="Normal 42 4 2 2 22" xfId="35876"/>
    <cellStyle name="Normal 42 4 2 2 23" xfId="37476"/>
    <cellStyle name="Normal 42 4 2 2 24" xfId="39369"/>
    <cellStyle name="Normal 42 4 2 2 25" xfId="41124"/>
    <cellStyle name="Normal 42 4 2 2 26" xfId="42876"/>
    <cellStyle name="Normal 42 4 2 2 27" xfId="44476"/>
    <cellStyle name="Normal 42 4 2 2 28" xfId="45494"/>
    <cellStyle name="Normal 42 4 2 2 29" xfId="47246"/>
    <cellStyle name="Normal 42 4 2 2 3" xfId="3451"/>
    <cellStyle name="Normal 42 4 2 2 30" xfId="48998"/>
    <cellStyle name="Normal 42 4 2 2 31" xfId="50750"/>
    <cellStyle name="Normal 42 4 2 2 32" xfId="52502"/>
    <cellStyle name="Normal 42 4 2 2 33" xfId="54254"/>
    <cellStyle name="Normal 42 4 2 2 34" xfId="56006"/>
    <cellStyle name="Normal 42 4 2 2 35" xfId="57759"/>
    <cellStyle name="Normal 42 4 2 2 36" xfId="59511"/>
    <cellStyle name="Normal 42 4 2 2 37" xfId="61263"/>
    <cellStyle name="Normal 42 4 2 2 38" xfId="62863"/>
    <cellStyle name="Normal 42 4 2 2 39" xfId="63729"/>
    <cellStyle name="Normal 42 4 2 2 4" xfId="5203"/>
    <cellStyle name="Normal 42 4 2 2 5" xfId="6955"/>
    <cellStyle name="Normal 42 4 2 2 6" xfId="8707"/>
    <cellStyle name="Normal 42 4 2 2 7" xfId="10460"/>
    <cellStyle name="Normal 42 4 2 2 8" xfId="12212"/>
    <cellStyle name="Normal 42 4 2 2 9" xfId="13964"/>
    <cellStyle name="Normal 42 4 2 20" xfId="31051"/>
    <cellStyle name="Normal 42 4 2 21" xfId="32804"/>
    <cellStyle name="Normal 42 4 2 22" xfId="34854"/>
    <cellStyle name="Normal 42 4 2 23" xfId="35440"/>
    <cellStyle name="Normal 42 4 2 24" xfId="37475"/>
    <cellStyle name="Normal 42 4 2 25" xfId="38933"/>
    <cellStyle name="Normal 42 4 2 26" xfId="40688"/>
    <cellStyle name="Normal 42 4 2 27" xfId="42440"/>
    <cellStyle name="Normal 42 4 2 28" xfId="44475"/>
    <cellStyle name="Normal 42 4 2 29" xfId="45058"/>
    <cellStyle name="Normal 42 4 2 3" xfId="1850"/>
    <cellStyle name="Normal 42 4 2 3 10" xfId="17909"/>
    <cellStyle name="Normal 42 4 2 3 11" xfId="19661"/>
    <cellStyle name="Normal 42 4 2 3 12" xfId="21414"/>
    <cellStyle name="Normal 42 4 2 3 13" xfId="23166"/>
    <cellStyle name="Normal 42 4 2 3 14" xfId="24918"/>
    <cellStyle name="Normal 42 4 2 3 15" xfId="26670"/>
    <cellStyle name="Normal 42 4 2 3 16" xfId="28422"/>
    <cellStyle name="Normal 42 4 2 3 17" xfId="30175"/>
    <cellStyle name="Normal 42 4 2 3 18" xfId="31927"/>
    <cellStyle name="Normal 42 4 2 3 19" xfId="33680"/>
    <cellStyle name="Normal 42 4 2 3 2" xfId="3891"/>
    <cellStyle name="Normal 42 4 2 3 20" xfId="36316"/>
    <cellStyle name="Normal 42 4 2 3 21" xfId="38056"/>
    <cellStyle name="Normal 42 4 2 3 22" xfId="39809"/>
    <cellStyle name="Normal 42 4 2 3 23" xfId="41564"/>
    <cellStyle name="Normal 42 4 2 3 24" xfId="43316"/>
    <cellStyle name="Normal 42 4 2 3 25" xfId="45934"/>
    <cellStyle name="Normal 42 4 2 3 26" xfId="47686"/>
    <cellStyle name="Normal 42 4 2 3 27" xfId="49438"/>
    <cellStyle name="Normal 42 4 2 3 28" xfId="51190"/>
    <cellStyle name="Normal 42 4 2 3 29" xfId="52942"/>
    <cellStyle name="Normal 42 4 2 3 3" xfId="5643"/>
    <cellStyle name="Normal 42 4 2 3 30" xfId="54694"/>
    <cellStyle name="Normal 42 4 2 3 31" xfId="56446"/>
    <cellStyle name="Normal 42 4 2 3 32" xfId="58199"/>
    <cellStyle name="Normal 42 4 2 3 33" xfId="59951"/>
    <cellStyle name="Normal 42 4 2 3 34" xfId="61703"/>
    <cellStyle name="Normal 42 4 2 3 4" xfId="7395"/>
    <cellStyle name="Normal 42 4 2 3 5" xfId="9147"/>
    <cellStyle name="Normal 42 4 2 3 6" xfId="10900"/>
    <cellStyle name="Normal 42 4 2 3 7" xfId="12652"/>
    <cellStyle name="Normal 42 4 2 3 8" xfId="14404"/>
    <cellStyle name="Normal 42 4 2 3 9" xfId="16156"/>
    <cellStyle name="Normal 42 4 2 30" xfId="46810"/>
    <cellStyle name="Normal 42 4 2 31" xfId="48562"/>
    <cellStyle name="Normal 42 4 2 32" xfId="50314"/>
    <cellStyle name="Normal 42 4 2 33" xfId="52066"/>
    <cellStyle name="Normal 42 4 2 34" xfId="53818"/>
    <cellStyle name="Normal 42 4 2 35" xfId="55570"/>
    <cellStyle name="Normal 42 4 2 36" xfId="57323"/>
    <cellStyle name="Normal 42 4 2 37" xfId="59075"/>
    <cellStyle name="Normal 42 4 2 38" xfId="60827"/>
    <cellStyle name="Normal 42 4 2 39" xfId="62862"/>
    <cellStyle name="Normal 42 4 2 4" xfId="3015"/>
    <cellStyle name="Normal 42 4 2 40" xfId="63728"/>
    <cellStyle name="Normal 42 4 2 5" xfId="4767"/>
    <cellStyle name="Normal 42 4 2 6" xfId="6519"/>
    <cellStyle name="Normal 42 4 2 7" xfId="8271"/>
    <cellStyle name="Normal 42 4 2 8" xfId="10024"/>
    <cellStyle name="Normal 42 4 2 9" xfId="11776"/>
    <cellStyle name="Normal 42 4 20" xfId="29068"/>
    <cellStyle name="Normal 42 4 21" xfId="30820"/>
    <cellStyle name="Normal 42 4 22" xfId="32573"/>
    <cellStyle name="Normal 42 4 23" xfId="34853"/>
    <cellStyle name="Normal 42 4 24" xfId="35209"/>
    <cellStyle name="Normal 42 4 25" xfId="37474"/>
    <cellStyle name="Normal 42 4 26" xfId="38702"/>
    <cellStyle name="Normal 42 4 27" xfId="40457"/>
    <cellStyle name="Normal 42 4 28" xfId="42209"/>
    <cellStyle name="Normal 42 4 29" xfId="44474"/>
    <cellStyle name="Normal 42 4 3" xfId="1851"/>
    <cellStyle name="Normal 42 4 3 10" xfId="15485"/>
    <cellStyle name="Normal 42 4 3 11" xfId="17238"/>
    <cellStyle name="Normal 42 4 3 12" xfId="18990"/>
    <cellStyle name="Normal 42 4 3 13" xfId="20743"/>
    <cellStyle name="Normal 42 4 3 14" xfId="22495"/>
    <cellStyle name="Normal 42 4 3 15" xfId="24247"/>
    <cellStyle name="Normal 42 4 3 16" xfId="25999"/>
    <cellStyle name="Normal 42 4 3 17" xfId="27751"/>
    <cellStyle name="Normal 42 4 3 18" xfId="29504"/>
    <cellStyle name="Normal 42 4 3 19" xfId="31256"/>
    <cellStyle name="Normal 42 4 3 2" xfId="1852"/>
    <cellStyle name="Normal 42 4 3 2 10" xfId="18114"/>
    <cellStyle name="Normal 42 4 3 2 11" xfId="19866"/>
    <cellStyle name="Normal 42 4 3 2 12" xfId="21619"/>
    <cellStyle name="Normal 42 4 3 2 13" xfId="23371"/>
    <cellStyle name="Normal 42 4 3 2 14" xfId="25123"/>
    <cellStyle name="Normal 42 4 3 2 15" xfId="26875"/>
    <cellStyle name="Normal 42 4 3 2 16" xfId="28627"/>
    <cellStyle name="Normal 42 4 3 2 17" xfId="30380"/>
    <cellStyle name="Normal 42 4 3 2 18" xfId="32132"/>
    <cellStyle name="Normal 42 4 3 2 19" xfId="33885"/>
    <cellStyle name="Normal 42 4 3 2 2" xfId="4096"/>
    <cellStyle name="Normal 42 4 3 2 20" xfId="36521"/>
    <cellStyle name="Normal 42 4 3 2 21" xfId="38261"/>
    <cellStyle name="Normal 42 4 3 2 22" xfId="40014"/>
    <cellStyle name="Normal 42 4 3 2 23" xfId="41769"/>
    <cellStyle name="Normal 42 4 3 2 24" xfId="43521"/>
    <cellStyle name="Normal 42 4 3 2 25" xfId="46139"/>
    <cellStyle name="Normal 42 4 3 2 26" xfId="47891"/>
    <cellStyle name="Normal 42 4 3 2 27" xfId="49643"/>
    <cellStyle name="Normal 42 4 3 2 28" xfId="51395"/>
    <cellStyle name="Normal 42 4 3 2 29" xfId="53147"/>
    <cellStyle name="Normal 42 4 3 2 3" xfId="5848"/>
    <cellStyle name="Normal 42 4 3 2 30" xfId="54899"/>
    <cellStyle name="Normal 42 4 3 2 31" xfId="56651"/>
    <cellStyle name="Normal 42 4 3 2 32" xfId="58404"/>
    <cellStyle name="Normal 42 4 3 2 33" xfId="60156"/>
    <cellStyle name="Normal 42 4 3 2 34" xfId="61908"/>
    <cellStyle name="Normal 42 4 3 2 4" xfId="7600"/>
    <cellStyle name="Normal 42 4 3 2 5" xfId="9352"/>
    <cellStyle name="Normal 42 4 3 2 6" xfId="11105"/>
    <cellStyle name="Normal 42 4 3 2 7" xfId="12857"/>
    <cellStyle name="Normal 42 4 3 2 8" xfId="14609"/>
    <cellStyle name="Normal 42 4 3 2 9" xfId="16361"/>
    <cellStyle name="Normal 42 4 3 20" xfId="33009"/>
    <cellStyle name="Normal 42 4 3 21" xfId="34856"/>
    <cellStyle name="Normal 42 4 3 22" xfId="35645"/>
    <cellStyle name="Normal 42 4 3 23" xfId="37477"/>
    <cellStyle name="Normal 42 4 3 24" xfId="39138"/>
    <cellStyle name="Normal 42 4 3 25" xfId="40893"/>
    <cellStyle name="Normal 42 4 3 26" xfId="42645"/>
    <cellStyle name="Normal 42 4 3 27" xfId="44477"/>
    <cellStyle name="Normal 42 4 3 28" xfId="45263"/>
    <cellStyle name="Normal 42 4 3 29" xfId="47015"/>
    <cellStyle name="Normal 42 4 3 3" xfId="3220"/>
    <cellStyle name="Normal 42 4 3 30" xfId="48767"/>
    <cellStyle name="Normal 42 4 3 31" xfId="50519"/>
    <cellStyle name="Normal 42 4 3 32" xfId="52271"/>
    <cellStyle name="Normal 42 4 3 33" xfId="54023"/>
    <cellStyle name="Normal 42 4 3 34" xfId="55775"/>
    <cellStyle name="Normal 42 4 3 35" xfId="57528"/>
    <cellStyle name="Normal 42 4 3 36" xfId="59280"/>
    <cellStyle name="Normal 42 4 3 37" xfId="61032"/>
    <cellStyle name="Normal 42 4 3 38" xfId="62864"/>
    <cellStyle name="Normal 42 4 3 39" xfId="63730"/>
    <cellStyle name="Normal 42 4 3 4" xfId="4972"/>
    <cellStyle name="Normal 42 4 3 5" xfId="6724"/>
    <cellStyle name="Normal 42 4 3 6" xfId="8476"/>
    <cellStyle name="Normal 42 4 3 7" xfId="10229"/>
    <cellStyle name="Normal 42 4 3 8" xfId="11981"/>
    <cellStyle name="Normal 42 4 3 9" xfId="13733"/>
    <cellStyle name="Normal 42 4 30" xfId="44827"/>
    <cellStyle name="Normal 42 4 31" xfId="46579"/>
    <cellStyle name="Normal 42 4 32" xfId="48331"/>
    <cellStyle name="Normal 42 4 33" xfId="50083"/>
    <cellStyle name="Normal 42 4 34" xfId="51835"/>
    <cellStyle name="Normal 42 4 35" xfId="53587"/>
    <cellStyle name="Normal 42 4 36" xfId="55339"/>
    <cellStyle name="Normal 42 4 37" xfId="57092"/>
    <cellStyle name="Normal 42 4 38" xfId="58844"/>
    <cellStyle name="Normal 42 4 39" xfId="60596"/>
    <cellStyle name="Normal 42 4 4" xfId="1853"/>
    <cellStyle name="Normal 42 4 4 10" xfId="17678"/>
    <cellStyle name="Normal 42 4 4 11" xfId="19430"/>
    <cellStyle name="Normal 42 4 4 12" xfId="21183"/>
    <cellStyle name="Normal 42 4 4 13" xfId="22935"/>
    <cellStyle name="Normal 42 4 4 14" xfId="24687"/>
    <cellStyle name="Normal 42 4 4 15" xfId="26439"/>
    <cellStyle name="Normal 42 4 4 16" xfId="28191"/>
    <cellStyle name="Normal 42 4 4 17" xfId="29944"/>
    <cellStyle name="Normal 42 4 4 18" xfId="31696"/>
    <cellStyle name="Normal 42 4 4 19" xfId="33449"/>
    <cellStyle name="Normal 42 4 4 2" xfId="3660"/>
    <cellStyle name="Normal 42 4 4 20" xfId="36085"/>
    <cellStyle name="Normal 42 4 4 21" xfId="37825"/>
    <cellStyle name="Normal 42 4 4 22" xfId="39578"/>
    <cellStyle name="Normal 42 4 4 23" xfId="41333"/>
    <cellStyle name="Normal 42 4 4 24" xfId="43085"/>
    <cellStyle name="Normal 42 4 4 25" xfId="45703"/>
    <cellStyle name="Normal 42 4 4 26" xfId="47455"/>
    <cellStyle name="Normal 42 4 4 27" xfId="49207"/>
    <cellStyle name="Normal 42 4 4 28" xfId="50959"/>
    <cellStyle name="Normal 42 4 4 29" xfId="52711"/>
    <cellStyle name="Normal 42 4 4 3" xfId="5412"/>
    <cellStyle name="Normal 42 4 4 30" xfId="54463"/>
    <cellStyle name="Normal 42 4 4 31" xfId="56215"/>
    <cellStyle name="Normal 42 4 4 32" xfId="57968"/>
    <cellStyle name="Normal 42 4 4 33" xfId="59720"/>
    <cellStyle name="Normal 42 4 4 34" xfId="61472"/>
    <cellStyle name="Normal 42 4 4 4" xfId="7164"/>
    <cellStyle name="Normal 42 4 4 5" xfId="8916"/>
    <cellStyle name="Normal 42 4 4 6" xfId="10669"/>
    <cellStyle name="Normal 42 4 4 7" xfId="12421"/>
    <cellStyle name="Normal 42 4 4 8" xfId="14173"/>
    <cellStyle name="Normal 42 4 4 9" xfId="15925"/>
    <cellStyle name="Normal 42 4 40" xfId="62861"/>
    <cellStyle name="Normal 42 4 41" xfId="63727"/>
    <cellStyle name="Normal 42 4 5" xfId="2784"/>
    <cellStyle name="Normal 42 4 6" xfId="4536"/>
    <cellStyle name="Normal 42 4 7" xfId="6288"/>
    <cellStyle name="Normal 42 4 8" xfId="8040"/>
    <cellStyle name="Normal 42 4 9" xfId="9793"/>
    <cellStyle name="Normal 42 40" xfId="56984"/>
    <cellStyle name="Normal 42 41" xfId="58736"/>
    <cellStyle name="Normal 42 42" xfId="60488"/>
    <cellStyle name="Normal 42 43" xfId="62836"/>
    <cellStyle name="Normal 42 44" xfId="63702"/>
    <cellStyle name="Normal 42 5" xfId="1854"/>
    <cellStyle name="Normal 42 5 10" xfId="13529"/>
    <cellStyle name="Normal 42 5 11" xfId="15281"/>
    <cellStyle name="Normal 42 5 12" xfId="17034"/>
    <cellStyle name="Normal 42 5 13" xfId="18786"/>
    <cellStyle name="Normal 42 5 14" xfId="20539"/>
    <cellStyle name="Normal 42 5 15" xfId="22291"/>
    <cellStyle name="Normal 42 5 16" xfId="24043"/>
    <cellStyle name="Normal 42 5 17" xfId="25795"/>
    <cellStyle name="Normal 42 5 18" xfId="27547"/>
    <cellStyle name="Normal 42 5 19" xfId="29300"/>
    <cellStyle name="Normal 42 5 2" xfId="1855"/>
    <cellStyle name="Normal 42 5 2 10" xfId="15717"/>
    <cellStyle name="Normal 42 5 2 11" xfId="17470"/>
    <cellStyle name="Normal 42 5 2 12" xfId="19222"/>
    <cellStyle name="Normal 42 5 2 13" xfId="20975"/>
    <cellStyle name="Normal 42 5 2 14" xfId="22727"/>
    <cellStyle name="Normal 42 5 2 15" xfId="24479"/>
    <cellStyle name="Normal 42 5 2 16" xfId="26231"/>
    <cellStyle name="Normal 42 5 2 17" xfId="27983"/>
    <cellStyle name="Normal 42 5 2 18" xfId="29736"/>
    <cellStyle name="Normal 42 5 2 19" xfId="31488"/>
    <cellStyle name="Normal 42 5 2 2" xfId="1856"/>
    <cellStyle name="Normal 42 5 2 2 10" xfId="18346"/>
    <cellStyle name="Normal 42 5 2 2 11" xfId="20098"/>
    <cellStyle name="Normal 42 5 2 2 12" xfId="21851"/>
    <cellStyle name="Normal 42 5 2 2 13" xfId="23603"/>
    <cellStyle name="Normal 42 5 2 2 14" xfId="25355"/>
    <cellStyle name="Normal 42 5 2 2 15" xfId="27107"/>
    <cellStyle name="Normal 42 5 2 2 16" xfId="28859"/>
    <cellStyle name="Normal 42 5 2 2 17" xfId="30612"/>
    <cellStyle name="Normal 42 5 2 2 18" xfId="32364"/>
    <cellStyle name="Normal 42 5 2 2 19" xfId="34117"/>
    <cellStyle name="Normal 42 5 2 2 2" xfId="4328"/>
    <cellStyle name="Normal 42 5 2 2 20" xfId="36753"/>
    <cellStyle name="Normal 42 5 2 2 21" xfId="38493"/>
    <cellStyle name="Normal 42 5 2 2 22" xfId="40246"/>
    <cellStyle name="Normal 42 5 2 2 23" xfId="42001"/>
    <cellStyle name="Normal 42 5 2 2 24" xfId="43753"/>
    <cellStyle name="Normal 42 5 2 2 25" xfId="46371"/>
    <cellStyle name="Normal 42 5 2 2 26" xfId="48123"/>
    <cellStyle name="Normal 42 5 2 2 27" xfId="49875"/>
    <cellStyle name="Normal 42 5 2 2 28" xfId="51627"/>
    <cellStyle name="Normal 42 5 2 2 29" xfId="53379"/>
    <cellStyle name="Normal 42 5 2 2 3" xfId="6080"/>
    <cellStyle name="Normal 42 5 2 2 30" xfId="55131"/>
    <cellStyle name="Normal 42 5 2 2 31" xfId="56883"/>
    <cellStyle name="Normal 42 5 2 2 32" xfId="58636"/>
    <cellStyle name="Normal 42 5 2 2 33" xfId="60388"/>
    <cellStyle name="Normal 42 5 2 2 34" xfId="62140"/>
    <cellStyle name="Normal 42 5 2 2 4" xfId="7832"/>
    <cellStyle name="Normal 42 5 2 2 5" xfId="9584"/>
    <cellStyle name="Normal 42 5 2 2 6" xfId="11337"/>
    <cellStyle name="Normal 42 5 2 2 7" xfId="13089"/>
    <cellStyle name="Normal 42 5 2 2 8" xfId="14841"/>
    <cellStyle name="Normal 42 5 2 2 9" xfId="16593"/>
    <cellStyle name="Normal 42 5 2 20" xfId="33241"/>
    <cellStyle name="Normal 42 5 2 21" xfId="34858"/>
    <cellStyle name="Normal 42 5 2 22" xfId="35877"/>
    <cellStyle name="Normal 42 5 2 23" xfId="37479"/>
    <cellStyle name="Normal 42 5 2 24" xfId="39370"/>
    <cellStyle name="Normal 42 5 2 25" xfId="41125"/>
    <cellStyle name="Normal 42 5 2 26" xfId="42877"/>
    <cellStyle name="Normal 42 5 2 27" xfId="44479"/>
    <cellStyle name="Normal 42 5 2 28" xfId="45495"/>
    <cellStyle name="Normal 42 5 2 29" xfId="47247"/>
    <cellStyle name="Normal 42 5 2 3" xfId="3452"/>
    <cellStyle name="Normal 42 5 2 30" xfId="48999"/>
    <cellStyle name="Normal 42 5 2 31" xfId="50751"/>
    <cellStyle name="Normal 42 5 2 32" xfId="52503"/>
    <cellStyle name="Normal 42 5 2 33" xfId="54255"/>
    <cellStyle name="Normal 42 5 2 34" xfId="56007"/>
    <cellStyle name="Normal 42 5 2 35" xfId="57760"/>
    <cellStyle name="Normal 42 5 2 36" xfId="59512"/>
    <cellStyle name="Normal 42 5 2 37" xfId="61264"/>
    <cellStyle name="Normal 42 5 2 38" xfId="62866"/>
    <cellStyle name="Normal 42 5 2 39" xfId="63732"/>
    <cellStyle name="Normal 42 5 2 4" xfId="5204"/>
    <cellStyle name="Normal 42 5 2 5" xfId="6956"/>
    <cellStyle name="Normal 42 5 2 6" xfId="8708"/>
    <cellStyle name="Normal 42 5 2 7" xfId="10461"/>
    <cellStyle name="Normal 42 5 2 8" xfId="12213"/>
    <cellStyle name="Normal 42 5 2 9" xfId="13965"/>
    <cellStyle name="Normal 42 5 20" xfId="31052"/>
    <cellStyle name="Normal 42 5 21" xfId="32805"/>
    <cellStyle name="Normal 42 5 22" xfId="34857"/>
    <cellStyle name="Normal 42 5 23" xfId="35441"/>
    <cellStyle name="Normal 42 5 24" xfId="37478"/>
    <cellStyle name="Normal 42 5 25" xfId="38934"/>
    <cellStyle name="Normal 42 5 26" xfId="40689"/>
    <cellStyle name="Normal 42 5 27" xfId="42441"/>
    <cellStyle name="Normal 42 5 28" xfId="44478"/>
    <cellStyle name="Normal 42 5 29" xfId="45059"/>
    <cellStyle name="Normal 42 5 3" xfId="1857"/>
    <cellStyle name="Normal 42 5 3 10" xfId="17910"/>
    <cellStyle name="Normal 42 5 3 11" xfId="19662"/>
    <cellStyle name="Normal 42 5 3 12" xfId="21415"/>
    <cellStyle name="Normal 42 5 3 13" xfId="23167"/>
    <cellStyle name="Normal 42 5 3 14" xfId="24919"/>
    <cellStyle name="Normal 42 5 3 15" xfId="26671"/>
    <cellStyle name="Normal 42 5 3 16" xfId="28423"/>
    <cellStyle name="Normal 42 5 3 17" xfId="30176"/>
    <cellStyle name="Normal 42 5 3 18" xfId="31928"/>
    <cellStyle name="Normal 42 5 3 19" xfId="33681"/>
    <cellStyle name="Normal 42 5 3 2" xfId="3892"/>
    <cellStyle name="Normal 42 5 3 20" xfId="36317"/>
    <cellStyle name="Normal 42 5 3 21" xfId="38057"/>
    <cellStyle name="Normal 42 5 3 22" xfId="39810"/>
    <cellStyle name="Normal 42 5 3 23" xfId="41565"/>
    <cellStyle name="Normal 42 5 3 24" xfId="43317"/>
    <cellStyle name="Normal 42 5 3 25" xfId="45935"/>
    <cellStyle name="Normal 42 5 3 26" xfId="47687"/>
    <cellStyle name="Normal 42 5 3 27" xfId="49439"/>
    <cellStyle name="Normal 42 5 3 28" xfId="51191"/>
    <cellStyle name="Normal 42 5 3 29" xfId="52943"/>
    <cellStyle name="Normal 42 5 3 3" xfId="5644"/>
    <cellStyle name="Normal 42 5 3 30" xfId="54695"/>
    <cellStyle name="Normal 42 5 3 31" xfId="56447"/>
    <cellStyle name="Normal 42 5 3 32" xfId="58200"/>
    <cellStyle name="Normal 42 5 3 33" xfId="59952"/>
    <cellStyle name="Normal 42 5 3 34" xfId="61704"/>
    <cellStyle name="Normal 42 5 3 4" xfId="7396"/>
    <cellStyle name="Normal 42 5 3 5" xfId="9148"/>
    <cellStyle name="Normal 42 5 3 6" xfId="10901"/>
    <cellStyle name="Normal 42 5 3 7" xfId="12653"/>
    <cellStyle name="Normal 42 5 3 8" xfId="14405"/>
    <cellStyle name="Normal 42 5 3 9" xfId="16157"/>
    <cellStyle name="Normal 42 5 30" xfId="46811"/>
    <cellStyle name="Normal 42 5 31" xfId="48563"/>
    <cellStyle name="Normal 42 5 32" xfId="50315"/>
    <cellStyle name="Normal 42 5 33" xfId="52067"/>
    <cellStyle name="Normal 42 5 34" xfId="53819"/>
    <cellStyle name="Normal 42 5 35" xfId="55571"/>
    <cellStyle name="Normal 42 5 36" xfId="57324"/>
    <cellStyle name="Normal 42 5 37" xfId="59076"/>
    <cellStyle name="Normal 42 5 38" xfId="60828"/>
    <cellStyle name="Normal 42 5 39" xfId="62865"/>
    <cellStyle name="Normal 42 5 4" xfId="3016"/>
    <cellStyle name="Normal 42 5 40" xfId="63731"/>
    <cellStyle name="Normal 42 5 5" xfId="4768"/>
    <cellStyle name="Normal 42 5 6" xfId="6520"/>
    <cellStyle name="Normal 42 5 7" xfId="8272"/>
    <cellStyle name="Normal 42 5 8" xfId="10025"/>
    <cellStyle name="Normal 42 5 9" xfId="11777"/>
    <cellStyle name="Normal 42 6" xfId="1858"/>
    <cellStyle name="Normal 42 6 10" xfId="15377"/>
    <cellStyle name="Normal 42 6 11" xfId="17130"/>
    <cellStyle name="Normal 42 6 12" xfId="18882"/>
    <cellStyle name="Normal 42 6 13" xfId="20635"/>
    <cellStyle name="Normal 42 6 14" xfId="22387"/>
    <cellStyle name="Normal 42 6 15" xfId="24139"/>
    <cellStyle name="Normal 42 6 16" xfId="25891"/>
    <cellStyle name="Normal 42 6 17" xfId="27643"/>
    <cellStyle name="Normal 42 6 18" xfId="29396"/>
    <cellStyle name="Normal 42 6 19" xfId="31148"/>
    <cellStyle name="Normal 42 6 2" xfId="1859"/>
    <cellStyle name="Normal 42 6 2 10" xfId="18006"/>
    <cellStyle name="Normal 42 6 2 11" xfId="19758"/>
    <cellStyle name="Normal 42 6 2 12" xfId="21511"/>
    <cellStyle name="Normal 42 6 2 13" xfId="23263"/>
    <cellStyle name="Normal 42 6 2 14" xfId="25015"/>
    <cellStyle name="Normal 42 6 2 15" xfId="26767"/>
    <cellStyle name="Normal 42 6 2 16" xfId="28519"/>
    <cellStyle name="Normal 42 6 2 17" xfId="30272"/>
    <cellStyle name="Normal 42 6 2 18" xfId="32024"/>
    <cellStyle name="Normal 42 6 2 19" xfId="33777"/>
    <cellStyle name="Normal 42 6 2 2" xfId="3988"/>
    <cellStyle name="Normal 42 6 2 20" xfId="36413"/>
    <cellStyle name="Normal 42 6 2 21" xfId="38153"/>
    <cellStyle name="Normal 42 6 2 22" xfId="39906"/>
    <cellStyle name="Normal 42 6 2 23" xfId="41661"/>
    <cellStyle name="Normal 42 6 2 24" xfId="43413"/>
    <cellStyle name="Normal 42 6 2 25" xfId="46031"/>
    <cellStyle name="Normal 42 6 2 26" xfId="47783"/>
    <cellStyle name="Normal 42 6 2 27" xfId="49535"/>
    <cellStyle name="Normal 42 6 2 28" xfId="51287"/>
    <cellStyle name="Normal 42 6 2 29" xfId="53039"/>
    <cellStyle name="Normal 42 6 2 3" xfId="5740"/>
    <cellStyle name="Normal 42 6 2 30" xfId="54791"/>
    <cellStyle name="Normal 42 6 2 31" xfId="56543"/>
    <cellStyle name="Normal 42 6 2 32" xfId="58296"/>
    <cellStyle name="Normal 42 6 2 33" xfId="60048"/>
    <cellStyle name="Normal 42 6 2 34" xfId="61800"/>
    <cellStyle name="Normal 42 6 2 4" xfId="7492"/>
    <cellStyle name="Normal 42 6 2 5" xfId="9244"/>
    <cellStyle name="Normal 42 6 2 6" xfId="10997"/>
    <cellStyle name="Normal 42 6 2 7" xfId="12749"/>
    <cellStyle name="Normal 42 6 2 8" xfId="14501"/>
    <cellStyle name="Normal 42 6 2 9" xfId="16253"/>
    <cellStyle name="Normal 42 6 20" xfId="32901"/>
    <cellStyle name="Normal 42 6 21" xfId="34859"/>
    <cellStyle name="Normal 42 6 22" xfId="35537"/>
    <cellStyle name="Normal 42 6 23" xfId="37480"/>
    <cellStyle name="Normal 42 6 24" xfId="39030"/>
    <cellStyle name="Normal 42 6 25" xfId="40785"/>
    <cellStyle name="Normal 42 6 26" xfId="42537"/>
    <cellStyle name="Normal 42 6 27" xfId="44480"/>
    <cellStyle name="Normal 42 6 28" xfId="45155"/>
    <cellStyle name="Normal 42 6 29" xfId="46907"/>
    <cellStyle name="Normal 42 6 3" xfId="3112"/>
    <cellStyle name="Normal 42 6 30" xfId="48659"/>
    <cellStyle name="Normal 42 6 31" xfId="50411"/>
    <cellStyle name="Normal 42 6 32" xfId="52163"/>
    <cellStyle name="Normal 42 6 33" xfId="53915"/>
    <cellStyle name="Normal 42 6 34" xfId="55667"/>
    <cellStyle name="Normal 42 6 35" xfId="57420"/>
    <cellStyle name="Normal 42 6 36" xfId="59172"/>
    <cellStyle name="Normal 42 6 37" xfId="60924"/>
    <cellStyle name="Normal 42 6 38" xfId="62867"/>
    <cellStyle name="Normal 42 6 39" xfId="63733"/>
    <cellStyle name="Normal 42 6 4" xfId="4864"/>
    <cellStyle name="Normal 42 6 5" xfId="6616"/>
    <cellStyle name="Normal 42 6 6" xfId="8368"/>
    <cellStyle name="Normal 42 6 7" xfId="10121"/>
    <cellStyle name="Normal 42 6 8" xfId="11873"/>
    <cellStyle name="Normal 42 6 9" xfId="13625"/>
    <cellStyle name="Normal 42 7" xfId="1860"/>
    <cellStyle name="Normal 42 7 10" xfId="17570"/>
    <cellStyle name="Normal 42 7 11" xfId="19322"/>
    <cellStyle name="Normal 42 7 12" xfId="21075"/>
    <cellStyle name="Normal 42 7 13" xfId="22827"/>
    <cellStyle name="Normal 42 7 14" xfId="24579"/>
    <cellStyle name="Normal 42 7 15" xfId="26331"/>
    <cellStyle name="Normal 42 7 16" xfId="28083"/>
    <cellStyle name="Normal 42 7 17" xfId="29836"/>
    <cellStyle name="Normal 42 7 18" xfId="31588"/>
    <cellStyle name="Normal 42 7 19" xfId="33341"/>
    <cellStyle name="Normal 42 7 2" xfId="3552"/>
    <cellStyle name="Normal 42 7 20" xfId="35977"/>
    <cellStyle name="Normal 42 7 21" xfId="37714"/>
    <cellStyle name="Normal 42 7 22" xfId="39470"/>
    <cellStyle name="Normal 42 7 23" xfId="41225"/>
    <cellStyle name="Normal 42 7 24" xfId="42977"/>
    <cellStyle name="Normal 42 7 25" xfId="45595"/>
    <cellStyle name="Normal 42 7 26" xfId="47347"/>
    <cellStyle name="Normal 42 7 27" xfId="49099"/>
    <cellStyle name="Normal 42 7 28" xfId="50851"/>
    <cellStyle name="Normal 42 7 29" xfId="52603"/>
    <cellStyle name="Normal 42 7 3" xfId="5304"/>
    <cellStyle name="Normal 42 7 30" xfId="54355"/>
    <cellStyle name="Normal 42 7 31" xfId="56107"/>
    <cellStyle name="Normal 42 7 32" xfId="57860"/>
    <cellStyle name="Normal 42 7 33" xfId="59612"/>
    <cellStyle name="Normal 42 7 34" xfId="61364"/>
    <cellStyle name="Normal 42 7 4" xfId="7056"/>
    <cellStyle name="Normal 42 7 5" xfId="8808"/>
    <cellStyle name="Normal 42 7 6" xfId="10561"/>
    <cellStyle name="Normal 42 7 7" xfId="12313"/>
    <cellStyle name="Normal 42 7 8" xfId="14065"/>
    <cellStyle name="Normal 42 7 9" xfId="15817"/>
    <cellStyle name="Normal 42 8" xfId="2676"/>
    <cellStyle name="Normal 42 9" xfId="4428"/>
    <cellStyle name="Normal 43" xfId="1861"/>
    <cellStyle name="Normal 43 10" xfId="7934"/>
    <cellStyle name="Normal 43 11" xfId="9687"/>
    <cellStyle name="Normal 43 12" xfId="11439"/>
    <cellStyle name="Normal 43 13" xfId="13191"/>
    <cellStyle name="Normal 43 14" xfId="14943"/>
    <cellStyle name="Normal 43 15" xfId="16696"/>
    <cellStyle name="Normal 43 16" xfId="18448"/>
    <cellStyle name="Normal 43 17" xfId="20201"/>
    <cellStyle name="Normal 43 18" xfId="21953"/>
    <cellStyle name="Normal 43 19" xfId="23705"/>
    <cellStyle name="Normal 43 2" xfId="1862"/>
    <cellStyle name="Normal 43 2 10" xfId="9742"/>
    <cellStyle name="Normal 43 2 11" xfId="11494"/>
    <cellStyle name="Normal 43 2 12" xfId="13246"/>
    <cellStyle name="Normal 43 2 13" xfId="14998"/>
    <cellStyle name="Normal 43 2 14" xfId="16751"/>
    <cellStyle name="Normal 43 2 15" xfId="18503"/>
    <cellStyle name="Normal 43 2 16" xfId="20256"/>
    <cellStyle name="Normal 43 2 17" xfId="22008"/>
    <cellStyle name="Normal 43 2 18" xfId="23760"/>
    <cellStyle name="Normal 43 2 19" xfId="25512"/>
    <cellStyle name="Normal 43 2 2" xfId="1863"/>
    <cellStyle name="Normal 43 2 2 10" xfId="11602"/>
    <cellStyle name="Normal 43 2 2 11" xfId="13354"/>
    <cellStyle name="Normal 43 2 2 12" xfId="15106"/>
    <cellStyle name="Normal 43 2 2 13" xfId="16859"/>
    <cellStyle name="Normal 43 2 2 14" xfId="18611"/>
    <cellStyle name="Normal 43 2 2 15" xfId="20364"/>
    <cellStyle name="Normal 43 2 2 16" xfId="22116"/>
    <cellStyle name="Normal 43 2 2 17" xfId="23868"/>
    <cellStyle name="Normal 43 2 2 18" xfId="25620"/>
    <cellStyle name="Normal 43 2 2 19" xfId="27372"/>
    <cellStyle name="Normal 43 2 2 2" xfId="1864"/>
    <cellStyle name="Normal 43 2 2 2 10" xfId="13530"/>
    <cellStyle name="Normal 43 2 2 2 11" xfId="15282"/>
    <cellStyle name="Normal 43 2 2 2 12" xfId="17035"/>
    <cellStyle name="Normal 43 2 2 2 13" xfId="18787"/>
    <cellStyle name="Normal 43 2 2 2 14" xfId="20540"/>
    <cellStyle name="Normal 43 2 2 2 15" xfId="22292"/>
    <cellStyle name="Normal 43 2 2 2 16" xfId="24044"/>
    <cellStyle name="Normal 43 2 2 2 17" xfId="25796"/>
    <cellStyle name="Normal 43 2 2 2 18" xfId="27548"/>
    <cellStyle name="Normal 43 2 2 2 19" xfId="29301"/>
    <cellStyle name="Normal 43 2 2 2 2" xfId="1865"/>
    <cellStyle name="Normal 43 2 2 2 2 10" xfId="15718"/>
    <cellStyle name="Normal 43 2 2 2 2 11" xfId="17471"/>
    <cellStyle name="Normal 43 2 2 2 2 12" xfId="19223"/>
    <cellStyle name="Normal 43 2 2 2 2 13" xfId="20976"/>
    <cellStyle name="Normal 43 2 2 2 2 14" xfId="22728"/>
    <cellStyle name="Normal 43 2 2 2 2 15" xfId="24480"/>
    <cellStyle name="Normal 43 2 2 2 2 16" xfId="26232"/>
    <cellStyle name="Normal 43 2 2 2 2 17" xfId="27984"/>
    <cellStyle name="Normal 43 2 2 2 2 18" xfId="29737"/>
    <cellStyle name="Normal 43 2 2 2 2 19" xfId="31489"/>
    <cellStyle name="Normal 43 2 2 2 2 2" xfId="1866"/>
    <cellStyle name="Normal 43 2 2 2 2 2 10" xfId="18347"/>
    <cellStyle name="Normal 43 2 2 2 2 2 11" xfId="20099"/>
    <cellStyle name="Normal 43 2 2 2 2 2 12" xfId="21852"/>
    <cellStyle name="Normal 43 2 2 2 2 2 13" xfId="23604"/>
    <cellStyle name="Normal 43 2 2 2 2 2 14" xfId="25356"/>
    <cellStyle name="Normal 43 2 2 2 2 2 15" xfId="27108"/>
    <cellStyle name="Normal 43 2 2 2 2 2 16" xfId="28860"/>
    <cellStyle name="Normal 43 2 2 2 2 2 17" xfId="30613"/>
    <cellStyle name="Normal 43 2 2 2 2 2 18" xfId="32365"/>
    <cellStyle name="Normal 43 2 2 2 2 2 19" xfId="34118"/>
    <cellStyle name="Normal 43 2 2 2 2 2 2" xfId="4329"/>
    <cellStyle name="Normal 43 2 2 2 2 2 20" xfId="36754"/>
    <cellStyle name="Normal 43 2 2 2 2 2 21" xfId="38494"/>
    <cellStyle name="Normal 43 2 2 2 2 2 22" xfId="40247"/>
    <cellStyle name="Normal 43 2 2 2 2 2 23" xfId="42002"/>
    <cellStyle name="Normal 43 2 2 2 2 2 24" xfId="43754"/>
    <cellStyle name="Normal 43 2 2 2 2 2 25" xfId="46372"/>
    <cellStyle name="Normal 43 2 2 2 2 2 26" xfId="48124"/>
    <cellStyle name="Normal 43 2 2 2 2 2 27" xfId="49876"/>
    <cellStyle name="Normal 43 2 2 2 2 2 28" xfId="51628"/>
    <cellStyle name="Normal 43 2 2 2 2 2 29" xfId="53380"/>
    <cellStyle name="Normal 43 2 2 2 2 2 3" xfId="6081"/>
    <cellStyle name="Normal 43 2 2 2 2 2 30" xfId="55132"/>
    <cellStyle name="Normal 43 2 2 2 2 2 31" xfId="56884"/>
    <cellStyle name="Normal 43 2 2 2 2 2 32" xfId="58637"/>
    <cellStyle name="Normal 43 2 2 2 2 2 33" xfId="60389"/>
    <cellStyle name="Normal 43 2 2 2 2 2 34" xfId="62141"/>
    <cellStyle name="Normal 43 2 2 2 2 2 4" xfId="7833"/>
    <cellStyle name="Normal 43 2 2 2 2 2 5" xfId="9585"/>
    <cellStyle name="Normal 43 2 2 2 2 2 6" xfId="11338"/>
    <cellStyle name="Normal 43 2 2 2 2 2 7" xfId="13090"/>
    <cellStyle name="Normal 43 2 2 2 2 2 8" xfId="14842"/>
    <cellStyle name="Normal 43 2 2 2 2 2 9" xfId="16594"/>
    <cellStyle name="Normal 43 2 2 2 2 20" xfId="33242"/>
    <cellStyle name="Normal 43 2 2 2 2 21" xfId="34864"/>
    <cellStyle name="Normal 43 2 2 2 2 22" xfId="35878"/>
    <cellStyle name="Normal 43 2 2 2 2 23" xfId="37485"/>
    <cellStyle name="Normal 43 2 2 2 2 24" xfId="39371"/>
    <cellStyle name="Normal 43 2 2 2 2 25" xfId="41126"/>
    <cellStyle name="Normal 43 2 2 2 2 26" xfId="42878"/>
    <cellStyle name="Normal 43 2 2 2 2 27" xfId="44485"/>
    <cellStyle name="Normal 43 2 2 2 2 28" xfId="45496"/>
    <cellStyle name="Normal 43 2 2 2 2 29" xfId="47248"/>
    <cellStyle name="Normal 43 2 2 2 2 3" xfId="3453"/>
    <cellStyle name="Normal 43 2 2 2 2 30" xfId="49000"/>
    <cellStyle name="Normal 43 2 2 2 2 31" xfId="50752"/>
    <cellStyle name="Normal 43 2 2 2 2 32" xfId="52504"/>
    <cellStyle name="Normal 43 2 2 2 2 33" xfId="54256"/>
    <cellStyle name="Normal 43 2 2 2 2 34" xfId="56008"/>
    <cellStyle name="Normal 43 2 2 2 2 35" xfId="57761"/>
    <cellStyle name="Normal 43 2 2 2 2 36" xfId="59513"/>
    <cellStyle name="Normal 43 2 2 2 2 37" xfId="61265"/>
    <cellStyle name="Normal 43 2 2 2 2 38" xfId="62872"/>
    <cellStyle name="Normal 43 2 2 2 2 39" xfId="63738"/>
    <cellStyle name="Normal 43 2 2 2 2 4" xfId="5205"/>
    <cellStyle name="Normal 43 2 2 2 2 5" xfId="6957"/>
    <cellStyle name="Normal 43 2 2 2 2 6" xfId="8709"/>
    <cellStyle name="Normal 43 2 2 2 2 7" xfId="10462"/>
    <cellStyle name="Normal 43 2 2 2 2 8" xfId="12214"/>
    <cellStyle name="Normal 43 2 2 2 2 9" xfId="13966"/>
    <cellStyle name="Normal 43 2 2 2 20" xfId="31053"/>
    <cellStyle name="Normal 43 2 2 2 21" xfId="32806"/>
    <cellStyle name="Normal 43 2 2 2 22" xfId="34863"/>
    <cellStyle name="Normal 43 2 2 2 23" xfId="35442"/>
    <cellStyle name="Normal 43 2 2 2 24" xfId="37484"/>
    <cellStyle name="Normal 43 2 2 2 25" xfId="38935"/>
    <cellStyle name="Normal 43 2 2 2 26" xfId="40690"/>
    <cellStyle name="Normal 43 2 2 2 27" xfId="42442"/>
    <cellStyle name="Normal 43 2 2 2 28" xfId="44484"/>
    <cellStyle name="Normal 43 2 2 2 29" xfId="45060"/>
    <cellStyle name="Normal 43 2 2 2 3" xfId="1867"/>
    <cellStyle name="Normal 43 2 2 2 3 10" xfId="17911"/>
    <cellStyle name="Normal 43 2 2 2 3 11" xfId="19663"/>
    <cellStyle name="Normal 43 2 2 2 3 12" xfId="21416"/>
    <cellStyle name="Normal 43 2 2 2 3 13" xfId="23168"/>
    <cellStyle name="Normal 43 2 2 2 3 14" xfId="24920"/>
    <cellStyle name="Normal 43 2 2 2 3 15" xfId="26672"/>
    <cellStyle name="Normal 43 2 2 2 3 16" xfId="28424"/>
    <cellStyle name="Normal 43 2 2 2 3 17" xfId="30177"/>
    <cellStyle name="Normal 43 2 2 2 3 18" xfId="31929"/>
    <cellStyle name="Normal 43 2 2 2 3 19" xfId="33682"/>
    <cellStyle name="Normal 43 2 2 2 3 2" xfId="3893"/>
    <cellStyle name="Normal 43 2 2 2 3 20" xfId="36318"/>
    <cellStyle name="Normal 43 2 2 2 3 21" xfId="38058"/>
    <cellStyle name="Normal 43 2 2 2 3 22" xfId="39811"/>
    <cellStyle name="Normal 43 2 2 2 3 23" xfId="41566"/>
    <cellStyle name="Normal 43 2 2 2 3 24" xfId="43318"/>
    <cellStyle name="Normal 43 2 2 2 3 25" xfId="45936"/>
    <cellStyle name="Normal 43 2 2 2 3 26" xfId="47688"/>
    <cellStyle name="Normal 43 2 2 2 3 27" xfId="49440"/>
    <cellStyle name="Normal 43 2 2 2 3 28" xfId="51192"/>
    <cellStyle name="Normal 43 2 2 2 3 29" xfId="52944"/>
    <cellStyle name="Normal 43 2 2 2 3 3" xfId="5645"/>
    <cellStyle name="Normal 43 2 2 2 3 30" xfId="54696"/>
    <cellStyle name="Normal 43 2 2 2 3 31" xfId="56448"/>
    <cellStyle name="Normal 43 2 2 2 3 32" xfId="58201"/>
    <cellStyle name="Normal 43 2 2 2 3 33" xfId="59953"/>
    <cellStyle name="Normal 43 2 2 2 3 34" xfId="61705"/>
    <cellStyle name="Normal 43 2 2 2 3 4" xfId="7397"/>
    <cellStyle name="Normal 43 2 2 2 3 5" xfId="9149"/>
    <cellStyle name="Normal 43 2 2 2 3 6" xfId="10902"/>
    <cellStyle name="Normal 43 2 2 2 3 7" xfId="12654"/>
    <cellStyle name="Normal 43 2 2 2 3 8" xfId="14406"/>
    <cellStyle name="Normal 43 2 2 2 3 9" xfId="16158"/>
    <cellStyle name="Normal 43 2 2 2 30" xfId="46812"/>
    <cellStyle name="Normal 43 2 2 2 31" xfId="48564"/>
    <cellStyle name="Normal 43 2 2 2 32" xfId="50316"/>
    <cellStyle name="Normal 43 2 2 2 33" xfId="52068"/>
    <cellStyle name="Normal 43 2 2 2 34" xfId="53820"/>
    <cellStyle name="Normal 43 2 2 2 35" xfId="55572"/>
    <cellStyle name="Normal 43 2 2 2 36" xfId="57325"/>
    <cellStyle name="Normal 43 2 2 2 37" xfId="59077"/>
    <cellStyle name="Normal 43 2 2 2 38" xfId="60829"/>
    <cellStyle name="Normal 43 2 2 2 39" xfId="62871"/>
    <cellStyle name="Normal 43 2 2 2 4" xfId="3017"/>
    <cellStyle name="Normal 43 2 2 2 40" xfId="63737"/>
    <cellStyle name="Normal 43 2 2 2 5" xfId="4769"/>
    <cellStyle name="Normal 43 2 2 2 6" xfId="6521"/>
    <cellStyle name="Normal 43 2 2 2 7" xfId="8273"/>
    <cellStyle name="Normal 43 2 2 2 8" xfId="10026"/>
    <cellStyle name="Normal 43 2 2 2 9" xfId="11778"/>
    <cellStyle name="Normal 43 2 2 20" xfId="29125"/>
    <cellStyle name="Normal 43 2 2 21" xfId="30877"/>
    <cellStyle name="Normal 43 2 2 22" xfId="32630"/>
    <cellStyle name="Normal 43 2 2 23" xfId="34862"/>
    <cellStyle name="Normal 43 2 2 24" xfId="35266"/>
    <cellStyle name="Normal 43 2 2 25" xfId="37483"/>
    <cellStyle name="Normal 43 2 2 26" xfId="38759"/>
    <cellStyle name="Normal 43 2 2 27" xfId="40514"/>
    <cellStyle name="Normal 43 2 2 28" xfId="42266"/>
    <cellStyle name="Normal 43 2 2 29" xfId="44483"/>
    <cellStyle name="Normal 43 2 2 3" xfId="1868"/>
    <cellStyle name="Normal 43 2 2 3 10" xfId="15542"/>
    <cellStyle name="Normal 43 2 2 3 11" xfId="17295"/>
    <cellStyle name="Normal 43 2 2 3 12" xfId="19047"/>
    <cellStyle name="Normal 43 2 2 3 13" xfId="20800"/>
    <cellStyle name="Normal 43 2 2 3 14" xfId="22552"/>
    <cellStyle name="Normal 43 2 2 3 15" xfId="24304"/>
    <cellStyle name="Normal 43 2 2 3 16" xfId="26056"/>
    <cellStyle name="Normal 43 2 2 3 17" xfId="27808"/>
    <cellStyle name="Normal 43 2 2 3 18" xfId="29561"/>
    <cellStyle name="Normal 43 2 2 3 19" xfId="31313"/>
    <cellStyle name="Normal 43 2 2 3 2" xfId="1869"/>
    <cellStyle name="Normal 43 2 2 3 2 10" xfId="18171"/>
    <cellStyle name="Normal 43 2 2 3 2 11" xfId="19923"/>
    <cellStyle name="Normal 43 2 2 3 2 12" xfId="21676"/>
    <cellStyle name="Normal 43 2 2 3 2 13" xfId="23428"/>
    <cellStyle name="Normal 43 2 2 3 2 14" xfId="25180"/>
    <cellStyle name="Normal 43 2 2 3 2 15" xfId="26932"/>
    <cellStyle name="Normal 43 2 2 3 2 16" xfId="28684"/>
    <cellStyle name="Normal 43 2 2 3 2 17" xfId="30437"/>
    <cellStyle name="Normal 43 2 2 3 2 18" xfId="32189"/>
    <cellStyle name="Normal 43 2 2 3 2 19" xfId="33942"/>
    <cellStyle name="Normal 43 2 2 3 2 2" xfId="4153"/>
    <cellStyle name="Normal 43 2 2 3 2 20" xfId="36578"/>
    <cellStyle name="Normal 43 2 2 3 2 21" xfId="38318"/>
    <cellStyle name="Normal 43 2 2 3 2 22" xfId="40071"/>
    <cellStyle name="Normal 43 2 2 3 2 23" xfId="41826"/>
    <cellStyle name="Normal 43 2 2 3 2 24" xfId="43578"/>
    <cellStyle name="Normal 43 2 2 3 2 25" xfId="46196"/>
    <cellStyle name="Normal 43 2 2 3 2 26" xfId="47948"/>
    <cellStyle name="Normal 43 2 2 3 2 27" xfId="49700"/>
    <cellStyle name="Normal 43 2 2 3 2 28" xfId="51452"/>
    <cellStyle name="Normal 43 2 2 3 2 29" xfId="53204"/>
    <cellStyle name="Normal 43 2 2 3 2 3" xfId="5905"/>
    <cellStyle name="Normal 43 2 2 3 2 30" xfId="54956"/>
    <cellStyle name="Normal 43 2 2 3 2 31" xfId="56708"/>
    <cellStyle name="Normal 43 2 2 3 2 32" xfId="58461"/>
    <cellStyle name="Normal 43 2 2 3 2 33" xfId="60213"/>
    <cellStyle name="Normal 43 2 2 3 2 34" xfId="61965"/>
    <cellStyle name="Normal 43 2 2 3 2 4" xfId="7657"/>
    <cellStyle name="Normal 43 2 2 3 2 5" xfId="9409"/>
    <cellStyle name="Normal 43 2 2 3 2 6" xfId="11162"/>
    <cellStyle name="Normal 43 2 2 3 2 7" xfId="12914"/>
    <cellStyle name="Normal 43 2 2 3 2 8" xfId="14666"/>
    <cellStyle name="Normal 43 2 2 3 2 9" xfId="16418"/>
    <cellStyle name="Normal 43 2 2 3 20" xfId="33066"/>
    <cellStyle name="Normal 43 2 2 3 21" xfId="34865"/>
    <cellStyle name="Normal 43 2 2 3 22" xfId="35702"/>
    <cellStyle name="Normal 43 2 2 3 23" xfId="37486"/>
    <cellStyle name="Normal 43 2 2 3 24" xfId="39195"/>
    <cellStyle name="Normal 43 2 2 3 25" xfId="40950"/>
    <cellStyle name="Normal 43 2 2 3 26" xfId="42702"/>
    <cellStyle name="Normal 43 2 2 3 27" xfId="44486"/>
    <cellStyle name="Normal 43 2 2 3 28" xfId="45320"/>
    <cellStyle name="Normal 43 2 2 3 29" xfId="47072"/>
    <cellStyle name="Normal 43 2 2 3 3" xfId="3277"/>
    <cellStyle name="Normal 43 2 2 3 30" xfId="48824"/>
    <cellStyle name="Normal 43 2 2 3 31" xfId="50576"/>
    <cellStyle name="Normal 43 2 2 3 32" xfId="52328"/>
    <cellStyle name="Normal 43 2 2 3 33" xfId="54080"/>
    <cellStyle name="Normal 43 2 2 3 34" xfId="55832"/>
    <cellStyle name="Normal 43 2 2 3 35" xfId="57585"/>
    <cellStyle name="Normal 43 2 2 3 36" xfId="59337"/>
    <cellStyle name="Normal 43 2 2 3 37" xfId="61089"/>
    <cellStyle name="Normal 43 2 2 3 38" xfId="62873"/>
    <cellStyle name="Normal 43 2 2 3 39" xfId="63739"/>
    <cellStyle name="Normal 43 2 2 3 4" xfId="5029"/>
    <cellStyle name="Normal 43 2 2 3 5" xfId="6781"/>
    <cellStyle name="Normal 43 2 2 3 6" xfId="8533"/>
    <cellStyle name="Normal 43 2 2 3 7" xfId="10286"/>
    <cellStyle name="Normal 43 2 2 3 8" xfId="12038"/>
    <cellStyle name="Normal 43 2 2 3 9" xfId="13790"/>
    <cellStyle name="Normal 43 2 2 30" xfId="44884"/>
    <cellStyle name="Normal 43 2 2 31" xfId="46636"/>
    <cellStyle name="Normal 43 2 2 32" xfId="48388"/>
    <cellStyle name="Normal 43 2 2 33" xfId="50140"/>
    <cellStyle name="Normal 43 2 2 34" xfId="51892"/>
    <cellStyle name="Normal 43 2 2 35" xfId="53644"/>
    <cellStyle name="Normal 43 2 2 36" xfId="55396"/>
    <cellStyle name="Normal 43 2 2 37" xfId="57149"/>
    <cellStyle name="Normal 43 2 2 38" xfId="58901"/>
    <cellStyle name="Normal 43 2 2 39" xfId="60653"/>
    <cellStyle name="Normal 43 2 2 4" xfId="1870"/>
    <cellStyle name="Normal 43 2 2 4 10" xfId="17735"/>
    <cellStyle name="Normal 43 2 2 4 11" xfId="19487"/>
    <cellStyle name="Normal 43 2 2 4 12" xfId="21240"/>
    <cellStyle name="Normal 43 2 2 4 13" xfId="22992"/>
    <cellStyle name="Normal 43 2 2 4 14" xfId="24744"/>
    <cellStyle name="Normal 43 2 2 4 15" xfId="26496"/>
    <cellStyle name="Normal 43 2 2 4 16" xfId="28248"/>
    <cellStyle name="Normal 43 2 2 4 17" xfId="30001"/>
    <cellStyle name="Normal 43 2 2 4 18" xfId="31753"/>
    <cellStyle name="Normal 43 2 2 4 19" xfId="33506"/>
    <cellStyle name="Normal 43 2 2 4 2" xfId="3717"/>
    <cellStyle name="Normal 43 2 2 4 20" xfId="36142"/>
    <cellStyle name="Normal 43 2 2 4 21" xfId="37882"/>
    <cellStyle name="Normal 43 2 2 4 22" xfId="39635"/>
    <cellStyle name="Normal 43 2 2 4 23" xfId="41390"/>
    <cellStyle name="Normal 43 2 2 4 24" xfId="43142"/>
    <cellStyle name="Normal 43 2 2 4 25" xfId="45760"/>
    <cellStyle name="Normal 43 2 2 4 26" xfId="47512"/>
    <cellStyle name="Normal 43 2 2 4 27" xfId="49264"/>
    <cellStyle name="Normal 43 2 2 4 28" xfId="51016"/>
    <cellStyle name="Normal 43 2 2 4 29" xfId="52768"/>
    <cellStyle name="Normal 43 2 2 4 3" xfId="5469"/>
    <cellStyle name="Normal 43 2 2 4 30" xfId="54520"/>
    <cellStyle name="Normal 43 2 2 4 31" xfId="56272"/>
    <cellStyle name="Normal 43 2 2 4 32" xfId="58025"/>
    <cellStyle name="Normal 43 2 2 4 33" xfId="59777"/>
    <cellStyle name="Normal 43 2 2 4 34" xfId="61529"/>
    <cellStyle name="Normal 43 2 2 4 4" xfId="7221"/>
    <cellStyle name="Normal 43 2 2 4 5" xfId="8973"/>
    <cellStyle name="Normal 43 2 2 4 6" xfId="10726"/>
    <cellStyle name="Normal 43 2 2 4 7" xfId="12478"/>
    <cellStyle name="Normal 43 2 2 4 8" xfId="14230"/>
    <cellStyle name="Normal 43 2 2 4 9" xfId="15982"/>
    <cellStyle name="Normal 43 2 2 40" xfId="62870"/>
    <cellStyle name="Normal 43 2 2 41" xfId="63736"/>
    <cellStyle name="Normal 43 2 2 5" xfId="2841"/>
    <cellStyle name="Normal 43 2 2 6" xfId="4593"/>
    <cellStyle name="Normal 43 2 2 7" xfId="6345"/>
    <cellStyle name="Normal 43 2 2 8" xfId="8097"/>
    <cellStyle name="Normal 43 2 2 9" xfId="9850"/>
    <cellStyle name="Normal 43 2 20" xfId="27264"/>
    <cellStyle name="Normal 43 2 21" xfId="29017"/>
    <cellStyle name="Normal 43 2 22" xfId="30769"/>
    <cellStyle name="Normal 43 2 23" xfId="32522"/>
    <cellStyle name="Normal 43 2 24" xfId="34861"/>
    <cellStyle name="Normal 43 2 25" xfId="35158"/>
    <cellStyle name="Normal 43 2 26" xfId="37482"/>
    <cellStyle name="Normal 43 2 27" xfId="38651"/>
    <cellStyle name="Normal 43 2 28" xfId="40406"/>
    <cellStyle name="Normal 43 2 29" xfId="42158"/>
    <cellStyle name="Normal 43 2 3" xfId="1871"/>
    <cellStyle name="Normal 43 2 3 10" xfId="13531"/>
    <cellStyle name="Normal 43 2 3 11" xfId="15283"/>
    <cellStyle name="Normal 43 2 3 12" xfId="17036"/>
    <cellStyle name="Normal 43 2 3 13" xfId="18788"/>
    <cellStyle name="Normal 43 2 3 14" xfId="20541"/>
    <cellStyle name="Normal 43 2 3 15" xfId="22293"/>
    <cellStyle name="Normal 43 2 3 16" xfId="24045"/>
    <cellStyle name="Normal 43 2 3 17" xfId="25797"/>
    <cellStyle name="Normal 43 2 3 18" xfId="27549"/>
    <cellStyle name="Normal 43 2 3 19" xfId="29302"/>
    <cellStyle name="Normal 43 2 3 2" xfId="1872"/>
    <cellStyle name="Normal 43 2 3 2 10" xfId="15719"/>
    <cellStyle name="Normal 43 2 3 2 11" xfId="17472"/>
    <cellStyle name="Normal 43 2 3 2 12" xfId="19224"/>
    <cellStyle name="Normal 43 2 3 2 13" xfId="20977"/>
    <cellStyle name="Normal 43 2 3 2 14" xfId="22729"/>
    <cellStyle name="Normal 43 2 3 2 15" xfId="24481"/>
    <cellStyle name="Normal 43 2 3 2 16" xfId="26233"/>
    <cellStyle name="Normal 43 2 3 2 17" xfId="27985"/>
    <cellStyle name="Normal 43 2 3 2 18" xfId="29738"/>
    <cellStyle name="Normal 43 2 3 2 19" xfId="31490"/>
    <cellStyle name="Normal 43 2 3 2 2" xfId="1873"/>
    <cellStyle name="Normal 43 2 3 2 2 10" xfId="18348"/>
    <cellStyle name="Normal 43 2 3 2 2 11" xfId="20100"/>
    <cellStyle name="Normal 43 2 3 2 2 12" xfId="21853"/>
    <cellStyle name="Normal 43 2 3 2 2 13" xfId="23605"/>
    <cellStyle name="Normal 43 2 3 2 2 14" xfId="25357"/>
    <cellStyle name="Normal 43 2 3 2 2 15" xfId="27109"/>
    <cellStyle name="Normal 43 2 3 2 2 16" xfId="28861"/>
    <cellStyle name="Normal 43 2 3 2 2 17" xfId="30614"/>
    <cellStyle name="Normal 43 2 3 2 2 18" xfId="32366"/>
    <cellStyle name="Normal 43 2 3 2 2 19" xfId="34119"/>
    <cellStyle name="Normal 43 2 3 2 2 2" xfId="4330"/>
    <cellStyle name="Normal 43 2 3 2 2 20" xfId="36755"/>
    <cellStyle name="Normal 43 2 3 2 2 21" xfId="38495"/>
    <cellStyle name="Normal 43 2 3 2 2 22" xfId="40248"/>
    <cellStyle name="Normal 43 2 3 2 2 23" xfId="42003"/>
    <cellStyle name="Normal 43 2 3 2 2 24" xfId="43755"/>
    <cellStyle name="Normal 43 2 3 2 2 25" xfId="46373"/>
    <cellStyle name="Normal 43 2 3 2 2 26" xfId="48125"/>
    <cellStyle name="Normal 43 2 3 2 2 27" xfId="49877"/>
    <cellStyle name="Normal 43 2 3 2 2 28" xfId="51629"/>
    <cellStyle name="Normal 43 2 3 2 2 29" xfId="53381"/>
    <cellStyle name="Normal 43 2 3 2 2 3" xfId="6082"/>
    <cellStyle name="Normal 43 2 3 2 2 30" xfId="55133"/>
    <cellStyle name="Normal 43 2 3 2 2 31" xfId="56885"/>
    <cellStyle name="Normal 43 2 3 2 2 32" xfId="58638"/>
    <cellStyle name="Normal 43 2 3 2 2 33" xfId="60390"/>
    <cellStyle name="Normal 43 2 3 2 2 34" xfId="62142"/>
    <cellStyle name="Normal 43 2 3 2 2 4" xfId="7834"/>
    <cellStyle name="Normal 43 2 3 2 2 5" xfId="9586"/>
    <cellStyle name="Normal 43 2 3 2 2 6" xfId="11339"/>
    <cellStyle name="Normal 43 2 3 2 2 7" xfId="13091"/>
    <cellStyle name="Normal 43 2 3 2 2 8" xfId="14843"/>
    <cellStyle name="Normal 43 2 3 2 2 9" xfId="16595"/>
    <cellStyle name="Normal 43 2 3 2 20" xfId="33243"/>
    <cellStyle name="Normal 43 2 3 2 21" xfId="34867"/>
    <cellStyle name="Normal 43 2 3 2 22" xfId="35879"/>
    <cellStyle name="Normal 43 2 3 2 23" xfId="37488"/>
    <cellStyle name="Normal 43 2 3 2 24" xfId="39372"/>
    <cellStyle name="Normal 43 2 3 2 25" xfId="41127"/>
    <cellStyle name="Normal 43 2 3 2 26" xfId="42879"/>
    <cellStyle name="Normal 43 2 3 2 27" xfId="44488"/>
    <cellStyle name="Normal 43 2 3 2 28" xfId="45497"/>
    <cellStyle name="Normal 43 2 3 2 29" xfId="47249"/>
    <cellStyle name="Normal 43 2 3 2 3" xfId="3454"/>
    <cellStyle name="Normal 43 2 3 2 30" xfId="49001"/>
    <cellStyle name="Normal 43 2 3 2 31" xfId="50753"/>
    <cellStyle name="Normal 43 2 3 2 32" xfId="52505"/>
    <cellStyle name="Normal 43 2 3 2 33" xfId="54257"/>
    <cellStyle name="Normal 43 2 3 2 34" xfId="56009"/>
    <cellStyle name="Normal 43 2 3 2 35" xfId="57762"/>
    <cellStyle name="Normal 43 2 3 2 36" xfId="59514"/>
    <cellStyle name="Normal 43 2 3 2 37" xfId="61266"/>
    <cellStyle name="Normal 43 2 3 2 38" xfId="62875"/>
    <cellStyle name="Normal 43 2 3 2 39" xfId="63741"/>
    <cellStyle name="Normal 43 2 3 2 4" xfId="5206"/>
    <cellStyle name="Normal 43 2 3 2 5" xfId="6958"/>
    <cellStyle name="Normal 43 2 3 2 6" xfId="8710"/>
    <cellStyle name="Normal 43 2 3 2 7" xfId="10463"/>
    <cellStyle name="Normal 43 2 3 2 8" xfId="12215"/>
    <cellStyle name="Normal 43 2 3 2 9" xfId="13967"/>
    <cellStyle name="Normal 43 2 3 20" xfId="31054"/>
    <cellStyle name="Normal 43 2 3 21" xfId="32807"/>
    <cellStyle name="Normal 43 2 3 22" xfId="34866"/>
    <cellStyle name="Normal 43 2 3 23" xfId="35443"/>
    <cellStyle name="Normal 43 2 3 24" xfId="37487"/>
    <cellStyle name="Normal 43 2 3 25" xfId="38936"/>
    <cellStyle name="Normal 43 2 3 26" xfId="40691"/>
    <cellStyle name="Normal 43 2 3 27" xfId="42443"/>
    <cellStyle name="Normal 43 2 3 28" xfId="44487"/>
    <cellStyle name="Normal 43 2 3 29" xfId="45061"/>
    <cellStyle name="Normal 43 2 3 3" xfId="1874"/>
    <cellStyle name="Normal 43 2 3 3 10" xfId="17912"/>
    <cellStyle name="Normal 43 2 3 3 11" xfId="19664"/>
    <cellStyle name="Normal 43 2 3 3 12" xfId="21417"/>
    <cellStyle name="Normal 43 2 3 3 13" xfId="23169"/>
    <cellStyle name="Normal 43 2 3 3 14" xfId="24921"/>
    <cellStyle name="Normal 43 2 3 3 15" xfId="26673"/>
    <cellStyle name="Normal 43 2 3 3 16" xfId="28425"/>
    <cellStyle name="Normal 43 2 3 3 17" xfId="30178"/>
    <cellStyle name="Normal 43 2 3 3 18" xfId="31930"/>
    <cellStyle name="Normal 43 2 3 3 19" xfId="33683"/>
    <cellStyle name="Normal 43 2 3 3 2" xfId="3894"/>
    <cellStyle name="Normal 43 2 3 3 20" xfId="36319"/>
    <cellStyle name="Normal 43 2 3 3 21" xfId="38059"/>
    <cellStyle name="Normal 43 2 3 3 22" xfId="39812"/>
    <cellStyle name="Normal 43 2 3 3 23" xfId="41567"/>
    <cellStyle name="Normal 43 2 3 3 24" xfId="43319"/>
    <cellStyle name="Normal 43 2 3 3 25" xfId="45937"/>
    <cellStyle name="Normal 43 2 3 3 26" xfId="47689"/>
    <cellStyle name="Normal 43 2 3 3 27" xfId="49441"/>
    <cellStyle name="Normal 43 2 3 3 28" xfId="51193"/>
    <cellStyle name="Normal 43 2 3 3 29" xfId="52945"/>
    <cellStyle name="Normal 43 2 3 3 3" xfId="5646"/>
    <cellStyle name="Normal 43 2 3 3 30" xfId="54697"/>
    <cellStyle name="Normal 43 2 3 3 31" xfId="56449"/>
    <cellStyle name="Normal 43 2 3 3 32" xfId="58202"/>
    <cellStyle name="Normal 43 2 3 3 33" xfId="59954"/>
    <cellStyle name="Normal 43 2 3 3 34" xfId="61706"/>
    <cellStyle name="Normal 43 2 3 3 4" xfId="7398"/>
    <cellStyle name="Normal 43 2 3 3 5" xfId="9150"/>
    <cellStyle name="Normal 43 2 3 3 6" xfId="10903"/>
    <cellStyle name="Normal 43 2 3 3 7" xfId="12655"/>
    <cellStyle name="Normal 43 2 3 3 8" xfId="14407"/>
    <cellStyle name="Normal 43 2 3 3 9" xfId="16159"/>
    <cellStyle name="Normal 43 2 3 30" xfId="46813"/>
    <cellStyle name="Normal 43 2 3 31" xfId="48565"/>
    <cellStyle name="Normal 43 2 3 32" xfId="50317"/>
    <cellStyle name="Normal 43 2 3 33" xfId="52069"/>
    <cellStyle name="Normal 43 2 3 34" xfId="53821"/>
    <cellStyle name="Normal 43 2 3 35" xfId="55573"/>
    <cellStyle name="Normal 43 2 3 36" xfId="57326"/>
    <cellStyle name="Normal 43 2 3 37" xfId="59078"/>
    <cellStyle name="Normal 43 2 3 38" xfId="60830"/>
    <cellStyle name="Normal 43 2 3 39" xfId="62874"/>
    <cellStyle name="Normal 43 2 3 4" xfId="3018"/>
    <cellStyle name="Normal 43 2 3 40" xfId="63740"/>
    <cellStyle name="Normal 43 2 3 5" xfId="4770"/>
    <cellStyle name="Normal 43 2 3 6" xfId="6522"/>
    <cellStyle name="Normal 43 2 3 7" xfId="8274"/>
    <cellStyle name="Normal 43 2 3 8" xfId="10027"/>
    <cellStyle name="Normal 43 2 3 9" xfId="11779"/>
    <cellStyle name="Normal 43 2 30" xfId="44482"/>
    <cellStyle name="Normal 43 2 31" xfId="44776"/>
    <cellStyle name="Normal 43 2 32" xfId="46528"/>
    <cellStyle name="Normal 43 2 33" xfId="48280"/>
    <cellStyle name="Normal 43 2 34" xfId="50032"/>
    <cellStyle name="Normal 43 2 35" xfId="51784"/>
    <cellStyle name="Normal 43 2 36" xfId="53536"/>
    <cellStyle name="Normal 43 2 37" xfId="55288"/>
    <cellStyle name="Normal 43 2 38" xfId="57041"/>
    <cellStyle name="Normal 43 2 39" xfId="58793"/>
    <cellStyle name="Normal 43 2 4" xfId="1875"/>
    <cellStyle name="Normal 43 2 4 10" xfId="15434"/>
    <cellStyle name="Normal 43 2 4 11" xfId="17187"/>
    <cellStyle name="Normal 43 2 4 12" xfId="18939"/>
    <cellStyle name="Normal 43 2 4 13" xfId="20692"/>
    <cellStyle name="Normal 43 2 4 14" xfId="22444"/>
    <cellStyle name="Normal 43 2 4 15" xfId="24196"/>
    <cellStyle name="Normal 43 2 4 16" xfId="25948"/>
    <cellStyle name="Normal 43 2 4 17" xfId="27700"/>
    <cellStyle name="Normal 43 2 4 18" xfId="29453"/>
    <cellStyle name="Normal 43 2 4 19" xfId="31205"/>
    <cellStyle name="Normal 43 2 4 2" xfId="1876"/>
    <cellStyle name="Normal 43 2 4 2 10" xfId="18063"/>
    <cellStyle name="Normal 43 2 4 2 11" xfId="19815"/>
    <cellStyle name="Normal 43 2 4 2 12" xfId="21568"/>
    <cellStyle name="Normal 43 2 4 2 13" xfId="23320"/>
    <cellStyle name="Normal 43 2 4 2 14" xfId="25072"/>
    <cellStyle name="Normal 43 2 4 2 15" xfId="26824"/>
    <cellStyle name="Normal 43 2 4 2 16" xfId="28576"/>
    <cellStyle name="Normal 43 2 4 2 17" xfId="30329"/>
    <cellStyle name="Normal 43 2 4 2 18" xfId="32081"/>
    <cellStyle name="Normal 43 2 4 2 19" xfId="33834"/>
    <cellStyle name="Normal 43 2 4 2 2" xfId="4045"/>
    <cellStyle name="Normal 43 2 4 2 20" xfId="36470"/>
    <cellStyle name="Normal 43 2 4 2 21" xfId="38210"/>
    <cellStyle name="Normal 43 2 4 2 22" xfId="39963"/>
    <cellStyle name="Normal 43 2 4 2 23" xfId="41718"/>
    <cellStyle name="Normal 43 2 4 2 24" xfId="43470"/>
    <cellStyle name="Normal 43 2 4 2 25" xfId="46088"/>
    <cellStyle name="Normal 43 2 4 2 26" xfId="47840"/>
    <cellStyle name="Normal 43 2 4 2 27" xfId="49592"/>
    <cellStyle name="Normal 43 2 4 2 28" xfId="51344"/>
    <cellStyle name="Normal 43 2 4 2 29" xfId="53096"/>
    <cellStyle name="Normal 43 2 4 2 3" xfId="5797"/>
    <cellStyle name="Normal 43 2 4 2 30" xfId="54848"/>
    <cellStyle name="Normal 43 2 4 2 31" xfId="56600"/>
    <cellStyle name="Normal 43 2 4 2 32" xfId="58353"/>
    <cellStyle name="Normal 43 2 4 2 33" xfId="60105"/>
    <cellStyle name="Normal 43 2 4 2 34" xfId="61857"/>
    <cellStyle name="Normal 43 2 4 2 4" xfId="7549"/>
    <cellStyle name="Normal 43 2 4 2 5" xfId="9301"/>
    <cellStyle name="Normal 43 2 4 2 6" xfId="11054"/>
    <cellStyle name="Normal 43 2 4 2 7" xfId="12806"/>
    <cellStyle name="Normal 43 2 4 2 8" xfId="14558"/>
    <cellStyle name="Normal 43 2 4 2 9" xfId="16310"/>
    <cellStyle name="Normal 43 2 4 20" xfId="32958"/>
    <cellStyle name="Normal 43 2 4 21" xfId="34868"/>
    <cellStyle name="Normal 43 2 4 22" xfId="35594"/>
    <cellStyle name="Normal 43 2 4 23" xfId="37489"/>
    <cellStyle name="Normal 43 2 4 24" xfId="39087"/>
    <cellStyle name="Normal 43 2 4 25" xfId="40842"/>
    <cellStyle name="Normal 43 2 4 26" xfId="42594"/>
    <cellStyle name="Normal 43 2 4 27" xfId="44489"/>
    <cellStyle name="Normal 43 2 4 28" xfId="45212"/>
    <cellStyle name="Normal 43 2 4 29" xfId="46964"/>
    <cellStyle name="Normal 43 2 4 3" xfId="3169"/>
    <cellStyle name="Normal 43 2 4 30" xfId="48716"/>
    <cellStyle name="Normal 43 2 4 31" xfId="50468"/>
    <cellStyle name="Normal 43 2 4 32" xfId="52220"/>
    <cellStyle name="Normal 43 2 4 33" xfId="53972"/>
    <cellStyle name="Normal 43 2 4 34" xfId="55724"/>
    <cellStyle name="Normal 43 2 4 35" xfId="57477"/>
    <cellStyle name="Normal 43 2 4 36" xfId="59229"/>
    <cellStyle name="Normal 43 2 4 37" xfId="60981"/>
    <cellStyle name="Normal 43 2 4 38" xfId="62876"/>
    <cellStyle name="Normal 43 2 4 39" xfId="63742"/>
    <cellStyle name="Normal 43 2 4 4" xfId="4921"/>
    <cellStyle name="Normal 43 2 4 5" xfId="6673"/>
    <cellStyle name="Normal 43 2 4 6" xfId="8425"/>
    <cellStyle name="Normal 43 2 4 7" xfId="10178"/>
    <cellStyle name="Normal 43 2 4 8" xfId="11930"/>
    <cellStyle name="Normal 43 2 4 9" xfId="13682"/>
    <cellStyle name="Normal 43 2 40" xfId="60545"/>
    <cellStyle name="Normal 43 2 41" xfId="62869"/>
    <cellStyle name="Normal 43 2 42" xfId="63735"/>
    <cellStyle name="Normal 43 2 5" xfId="1877"/>
    <cellStyle name="Normal 43 2 5 10" xfId="17627"/>
    <cellStyle name="Normal 43 2 5 11" xfId="19379"/>
    <cellStyle name="Normal 43 2 5 12" xfId="21132"/>
    <cellStyle name="Normal 43 2 5 13" xfId="22884"/>
    <cellStyle name="Normal 43 2 5 14" xfId="24636"/>
    <cellStyle name="Normal 43 2 5 15" xfId="26388"/>
    <cellStyle name="Normal 43 2 5 16" xfId="28140"/>
    <cellStyle name="Normal 43 2 5 17" xfId="29893"/>
    <cellStyle name="Normal 43 2 5 18" xfId="31645"/>
    <cellStyle name="Normal 43 2 5 19" xfId="33398"/>
    <cellStyle name="Normal 43 2 5 2" xfId="3609"/>
    <cellStyle name="Normal 43 2 5 20" xfId="36034"/>
    <cellStyle name="Normal 43 2 5 21" xfId="37774"/>
    <cellStyle name="Normal 43 2 5 22" xfId="39527"/>
    <cellStyle name="Normal 43 2 5 23" xfId="41282"/>
    <cellStyle name="Normal 43 2 5 24" xfId="43034"/>
    <cellStyle name="Normal 43 2 5 25" xfId="45652"/>
    <cellStyle name="Normal 43 2 5 26" xfId="47404"/>
    <cellStyle name="Normal 43 2 5 27" xfId="49156"/>
    <cellStyle name="Normal 43 2 5 28" xfId="50908"/>
    <cellStyle name="Normal 43 2 5 29" xfId="52660"/>
    <cellStyle name="Normal 43 2 5 3" xfId="5361"/>
    <cellStyle name="Normal 43 2 5 30" xfId="54412"/>
    <cellStyle name="Normal 43 2 5 31" xfId="56164"/>
    <cellStyle name="Normal 43 2 5 32" xfId="57917"/>
    <cellStyle name="Normal 43 2 5 33" xfId="59669"/>
    <cellStyle name="Normal 43 2 5 34" xfId="61421"/>
    <cellStyle name="Normal 43 2 5 4" xfId="7113"/>
    <cellStyle name="Normal 43 2 5 5" xfId="8865"/>
    <cellStyle name="Normal 43 2 5 6" xfId="10618"/>
    <cellStyle name="Normal 43 2 5 7" xfId="12370"/>
    <cellStyle name="Normal 43 2 5 8" xfId="14122"/>
    <cellStyle name="Normal 43 2 5 9" xfId="15874"/>
    <cellStyle name="Normal 43 2 6" xfId="2733"/>
    <cellStyle name="Normal 43 2 7" xfId="4485"/>
    <cellStyle name="Normal 43 2 8" xfId="6237"/>
    <cellStyle name="Normal 43 2 9" xfId="7989"/>
    <cellStyle name="Normal 43 20" xfId="25457"/>
    <cellStyle name="Normal 43 21" xfId="27209"/>
    <cellStyle name="Normal 43 22" xfId="28962"/>
    <cellStyle name="Normal 43 23" xfId="30714"/>
    <cellStyle name="Normal 43 24" xfId="32467"/>
    <cellStyle name="Normal 43 25" xfId="34860"/>
    <cellStyle name="Normal 43 26" xfId="35103"/>
    <cellStyle name="Normal 43 27" xfId="37481"/>
    <cellStyle name="Normal 43 28" xfId="38596"/>
    <cellStyle name="Normal 43 29" xfId="40351"/>
    <cellStyle name="Normal 43 3" xfId="1878"/>
    <cellStyle name="Normal 43 3 10" xfId="11547"/>
    <cellStyle name="Normal 43 3 11" xfId="13299"/>
    <cellStyle name="Normal 43 3 12" xfId="15051"/>
    <cellStyle name="Normal 43 3 13" xfId="16804"/>
    <cellStyle name="Normal 43 3 14" xfId="18556"/>
    <cellStyle name="Normal 43 3 15" xfId="20309"/>
    <cellStyle name="Normal 43 3 16" xfId="22061"/>
    <cellStyle name="Normal 43 3 17" xfId="23813"/>
    <cellStyle name="Normal 43 3 18" xfId="25565"/>
    <cellStyle name="Normal 43 3 19" xfId="27317"/>
    <cellStyle name="Normal 43 3 2" xfId="1879"/>
    <cellStyle name="Normal 43 3 2 10" xfId="13532"/>
    <cellStyle name="Normal 43 3 2 11" xfId="15284"/>
    <cellStyle name="Normal 43 3 2 12" xfId="17037"/>
    <cellStyle name="Normal 43 3 2 13" xfId="18789"/>
    <cellStyle name="Normal 43 3 2 14" xfId="20542"/>
    <cellStyle name="Normal 43 3 2 15" xfId="22294"/>
    <cellStyle name="Normal 43 3 2 16" xfId="24046"/>
    <cellStyle name="Normal 43 3 2 17" xfId="25798"/>
    <cellStyle name="Normal 43 3 2 18" xfId="27550"/>
    <cellStyle name="Normal 43 3 2 19" xfId="29303"/>
    <cellStyle name="Normal 43 3 2 2" xfId="1880"/>
    <cellStyle name="Normal 43 3 2 2 10" xfId="15720"/>
    <cellStyle name="Normal 43 3 2 2 11" xfId="17473"/>
    <cellStyle name="Normal 43 3 2 2 12" xfId="19225"/>
    <cellStyle name="Normal 43 3 2 2 13" xfId="20978"/>
    <cellStyle name="Normal 43 3 2 2 14" xfId="22730"/>
    <cellStyle name="Normal 43 3 2 2 15" xfId="24482"/>
    <cellStyle name="Normal 43 3 2 2 16" xfId="26234"/>
    <cellStyle name="Normal 43 3 2 2 17" xfId="27986"/>
    <cellStyle name="Normal 43 3 2 2 18" xfId="29739"/>
    <cellStyle name="Normal 43 3 2 2 19" xfId="31491"/>
    <cellStyle name="Normal 43 3 2 2 2" xfId="1881"/>
    <cellStyle name="Normal 43 3 2 2 2 10" xfId="18349"/>
    <cellStyle name="Normal 43 3 2 2 2 11" xfId="20101"/>
    <cellStyle name="Normal 43 3 2 2 2 12" xfId="21854"/>
    <cellStyle name="Normal 43 3 2 2 2 13" xfId="23606"/>
    <cellStyle name="Normal 43 3 2 2 2 14" xfId="25358"/>
    <cellStyle name="Normal 43 3 2 2 2 15" xfId="27110"/>
    <cellStyle name="Normal 43 3 2 2 2 16" xfId="28862"/>
    <cellStyle name="Normal 43 3 2 2 2 17" xfId="30615"/>
    <cellStyle name="Normal 43 3 2 2 2 18" xfId="32367"/>
    <cellStyle name="Normal 43 3 2 2 2 19" xfId="34120"/>
    <cellStyle name="Normal 43 3 2 2 2 2" xfId="4331"/>
    <cellStyle name="Normal 43 3 2 2 2 20" xfId="36756"/>
    <cellStyle name="Normal 43 3 2 2 2 21" xfId="38496"/>
    <cellStyle name="Normal 43 3 2 2 2 22" xfId="40249"/>
    <cellStyle name="Normal 43 3 2 2 2 23" xfId="42004"/>
    <cellStyle name="Normal 43 3 2 2 2 24" xfId="43756"/>
    <cellStyle name="Normal 43 3 2 2 2 25" xfId="46374"/>
    <cellStyle name="Normal 43 3 2 2 2 26" xfId="48126"/>
    <cellStyle name="Normal 43 3 2 2 2 27" xfId="49878"/>
    <cellStyle name="Normal 43 3 2 2 2 28" xfId="51630"/>
    <cellStyle name="Normal 43 3 2 2 2 29" xfId="53382"/>
    <cellStyle name="Normal 43 3 2 2 2 3" xfId="6083"/>
    <cellStyle name="Normal 43 3 2 2 2 30" xfId="55134"/>
    <cellStyle name="Normal 43 3 2 2 2 31" xfId="56886"/>
    <cellStyle name="Normal 43 3 2 2 2 32" xfId="58639"/>
    <cellStyle name="Normal 43 3 2 2 2 33" xfId="60391"/>
    <cellStyle name="Normal 43 3 2 2 2 34" xfId="62143"/>
    <cellStyle name="Normal 43 3 2 2 2 4" xfId="7835"/>
    <cellStyle name="Normal 43 3 2 2 2 5" xfId="9587"/>
    <cellStyle name="Normal 43 3 2 2 2 6" xfId="11340"/>
    <cellStyle name="Normal 43 3 2 2 2 7" xfId="13092"/>
    <cellStyle name="Normal 43 3 2 2 2 8" xfId="14844"/>
    <cellStyle name="Normal 43 3 2 2 2 9" xfId="16596"/>
    <cellStyle name="Normal 43 3 2 2 20" xfId="33244"/>
    <cellStyle name="Normal 43 3 2 2 21" xfId="34871"/>
    <cellStyle name="Normal 43 3 2 2 22" xfId="35880"/>
    <cellStyle name="Normal 43 3 2 2 23" xfId="37492"/>
    <cellStyle name="Normal 43 3 2 2 24" xfId="39373"/>
    <cellStyle name="Normal 43 3 2 2 25" xfId="41128"/>
    <cellStyle name="Normal 43 3 2 2 26" xfId="42880"/>
    <cellStyle name="Normal 43 3 2 2 27" xfId="44492"/>
    <cellStyle name="Normal 43 3 2 2 28" xfId="45498"/>
    <cellStyle name="Normal 43 3 2 2 29" xfId="47250"/>
    <cellStyle name="Normal 43 3 2 2 3" xfId="3455"/>
    <cellStyle name="Normal 43 3 2 2 30" xfId="49002"/>
    <cellStyle name="Normal 43 3 2 2 31" xfId="50754"/>
    <cellStyle name="Normal 43 3 2 2 32" xfId="52506"/>
    <cellStyle name="Normal 43 3 2 2 33" xfId="54258"/>
    <cellStyle name="Normal 43 3 2 2 34" xfId="56010"/>
    <cellStyle name="Normal 43 3 2 2 35" xfId="57763"/>
    <cellStyle name="Normal 43 3 2 2 36" xfId="59515"/>
    <cellStyle name="Normal 43 3 2 2 37" xfId="61267"/>
    <cellStyle name="Normal 43 3 2 2 38" xfId="62879"/>
    <cellStyle name="Normal 43 3 2 2 39" xfId="63745"/>
    <cellStyle name="Normal 43 3 2 2 4" xfId="5207"/>
    <cellStyle name="Normal 43 3 2 2 5" xfId="6959"/>
    <cellStyle name="Normal 43 3 2 2 6" xfId="8711"/>
    <cellStyle name="Normal 43 3 2 2 7" xfId="10464"/>
    <cellStyle name="Normal 43 3 2 2 8" xfId="12216"/>
    <cellStyle name="Normal 43 3 2 2 9" xfId="13968"/>
    <cellStyle name="Normal 43 3 2 20" xfId="31055"/>
    <cellStyle name="Normal 43 3 2 21" xfId="32808"/>
    <cellStyle name="Normal 43 3 2 22" xfId="34870"/>
    <cellStyle name="Normal 43 3 2 23" xfId="35444"/>
    <cellStyle name="Normal 43 3 2 24" xfId="37491"/>
    <cellStyle name="Normal 43 3 2 25" xfId="38937"/>
    <cellStyle name="Normal 43 3 2 26" xfId="40692"/>
    <cellStyle name="Normal 43 3 2 27" xfId="42444"/>
    <cellStyle name="Normal 43 3 2 28" xfId="44491"/>
    <cellStyle name="Normal 43 3 2 29" xfId="45062"/>
    <cellStyle name="Normal 43 3 2 3" xfId="1882"/>
    <cellStyle name="Normal 43 3 2 3 10" xfId="17913"/>
    <cellStyle name="Normal 43 3 2 3 11" xfId="19665"/>
    <cellStyle name="Normal 43 3 2 3 12" xfId="21418"/>
    <cellStyle name="Normal 43 3 2 3 13" xfId="23170"/>
    <cellStyle name="Normal 43 3 2 3 14" xfId="24922"/>
    <cellStyle name="Normal 43 3 2 3 15" xfId="26674"/>
    <cellStyle name="Normal 43 3 2 3 16" xfId="28426"/>
    <cellStyle name="Normal 43 3 2 3 17" xfId="30179"/>
    <cellStyle name="Normal 43 3 2 3 18" xfId="31931"/>
    <cellStyle name="Normal 43 3 2 3 19" xfId="33684"/>
    <cellStyle name="Normal 43 3 2 3 2" xfId="3895"/>
    <cellStyle name="Normal 43 3 2 3 20" xfId="36320"/>
    <cellStyle name="Normal 43 3 2 3 21" xfId="38060"/>
    <cellStyle name="Normal 43 3 2 3 22" xfId="39813"/>
    <cellStyle name="Normal 43 3 2 3 23" xfId="41568"/>
    <cellStyle name="Normal 43 3 2 3 24" xfId="43320"/>
    <cellStyle name="Normal 43 3 2 3 25" xfId="45938"/>
    <cellStyle name="Normal 43 3 2 3 26" xfId="47690"/>
    <cellStyle name="Normal 43 3 2 3 27" xfId="49442"/>
    <cellStyle name="Normal 43 3 2 3 28" xfId="51194"/>
    <cellStyle name="Normal 43 3 2 3 29" xfId="52946"/>
    <cellStyle name="Normal 43 3 2 3 3" xfId="5647"/>
    <cellStyle name="Normal 43 3 2 3 30" xfId="54698"/>
    <cellStyle name="Normal 43 3 2 3 31" xfId="56450"/>
    <cellStyle name="Normal 43 3 2 3 32" xfId="58203"/>
    <cellStyle name="Normal 43 3 2 3 33" xfId="59955"/>
    <cellStyle name="Normal 43 3 2 3 34" xfId="61707"/>
    <cellStyle name="Normal 43 3 2 3 4" xfId="7399"/>
    <cellStyle name="Normal 43 3 2 3 5" xfId="9151"/>
    <cellStyle name="Normal 43 3 2 3 6" xfId="10904"/>
    <cellStyle name="Normal 43 3 2 3 7" xfId="12656"/>
    <cellStyle name="Normal 43 3 2 3 8" xfId="14408"/>
    <cellStyle name="Normal 43 3 2 3 9" xfId="16160"/>
    <cellStyle name="Normal 43 3 2 30" xfId="46814"/>
    <cellStyle name="Normal 43 3 2 31" xfId="48566"/>
    <cellStyle name="Normal 43 3 2 32" xfId="50318"/>
    <cellStyle name="Normal 43 3 2 33" xfId="52070"/>
    <cellStyle name="Normal 43 3 2 34" xfId="53822"/>
    <cellStyle name="Normal 43 3 2 35" xfId="55574"/>
    <cellStyle name="Normal 43 3 2 36" xfId="57327"/>
    <cellStyle name="Normal 43 3 2 37" xfId="59079"/>
    <cellStyle name="Normal 43 3 2 38" xfId="60831"/>
    <cellStyle name="Normal 43 3 2 39" xfId="62878"/>
    <cellStyle name="Normal 43 3 2 4" xfId="3019"/>
    <cellStyle name="Normal 43 3 2 40" xfId="63744"/>
    <cellStyle name="Normal 43 3 2 5" xfId="4771"/>
    <cellStyle name="Normal 43 3 2 6" xfId="6523"/>
    <cellStyle name="Normal 43 3 2 7" xfId="8275"/>
    <cellStyle name="Normal 43 3 2 8" xfId="10028"/>
    <cellStyle name="Normal 43 3 2 9" xfId="11780"/>
    <cellStyle name="Normal 43 3 20" xfId="29070"/>
    <cellStyle name="Normal 43 3 21" xfId="30822"/>
    <cellStyle name="Normal 43 3 22" xfId="32575"/>
    <cellStyle name="Normal 43 3 23" xfId="34869"/>
    <cellStyle name="Normal 43 3 24" xfId="35211"/>
    <cellStyle name="Normal 43 3 25" xfId="37490"/>
    <cellStyle name="Normal 43 3 26" xfId="38704"/>
    <cellStyle name="Normal 43 3 27" xfId="40459"/>
    <cellStyle name="Normal 43 3 28" xfId="42211"/>
    <cellStyle name="Normal 43 3 29" xfId="44490"/>
    <cellStyle name="Normal 43 3 3" xfId="1883"/>
    <cellStyle name="Normal 43 3 3 10" xfId="15487"/>
    <cellStyle name="Normal 43 3 3 11" xfId="17240"/>
    <cellStyle name="Normal 43 3 3 12" xfId="18992"/>
    <cellStyle name="Normal 43 3 3 13" xfId="20745"/>
    <cellStyle name="Normal 43 3 3 14" xfId="22497"/>
    <cellStyle name="Normal 43 3 3 15" xfId="24249"/>
    <cellStyle name="Normal 43 3 3 16" xfId="26001"/>
    <cellStyle name="Normal 43 3 3 17" xfId="27753"/>
    <cellStyle name="Normal 43 3 3 18" xfId="29506"/>
    <cellStyle name="Normal 43 3 3 19" xfId="31258"/>
    <cellStyle name="Normal 43 3 3 2" xfId="1884"/>
    <cellStyle name="Normal 43 3 3 2 10" xfId="18116"/>
    <cellStyle name="Normal 43 3 3 2 11" xfId="19868"/>
    <cellStyle name="Normal 43 3 3 2 12" xfId="21621"/>
    <cellStyle name="Normal 43 3 3 2 13" xfId="23373"/>
    <cellStyle name="Normal 43 3 3 2 14" xfId="25125"/>
    <cellStyle name="Normal 43 3 3 2 15" xfId="26877"/>
    <cellStyle name="Normal 43 3 3 2 16" xfId="28629"/>
    <cellStyle name="Normal 43 3 3 2 17" xfId="30382"/>
    <cellStyle name="Normal 43 3 3 2 18" xfId="32134"/>
    <cellStyle name="Normal 43 3 3 2 19" xfId="33887"/>
    <cellStyle name="Normal 43 3 3 2 2" xfId="4098"/>
    <cellStyle name="Normal 43 3 3 2 20" xfId="36523"/>
    <cellStyle name="Normal 43 3 3 2 21" xfId="38263"/>
    <cellStyle name="Normal 43 3 3 2 22" xfId="40016"/>
    <cellStyle name="Normal 43 3 3 2 23" xfId="41771"/>
    <cellStyle name="Normal 43 3 3 2 24" xfId="43523"/>
    <cellStyle name="Normal 43 3 3 2 25" xfId="46141"/>
    <cellStyle name="Normal 43 3 3 2 26" xfId="47893"/>
    <cellStyle name="Normal 43 3 3 2 27" xfId="49645"/>
    <cellStyle name="Normal 43 3 3 2 28" xfId="51397"/>
    <cellStyle name="Normal 43 3 3 2 29" xfId="53149"/>
    <cellStyle name="Normal 43 3 3 2 3" xfId="5850"/>
    <cellStyle name="Normal 43 3 3 2 30" xfId="54901"/>
    <cellStyle name="Normal 43 3 3 2 31" xfId="56653"/>
    <cellStyle name="Normal 43 3 3 2 32" xfId="58406"/>
    <cellStyle name="Normal 43 3 3 2 33" xfId="60158"/>
    <cellStyle name="Normal 43 3 3 2 34" xfId="61910"/>
    <cellStyle name="Normal 43 3 3 2 4" xfId="7602"/>
    <cellStyle name="Normal 43 3 3 2 5" xfId="9354"/>
    <cellStyle name="Normal 43 3 3 2 6" xfId="11107"/>
    <cellStyle name="Normal 43 3 3 2 7" xfId="12859"/>
    <cellStyle name="Normal 43 3 3 2 8" xfId="14611"/>
    <cellStyle name="Normal 43 3 3 2 9" xfId="16363"/>
    <cellStyle name="Normal 43 3 3 20" xfId="33011"/>
    <cellStyle name="Normal 43 3 3 21" xfId="34872"/>
    <cellStyle name="Normal 43 3 3 22" xfId="35647"/>
    <cellStyle name="Normal 43 3 3 23" xfId="37493"/>
    <cellStyle name="Normal 43 3 3 24" xfId="39140"/>
    <cellStyle name="Normal 43 3 3 25" xfId="40895"/>
    <cellStyle name="Normal 43 3 3 26" xfId="42647"/>
    <cellStyle name="Normal 43 3 3 27" xfId="44493"/>
    <cellStyle name="Normal 43 3 3 28" xfId="45265"/>
    <cellStyle name="Normal 43 3 3 29" xfId="47017"/>
    <cellStyle name="Normal 43 3 3 3" xfId="3222"/>
    <cellStyle name="Normal 43 3 3 30" xfId="48769"/>
    <cellStyle name="Normal 43 3 3 31" xfId="50521"/>
    <cellStyle name="Normal 43 3 3 32" xfId="52273"/>
    <cellStyle name="Normal 43 3 3 33" xfId="54025"/>
    <cellStyle name="Normal 43 3 3 34" xfId="55777"/>
    <cellStyle name="Normal 43 3 3 35" xfId="57530"/>
    <cellStyle name="Normal 43 3 3 36" xfId="59282"/>
    <cellStyle name="Normal 43 3 3 37" xfId="61034"/>
    <cellStyle name="Normal 43 3 3 38" xfId="62880"/>
    <cellStyle name="Normal 43 3 3 39" xfId="63746"/>
    <cellStyle name="Normal 43 3 3 4" xfId="4974"/>
    <cellStyle name="Normal 43 3 3 5" xfId="6726"/>
    <cellStyle name="Normal 43 3 3 6" xfId="8478"/>
    <cellStyle name="Normal 43 3 3 7" xfId="10231"/>
    <cellStyle name="Normal 43 3 3 8" xfId="11983"/>
    <cellStyle name="Normal 43 3 3 9" xfId="13735"/>
    <cellStyle name="Normal 43 3 30" xfId="44829"/>
    <cellStyle name="Normal 43 3 31" xfId="46581"/>
    <cellStyle name="Normal 43 3 32" xfId="48333"/>
    <cellStyle name="Normal 43 3 33" xfId="50085"/>
    <cellStyle name="Normal 43 3 34" xfId="51837"/>
    <cellStyle name="Normal 43 3 35" xfId="53589"/>
    <cellStyle name="Normal 43 3 36" xfId="55341"/>
    <cellStyle name="Normal 43 3 37" xfId="57094"/>
    <cellStyle name="Normal 43 3 38" xfId="58846"/>
    <cellStyle name="Normal 43 3 39" xfId="60598"/>
    <cellStyle name="Normal 43 3 4" xfId="1885"/>
    <cellStyle name="Normal 43 3 4 10" xfId="17680"/>
    <cellStyle name="Normal 43 3 4 11" xfId="19432"/>
    <cellStyle name="Normal 43 3 4 12" xfId="21185"/>
    <cellStyle name="Normal 43 3 4 13" xfId="22937"/>
    <cellStyle name="Normal 43 3 4 14" xfId="24689"/>
    <cellStyle name="Normal 43 3 4 15" xfId="26441"/>
    <cellStyle name="Normal 43 3 4 16" xfId="28193"/>
    <cellStyle name="Normal 43 3 4 17" xfId="29946"/>
    <cellStyle name="Normal 43 3 4 18" xfId="31698"/>
    <cellStyle name="Normal 43 3 4 19" xfId="33451"/>
    <cellStyle name="Normal 43 3 4 2" xfId="3662"/>
    <cellStyle name="Normal 43 3 4 20" xfId="36087"/>
    <cellStyle name="Normal 43 3 4 21" xfId="37827"/>
    <cellStyle name="Normal 43 3 4 22" xfId="39580"/>
    <cellStyle name="Normal 43 3 4 23" xfId="41335"/>
    <cellStyle name="Normal 43 3 4 24" xfId="43087"/>
    <cellStyle name="Normal 43 3 4 25" xfId="45705"/>
    <cellStyle name="Normal 43 3 4 26" xfId="47457"/>
    <cellStyle name="Normal 43 3 4 27" xfId="49209"/>
    <cellStyle name="Normal 43 3 4 28" xfId="50961"/>
    <cellStyle name="Normal 43 3 4 29" xfId="52713"/>
    <cellStyle name="Normal 43 3 4 3" xfId="5414"/>
    <cellStyle name="Normal 43 3 4 30" xfId="54465"/>
    <cellStyle name="Normal 43 3 4 31" xfId="56217"/>
    <cellStyle name="Normal 43 3 4 32" xfId="57970"/>
    <cellStyle name="Normal 43 3 4 33" xfId="59722"/>
    <cellStyle name="Normal 43 3 4 34" xfId="61474"/>
    <cellStyle name="Normal 43 3 4 4" xfId="7166"/>
    <cellStyle name="Normal 43 3 4 5" xfId="8918"/>
    <cellStyle name="Normal 43 3 4 6" xfId="10671"/>
    <cellStyle name="Normal 43 3 4 7" xfId="12423"/>
    <cellStyle name="Normal 43 3 4 8" xfId="14175"/>
    <cellStyle name="Normal 43 3 4 9" xfId="15927"/>
    <cellStyle name="Normal 43 3 40" xfId="62877"/>
    <cellStyle name="Normal 43 3 41" xfId="63743"/>
    <cellStyle name="Normal 43 3 5" xfId="2786"/>
    <cellStyle name="Normal 43 3 6" xfId="4538"/>
    <cellStyle name="Normal 43 3 7" xfId="6290"/>
    <cellStyle name="Normal 43 3 8" xfId="8042"/>
    <cellStyle name="Normal 43 3 9" xfId="9795"/>
    <cellStyle name="Normal 43 30" xfId="42103"/>
    <cellStyle name="Normal 43 31" xfId="44481"/>
    <cellStyle name="Normal 43 32" xfId="44721"/>
    <cellStyle name="Normal 43 33" xfId="46473"/>
    <cellStyle name="Normal 43 34" xfId="48225"/>
    <cellStyle name="Normal 43 35" xfId="49977"/>
    <cellStyle name="Normal 43 36" xfId="51729"/>
    <cellStyle name="Normal 43 37" xfId="53481"/>
    <cellStyle name="Normal 43 38" xfId="55233"/>
    <cellStyle name="Normal 43 39" xfId="56986"/>
    <cellStyle name="Normal 43 4" xfId="1886"/>
    <cellStyle name="Normal 43 4 10" xfId="13533"/>
    <cellStyle name="Normal 43 4 11" xfId="15285"/>
    <cellStyle name="Normal 43 4 12" xfId="17038"/>
    <cellStyle name="Normal 43 4 13" xfId="18790"/>
    <cellStyle name="Normal 43 4 14" xfId="20543"/>
    <cellStyle name="Normal 43 4 15" xfId="22295"/>
    <cellStyle name="Normal 43 4 16" xfId="24047"/>
    <cellStyle name="Normal 43 4 17" xfId="25799"/>
    <cellStyle name="Normal 43 4 18" xfId="27551"/>
    <cellStyle name="Normal 43 4 19" xfId="29304"/>
    <cellStyle name="Normal 43 4 2" xfId="1887"/>
    <cellStyle name="Normal 43 4 2 10" xfId="15721"/>
    <cellStyle name="Normal 43 4 2 11" xfId="17474"/>
    <cellStyle name="Normal 43 4 2 12" xfId="19226"/>
    <cellStyle name="Normal 43 4 2 13" xfId="20979"/>
    <cellStyle name="Normal 43 4 2 14" xfId="22731"/>
    <cellStyle name="Normal 43 4 2 15" xfId="24483"/>
    <cellStyle name="Normal 43 4 2 16" xfId="26235"/>
    <cellStyle name="Normal 43 4 2 17" xfId="27987"/>
    <cellStyle name="Normal 43 4 2 18" xfId="29740"/>
    <cellStyle name="Normal 43 4 2 19" xfId="31492"/>
    <cellStyle name="Normal 43 4 2 2" xfId="1888"/>
    <cellStyle name="Normal 43 4 2 2 10" xfId="18350"/>
    <cellStyle name="Normal 43 4 2 2 11" xfId="20102"/>
    <cellStyle name="Normal 43 4 2 2 12" xfId="21855"/>
    <cellStyle name="Normal 43 4 2 2 13" xfId="23607"/>
    <cellStyle name="Normal 43 4 2 2 14" xfId="25359"/>
    <cellStyle name="Normal 43 4 2 2 15" xfId="27111"/>
    <cellStyle name="Normal 43 4 2 2 16" xfId="28863"/>
    <cellStyle name="Normal 43 4 2 2 17" xfId="30616"/>
    <cellStyle name="Normal 43 4 2 2 18" xfId="32368"/>
    <cellStyle name="Normal 43 4 2 2 19" xfId="34121"/>
    <cellStyle name="Normal 43 4 2 2 2" xfId="4332"/>
    <cellStyle name="Normal 43 4 2 2 20" xfId="36757"/>
    <cellStyle name="Normal 43 4 2 2 21" xfId="38497"/>
    <cellStyle name="Normal 43 4 2 2 22" xfId="40250"/>
    <cellStyle name="Normal 43 4 2 2 23" xfId="42005"/>
    <cellStyle name="Normal 43 4 2 2 24" xfId="43757"/>
    <cellStyle name="Normal 43 4 2 2 25" xfId="46375"/>
    <cellStyle name="Normal 43 4 2 2 26" xfId="48127"/>
    <cellStyle name="Normal 43 4 2 2 27" xfId="49879"/>
    <cellStyle name="Normal 43 4 2 2 28" xfId="51631"/>
    <cellStyle name="Normal 43 4 2 2 29" xfId="53383"/>
    <cellStyle name="Normal 43 4 2 2 3" xfId="6084"/>
    <cellStyle name="Normal 43 4 2 2 30" xfId="55135"/>
    <cellStyle name="Normal 43 4 2 2 31" xfId="56887"/>
    <cellStyle name="Normal 43 4 2 2 32" xfId="58640"/>
    <cellStyle name="Normal 43 4 2 2 33" xfId="60392"/>
    <cellStyle name="Normal 43 4 2 2 34" xfId="62144"/>
    <cellStyle name="Normal 43 4 2 2 4" xfId="7836"/>
    <cellStyle name="Normal 43 4 2 2 5" xfId="9588"/>
    <cellStyle name="Normal 43 4 2 2 6" xfId="11341"/>
    <cellStyle name="Normal 43 4 2 2 7" xfId="13093"/>
    <cellStyle name="Normal 43 4 2 2 8" xfId="14845"/>
    <cellStyle name="Normal 43 4 2 2 9" xfId="16597"/>
    <cellStyle name="Normal 43 4 2 20" xfId="33245"/>
    <cellStyle name="Normal 43 4 2 21" xfId="34874"/>
    <cellStyle name="Normal 43 4 2 22" xfId="35881"/>
    <cellStyle name="Normal 43 4 2 23" xfId="37495"/>
    <cellStyle name="Normal 43 4 2 24" xfId="39374"/>
    <cellStyle name="Normal 43 4 2 25" xfId="41129"/>
    <cellStyle name="Normal 43 4 2 26" xfId="42881"/>
    <cellStyle name="Normal 43 4 2 27" xfId="44495"/>
    <cellStyle name="Normal 43 4 2 28" xfId="45499"/>
    <cellStyle name="Normal 43 4 2 29" xfId="47251"/>
    <cellStyle name="Normal 43 4 2 3" xfId="3456"/>
    <cellStyle name="Normal 43 4 2 30" xfId="49003"/>
    <cellStyle name="Normal 43 4 2 31" xfId="50755"/>
    <cellStyle name="Normal 43 4 2 32" xfId="52507"/>
    <cellStyle name="Normal 43 4 2 33" xfId="54259"/>
    <cellStyle name="Normal 43 4 2 34" xfId="56011"/>
    <cellStyle name="Normal 43 4 2 35" xfId="57764"/>
    <cellStyle name="Normal 43 4 2 36" xfId="59516"/>
    <cellStyle name="Normal 43 4 2 37" xfId="61268"/>
    <cellStyle name="Normal 43 4 2 38" xfId="62882"/>
    <cellStyle name="Normal 43 4 2 39" xfId="63748"/>
    <cellStyle name="Normal 43 4 2 4" xfId="5208"/>
    <cellStyle name="Normal 43 4 2 5" xfId="6960"/>
    <cellStyle name="Normal 43 4 2 6" xfId="8712"/>
    <cellStyle name="Normal 43 4 2 7" xfId="10465"/>
    <cellStyle name="Normal 43 4 2 8" xfId="12217"/>
    <cellStyle name="Normal 43 4 2 9" xfId="13969"/>
    <cellStyle name="Normal 43 4 20" xfId="31056"/>
    <cellStyle name="Normal 43 4 21" xfId="32809"/>
    <cellStyle name="Normal 43 4 22" xfId="34873"/>
    <cellStyle name="Normal 43 4 23" xfId="35445"/>
    <cellStyle name="Normal 43 4 24" xfId="37494"/>
    <cellStyle name="Normal 43 4 25" xfId="38938"/>
    <cellStyle name="Normal 43 4 26" xfId="40693"/>
    <cellStyle name="Normal 43 4 27" xfId="42445"/>
    <cellStyle name="Normal 43 4 28" xfId="44494"/>
    <cellStyle name="Normal 43 4 29" xfId="45063"/>
    <cellStyle name="Normal 43 4 3" xfId="1889"/>
    <cellStyle name="Normal 43 4 3 10" xfId="17914"/>
    <cellStyle name="Normal 43 4 3 11" xfId="19666"/>
    <cellStyle name="Normal 43 4 3 12" xfId="21419"/>
    <cellStyle name="Normal 43 4 3 13" xfId="23171"/>
    <cellStyle name="Normal 43 4 3 14" xfId="24923"/>
    <cellStyle name="Normal 43 4 3 15" xfId="26675"/>
    <cellStyle name="Normal 43 4 3 16" xfId="28427"/>
    <cellStyle name="Normal 43 4 3 17" xfId="30180"/>
    <cellStyle name="Normal 43 4 3 18" xfId="31932"/>
    <cellStyle name="Normal 43 4 3 19" xfId="33685"/>
    <cellStyle name="Normal 43 4 3 2" xfId="3896"/>
    <cellStyle name="Normal 43 4 3 20" xfId="36321"/>
    <cellStyle name="Normal 43 4 3 21" xfId="38061"/>
    <cellStyle name="Normal 43 4 3 22" xfId="39814"/>
    <cellStyle name="Normal 43 4 3 23" xfId="41569"/>
    <cellStyle name="Normal 43 4 3 24" xfId="43321"/>
    <cellStyle name="Normal 43 4 3 25" xfId="45939"/>
    <cellStyle name="Normal 43 4 3 26" xfId="47691"/>
    <cellStyle name="Normal 43 4 3 27" xfId="49443"/>
    <cellStyle name="Normal 43 4 3 28" xfId="51195"/>
    <cellStyle name="Normal 43 4 3 29" xfId="52947"/>
    <cellStyle name="Normal 43 4 3 3" xfId="5648"/>
    <cellStyle name="Normal 43 4 3 30" xfId="54699"/>
    <cellStyle name="Normal 43 4 3 31" xfId="56451"/>
    <cellStyle name="Normal 43 4 3 32" xfId="58204"/>
    <cellStyle name="Normal 43 4 3 33" xfId="59956"/>
    <cellStyle name="Normal 43 4 3 34" xfId="61708"/>
    <cellStyle name="Normal 43 4 3 4" xfId="7400"/>
    <cellStyle name="Normal 43 4 3 5" xfId="9152"/>
    <cellStyle name="Normal 43 4 3 6" xfId="10905"/>
    <cellStyle name="Normal 43 4 3 7" xfId="12657"/>
    <cellStyle name="Normal 43 4 3 8" xfId="14409"/>
    <cellStyle name="Normal 43 4 3 9" xfId="16161"/>
    <cellStyle name="Normal 43 4 30" xfId="46815"/>
    <cellStyle name="Normal 43 4 31" xfId="48567"/>
    <cellStyle name="Normal 43 4 32" xfId="50319"/>
    <cellStyle name="Normal 43 4 33" xfId="52071"/>
    <cellStyle name="Normal 43 4 34" xfId="53823"/>
    <cellStyle name="Normal 43 4 35" xfId="55575"/>
    <cellStyle name="Normal 43 4 36" xfId="57328"/>
    <cellStyle name="Normal 43 4 37" xfId="59080"/>
    <cellStyle name="Normal 43 4 38" xfId="60832"/>
    <cellStyle name="Normal 43 4 39" xfId="62881"/>
    <cellStyle name="Normal 43 4 4" xfId="3020"/>
    <cellStyle name="Normal 43 4 40" xfId="63747"/>
    <cellStyle name="Normal 43 4 5" xfId="4772"/>
    <cellStyle name="Normal 43 4 6" xfId="6524"/>
    <cellStyle name="Normal 43 4 7" xfId="8276"/>
    <cellStyle name="Normal 43 4 8" xfId="10029"/>
    <cellStyle name="Normal 43 4 9" xfId="11781"/>
    <cellStyle name="Normal 43 40" xfId="58738"/>
    <cellStyle name="Normal 43 41" xfId="60490"/>
    <cellStyle name="Normal 43 42" xfId="62868"/>
    <cellStyle name="Normal 43 43" xfId="63734"/>
    <cellStyle name="Normal 43 5" xfId="1890"/>
    <cellStyle name="Normal 43 5 10" xfId="15379"/>
    <cellStyle name="Normal 43 5 11" xfId="17132"/>
    <cellStyle name="Normal 43 5 12" xfId="18884"/>
    <cellStyle name="Normal 43 5 13" xfId="20637"/>
    <cellStyle name="Normal 43 5 14" xfId="22389"/>
    <cellStyle name="Normal 43 5 15" xfId="24141"/>
    <cellStyle name="Normal 43 5 16" xfId="25893"/>
    <cellStyle name="Normal 43 5 17" xfId="27645"/>
    <cellStyle name="Normal 43 5 18" xfId="29398"/>
    <cellStyle name="Normal 43 5 19" xfId="31150"/>
    <cellStyle name="Normal 43 5 2" xfId="1891"/>
    <cellStyle name="Normal 43 5 2 10" xfId="18008"/>
    <cellStyle name="Normal 43 5 2 11" xfId="19760"/>
    <cellStyle name="Normal 43 5 2 12" xfId="21513"/>
    <cellStyle name="Normal 43 5 2 13" xfId="23265"/>
    <cellStyle name="Normal 43 5 2 14" xfId="25017"/>
    <cellStyle name="Normal 43 5 2 15" xfId="26769"/>
    <cellStyle name="Normal 43 5 2 16" xfId="28521"/>
    <cellStyle name="Normal 43 5 2 17" xfId="30274"/>
    <cellStyle name="Normal 43 5 2 18" xfId="32026"/>
    <cellStyle name="Normal 43 5 2 19" xfId="33779"/>
    <cellStyle name="Normal 43 5 2 2" xfId="3990"/>
    <cellStyle name="Normal 43 5 2 20" xfId="36415"/>
    <cellStyle name="Normal 43 5 2 21" xfId="38155"/>
    <cellStyle name="Normal 43 5 2 22" xfId="39908"/>
    <cellStyle name="Normal 43 5 2 23" xfId="41663"/>
    <cellStyle name="Normal 43 5 2 24" xfId="43415"/>
    <cellStyle name="Normal 43 5 2 25" xfId="46033"/>
    <cellStyle name="Normal 43 5 2 26" xfId="47785"/>
    <cellStyle name="Normal 43 5 2 27" xfId="49537"/>
    <cellStyle name="Normal 43 5 2 28" xfId="51289"/>
    <cellStyle name="Normal 43 5 2 29" xfId="53041"/>
    <cellStyle name="Normal 43 5 2 3" xfId="5742"/>
    <cellStyle name="Normal 43 5 2 30" xfId="54793"/>
    <cellStyle name="Normal 43 5 2 31" xfId="56545"/>
    <cellStyle name="Normal 43 5 2 32" xfId="58298"/>
    <cellStyle name="Normal 43 5 2 33" xfId="60050"/>
    <cellStyle name="Normal 43 5 2 34" xfId="61802"/>
    <cellStyle name="Normal 43 5 2 4" xfId="7494"/>
    <cellStyle name="Normal 43 5 2 5" xfId="9246"/>
    <cellStyle name="Normal 43 5 2 6" xfId="10999"/>
    <cellStyle name="Normal 43 5 2 7" xfId="12751"/>
    <cellStyle name="Normal 43 5 2 8" xfId="14503"/>
    <cellStyle name="Normal 43 5 2 9" xfId="16255"/>
    <cellStyle name="Normal 43 5 20" xfId="32903"/>
    <cellStyle name="Normal 43 5 21" xfId="34875"/>
    <cellStyle name="Normal 43 5 22" xfId="35539"/>
    <cellStyle name="Normal 43 5 23" xfId="37496"/>
    <cellStyle name="Normal 43 5 24" xfId="39032"/>
    <cellStyle name="Normal 43 5 25" xfId="40787"/>
    <cellStyle name="Normal 43 5 26" xfId="42539"/>
    <cellStyle name="Normal 43 5 27" xfId="44496"/>
    <cellStyle name="Normal 43 5 28" xfId="45157"/>
    <cellStyle name="Normal 43 5 29" xfId="46909"/>
    <cellStyle name="Normal 43 5 3" xfId="3114"/>
    <cellStyle name="Normal 43 5 30" xfId="48661"/>
    <cellStyle name="Normal 43 5 31" xfId="50413"/>
    <cellStyle name="Normal 43 5 32" xfId="52165"/>
    <cellStyle name="Normal 43 5 33" xfId="53917"/>
    <cellStyle name="Normal 43 5 34" xfId="55669"/>
    <cellStyle name="Normal 43 5 35" xfId="57422"/>
    <cellStyle name="Normal 43 5 36" xfId="59174"/>
    <cellStyle name="Normal 43 5 37" xfId="60926"/>
    <cellStyle name="Normal 43 5 38" xfId="62883"/>
    <cellStyle name="Normal 43 5 39" xfId="63749"/>
    <cellStyle name="Normal 43 5 4" xfId="4866"/>
    <cellStyle name="Normal 43 5 5" xfId="6618"/>
    <cellStyle name="Normal 43 5 6" xfId="8370"/>
    <cellStyle name="Normal 43 5 7" xfId="10123"/>
    <cellStyle name="Normal 43 5 8" xfId="11875"/>
    <cellStyle name="Normal 43 5 9" xfId="13627"/>
    <cellStyle name="Normal 43 6" xfId="1892"/>
    <cellStyle name="Normal 43 6 10" xfId="17572"/>
    <cellStyle name="Normal 43 6 11" xfId="19324"/>
    <cellStyle name="Normal 43 6 12" xfId="21077"/>
    <cellStyle name="Normal 43 6 13" xfId="22829"/>
    <cellStyle name="Normal 43 6 14" xfId="24581"/>
    <cellStyle name="Normal 43 6 15" xfId="26333"/>
    <cellStyle name="Normal 43 6 16" xfId="28085"/>
    <cellStyle name="Normal 43 6 17" xfId="29838"/>
    <cellStyle name="Normal 43 6 18" xfId="31590"/>
    <cellStyle name="Normal 43 6 19" xfId="33343"/>
    <cellStyle name="Normal 43 6 2" xfId="3554"/>
    <cellStyle name="Normal 43 6 20" xfId="35979"/>
    <cellStyle name="Normal 43 6 21" xfId="37745"/>
    <cellStyle name="Normal 43 6 22" xfId="39472"/>
    <cellStyle name="Normal 43 6 23" xfId="41227"/>
    <cellStyle name="Normal 43 6 24" xfId="42979"/>
    <cellStyle name="Normal 43 6 25" xfId="45597"/>
    <cellStyle name="Normal 43 6 26" xfId="47349"/>
    <cellStyle name="Normal 43 6 27" xfId="49101"/>
    <cellStyle name="Normal 43 6 28" xfId="50853"/>
    <cellStyle name="Normal 43 6 29" xfId="52605"/>
    <cellStyle name="Normal 43 6 3" xfId="5306"/>
    <cellStyle name="Normal 43 6 30" xfId="54357"/>
    <cellStyle name="Normal 43 6 31" xfId="56109"/>
    <cellStyle name="Normal 43 6 32" xfId="57862"/>
    <cellStyle name="Normal 43 6 33" xfId="59614"/>
    <cellStyle name="Normal 43 6 34" xfId="61366"/>
    <cellStyle name="Normal 43 6 4" xfId="7058"/>
    <cellStyle name="Normal 43 6 5" xfId="8810"/>
    <cellStyle name="Normal 43 6 6" xfId="10563"/>
    <cellStyle name="Normal 43 6 7" xfId="12315"/>
    <cellStyle name="Normal 43 6 8" xfId="14067"/>
    <cellStyle name="Normal 43 6 9" xfId="15819"/>
    <cellStyle name="Normal 43 7" xfId="2678"/>
    <cellStyle name="Normal 43 8" xfId="4430"/>
    <cellStyle name="Normal 43 9" xfId="6182"/>
    <cellStyle name="Normal 44" xfId="1893"/>
    <cellStyle name="Normal 44 10" xfId="7935"/>
    <cellStyle name="Normal 44 11" xfId="9688"/>
    <cellStyle name="Normal 44 12" xfId="11440"/>
    <cellStyle name="Normal 44 13" xfId="13192"/>
    <cellStyle name="Normal 44 14" xfId="14944"/>
    <cellStyle name="Normal 44 15" xfId="16697"/>
    <cellStyle name="Normal 44 16" xfId="18449"/>
    <cellStyle name="Normal 44 17" xfId="20202"/>
    <cellStyle name="Normal 44 18" xfId="21954"/>
    <cellStyle name="Normal 44 19" xfId="23706"/>
    <cellStyle name="Normal 44 2" xfId="1894"/>
    <cellStyle name="Normal 44 2 10" xfId="9743"/>
    <cellStyle name="Normal 44 2 11" xfId="11495"/>
    <cellStyle name="Normal 44 2 12" xfId="13247"/>
    <cellStyle name="Normal 44 2 13" xfId="14999"/>
    <cellStyle name="Normal 44 2 14" xfId="16752"/>
    <cellStyle name="Normal 44 2 15" xfId="18504"/>
    <cellStyle name="Normal 44 2 16" xfId="20257"/>
    <cellStyle name="Normal 44 2 17" xfId="22009"/>
    <cellStyle name="Normal 44 2 18" xfId="23761"/>
    <cellStyle name="Normal 44 2 19" xfId="25513"/>
    <cellStyle name="Normal 44 2 2" xfId="1895"/>
    <cellStyle name="Normal 44 2 2 10" xfId="11603"/>
    <cellStyle name="Normal 44 2 2 11" xfId="13355"/>
    <cellStyle name="Normal 44 2 2 12" xfId="15107"/>
    <cellStyle name="Normal 44 2 2 13" xfId="16860"/>
    <cellStyle name="Normal 44 2 2 14" xfId="18612"/>
    <cellStyle name="Normal 44 2 2 15" xfId="20365"/>
    <cellStyle name="Normal 44 2 2 16" xfId="22117"/>
    <cellStyle name="Normal 44 2 2 17" xfId="23869"/>
    <cellStyle name="Normal 44 2 2 18" xfId="25621"/>
    <cellStyle name="Normal 44 2 2 19" xfId="27373"/>
    <cellStyle name="Normal 44 2 2 2" xfId="1896"/>
    <cellStyle name="Normal 44 2 2 2 10" xfId="13534"/>
    <cellStyle name="Normal 44 2 2 2 11" xfId="15286"/>
    <cellStyle name="Normal 44 2 2 2 12" xfId="17039"/>
    <cellStyle name="Normal 44 2 2 2 13" xfId="18791"/>
    <cellStyle name="Normal 44 2 2 2 14" xfId="20544"/>
    <cellStyle name="Normal 44 2 2 2 15" xfId="22296"/>
    <cellStyle name="Normal 44 2 2 2 16" xfId="24048"/>
    <cellStyle name="Normal 44 2 2 2 17" xfId="25800"/>
    <cellStyle name="Normal 44 2 2 2 18" xfId="27552"/>
    <cellStyle name="Normal 44 2 2 2 19" xfId="29305"/>
    <cellStyle name="Normal 44 2 2 2 2" xfId="1897"/>
    <cellStyle name="Normal 44 2 2 2 2 10" xfId="15722"/>
    <cellStyle name="Normal 44 2 2 2 2 11" xfId="17475"/>
    <cellStyle name="Normal 44 2 2 2 2 12" xfId="19227"/>
    <cellStyle name="Normal 44 2 2 2 2 13" xfId="20980"/>
    <cellStyle name="Normal 44 2 2 2 2 14" xfId="22732"/>
    <cellStyle name="Normal 44 2 2 2 2 15" xfId="24484"/>
    <cellStyle name="Normal 44 2 2 2 2 16" xfId="26236"/>
    <cellStyle name="Normal 44 2 2 2 2 17" xfId="27988"/>
    <cellStyle name="Normal 44 2 2 2 2 18" xfId="29741"/>
    <cellStyle name="Normal 44 2 2 2 2 19" xfId="31493"/>
    <cellStyle name="Normal 44 2 2 2 2 2" xfId="1898"/>
    <cellStyle name="Normal 44 2 2 2 2 2 10" xfId="18351"/>
    <cellStyle name="Normal 44 2 2 2 2 2 11" xfId="20103"/>
    <cellStyle name="Normal 44 2 2 2 2 2 12" xfId="21856"/>
    <cellStyle name="Normal 44 2 2 2 2 2 13" xfId="23608"/>
    <cellStyle name="Normal 44 2 2 2 2 2 14" xfId="25360"/>
    <cellStyle name="Normal 44 2 2 2 2 2 15" xfId="27112"/>
    <cellStyle name="Normal 44 2 2 2 2 2 16" xfId="28864"/>
    <cellStyle name="Normal 44 2 2 2 2 2 17" xfId="30617"/>
    <cellStyle name="Normal 44 2 2 2 2 2 18" xfId="32369"/>
    <cellStyle name="Normal 44 2 2 2 2 2 19" xfId="34122"/>
    <cellStyle name="Normal 44 2 2 2 2 2 2" xfId="4333"/>
    <cellStyle name="Normal 44 2 2 2 2 2 20" xfId="36758"/>
    <cellStyle name="Normal 44 2 2 2 2 2 21" xfId="38498"/>
    <cellStyle name="Normal 44 2 2 2 2 2 22" xfId="40251"/>
    <cellStyle name="Normal 44 2 2 2 2 2 23" xfId="42006"/>
    <cellStyle name="Normal 44 2 2 2 2 2 24" xfId="43758"/>
    <cellStyle name="Normal 44 2 2 2 2 2 25" xfId="46376"/>
    <cellStyle name="Normal 44 2 2 2 2 2 26" xfId="48128"/>
    <cellStyle name="Normal 44 2 2 2 2 2 27" xfId="49880"/>
    <cellStyle name="Normal 44 2 2 2 2 2 28" xfId="51632"/>
    <cellStyle name="Normal 44 2 2 2 2 2 29" xfId="53384"/>
    <cellStyle name="Normal 44 2 2 2 2 2 3" xfId="6085"/>
    <cellStyle name="Normal 44 2 2 2 2 2 30" xfId="55136"/>
    <cellStyle name="Normal 44 2 2 2 2 2 31" xfId="56888"/>
    <cellStyle name="Normal 44 2 2 2 2 2 32" xfId="58641"/>
    <cellStyle name="Normal 44 2 2 2 2 2 33" xfId="60393"/>
    <cellStyle name="Normal 44 2 2 2 2 2 34" xfId="62145"/>
    <cellStyle name="Normal 44 2 2 2 2 2 4" xfId="7837"/>
    <cellStyle name="Normal 44 2 2 2 2 2 5" xfId="9589"/>
    <cellStyle name="Normal 44 2 2 2 2 2 6" xfId="11342"/>
    <cellStyle name="Normal 44 2 2 2 2 2 7" xfId="13094"/>
    <cellStyle name="Normal 44 2 2 2 2 2 8" xfId="14846"/>
    <cellStyle name="Normal 44 2 2 2 2 2 9" xfId="16598"/>
    <cellStyle name="Normal 44 2 2 2 2 20" xfId="33246"/>
    <cellStyle name="Normal 44 2 2 2 2 21" xfId="34880"/>
    <cellStyle name="Normal 44 2 2 2 2 22" xfId="35882"/>
    <cellStyle name="Normal 44 2 2 2 2 23" xfId="37501"/>
    <cellStyle name="Normal 44 2 2 2 2 24" xfId="39375"/>
    <cellStyle name="Normal 44 2 2 2 2 25" xfId="41130"/>
    <cellStyle name="Normal 44 2 2 2 2 26" xfId="42882"/>
    <cellStyle name="Normal 44 2 2 2 2 27" xfId="44501"/>
    <cellStyle name="Normal 44 2 2 2 2 28" xfId="45500"/>
    <cellStyle name="Normal 44 2 2 2 2 29" xfId="47252"/>
    <cellStyle name="Normal 44 2 2 2 2 3" xfId="3457"/>
    <cellStyle name="Normal 44 2 2 2 2 30" xfId="49004"/>
    <cellStyle name="Normal 44 2 2 2 2 31" xfId="50756"/>
    <cellStyle name="Normal 44 2 2 2 2 32" xfId="52508"/>
    <cellStyle name="Normal 44 2 2 2 2 33" xfId="54260"/>
    <cellStyle name="Normal 44 2 2 2 2 34" xfId="56012"/>
    <cellStyle name="Normal 44 2 2 2 2 35" xfId="57765"/>
    <cellStyle name="Normal 44 2 2 2 2 36" xfId="59517"/>
    <cellStyle name="Normal 44 2 2 2 2 37" xfId="61269"/>
    <cellStyle name="Normal 44 2 2 2 2 38" xfId="62888"/>
    <cellStyle name="Normal 44 2 2 2 2 39" xfId="63754"/>
    <cellStyle name="Normal 44 2 2 2 2 4" xfId="5209"/>
    <cellStyle name="Normal 44 2 2 2 2 5" xfId="6961"/>
    <cellStyle name="Normal 44 2 2 2 2 6" xfId="8713"/>
    <cellStyle name="Normal 44 2 2 2 2 7" xfId="10466"/>
    <cellStyle name="Normal 44 2 2 2 2 8" xfId="12218"/>
    <cellStyle name="Normal 44 2 2 2 2 9" xfId="13970"/>
    <cellStyle name="Normal 44 2 2 2 20" xfId="31057"/>
    <cellStyle name="Normal 44 2 2 2 21" xfId="32810"/>
    <cellStyle name="Normal 44 2 2 2 22" xfId="34879"/>
    <cellStyle name="Normal 44 2 2 2 23" xfId="35446"/>
    <cellStyle name="Normal 44 2 2 2 24" xfId="37500"/>
    <cellStyle name="Normal 44 2 2 2 25" xfId="38939"/>
    <cellStyle name="Normal 44 2 2 2 26" xfId="40694"/>
    <cellStyle name="Normal 44 2 2 2 27" xfId="42446"/>
    <cellStyle name="Normal 44 2 2 2 28" xfId="44500"/>
    <cellStyle name="Normal 44 2 2 2 29" xfId="45064"/>
    <cellStyle name="Normal 44 2 2 2 3" xfId="1899"/>
    <cellStyle name="Normal 44 2 2 2 3 10" xfId="17915"/>
    <cellStyle name="Normal 44 2 2 2 3 11" xfId="19667"/>
    <cellStyle name="Normal 44 2 2 2 3 12" xfId="21420"/>
    <cellStyle name="Normal 44 2 2 2 3 13" xfId="23172"/>
    <cellStyle name="Normal 44 2 2 2 3 14" xfId="24924"/>
    <cellStyle name="Normal 44 2 2 2 3 15" xfId="26676"/>
    <cellStyle name="Normal 44 2 2 2 3 16" xfId="28428"/>
    <cellStyle name="Normal 44 2 2 2 3 17" xfId="30181"/>
    <cellStyle name="Normal 44 2 2 2 3 18" xfId="31933"/>
    <cellStyle name="Normal 44 2 2 2 3 19" xfId="33686"/>
    <cellStyle name="Normal 44 2 2 2 3 2" xfId="3897"/>
    <cellStyle name="Normal 44 2 2 2 3 20" xfId="36322"/>
    <cellStyle name="Normal 44 2 2 2 3 21" xfId="38062"/>
    <cellStyle name="Normal 44 2 2 2 3 22" xfId="39815"/>
    <cellStyle name="Normal 44 2 2 2 3 23" xfId="41570"/>
    <cellStyle name="Normal 44 2 2 2 3 24" xfId="43322"/>
    <cellStyle name="Normal 44 2 2 2 3 25" xfId="45940"/>
    <cellStyle name="Normal 44 2 2 2 3 26" xfId="47692"/>
    <cellStyle name="Normal 44 2 2 2 3 27" xfId="49444"/>
    <cellStyle name="Normal 44 2 2 2 3 28" xfId="51196"/>
    <cellStyle name="Normal 44 2 2 2 3 29" xfId="52948"/>
    <cellStyle name="Normal 44 2 2 2 3 3" xfId="5649"/>
    <cellStyle name="Normal 44 2 2 2 3 30" xfId="54700"/>
    <cellStyle name="Normal 44 2 2 2 3 31" xfId="56452"/>
    <cellStyle name="Normal 44 2 2 2 3 32" xfId="58205"/>
    <cellStyle name="Normal 44 2 2 2 3 33" xfId="59957"/>
    <cellStyle name="Normal 44 2 2 2 3 34" xfId="61709"/>
    <cellStyle name="Normal 44 2 2 2 3 4" xfId="7401"/>
    <cellStyle name="Normal 44 2 2 2 3 5" xfId="9153"/>
    <cellStyle name="Normal 44 2 2 2 3 6" xfId="10906"/>
    <cellStyle name="Normal 44 2 2 2 3 7" xfId="12658"/>
    <cellStyle name="Normal 44 2 2 2 3 8" xfId="14410"/>
    <cellStyle name="Normal 44 2 2 2 3 9" xfId="16162"/>
    <cellStyle name="Normal 44 2 2 2 30" xfId="46816"/>
    <cellStyle name="Normal 44 2 2 2 31" xfId="48568"/>
    <cellStyle name="Normal 44 2 2 2 32" xfId="50320"/>
    <cellStyle name="Normal 44 2 2 2 33" xfId="52072"/>
    <cellStyle name="Normal 44 2 2 2 34" xfId="53824"/>
    <cellStyle name="Normal 44 2 2 2 35" xfId="55576"/>
    <cellStyle name="Normal 44 2 2 2 36" xfId="57329"/>
    <cellStyle name="Normal 44 2 2 2 37" xfId="59081"/>
    <cellStyle name="Normal 44 2 2 2 38" xfId="60833"/>
    <cellStyle name="Normal 44 2 2 2 39" xfId="62887"/>
    <cellStyle name="Normal 44 2 2 2 4" xfId="3021"/>
    <cellStyle name="Normal 44 2 2 2 40" xfId="63753"/>
    <cellStyle name="Normal 44 2 2 2 5" xfId="4773"/>
    <cellStyle name="Normal 44 2 2 2 6" xfId="6525"/>
    <cellStyle name="Normal 44 2 2 2 7" xfId="8277"/>
    <cellStyle name="Normal 44 2 2 2 8" xfId="10030"/>
    <cellStyle name="Normal 44 2 2 2 9" xfId="11782"/>
    <cellStyle name="Normal 44 2 2 20" xfId="29126"/>
    <cellStyle name="Normal 44 2 2 21" xfId="30878"/>
    <cellStyle name="Normal 44 2 2 22" xfId="32631"/>
    <cellStyle name="Normal 44 2 2 23" xfId="34878"/>
    <cellStyle name="Normal 44 2 2 24" xfId="35267"/>
    <cellStyle name="Normal 44 2 2 25" xfId="37499"/>
    <cellStyle name="Normal 44 2 2 26" xfId="38760"/>
    <cellStyle name="Normal 44 2 2 27" xfId="40515"/>
    <cellStyle name="Normal 44 2 2 28" xfId="42267"/>
    <cellStyle name="Normal 44 2 2 29" xfId="44499"/>
    <cellStyle name="Normal 44 2 2 3" xfId="1900"/>
    <cellStyle name="Normal 44 2 2 3 10" xfId="15543"/>
    <cellStyle name="Normal 44 2 2 3 11" xfId="17296"/>
    <cellStyle name="Normal 44 2 2 3 12" xfId="19048"/>
    <cellStyle name="Normal 44 2 2 3 13" xfId="20801"/>
    <cellStyle name="Normal 44 2 2 3 14" xfId="22553"/>
    <cellStyle name="Normal 44 2 2 3 15" xfId="24305"/>
    <cellStyle name="Normal 44 2 2 3 16" xfId="26057"/>
    <cellStyle name="Normal 44 2 2 3 17" xfId="27809"/>
    <cellStyle name="Normal 44 2 2 3 18" xfId="29562"/>
    <cellStyle name="Normal 44 2 2 3 19" xfId="31314"/>
    <cellStyle name="Normal 44 2 2 3 2" xfId="1901"/>
    <cellStyle name="Normal 44 2 2 3 2 10" xfId="18172"/>
    <cellStyle name="Normal 44 2 2 3 2 11" xfId="19924"/>
    <cellStyle name="Normal 44 2 2 3 2 12" xfId="21677"/>
    <cellStyle name="Normal 44 2 2 3 2 13" xfId="23429"/>
    <cellStyle name="Normal 44 2 2 3 2 14" xfId="25181"/>
    <cellStyle name="Normal 44 2 2 3 2 15" xfId="26933"/>
    <cellStyle name="Normal 44 2 2 3 2 16" xfId="28685"/>
    <cellStyle name="Normal 44 2 2 3 2 17" xfId="30438"/>
    <cellStyle name="Normal 44 2 2 3 2 18" xfId="32190"/>
    <cellStyle name="Normal 44 2 2 3 2 19" xfId="33943"/>
    <cellStyle name="Normal 44 2 2 3 2 2" xfId="4154"/>
    <cellStyle name="Normal 44 2 2 3 2 20" xfId="36579"/>
    <cellStyle name="Normal 44 2 2 3 2 21" xfId="38319"/>
    <cellStyle name="Normal 44 2 2 3 2 22" xfId="40072"/>
    <cellStyle name="Normal 44 2 2 3 2 23" xfId="41827"/>
    <cellStyle name="Normal 44 2 2 3 2 24" xfId="43579"/>
    <cellStyle name="Normal 44 2 2 3 2 25" xfId="46197"/>
    <cellStyle name="Normal 44 2 2 3 2 26" xfId="47949"/>
    <cellStyle name="Normal 44 2 2 3 2 27" xfId="49701"/>
    <cellStyle name="Normal 44 2 2 3 2 28" xfId="51453"/>
    <cellStyle name="Normal 44 2 2 3 2 29" xfId="53205"/>
    <cellStyle name="Normal 44 2 2 3 2 3" xfId="5906"/>
    <cellStyle name="Normal 44 2 2 3 2 30" xfId="54957"/>
    <cellStyle name="Normal 44 2 2 3 2 31" xfId="56709"/>
    <cellStyle name="Normal 44 2 2 3 2 32" xfId="58462"/>
    <cellStyle name="Normal 44 2 2 3 2 33" xfId="60214"/>
    <cellStyle name="Normal 44 2 2 3 2 34" xfId="61966"/>
    <cellStyle name="Normal 44 2 2 3 2 4" xfId="7658"/>
    <cellStyle name="Normal 44 2 2 3 2 5" xfId="9410"/>
    <cellStyle name="Normal 44 2 2 3 2 6" xfId="11163"/>
    <cellStyle name="Normal 44 2 2 3 2 7" xfId="12915"/>
    <cellStyle name="Normal 44 2 2 3 2 8" xfId="14667"/>
    <cellStyle name="Normal 44 2 2 3 2 9" xfId="16419"/>
    <cellStyle name="Normal 44 2 2 3 20" xfId="33067"/>
    <cellStyle name="Normal 44 2 2 3 21" xfId="34881"/>
    <cellStyle name="Normal 44 2 2 3 22" xfId="35703"/>
    <cellStyle name="Normal 44 2 2 3 23" xfId="37502"/>
    <cellStyle name="Normal 44 2 2 3 24" xfId="39196"/>
    <cellStyle name="Normal 44 2 2 3 25" xfId="40951"/>
    <cellStyle name="Normal 44 2 2 3 26" xfId="42703"/>
    <cellStyle name="Normal 44 2 2 3 27" xfId="44502"/>
    <cellStyle name="Normal 44 2 2 3 28" xfId="45321"/>
    <cellStyle name="Normal 44 2 2 3 29" xfId="47073"/>
    <cellStyle name="Normal 44 2 2 3 3" xfId="3278"/>
    <cellStyle name="Normal 44 2 2 3 30" xfId="48825"/>
    <cellStyle name="Normal 44 2 2 3 31" xfId="50577"/>
    <cellStyle name="Normal 44 2 2 3 32" xfId="52329"/>
    <cellStyle name="Normal 44 2 2 3 33" xfId="54081"/>
    <cellStyle name="Normal 44 2 2 3 34" xfId="55833"/>
    <cellStyle name="Normal 44 2 2 3 35" xfId="57586"/>
    <cellStyle name="Normal 44 2 2 3 36" xfId="59338"/>
    <cellStyle name="Normal 44 2 2 3 37" xfId="61090"/>
    <cellStyle name="Normal 44 2 2 3 38" xfId="62889"/>
    <cellStyle name="Normal 44 2 2 3 39" xfId="63755"/>
    <cellStyle name="Normal 44 2 2 3 4" xfId="5030"/>
    <cellStyle name="Normal 44 2 2 3 5" xfId="6782"/>
    <cellStyle name="Normal 44 2 2 3 6" xfId="8534"/>
    <cellStyle name="Normal 44 2 2 3 7" xfId="10287"/>
    <cellStyle name="Normal 44 2 2 3 8" xfId="12039"/>
    <cellStyle name="Normal 44 2 2 3 9" xfId="13791"/>
    <cellStyle name="Normal 44 2 2 30" xfId="44885"/>
    <cellStyle name="Normal 44 2 2 31" xfId="46637"/>
    <cellStyle name="Normal 44 2 2 32" xfId="48389"/>
    <cellStyle name="Normal 44 2 2 33" xfId="50141"/>
    <cellStyle name="Normal 44 2 2 34" xfId="51893"/>
    <cellStyle name="Normal 44 2 2 35" xfId="53645"/>
    <cellStyle name="Normal 44 2 2 36" xfId="55397"/>
    <cellStyle name="Normal 44 2 2 37" xfId="57150"/>
    <cellStyle name="Normal 44 2 2 38" xfId="58902"/>
    <cellStyle name="Normal 44 2 2 39" xfId="60654"/>
    <cellStyle name="Normal 44 2 2 4" xfId="1902"/>
    <cellStyle name="Normal 44 2 2 4 10" xfId="17736"/>
    <cellStyle name="Normal 44 2 2 4 11" xfId="19488"/>
    <cellStyle name="Normal 44 2 2 4 12" xfId="21241"/>
    <cellStyle name="Normal 44 2 2 4 13" xfId="22993"/>
    <cellStyle name="Normal 44 2 2 4 14" xfId="24745"/>
    <cellStyle name="Normal 44 2 2 4 15" xfId="26497"/>
    <cellStyle name="Normal 44 2 2 4 16" xfId="28249"/>
    <cellStyle name="Normal 44 2 2 4 17" xfId="30002"/>
    <cellStyle name="Normal 44 2 2 4 18" xfId="31754"/>
    <cellStyle name="Normal 44 2 2 4 19" xfId="33507"/>
    <cellStyle name="Normal 44 2 2 4 2" xfId="3718"/>
    <cellStyle name="Normal 44 2 2 4 20" xfId="36143"/>
    <cellStyle name="Normal 44 2 2 4 21" xfId="37883"/>
    <cellStyle name="Normal 44 2 2 4 22" xfId="39636"/>
    <cellStyle name="Normal 44 2 2 4 23" xfId="41391"/>
    <cellStyle name="Normal 44 2 2 4 24" xfId="43143"/>
    <cellStyle name="Normal 44 2 2 4 25" xfId="45761"/>
    <cellStyle name="Normal 44 2 2 4 26" xfId="47513"/>
    <cellStyle name="Normal 44 2 2 4 27" xfId="49265"/>
    <cellStyle name="Normal 44 2 2 4 28" xfId="51017"/>
    <cellStyle name="Normal 44 2 2 4 29" xfId="52769"/>
    <cellStyle name="Normal 44 2 2 4 3" xfId="5470"/>
    <cellStyle name="Normal 44 2 2 4 30" xfId="54521"/>
    <cellStyle name="Normal 44 2 2 4 31" xfId="56273"/>
    <cellStyle name="Normal 44 2 2 4 32" xfId="58026"/>
    <cellStyle name="Normal 44 2 2 4 33" xfId="59778"/>
    <cellStyle name="Normal 44 2 2 4 34" xfId="61530"/>
    <cellStyle name="Normal 44 2 2 4 4" xfId="7222"/>
    <cellStyle name="Normal 44 2 2 4 5" xfId="8974"/>
    <cellStyle name="Normal 44 2 2 4 6" xfId="10727"/>
    <cellStyle name="Normal 44 2 2 4 7" xfId="12479"/>
    <cellStyle name="Normal 44 2 2 4 8" xfId="14231"/>
    <cellStyle name="Normal 44 2 2 4 9" xfId="15983"/>
    <cellStyle name="Normal 44 2 2 40" xfId="62886"/>
    <cellStyle name="Normal 44 2 2 41" xfId="63752"/>
    <cellStyle name="Normal 44 2 2 5" xfId="2842"/>
    <cellStyle name="Normal 44 2 2 6" xfId="4594"/>
    <cellStyle name="Normal 44 2 2 7" xfId="6346"/>
    <cellStyle name="Normal 44 2 2 8" xfId="8098"/>
    <cellStyle name="Normal 44 2 2 9" xfId="9851"/>
    <cellStyle name="Normal 44 2 20" xfId="27265"/>
    <cellStyle name="Normal 44 2 21" xfId="29018"/>
    <cellStyle name="Normal 44 2 22" xfId="30770"/>
    <cellStyle name="Normal 44 2 23" xfId="32523"/>
    <cellStyle name="Normal 44 2 24" xfId="34877"/>
    <cellStyle name="Normal 44 2 25" xfId="35159"/>
    <cellStyle name="Normal 44 2 26" xfId="37498"/>
    <cellStyle name="Normal 44 2 27" xfId="38652"/>
    <cellStyle name="Normal 44 2 28" xfId="40407"/>
    <cellStyle name="Normal 44 2 29" xfId="42159"/>
    <cellStyle name="Normal 44 2 3" xfId="1903"/>
    <cellStyle name="Normal 44 2 3 10" xfId="13535"/>
    <cellStyle name="Normal 44 2 3 11" xfId="15287"/>
    <cellStyle name="Normal 44 2 3 12" xfId="17040"/>
    <cellStyle name="Normal 44 2 3 13" xfId="18792"/>
    <cellStyle name="Normal 44 2 3 14" xfId="20545"/>
    <cellStyle name="Normal 44 2 3 15" xfId="22297"/>
    <cellStyle name="Normal 44 2 3 16" xfId="24049"/>
    <cellStyle name="Normal 44 2 3 17" xfId="25801"/>
    <cellStyle name="Normal 44 2 3 18" xfId="27553"/>
    <cellStyle name="Normal 44 2 3 19" xfId="29306"/>
    <cellStyle name="Normal 44 2 3 2" xfId="1904"/>
    <cellStyle name="Normal 44 2 3 2 10" xfId="15723"/>
    <cellStyle name="Normal 44 2 3 2 11" xfId="17476"/>
    <cellStyle name="Normal 44 2 3 2 12" xfId="19228"/>
    <cellStyle name="Normal 44 2 3 2 13" xfId="20981"/>
    <cellStyle name="Normal 44 2 3 2 14" xfId="22733"/>
    <cellStyle name="Normal 44 2 3 2 15" xfId="24485"/>
    <cellStyle name="Normal 44 2 3 2 16" xfId="26237"/>
    <cellStyle name="Normal 44 2 3 2 17" xfId="27989"/>
    <cellStyle name="Normal 44 2 3 2 18" xfId="29742"/>
    <cellStyle name="Normal 44 2 3 2 19" xfId="31494"/>
    <cellStyle name="Normal 44 2 3 2 2" xfId="1905"/>
    <cellStyle name="Normal 44 2 3 2 2 10" xfId="18352"/>
    <cellStyle name="Normal 44 2 3 2 2 11" xfId="20104"/>
    <cellStyle name="Normal 44 2 3 2 2 12" xfId="21857"/>
    <cellStyle name="Normal 44 2 3 2 2 13" xfId="23609"/>
    <cellStyle name="Normal 44 2 3 2 2 14" xfId="25361"/>
    <cellStyle name="Normal 44 2 3 2 2 15" xfId="27113"/>
    <cellStyle name="Normal 44 2 3 2 2 16" xfId="28865"/>
    <cellStyle name="Normal 44 2 3 2 2 17" xfId="30618"/>
    <cellStyle name="Normal 44 2 3 2 2 18" xfId="32370"/>
    <cellStyle name="Normal 44 2 3 2 2 19" xfId="34123"/>
    <cellStyle name="Normal 44 2 3 2 2 2" xfId="4334"/>
    <cellStyle name="Normal 44 2 3 2 2 20" xfId="36759"/>
    <cellStyle name="Normal 44 2 3 2 2 21" xfId="38499"/>
    <cellStyle name="Normal 44 2 3 2 2 22" xfId="40252"/>
    <cellStyle name="Normal 44 2 3 2 2 23" xfId="42007"/>
    <cellStyle name="Normal 44 2 3 2 2 24" xfId="43759"/>
    <cellStyle name="Normal 44 2 3 2 2 25" xfId="46377"/>
    <cellStyle name="Normal 44 2 3 2 2 26" xfId="48129"/>
    <cellStyle name="Normal 44 2 3 2 2 27" xfId="49881"/>
    <cellStyle name="Normal 44 2 3 2 2 28" xfId="51633"/>
    <cellStyle name="Normal 44 2 3 2 2 29" xfId="53385"/>
    <cellStyle name="Normal 44 2 3 2 2 3" xfId="6086"/>
    <cellStyle name="Normal 44 2 3 2 2 30" xfId="55137"/>
    <cellStyle name="Normal 44 2 3 2 2 31" xfId="56889"/>
    <cellStyle name="Normal 44 2 3 2 2 32" xfId="58642"/>
    <cellStyle name="Normal 44 2 3 2 2 33" xfId="60394"/>
    <cellStyle name="Normal 44 2 3 2 2 34" xfId="62146"/>
    <cellStyle name="Normal 44 2 3 2 2 4" xfId="7838"/>
    <cellStyle name="Normal 44 2 3 2 2 5" xfId="9590"/>
    <cellStyle name="Normal 44 2 3 2 2 6" xfId="11343"/>
    <cellStyle name="Normal 44 2 3 2 2 7" xfId="13095"/>
    <cellStyle name="Normal 44 2 3 2 2 8" xfId="14847"/>
    <cellStyle name="Normal 44 2 3 2 2 9" xfId="16599"/>
    <cellStyle name="Normal 44 2 3 2 20" xfId="33247"/>
    <cellStyle name="Normal 44 2 3 2 21" xfId="34883"/>
    <cellStyle name="Normal 44 2 3 2 22" xfId="35883"/>
    <cellStyle name="Normal 44 2 3 2 23" xfId="37504"/>
    <cellStyle name="Normal 44 2 3 2 24" xfId="39376"/>
    <cellStyle name="Normal 44 2 3 2 25" xfId="41131"/>
    <cellStyle name="Normal 44 2 3 2 26" xfId="42883"/>
    <cellStyle name="Normal 44 2 3 2 27" xfId="44504"/>
    <cellStyle name="Normal 44 2 3 2 28" xfId="45501"/>
    <cellStyle name="Normal 44 2 3 2 29" xfId="47253"/>
    <cellStyle name="Normal 44 2 3 2 3" xfId="3458"/>
    <cellStyle name="Normal 44 2 3 2 30" xfId="49005"/>
    <cellStyle name="Normal 44 2 3 2 31" xfId="50757"/>
    <cellStyle name="Normal 44 2 3 2 32" xfId="52509"/>
    <cellStyle name="Normal 44 2 3 2 33" xfId="54261"/>
    <cellStyle name="Normal 44 2 3 2 34" xfId="56013"/>
    <cellStyle name="Normal 44 2 3 2 35" xfId="57766"/>
    <cellStyle name="Normal 44 2 3 2 36" xfId="59518"/>
    <cellStyle name="Normal 44 2 3 2 37" xfId="61270"/>
    <cellStyle name="Normal 44 2 3 2 38" xfId="62891"/>
    <cellStyle name="Normal 44 2 3 2 39" xfId="63757"/>
    <cellStyle name="Normal 44 2 3 2 4" xfId="5210"/>
    <cellStyle name="Normal 44 2 3 2 5" xfId="6962"/>
    <cellStyle name="Normal 44 2 3 2 6" xfId="8714"/>
    <cellStyle name="Normal 44 2 3 2 7" xfId="10467"/>
    <cellStyle name="Normal 44 2 3 2 8" xfId="12219"/>
    <cellStyle name="Normal 44 2 3 2 9" xfId="13971"/>
    <cellStyle name="Normal 44 2 3 20" xfId="31058"/>
    <cellStyle name="Normal 44 2 3 21" xfId="32811"/>
    <cellStyle name="Normal 44 2 3 22" xfId="34882"/>
    <cellStyle name="Normal 44 2 3 23" xfId="35447"/>
    <cellStyle name="Normal 44 2 3 24" xfId="37503"/>
    <cellStyle name="Normal 44 2 3 25" xfId="38940"/>
    <cellStyle name="Normal 44 2 3 26" xfId="40695"/>
    <cellStyle name="Normal 44 2 3 27" xfId="42447"/>
    <cellStyle name="Normal 44 2 3 28" xfId="44503"/>
    <cellStyle name="Normal 44 2 3 29" xfId="45065"/>
    <cellStyle name="Normal 44 2 3 3" xfId="1906"/>
    <cellStyle name="Normal 44 2 3 3 10" xfId="17916"/>
    <cellStyle name="Normal 44 2 3 3 11" xfId="19668"/>
    <cellStyle name="Normal 44 2 3 3 12" xfId="21421"/>
    <cellStyle name="Normal 44 2 3 3 13" xfId="23173"/>
    <cellStyle name="Normal 44 2 3 3 14" xfId="24925"/>
    <cellStyle name="Normal 44 2 3 3 15" xfId="26677"/>
    <cellStyle name="Normal 44 2 3 3 16" xfId="28429"/>
    <cellStyle name="Normal 44 2 3 3 17" xfId="30182"/>
    <cellStyle name="Normal 44 2 3 3 18" xfId="31934"/>
    <cellStyle name="Normal 44 2 3 3 19" xfId="33687"/>
    <cellStyle name="Normal 44 2 3 3 2" xfId="3898"/>
    <cellStyle name="Normal 44 2 3 3 20" xfId="36323"/>
    <cellStyle name="Normal 44 2 3 3 21" xfId="38063"/>
    <cellStyle name="Normal 44 2 3 3 22" xfId="39816"/>
    <cellStyle name="Normal 44 2 3 3 23" xfId="41571"/>
    <cellStyle name="Normal 44 2 3 3 24" xfId="43323"/>
    <cellStyle name="Normal 44 2 3 3 25" xfId="45941"/>
    <cellStyle name="Normal 44 2 3 3 26" xfId="47693"/>
    <cellStyle name="Normal 44 2 3 3 27" xfId="49445"/>
    <cellStyle name="Normal 44 2 3 3 28" xfId="51197"/>
    <cellStyle name="Normal 44 2 3 3 29" xfId="52949"/>
    <cellStyle name="Normal 44 2 3 3 3" xfId="5650"/>
    <cellStyle name="Normal 44 2 3 3 30" xfId="54701"/>
    <cellStyle name="Normal 44 2 3 3 31" xfId="56453"/>
    <cellStyle name="Normal 44 2 3 3 32" xfId="58206"/>
    <cellStyle name="Normal 44 2 3 3 33" xfId="59958"/>
    <cellStyle name="Normal 44 2 3 3 34" xfId="61710"/>
    <cellStyle name="Normal 44 2 3 3 4" xfId="7402"/>
    <cellStyle name="Normal 44 2 3 3 5" xfId="9154"/>
    <cellStyle name="Normal 44 2 3 3 6" xfId="10907"/>
    <cellStyle name="Normal 44 2 3 3 7" xfId="12659"/>
    <cellStyle name="Normal 44 2 3 3 8" xfId="14411"/>
    <cellStyle name="Normal 44 2 3 3 9" xfId="16163"/>
    <cellStyle name="Normal 44 2 3 30" xfId="46817"/>
    <cellStyle name="Normal 44 2 3 31" xfId="48569"/>
    <cellStyle name="Normal 44 2 3 32" xfId="50321"/>
    <cellStyle name="Normal 44 2 3 33" xfId="52073"/>
    <cellStyle name="Normal 44 2 3 34" xfId="53825"/>
    <cellStyle name="Normal 44 2 3 35" xfId="55577"/>
    <cellStyle name="Normal 44 2 3 36" xfId="57330"/>
    <cellStyle name="Normal 44 2 3 37" xfId="59082"/>
    <cellStyle name="Normal 44 2 3 38" xfId="60834"/>
    <cellStyle name="Normal 44 2 3 39" xfId="62890"/>
    <cellStyle name="Normal 44 2 3 4" xfId="3022"/>
    <cellStyle name="Normal 44 2 3 40" xfId="63756"/>
    <cellStyle name="Normal 44 2 3 5" xfId="4774"/>
    <cellStyle name="Normal 44 2 3 6" xfId="6526"/>
    <cellStyle name="Normal 44 2 3 7" xfId="8278"/>
    <cellStyle name="Normal 44 2 3 8" xfId="10031"/>
    <cellStyle name="Normal 44 2 3 9" xfId="11783"/>
    <cellStyle name="Normal 44 2 30" xfId="44498"/>
    <cellStyle name="Normal 44 2 31" xfId="44777"/>
    <cellStyle name="Normal 44 2 32" xfId="46529"/>
    <cellStyle name="Normal 44 2 33" xfId="48281"/>
    <cellStyle name="Normal 44 2 34" xfId="50033"/>
    <cellStyle name="Normal 44 2 35" xfId="51785"/>
    <cellStyle name="Normal 44 2 36" xfId="53537"/>
    <cellStyle name="Normal 44 2 37" xfId="55289"/>
    <cellStyle name="Normal 44 2 38" xfId="57042"/>
    <cellStyle name="Normal 44 2 39" xfId="58794"/>
    <cellStyle name="Normal 44 2 4" xfId="1907"/>
    <cellStyle name="Normal 44 2 4 10" xfId="15435"/>
    <cellStyle name="Normal 44 2 4 11" xfId="17188"/>
    <cellStyle name="Normal 44 2 4 12" xfId="18940"/>
    <cellStyle name="Normal 44 2 4 13" xfId="20693"/>
    <cellStyle name="Normal 44 2 4 14" xfId="22445"/>
    <cellStyle name="Normal 44 2 4 15" xfId="24197"/>
    <cellStyle name="Normal 44 2 4 16" xfId="25949"/>
    <cellStyle name="Normal 44 2 4 17" xfId="27701"/>
    <cellStyle name="Normal 44 2 4 18" xfId="29454"/>
    <cellStyle name="Normal 44 2 4 19" xfId="31206"/>
    <cellStyle name="Normal 44 2 4 2" xfId="1908"/>
    <cellStyle name="Normal 44 2 4 2 10" xfId="18064"/>
    <cellStyle name="Normal 44 2 4 2 11" xfId="19816"/>
    <cellStyle name="Normal 44 2 4 2 12" xfId="21569"/>
    <cellStyle name="Normal 44 2 4 2 13" xfId="23321"/>
    <cellStyle name="Normal 44 2 4 2 14" xfId="25073"/>
    <cellStyle name="Normal 44 2 4 2 15" xfId="26825"/>
    <cellStyle name="Normal 44 2 4 2 16" xfId="28577"/>
    <cellStyle name="Normal 44 2 4 2 17" xfId="30330"/>
    <cellStyle name="Normal 44 2 4 2 18" xfId="32082"/>
    <cellStyle name="Normal 44 2 4 2 19" xfId="33835"/>
    <cellStyle name="Normal 44 2 4 2 2" xfId="4046"/>
    <cellStyle name="Normal 44 2 4 2 20" xfId="36471"/>
    <cellStyle name="Normal 44 2 4 2 21" xfId="38211"/>
    <cellStyle name="Normal 44 2 4 2 22" xfId="39964"/>
    <cellStyle name="Normal 44 2 4 2 23" xfId="41719"/>
    <cellStyle name="Normal 44 2 4 2 24" xfId="43471"/>
    <cellStyle name="Normal 44 2 4 2 25" xfId="46089"/>
    <cellStyle name="Normal 44 2 4 2 26" xfId="47841"/>
    <cellStyle name="Normal 44 2 4 2 27" xfId="49593"/>
    <cellStyle name="Normal 44 2 4 2 28" xfId="51345"/>
    <cellStyle name="Normal 44 2 4 2 29" xfId="53097"/>
    <cellStyle name="Normal 44 2 4 2 3" xfId="5798"/>
    <cellStyle name="Normal 44 2 4 2 30" xfId="54849"/>
    <cellStyle name="Normal 44 2 4 2 31" xfId="56601"/>
    <cellStyle name="Normal 44 2 4 2 32" xfId="58354"/>
    <cellStyle name="Normal 44 2 4 2 33" xfId="60106"/>
    <cellStyle name="Normal 44 2 4 2 34" xfId="61858"/>
    <cellStyle name="Normal 44 2 4 2 4" xfId="7550"/>
    <cellStyle name="Normal 44 2 4 2 5" xfId="9302"/>
    <cellStyle name="Normal 44 2 4 2 6" xfId="11055"/>
    <cellStyle name="Normal 44 2 4 2 7" xfId="12807"/>
    <cellStyle name="Normal 44 2 4 2 8" xfId="14559"/>
    <cellStyle name="Normal 44 2 4 2 9" xfId="16311"/>
    <cellStyle name="Normal 44 2 4 20" xfId="32959"/>
    <cellStyle name="Normal 44 2 4 21" xfId="34884"/>
    <cellStyle name="Normal 44 2 4 22" xfId="35595"/>
    <cellStyle name="Normal 44 2 4 23" xfId="37505"/>
    <cellStyle name="Normal 44 2 4 24" xfId="39088"/>
    <cellStyle name="Normal 44 2 4 25" xfId="40843"/>
    <cellStyle name="Normal 44 2 4 26" xfId="42595"/>
    <cellStyle name="Normal 44 2 4 27" xfId="44505"/>
    <cellStyle name="Normal 44 2 4 28" xfId="45213"/>
    <cellStyle name="Normal 44 2 4 29" xfId="46965"/>
    <cellStyle name="Normal 44 2 4 3" xfId="3170"/>
    <cellStyle name="Normal 44 2 4 30" xfId="48717"/>
    <cellStyle name="Normal 44 2 4 31" xfId="50469"/>
    <cellStyle name="Normal 44 2 4 32" xfId="52221"/>
    <cellStyle name="Normal 44 2 4 33" xfId="53973"/>
    <cellStyle name="Normal 44 2 4 34" xfId="55725"/>
    <cellStyle name="Normal 44 2 4 35" xfId="57478"/>
    <cellStyle name="Normal 44 2 4 36" xfId="59230"/>
    <cellStyle name="Normal 44 2 4 37" xfId="60982"/>
    <cellStyle name="Normal 44 2 4 38" xfId="62892"/>
    <cellStyle name="Normal 44 2 4 39" xfId="63758"/>
    <cellStyle name="Normal 44 2 4 4" xfId="4922"/>
    <cellStyle name="Normal 44 2 4 5" xfId="6674"/>
    <cellStyle name="Normal 44 2 4 6" xfId="8426"/>
    <cellStyle name="Normal 44 2 4 7" xfId="10179"/>
    <cellStyle name="Normal 44 2 4 8" xfId="11931"/>
    <cellStyle name="Normal 44 2 4 9" xfId="13683"/>
    <cellStyle name="Normal 44 2 40" xfId="60546"/>
    <cellStyle name="Normal 44 2 41" xfId="62885"/>
    <cellStyle name="Normal 44 2 42" xfId="63751"/>
    <cellStyle name="Normal 44 2 5" xfId="1909"/>
    <cellStyle name="Normal 44 2 5 10" xfId="17628"/>
    <cellStyle name="Normal 44 2 5 11" xfId="19380"/>
    <cellStyle name="Normal 44 2 5 12" xfId="21133"/>
    <cellStyle name="Normal 44 2 5 13" xfId="22885"/>
    <cellStyle name="Normal 44 2 5 14" xfId="24637"/>
    <cellStyle name="Normal 44 2 5 15" xfId="26389"/>
    <cellStyle name="Normal 44 2 5 16" xfId="28141"/>
    <cellStyle name="Normal 44 2 5 17" xfId="29894"/>
    <cellStyle name="Normal 44 2 5 18" xfId="31646"/>
    <cellStyle name="Normal 44 2 5 19" xfId="33399"/>
    <cellStyle name="Normal 44 2 5 2" xfId="3610"/>
    <cellStyle name="Normal 44 2 5 20" xfId="36035"/>
    <cellStyle name="Normal 44 2 5 21" xfId="37775"/>
    <cellStyle name="Normal 44 2 5 22" xfId="39528"/>
    <cellStyle name="Normal 44 2 5 23" xfId="41283"/>
    <cellStyle name="Normal 44 2 5 24" xfId="43035"/>
    <cellStyle name="Normal 44 2 5 25" xfId="45653"/>
    <cellStyle name="Normal 44 2 5 26" xfId="47405"/>
    <cellStyle name="Normal 44 2 5 27" xfId="49157"/>
    <cellStyle name="Normal 44 2 5 28" xfId="50909"/>
    <cellStyle name="Normal 44 2 5 29" xfId="52661"/>
    <cellStyle name="Normal 44 2 5 3" xfId="5362"/>
    <cellStyle name="Normal 44 2 5 30" xfId="54413"/>
    <cellStyle name="Normal 44 2 5 31" xfId="56165"/>
    <cellStyle name="Normal 44 2 5 32" xfId="57918"/>
    <cellStyle name="Normal 44 2 5 33" xfId="59670"/>
    <cellStyle name="Normal 44 2 5 34" xfId="61422"/>
    <cellStyle name="Normal 44 2 5 4" xfId="7114"/>
    <cellStyle name="Normal 44 2 5 5" xfId="8866"/>
    <cellStyle name="Normal 44 2 5 6" xfId="10619"/>
    <cellStyle name="Normal 44 2 5 7" xfId="12371"/>
    <cellStyle name="Normal 44 2 5 8" xfId="14123"/>
    <cellStyle name="Normal 44 2 5 9" xfId="15875"/>
    <cellStyle name="Normal 44 2 6" xfId="2734"/>
    <cellStyle name="Normal 44 2 7" xfId="4486"/>
    <cellStyle name="Normal 44 2 8" xfId="6238"/>
    <cellStyle name="Normal 44 2 9" xfId="7990"/>
    <cellStyle name="Normal 44 20" xfId="25458"/>
    <cellStyle name="Normal 44 21" xfId="27210"/>
    <cellStyle name="Normal 44 22" xfId="28963"/>
    <cellStyle name="Normal 44 23" xfId="30715"/>
    <cellStyle name="Normal 44 24" xfId="32468"/>
    <cellStyle name="Normal 44 25" xfId="34876"/>
    <cellStyle name="Normal 44 26" xfId="35104"/>
    <cellStyle name="Normal 44 27" xfId="37497"/>
    <cellStyle name="Normal 44 28" xfId="38597"/>
    <cellStyle name="Normal 44 29" xfId="40352"/>
    <cellStyle name="Normal 44 3" xfId="1910"/>
    <cellStyle name="Normal 44 3 10" xfId="11548"/>
    <cellStyle name="Normal 44 3 11" xfId="13300"/>
    <cellStyle name="Normal 44 3 12" xfId="15052"/>
    <cellStyle name="Normal 44 3 13" xfId="16805"/>
    <cellStyle name="Normal 44 3 14" xfId="18557"/>
    <cellStyle name="Normal 44 3 15" xfId="20310"/>
    <cellStyle name="Normal 44 3 16" xfId="22062"/>
    <cellStyle name="Normal 44 3 17" xfId="23814"/>
    <cellStyle name="Normal 44 3 18" xfId="25566"/>
    <cellStyle name="Normal 44 3 19" xfId="27318"/>
    <cellStyle name="Normal 44 3 2" xfId="1911"/>
    <cellStyle name="Normal 44 3 2 10" xfId="13536"/>
    <cellStyle name="Normal 44 3 2 11" xfId="15288"/>
    <cellStyle name="Normal 44 3 2 12" xfId="17041"/>
    <cellStyle name="Normal 44 3 2 13" xfId="18793"/>
    <cellStyle name="Normal 44 3 2 14" xfId="20546"/>
    <cellStyle name="Normal 44 3 2 15" xfId="22298"/>
    <cellStyle name="Normal 44 3 2 16" xfId="24050"/>
    <cellStyle name="Normal 44 3 2 17" xfId="25802"/>
    <cellStyle name="Normal 44 3 2 18" xfId="27554"/>
    <cellStyle name="Normal 44 3 2 19" xfId="29307"/>
    <cellStyle name="Normal 44 3 2 2" xfId="1912"/>
    <cellStyle name="Normal 44 3 2 2 10" xfId="15724"/>
    <cellStyle name="Normal 44 3 2 2 11" xfId="17477"/>
    <cellStyle name="Normal 44 3 2 2 12" xfId="19229"/>
    <cellStyle name="Normal 44 3 2 2 13" xfId="20982"/>
    <cellStyle name="Normal 44 3 2 2 14" xfId="22734"/>
    <cellStyle name="Normal 44 3 2 2 15" xfId="24486"/>
    <cellStyle name="Normal 44 3 2 2 16" xfId="26238"/>
    <cellStyle name="Normal 44 3 2 2 17" xfId="27990"/>
    <cellStyle name="Normal 44 3 2 2 18" xfId="29743"/>
    <cellStyle name="Normal 44 3 2 2 19" xfId="31495"/>
    <cellStyle name="Normal 44 3 2 2 2" xfId="1913"/>
    <cellStyle name="Normal 44 3 2 2 2 10" xfId="18353"/>
    <cellStyle name="Normal 44 3 2 2 2 11" xfId="20105"/>
    <cellStyle name="Normal 44 3 2 2 2 12" xfId="21858"/>
    <cellStyle name="Normal 44 3 2 2 2 13" xfId="23610"/>
    <cellStyle name="Normal 44 3 2 2 2 14" xfId="25362"/>
    <cellStyle name="Normal 44 3 2 2 2 15" xfId="27114"/>
    <cellStyle name="Normal 44 3 2 2 2 16" xfId="28866"/>
    <cellStyle name="Normal 44 3 2 2 2 17" xfId="30619"/>
    <cellStyle name="Normal 44 3 2 2 2 18" xfId="32371"/>
    <cellStyle name="Normal 44 3 2 2 2 19" xfId="34124"/>
    <cellStyle name="Normal 44 3 2 2 2 2" xfId="4335"/>
    <cellStyle name="Normal 44 3 2 2 2 20" xfId="36760"/>
    <cellStyle name="Normal 44 3 2 2 2 21" xfId="38500"/>
    <cellStyle name="Normal 44 3 2 2 2 22" xfId="40253"/>
    <cellStyle name="Normal 44 3 2 2 2 23" xfId="42008"/>
    <cellStyle name="Normal 44 3 2 2 2 24" xfId="43760"/>
    <cellStyle name="Normal 44 3 2 2 2 25" xfId="46378"/>
    <cellStyle name="Normal 44 3 2 2 2 26" xfId="48130"/>
    <cellStyle name="Normal 44 3 2 2 2 27" xfId="49882"/>
    <cellStyle name="Normal 44 3 2 2 2 28" xfId="51634"/>
    <cellStyle name="Normal 44 3 2 2 2 29" xfId="53386"/>
    <cellStyle name="Normal 44 3 2 2 2 3" xfId="6087"/>
    <cellStyle name="Normal 44 3 2 2 2 30" xfId="55138"/>
    <cellStyle name="Normal 44 3 2 2 2 31" xfId="56890"/>
    <cellStyle name="Normal 44 3 2 2 2 32" xfId="58643"/>
    <cellStyle name="Normal 44 3 2 2 2 33" xfId="60395"/>
    <cellStyle name="Normal 44 3 2 2 2 34" xfId="62147"/>
    <cellStyle name="Normal 44 3 2 2 2 4" xfId="7839"/>
    <cellStyle name="Normal 44 3 2 2 2 5" xfId="9591"/>
    <cellStyle name="Normal 44 3 2 2 2 6" xfId="11344"/>
    <cellStyle name="Normal 44 3 2 2 2 7" xfId="13096"/>
    <cellStyle name="Normal 44 3 2 2 2 8" xfId="14848"/>
    <cellStyle name="Normal 44 3 2 2 2 9" xfId="16600"/>
    <cellStyle name="Normal 44 3 2 2 20" xfId="33248"/>
    <cellStyle name="Normal 44 3 2 2 21" xfId="34887"/>
    <cellStyle name="Normal 44 3 2 2 22" xfId="35884"/>
    <cellStyle name="Normal 44 3 2 2 23" xfId="37508"/>
    <cellStyle name="Normal 44 3 2 2 24" xfId="39377"/>
    <cellStyle name="Normal 44 3 2 2 25" xfId="41132"/>
    <cellStyle name="Normal 44 3 2 2 26" xfId="42884"/>
    <cellStyle name="Normal 44 3 2 2 27" xfId="44508"/>
    <cellStyle name="Normal 44 3 2 2 28" xfId="45502"/>
    <cellStyle name="Normal 44 3 2 2 29" xfId="47254"/>
    <cellStyle name="Normal 44 3 2 2 3" xfId="3459"/>
    <cellStyle name="Normal 44 3 2 2 30" xfId="49006"/>
    <cellStyle name="Normal 44 3 2 2 31" xfId="50758"/>
    <cellStyle name="Normal 44 3 2 2 32" xfId="52510"/>
    <cellStyle name="Normal 44 3 2 2 33" xfId="54262"/>
    <cellStyle name="Normal 44 3 2 2 34" xfId="56014"/>
    <cellStyle name="Normal 44 3 2 2 35" xfId="57767"/>
    <cellStyle name="Normal 44 3 2 2 36" xfId="59519"/>
    <cellStyle name="Normal 44 3 2 2 37" xfId="61271"/>
    <cellStyle name="Normal 44 3 2 2 38" xfId="62895"/>
    <cellStyle name="Normal 44 3 2 2 39" xfId="63761"/>
    <cellStyle name="Normal 44 3 2 2 4" xfId="5211"/>
    <cellStyle name="Normal 44 3 2 2 5" xfId="6963"/>
    <cellStyle name="Normal 44 3 2 2 6" xfId="8715"/>
    <cellStyle name="Normal 44 3 2 2 7" xfId="10468"/>
    <cellStyle name="Normal 44 3 2 2 8" xfId="12220"/>
    <cellStyle name="Normal 44 3 2 2 9" xfId="13972"/>
    <cellStyle name="Normal 44 3 2 20" xfId="31059"/>
    <cellStyle name="Normal 44 3 2 21" xfId="32812"/>
    <cellStyle name="Normal 44 3 2 22" xfId="34886"/>
    <cellStyle name="Normal 44 3 2 23" xfId="35448"/>
    <cellStyle name="Normal 44 3 2 24" xfId="37507"/>
    <cellStyle name="Normal 44 3 2 25" xfId="38941"/>
    <cellStyle name="Normal 44 3 2 26" xfId="40696"/>
    <cellStyle name="Normal 44 3 2 27" xfId="42448"/>
    <cellStyle name="Normal 44 3 2 28" xfId="44507"/>
    <cellStyle name="Normal 44 3 2 29" xfId="45066"/>
    <cellStyle name="Normal 44 3 2 3" xfId="1914"/>
    <cellStyle name="Normal 44 3 2 3 10" xfId="17917"/>
    <cellStyle name="Normal 44 3 2 3 11" xfId="19669"/>
    <cellStyle name="Normal 44 3 2 3 12" xfId="21422"/>
    <cellStyle name="Normal 44 3 2 3 13" xfId="23174"/>
    <cellStyle name="Normal 44 3 2 3 14" xfId="24926"/>
    <cellStyle name="Normal 44 3 2 3 15" xfId="26678"/>
    <cellStyle name="Normal 44 3 2 3 16" xfId="28430"/>
    <cellStyle name="Normal 44 3 2 3 17" xfId="30183"/>
    <cellStyle name="Normal 44 3 2 3 18" xfId="31935"/>
    <cellStyle name="Normal 44 3 2 3 19" xfId="33688"/>
    <cellStyle name="Normal 44 3 2 3 2" xfId="3899"/>
    <cellStyle name="Normal 44 3 2 3 20" xfId="36324"/>
    <cellStyle name="Normal 44 3 2 3 21" xfId="38064"/>
    <cellStyle name="Normal 44 3 2 3 22" xfId="39817"/>
    <cellStyle name="Normal 44 3 2 3 23" xfId="41572"/>
    <cellStyle name="Normal 44 3 2 3 24" xfId="43324"/>
    <cellStyle name="Normal 44 3 2 3 25" xfId="45942"/>
    <cellStyle name="Normal 44 3 2 3 26" xfId="47694"/>
    <cellStyle name="Normal 44 3 2 3 27" xfId="49446"/>
    <cellStyle name="Normal 44 3 2 3 28" xfId="51198"/>
    <cellStyle name="Normal 44 3 2 3 29" xfId="52950"/>
    <cellStyle name="Normal 44 3 2 3 3" xfId="5651"/>
    <cellStyle name="Normal 44 3 2 3 30" xfId="54702"/>
    <cellStyle name="Normal 44 3 2 3 31" xfId="56454"/>
    <cellStyle name="Normal 44 3 2 3 32" xfId="58207"/>
    <cellStyle name="Normal 44 3 2 3 33" xfId="59959"/>
    <cellStyle name="Normal 44 3 2 3 34" xfId="61711"/>
    <cellStyle name="Normal 44 3 2 3 4" xfId="7403"/>
    <cellStyle name="Normal 44 3 2 3 5" xfId="9155"/>
    <cellStyle name="Normal 44 3 2 3 6" xfId="10908"/>
    <cellStyle name="Normal 44 3 2 3 7" xfId="12660"/>
    <cellStyle name="Normal 44 3 2 3 8" xfId="14412"/>
    <cellStyle name="Normal 44 3 2 3 9" xfId="16164"/>
    <cellStyle name="Normal 44 3 2 30" xfId="46818"/>
    <cellStyle name="Normal 44 3 2 31" xfId="48570"/>
    <cellStyle name="Normal 44 3 2 32" xfId="50322"/>
    <cellStyle name="Normal 44 3 2 33" xfId="52074"/>
    <cellStyle name="Normal 44 3 2 34" xfId="53826"/>
    <cellStyle name="Normal 44 3 2 35" xfId="55578"/>
    <cellStyle name="Normal 44 3 2 36" xfId="57331"/>
    <cellStyle name="Normal 44 3 2 37" xfId="59083"/>
    <cellStyle name="Normal 44 3 2 38" xfId="60835"/>
    <cellStyle name="Normal 44 3 2 39" xfId="62894"/>
    <cellStyle name="Normal 44 3 2 4" xfId="3023"/>
    <cellStyle name="Normal 44 3 2 40" xfId="63760"/>
    <cellStyle name="Normal 44 3 2 5" xfId="4775"/>
    <cellStyle name="Normal 44 3 2 6" xfId="6527"/>
    <cellStyle name="Normal 44 3 2 7" xfId="8279"/>
    <cellStyle name="Normal 44 3 2 8" xfId="10032"/>
    <cellStyle name="Normal 44 3 2 9" xfId="11784"/>
    <cellStyle name="Normal 44 3 20" xfId="29071"/>
    <cellStyle name="Normal 44 3 21" xfId="30823"/>
    <cellStyle name="Normal 44 3 22" xfId="32576"/>
    <cellStyle name="Normal 44 3 23" xfId="34885"/>
    <cellStyle name="Normal 44 3 24" xfId="35212"/>
    <cellStyle name="Normal 44 3 25" xfId="37506"/>
    <cellStyle name="Normal 44 3 26" xfId="38705"/>
    <cellStyle name="Normal 44 3 27" xfId="40460"/>
    <cellStyle name="Normal 44 3 28" xfId="42212"/>
    <cellStyle name="Normal 44 3 29" xfId="44506"/>
    <cellStyle name="Normal 44 3 3" xfId="1915"/>
    <cellStyle name="Normal 44 3 3 10" xfId="15488"/>
    <cellStyle name="Normal 44 3 3 11" xfId="17241"/>
    <cellStyle name="Normal 44 3 3 12" xfId="18993"/>
    <cellStyle name="Normal 44 3 3 13" xfId="20746"/>
    <cellStyle name="Normal 44 3 3 14" xfId="22498"/>
    <cellStyle name="Normal 44 3 3 15" xfId="24250"/>
    <cellStyle name="Normal 44 3 3 16" xfId="26002"/>
    <cellStyle name="Normal 44 3 3 17" xfId="27754"/>
    <cellStyle name="Normal 44 3 3 18" xfId="29507"/>
    <cellStyle name="Normal 44 3 3 19" xfId="31259"/>
    <cellStyle name="Normal 44 3 3 2" xfId="1916"/>
    <cellStyle name="Normal 44 3 3 2 10" xfId="18117"/>
    <cellStyle name="Normal 44 3 3 2 11" xfId="19869"/>
    <cellStyle name="Normal 44 3 3 2 12" xfId="21622"/>
    <cellStyle name="Normal 44 3 3 2 13" xfId="23374"/>
    <cellStyle name="Normal 44 3 3 2 14" xfId="25126"/>
    <cellStyle name="Normal 44 3 3 2 15" xfId="26878"/>
    <cellStyle name="Normal 44 3 3 2 16" xfId="28630"/>
    <cellStyle name="Normal 44 3 3 2 17" xfId="30383"/>
    <cellStyle name="Normal 44 3 3 2 18" xfId="32135"/>
    <cellStyle name="Normal 44 3 3 2 19" xfId="33888"/>
    <cellStyle name="Normal 44 3 3 2 2" xfId="4099"/>
    <cellStyle name="Normal 44 3 3 2 20" xfId="36524"/>
    <cellStyle name="Normal 44 3 3 2 21" xfId="38264"/>
    <cellStyle name="Normal 44 3 3 2 22" xfId="40017"/>
    <cellStyle name="Normal 44 3 3 2 23" xfId="41772"/>
    <cellStyle name="Normal 44 3 3 2 24" xfId="43524"/>
    <cellStyle name="Normal 44 3 3 2 25" xfId="46142"/>
    <cellStyle name="Normal 44 3 3 2 26" xfId="47894"/>
    <cellStyle name="Normal 44 3 3 2 27" xfId="49646"/>
    <cellStyle name="Normal 44 3 3 2 28" xfId="51398"/>
    <cellStyle name="Normal 44 3 3 2 29" xfId="53150"/>
    <cellStyle name="Normal 44 3 3 2 3" xfId="5851"/>
    <cellStyle name="Normal 44 3 3 2 30" xfId="54902"/>
    <cellStyle name="Normal 44 3 3 2 31" xfId="56654"/>
    <cellStyle name="Normal 44 3 3 2 32" xfId="58407"/>
    <cellStyle name="Normal 44 3 3 2 33" xfId="60159"/>
    <cellStyle name="Normal 44 3 3 2 34" xfId="61911"/>
    <cellStyle name="Normal 44 3 3 2 4" xfId="7603"/>
    <cellStyle name="Normal 44 3 3 2 5" xfId="9355"/>
    <cellStyle name="Normal 44 3 3 2 6" xfId="11108"/>
    <cellStyle name="Normal 44 3 3 2 7" xfId="12860"/>
    <cellStyle name="Normal 44 3 3 2 8" xfId="14612"/>
    <cellStyle name="Normal 44 3 3 2 9" xfId="16364"/>
    <cellStyle name="Normal 44 3 3 20" xfId="33012"/>
    <cellStyle name="Normal 44 3 3 21" xfId="34888"/>
    <cellStyle name="Normal 44 3 3 22" xfId="35648"/>
    <cellStyle name="Normal 44 3 3 23" xfId="37509"/>
    <cellStyle name="Normal 44 3 3 24" xfId="39141"/>
    <cellStyle name="Normal 44 3 3 25" xfId="40896"/>
    <cellStyle name="Normal 44 3 3 26" xfId="42648"/>
    <cellStyle name="Normal 44 3 3 27" xfId="44509"/>
    <cellStyle name="Normal 44 3 3 28" xfId="45266"/>
    <cellStyle name="Normal 44 3 3 29" xfId="47018"/>
    <cellStyle name="Normal 44 3 3 3" xfId="3223"/>
    <cellStyle name="Normal 44 3 3 30" xfId="48770"/>
    <cellStyle name="Normal 44 3 3 31" xfId="50522"/>
    <cellStyle name="Normal 44 3 3 32" xfId="52274"/>
    <cellStyle name="Normal 44 3 3 33" xfId="54026"/>
    <cellStyle name="Normal 44 3 3 34" xfId="55778"/>
    <cellStyle name="Normal 44 3 3 35" xfId="57531"/>
    <cellStyle name="Normal 44 3 3 36" xfId="59283"/>
    <cellStyle name="Normal 44 3 3 37" xfId="61035"/>
    <cellStyle name="Normal 44 3 3 38" xfId="62896"/>
    <cellStyle name="Normal 44 3 3 39" xfId="63762"/>
    <cellStyle name="Normal 44 3 3 4" xfId="4975"/>
    <cellStyle name="Normal 44 3 3 5" xfId="6727"/>
    <cellStyle name="Normal 44 3 3 6" xfId="8479"/>
    <cellStyle name="Normal 44 3 3 7" xfId="10232"/>
    <cellStyle name="Normal 44 3 3 8" xfId="11984"/>
    <cellStyle name="Normal 44 3 3 9" xfId="13736"/>
    <cellStyle name="Normal 44 3 30" xfId="44830"/>
    <cellStyle name="Normal 44 3 31" xfId="46582"/>
    <cellStyle name="Normal 44 3 32" xfId="48334"/>
    <cellStyle name="Normal 44 3 33" xfId="50086"/>
    <cellStyle name="Normal 44 3 34" xfId="51838"/>
    <cellStyle name="Normal 44 3 35" xfId="53590"/>
    <cellStyle name="Normal 44 3 36" xfId="55342"/>
    <cellStyle name="Normal 44 3 37" xfId="57095"/>
    <cellStyle name="Normal 44 3 38" xfId="58847"/>
    <cellStyle name="Normal 44 3 39" xfId="60599"/>
    <cellStyle name="Normal 44 3 4" xfId="1917"/>
    <cellStyle name="Normal 44 3 4 10" xfId="17681"/>
    <cellStyle name="Normal 44 3 4 11" xfId="19433"/>
    <cellStyle name="Normal 44 3 4 12" xfId="21186"/>
    <cellStyle name="Normal 44 3 4 13" xfId="22938"/>
    <cellStyle name="Normal 44 3 4 14" xfId="24690"/>
    <cellStyle name="Normal 44 3 4 15" xfId="26442"/>
    <cellStyle name="Normal 44 3 4 16" xfId="28194"/>
    <cellStyle name="Normal 44 3 4 17" xfId="29947"/>
    <cellStyle name="Normal 44 3 4 18" xfId="31699"/>
    <cellStyle name="Normal 44 3 4 19" xfId="33452"/>
    <cellStyle name="Normal 44 3 4 2" xfId="3663"/>
    <cellStyle name="Normal 44 3 4 20" xfId="36088"/>
    <cellStyle name="Normal 44 3 4 21" xfId="37828"/>
    <cellStyle name="Normal 44 3 4 22" xfId="39581"/>
    <cellStyle name="Normal 44 3 4 23" xfId="41336"/>
    <cellStyle name="Normal 44 3 4 24" xfId="43088"/>
    <cellStyle name="Normal 44 3 4 25" xfId="45706"/>
    <cellStyle name="Normal 44 3 4 26" xfId="47458"/>
    <cellStyle name="Normal 44 3 4 27" xfId="49210"/>
    <cellStyle name="Normal 44 3 4 28" xfId="50962"/>
    <cellStyle name="Normal 44 3 4 29" xfId="52714"/>
    <cellStyle name="Normal 44 3 4 3" xfId="5415"/>
    <cellStyle name="Normal 44 3 4 30" xfId="54466"/>
    <cellStyle name="Normal 44 3 4 31" xfId="56218"/>
    <cellStyle name="Normal 44 3 4 32" xfId="57971"/>
    <cellStyle name="Normal 44 3 4 33" xfId="59723"/>
    <cellStyle name="Normal 44 3 4 34" xfId="61475"/>
    <cellStyle name="Normal 44 3 4 4" xfId="7167"/>
    <cellStyle name="Normal 44 3 4 5" xfId="8919"/>
    <cellStyle name="Normal 44 3 4 6" xfId="10672"/>
    <cellStyle name="Normal 44 3 4 7" xfId="12424"/>
    <cellStyle name="Normal 44 3 4 8" xfId="14176"/>
    <cellStyle name="Normal 44 3 4 9" xfId="15928"/>
    <cellStyle name="Normal 44 3 40" xfId="62893"/>
    <cellStyle name="Normal 44 3 41" xfId="63759"/>
    <cellStyle name="Normal 44 3 5" xfId="2787"/>
    <cellStyle name="Normal 44 3 6" xfId="4539"/>
    <cellStyle name="Normal 44 3 7" xfId="6291"/>
    <cellStyle name="Normal 44 3 8" xfId="8043"/>
    <cellStyle name="Normal 44 3 9" xfId="9796"/>
    <cellStyle name="Normal 44 30" xfId="42104"/>
    <cellStyle name="Normal 44 31" xfId="44497"/>
    <cellStyle name="Normal 44 32" xfId="44722"/>
    <cellStyle name="Normal 44 33" xfId="46474"/>
    <cellStyle name="Normal 44 34" xfId="48226"/>
    <cellStyle name="Normal 44 35" xfId="49978"/>
    <cellStyle name="Normal 44 36" xfId="51730"/>
    <cellStyle name="Normal 44 37" xfId="53482"/>
    <cellStyle name="Normal 44 38" xfId="55234"/>
    <cellStyle name="Normal 44 39" xfId="56987"/>
    <cellStyle name="Normal 44 4" xfId="1918"/>
    <cellStyle name="Normal 44 4 10" xfId="13537"/>
    <cellStyle name="Normal 44 4 11" xfId="15289"/>
    <cellStyle name="Normal 44 4 12" xfId="17042"/>
    <cellStyle name="Normal 44 4 13" xfId="18794"/>
    <cellStyle name="Normal 44 4 14" xfId="20547"/>
    <cellStyle name="Normal 44 4 15" xfId="22299"/>
    <cellStyle name="Normal 44 4 16" xfId="24051"/>
    <cellStyle name="Normal 44 4 17" xfId="25803"/>
    <cellStyle name="Normal 44 4 18" xfId="27555"/>
    <cellStyle name="Normal 44 4 19" xfId="29308"/>
    <cellStyle name="Normal 44 4 2" xfId="1919"/>
    <cellStyle name="Normal 44 4 2 10" xfId="15725"/>
    <cellStyle name="Normal 44 4 2 11" xfId="17478"/>
    <cellStyle name="Normal 44 4 2 12" xfId="19230"/>
    <cellStyle name="Normal 44 4 2 13" xfId="20983"/>
    <cellStyle name="Normal 44 4 2 14" xfId="22735"/>
    <cellStyle name="Normal 44 4 2 15" xfId="24487"/>
    <cellStyle name="Normal 44 4 2 16" xfId="26239"/>
    <cellStyle name="Normal 44 4 2 17" xfId="27991"/>
    <cellStyle name="Normal 44 4 2 18" xfId="29744"/>
    <cellStyle name="Normal 44 4 2 19" xfId="31496"/>
    <cellStyle name="Normal 44 4 2 2" xfId="1920"/>
    <cellStyle name="Normal 44 4 2 2 10" xfId="18354"/>
    <cellStyle name="Normal 44 4 2 2 11" xfId="20106"/>
    <cellStyle name="Normal 44 4 2 2 12" xfId="21859"/>
    <cellStyle name="Normal 44 4 2 2 13" xfId="23611"/>
    <cellStyle name="Normal 44 4 2 2 14" xfId="25363"/>
    <cellStyle name="Normal 44 4 2 2 15" xfId="27115"/>
    <cellStyle name="Normal 44 4 2 2 16" xfId="28867"/>
    <cellStyle name="Normal 44 4 2 2 17" xfId="30620"/>
    <cellStyle name="Normal 44 4 2 2 18" xfId="32372"/>
    <cellStyle name="Normal 44 4 2 2 19" xfId="34125"/>
    <cellStyle name="Normal 44 4 2 2 2" xfId="4336"/>
    <cellStyle name="Normal 44 4 2 2 20" xfId="36761"/>
    <cellStyle name="Normal 44 4 2 2 21" xfId="38501"/>
    <cellStyle name="Normal 44 4 2 2 22" xfId="40254"/>
    <cellStyle name="Normal 44 4 2 2 23" xfId="42009"/>
    <cellStyle name="Normal 44 4 2 2 24" xfId="43761"/>
    <cellStyle name="Normal 44 4 2 2 25" xfId="46379"/>
    <cellStyle name="Normal 44 4 2 2 26" xfId="48131"/>
    <cellStyle name="Normal 44 4 2 2 27" xfId="49883"/>
    <cellStyle name="Normal 44 4 2 2 28" xfId="51635"/>
    <cellStyle name="Normal 44 4 2 2 29" xfId="53387"/>
    <cellStyle name="Normal 44 4 2 2 3" xfId="6088"/>
    <cellStyle name="Normal 44 4 2 2 30" xfId="55139"/>
    <cellStyle name="Normal 44 4 2 2 31" xfId="56891"/>
    <cellStyle name="Normal 44 4 2 2 32" xfId="58644"/>
    <cellStyle name="Normal 44 4 2 2 33" xfId="60396"/>
    <cellStyle name="Normal 44 4 2 2 34" xfId="62148"/>
    <cellStyle name="Normal 44 4 2 2 4" xfId="7840"/>
    <cellStyle name="Normal 44 4 2 2 5" xfId="9592"/>
    <cellStyle name="Normal 44 4 2 2 6" xfId="11345"/>
    <cellStyle name="Normal 44 4 2 2 7" xfId="13097"/>
    <cellStyle name="Normal 44 4 2 2 8" xfId="14849"/>
    <cellStyle name="Normal 44 4 2 2 9" xfId="16601"/>
    <cellStyle name="Normal 44 4 2 20" xfId="33249"/>
    <cellStyle name="Normal 44 4 2 21" xfId="34890"/>
    <cellStyle name="Normal 44 4 2 22" xfId="35885"/>
    <cellStyle name="Normal 44 4 2 23" xfId="37511"/>
    <cellStyle name="Normal 44 4 2 24" xfId="39378"/>
    <cellStyle name="Normal 44 4 2 25" xfId="41133"/>
    <cellStyle name="Normal 44 4 2 26" xfId="42885"/>
    <cellStyle name="Normal 44 4 2 27" xfId="44511"/>
    <cellStyle name="Normal 44 4 2 28" xfId="45503"/>
    <cellStyle name="Normal 44 4 2 29" xfId="47255"/>
    <cellStyle name="Normal 44 4 2 3" xfId="3460"/>
    <cellStyle name="Normal 44 4 2 30" xfId="49007"/>
    <cellStyle name="Normal 44 4 2 31" xfId="50759"/>
    <cellStyle name="Normal 44 4 2 32" xfId="52511"/>
    <cellStyle name="Normal 44 4 2 33" xfId="54263"/>
    <cellStyle name="Normal 44 4 2 34" xfId="56015"/>
    <cellStyle name="Normal 44 4 2 35" xfId="57768"/>
    <cellStyle name="Normal 44 4 2 36" xfId="59520"/>
    <cellStyle name="Normal 44 4 2 37" xfId="61272"/>
    <cellStyle name="Normal 44 4 2 38" xfId="62898"/>
    <cellStyle name="Normal 44 4 2 39" xfId="63764"/>
    <cellStyle name="Normal 44 4 2 4" xfId="5212"/>
    <cellStyle name="Normal 44 4 2 5" xfId="6964"/>
    <cellStyle name="Normal 44 4 2 6" xfId="8716"/>
    <cellStyle name="Normal 44 4 2 7" xfId="10469"/>
    <cellStyle name="Normal 44 4 2 8" xfId="12221"/>
    <cellStyle name="Normal 44 4 2 9" xfId="13973"/>
    <cellStyle name="Normal 44 4 20" xfId="31060"/>
    <cellStyle name="Normal 44 4 21" xfId="32813"/>
    <cellStyle name="Normal 44 4 22" xfId="34889"/>
    <cellStyle name="Normal 44 4 23" xfId="35449"/>
    <cellStyle name="Normal 44 4 24" xfId="37510"/>
    <cellStyle name="Normal 44 4 25" xfId="38942"/>
    <cellStyle name="Normal 44 4 26" xfId="40697"/>
    <cellStyle name="Normal 44 4 27" xfId="42449"/>
    <cellStyle name="Normal 44 4 28" xfId="44510"/>
    <cellStyle name="Normal 44 4 29" xfId="45067"/>
    <cellStyle name="Normal 44 4 3" xfId="1921"/>
    <cellStyle name="Normal 44 4 3 10" xfId="17918"/>
    <cellStyle name="Normal 44 4 3 11" xfId="19670"/>
    <cellStyle name="Normal 44 4 3 12" xfId="21423"/>
    <cellStyle name="Normal 44 4 3 13" xfId="23175"/>
    <cellStyle name="Normal 44 4 3 14" xfId="24927"/>
    <cellStyle name="Normal 44 4 3 15" xfId="26679"/>
    <cellStyle name="Normal 44 4 3 16" xfId="28431"/>
    <cellStyle name="Normal 44 4 3 17" xfId="30184"/>
    <cellStyle name="Normal 44 4 3 18" xfId="31936"/>
    <cellStyle name="Normal 44 4 3 19" xfId="33689"/>
    <cellStyle name="Normal 44 4 3 2" xfId="3900"/>
    <cellStyle name="Normal 44 4 3 20" xfId="36325"/>
    <cellStyle name="Normal 44 4 3 21" xfId="38065"/>
    <cellStyle name="Normal 44 4 3 22" xfId="39818"/>
    <cellStyle name="Normal 44 4 3 23" xfId="41573"/>
    <cellStyle name="Normal 44 4 3 24" xfId="43325"/>
    <cellStyle name="Normal 44 4 3 25" xfId="45943"/>
    <cellStyle name="Normal 44 4 3 26" xfId="47695"/>
    <cellStyle name="Normal 44 4 3 27" xfId="49447"/>
    <cellStyle name="Normal 44 4 3 28" xfId="51199"/>
    <cellStyle name="Normal 44 4 3 29" xfId="52951"/>
    <cellStyle name="Normal 44 4 3 3" xfId="5652"/>
    <cellStyle name="Normal 44 4 3 30" xfId="54703"/>
    <cellStyle name="Normal 44 4 3 31" xfId="56455"/>
    <cellStyle name="Normal 44 4 3 32" xfId="58208"/>
    <cellStyle name="Normal 44 4 3 33" xfId="59960"/>
    <cellStyle name="Normal 44 4 3 34" xfId="61712"/>
    <cellStyle name="Normal 44 4 3 4" xfId="7404"/>
    <cellStyle name="Normal 44 4 3 5" xfId="9156"/>
    <cellStyle name="Normal 44 4 3 6" xfId="10909"/>
    <cellStyle name="Normal 44 4 3 7" xfId="12661"/>
    <cellStyle name="Normal 44 4 3 8" xfId="14413"/>
    <cellStyle name="Normal 44 4 3 9" xfId="16165"/>
    <cellStyle name="Normal 44 4 30" xfId="46819"/>
    <cellStyle name="Normal 44 4 31" xfId="48571"/>
    <cellStyle name="Normal 44 4 32" xfId="50323"/>
    <cellStyle name="Normal 44 4 33" xfId="52075"/>
    <cellStyle name="Normal 44 4 34" xfId="53827"/>
    <cellStyle name="Normal 44 4 35" xfId="55579"/>
    <cellStyle name="Normal 44 4 36" xfId="57332"/>
    <cellStyle name="Normal 44 4 37" xfId="59084"/>
    <cellStyle name="Normal 44 4 38" xfId="60836"/>
    <cellStyle name="Normal 44 4 39" xfId="62897"/>
    <cellStyle name="Normal 44 4 4" xfId="3024"/>
    <cellStyle name="Normal 44 4 40" xfId="63763"/>
    <cellStyle name="Normal 44 4 5" xfId="4776"/>
    <cellStyle name="Normal 44 4 6" xfId="6528"/>
    <cellStyle name="Normal 44 4 7" xfId="8280"/>
    <cellStyle name="Normal 44 4 8" xfId="10033"/>
    <cellStyle name="Normal 44 4 9" xfId="11785"/>
    <cellStyle name="Normal 44 40" xfId="58739"/>
    <cellStyle name="Normal 44 41" xfId="60491"/>
    <cellStyle name="Normal 44 42" xfId="62884"/>
    <cellStyle name="Normal 44 43" xfId="63750"/>
    <cellStyle name="Normal 44 5" xfId="1922"/>
    <cellStyle name="Normal 44 5 10" xfId="15380"/>
    <cellStyle name="Normal 44 5 11" xfId="17133"/>
    <cellStyle name="Normal 44 5 12" xfId="18885"/>
    <cellStyle name="Normal 44 5 13" xfId="20638"/>
    <cellStyle name="Normal 44 5 14" xfId="22390"/>
    <cellStyle name="Normal 44 5 15" xfId="24142"/>
    <cellStyle name="Normal 44 5 16" xfId="25894"/>
    <cellStyle name="Normal 44 5 17" xfId="27646"/>
    <cellStyle name="Normal 44 5 18" xfId="29399"/>
    <cellStyle name="Normal 44 5 19" xfId="31151"/>
    <cellStyle name="Normal 44 5 2" xfId="1923"/>
    <cellStyle name="Normal 44 5 2 10" xfId="18009"/>
    <cellStyle name="Normal 44 5 2 11" xfId="19761"/>
    <cellStyle name="Normal 44 5 2 12" xfId="21514"/>
    <cellStyle name="Normal 44 5 2 13" xfId="23266"/>
    <cellStyle name="Normal 44 5 2 14" xfId="25018"/>
    <cellStyle name="Normal 44 5 2 15" xfId="26770"/>
    <cellStyle name="Normal 44 5 2 16" xfId="28522"/>
    <cellStyle name="Normal 44 5 2 17" xfId="30275"/>
    <cellStyle name="Normal 44 5 2 18" xfId="32027"/>
    <cellStyle name="Normal 44 5 2 19" xfId="33780"/>
    <cellStyle name="Normal 44 5 2 2" xfId="3991"/>
    <cellStyle name="Normal 44 5 2 20" xfId="36416"/>
    <cellStyle name="Normal 44 5 2 21" xfId="38156"/>
    <cellStyle name="Normal 44 5 2 22" xfId="39909"/>
    <cellStyle name="Normal 44 5 2 23" xfId="41664"/>
    <cellStyle name="Normal 44 5 2 24" xfId="43416"/>
    <cellStyle name="Normal 44 5 2 25" xfId="46034"/>
    <cellStyle name="Normal 44 5 2 26" xfId="47786"/>
    <cellStyle name="Normal 44 5 2 27" xfId="49538"/>
    <cellStyle name="Normal 44 5 2 28" xfId="51290"/>
    <cellStyle name="Normal 44 5 2 29" xfId="53042"/>
    <cellStyle name="Normal 44 5 2 3" xfId="5743"/>
    <cellStyle name="Normal 44 5 2 30" xfId="54794"/>
    <cellStyle name="Normal 44 5 2 31" xfId="56546"/>
    <cellStyle name="Normal 44 5 2 32" xfId="58299"/>
    <cellStyle name="Normal 44 5 2 33" xfId="60051"/>
    <cellStyle name="Normal 44 5 2 34" xfId="61803"/>
    <cellStyle name="Normal 44 5 2 4" xfId="7495"/>
    <cellStyle name="Normal 44 5 2 5" xfId="9247"/>
    <cellStyle name="Normal 44 5 2 6" xfId="11000"/>
    <cellStyle name="Normal 44 5 2 7" xfId="12752"/>
    <cellStyle name="Normal 44 5 2 8" xfId="14504"/>
    <cellStyle name="Normal 44 5 2 9" xfId="16256"/>
    <cellStyle name="Normal 44 5 20" xfId="32904"/>
    <cellStyle name="Normal 44 5 21" xfId="34891"/>
    <cellStyle name="Normal 44 5 22" xfId="35540"/>
    <cellStyle name="Normal 44 5 23" xfId="37512"/>
    <cellStyle name="Normal 44 5 24" xfId="39033"/>
    <cellStyle name="Normal 44 5 25" xfId="40788"/>
    <cellStyle name="Normal 44 5 26" xfId="42540"/>
    <cellStyle name="Normal 44 5 27" xfId="44512"/>
    <cellStyle name="Normal 44 5 28" xfId="45158"/>
    <cellStyle name="Normal 44 5 29" xfId="46910"/>
    <cellStyle name="Normal 44 5 3" xfId="3115"/>
    <cellStyle name="Normal 44 5 30" xfId="48662"/>
    <cellStyle name="Normal 44 5 31" xfId="50414"/>
    <cellStyle name="Normal 44 5 32" xfId="52166"/>
    <cellStyle name="Normal 44 5 33" xfId="53918"/>
    <cellStyle name="Normal 44 5 34" xfId="55670"/>
    <cellStyle name="Normal 44 5 35" xfId="57423"/>
    <cellStyle name="Normal 44 5 36" xfId="59175"/>
    <cellStyle name="Normal 44 5 37" xfId="60927"/>
    <cellStyle name="Normal 44 5 38" xfId="62899"/>
    <cellStyle name="Normal 44 5 39" xfId="63765"/>
    <cellStyle name="Normal 44 5 4" xfId="4867"/>
    <cellStyle name="Normal 44 5 5" xfId="6619"/>
    <cellStyle name="Normal 44 5 6" xfId="8371"/>
    <cellStyle name="Normal 44 5 7" xfId="10124"/>
    <cellStyle name="Normal 44 5 8" xfId="11876"/>
    <cellStyle name="Normal 44 5 9" xfId="13628"/>
    <cellStyle name="Normal 44 6" xfId="1924"/>
    <cellStyle name="Normal 44 6 10" xfId="17573"/>
    <cellStyle name="Normal 44 6 11" xfId="19325"/>
    <cellStyle name="Normal 44 6 12" xfId="21078"/>
    <cellStyle name="Normal 44 6 13" xfId="22830"/>
    <cellStyle name="Normal 44 6 14" xfId="24582"/>
    <cellStyle name="Normal 44 6 15" xfId="26334"/>
    <cellStyle name="Normal 44 6 16" xfId="28086"/>
    <cellStyle name="Normal 44 6 17" xfId="29839"/>
    <cellStyle name="Normal 44 6 18" xfId="31591"/>
    <cellStyle name="Normal 44 6 19" xfId="33344"/>
    <cellStyle name="Normal 44 6 2" xfId="3555"/>
    <cellStyle name="Normal 44 6 20" xfId="35980"/>
    <cellStyle name="Normal 44 6 21" xfId="37716"/>
    <cellStyle name="Normal 44 6 22" xfId="39473"/>
    <cellStyle name="Normal 44 6 23" xfId="41228"/>
    <cellStyle name="Normal 44 6 24" xfId="42980"/>
    <cellStyle name="Normal 44 6 25" xfId="45598"/>
    <cellStyle name="Normal 44 6 26" xfId="47350"/>
    <cellStyle name="Normal 44 6 27" xfId="49102"/>
    <cellStyle name="Normal 44 6 28" xfId="50854"/>
    <cellStyle name="Normal 44 6 29" xfId="52606"/>
    <cellStyle name="Normal 44 6 3" xfId="5307"/>
    <cellStyle name="Normal 44 6 30" xfId="54358"/>
    <cellStyle name="Normal 44 6 31" xfId="56110"/>
    <cellStyle name="Normal 44 6 32" xfId="57863"/>
    <cellStyle name="Normal 44 6 33" xfId="59615"/>
    <cellStyle name="Normal 44 6 34" xfId="61367"/>
    <cellStyle name="Normal 44 6 4" xfId="7059"/>
    <cellStyle name="Normal 44 6 5" xfId="8811"/>
    <cellStyle name="Normal 44 6 6" xfId="10564"/>
    <cellStyle name="Normal 44 6 7" xfId="12316"/>
    <cellStyle name="Normal 44 6 8" xfId="14068"/>
    <cellStyle name="Normal 44 6 9" xfId="15820"/>
    <cellStyle name="Normal 44 7" xfId="2679"/>
    <cellStyle name="Normal 44 8" xfId="4431"/>
    <cellStyle name="Normal 44 9" xfId="6183"/>
    <cellStyle name="Normal 45" xfId="1925"/>
    <cellStyle name="Normal 45 10" xfId="7936"/>
    <cellStyle name="Normal 45 11" xfId="9689"/>
    <cellStyle name="Normal 45 12" xfId="11441"/>
    <cellStyle name="Normal 45 13" xfId="13193"/>
    <cellStyle name="Normal 45 14" xfId="14945"/>
    <cellStyle name="Normal 45 15" xfId="16698"/>
    <cellStyle name="Normal 45 16" xfId="18450"/>
    <cellStyle name="Normal 45 17" xfId="20203"/>
    <cellStyle name="Normal 45 18" xfId="21955"/>
    <cellStyle name="Normal 45 19" xfId="23707"/>
    <cellStyle name="Normal 45 2" xfId="1926"/>
    <cellStyle name="Normal 45 2 10" xfId="9744"/>
    <cellStyle name="Normal 45 2 11" xfId="11496"/>
    <cellStyle name="Normal 45 2 12" xfId="13248"/>
    <cellStyle name="Normal 45 2 13" xfId="15000"/>
    <cellStyle name="Normal 45 2 14" xfId="16753"/>
    <cellStyle name="Normal 45 2 15" xfId="18505"/>
    <cellStyle name="Normal 45 2 16" xfId="20258"/>
    <cellStyle name="Normal 45 2 17" xfId="22010"/>
    <cellStyle name="Normal 45 2 18" xfId="23762"/>
    <cellStyle name="Normal 45 2 19" xfId="25514"/>
    <cellStyle name="Normal 45 2 2" xfId="1927"/>
    <cellStyle name="Normal 45 2 2 10" xfId="11604"/>
    <cellStyle name="Normal 45 2 2 11" xfId="13356"/>
    <cellStyle name="Normal 45 2 2 12" xfId="15108"/>
    <cellStyle name="Normal 45 2 2 13" xfId="16861"/>
    <cellStyle name="Normal 45 2 2 14" xfId="18613"/>
    <cellStyle name="Normal 45 2 2 15" xfId="20366"/>
    <cellStyle name="Normal 45 2 2 16" xfId="22118"/>
    <cellStyle name="Normal 45 2 2 17" xfId="23870"/>
    <cellStyle name="Normal 45 2 2 18" xfId="25622"/>
    <cellStyle name="Normal 45 2 2 19" xfId="27374"/>
    <cellStyle name="Normal 45 2 2 2" xfId="1928"/>
    <cellStyle name="Normal 45 2 2 2 10" xfId="13538"/>
    <cellStyle name="Normal 45 2 2 2 11" xfId="15290"/>
    <cellStyle name="Normal 45 2 2 2 12" xfId="17043"/>
    <cellStyle name="Normal 45 2 2 2 13" xfId="18795"/>
    <cellStyle name="Normal 45 2 2 2 14" xfId="20548"/>
    <cellStyle name="Normal 45 2 2 2 15" xfId="22300"/>
    <cellStyle name="Normal 45 2 2 2 16" xfId="24052"/>
    <cellStyle name="Normal 45 2 2 2 17" xfId="25804"/>
    <cellStyle name="Normal 45 2 2 2 18" xfId="27556"/>
    <cellStyle name="Normal 45 2 2 2 19" xfId="29309"/>
    <cellStyle name="Normal 45 2 2 2 2" xfId="1929"/>
    <cellStyle name="Normal 45 2 2 2 2 10" xfId="15726"/>
    <cellStyle name="Normal 45 2 2 2 2 11" xfId="17479"/>
    <cellStyle name="Normal 45 2 2 2 2 12" xfId="19231"/>
    <cellStyle name="Normal 45 2 2 2 2 13" xfId="20984"/>
    <cellStyle name="Normal 45 2 2 2 2 14" xfId="22736"/>
    <cellStyle name="Normal 45 2 2 2 2 15" xfId="24488"/>
    <cellStyle name="Normal 45 2 2 2 2 16" xfId="26240"/>
    <cellStyle name="Normal 45 2 2 2 2 17" xfId="27992"/>
    <cellStyle name="Normal 45 2 2 2 2 18" xfId="29745"/>
    <cellStyle name="Normal 45 2 2 2 2 19" xfId="31497"/>
    <cellStyle name="Normal 45 2 2 2 2 2" xfId="1930"/>
    <cellStyle name="Normal 45 2 2 2 2 2 10" xfId="18355"/>
    <cellStyle name="Normal 45 2 2 2 2 2 11" xfId="20107"/>
    <cellStyle name="Normal 45 2 2 2 2 2 12" xfId="21860"/>
    <cellStyle name="Normal 45 2 2 2 2 2 13" xfId="23612"/>
    <cellStyle name="Normal 45 2 2 2 2 2 14" xfId="25364"/>
    <cellStyle name="Normal 45 2 2 2 2 2 15" xfId="27116"/>
    <cellStyle name="Normal 45 2 2 2 2 2 16" xfId="28868"/>
    <cellStyle name="Normal 45 2 2 2 2 2 17" xfId="30621"/>
    <cellStyle name="Normal 45 2 2 2 2 2 18" xfId="32373"/>
    <cellStyle name="Normal 45 2 2 2 2 2 19" xfId="34126"/>
    <cellStyle name="Normal 45 2 2 2 2 2 2" xfId="4337"/>
    <cellStyle name="Normal 45 2 2 2 2 2 20" xfId="36762"/>
    <cellStyle name="Normal 45 2 2 2 2 2 21" xfId="38502"/>
    <cellStyle name="Normal 45 2 2 2 2 2 22" xfId="40255"/>
    <cellStyle name="Normal 45 2 2 2 2 2 23" xfId="42010"/>
    <cellStyle name="Normal 45 2 2 2 2 2 24" xfId="43762"/>
    <cellStyle name="Normal 45 2 2 2 2 2 25" xfId="46380"/>
    <cellStyle name="Normal 45 2 2 2 2 2 26" xfId="48132"/>
    <cellStyle name="Normal 45 2 2 2 2 2 27" xfId="49884"/>
    <cellStyle name="Normal 45 2 2 2 2 2 28" xfId="51636"/>
    <cellStyle name="Normal 45 2 2 2 2 2 29" xfId="53388"/>
    <cellStyle name="Normal 45 2 2 2 2 2 3" xfId="6089"/>
    <cellStyle name="Normal 45 2 2 2 2 2 30" xfId="55140"/>
    <cellStyle name="Normal 45 2 2 2 2 2 31" xfId="56892"/>
    <cellStyle name="Normal 45 2 2 2 2 2 32" xfId="58645"/>
    <cellStyle name="Normal 45 2 2 2 2 2 33" xfId="60397"/>
    <cellStyle name="Normal 45 2 2 2 2 2 34" xfId="62149"/>
    <cellStyle name="Normal 45 2 2 2 2 2 4" xfId="7841"/>
    <cellStyle name="Normal 45 2 2 2 2 2 5" xfId="9593"/>
    <cellStyle name="Normal 45 2 2 2 2 2 6" xfId="11346"/>
    <cellStyle name="Normal 45 2 2 2 2 2 7" xfId="13098"/>
    <cellStyle name="Normal 45 2 2 2 2 2 8" xfId="14850"/>
    <cellStyle name="Normal 45 2 2 2 2 2 9" xfId="16602"/>
    <cellStyle name="Normal 45 2 2 2 2 20" xfId="33250"/>
    <cellStyle name="Normal 45 2 2 2 2 21" xfId="34896"/>
    <cellStyle name="Normal 45 2 2 2 2 22" xfId="35886"/>
    <cellStyle name="Normal 45 2 2 2 2 23" xfId="37517"/>
    <cellStyle name="Normal 45 2 2 2 2 24" xfId="39379"/>
    <cellStyle name="Normal 45 2 2 2 2 25" xfId="41134"/>
    <cellStyle name="Normal 45 2 2 2 2 26" xfId="42886"/>
    <cellStyle name="Normal 45 2 2 2 2 27" xfId="44517"/>
    <cellStyle name="Normal 45 2 2 2 2 28" xfId="45504"/>
    <cellStyle name="Normal 45 2 2 2 2 29" xfId="47256"/>
    <cellStyle name="Normal 45 2 2 2 2 3" xfId="3461"/>
    <cellStyle name="Normal 45 2 2 2 2 30" xfId="49008"/>
    <cellStyle name="Normal 45 2 2 2 2 31" xfId="50760"/>
    <cellStyle name="Normal 45 2 2 2 2 32" xfId="52512"/>
    <cellStyle name="Normal 45 2 2 2 2 33" xfId="54264"/>
    <cellStyle name="Normal 45 2 2 2 2 34" xfId="56016"/>
    <cellStyle name="Normal 45 2 2 2 2 35" xfId="57769"/>
    <cellStyle name="Normal 45 2 2 2 2 36" xfId="59521"/>
    <cellStyle name="Normal 45 2 2 2 2 37" xfId="61273"/>
    <cellStyle name="Normal 45 2 2 2 2 38" xfId="62904"/>
    <cellStyle name="Normal 45 2 2 2 2 39" xfId="63770"/>
    <cellStyle name="Normal 45 2 2 2 2 4" xfId="5213"/>
    <cellStyle name="Normal 45 2 2 2 2 5" xfId="6965"/>
    <cellStyle name="Normal 45 2 2 2 2 6" xfId="8717"/>
    <cellStyle name="Normal 45 2 2 2 2 7" xfId="10470"/>
    <cellStyle name="Normal 45 2 2 2 2 8" xfId="12222"/>
    <cellStyle name="Normal 45 2 2 2 2 9" xfId="13974"/>
    <cellStyle name="Normal 45 2 2 2 20" xfId="31061"/>
    <cellStyle name="Normal 45 2 2 2 21" xfId="32814"/>
    <cellStyle name="Normal 45 2 2 2 22" xfId="34895"/>
    <cellStyle name="Normal 45 2 2 2 23" xfId="35450"/>
    <cellStyle name="Normal 45 2 2 2 24" xfId="37516"/>
    <cellStyle name="Normal 45 2 2 2 25" xfId="38943"/>
    <cellStyle name="Normal 45 2 2 2 26" xfId="40698"/>
    <cellStyle name="Normal 45 2 2 2 27" xfId="42450"/>
    <cellStyle name="Normal 45 2 2 2 28" xfId="44516"/>
    <cellStyle name="Normal 45 2 2 2 29" xfId="45068"/>
    <cellStyle name="Normal 45 2 2 2 3" xfId="1931"/>
    <cellStyle name="Normal 45 2 2 2 3 10" xfId="17919"/>
    <cellStyle name="Normal 45 2 2 2 3 11" xfId="19671"/>
    <cellStyle name="Normal 45 2 2 2 3 12" xfId="21424"/>
    <cellStyle name="Normal 45 2 2 2 3 13" xfId="23176"/>
    <cellStyle name="Normal 45 2 2 2 3 14" xfId="24928"/>
    <cellStyle name="Normal 45 2 2 2 3 15" xfId="26680"/>
    <cellStyle name="Normal 45 2 2 2 3 16" xfId="28432"/>
    <cellStyle name="Normal 45 2 2 2 3 17" xfId="30185"/>
    <cellStyle name="Normal 45 2 2 2 3 18" xfId="31937"/>
    <cellStyle name="Normal 45 2 2 2 3 19" xfId="33690"/>
    <cellStyle name="Normal 45 2 2 2 3 2" xfId="3901"/>
    <cellStyle name="Normal 45 2 2 2 3 20" xfId="36326"/>
    <cellStyle name="Normal 45 2 2 2 3 21" xfId="38066"/>
    <cellStyle name="Normal 45 2 2 2 3 22" xfId="39819"/>
    <cellStyle name="Normal 45 2 2 2 3 23" xfId="41574"/>
    <cellStyle name="Normal 45 2 2 2 3 24" xfId="43326"/>
    <cellStyle name="Normal 45 2 2 2 3 25" xfId="45944"/>
    <cellStyle name="Normal 45 2 2 2 3 26" xfId="47696"/>
    <cellStyle name="Normal 45 2 2 2 3 27" xfId="49448"/>
    <cellStyle name="Normal 45 2 2 2 3 28" xfId="51200"/>
    <cellStyle name="Normal 45 2 2 2 3 29" xfId="52952"/>
    <cellStyle name="Normal 45 2 2 2 3 3" xfId="5653"/>
    <cellStyle name="Normal 45 2 2 2 3 30" xfId="54704"/>
    <cellStyle name="Normal 45 2 2 2 3 31" xfId="56456"/>
    <cellStyle name="Normal 45 2 2 2 3 32" xfId="58209"/>
    <cellStyle name="Normal 45 2 2 2 3 33" xfId="59961"/>
    <cellStyle name="Normal 45 2 2 2 3 34" xfId="61713"/>
    <cellStyle name="Normal 45 2 2 2 3 4" xfId="7405"/>
    <cellStyle name="Normal 45 2 2 2 3 5" xfId="9157"/>
    <cellStyle name="Normal 45 2 2 2 3 6" xfId="10910"/>
    <cellStyle name="Normal 45 2 2 2 3 7" xfId="12662"/>
    <cellStyle name="Normal 45 2 2 2 3 8" xfId="14414"/>
    <cellStyle name="Normal 45 2 2 2 3 9" xfId="16166"/>
    <cellStyle name="Normal 45 2 2 2 30" xfId="46820"/>
    <cellStyle name="Normal 45 2 2 2 31" xfId="48572"/>
    <cellStyle name="Normal 45 2 2 2 32" xfId="50324"/>
    <cellStyle name="Normal 45 2 2 2 33" xfId="52076"/>
    <cellStyle name="Normal 45 2 2 2 34" xfId="53828"/>
    <cellStyle name="Normal 45 2 2 2 35" xfId="55580"/>
    <cellStyle name="Normal 45 2 2 2 36" xfId="57333"/>
    <cellStyle name="Normal 45 2 2 2 37" xfId="59085"/>
    <cellStyle name="Normal 45 2 2 2 38" xfId="60837"/>
    <cellStyle name="Normal 45 2 2 2 39" xfId="62903"/>
    <cellStyle name="Normal 45 2 2 2 4" xfId="3025"/>
    <cellStyle name="Normal 45 2 2 2 40" xfId="63769"/>
    <cellStyle name="Normal 45 2 2 2 5" xfId="4777"/>
    <cellStyle name="Normal 45 2 2 2 6" xfId="6529"/>
    <cellStyle name="Normal 45 2 2 2 7" xfId="8281"/>
    <cellStyle name="Normal 45 2 2 2 8" xfId="10034"/>
    <cellStyle name="Normal 45 2 2 2 9" xfId="11786"/>
    <cellStyle name="Normal 45 2 2 20" xfId="29127"/>
    <cellStyle name="Normal 45 2 2 21" xfId="30879"/>
    <cellStyle name="Normal 45 2 2 22" xfId="32632"/>
    <cellStyle name="Normal 45 2 2 23" xfId="34894"/>
    <cellStyle name="Normal 45 2 2 24" xfId="35268"/>
    <cellStyle name="Normal 45 2 2 25" xfId="37515"/>
    <cellStyle name="Normal 45 2 2 26" xfId="38761"/>
    <cellStyle name="Normal 45 2 2 27" xfId="40516"/>
    <cellStyle name="Normal 45 2 2 28" xfId="42268"/>
    <cellStyle name="Normal 45 2 2 29" xfId="44515"/>
    <cellStyle name="Normal 45 2 2 3" xfId="1932"/>
    <cellStyle name="Normal 45 2 2 3 10" xfId="15544"/>
    <cellStyle name="Normal 45 2 2 3 11" xfId="17297"/>
    <cellStyle name="Normal 45 2 2 3 12" xfId="19049"/>
    <cellStyle name="Normal 45 2 2 3 13" xfId="20802"/>
    <cellStyle name="Normal 45 2 2 3 14" xfId="22554"/>
    <cellStyle name="Normal 45 2 2 3 15" xfId="24306"/>
    <cellStyle name="Normal 45 2 2 3 16" xfId="26058"/>
    <cellStyle name="Normal 45 2 2 3 17" xfId="27810"/>
    <cellStyle name="Normal 45 2 2 3 18" xfId="29563"/>
    <cellStyle name="Normal 45 2 2 3 19" xfId="31315"/>
    <cellStyle name="Normal 45 2 2 3 2" xfId="1933"/>
    <cellStyle name="Normal 45 2 2 3 2 10" xfId="18173"/>
    <cellStyle name="Normal 45 2 2 3 2 11" xfId="19925"/>
    <cellStyle name="Normal 45 2 2 3 2 12" xfId="21678"/>
    <cellStyle name="Normal 45 2 2 3 2 13" xfId="23430"/>
    <cellStyle name="Normal 45 2 2 3 2 14" xfId="25182"/>
    <cellStyle name="Normal 45 2 2 3 2 15" xfId="26934"/>
    <cellStyle name="Normal 45 2 2 3 2 16" xfId="28686"/>
    <cellStyle name="Normal 45 2 2 3 2 17" xfId="30439"/>
    <cellStyle name="Normal 45 2 2 3 2 18" xfId="32191"/>
    <cellStyle name="Normal 45 2 2 3 2 19" xfId="33944"/>
    <cellStyle name="Normal 45 2 2 3 2 2" xfId="4155"/>
    <cellStyle name="Normal 45 2 2 3 2 20" xfId="36580"/>
    <cellStyle name="Normal 45 2 2 3 2 21" xfId="38320"/>
    <cellStyle name="Normal 45 2 2 3 2 22" xfId="40073"/>
    <cellStyle name="Normal 45 2 2 3 2 23" xfId="41828"/>
    <cellStyle name="Normal 45 2 2 3 2 24" xfId="43580"/>
    <cellStyle name="Normal 45 2 2 3 2 25" xfId="46198"/>
    <cellStyle name="Normal 45 2 2 3 2 26" xfId="47950"/>
    <cellStyle name="Normal 45 2 2 3 2 27" xfId="49702"/>
    <cellStyle name="Normal 45 2 2 3 2 28" xfId="51454"/>
    <cellStyle name="Normal 45 2 2 3 2 29" xfId="53206"/>
    <cellStyle name="Normal 45 2 2 3 2 3" xfId="5907"/>
    <cellStyle name="Normal 45 2 2 3 2 30" xfId="54958"/>
    <cellStyle name="Normal 45 2 2 3 2 31" xfId="56710"/>
    <cellStyle name="Normal 45 2 2 3 2 32" xfId="58463"/>
    <cellStyle name="Normal 45 2 2 3 2 33" xfId="60215"/>
    <cellStyle name="Normal 45 2 2 3 2 34" xfId="61967"/>
    <cellStyle name="Normal 45 2 2 3 2 4" xfId="7659"/>
    <cellStyle name="Normal 45 2 2 3 2 5" xfId="9411"/>
    <cellStyle name="Normal 45 2 2 3 2 6" xfId="11164"/>
    <cellStyle name="Normal 45 2 2 3 2 7" xfId="12916"/>
    <cellStyle name="Normal 45 2 2 3 2 8" xfId="14668"/>
    <cellStyle name="Normal 45 2 2 3 2 9" xfId="16420"/>
    <cellStyle name="Normal 45 2 2 3 20" xfId="33068"/>
    <cellStyle name="Normal 45 2 2 3 21" xfId="34897"/>
    <cellStyle name="Normal 45 2 2 3 22" xfId="35704"/>
    <cellStyle name="Normal 45 2 2 3 23" xfId="37518"/>
    <cellStyle name="Normal 45 2 2 3 24" xfId="39197"/>
    <cellStyle name="Normal 45 2 2 3 25" xfId="40952"/>
    <cellStyle name="Normal 45 2 2 3 26" xfId="42704"/>
    <cellStyle name="Normal 45 2 2 3 27" xfId="44518"/>
    <cellStyle name="Normal 45 2 2 3 28" xfId="45322"/>
    <cellStyle name="Normal 45 2 2 3 29" xfId="47074"/>
    <cellStyle name="Normal 45 2 2 3 3" xfId="3279"/>
    <cellStyle name="Normal 45 2 2 3 30" xfId="48826"/>
    <cellStyle name="Normal 45 2 2 3 31" xfId="50578"/>
    <cellStyle name="Normal 45 2 2 3 32" xfId="52330"/>
    <cellStyle name="Normal 45 2 2 3 33" xfId="54082"/>
    <cellStyle name="Normal 45 2 2 3 34" xfId="55834"/>
    <cellStyle name="Normal 45 2 2 3 35" xfId="57587"/>
    <cellStyle name="Normal 45 2 2 3 36" xfId="59339"/>
    <cellStyle name="Normal 45 2 2 3 37" xfId="61091"/>
    <cellStyle name="Normal 45 2 2 3 38" xfId="62905"/>
    <cellStyle name="Normal 45 2 2 3 39" xfId="63771"/>
    <cellStyle name="Normal 45 2 2 3 4" xfId="5031"/>
    <cellStyle name="Normal 45 2 2 3 5" xfId="6783"/>
    <cellStyle name="Normal 45 2 2 3 6" xfId="8535"/>
    <cellStyle name="Normal 45 2 2 3 7" xfId="10288"/>
    <cellStyle name="Normal 45 2 2 3 8" xfId="12040"/>
    <cellStyle name="Normal 45 2 2 3 9" xfId="13792"/>
    <cellStyle name="Normal 45 2 2 30" xfId="44886"/>
    <cellStyle name="Normal 45 2 2 31" xfId="46638"/>
    <cellStyle name="Normal 45 2 2 32" xfId="48390"/>
    <cellStyle name="Normal 45 2 2 33" xfId="50142"/>
    <cellStyle name="Normal 45 2 2 34" xfId="51894"/>
    <cellStyle name="Normal 45 2 2 35" xfId="53646"/>
    <cellStyle name="Normal 45 2 2 36" xfId="55398"/>
    <cellStyle name="Normal 45 2 2 37" xfId="57151"/>
    <cellStyle name="Normal 45 2 2 38" xfId="58903"/>
    <cellStyle name="Normal 45 2 2 39" xfId="60655"/>
    <cellStyle name="Normal 45 2 2 4" xfId="1934"/>
    <cellStyle name="Normal 45 2 2 4 10" xfId="17737"/>
    <cellStyle name="Normal 45 2 2 4 11" xfId="19489"/>
    <cellStyle name="Normal 45 2 2 4 12" xfId="21242"/>
    <cellStyle name="Normal 45 2 2 4 13" xfId="22994"/>
    <cellStyle name="Normal 45 2 2 4 14" xfId="24746"/>
    <cellStyle name="Normal 45 2 2 4 15" xfId="26498"/>
    <cellStyle name="Normal 45 2 2 4 16" xfId="28250"/>
    <cellStyle name="Normal 45 2 2 4 17" xfId="30003"/>
    <cellStyle name="Normal 45 2 2 4 18" xfId="31755"/>
    <cellStyle name="Normal 45 2 2 4 19" xfId="33508"/>
    <cellStyle name="Normal 45 2 2 4 2" xfId="3719"/>
    <cellStyle name="Normal 45 2 2 4 20" xfId="36144"/>
    <cellStyle name="Normal 45 2 2 4 21" xfId="37884"/>
    <cellStyle name="Normal 45 2 2 4 22" xfId="39637"/>
    <cellStyle name="Normal 45 2 2 4 23" xfId="41392"/>
    <cellStyle name="Normal 45 2 2 4 24" xfId="43144"/>
    <cellStyle name="Normal 45 2 2 4 25" xfId="45762"/>
    <cellStyle name="Normal 45 2 2 4 26" xfId="47514"/>
    <cellStyle name="Normal 45 2 2 4 27" xfId="49266"/>
    <cellStyle name="Normal 45 2 2 4 28" xfId="51018"/>
    <cellStyle name="Normal 45 2 2 4 29" xfId="52770"/>
    <cellStyle name="Normal 45 2 2 4 3" xfId="5471"/>
    <cellStyle name="Normal 45 2 2 4 30" xfId="54522"/>
    <cellStyle name="Normal 45 2 2 4 31" xfId="56274"/>
    <cellStyle name="Normal 45 2 2 4 32" xfId="58027"/>
    <cellStyle name="Normal 45 2 2 4 33" xfId="59779"/>
    <cellStyle name="Normal 45 2 2 4 34" xfId="61531"/>
    <cellStyle name="Normal 45 2 2 4 4" xfId="7223"/>
    <cellStyle name="Normal 45 2 2 4 5" xfId="8975"/>
    <cellStyle name="Normal 45 2 2 4 6" xfId="10728"/>
    <cellStyle name="Normal 45 2 2 4 7" xfId="12480"/>
    <cellStyle name="Normal 45 2 2 4 8" xfId="14232"/>
    <cellStyle name="Normal 45 2 2 4 9" xfId="15984"/>
    <cellStyle name="Normal 45 2 2 40" xfId="62902"/>
    <cellStyle name="Normal 45 2 2 41" xfId="63768"/>
    <cellStyle name="Normal 45 2 2 5" xfId="2843"/>
    <cellStyle name="Normal 45 2 2 6" xfId="4595"/>
    <cellStyle name="Normal 45 2 2 7" xfId="6347"/>
    <cellStyle name="Normal 45 2 2 8" xfId="8099"/>
    <cellStyle name="Normal 45 2 2 9" xfId="9852"/>
    <cellStyle name="Normal 45 2 20" xfId="27266"/>
    <cellStyle name="Normal 45 2 21" xfId="29019"/>
    <cellStyle name="Normal 45 2 22" xfId="30771"/>
    <cellStyle name="Normal 45 2 23" xfId="32524"/>
    <cellStyle name="Normal 45 2 24" xfId="34893"/>
    <cellStyle name="Normal 45 2 25" xfId="35160"/>
    <cellStyle name="Normal 45 2 26" xfId="37514"/>
    <cellStyle name="Normal 45 2 27" xfId="38653"/>
    <cellStyle name="Normal 45 2 28" xfId="40408"/>
    <cellStyle name="Normal 45 2 29" xfId="42160"/>
    <cellStyle name="Normal 45 2 3" xfId="1935"/>
    <cellStyle name="Normal 45 2 3 10" xfId="13539"/>
    <cellStyle name="Normal 45 2 3 11" xfId="15291"/>
    <cellStyle name="Normal 45 2 3 12" xfId="17044"/>
    <cellStyle name="Normal 45 2 3 13" xfId="18796"/>
    <cellStyle name="Normal 45 2 3 14" xfId="20549"/>
    <cellStyle name="Normal 45 2 3 15" xfId="22301"/>
    <cellStyle name="Normal 45 2 3 16" xfId="24053"/>
    <cellStyle name="Normal 45 2 3 17" xfId="25805"/>
    <cellStyle name="Normal 45 2 3 18" xfId="27557"/>
    <cellStyle name="Normal 45 2 3 19" xfId="29310"/>
    <cellStyle name="Normal 45 2 3 2" xfId="1936"/>
    <cellStyle name="Normal 45 2 3 2 10" xfId="15727"/>
    <cellStyle name="Normal 45 2 3 2 11" xfId="17480"/>
    <cellStyle name="Normal 45 2 3 2 12" xfId="19232"/>
    <cellStyle name="Normal 45 2 3 2 13" xfId="20985"/>
    <cellStyle name="Normal 45 2 3 2 14" xfId="22737"/>
    <cellStyle name="Normal 45 2 3 2 15" xfId="24489"/>
    <cellStyle name="Normal 45 2 3 2 16" xfId="26241"/>
    <cellStyle name="Normal 45 2 3 2 17" xfId="27993"/>
    <cellStyle name="Normal 45 2 3 2 18" xfId="29746"/>
    <cellStyle name="Normal 45 2 3 2 19" xfId="31498"/>
    <cellStyle name="Normal 45 2 3 2 2" xfId="1937"/>
    <cellStyle name="Normal 45 2 3 2 2 10" xfId="18356"/>
    <cellStyle name="Normal 45 2 3 2 2 11" xfId="20108"/>
    <cellStyle name="Normal 45 2 3 2 2 12" xfId="21861"/>
    <cellStyle name="Normal 45 2 3 2 2 13" xfId="23613"/>
    <cellStyle name="Normal 45 2 3 2 2 14" xfId="25365"/>
    <cellStyle name="Normal 45 2 3 2 2 15" xfId="27117"/>
    <cellStyle name="Normal 45 2 3 2 2 16" xfId="28869"/>
    <cellStyle name="Normal 45 2 3 2 2 17" xfId="30622"/>
    <cellStyle name="Normal 45 2 3 2 2 18" xfId="32374"/>
    <cellStyle name="Normal 45 2 3 2 2 19" xfId="34127"/>
    <cellStyle name="Normal 45 2 3 2 2 2" xfId="4338"/>
    <cellStyle name="Normal 45 2 3 2 2 20" xfId="36763"/>
    <cellStyle name="Normal 45 2 3 2 2 21" xfId="38503"/>
    <cellStyle name="Normal 45 2 3 2 2 22" xfId="40256"/>
    <cellStyle name="Normal 45 2 3 2 2 23" xfId="42011"/>
    <cellStyle name="Normal 45 2 3 2 2 24" xfId="43763"/>
    <cellStyle name="Normal 45 2 3 2 2 25" xfId="46381"/>
    <cellStyle name="Normal 45 2 3 2 2 26" xfId="48133"/>
    <cellStyle name="Normal 45 2 3 2 2 27" xfId="49885"/>
    <cellStyle name="Normal 45 2 3 2 2 28" xfId="51637"/>
    <cellStyle name="Normal 45 2 3 2 2 29" xfId="53389"/>
    <cellStyle name="Normal 45 2 3 2 2 3" xfId="6090"/>
    <cellStyle name="Normal 45 2 3 2 2 30" xfId="55141"/>
    <cellStyle name="Normal 45 2 3 2 2 31" xfId="56893"/>
    <cellStyle name="Normal 45 2 3 2 2 32" xfId="58646"/>
    <cellStyle name="Normal 45 2 3 2 2 33" xfId="60398"/>
    <cellStyle name="Normal 45 2 3 2 2 34" xfId="62150"/>
    <cellStyle name="Normal 45 2 3 2 2 4" xfId="7842"/>
    <cellStyle name="Normal 45 2 3 2 2 5" xfId="9594"/>
    <cellStyle name="Normal 45 2 3 2 2 6" xfId="11347"/>
    <cellStyle name="Normal 45 2 3 2 2 7" xfId="13099"/>
    <cellStyle name="Normal 45 2 3 2 2 8" xfId="14851"/>
    <cellStyle name="Normal 45 2 3 2 2 9" xfId="16603"/>
    <cellStyle name="Normal 45 2 3 2 20" xfId="33251"/>
    <cellStyle name="Normal 45 2 3 2 21" xfId="34899"/>
    <cellStyle name="Normal 45 2 3 2 22" xfId="35887"/>
    <cellStyle name="Normal 45 2 3 2 23" xfId="37520"/>
    <cellStyle name="Normal 45 2 3 2 24" xfId="39380"/>
    <cellStyle name="Normal 45 2 3 2 25" xfId="41135"/>
    <cellStyle name="Normal 45 2 3 2 26" xfId="42887"/>
    <cellStyle name="Normal 45 2 3 2 27" xfId="44520"/>
    <cellStyle name="Normal 45 2 3 2 28" xfId="45505"/>
    <cellStyle name="Normal 45 2 3 2 29" xfId="47257"/>
    <cellStyle name="Normal 45 2 3 2 3" xfId="3462"/>
    <cellStyle name="Normal 45 2 3 2 30" xfId="49009"/>
    <cellStyle name="Normal 45 2 3 2 31" xfId="50761"/>
    <cellStyle name="Normal 45 2 3 2 32" xfId="52513"/>
    <cellStyle name="Normal 45 2 3 2 33" xfId="54265"/>
    <cellStyle name="Normal 45 2 3 2 34" xfId="56017"/>
    <cellStyle name="Normal 45 2 3 2 35" xfId="57770"/>
    <cellStyle name="Normal 45 2 3 2 36" xfId="59522"/>
    <cellStyle name="Normal 45 2 3 2 37" xfId="61274"/>
    <cellStyle name="Normal 45 2 3 2 38" xfId="62907"/>
    <cellStyle name="Normal 45 2 3 2 39" xfId="63773"/>
    <cellStyle name="Normal 45 2 3 2 4" xfId="5214"/>
    <cellStyle name="Normal 45 2 3 2 5" xfId="6966"/>
    <cellStyle name="Normal 45 2 3 2 6" xfId="8718"/>
    <cellStyle name="Normal 45 2 3 2 7" xfId="10471"/>
    <cellStyle name="Normal 45 2 3 2 8" xfId="12223"/>
    <cellStyle name="Normal 45 2 3 2 9" xfId="13975"/>
    <cellStyle name="Normal 45 2 3 20" xfId="31062"/>
    <cellStyle name="Normal 45 2 3 21" xfId="32815"/>
    <cellStyle name="Normal 45 2 3 22" xfId="34898"/>
    <cellStyle name="Normal 45 2 3 23" xfId="35451"/>
    <cellStyle name="Normal 45 2 3 24" xfId="37519"/>
    <cellStyle name="Normal 45 2 3 25" xfId="38944"/>
    <cellStyle name="Normal 45 2 3 26" xfId="40699"/>
    <cellStyle name="Normal 45 2 3 27" xfId="42451"/>
    <cellStyle name="Normal 45 2 3 28" xfId="44519"/>
    <cellStyle name="Normal 45 2 3 29" xfId="45069"/>
    <cellStyle name="Normal 45 2 3 3" xfId="1938"/>
    <cellStyle name="Normal 45 2 3 3 10" xfId="17920"/>
    <cellStyle name="Normal 45 2 3 3 11" xfId="19672"/>
    <cellStyle name="Normal 45 2 3 3 12" xfId="21425"/>
    <cellStyle name="Normal 45 2 3 3 13" xfId="23177"/>
    <cellStyle name="Normal 45 2 3 3 14" xfId="24929"/>
    <cellStyle name="Normal 45 2 3 3 15" xfId="26681"/>
    <cellStyle name="Normal 45 2 3 3 16" xfId="28433"/>
    <cellStyle name="Normal 45 2 3 3 17" xfId="30186"/>
    <cellStyle name="Normal 45 2 3 3 18" xfId="31938"/>
    <cellStyle name="Normal 45 2 3 3 19" xfId="33691"/>
    <cellStyle name="Normal 45 2 3 3 2" xfId="3902"/>
    <cellStyle name="Normal 45 2 3 3 20" xfId="36327"/>
    <cellStyle name="Normal 45 2 3 3 21" xfId="38067"/>
    <cellStyle name="Normal 45 2 3 3 22" xfId="39820"/>
    <cellStyle name="Normal 45 2 3 3 23" xfId="41575"/>
    <cellStyle name="Normal 45 2 3 3 24" xfId="43327"/>
    <cellStyle name="Normal 45 2 3 3 25" xfId="45945"/>
    <cellStyle name="Normal 45 2 3 3 26" xfId="47697"/>
    <cellStyle name="Normal 45 2 3 3 27" xfId="49449"/>
    <cellStyle name="Normal 45 2 3 3 28" xfId="51201"/>
    <cellStyle name="Normal 45 2 3 3 29" xfId="52953"/>
    <cellStyle name="Normal 45 2 3 3 3" xfId="5654"/>
    <cellStyle name="Normal 45 2 3 3 30" xfId="54705"/>
    <cellStyle name="Normal 45 2 3 3 31" xfId="56457"/>
    <cellStyle name="Normal 45 2 3 3 32" xfId="58210"/>
    <cellStyle name="Normal 45 2 3 3 33" xfId="59962"/>
    <cellStyle name="Normal 45 2 3 3 34" xfId="61714"/>
    <cellStyle name="Normal 45 2 3 3 4" xfId="7406"/>
    <cellStyle name="Normal 45 2 3 3 5" xfId="9158"/>
    <cellStyle name="Normal 45 2 3 3 6" xfId="10911"/>
    <cellStyle name="Normal 45 2 3 3 7" xfId="12663"/>
    <cellStyle name="Normal 45 2 3 3 8" xfId="14415"/>
    <cellStyle name="Normal 45 2 3 3 9" xfId="16167"/>
    <cellStyle name="Normal 45 2 3 30" xfId="46821"/>
    <cellStyle name="Normal 45 2 3 31" xfId="48573"/>
    <cellStyle name="Normal 45 2 3 32" xfId="50325"/>
    <cellStyle name="Normal 45 2 3 33" xfId="52077"/>
    <cellStyle name="Normal 45 2 3 34" xfId="53829"/>
    <cellStyle name="Normal 45 2 3 35" xfId="55581"/>
    <cellStyle name="Normal 45 2 3 36" xfId="57334"/>
    <cellStyle name="Normal 45 2 3 37" xfId="59086"/>
    <cellStyle name="Normal 45 2 3 38" xfId="60838"/>
    <cellStyle name="Normal 45 2 3 39" xfId="62906"/>
    <cellStyle name="Normal 45 2 3 4" xfId="3026"/>
    <cellStyle name="Normal 45 2 3 40" xfId="63772"/>
    <cellStyle name="Normal 45 2 3 5" xfId="4778"/>
    <cellStyle name="Normal 45 2 3 6" xfId="6530"/>
    <cellStyle name="Normal 45 2 3 7" xfId="8282"/>
    <cellStyle name="Normal 45 2 3 8" xfId="10035"/>
    <cellStyle name="Normal 45 2 3 9" xfId="11787"/>
    <cellStyle name="Normal 45 2 30" xfId="44514"/>
    <cellStyle name="Normal 45 2 31" xfId="44778"/>
    <cellStyle name="Normal 45 2 32" xfId="46530"/>
    <cellStyle name="Normal 45 2 33" xfId="48282"/>
    <cellStyle name="Normal 45 2 34" xfId="50034"/>
    <cellStyle name="Normal 45 2 35" xfId="51786"/>
    <cellStyle name="Normal 45 2 36" xfId="53538"/>
    <cellStyle name="Normal 45 2 37" xfId="55290"/>
    <cellStyle name="Normal 45 2 38" xfId="57043"/>
    <cellStyle name="Normal 45 2 39" xfId="58795"/>
    <cellStyle name="Normal 45 2 4" xfId="1939"/>
    <cellStyle name="Normal 45 2 4 10" xfId="15436"/>
    <cellStyle name="Normal 45 2 4 11" xfId="17189"/>
    <cellStyle name="Normal 45 2 4 12" xfId="18941"/>
    <cellStyle name="Normal 45 2 4 13" xfId="20694"/>
    <cellStyle name="Normal 45 2 4 14" xfId="22446"/>
    <cellStyle name="Normal 45 2 4 15" xfId="24198"/>
    <cellStyle name="Normal 45 2 4 16" xfId="25950"/>
    <cellStyle name="Normal 45 2 4 17" xfId="27702"/>
    <cellStyle name="Normal 45 2 4 18" xfId="29455"/>
    <cellStyle name="Normal 45 2 4 19" xfId="31207"/>
    <cellStyle name="Normal 45 2 4 2" xfId="1940"/>
    <cellStyle name="Normal 45 2 4 2 10" xfId="18065"/>
    <cellStyle name="Normal 45 2 4 2 11" xfId="19817"/>
    <cellStyle name="Normal 45 2 4 2 12" xfId="21570"/>
    <cellStyle name="Normal 45 2 4 2 13" xfId="23322"/>
    <cellStyle name="Normal 45 2 4 2 14" xfId="25074"/>
    <cellStyle name="Normal 45 2 4 2 15" xfId="26826"/>
    <cellStyle name="Normal 45 2 4 2 16" xfId="28578"/>
    <cellStyle name="Normal 45 2 4 2 17" xfId="30331"/>
    <cellStyle name="Normal 45 2 4 2 18" xfId="32083"/>
    <cellStyle name="Normal 45 2 4 2 19" xfId="33836"/>
    <cellStyle name="Normal 45 2 4 2 2" xfId="4047"/>
    <cellStyle name="Normal 45 2 4 2 20" xfId="36472"/>
    <cellStyle name="Normal 45 2 4 2 21" xfId="38212"/>
    <cellStyle name="Normal 45 2 4 2 22" xfId="39965"/>
    <cellStyle name="Normal 45 2 4 2 23" xfId="41720"/>
    <cellStyle name="Normal 45 2 4 2 24" xfId="43472"/>
    <cellStyle name="Normal 45 2 4 2 25" xfId="46090"/>
    <cellStyle name="Normal 45 2 4 2 26" xfId="47842"/>
    <cellStyle name="Normal 45 2 4 2 27" xfId="49594"/>
    <cellStyle name="Normal 45 2 4 2 28" xfId="51346"/>
    <cellStyle name="Normal 45 2 4 2 29" xfId="53098"/>
    <cellStyle name="Normal 45 2 4 2 3" xfId="5799"/>
    <cellStyle name="Normal 45 2 4 2 30" xfId="54850"/>
    <cellStyle name="Normal 45 2 4 2 31" xfId="56602"/>
    <cellStyle name="Normal 45 2 4 2 32" xfId="58355"/>
    <cellStyle name="Normal 45 2 4 2 33" xfId="60107"/>
    <cellStyle name="Normal 45 2 4 2 34" xfId="61859"/>
    <cellStyle name="Normal 45 2 4 2 4" xfId="7551"/>
    <cellStyle name="Normal 45 2 4 2 5" xfId="9303"/>
    <cellStyle name="Normal 45 2 4 2 6" xfId="11056"/>
    <cellStyle name="Normal 45 2 4 2 7" xfId="12808"/>
    <cellStyle name="Normal 45 2 4 2 8" xfId="14560"/>
    <cellStyle name="Normal 45 2 4 2 9" xfId="16312"/>
    <cellStyle name="Normal 45 2 4 20" xfId="32960"/>
    <cellStyle name="Normal 45 2 4 21" xfId="34900"/>
    <cellStyle name="Normal 45 2 4 22" xfId="35596"/>
    <cellStyle name="Normal 45 2 4 23" xfId="37521"/>
    <cellStyle name="Normal 45 2 4 24" xfId="39089"/>
    <cellStyle name="Normal 45 2 4 25" xfId="40844"/>
    <cellStyle name="Normal 45 2 4 26" xfId="42596"/>
    <cellStyle name="Normal 45 2 4 27" xfId="44521"/>
    <cellStyle name="Normal 45 2 4 28" xfId="45214"/>
    <cellStyle name="Normal 45 2 4 29" xfId="46966"/>
    <cellStyle name="Normal 45 2 4 3" xfId="3171"/>
    <cellStyle name="Normal 45 2 4 30" xfId="48718"/>
    <cellStyle name="Normal 45 2 4 31" xfId="50470"/>
    <cellStyle name="Normal 45 2 4 32" xfId="52222"/>
    <cellStyle name="Normal 45 2 4 33" xfId="53974"/>
    <cellStyle name="Normal 45 2 4 34" xfId="55726"/>
    <cellStyle name="Normal 45 2 4 35" xfId="57479"/>
    <cellStyle name="Normal 45 2 4 36" xfId="59231"/>
    <cellStyle name="Normal 45 2 4 37" xfId="60983"/>
    <cellStyle name="Normal 45 2 4 38" xfId="62908"/>
    <cellStyle name="Normal 45 2 4 39" xfId="63774"/>
    <cellStyle name="Normal 45 2 4 4" xfId="4923"/>
    <cellStyle name="Normal 45 2 4 5" xfId="6675"/>
    <cellStyle name="Normal 45 2 4 6" xfId="8427"/>
    <cellStyle name="Normal 45 2 4 7" xfId="10180"/>
    <cellStyle name="Normal 45 2 4 8" xfId="11932"/>
    <cellStyle name="Normal 45 2 4 9" xfId="13684"/>
    <cellStyle name="Normal 45 2 40" xfId="60547"/>
    <cellStyle name="Normal 45 2 41" xfId="62901"/>
    <cellStyle name="Normal 45 2 42" xfId="63767"/>
    <cellStyle name="Normal 45 2 5" xfId="1941"/>
    <cellStyle name="Normal 45 2 5 10" xfId="17629"/>
    <cellStyle name="Normal 45 2 5 11" xfId="19381"/>
    <cellStyle name="Normal 45 2 5 12" xfId="21134"/>
    <cellStyle name="Normal 45 2 5 13" xfId="22886"/>
    <cellStyle name="Normal 45 2 5 14" xfId="24638"/>
    <cellStyle name="Normal 45 2 5 15" xfId="26390"/>
    <cellStyle name="Normal 45 2 5 16" xfId="28142"/>
    <cellStyle name="Normal 45 2 5 17" xfId="29895"/>
    <cellStyle name="Normal 45 2 5 18" xfId="31647"/>
    <cellStyle name="Normal 45 2 5 19" xfId="33400"/>
    <cellStyle name="Normal 45 2 5 2" xfId="3611"/>
    <cellStyle name="Normal 45 2 5 20" xfId="36036"/>
    <cellStyle name="Normal 45 2 5 21" xfId="37776"/>
    <cellStyle name="Normal 45 2 5 22" xfId="39529"/>
    <cellStyle name="Normal 45 2 5 23" xfId="41284"/>
    <cellStyle name="Normal 45 2 5 24" xfId="43036"/>
    <cellStyle name="Normal 45 2 5 25" xfId="45654"/>
    <cellStyle name="Normal 45 2 5 26" xfId="47406"/>
    <cellStyle name="Normal 45 2 5 27" xfId="49158"/>
    <cellStyle name="Normal 45 2 5 28" xfId="50910"/>
    <cellStyle name="Normal 45 2 5 29" xfId="52662"/>
    <cellStyle name="Normal 45 2 5 3" xfId="5363"/>
    <cellStyle name="Normal 45 2 5 30" xfId="54414"/>
    <cellStyle name="Normal 45 2 5 31" xfId="56166"/>
    <cellStyle name="Normal 45 2 5 32" xfId="57919"/>
    <cellStyle name="Normal 45 2 5 33" xfId="59671"/>
    <cellStyle name="Normal 45 2 5 34" xfId="61423"/>
    <cellStyle name="Normal 45 2 5 4" xfId="7115"/>
    <cellStyle name="Normal 45 2 5 5" xfId="8867"/>
    <cellStyle name="Normal 45 2 5 6" xfId="10620"/>
    <cellStyle name="Normal 45 2 5 7" xfId="12372"/>
    <cellStyle name="Normal 45 2 5 8" xfId="14124"/>
    <cellStyle name="Normal 45 2 5 9" xfId="15876"/>
    <cellStyle name="Normal 45 2 6" xfId="2735"/>
    <cellStyle name="Normal 45 2 7" xfId="4487"/>
    <cellStyle name="Normal 45 2 8" xfId="6239"/>
    <cellStyle name="Normal 45 2 9" xfId="7991"/>
    <cellStyle name="Normal 45 20" xfId="25459"/>
    <cellStyle name="Normal 45 21" xfId="27211"/>
    <cellStyle name="Normal 45 22" xfId="28964"/>
    <cellStyle name="Normal 45 23" xfId="30716"/>
    <cellStyle name="Normal 45 24" xfId="32469"/>
    <cellStyle name="Normal 45 25" xfId="34892"/>
    <cellStyle name="Normal 45 26" xfId="35105"/>
    <cellStyle name="Normal 45 27" xfId="37513"/>
    <cellStyle name="Normal 45 28" xfId="38598"/>
    <cellStyle name="Normal 45 29" xfId="40353"/>
    <cellStyle name="Normal 45 3" xfId="1942"/>
    <cellStyle name="Normal 45 3 10" xfId="11549"/>
    <cellStyle name="Normal 45 3 11" xfId="13301"/>
    <cellStyle name="Normal 45 3 12" xfId="15053"/>
    <cellStyle name="Normal 45 3 13" xfId="16806"/>
    <cellStyle name="Normal 45 3 14" xfId="18558"/>
    <cellStyle name="Normal 45 3 15" xfId="20311"/>
    <cellStyle name="Normal 45 3 16" xfId="22063"/>
    <cellStyle name="Normal 45 3 17" xfId="23815"/>
    <cellStyle name="Normal 45 3 18" xfId="25567"/>
    <cellStyle name="Normal 45 3 19" xfId="27319"/>
    <cellStyle name="Normal 45 3 2" xfId="1943"/>
    <cellStyle name="Normal 45 3 2 10" xfId="13540"/>
    <cellStyle name="Normal 45 3 2 11" xfId="15292"/>
    <cellStyle name="Normal 45 3 2 12" xfId="17045"/>
    <cellStyle name="Normal 45 3 2 13" xfId="18797"/>
    <cellStyle name="Normal 45 3 2 14" xfId="20550"/>
    <cellStyle name="Normal 45 3 2 15" xfId="22302"/>
    <cellStyle name="Normal 45 3 2 16" xfId="24054"/>
    <cellStyle name="Normal 45 3 2 17" xfId="25806"/>
    <cellStyle name="Normal 45 3 2 18" xfId="27558"/>
    <cellStyle name="Normal 45 3 2 19" xfId="29311"/>
    <cellStyle name="Normal 45 3 2 2" xfId="1944"/>
    <cellStyle name="Normal 45 3 2 2 10" xfId="15728"/>
    <cellStyle name="Normal 45 3 2 2 11" xfId="17481"/>
    <cellStyle name="Normal 45 3 2 2 12" xfId="19233"/>
    <cellStyle name="Normal 45 3 2 2 13" xfId="20986"/>
    <cellStyle name="Normal 45 3 2 2 14" xfId="22738"/>
    <cellStyle name="Normal 45 3 2 2 15" xfId="24490"/>
    <cellStyle name="Normal 45 3 2 2 16" xfId="26242"/>
    <cellStyle name="Normal 45 3 2 2 17" xfId="27994"/>
    <cellStyle name="Normal 45 3 2 2 18" xfId="29747"/>
    <cellStyle name="Normal 45 3 2 2 19" xfId="31499"/>
    <cellStyle name="Normal 45 3 2 2 2" xfId="1945"/>
    <cellStyle name="Normal 45 3 2 2 2 10" xfId="18357"/>
    <cellStyle name="Normal 45 3 2 2 2 11" xfId="20109"/>
    <cellStyle name="Normal 45 3 2 2 2 12" xfId="21862"/>
    <cellStyle name="Normal 45 3 2 2 2 13" xfId="23614"/>
    <cellStyle name="Normal 45 3 2 2 2 14" xfId="25366"/>
    <cellStyle name="Normal 45 3 2 2 2 15" xfId="27118"/>
    <cellStyle name="Normal 45 3 2 2 2 16" xfId="28870"/>
    <cellStyle name="Normal 45 3 2 2 2 17" xfId="30623"/>
    <cellStyle name="Normal 45 3 2 2 2 18" xfId="32375"/>
    <cellStyle name="Normal 45 3 2 2 2 19" xfId="34128"/>
    <cellStyle name="Normal 45 3 2 2 2 2" xfId="4339"/>
    <cellStyle name="Normal 45 3 2 2 2 20" xfId="36764"/>
    <cellStyle name="Normal 45 3 2 2 2 21" xfId="38504"/>
    <cellStyle name="Normal 45 3 2 2 2 22" xfId="40257"/>
    <cellStyle name="Normal 45 3 2 2 2 23" xfId="42012"/>
    <cellStyle name="Normal 45 3 2 2 2 24" xfId="43764"/>
    <cellStyle name="Normal 45 3 2 2 2 25" xfId="46382"/>
    <cellStyle name="Normal 45 3 2 2 2 26" xfId="48134"/>
    <cellStyle name="Normal 45 3 2 2 2 27" xfId="49886"/>
    <cellStyle name="Normal 45 3 2 2 2 28" xfId="51638"/>
    <cellStyle name="Normal 45 3 2 2 2 29" xfId="53390"/>
    <cellStyle name="Normal 45 3 2 2 2 3" xfId="6091"/>
    <cellStyle name="Normal 45 3 2 2 2 30" xfId="55142"/>
    <cellStyle name="Normal 45 3 2 2 2 31" xfId="56894"/>
    <cellStyle name="Normal 45 3 2 2 2 32" xfId="58647"/>
    <cellStyle name="Normal 45 3 2 2 2 33" xfId="60399"/>
    <cellStyle name="Normal 45 3 2 2 2 34" xfId="62151"/>
    <cellStyle name="Normal 45 3 2 2 2 4" xfId="7843"/>
    <cellStyle name="Normal 45 3 2 2 2 5" xfId="9595"/>
    <cellStyle name="Normal 45 3 2 2 2 6" xfId="11348"/>
    <cellStyle name="Normal 45 3 2 2 2 7" xfId="13100"/>
    <cellStyle name="Normal 45 3 2 2 2 8" xfId="14852"/>
    <cellStyle name="Normal 45 3 2 2 2 9" xfId="16604"/>
    <cellStyle name="Normal 45 3 2 2 20" xfId="33252"/>
    <cellStyle name="Normal 45 3 2 2 21" xfId="34903"/>
    <cellStyle name="Normal 45 3 2 2 22" xfId="35888"/>
    <cellStyle name="Normal 45 3 2 2 23" xfId="37524"/>
    <cellStyle name="Normal 45 3 2 2 24" xfId="39381"/>
    <cellStyle name="Normal 45 3 2 2 25" xfId="41136"/>
    <cellStyle name="Normal 45 3 2 2 26" xfId="42888"/>
    <cellStyle name="Normal 45 3 2 2 27" xfId="44524"/>
    <cellStyle name="Normal 45 3 2 2 28" xfId="45506"/>
    <cellStyle name="Normal 45 3 2 2 29" xfId="47258"/>
    <cellStyle name="Normal 45 3 2 2 3" xfId="3463"/>
    <cellStyle name="Normal 45 3 2 2 30" xfId="49010"/>
    <cellStyle name="Normal 45 3 2 2 31" xfId="50762"/>
    <cellStyle name="Normal 45 3 2 2 32" xfId="52514"/>
    <cellStyle name="Normal 45 3 2 2 33" xfId="54266"/>
    <cellStyle name="Normal 45 3 2 2 34" xfId="56018"/>
    <cellStyle name="Normal 45 3 2 2 35" xfId="57771"/>
    <cellStyle name="Normal 45 3 2 2 36" xfId="59523"/>
    <cellStyle name="Normal 45 3 2 2 37" xfId="61275"/>
    <cellStyle name="Normal 45 3 2 2 38" xfId="62911"/>
    <cellStyle name="Normal 45 3 2 2 39" xfId="63777"/>
    <cellStyle name="Normal 45 3 2 2 4" xfId="5215"/>
    <cellStyle name="Normal 45 3 2 2 5" xfId="6967"/>
    <cellStyle name="Normal 45 3 2 2 6" xfId="8719"/>
    <cellStyle name="Normal 45 3 2 2 7" xfId="10472"/>
    <cellStyle name="Normal 45 3 2 2 8" xfId="12224"/>
    <cellStyle name="Normal 45 3 2 2 9" xfId="13976"/>
    <cellStyle name="Normal 45 3 2 20" xfId="31063"/>
    <cellStyle name="Normal 45 3 2 21" xfId="32816"/>
    <cellStyle name="Normal 45 3 2 22" xfId="34902"/>
    <cellStyle name="Normal 45 3 2 23" xfId="35452"/>
    <cellStyle name="Normal 45 3 2 24" xfId="37523"/>
    <cellStyle name="Normal 45 3 2 25" xfId="38945"/>
    <cellStyle name="Normal 45 3 2 26" xfId="40700"/>
    <cellStyle name="Normal 45 3 2 27" xfId="42452"/>
    <cellStyle name="Normal 45 3 2 28" xfId="44523"/>
    <cellStyle name="Normal 45 3 2 29" xfId="45070"/>
    <cellStyle name="Normal 45 3 2 3" xfId="1946"/>
    <cellStyle name="Normal 45 3 2 3 10" xfId="17921"/>
    <cellStyle name="Normal 45 3 2 3 11" xfId="19673"/>
    <cellStyle name="Normal 45 3 2 3 12" xfId="21426"/>
    <cellStyle name="Normal 45 3 2 3 13" xfId="23178"/>
    <cellStyle name="Normal 45 3 2 3 14" xfId="24930"/>
    <cellStyle name="Normal 45 3 2 3 15" xfId="26682"/>
    <cellStyle name="Normal 45 3 2 3 16" xfId="28434"/>
    <cellStyle name="Normal 45 3 2 3 17" xfId="30187"/>
    <cellStyle name="Normal 45 3 2 3 18" xfId="31939"/>
    <cellStyle name="Normal 45 3 2 3 19" xfId="33692"/>
    <cellStyle name="Normal 45 3 2 3 2" xfId="3903"/>
    <cellStyle name="Normal 45 3 2 3 20" xfId="36328"/>
    <cellStyle name="Normal 45 3 2 3 21" xfId="38068"/>
    <cellStyle name="Normal 45 3 2 3 22" xfId="39821"/>
    <cellStyle name="Normal 45 3 2 3 23" xfId="41576"/>
    <cellStyle name="Normal 45 3 2 3 24" xfId="43328"/>
    <cellStyle name="Normal 45 3 2 3 25" xfId="45946"/>
    <cellStyle name="Normal 45 3 2 3 26" xfId="47698"/>
    <cellStyle name="Normal 45 3 2 3 27" xfId="49450"/>
    <cellStyle name="Normal 45 3 2 3 28" xfId="51202"/>
    <cellStyle name="Normal 45 3 2 3 29" xfId="52954"/>
    <cellStyle name="Normal 45 3 2 3 3" xfId="5655"/>
    <cellStyle name="Normal 45 3 2 3 30" xfId="54706"/>
    <cellStyle name="Normal 45 3 2 3 31" xfId="56458"/>
    <cellStyle name="Normal 45 3 2 3 32" xfId="58211"/>
    <cellStyle name="Normal 45 3 2 3 33" xfId="59963"/>
    <cellStyle name="Normal 45 3 2 3 34" xfId="61715"/>
    <cellStyle name="Normal 45 3 2 3 4" xfId="7407"/>
    <cellStyle name="Normal 45 3 2 3 5" xfId="9159"/>
    <cellStyle name="Normal 45 3 2 3 6" xfId="10912"/>
    <cellStyle name="Normal 45 3 2 3 7" xfId="12664"/>
    <cellStyle name="Normal 45 3 2 3 8" xfId="14416"/>
    <cellStyle name="Normal 45 3 2 3 9" xfId="16168"/>
    <cellStyle name="Normal 45 3 2 30" xfId="46822"/>
    <cellStyle name="Normal 45 3 2 31" xfId="48574"/>
    <cellStyle name="Normal 45 3 2 32" xfId="50326"/>
    <cellStyle name="Normal 45 3 2 33" xfId="52078"/>
    <cellStyle name="Normal 45 3 2 34" xfId="53830"/>
    <cellStyle name="Normal 45 3 2 35" xfId="55582"/>
    <cellStyle name="Normal 45 3 2 36" xfId="57335"/>
    <cellStyle name="Normal 45 3 2 37" xfId="59087"/>
    <cellStyle name="Normal 45 3 2 38" xfId="60839"/>
    <cellStyle name="Normal 45 3 2 39" xfId="62910"/>
    <cellStyle name="Normal 45 3 2 4" xfId="3027"/>
    <cellStyle name="Normal 45 3 2 40" xfId="63776"/>
    <cellStyle name="Normal 45 3 2 5" xfId="4779"/>
    <cellStyle name="Normal 45 3 2 6" xfId="6531"/>
    <cellStyle name="Normal 45 3 2 7" xfId="8283"/>
    <cellStyle name="Normal 45 3 2 8" xfId="10036"/>
    <cellStyle name="Normal 45 3 2 9" xfId="11788"/>
    <cellStyle name="Normal 45 3 20" xfId="29072"/>
    <cellStyle name="Normal 45 3 21" xfId="30824"/>
    <cellStyle name="Normal 45 3 22" xfId="32577"/>
    <cellStyle name="Normal 45 3 23" xfId="34901"/>
    <cellStyle name="Normal 45 3 24" xfId="35213"/>
    <cellStyle name="Normal 45 3 25" xfId="37522"/>
    <cellStyle name="Normal 45 3 26" xfId="38706"/>
    <cellStyle name="Normal 45 3 27" xfId="40461"/>
    <cellStyle name="Normal 45 3 28" xfId="42213"/>
    <cellStyle name="Normal 45 3 29" xfId="44522"/>
    <cellStyle name="Normal 45 3 3" xfId="1947"/>
    <cellStyle name="Normal 45 3 3 10" xfId="15489"/>
    <cellStyle name="Normal 45 3 3 11" xfId="17242"/>
    <cellStyle name="Normal 45 3 3 12" xfId="18994"/>
    <cellStyle name="Normal 45 3 3 13" xfId="20747"/>
    <cellStyle name="Normal 45 3 3 14" xfId="22499"/>
    <cellStyle name="Normal 45 3 3 15" xfId="24251"/>
    <cellStyle name="Normal 45 3 3 16" xfId="26003"/>
    <cellStyle name="Normal 45 3 3 17" xfId="27755"/>
    <cellStyle name="Normal 45 3 3 18" xfId="29508"/>
    <cellStyle name="Normal 45 3 3 19" xfId="31260"/>
    <cellStyle name="Normal 45 3 3 2" xfId="1948"/>
    <cellStyle name="Normal 45 3 3 2 10" xfId="18118"/>
    <cellStyle name="Normal 45 3 3 2 11" xfId="19870"/>
    <cellStyle name="Normal 45 3 3 2 12" xfId="21623"/>
    <cellStyle name="Normal 45 3 3 2 13" xfId="23375"/>
    <cellStyle name="Normal 45 3 3 2 14" xfId="25127"/>
    <cellStyle name="Normal 45 3 3 2 15" xfId="26879"/>
    <cellStyle name="Normal 45 3 3 2 16" xfId="28631"/>
    <cellStyle name="Normal 45 3 3 2 17" xfId="30384"/>
    <cellStyle name="Normal 45 3 3 2 18" xfId="32136"/>
    <cellStyle name="Normal 45 3 3 2 19" xfId="33889"/>
    <cellStyle name="Normal 45 3 3 2 2" xfId="4100"/>
    <cellStyle name="Normal 45 3 3 2 20" xfId="36525"/>
    <cellStyle name="Normal 45 3 3 2 21" xfId="38265"/>
    <cellStyle name="Normal 45 3 3 2 22" xfId="40018"/>
    <cellStyle name="Normal 45 3 3 2 23" xfId="41773"/>
    <cellStyle name="Normal 45 3 3 2 24" xfId="43525"/>
    <cellStyle name="Normal 45 3 3 2 25" xfId="46143"/>
    <cellStyle name="Normal 45 3 3 2 26" xfId="47895"/>
    <cellStyle name="Normal 45 3 3 2 27" xfId="49647"/>
    <cellStyle name="Normal 45 3 3 2 28" xfId="51399"/>
    <cellStyle name="Normal 45 3 3 2 29" xfId="53151"/>
    <cellStyle name="Normal 45 3 3 2 3" xfId="5852"/>
    <cellStyle name="Normal 45 3 3 2 30" xfId="54903"/>
    <cellStyle name="Normal 45 3 3 2 31" xfId="56655"/>
    <cellStyle name="Normal 45 3 3 2 32" xfId="58408"/>
    <cellStyle name="Normal 45 3 3 2 33" xfId="60160"/>
    <cellStyle name="Normal 45 3 3 2 34" xfId="61912"/>
    <cellStyle name="Normal 45 3 3 2 4" xfId="7604"/>
    <cellStyle name="Normal 45 3 3 2 5" xfId="9356"/>
    <cellStyle name="Normal 45 3 3 2 6" xfId="11109"/>
    <cellStyle name="Normal 45 3 3 2 7" xfId="12861"/>
    <cellStyle name="Normal 45 3 3 2 8" xfId="14613"/>
    <cellStyle name="Normal 45 3 3 2 9" xfId="16365"/>
    <cellStyle name="Normal 45 3 3 20" xfId="33013"/>
    <cellStyle name="Normal 45 3 3 21" xfId="34904"/>
    <cellStyle name="Normal 45 3 3 22" xfId="35649"/>
    <cellStyle name="Normal 45 3 3 23" xfId="37525"/>
    <cellStyle name="Normal 45 3 3 24" xfId="39142"/>
    <cellStyle name="Normal 45 3 3 25" xfId="40897"/>
    <cellStyle name="Normal 45 3 3 26" xfId="42649"/>
    <cellStyle name="Normal 45 3 3 27" xfId="44525"/>
    <cellStyle name="Normal 45 3 3 28" xfId="45267"/>
    <cellStyle name="Normal 45 3 3 29" xfId="47019"/>
    <cellStyle name="Normal 45 3 3 3" xfId="3224"/>
    <cellStyle name="Normal 45 3 3 30" xfId="48771"/>
    <cellStyle name="Normal 45 3 3 31" xfId="50523"/>
    <cellStyle name="Normal 45 3 3 32" xfId="52275"/>
    <cellStyle name="Normal 45 3 3 33" xfId="54027"/>
    <cellStyle name="Normal 45 3 3 34" xfId="55779"/>
    <cellStyle name="Normal 45 3 3 35" xfId="57532"/>
    <cellStyle name="Normal 45 3 3 36" xfId="59284"/>
    <cellStyle name="Normal 45 3 3 37" xfId="61036"/>
    <cellStyle name="Normal 45 3 3 38" xfId="62912"/>
    <cellStyle name="Normal 45 3 3 39" xfId="63778"/>
    <cellStyle name="Normal 45 3 3 4" xfId="4976"/>
    <cellStyle name="Normal 45 3 3 5" xfId="6728"/>
    <cellStyle name="Normal 45 3 3 6" xfId="8480"/>
    <cellStyle name="Normal 45 3 3 7" xfId="10233"/>
    <cellStyle name="Normal 45 3 3 8" xfId="11985"/>
    <cellStyle name="Normal 45 3 3 9" xfId="13737"/>
    <cellStyle name="Normal 45 3 30" xfId="44831"/>
    <cellStyle name="Normal 45 3 31" xfId="46583"/>
    <cellStyle name="Normal 45 3 32" xfId="48335"/>
    <cellStyle name="Normal 45 3 33" xfId="50087"/>
    <cellStyle name="Normal 45 3 34" xfId="51839"/>
    <cellStyle name="Normal 45 3 35" xfId="53591"/>
    <cellStyle name="Normal 45 3 36" xfId="55343"/>
    <cellStyle name="Normal 45 3 37" xfId="57096"/>
    <cellStyle name="Normal 45 3 38" xfId="58848"/>
    <cellStyle name="Normal 45 3 39" xfId="60600"/>
    <cellStyle name="Normal 45 3 4" xfId="1949"/>
    <cellStyle name="Normal 45 3 4 10" xfId="17682"/>
    <cellStyle name="Normal 45 3 4 11" xfId="19434"/>
    <cellStyle name="Normal 45 3 4 12" xfId="21187"/>
    <cellStyle name="Normal 45 3 4 13" xfId="22939"/>
    <cellStyle name="Normal 45 3 4 14" xfId="24691"/>
    <cellStyle name="Normal 45 3 4 15" xfId="26443"/>
    <cellStyle name="Normal 45 3 4 16" xfId="28195"/>
    <cellStyle name="Normal 45 3 4 17" xfId="29948"/>
    <cellStyle name="Normal 45 3 4 18" xfId="31700"/>
    <cellStyle name="Normal 45 3 4 19" xfId="33453"/>
    <cellStyle name="Normal 45 3 4 2" xfId="3664"/>
    <cellStyle name="Normal 45 3 4 20" xfId="36089"/>
    <cellStyle name="Normal 45 3 4 21" xfId="37829"/>
    <cellStyle name="Normal 45 3 4 22" xfId="39582"/>
    <cellStyle name="Normal 45 3 4 23" xfId="41337"/>
    <cellStyle name="Normal 45 3 4 24" xfId="43089"/>
    <cellStyle name="Normal 45 3 4 25" xfId="45707"/>
    <cellStyle name="Normal 45 3 4 26" xfId="47459"/>
    <cellStyle name="Normal 45 3 4 27" xfId="49211"/>
    <cellStyle name="Normal 45 3 4 28" xfId="50963"/>
    <cellStyle name="Normal 45 3 4 29" xfId="52715"/>
    <cellStyle name="Normal 45 3 4 3" xfId="5416"/>
    <cellStyle name="Normal 45 3 4 30" xfId="54467"/>
    <cellStyle name="Normal 45 3 4 31" xfId="56219"/>
    <cellStyle name="Normal 45 3 4 32" xfId="57972"/>
    <cellStyle name="Normal 45 3 4 33" xfId="59724"/>
    <cellStyle name="Normal 45 3 4 34" xfId="61476"/>
    <cellStyle name="Normal 45 3 4 4" xfId="7168"/>
    <cellStyle name="Normal 45 3 4 5" xfId="8920"/>
    <cellStyle name="Normal 45 3 4 6" xfId="10673"/>
    <cellStyle name="Normal 45 3 4 7" xfId="12425"/>
    <cellStyle name="Normal 45 3 4 8" xfId="14177"/>
    <cellStyle name="Normal 45 3 4 9" xfId="15929"/>
    <cellStyle name="Normal 45 3 40" xfId="62909"/>
    <cellStyle name="Normal 45 3 41" xfId="63775"/>
    <cellStyle name="Normal 45 3 5" xfId="2788"/>
    <cellStyle name="Normal 45 3 6" xfId="4540"/>
    <cellStyle name="Normal 45 3 7" xfId="6292"/>
    <cellStyle name="Normal 45 3 8" xfId="8044"/>
    <cellStyle name="Normal 45 3 9" xfId="9797"/>
    <cellStyle name="Normal 45 30" xfId="42105"/>
    <cellStyle name="Normal 45 31" xfId="44513"/>
    <cellStyle name="Normal 45 32" xfId="44723"/>
    <cellStyle name="Normal 45 33" xfId="46475"/>
    <cellStyle name="Normal 45 34" xfId="48227"/>
    <cellStyle name="Normal 45 35" xfId="49979"/>
    <cellStyle name="Normal 45 36" xfId="51731"/>
    <cellStyle name="Normal 45 37" xfId="53483"/>
    <cellStyle name="Normal 45 38" xfId="55235"/>
    <cellStyle name="Normal 45 39" xfId="56988"/>
    <cellStyle name="Normal 45 4" xfId="1950"/>
    <cellStyle name="Normal 45 4 10" xfId="13541"/>
    <cellStyle name="Normal 45 4 11" xfId="15293"/>
    <cellStyle name="Normal 45 4 12" xfId="17046"/>
    <cellStyle name="Normal 45 4 13" xfId="18798"/>
    <cellStyle name="Normal 45 4 14" xfId="20551"/>
    <cellStyle name="Normal 45 4 15" xfId="22303"/>
    <cellStyle name="Normal 45 4 16" xfId="24055"/>
    <cellStyle name="Normal 45 4 17" xfId="25807"/>
    <cellStyle name="Normal 45 4 18" xfId="27559"/>
    <cellStyle name="Normal 45 4 19" xfId="29312"/>
    <cellStyle name="Normal 45 4 2" xfId="1951"/>
    <cellStyle name="Normal 45 4 2 10" xfId="15729"/>
    <cellStyle name="Normal 45 4 2 11" xfId="17482"/>
    <cellStyle name="Normal 45 4 2 12" xfId="19234"/>
    <cellStyle name="Normal 45 4 2 13" xfId="20987"/>
    <cellStyle name="Normal 45 4 2 14" xfId="22739"/>
    <cellStyle name="Normal 45 4 2 15" xfId="24491"/>
    <cellStyle name="Normal 45 4 2 16" xfId="26243"/>
    <cellStyle name="Normal 45 4 2 17" xfId="27995"/>
    <cellStyle name="Normal 45 4 2 18" xfId="29748"/>
    <cellStyle name="Normal 45 4 2 19" xfId="31500"/>
    <cellStyle name="Normal 45 4 2 2" xfId="1952"/>
    <cellStyle name="Normal 45 4 2 2 10" xfId="18358"/>
    <cellStyle name="Normal 45 4 2 2 11" xfId="20110"/>
    <cellStyle name="Normal 45 4 2 2 12" xfId="21863"/>
    <cellStyle name="Normal 45 4 2 2 13" xfId="23615"/>
    <cellStyle name="Normal 45 4 2 2 14" xfId="25367"/>
    <cellStyle name="Normal 45 4 2 2 15" xfId="27119"/>
    <cellStyle name="Normal 45 4 2 2 16" xfId="28871"/>
    <cellStyle name="Normal 45 4 2 2 17" xfId="30624"/>
    <cellStyle name="Normal 45 4 2 2 18" xfId="32376"/>
    <cellStyle name="Normal 45 4 2 2 19" xfId="34129"/>
    <cellStyle name="Normal 45 4 2 2 2" xfId="4340"/>
    <cellStyle name="Normal 45 4 2 2 20" xfId="36765"/>
    <cellStyle name="Normal 45 4 2 2 21" xfId="38505"/>
    <cellStyle name="Normal 45 4 2 2 22" xfId="40258"/>
    <cellStyle name="Normal 45 4 2 2 23" xfId="42013"/>
    <cellStyle name="Normal 45 4 2 2 24" xfId="43765"/>
    <cellStyle name="Normal 45 4 2 2 25" xfId="46383"/>
    <cellStyle name="Normal 45 4 2 2 26" xfId="48135"/>
    <cellStyle name="Normal 45 4 2 2 27" xfId="49887"/>
    <cellStyle name="Normal 45 4 2 2 28" xfId="51639"/>
    <cellStyle name="Normal 45 4 2 2 29" xfId="53391"/>
    <cellStyle name="Normal 45 4 2 2 3" xfId="6092"/>
    <cellStyle name="Normal 45 4 2 2 30" xfId="55143"/>
    <cellStyle name="Normal 45 4 2 2 31" xfId="56895"/>
    <cellStyle name="Normal 45 4 2 2 32" xfId="58648"/>
    <cellStyle name="Normal 45 4 2 2 33" xfId="60400"/>
    <cellStyle name="Normal 45 4 2 2 34" xfId="62152"/>
    <cellStyle name="Normal 45 4 2 2 4" xfId="7844"/>
    <cellStyle name="Normal 45 4 2 2 5" xfId="9596"/>
    <cellStyle name="Normal 45 4 2 2 6" xfId="11349"/>
    <cellStyle name="Normal 45 4 2 2 7" xfId="13101"/>
    <cellStyle name="Normal 45 4 2 2 8" xfId="14853"/>
    <cellStyle name="Normal 45 4 2 2 9" xfId="16605"/>
    <cellStyle name="Normal 45 4 2 20" xfId="33253"/>
    <cellStyle name="Normal 45 4 2 21" xfId="34906"/>
    <cellStyle name="Normal 45 4 2 22" xfId="35889"/>
    <cellStyle name="Normal 45 4 2 23" xfId="37527"/>
    <cellStyle name="Normal 45 4 2 24" xfId="39382"/>
    <cellStyle name="Normal 45 4 2 25" xfId="41137"/>
    <cellStyle name="Normal 45 4 2 26" xfId="42889"/>
    <cellStyle name="Normal 45 4 2 27" xfId="44527"/>
    <cellStyle name="Normal 45 4 2 28" xfId="45507"/>
    <cellStyle name="Normal 45 4 2 29" xfId="47259"/>
    <cellStyle name="Normal 45 4 2 3" xfId="3464"/>
    <cellStyle name="Normal 45 4 2 30" xfId="49011"/>
    <cellStyle name="Normal 45 4 2 31" xfId="50763"/>
    <cellStyle name="Normal 45 4 2 32" xfId="52515"/>
    <cellStyle name="Normal 45 4 2 33" xfId="54267"/>
    <cellStyle name="Normal 45 4 2 34" xfId="56019"/>
    <cellStyle name="Normal 45 4 2 35" xfId="57772"/>
    <cellStyle name="Normal 45 4 2 36" xfId="59524"/>
    <cellStyle name="Normal 45 4 2 37" xfId="61276"/>
    <cellStyle name="Normal 45 4 2 38" xfId="62914"/>
    <cellStyle name="Normal 45 4 2 39" xfId="63780"/>
    <cellStyle name="Normal 45 4 2 4" xfId="5216"/>
    <cellStyle name="Normal 45 4 2 5" xfId="6968"/>
    <cellStyle name="Normal 45 4 2 6" xfId="8720"/>
    <cellStyle name="Normal 45 4 2 7" xfId="10473"/>
    <cellStyle name="Normal 45 4 2 8" xfId="12225"/>
    <cellStyle name="Normal 45 4 2 9" xfId="13977"/>
    <cellStyle name="Normal 45 4 20" xfId="31064"/>
    <cellStyle name="Normal 45 4 21" xfId="32817"/>
    <cellStyle name="Normal 45 4 22" xfId="34905"/>
    <cellStyle name="Normal 45 4 23" xfId="35453"/>
    <cellStyle name="Normal 45 4 24" xfId="37526"/>
    <cellStyle name="Normal 45 4 25" xfId="38946"/>
    <cellStyle name="Normal 45 4 26" xfId="40701"/>
    <cellStyle name="Normal 45 4 27" xfId="42453"/>
    <cellStyle name="Normal 45 4 28" xfId="44526"/>
    <cellStyle name="Normal 45 4 29" xfId="45071"/>
    <cellStyle name="Normal 45 4 3" xfId="1953"/>
    <cellStyle name="Normal 45 4 3 10" xfId="17922"/>
    <cellStyle name="Normal 45 4 3 11" xfId="19674"/>
    <cellStyle name="Normal 45 4 3 12" xfId="21427"/>
    <cellStyle name="Normal 45 4 3 13" xfId="23179"/>
    <cellStyle name="Normal 45 4 3 14" xfId="24931"/>
    <cellStyle name="Normal 45 4 3 15" xfId="26683"/>
    <cellStyle name="Normal 45 4 3 16" xfId="28435"/>
    <cellStyle name="Normal 45 4 3 17" xfId="30188"/>
    <cellStyle name="Normal 45 4 3 18" xfId="31940"/>
    <cellStyle name="Normal 45 4 3 19" xfId="33693"/>
    <cellStyle name="Normal 45 4 3 2" xfId="3904"/>
    <cellStyle name="Normal 45 4 3 20" xfId="36329"/>
    <cellStyle name="Normal 45 4 3 21" xfId="38069"/>
    <cellStyle name="Normal 45 4 3 22" xfId="39822"/>
    <cellStyle name="Normal 45 4 3 23" xfId="41577"/>
    <cellStyle name="Normal 45 4 3 24" xfId="43329"/>
    <cellStyle name="Normal 45 4 3 25" xfId="45947"/>
    <cellStyle name="Normal 45 4 3 26" xfId="47699"/>
    <cellStyle name="Normal 45 4 3 27" xfId="49451"/>
    <cellStyle name="Normal 45 4 3 28" xfId="51203"/>
    <cellStyle name="Normal 45 4 3 29" xfId="52955"/>
    <cellStyle name="Normal 45 4 3 3" xfId="5656"/>
    <cellStyle name="Normal 45 4 3 30" xfId="54707"/>
    <cellStyle name="Normal 45 4 3 31" xfId="56459"/>
    <cellStyle name="Normal 45 4 3 32" xfId="58212"/>
    <cellStyle name="Normal 45 4 3 33" xfId="59964"/>
    <cellStyle name="Normal 45 4 3 34" xfId="61716"/>
    <cellStyle name="Normal 45 4 3 4" xfId="7408"/>
    <cellStyle name="Normal 45 4 3 5" xfId="9160"/>
    <cellStyle name="Normal 45 4 3 6" xfId="10913"/>
    <cellStyle name="Normal 45 4 3 7" xfId="12665"/>
    <cellStyle name="Normal 45 4 3 8" xfId="14417"/>
    <cellStyle name="Normal 45 4 3 9" xfId="16169"/>
    <cellStyle name="Normal 45 4 30" xfId="46823"/>
    <cellStyle name="Normal 45 4 31" xfId="48575"/>
    <cellStyle name="Normal 45 4 32" xfId="50327"/>
    <cellStyle name="Normal 45 4 33" xfId="52079"/>
    <cellStyle name="Normal 45 4 34" xfId="53831"/>
    <cellStyle name="Normal 45 4 35" xfId="55583"/>
    <cellStyle name="Normal 45 4 36" xfId="57336"/>
    <cellStyle name="Normal 45 4 37" xfId="59088"/>
    <cellStyle name="Normal 45 4 38" xfId="60840"/>
    <cellStyle name="Normal 45 4 39" xfId="62913"/>
    <cellStyle name="Normal 45 4 4" xfId="3028"/>
    <cellStyle name="Normal 45 4 40" xfId="63779"/>
    <cellStyle name="Normal 45 4 5" xfId="4780"/>
    <cellStyle name="Normal 45 4 6" xfId="6532"/>
    <cellStyle name="Normal 45 4 7" xfId="8284"/>
    <cellStyle name="Normal 45 4 8" xfId="10037"/>
    <cellStyle name="Normal 45 4 9" xfId="11789"/>
    <cellStyle name="Normal 45 40" xfId="58740"/>
    <cellStyle name="Normal 45 41" xfId="60492"/>
    <cellStyle name="Normal 45 42" xfId="62900"/>
    <cellStyle name="Normal 45 43" xfId="63766"/>
    <cellStyle name="Normal 45 5" xfId="1954"/>
    <cellStyle name="Normal 45 5 10" xfId="15381"/>
    <cellStyle name="Normal 45 5 11" xfId="17134"/>
    <cellStyle name="Normal 45 5 12" xfId="18886"/>
    <cellStyle name="Normal 45 5 13" xfId="20639"/>
    <cellStyle name="Normal 45 5 14" xfId="22391"/>
    <cellStyle name="Normal 45 5 15" xfId="24143"/>
    <cellStyle name="Normal 45 5 16" xfId="25895"/>
    <cellStyle name="Normal 45 5 17" xfId="27647"/>
    <cellStyle name="Normal 45 5 18" xfId="29400"/>
    <cellStyle name="Normal 45 5 19" xfId="31152"/>
    <cellStyle name="Normal 45 5 2" xfId="1955"/>
    <cellStyle name="Normal 45 5 2 10" xfId="18010"/>
    <cellStyle name="Normal 45 5 2 11" xfId="19762"/>
    <cellStyle name="Normal 45 5 2 12" xfId="21515"/>
    <cellStyle name="Normal 45 5 2 13" xfId="23267"/>
    <cellStyle name="Normal 45 5 2 14" xfId="25019"/>
    <cellStyle name="Normal 45 5 2 15" xfId="26771"/>
    <cellStyle name="Normal 45 5 2 16" xfId="28523"/>
    <cellStyle name="Normal 45 5 2 17" xfId="30276"/>
    <cellStyle name="Normal 45 5 2 18" xfId="32028"/>
    <cellStyle name="Normal 45 5 2 19" xfId="33781"/>
    <cellStyle name="Normal 45 5 2 2" xfId="3992"/>
    <cellStyle name="Normal 45 5 2 20" xfId="36417"/>
    <cellStyle name="Normal 45 5 2 21" xfId="38157"/>
    <cellStyle name="Normal 45 5 2 22" xfId="39910"/>
    <cellStyle name="Normal 45 5 2 23" xfId="41665"/>
    <cellStyle name="Normal 45 5 2 24" xfId="43417"/>
    <cellStyle name="Normal 45 5 2 25" xfId="46035"/>
    <cellStyle name="Normal 45 5 2 26" xfId="47787"/>
    <cellStyle name="Normal 45 5 2 27" xfId="49539"/>
    <cellStyle name="Normal 45 5 2 28" xfId="51291"/>
    <cellStyle name="Normal 45 5 2 29" xfId="53043"/>
    <cellStyle name="Normal 45 5 2 3" xfId="5744"/>
    <cellStyle name="Normal 45 5 2 30" xfId="54795"/>
    <cellStyle name="Normal 45 5 2 31" xfId="56547"/>
    <cellStyle name="Normal 45 5 2 32" xfId="58300"/>
    <cellStyle name="Normal 45 5 2 33" xfId="60052"/>
    <cellStyle name="Normal 45 5 2 34" xfId="61804"/>
    <cellStyle name="Normal 45 5 2 4" xfId="7496"/>
    <cellStyle name="Normal 45 5 2 5" xfId="9248"/>
    <cellStyle name="Normal 45 5 2 6" xfId="11001"/>
    <cellStyle name="Normal 45 5 2 7" xfId="12753"/>
    <cellStyle name="Normal 45 5 2 8" xfId="14505"/>
    <cellStyle name="Normal 45 5 2 9" xfId="16257"/>
    <cellStyle name="Normal 45 5 20" xfId="32905"/>
    <cellStyle name="Normal 45 5 21" xfId="34907"/>
    <cellStyle name="Normal 45 5 22" xfId="35541"/>
    <cellStyle name="Normal 45 5 23" xfId="37528"/>
    <cellStyle name="Normal 45 5 24" xfId="39034"/>
    <cellStyle name="Normal 45 5 25" xfId="40789"/>
    <cellStyle name="Normal 45 5 26" xfId="42541"/>
    <cellStyle name="Normal 45 5 27" xfId="44528"/>
    <cellStyle name="Normal 45 5 28" xfId="45159"/>
    <cellStyle name="Normal 45 5 29" xfId="46911"/>
    <cellStyle name="Normal 45 5 3" xfId="3116"/>
    <cellStyle name="Normal 45 5 30" xfId="48663"/>
    <cellStyle name="Normal 45 5 31" xfId="50415"/>
    <cellStyle name="Normal 45 5 32" xfId="52167"/>
    <cellStyle name="Normal 45 5 33" xfId="53919"/>
    <cellStyle name="Normal 45 5 34" xfId="55671"/>
    <cellStyle name="Normal 45 5 35" xfId="57424"/>
    <cellStyle name="Normal 45 5 36" xfId="59176"/>
    <cellStyle name="Normal 45 5 37" xfId="60928"/>
    <cellStyle name="Normal 45 5 38" xfId="62915"/>
    <cellStyle name="Normal 45 5 39" xfId="63781"/>
    <cellStyle name="Normal 45 5 4" xfId="4868"/>
    <cellStyle name="Normal 45 5 5" xfId="6620"/>
    <cellStyle name="Normal 45 5 6" xfId="8372"/>
    <cellStyle name="Normal 45 5 7" xfId="10125"/>
    <cellStyle name="Normal 45 5 8" xfId="11877"/>
    <cellStyle name="Normal 45 5 9" xfId="13629"/>
    <cellStyle name="Normal 45 6" xfId="1956"/>
    <cellStyle name="Normal 45 6 10" xfId="17574"/>
    <cellStyle name="Normal 45 6 11" xfId="19326"/>
    <cellStyle name="Normal 45 6 12" xfId="21079"/>
    <cellStyle name="Normal 45 6 13" xfId="22831"/>
    <cellStyle name="Normal 45 6 14" xfId="24583"/>
    <cellStyle name="Normal 45 6 15" xfId="26335"/>
    <cellStyle name="Normal 45 6 16" xfId="28087"/>
    <cellStyle name="Normal 45 6 17" xfId="29840"/>
    <cellStyle name="Normal 45 6 18" xfId="31592"/>
    <cellStyle name="Normal 45 6 19" xfId="33345"/>
    <cellStyle name="Normal 45 6 2" xfId="3556"/>
    <cellStyle name="Normal 45 6 20" xfId="35981"/>
    <cellStyle name="Normal 45 6 21" xfId="37717"/>
    <cellStyle name="Normal 45 6 22" xfId="39474"/>
    <cellStyle name="Normal 45 6 23" xfId="41229"/>
    <cellStyle name="Normal 45 6 24" xfId="42981"/>
    <cellStyle name="Normal 45 6 25" xfId="45599"/>
    <cellStyle name="Normal 45 6 26" xfId="47351"/>
    <cellStyle name="Normal 45 6 27" xfId="49103"/>
    <cellStyle name="Normal 45 6 28" xfId="50855"/>
    <cellStyle name="Normal 45 6 29" xfId="52607"/>
    <cellStyle name="Normal 45 6 3" xfId="5308"/>
    <cellStyle name="Normal 45 6 30" xfId="54359"/>
    <cellStyle name="Normal 45 6 31" xfId="56111"/>
    <cellStyle name="Normal 45 6 32" xfId="57864"/>
    <cellStyle name="Normal 45 6 33" xfId="59616"/>
    <cellStyle name="Normal 45 6 34" xfId="61368"/>
    <cellStyle name="Normal 45 6 4" xfId="7060"/>
    <cellStyle name="Normal 45 6 5" xfId="8812"/>
    <cellStyle name="Normal 45 6 6" xfId="10565"/>
    <cellStyle name="Normal 45 6 7" xfId="12317"/>
    <cellStyle name="Normal 45 6 8" xfId="14069"/>
    <cellStyle name="Normal 45 6 9" xfId="15821"/>
    <cellStyle name="Normal 45 7" xfId="2680"/>
    <cellStyle name="Normal 45 8" xfId="4432"/>
    <cellStyle name="Normal 45 9" xfId="6184"/>
    <cellStyle name="Normal 46" xfId="1957"/>
    <cellStyle name="Normal 46 10" xfId="7937"/>
    <cellStyle name="Normal 46 11" xfId="9690"/>
    <cellStyle name="Normal 46 12" xfId="11442"/>
    <cellStyle name="Normal 46 13" xfId="13194"/>
    <cellStyle name="Normal 46 14" xfId="14946"/>
    <cellStyle name="Normal 46 15" xfId="16699"/>
    <cellStyle name="Normal 46 16" xfId="18451"/>
    <cellStyle name="Normal 46 17" xfId="20204"/>
    <cellStyle name="Normal 46 18" xfId="21956"/>
    <cellStyle name="Normal 46 19" xfId="23708"/>
    <cellStyle name="Normal 46 2" xfId="1958"/>
    <cellStyle name="Normal 46 2 10" xfId="9745"/>
    <cellStyle name="Normal 46 2 11" xfId="11497"/>
    <cellStyle name="Normal 46 2 12" xfId="13249"/>
    <cellStyle name="Normal 46 2 13" xfId="15001"/>
    <cellStyle name="Normal 46 2 14" xfId="16754"/>
    <cellStyle name="Normal 46 2 15" xfId="18506"/>
    <cellStyle name="Normal 46 2 16" xfId="20259"/>
    <cellStyle name="Normal 46 2 17" xfId="22011"/>
    <cellStyle name="Normal 46 2 18" xfId="23763"/>
    <cellStyle name="Normal 46 2 19" xfId="25515"/>
    <cellStyle name="Normal 46 2 2" xfId="1959"/>
    <cellStyle name="Normal 46 2 2 10" xfId="11605"/>
    <cellStyle name="Normal 46 2 2 11" xfId="13357"/>
    <cellStyle name="Normal 46 2 2 12" xfId="15109"/>
    <cellStyle name="Normal 46 2 2 13" xfId="16862"/>
    <cellStyle name="Normal 46 2 2 14" xfId="18614"/>
    <cellStyle name="Normal 46 2 2 15" xfId="20367"/>
    <cellStyle name="Normal 46 2 2 16" xfId="22119"/>
    <cellStyle name="Normal 46 2 2 17" xfId="23871"/>
    <cellStyle name="Normal 46 2 2 18" xfId="25623"/>
    <cellStyle name="Normal 46 2 2 19" xfId="27375"/>
    <cellStyle name="Normal 46 2 2 2" xfId="1960"/>
    <cellStyle name="Normal 46 2 2 2 10" xfId="13542"/>
    <cellStyle name="Normal 46 2 2 2 11" xfId="15294"/>
    <cellStyle name="Normal 46 2 2 2 12" xfId="17047"/>
    <cellStyle name="Normal 46 2 2 2 13" xfId="18799"/>
    <cellStyle name="Normal 46 2 2 2 14" xfId="20552"/>
    <cellStyle name="Normal 46 2 2 2 15" xfId="22304"/>
    <cellStyle name="Normal 46 2 2 2 16" xfId="24056"/>
    <cellStyle name="Normal 46 2 2 2 17" xfId="25808"/>
    <cellStyle name="Normal 46 2 2 2 18" xfId="27560"/>
    <cellStyle name="Normal 46 2 2 2 19" xfId="29313"/>
    <cellStyle name="Normal 46 2 2 2 2" xfId="1961"/>
    <cellStyle name="Normal 46 2 2 2 2 10" xfId="15730"/>
    <cellStyle name="Normal 46 2 2 2 2 11" xfId="17483"/>
    <cellStyle name="Normal 46 2 2 2 2 12" xfId="19235"/>
    <cellStyle name="Normal 46 2 2 2 2 13" xfId="20988"/>
    <cellStyle name="Normal 46 2 2 2 2 14" xfId="22740"/>
    <cellStyle name="Normal 46 2 2 2 2 15" xfId="24492"/>
    <cellStyle name="Normal 46 2 2 2 2 16" xfId="26244"/>
    <cellStyle name="Normal 46 2 2 2 2 17" xfId="27996"/>
    <cellStyle name="Normal 46 2 2 2 2 18" xfId="29749"/>
    <cellStyle name="Normal 46 2 2 2 2 19" xfId="31501"/>
    <cellStyle name="Normal 46 2 2 2 2 2" xfId="1962"/>
    <cellStyle name="Normal 46 2 2 2 2 2 10" xfId="18359"/>
    <cellStyle name="Normal 46 2 2 2 2 2 11" xfId="20111"/>
    <cellStyle name="Normal 46 2 2 2 2 2 12" xfId="21864"/>
    <cellStyle name="Normal 46 2 2 2 2 2 13" xfId="23616"/>
    <cellStyle name="Normal 46 2 2 2 2 2 14" xfId="25368"/>
    <cellStyle name="Normal 46 2 2 2 2 2 15" xfId="27120"/>
    <cellStyle name="Normal 46 2 2 2 2 2 16" xfId="28872"/>
    <cellStyle name="Normal 46 2 2 2 2 2 17" xfId="30625"/>
    <cellStyle name="Normal 46 2 2 2 2 2 18" xfId="32377"/>
    <cellStyle name="Normal 46 2 2 2 2 2 19" xfId="34130"/>
    <cellStyle name="Normal 46 2 2 2 2 2 2" xfId="4341"/>
    <cellStyle name="Normal 46 2 2 2 2 2 20" xfId="36766"/>
    <cellStyle name="Normal 46 2 2 2 2 2 21" xfId="38506"/>
    <cellStyle name="Normal 46 2 2 2 2 2 22" xfId="40259"/>
    <cellStyle name="Normal 46 2 2 2 2 2 23" xfId="42014"/>
    <cellStyle name="Normal 46 2 2 2 2 2 24" xfId="43766"/>
    <cellStyle name="Normal 46 2 2 2 2 2 25" xfId="46384"/>
    <cellStyle name="Normal 46 2 2 2 2 2 26" xfId="48136"/>
    <cellStyle name="Normal 46 2 2 2 2 2 27" xfId="49888"/>
    <cellStyle name="Normal 46 2 2 2 2 2 28" xfId="51640"/>
    <cellStyle name="Normal 46 2 2 2 2 2 29" xfId="53392"/>
    <cellStyle name="Normal 46 2 2 2 2 2 3" xfId="6093"/>
    <cellStyle name="Normal 46 2 2 2 2 2 30" xfId="55144"/>
    <cellStyle name="Normal 46 2 2 2 2 2 31" xfId="56896"/>
    <cellStyle name="Normal 46 2 2 2 2 2 32" xfId="58649"/>
    <cellStyle name="Normal 46 2 2 2 2 2 33" xfId="60401"/>
    <cellStyle name="Normal 46 2 2 2 2 2 34" xfId="62153"/>
    <cellStyle name="Normal 46 2 2 2 2 2 4" xfId="7845"/>
    <cellStyle name="Normal 46 2 2 2 2 2 5" xfId="9597"/>
    <cellStyle name="Normal 46 2 2 2 2 2 6" xfId="11350"/>
    <cellStyle name="Normal 46 2 2 2 2 2 7" xfId="13102"/>
    <cellStyle name="Normal 46 2 2 2 2 2 8" xfId="14854"/>
    <cellStyle name="Normal 46 2 2 2 2 2 9" xfId="16606"/>
    <cellStyle name="Normal 46 2 2 2 2 20" xfId="33254"/>
    <cellStyle name="Normal 46 2 2 2 2 21" xfId="34911"/>
    <cellStyle name="Normal 46 2 2 2 2 22" xfId="35890"/>
    <cellStyle name="Normal 46 2 2 2 2 23" xfId="37532"/>
    <cellStyle name="Normal 46 2 2 2 2 24" xfId="39383"/>
    <cellStyle name="Normal 46 2 2 2 2 25" xfId="41138"/>
    <cellStyle name="Normal 46 2 2 2 2 26" xfId="42890"/>
    <cellStyle name="Normal 46 2 2 2 2 27" xfId="44532"/>
    <cellStyle name="Normal 46 2 2 2 2 28" xfId="45508"/>
    <cellStyle name="Normal 46 2 2 2 2 29" xfId="47260"/>
    <cellStyle name="Normal 46 2 2 2 2 3" xfId="3465"/>
    <cellStyle name="Normal 46 2 2 2 2 30" xfId="49012"/>
    <cellStyle name="Normal 46 2 2 2 2 31" xfId="50764"/>
    <cellStyle name="Normal 46 2 2 2 2 32" xfId="52516"/>
    <cellStyle name="Normal 46 2 2 2 2 33" xfId="54268"/>
    <cellStyle name="Normal 46 2 2 2 2 34" xfId="56020"/>
    <cellStyle name="Normal 46 2 2 2 2 35" xfId="57773"/>
    <cellStyle name="Normal 46 2 2 2 2 36" xfId="59525"/>
    <cellStyle name="Normal 46 2 2 2 2 37" xfId="61277"/>
    <cellStyle name="Normal 46 2 2 2 2 38" xfId="62919"/>
    <cellStyle name="Normal 46 2 2 2 2 39" xfId="63785"/>
    <cellStyle name="Normal 46 2 2 2 2 4" xfId="5217"/>
    <cellStyle name="Normal 46 2 2 2 2 5" xfId="6969"/>
    <cellStyle name="Normal 46 2 2 2 2 6" xfId="8721"/>
    <cellStyle name="Normal 46 2 2 2 2 7" xfId="10474"/>
    <cellStyle name="Normal 46 2 2 2 2 8" xfId="12226"/>
    <cellStyle name="Normal 46 2 2 2 2 9" xfId="13978"/>
    <cellStyle name="Normal 46 2 2 2 20" xfId="31065"/>
    <cellStyle name="Normal 46 2 2 2 21" xfId="32818"/>
    <cellStyle name="Normal 46 2 2 2 22" xfId="34910"/>
    <cellStyle name="Normal 46 2 2 2 23" xfId="35454"/>
    <cellStyle name="Normal 46 2 2 2 24" xfId="37531"/>
    <cellStyle name="Normal 46 2 2 2 25" xfId="38947"/>
    <cellStyle name="Normal 46 2 2 2 26" xfId="40702"/>
    <cellStyle name="Normal 46 2 2 2 27" xfId="42454"/>
    <cellStyle name="Normal 46 2 2 2 28" xfId="44531"/>
    <cellStyle name="Normal 46 2 2 2 29" xfId="45072"/>
    <cellStyle name="Normal 46 2 2 2 3" xfId="1963"/>
    <cellStyle name="Normal 46 2 2 2 3 10" xfId="17923"/>
    <cellStyle name="Normal 46 2 2 2 3 11" xfId="19675"/>
    <cellStyle name="Normal 46 2 2 2 3 12" xfId="21428"/>
    <cellStyle name="Normal 46 2 2 2 3 13" xfId="23180"/>
    <cellStyle name="Normal 46 2 2 2 3 14" xfId="24932"/>
    <cellStyle name="Normal 46 2 2 2 3 15" xfId="26684"/>
    <cellStyle name="Normal 46 2 2 2 3 16" xfId="28436"/>
    <cellStyle name="Normal 46 2 2 2 3 17" xfId="30189"/>
    <cellStyle name="Normal 46 2 2 2 3 18" xfId="31941"/>
    <cellStyle name="Normal 46 2 2 2 3 19" xfId="33694"/>
    <cellStyle name="Normal 46 2 2 2 3 2" xfId="3905"/>
    <cellStyle name="Normal 46 2 2 2 3 20" xfId="36330"/>
    <cellStyle name="Normal 46 2 2 2 3 21" xfId="38070"/>
    <cellStyle name="Normal 46 2 2 2 3 22" xfId="39823"/>
    <cellStyle name="Normal 46 2 2 2 3 23" xfId="41578"/>
    <cellStyle name="Normal 46 2 2 2 3 24" xfId="43330"/>
    <cellStyle name="Normal 46 2 2 2 3 25" xfId="45948"/>
    <cellStyle name="Normal 46 2 2 2 3 26" xfId="47700"/>
    <cellStyle name="Normal 46 2 2 2 3 27" xfId="49452"/>
    <cellStyle name="Normal 46 2 2 2 3 28" xfId="51204"/>
    <cellStyle name="Normal 46 2 2 2 3 29" xfId="52956"/>
    <cellStyle name="Normal 46 2 2 2 3 3" xfId="5657"/>
    <cellStyle name="Normal 46 2 2 2 3 30" xfId="54708"/>
    <cellStyle name="Normal 46 2 2 2 3 31" xfId="56460"/>
    <cellStyle name="Normal 46 2 2 2 3 32" xfId="58213"/>
    <cellStyle name="Normal 46 2 2 2 3 33" xfId="59965"/>
    <cellStyle name="Normal 46 2 2 2 3 34" xfId="61717"/>
    <cellStyle name="Normal 46 2 2 2 3 4" xfId="7409"/>
    <cellStyle name="Normal 46 2 2 2 3 5" xfId="9161"/>
    <cellStyle name="Normal 46 2 2 2 3 6" xfId="10914"/>
    <cellStyle name="Normal 46 2 2 2 3 7" xfId="12666"/>
    <cellStyle name="Normal 46 2 2 2 3 8" xfId="14418"/>
    <cellStyle name="Normal 46 2 2 2 3 9" xfId="16170"/>
    <cellStyle name="Normal 46 2 2 2 30" xfId="46824"/>
    <cellStyle name="Normal 46 2 2 2 31" xfId="48576"/>
    <cellStyle name="Normal 46 2 2 2 32" xfId="50328"/>
    <cellStyle name="Normal 46 2 2 2 33" xfId="52080"/>
    <cellStyle name="Normal 46 2 2 2 34" xfId="53832"/>
    <cellStyle name="Normal 46 2 2 2 35" xfId="55584"/>
    <cellStyle name="Normal 46 2 2 2 36" xfId="57337"/>
    <cellStyle name="Normal 46 2 2 2 37" xfId="59089"/>
    <cellStyle name="Normal 46 2 2 2 38" xfId="60841"/>
    <cellStyle name="Normal 46 2 2 2 39" xfId="62918"/>
    <cellStyle name="Normal 46 2 2 2 4" xfId="3029"/>
    <cellStyle name="Normal 46 2 2 2 40" xfId="63784"/>
    <cellStyle name="Normal 46 2 2 2 5" xfId="4781"/>
    <cellStyle name="Normal 46 2 2 2 6" xfId="6533"/>
    <cellStyle name="Normal 46 2 2 2 7" xfId="8285"/>
    <cellStyle name="Normal 46 2 2 2 8" xfId="10038"/>
    <cellStyle name="Normal 46 2 2 2 9" xfId="11790"/>
    <cellStyle name="Normal 46 2 2 20" xfId="29128"/>
    <cellStyle name="Normal 46 2 2 21" xfId="30880"/>
    <cellStyle name="Normal 46 2 2 22" xfId="32633"/>
    <cellStyle name="Normal 46 2 2 23" xfId="34909"/>
    <cellStyle name="Normal 46 2 2 24" xfId="35269"/>
    <cellStyle name="Normal 46 2 2 25" xfId="37530"/>
    <cellStyle name="Normal 46 2 2 26" xfId="38762"/>
    <cellStyle name="Normal 46 2 2 27" xfId="40517"/>
    <cellStyle name="Normal 46 2 2 28" xfId="42269"/>
    <cellStyle name="Normal 46 2 2 29" xfId="44530"/>
    <cellStyle name="Normal 46 2 2 3" xfId="1964"/>
    <cellStyle name="Normal 46 2 2 3 10" xfId="15545"/>
    <cellStyle name="Normal 46 2 2 3 11" xfId="17298"/>
    <cellStyle name="Normal 46 2 2 3 12" xfId="19050"/>
    <cellStyle name="Normal 46 2 2 3 13" xfId="20803"/>
    <cellStyle name="Normal 46 2 2 3 14" xfId="22555"/>
    <cellStyle name="Normal 46 2 2 3 15" xfId="24307"/>
    <cellStyle name="Normal 46 2 2 3 16" xfId="26059"/>
    <cellStyle name="Normal 46 2 2 3 17" xfId="27811"/>
    <cellStyle name="Normal 46 2 2 3 18" xfId="29564"/>
    <cellStyle name="Normal 46 2 2 3 19" xfId="31316"/>
    <cellStyle name="Normal 46 2 2 3 2" xfId="1965"/>
    <cellStyle name="Normal 46 2 2 3 2 10" xfId="18174"/>
    <cellStyle name="Normal 46 2 2 3 2 11" xfId="19926"/>
    <cellStyle name="Normal 46 2 2 3 2 12" xfId="21679"/>
    <cellStyle name="Normal 46 2 2 3 2 13" xfId="23431"/>
    <cellStyle name="Normal 46 2 2 3 2 14" xfId="25183"/>
    <cellStyle name="Normal 46 2 2 3 2 15" xfId="26935"/>
    <cellStyle name="Normal 46 2 2 3 2 16" xfId="28687"/>
    <cellStyle name="Normal 46 2 2 3 2 17" xfId="30440"/>
    <cellStyle name="Normal 46 2 2 3 2 18" xfId="32192"/>
    <cellStyle name="Normal 46 2 2 3 2 19" xfId="33945"/>
    <cellStyle name="Normal 46 2 2 3 2 2" xfId="4156"/>
    <cellStyle name="Normal 46 2 2 3 2 20" xfId="36581"/>
    <cellStyle name="Normal 46 2 2 3 2 21" xfId="38321"/>
    <cellStyle name="Normal 46 2 2 3 2 22" xfId="40074"/>
    <cellStyle name="Normal 46 2 2 3 2 23" xfId="41829"/>
    <cellStyle name="Normal 46 2 2 3 2 24" xfId="43581"/>
    <cellStyle name="Normal 46 2 2 3 2 25" xfId="46199"/>
    <cellStyle name="Normal 46 2 2 3 2 26" xfId="47951"/>
    <cellStyle name="Normal 46 2 2 3 2 27" xfId="49703"/>
    <cellStyle name="Normal 46 2 2 3 2 28" xfId="51455"/>
    <cellStyle name="Normal 46 2 2 3 2 29" xfId="53207"/>
    <cellStyle name="Normal 46 2 2 3 2 3" xfId="5908"/>
    <cellStyle name="Normal 46 2 2 3 2 30" xfId="54959"/>
    <cellStyle name="Normal 46 2 2 3 2 31" xfId="56711"/>
    <cellStyle name="Normal 46 2 2 3 2 32" xfId="58464"/>
    <cellStyle name="Normal 46 2 2 3 2 33" xfId="60216"/>
    <cellStyle name="Normal 46 2 2 3 2 34" xfId="61968"/>
    <cellStyle name="Normal 46 2 2 3 2 4" xfId="7660"/>
    <cellStyle name="Normal 46 2 2 3 2 5" xfId="9412"/>
    <cellStyle name="Normal 46 2 2 3 2 6" xfId="11165"/>
    <cellStyle name="Normal 46 2 2 3 2 7" xfId="12917"/>
    <cellStyle name="Normal 46 2 2 3 2 8" xfId="14669"/>
    <cellStyle name="Normal 46 2 2 3 2 9" xfId="16421"/>
    <cellStyle name="Normal 46 2 2 3 20" xfId="33069"/>
    <cellStyle name="Normal 46 2 2 3 21" xfId="34912"/>
    <cellStyle name="Normal 46 2 2 3 22" xfId="35705"/>
    <cellStyle name="Normal 46 2 2 3 23" xfId="37533"/>
    <cellStyle name="Normal 46 2 2 3 24" xfId="39198"/>
    <cellStyle name="Normal 46 2 2 3 25" xfId="40953"/>
    <cellStyle name="Normal 46 2 2 3 26" xfId="42705"/>
    <cellStyle name="Normal 46 2 2 3 27" xfId="44533"/>
    <cellStyle name="Normal 46 2 2 3 28" xfId="45323"/>
    <cellStyle name="Normal 46 2 2 3 29" xfId="47075"/>
    <cellStyle name="Normal 46 2 2 3 3" xfId="3280"/>
    <cellStyle name="Normal 46 2 2 3 30" xfId="48827"/>
    <cellStyle name="Normal 46 2 2 3 31" xfId="50579"/>
    <cellStyle name="Normal 46 2 2 3 32" xfId="52331"/>
    <cellStyle name="Normal 46 2 2 3 33" xfId="54083"/>
    <cellStyle name="Normal 46 2 2 3 34" xfId="55835"/>
    <cellStyle name="Normal 46 2 2 3 35" xfId="57588"/>
    <cellStyle name="Normal 46 2 2 3 36" xfId="59340"/>
    <cellStyle name="Normal 46 2 2 3 37" xfId="61092"/>
    <cellStyle name="Normal 46 2 2 3 38" xfId="62920"/>
    <cellStyle name="Normal 46 2 2 3 39" xfId="63786"/>
    <cellStyle name="Normal 46 2 2 3 4" xfId="5032"/>
    <cellStyle name="Normal 46 2 2 3 5" xfId="6784"/>
    <cellStyle name="Normal 46 2 2 3 6" xfId="8536"/>
    <cellStyle name="Normal 46 2 2 3 7" xfId="10289"/>
    <cellStyle name="Normal 46 2 2 3 8" xfId="12041"/>
    <cellStyle name="Normal 46 2 2 3 9" xfId="13793"/>
    <cellStyle name="Normal 46 2 2 30" xfId="44887"/>
    <cellStyle name="Normal 46 2 2 31" xfId="46639"/>
    <cellStyle name="Normal 46 2 2 32" xfId="48391"/>
    <cellStyle name="Normal 46 2 2 33" xfId="50143"/>
    <cellStyle name="Normal 46 2 2 34" xfId="51895"/>
    <cellStyle name="Normal 46 2 2 35" xfId="53647"/>
    <cellStyle name="Normal 46 2 2 36" xfId="55399"/>
    <cellStyle name="Normal 46 2 2 37" xfId="57152"/>
    <cellStyle name="Normal 46 2 2 38" xfId="58904"/>
    <cellStyle name="Normal 46 2 2 39" xfId="60656"/>
    <cellStyle name="Normal 46 2 2 4" xfId="1966"/>
    <cellStyle name="Normal 46 2 2 4 10" xfId="17738"/>
    <cellStyle name="Normal 46 2 2 4 11" xfId="19490"/>
    <cellStyle name="Normal 46 2 2 4 12" xfId="21243"/>
    <cellStyle name="Normal 46 2 2 4 13" xfId="22995"/>
    <cellStyle name="Normal 46 2 2 4 14" xfId="24747"/>
    <cellStyle name="Normal 46 2 2 4 15" xfId="26499"/>
    <cellStyle name="Normal 46 2 2 4 16" xfId="28251"/>
    <cellStyle name="Normal 46 2 2 4 17" xfId="30004"/>
    <cellStyle name="Normal 46 2 2 4 18" xfId="31756"/>
    <cellStyle name="Normal 46 2 2 4 19" xfId="33509"/>
    <cellStyle name="Normal 46 2 2 4 2" xfId="3720"/>
    <cellStyle name="Normal 46 2 2 4 20" xfId="36145"/>
    <cellStyle name="Normal 46 2 2 4 21" xfId="37885"/>
    <cellStyle name="Normal 46 2 2 4 22" xfId="39638"/>
    <cellStyle name="Normal 46 2 2 4 23" xfId="41393"/>
    <cellStyle name="Normal 46 2 2 4 24" xfId="43145"/>
    <cellStyle name="Normal 46 2 2 4 25" xfId="45763"/>
    <cellStyle name="Normal 46 2 2 4 26" xfId="47515"/>
    <cellStyle name="Normal 46 2 2 4 27" xfId="49267"/>
    <cellStyle name="Normal 46 2 2 4 28" xfId="51019"/>
    <cellStyle name="Normal 46 2 2 4 29" xfId="52771"/>
    <cellStyle name="Normal 46 2 2 4 3" xfId="5472"/>
    <cellStyle name="Normal 46 2 2 4 30" xfId="54523"/>
    <cellStyle name="Normal 46 2 2 4 31" xfId="56275"/>
    <cellStyle name="Normal 46 2 2 4 32" xfId="58028"/>
    <cellStyle name="Normal 46 2 2 4 33" xfId="59780"/>
    <cellStyle name="Normal 46 2 2 4 34" xfId="61532"/>
    <cellStyle name="Normal 46 2 2 4 4" xfId="7224"/>
    <cellStyle name="Normal 46 2 2 4 5" xfId="8976"/>
    <cellStyle name="Normal 46 2 2 4 6" xfId="10729"/>
    <cellStyle name="Normal 46 2 2 4 7" xfId="12481"/>
    <cellStyle name="Normal 46 2 2 4 8" xfId="14233"/>
    <cellStyle name="Normal 46 2 2 4 9" xfId="15985"/>
    <cellStyle name="Normal 46 2 2 40" xfId="62917"/>
    <cellStyle name="Normal 46 2 2 41" xfId="63783"/>
    <cellStyle name="Normal 46 2 2 5" xfId="2844"/>
    <cellStyle name="Normal 46 2 2 6" xfId="4596"/>
    <cellStyle name="Normal 46 2 2 7" xfId="6348"/>
    <cellStyle name="Normal 46 2 2 8" xfId="8100"/>
    <cellStyle name="Normal 46 2 2 9" xfId="9853"/>
    <cellStyle name="Normal 46 2 20" xfId="27267"/>
    <cellStyle name="Normal 46 2 21" xfId="29020"/>
    <cellStyle name="Normal 46 2 22" xfId="30772"/>
    <cellStyle name="Normal 46 2 23" xfId="32525"/>
    <cellStyle name="Normal 46 2 24" xfId="34908"/>
    <cellStyle name="Normal 46 2 25" xfId="35161"/>
    <cellStyle name="Normal 46 2 26" xfId="37529"/>
    <cellStyle name="Normal 46 2 27" xfId="38654"/>
    <cellStyle name="Normal 46 2 28" xfId="40409"/>
    <cellStyle name="Normal 46 2 29" xfId="42161"/>
    <cellStyle name="Normal 46 2 3" xfId="1967"/>
    <cellStyle name="Normal 46 2 3 10" xfId="13543"/>
    <cellStyle name="Normal 46 2 3 11" xfId="15295"/>
    <cellStyle name="Normal 46 2 3 12" xfId="17048"/>
    <cellStyle name="Normal 46 2 3 13" xfId="18800"/>
    <cellStyle name="Normal 46 2 3 14" xfId="20553"/>
    <cellStyle name="Normal 46 2 3 15" xfId="22305"/>
    <cellStyle name="Normal 46 2 3 16" xfId="24057"/>
    <cellStyle name="Normal 46 2 3 17" xfId="25809"/>
    <cellStyle name="Normal 46 2 3 18" xfId="27561"/>
    <cellStyle name="Normal 46 2 3 19" xfId="29314"/>
    <cellStyle name="Normal 46 2 3 2" xfId="1968"/>
    <cellStyle name="Normal 46 2 3 2 10" xfId="15731"/>
    <cellStyle name="Normal 46 2 3 2 11" xfId="17484"/>
    <cellStyle name="Normal 46 2 3 2 12" xfId="19236"/>
    <cellStyle name="Normal 46 2 3 2 13" xfId="20989"/>
    <cellStyle name="Normal 46 2 3 2 14" xfId="22741"/>
    <cellStyle name="Normal 46 2 3 2 15" xfId="24493"/>
    <cellStyle name="Normal 46 2 3 2 16" xfId="26245"/>
    <cellStyle name="Normal 46 2 3 2 17" xfId="27997"/>
    <cellStyle name="Normal 46 2 3 2 18" xfId="29750"/>
    <cellStyle name="Normal 46 2 3 2 19" xfId="31502"/>
    <cellStyle name="Normal 46 2 3 2 2" xfId="1969"/>
    <cellStyle name="Normal 46 2 3 2 2 10" xfId="18360"/>
    <cellStyle name="Normal 46 2 3 2 2 11" xfId="20112"/>
    <cellStyle name="Normal 46 2 3 2 2 12" xfId="21865"/>
    <cellStyle name="Normal 46 2 3 2 2 13" xfId="23617"/>
    <cellStyle name="Normal 46 2 3 2 2 14" xfId="25369"/>
    <cellStyle name="Normal 46 2 3 2 2 15" xfId="27121"/>
    <cellStyle name="Normal 46 2 3 2 2 16" xfId="28873"/>
    <cellStyle name="Normal 46 2 3 2 2 17" xfId="30626"/>
    <cellStyle name="Normal 46 2 3 2 2 18" xfId="32378"/>
    <cellStyle name="Normal 46 2 3 2 2 19" xfId="34131"/>
    <cellStyle name="Normal 46 2 3 2 2 2" xfId="4342"/>
    <cellStyle name="Normal 46 2 3 2 2 20" xfId="36767"/>
    <cellStyle name="Normal 46 2 3 2 2 21" xfId="38507"/>
    <cellStyle name="Normal 46 2 3 2 2 22" xfId="40260"/>
    <cellStyle name="Normal 46 2 3 2 2 23" xfId="42015"/>
    <cellStyle name="Normal 46 2 3 2 2 24" xfId="43767"/>
    <cellStyle name="Normal 46 2 3 2 2 25" xfId="46385"/>
    <cellStyle name="Normal 46 2 3 2 2 26" xfId="48137"/>
    <cellStyle name="Normal 46 2 3 2 2 27" xfId="49889"/>
    <cellStyle name="Normal 46 2 3 2 2 28" xfId="51641"/>
    <cellStyle name="Normal 46 2 3 2 2 29" xfId="53393"/>
    <cellStyle name="Normal 46 2 3 2 2 3" xfId="6094"/>
    <cellStyle name="Normal 46 2 3 2 2 30" xfId="55145"/>
    <cellStyle name="Normal 46 2 3 2 2 31" xfId="56897"/>
    <cellStyle name="Normal 46 2 3 2 2 32" xfId="58650"/>
    <cellStyle name="Normal 46 2 3 2 2 33" xfId="60402"/>
    <cellStyle name="Normal 46 2 3 2 2 34" xfId="62154"/>
    <cellStyle name="Normal 46 2 3 2 2 4" xfId="7846"/>
    <cellStyle name="Normal 46 2 3 2 2 5" xfId="9598"/>
    <cellStyle name="Normal 46 2 3 2 2 6" xfId="11351"/>
    <cellStyle name="Normal 46 2 3 2 2 7" xfId="13103"/>
    <cellStyle name="Normal 46 2 3 2 2 8" xfId="14855"/>
    <cellStyle name="Normal 46 2 3 2 2 9" xfId="16607"/>
    <cellStyle name="Normal 46 2 3 2 20" xfId="33255"/>
    <cellStyle name="Normal 46 2 3 2 21" xfId="34914"/>
    <cellStyle name="Normal 46 2 3 2 22" xfId="35891"/>
    <cellStyle name="Normal 46 2 3 2 23" xfId="37535"/>
    <cellStyle name="Normal 46 2 3 2 24" xfId="39384"/>
    <cellStyle name="Normal 46 2 3 2 25" xfId="41139"/>
    <cellStyle name="Normal 46 2 3 2 26" xfId="42891"/>
    <cellStyle name="Normal 46 2 3 2 27" xfId="44535"/>
    <cellStyle name="Normal 46 2 3 2 28" xfId="45509"/>
    <cellStyle name="Normal 46 2 3 2 29" xfId="47261"/>
    <cellStyle name="Normal 46 2 3 2 3" xfId="3466"/>
    <cellStyle name="Normal 46 2 3 2 30" xfId="49013"/>
    <cellStyle name="Normal 46 2 3 2 31" xfId="50765"/>
    <cellStyle name="Normal 46 2 3 2 32" xfId="52517"/>
    <cellStyle name="Normal 46 2 3 2 33" xfId="54269"/>
    <cellStyle name="Normal 46 2 3 2 34" xfId="56021"/>
    <cellStyle name="Normal 46 2 3 2 35" xfId="57774"/>
    <cellStyle name="Normal 46 2 3 2 36" xfId="59526"/>
    <cellStyle name="Normal 46 2 3 2 37" xfId="61278"/>
    <cellStyle name="Normal 46 2 3 2 38" xfId="62922"/>
    <cellStyle name="Normal 46 2 3 2 39" xfId="63788"/>
    <cellStyle name="Normal 46 2 3 2 4" xfId="5218"/>
    <cellStyle name="Normal 46 2 3 2 5" xfId="6970"/>
    <cellStyle name="Normal 46 2 3 2 6" xfId="8722"/>
    <cellStyle name="Normal 46 2 3 2 7" xfId="10475"/>
    <cellStyle name="Normal 46 2 3 2 8" xfId="12227"/>
    <cellStyle name="Normal 46 2 3 2 9" xfId="13979"/>
    <cellStyle name="Normal 46 2 3 20" xfId="31066"/>
    <cellStyle name="Normal 46 2 3 21" xfId="32819"/>
    <cellStyle name="Normal 46 2 3 22" xfId="34913"/>
    <cellStyle name="Normal 46 2 3 23" xfId="35455"/>
    <cellStyle name="Normal 46 2 3 24" xfId="37534"/>
    <cellStyle name="Normal 46 2 3 25" xfId="38948"/>
    <cellStyle name="Normal 46 2 3 26" xfId="40703"/>
    <cellStyle name="Normal 46 2 3 27" xfId="42455"/>
    <cellStyle name="Normal 46 2 3 28" xfId="44534"/>
    <cellStyle name="Normal 46 2 3 29" xfId="45073"/>
    <cellStyle name="Normal 46 2 3 3" xfId="1970"/>
    <cellStyle name="Normal 46 2 3 3 10" xfId="17924"/>
    <cellStyle name="Normal 46 2 3 3 11" xfId="19676"/>
    <cellStyle name="Normal 46 2 3 3 12" xfId="21429"/>
    <cellStyle name="Normal 46 2 3 3 13" xfId="23181"/>
    <cellStyle name="Normal 46 2 3 3 14" xfId="24933"/>
    <cellStyle name="Normal 46 2 3 3 15" xfId="26685"/>
    <cellStyle name="Normal 46 2 3 3 16" xfId="28437"/>
    <cellStyle name="Normal 46 2 3 3 17" xfId="30190"/>
    <cellStyle name="Normal 46 2 3 3 18" xfId="31942"/>
    <cellStyle name="Normal 46 2 3 3 19" xfId="33695"/>
    <cellStyle name="Normal 46 2 3 3 2" xfId="3906"/>
    <cellStyle name="Normal 46 2 3 3 20" xfId="36331"/>
    <cellStyle name="Normal 46 2 3 3 21" xfId="38071"/>
    <cellStyle name="Normal 46 2 3 3 22" xfId="39824"/>
    <cellStyle name="Normal 46 2 3 3 23" xfId="41579"/>
    <cellStyle name="Normal 46 2 3 3 24" xfId="43331"/>
    <cellStyle name="Normal 46 2 3 3 25" xfId="45949"/>
    <cellStyle name="Normal 46 2 3 3 26" xfId="47701"/>
    <cellStyle name="Normal 46 2 3 3 27" xfId="49453"/>
    <cellStyle name="Normal 46 2 3 3 28" xfId="51205"/>
    <cellStyle name="Normal 46 2 3 3 29" xfId="52957"/>
    <cellStyle name="Normal 46 2 3 3 3" xfId="5658"/>
    <cellStyle name="Normal 46 2 3 3 30" xfId="54709"/>
    <cellStyle name="Normal 46 2 3 3 31" xfId="56461"/>
    <cellStyle name="Normal 46 2 3 3 32" xfId="58214"/>
    <cellStyle name="Normal 46 2 3 3 33" xfId="59966"/>
    <cellStyle name="Normal 46 2 3 3 34" xfId="61718"/>
    <cellStyle name="Normal 46 2 3 3 4" xfId="7410"/>
    <cellStyle name="Normal 46 2 3 3 5" xfId="9162"/>
    <cellStyle name="Normal 46 2 3 3 6" xfId="10915"/>
    <cellStyle name="Normal 46 2 3 3 7" xfId="12667"/>
    <cellStyle name="Normal 46 2 3 3 8" xfId="14419"/>
    <cellStyle name="Normal 46 2 3 3 9" xfId="16171"/>
    <cellStyle name="Normal 46 2 3 30" xfId="46825"/>
    <cellStyle name="Normal 46 2 3 31" xfId="48577"/>
    <cellStyle name="Normal 46 2 3 32" xfId="50329"/>
    <cellStyle name="Normal 46 2 3 33" xfId="52081"/>
    <cellStyle name="Normal 46 2 3 34" xfId="53833"/>
    <cellStyle name="Normal 46 2 3 35" xfId="55585"/>
    <cellStyle name="Normal 46 2 3 36" xfId="57338"/>
    <cellStyle name="Normal 46 2 3 37" xfId="59090"/>
    <cellStyle name="Normal 46 2 3 38" xfId="60842"/>
    <cellStyle name="Normal 46 2 3 39" xfId="62921"/>
    <cellStyle name="Normal 46 2 3 4" xfId="3030"/>
    <cellStyle name="Normal 46 2 3 40" xfId="63787"/>
    <cellStyle name="Normal 46 2 3 5" xfId="4782"/>
    <cellStyle name="Normal 46 2 3 6" xfId="6534"/>
    <cellStyle name="Normal 46 2 3 7" xfId="8286"/>
    <cellStyle name="Normal 46 2 3 8" xfId="10039"/>
    <cellStyle name="Normal 46 2 3 9" xfId="11791"/>
    <cellStyle name="Normal 46 2 30" xfId="44529"/>
    <cellStyle name="Normal 46 2 31" xfId="44779"/>
    <cellStyle name="Normal 46 2 32" xfId="46531"/>
    <cellStyle name="Normal 46 2 33" xfId="48283"/>
    <cellStyle name="Normal 46 2 34" xfId="50035"/>
    <cellStyle name="Normal 46 2 35" xfId="51787"/>
    <cellStyle name="Normal 46 2 36" xfId="53539"/>
    <cellStyle name="Normal 46 2 37" xfId="55291"/>
    <cellStyle name="Normal 46 2 38" xfId="57044"/>
    <cellStyle name="Normal 46 2 39" xfId="58796"/>
    <cellStyle name="Normal 46 2 4" xfId="1971"/>
    <cellStyle name="Normal 46 2 4 10" xfId="15437"/>
    <cellStyle name="Normal 46 2 4 11" xfId="17190"/>
    <cellStyle name="Normal 46 2 4 12" xfId="18942"/>
    <cellStyle name="Normal 46 2 4 13" xfId="20695"/>
    <cellStyle name="Normal 46 2 4 14" xfId="22447"/>
    <cellStyle name="Normal 46 2 4 15" xfId="24199"/>
    <cellStyle name="Normal 46 2 4 16" xfId="25951"/>
    <cellStyle name="Normal 46 2 4 17" xfId="27703"/>
    <cellStyle name="Normal 46 2 4 18" xfId="29456"/>
    <cellStyle name="Normal 46 2 4 19" xfId="31208"/>
    <cellStyle name="Normal 46 2 4 2" xfId="1972"/>
    <cellStyle name="Normal 46 2 4 2 10" xfId="18066"/>
    <cellStyle name="Normal 46 2 4 2 11" xfId="19818"/>
    <cellStyle name="Normal 46 2 4 2 12" xfId="21571"/>
    <cellStyle name="Normal 46 2 4 2 13" xfId="23323"/>
    <cellStyle name="Normal 46 2 4 2 14" xfId="25075"/>
    <cellStyle name="Normal 46 2 4 2 15" xfId="26827"/>
    <cellStyle name="Normal 46 2 4 2 16" xfId="28579"/>
    <cellStyle name="Normal 46 2 4 2 17" xfId="30332"/>
    <cellStyle name="Normal 46 2 4 2 18" xfId="32084"/>
    <cellStyle name="Normal 46 2 4 2 19" xfId="33837"/>
    <cellStyle name="Normal 46 2 4 2 2" xfId="4048"/>
    <cellStyle name="Normal 46 2 4 2 20" xfId="36473"/>
    <cellStyle name="Normal 46 2 4 2 21" xfId="38213"/>
    <cellStyle name="Normal 46 2 4 2 22" xfId="39966"/>
    <cellStyle name="Normal 46 2 4 2 23" xfId="41721"/>
    <cellStyle name="Normal 46 2 4 2 24" xfId="43473"/>
    <cellStyle name="Normal 46 2 4 2 25" xfId="46091"/>
    <cellStyle name="Normal 46 2 4 2 26" xfId="47843"/>
    <cellStyle name="Normal 46 2 4 2 27" xfId="49595"/>
    <cellStyle name="Normal 46 2 4 2 28" xfId="51347"/>
    <cellStyle name="Normal 46 2 4 2 29" xfId="53099"/>
    <cellStyle name="Normal 46 2 4 2 3" xfId="5800"/>
    <cellStyle name="Normal 46 2 4 2 30" xfId="54851"/>
    <cellStyle name="Normal 46 2 4 2 31" xfId="56603"/>
    <cellStyle name="Normal 46 2 4 2 32" xfId="58356"/>
    <cellStyle name="Normal 46 2 4 2 33" xfId="60108"/>
    <cellStyle name="Normal 46 2 4 2 34" xfId="61860"/>
    <cellStyle name="Normal 46 2 4 2 4" xfId="7552"/>
    <cellStyle name="Normal 46 2 4 2 5" xfId="9304"/>
    <cellStyle name="Normal 46 2 4 2 6" xfId="11057"/>
    <cellStyle name="Normal 46 2 4 2 7" xfId="12809"/>
    <cellStyle name="Normal 46 2 4 2 8" xfId="14561"/>
    <cellStyle name="Normal 46 2 4 2 9" xfId="16313"/>
    <cellStyle name="Normal 46 2 4 20" xfId="32961"/>
    <cellStyle name="Normal 46 2 4 21" xfId="34915"/>
    <cellStyle name="Normal 46 2 4 22" xfId="35597"/>
    <cellStyle name="Normal 46 2 4 23" xfId="37536"/>
    <cellStyle name="Normal 46 2 4 24" xfId="39090"/>
    <cellStyle name="Normal 46 2 4 25" xfId="40845"/>
    <cellStyle name="Normal 46 2 4 26" xfId="42597"/>
    <cellStyle name="Normal 46 2 4 27" xfId="44536"/>
    <cellStyle name="Normal 46 2 4 28" xfId="45215"/>
    <cellStyle name="Normal 46 2 4 29" xfId="46967"/>
    <cellStyle name="Normal 46 2 4 3" xfId="3172"/>
    <cellStyle name="Normal 46 2 4 30" xfId="48719"/>
    <cellStyle name="Normal 46 2 4 31" xfId="50471"/>
    <cellStyle name="Normal 46 2 4 32" xfId="52223"/>
    <cellStyle name="Normal 46 2 4 33" xfId="53975"/>
    <cellStyle name="Normal 46 2 4 34" xfId="55727"/>
    <cellStyle name="Normal 46 2 4 35" xfId="57480"/>
    <cellStyle name="Normal 46 2 4 36" xfId="59232"/>
    <cellStyle name="Normal 46 2 4 37" xfId="60984"/>
    <cellStyle name="Normal 46 2 4 38" xfId="62923"/>
    <cellStyle name="Normal 46 2 4 39" xfId="63789"/>
    <cellStyle name="Normal 46 2 4 4" xfId="4924"/>
    <cellStyle name="Normal 46 2 4 5" xfId="6676"/>
    <cellStyle name="Normal 46 2 4 6" xfId="8428"/>
    <cellStyle name="Normal 46 2 4 7" xfId="10181"/>
    <cellStyle name="Normal 46 2 4 8" xfId="11933"/>
    <cellStyle name="Normal 46 2 4 9" xfId="13685"/>
    <cellStyle name="Normal 46 2 40" xfId="60548"/>
    <cellStyle name="Normal 46 2 41" xfId="62916"/>
    <cellStyle name="Normal 46 2 42" xfId="63782"/>
    <cellStyle name="Normal 46 2 5" xfId="1973"/>
    <cellStyle name="Normal 46 2 5 10" xfId="17630"/>
    <cellStyle name="Normal 46 2 5 11" xfId="19382"/>
    <cellStyle name="Normal 46 2 5 12" xfId="21135"/>
    <cellStyle name="Normal 46 2 5 13" xfId="22887"/>
    <cellStyle name="Normal 46 2 5 14" xfId="24639"/>
    <cellStyle name="Normal 46 2 5 15" xfId="26391"/>
    <cellStyle name="Normal 46 2 5 16" xfId="28143"/>
    <cellStyle name="Normal 46 2 5 17" xfId="29896"/>
    <cellStyle name="Normal 46 2 5 18" xfId="31648"/>
    <cellStyle name="Normal 46 2 5 19" xfId="33401"/>
    <cellStyle name="Normal 46 2 5 2" xfId="3612"/>
    <cellStyle name="Normal 46 2 5 20" xfId="36037"/>
    <cellStyle name="Normal 46 2 5 21" xfId="37777"/>
    <cellStyle name="Normal 46 2 5 22" xfId="39530"/>
    <cellStyle name="Normal 46 2 5 23" xfId="41285"/>
    <cellStyle name="Normal 46 2 5 24" xfId="43037"/>
    <cellStyle name="Normal 46 2 5 25" xfId="45655"/>
    <cellStyle name="Normal 46 2 5 26" xfId="47407"/>
    <cellStyle name="Normal 46 2 5 27" xfId="49159"/>
    <cellStyle name="Normal 46 2 5 28" xfId="50911"/>
    <cellStyle name="Normal 46 2 5 29" xfId="52663"/>
    <cellStyle name="Normal 46 2 5 3" xfId="5364"/>
    <cellStyle name="Normal 46 2 5 30" xfId="54415"/>
    <cellStyle name="Normal 46 2 5 31" xfId="56167"/>
    <cellStyle name="Normal 46 2 5 32" xfId="57920"/>
    <cellStyle name="Normal 46 2 5 33" xfId="59672"/>
    <cellStyle name="Normal 46 2 5 34" xfId="61424"/>
    <cellStyle name="Normal 46 2 5 4" xfId="7116"/>
    <cellStyle name="Normal 46 2 5 5" xfId="8868"/>
    <cellStyle name="Normal 46 2 5 6" xfId="10621"/>
    <cellStyle name="Normal 46 2 5 7" xfId="12373"/>
    <cellStyle name="Normal 46 2 5 8" xfId="14125"/>
    <cellStyle name="Normal 46 2 5 9" xfId="15877"/>
    <cellStyle name="Normal 46 2 6" xfId="2736"/>
    <cellStyle name="Normal 46 2 7" xfId="4488"/>
    <cellStyle name="Normal 46 2 8" xfId="6240"/>
    <cellStyle name="Normal 46 2 9" xfId="7992"/>
    <cellStyle name="Normal 46 20" xfId="25460"/>
    <cellStyle name="Normal 46 21" xfId="27212"/>
    <cellStyle name="Normal 46 22" xfId="28965"/>
    <cellStyle name="Normal 46 23" xfId="30717"/>
    <cellStyle name="Normal 46 24" xfId="32470"/>
    <cellStyle name="Normal 46 25" xfId="35106"/>
    <cellStyle name="Normal 46 26" xfId="38599"/>
    <cellStyle name="Normal 46 27" xfId="40354"/>
    <cellStyle name="Normal 46 28" xfId="42106"/>
    <cellStyle name="Normal 46 29" xfId="44724"/>
    <cellStyle name="Normal 46 3" xfId="1974"/>
    <cellStyle name="Normal 46 3 10" xfId="11550"/>
    <cellStyle name="Normal 46 3 11" xfId="13302"/>
    <cellStyle name="Normal 46 3 12" xfId="15054"/>
    <cellStyle name="Normal 46 3 13" xfId="16807"/>
    <cellStyle name="Normal 46 3 14" xfId="18559"/>
    <cellStyle name="Normal 46 3 15" xfId="20312"/>
    <cellStyle name="Normal 46 3 16" xfId="22064"/>
    <cellStyle name="Normal 46 3 17" xfId="23816"/>
    <cellStyle name="Normal 46 3 18" xfId="25568"/>
    <cellStyle name="Normal 46 3 19" xfId="27320"/>
    <cellStyle name="Normal 46 3 2" xfId="1975"/>
    <cellStyle name="Normal 46 3 2 10" xfId="13544"/>
    <cellStyle name="Normal 46 3 2 11" xfId="15296"/>
    <cellStyle name="Normal 46 3 2 12" xfId="17049"/>
    <cellStyle name="Normal 46 3 2 13" xfId="18801"/>
    <cellStyle name="Normal 46 3 2 14" xfId="20554"/>
    <cellStyle name="Normal 46 3 2 15" xfId="22306"/>
    <cellStyle name="Normal 46 3 2 16" xfId="24058"/>
    <cellStyle name="Normal 46 3 2 17" xfId="25810"/>
    <cellStyle name="Normal 46 3 2 18" xfId="27562"/>
    <cellStyle name="Normal 46 3 2 19" xfId="29315"/>
    <cellStyle name="Normal 46 3 2 2" xfId="1976"/>
    <cellStyle name="Normal 46 3 2 2 10" xfId="15732"/>
    <cellStyle name="Normal 46 3 2 2 11" xfId="17485"/>
    <cellStyle name="Normal 46 3 2 2 12" xfId="19237"/>
    <cellStyle name="Normal 46 3 2 2 13" xfId="20990"/>
    <cellStyle name="Normal 46 3 2 2 14" xfId="22742"/>
    <cellStyle name="Normal 46 3 2 2 15" xfId="24494"/>
    <cellStyle name="Normal 46 3 2 2 16" xfId="26246"/>
    <cellStyle name="Normal 46 3 2 2 17" xfId="27998"/>
    <cellStyle name="Normal 46 3 2 2 18" xfId="29751"/>
    <cellStyle name="Normal 46 3 2 2 19" xfId="31503"/>
    <cellStyle name="Normal 46 3 2 2 2" xfId="1977"/>
    <cellStyle name="Normal 46 3 2 2 2 10" xfId="18361"/>
    <cellStyle name="Normal 46 3 2 2 2 11" xfId="20113"/>
    <cellStyle name="Normal 46 3 2 2 2 12" xfId="21866"/>
    <cellStyle name="Normal 46 3 2 2 2 13" xfId="23618"/>
    <cellStyle name="Normal 46 3 2 2 2 14" xfId="25370"/>
    <cellStyle name="Normal 46 3 2 2 2 15" xfId="27122"/>
    <cellStyle name="Normal 46 3 2 2 2 16" xfId="28874"/>
    <cellStyle name="Normal 46 3 2 2 2 17" xfId="30627"/>
    <cellStyle name="Normal 46 3 2 2 2 18" xfId="32379"/>
    <cellStyle name="Normal 46 3 2 2 2 19" xfId="34132"/>
    <cellStyle name="Normal 46 3 2 2 2 2" xfId="4343"/>
    <cellStyle name="Normal 46 3 2 2 2 20" xfId="36768"/>
    <cellStyle name="Normal 46 3 2 2 2 21" xfId="38508"/>
    <cellStyle name="Normal 46 3 2 2 2 22" xfId="40261"/>
    <cellStyle name="Normal 46 3 2 2 2 23" xfId="42016"/>
    <cellStyle name="Normal 46 3 2 2 2 24" xfId="43768"/>
    <cellStyle name="Normal 46 3 2 2 2 25" xfId="46386"/>
    <cellStyle name="Normal 46 3 2 2 2 26" xfId="48138"/>
    <cellStyle name="Normal 46 3 2 2 2 27" xfId="49890"/>
    <cellStyle name="Normal 46 3 2 2 2 28" xfId="51642"/>
    <cellStyle name="Normal 46 3 2 2 2 29" xfId="53394"/>
    <cellStyle name="Normal 46 3 2 2 2 3" xfId="6095"/>
    <cellStyle name="Normal 46 3 2 2 2 30" xfId="55146"/>
    <cellStyle name="Normal 46 3 2 2 2 31" xfId="56898"/>
    <cellStyle name="Normal 46 3 2 2 2 32" xfId="58651"/>
    <cellStyle name="Normal 46 3 2 2 2 33" xfId="60403"/>
    <cellStyle name="Normal 46 3 2 2 2 34" xfId="62155"/>
    <cellStyle name="Normal 46 3 2 2 2 4" xfId="7847"/>
    <cellStyle name="Normal 46 3 2 2 2 5" xfId="9599"/>
    <cellStyle name="Normal 46 3 2 2 2 6" xfId="11352"/>
    <cellStyle name="Normal 46 3 2 2 2 7" xfId="13104"/>
    <cellStyle name="Normal 46 3 2 2 2 8" xfId="14856"/>
    <cellStyle name="Normal 46 3 2 2 2 9" xfId="16608"/>
    <cellStyle name="Normal 46 3 2 2 20" xfId="33256"/>
    <cellStyle name="Normal 46 3 2 2 21" xfId="34917"/>
    <cellStyle name="Normal 46 3 2 2 22" xfId="35892"/>
    <cellStyle name="Normal 46 3 2 2 23" xfId="37538"/>
    <cellStyle name="Normal 46 3 2 2 24" xfId="39385"/>
    <cellStyle name="Normal 46 3 2 2 25" xfId="41140"/>
    <cellStyle name="Normal 46 3 2 2 26" xfId="42892"/>
    <cellStyle name="Normal 46 3 2 2 27" xfId="44538"/>
    <cellStyle name="Normal 46 3 2 2 28" xfId="45510"/>
    <cellStyle name="Normal 46 3 2 2 29" xfId="47262"/>
    <cellStyle name="Normal 46 3 2 2 3" xfId="3467"/>
    <cellStyle name="Normal 46 3 2 2 30" xfId="49014"/>
    <cellStyle name="Normal 46 3 2 2 31" xfId="50766"/>
    <cellStyle name="Normal 46 3 2 2 32" xfId="52518"/>
    <cellStyle name="Normal 46 3 2 2 33" xfId="54270"/>
    <cellStyle name="Normal 46 3 2 2 34" xfId="56022"/>
    <cellStyle name="Normal 46 3 2 2 35" xfId="57775"/>
    <cellStyle name="Normal 46 3 2 2 36" xfId="59527"/>
    <cellStyle name="Normal 46 3 2 2 37" xfId="61279"/>
    <cellStyle name="Normal 46 3 2 2 38" xfId="62925"/>
    <cellStyle name="Normal 46 3 2 2 39" xfId="63791"/>
    <cellStyle name="Normal 46 3 2 2 4" xfId="5219"/>
    <cellStyle name="Normal 46 3 2 2 5" xfId="6971"/>
    <cellStyle name="Normal 46 3 2 2 6" xfId="8723"/>
    <cellStyle name="Normal 46 3 2 2 7" xfId="10476"/>
    <cellStyle name="Normal 46 3 2 2 8" xfId="12228"/>
    <cellStyle name="Normal 46 3 2 2 9" xfId="13980"/>
    <cellStyle name="Normal 46 3 2 20" xfId="31067"/>
    <cellStyle name="Normal 46 3 2 21" xfId="32820"/>
    <cellStyle name="Normal 46 3 2 22" xfId="34916"/>
    <cellStyle name="Normal 46 3 2 23" xfId="35456"/>
    <cellStyle name="Normal 46 3 2 24" xfId="37537"/>
    <cellStyle name="Normal 46 3 2 25" xfId="38949"/>
    <cellStyle name="Normal 46 3 2 26" xfId="40704"/>
    <cellStyle name="Normal 46 3 2 27" xfId="42456"/>
    <cellStyle name="Normal 46 3 2 28" xfId="44537"/>
    <cellStyle name="Normal 46 3 2 29" xfId="45074"/>
    <cellStyle name="Normal 46 3 2 3" xfId="1978"/>
    <cellStyle name="Normal 46 3 2 3 10" xfId="17925"/>
    <cellStyle name="Normal 46 3 2 3 11" xfId="19677"/>
    <cellStyle name="Normal 46 3 2 3 12" xfId="21430"/>
    <cellStyle name="Normal 46 3 2 3 13" xfId="23182"/>
    <cellStyle name="Normal 46 3 2 3 14" xfId="24934"/>
    <cellStyle name="Normal 46 3 2 3 15" xfId="26686"/>
    <cellStyle name="Normal 46 3 2 3 16" xfId="28438"/>
    <cellStyle name="Normal 46 3 2 3 17" xfId="30191"/>
    <cellStyle name="Normal 46 3 2 3 18" xfId="31943"/>
    <cellStyle name="Normal 46 3 2 3 19" xfId="33696"/>
    <cellStyle name="Normal 46 3 2 3 2" xfId="3907"/>
    <cellStyle name="Normal 46 3 2 3 20" xfId="36332"/>
    <cellStyle name="Normal 46 3 2 3 21" xfId="38072"/>
    <cellStyle name="Normal 46 3 2 3 22" xfId="39825"/>
    <cellStyle name="Normal 46 3 2 3 23" xfId="41580"/>
    <cellStyle name="Normal 46 3 2 3 24" xfId="43332"/>
    <cellStyle name="Normal 46 3 2 3 25" xfId="45950"/>
    <cellStyle name="Normal 46 3 2 3 26" xfId="47702"/>
    <cellStyle name="Normal 46 3 2 3 27" xfId="49454"/>
    <cellStyle name="Normal 46 3 2 3 28" xfId="51206"/>
    <cellStyle name="Normal 46 3 2 3 29" xfId="52958"/>
    <cellStyle name="Normal 46 3 2 3 3" xfId="5659"/>
    <cellStyle name="Normal 46 3 2 3 30" xfId="54710"/>
    <cellStyle name="Normal 46 3 2 3 31" xfId="56462"/>
    <cellStyle name="Normal 46 3 2 3 32" xfId="58215"/>
    <cellStyle name="Normal 46 3 2 3 33" xfId="59967"/>
    <cellStyle name="Normal 46 3 2 3 34" xfId="61719"/>
    <cellStyle name="Normal 46 3 2 3 4" xfId="7411"/>
    <cellStyle name="Normal 46 3 2 3 5" xfId="9163"/>
    <cellStyle name="Normal 46 3 2 3 6" xfId="10916"/>
    <cellStyle name="Normal 46 3 2 3 7" xfId="12668"/>
    <cellStyle name="Normal 46 3 2 3 8" xfId="14420"/>
    <cellStyle name="Normal 46 3 2 3 9" xfId="16172"/>
    <cellStyle name="Normal 46 3 2 30" xfId="46826"/>
    <cellStyle name="Normal 46 3 2 31" xfId="48578"/>
    <cellStyle name="Normal 46 3 2 32" xfId="50330"/>
    <cellStyle name="Normal 46 3 2 33" xfId="52082"/>
    <cellStyle name="Normal 46 3 2 34" xfId="53834"/>
    <cellStyle name="Normal 46 3 2 35" xfId="55586"/>
    <cellStyle name="Normal 46 3 2 36" xfId="57339"/>
    <cellStyle name="Normal 46 3 2 37" xfId="59091"/>
    <cellStyle name="Normal 46 3 2 38" xfId="60843"/>
    <cellStyle name="Normal 46 3 2 39" xfId="62924"/>
    <cellStyle name="Normal 46 3 2 4" xfId="3031"/>
    <cellStyle name="Normal 46 3 2 40" xfId="63790"/>
    <cellStyle name="Normal 46 3 2 5" xfId="4783"/>
    <cellStyle name="Normal 46 3 2 6" xfId="6535"/>
    <cellStyle name="Normal 46 3 2 7" xfId="8287"/>
    <cellStyle name="Normal 46 3 2 8" xfId="10040"/>
    <cellStyle name="Normal 46 3 2 9" xfId="11792"/>
    <cellStyle name="Normal 46 3 20" xfId="29073"/>
    <cellStyle name="Normal 46 3 21" xfId="30825"/>
    <cellStyle name="Normal 46 3 22" xfId="32578"/>
    <cellStyle name="Normal 46 3 23" xfId="35214"/>
    <cellStyle name="Normal 46 3 24" xfId="38707"/>
    <cellStyle name="Normal 46 3 25" xfId="40462"/>
    <cellStyle name="Normal 46 3 26" xfId="42214"/>
    <cellStyle name="Normal 46 3 27" xfId="44832"/>
    <cellStyle name="Normal 46 3 28" xfId="46584"/>
    <cellStyle name="Normal 46 3 29" xfId="48336"/>
    <cellStyle name="Normal 46 3 3" xfId="1979"/>
    <cellStyle name="Normal 46 3 3 10" xfId="15490"/>
    <cellStyle name="Normal 46 3 3 11" xfId="17243"/>
    <cellStyle name="Normal 46 3 3 12" xfId="18995"/>
    <cellStyle name="Normal 46 3 3 13" xfId="20748"/>
    <cellStyle name="Normal 46 3 3 14" xfId="22500"/>
    <cellStyle name="Normal 46 3 3 15" xfId="24252"/>
    <cellStyle name="Normal 46 3 3 16" xfId="26004"/>
    <cellStyle name="Normal 46 3 3 17" xfId="27756"/>
    <cellStyle name="Normal 46 3 3 18" xfId="29509"/>
    <cellStyle name="Normal 46 3 3 19" xfId="31261"/>
    <cellStyle name="Normal 46 3 3 2" xfId="1980"/>
    <cellStyle name="Normal 46 3 3 2 10" xfId="18119"/>
    <cellStyle name="Normal 46 3 3 2 11" xfId="19871"/>
    <cellStyle name="Normal 46 3 3 2 12" xfId="21624"/>
    <cellStyle name="Normal 46 3 3 2 13" xfId="23376"/>
    <cellStyle name="Normal 46 3 3 2 14" xfId="25128"/>
    <cellStyle name="Normal 46 3 3 2 15" xfId="26880"/>
    <cellStyle name="Normal 46 3 3 2 16" xfId="28632"/>
    <cellStyle name="Normal 46 3 3 2 17" xfId="30385"/>
    <cellStyle name="Normal 46 3 3 2 18" xfId="32137"/>
    <cellStyle name="Normal 46 3 3 2 19" xfId="33890"/>
    <cellStyle name="Normal 46 3 3 2 2" xfId="4101"/>
    <cellStyle name="Normal 46 3 3 2 20" xfId="36526"/>
    <cellStyle name="Normal 46 3 3 2 21" xfId="38266"/>
    <cellStyle name="Normal 46 3 3 2 22" xfId="40019"/>
    <cellStyle name="Normal 46 3 3 2 23" xfId="41774"/>
    <cellStyle name="Normal 46 3 3 2 24" xfId="43526"/>
    <cellStyle name="Normal 46 3 3 2 25" xfId="46144"/>
    <cellStyle name="Normal 46 3 3 2 26" xfId="47896"/>
    <cellStyle name="Normal 46 3 3 2 27" xfId="49648"/>
    <cellStyle name="Normal 46 3 3 2 28" xfId="51400"/>
    <cellStyle name="Normal 46 3 3 2 29" xfId="53152"/>
    <cellStyle name="Normal 46 3 3 2 3" xfId="5853"/>
    <cellStyle name="Normal 46 3 3 2 30" xfId="54904"/>
    <cellStyle name="Normal 46 3 3 2 31" xfId="56656"/>
    <cellStyle name="Normal 46 3 3 2 32" xfId="58409"/>
    <cellStyle name="Normal 46 3 3 2 33" xfId="60161"/>
    <cellStyle name="Normal 46 3 3 2 34" xfId="61913"/>
    <cellStyle name="Normal 46 3 3 2 4" xfId="7605"/>
    <cellStyle name="Normal 46 3 3 2 5" xfId="9357"/>
    <cellStyle name="Normal 46 3 3 2 6" xfId="11110"/>
    <cellStyle name="Normal 46 3 3 2 7" xfId="12862"/>
    <cellStyle name="Normal 46 3 3 2 8" xfId="14614"/>
    <cellStyle name="Normal 46 3 3 2 9" xfId="16366"/>
    <cellStyle name="Normal 46 3 3 20" xfId="33014"/>
    <cellStyle name="Normal 46 3 3 21" xfId="34918"/>
    <cellStyle name="Normal 46 3 3 22" xfId="35650"/>
    <cellStyle name="Normal 46 3 3 23" xfId="37539"/>
    <cellStyle name="Normal 46 3 3 24" xfId="39143"/>
    <cellStyle name="Normal 46 3 3 25" xfId="40898"/>
    <cellStyle name="Normal 46 3 3 26" xfId="42650"/>
    <cellStyle name="Normal 46 3 3 27" xfId="44539"/>
    <cellStyle name="Normal 46 3 3 28" xfId="45268"/>
    <cellStyle name="Normal 46 3 3 29" xfId="47020"/>
    <cellStyle name="Normal 46 3 3 3" xfId="3225"/>
    <cellStyle name="Normal 46 3 3 30" xfId="48772"/>
    <cellStyle name="Normal 46 3 3 31" xfId="50524"/>
    <cellStyle name="Normal 46 3 3 32" xfId="52276"/>
    <cellStyle name="Normal 46 3 3 33" xfId="54028"/>
    <cellStyle name="Normal 46 3 3 34" xfId="55780"/>
    <cellStyle name="Normal 46 3 3 35" xfId="57533"/>
    <cellStyle name="Normal 46 3 3 36" xfId="59285"/>
    <cellStyle name="Normal 46 3 3 37" xfId="61037"/>
    <cellStyle name="Normal 46 3 3 38" xfId="62926"/>
    <cellStyle name="Normal 46 3 3 39" xfId="63792"/>
    <cellStyle name="Normal 46 3 3 4" xfId="4977"/>
    <cellStyle name="Normal 46 3 3 5" xfId="6729"/>
    <cellStyle name="Normal 46 3 3 6" xfId="8481"/>
    <cellStyle name="Normal 46 3 3 7" xfId="10234"/>
    <cellStyle name="Normal 46 3 3 8" xfId="11986"/>
    <cellStyle name="Normal 46 3 3 9" xfId="13738"/>
    <cellStyle name="Normal 46 3 30" xfId="50088"/>
    <cellStyle name="Normal 46 3 31" xfId="51840"/>
    <cellStyle name="Normal 46 3 32" xfId="53592"/>
    <cellStyle name="Normal 46 3 33" xfId="55344"/>
    <cellStyle name="Normal 46 3 34" xfId="57097"/>
    <cellStyle name="Normal 46 3 35" xfId="58849"/>
    <cellStyle name="Normal 46 3 36" xfId="60601"/>
    <cellStyle name="Normal 46 3 4" xfId="1981"/>
    <cellStyle name="Normal 46 3 4 10" xfId="17683"/>
    <cellStyle name="Normal 46 3 4 11" xfId="19435"/>
    <cellStyle name="Normal 46 3 4 12" xfId="21188"/>
    <cellStyle name="Normal 46 3 4 13" xfId="22940"/>
    <cellStyle name="Normal 46 3 4 14" xfId="24692"/>
    <cellStyle name="Normal 46 3 4 15" xfId="26444"/>
    <cellStyle name="Normal 46 3 4 16" xfId="28196"/>
    <cellStyle name="Normal 46 3 4 17" xfId="29949"/>
    <cellStyle name="Normal 46 3 4 18" xfId="31701"/>
    <cellStyle name="Normal 46 3 4 19" xfId="33454"/>
    <cellStyle name="Normal 46 3 4 2" xfId="3665"/>
    <cellStyle name="Normal 46 3 4 20" xfId="36090"/>
    <cellStyle name="Normal 46 3 4 21" xfId="37830"/>
    <cellStyle name="Normal 46 3 4 22" xfId="39583"/>
    <cellStyle name="Normal 46 3 4 23" xfId="41338"/>
    <cellStyle name="Normal 46 3 4 24" xfId="43090"/>
    <cellStyle name="Normal 46 3 4 25" xfId="45708"/>
    <cellStyle name="Normal 46 3 4 26" xfId="47460"/>
    <cellStyle name="Normal 46 3 4 27" xfId="49212"/>
    <cellStyle name="Normal 46 3 4 28" xfId="50964"/>
    <cellStyle name="Normal 46 3 4 29" xfId="52716"/>
    <cellStyle name="Normal 46 3 4 3" xfId="5417"/>
    <cellStyle name="Normal 46 3 4 30" xfId="54468"/>
    <cellStyle name="Normal 46 3 4 31" xfId="56220"/>
    <cellStyle name="Normal 46 3 4 32" xfId="57973"/>
    <cellStyle name="Normal 46 3 4 33" xfId="59725"/>
    <cellStyle name="Normal 46 3 4 34" xfId="61477"/>
    <cellStyle name="Normal 46 3 4 4" xfId="7169"/>
    <cellStyle name="Normal 46 3 4 5" xfId="8921"/>
    <cellStyle name="Normal 46 3 4 6" xfId="10674"/>
    <cellStyle name="Normal 46 3 4 7" xfId="12426"/>
    <cellStyle name="Normal 46 3 4 8" xfId="14178"/>
    <cellStyle name="Normal 46 3 4 9" xfId="15930"/>
    <cellStyle name="Normal 46 3 5" xfId="2789"/>
    <cellStyle name="Normal 46 3 6" xfId="4541"/>
    <cellStyle name="Normal 46 3 7" xfId="6293"/>
    <cellStyle name="Normal 46 3 8" xfId="8045"/>
    <cellStyle name="Normal 46 3 9" xfId="9798"/>
    <cellStyle name="Normal 46 30" xfId="46476"/>
    <cellStyle name="Normal 46 31" xfId="48228"/>
    <cellStyle name="Normal 46 32" xfId="49980"/>
    <cellStyle name="Normal 46 33" xfId="51732"/>
    <cellStyle name="Normal 46 34" xfId="53484"/>
    <cellStyle name="Normal 46 35" xfId="55236"/>
    <cellStyle name="Normal 46 36" xfId="56989"/>
    <cellStyle name="Normal 46 37" xfId="58741"/>
    <cellStyle name="Normal 46 38" xfId="60493"/>
    <cellStyle name="Normal 46 4" xfId="1982"/>
    <cellStyle name="Normal 46 4 10" xfId="13545"/>
    <cellStyle name="Normal 46 4 11" xfId="15297"/>
    <cellStyle name="Normal 46 4 12" xfId="17050"/>
    <cellStyle name="Normal 46 4 13" xfId="18802"/>
    <cellStyle name="Normal 46 4 14" xfId="20555"/>
    <cellStyle name="Normal 46 4 15" xfId="22307"/>
    <cellStyle name="Normal 46 4 16" xfId="24059"/>
    <cellStyle name="Normal 46 4 17" xfId="25811"/>
    <cellStyle name="Normal 46 4 18" xfId="27563"/>
    <cellStyle name="Normal 46 4 19" xfId="29316"/>
    <cellStyle name="Normal 46 4 2" xfId="1983"/>
    <cellStyle name="Normal 46 4 2 10" xfId="15733"/>
    <cellStyle name="Normal 46 4 2 11" xfId="17486"/>
    <cellStyle name="Normal 46 4 2 12" xfId="19238"/>
    <cellStyle name="Normal 46 4 2 13" xfId="20991"/>
    <cellStyle name="Normal 46 4 2 14" xfId="22743"/>
    <cellStyle name="Normal 46 4 2 15" xfId="24495"/>
    <cellStyle name="Normal 46 4 2 16" xfId="26247"/>
    <cellStyle name="Normal 46 4 2 17" xfId="27999"/>
    <cellStyle name="Normal 46 4 2 18" xfId="29752"/>
    <cellStyle name="Normal 46 4 2 19" xfId="31504"/>
    <cellStyle name="Normal 46 4 2 2" xfId="1984"/>
    <cellStyle name="Normal 46 4 2 2 10" xfId="18362"/>
    <cellStyle name="Normal 46 4 2 2 11" xfId="20114"/>
    <cellStyle name="Normal 46 4 2 2 12" xfId="21867"/>
    <cellStyle name="Normal 46 4 2 2 13" xfId="23619"/>
    <cellStyle name="Normal 46 4 2 2 14" xfId="25371"/>
    <cellStyle name="Normal 46 4 2 2 15" xfId="27123"/>
    <cellStyle name="Normal 46 4 2 2 16" xfId="28875"/>
    <cellStyle name="Normal 46 4 2 2 17" xfId="30628"/>
    <cellStyle name="Normal 46 4 2 2 18" xfId="32380"/>
    <cellStyle name="Normal 46 4 2 2 19" xfId="34133"/>
    <cellStyle name="Normal 46 4 2 2 2" xfId="4344"/>
    <cellStyle name="Normal 46 4 2 2 20" xfId="36769"/>
    <cellStyle name="Normal 46 4 2 2 21" xfId="38509"/>
    <cellStyle name="Normal 46 4 2 2 22" xfId="40262"/>
    <cellStyle name="Normal 46 4 2 2 23" xfId="42017"/>
    <cellStyle name="Normal 46 4 2 2 24" xfId="43769"/>
    <cellStyle name="Normal 46 4 2 2 25" xfId="46387"/>
    <cellStyle name="Normal 46 4 2 2 26" xfId="48139"/>
    <cellStyle name="Normal 46 4 2 2 27" xfId="49891"/>
    <cellStyle name="Normal 46 4 2 2 28" xfId="51643"/>
    <cellStyle name="Normal 46 4 2 2 29" xfId="53395"/>
    <cellStyle name="Normal 46 4 2 2 3" xfId="6096"/>
    <cellStyle name="Normal 46 4 2 2 30" xfId="55147"/>
    <cellStyle name="Normal 46 4 2 2 31" xfId="56899"/>
    <cellStyle name="Normal 46 4 2 2 32" xfId="58652"/>
    <cellStyle name="Normal 46 4 2 2 33" xfId="60404"/>
    <cellStyle name="Normal 46 4 2 2 34" xfId="62156"/>
    <cellStyle name="Normal 46 4 2 2 4" xfId="7848"/>
    <cellStyle name="Normal 46 4 2 2 5" xfId="9600"/>
    <cellStyle name="Normal 46 4 2 2 6" xfId="11353"/>
    <cellStyle name="Normal 46 4 2 2 7" xfId="13105"/>
    <cellStyle name="Normal 46 4 2 2 8" xfId="14857"/>
    <cellStyle name="Normal 46 4 2 2 9" xfId="16609"/>
    <cellStyle name="Normal 46 4 2 20" xfId="33257"/>
    <cellStyle name="Normal 46 4 2 21" xfId="34920"/>
    <cellStyle name="Normal 46 4 2 22" xfId="35893"/>
    <cellStyle name="Normal 46 4 2 23" xfId="37541"/>
    <cellStyle name="Normal 46 4 2 24" xfId="39386"/>
    <cellStyle name="Normal 46 4 2 25" xfId="41141"/>
    <cellStyle name="Normal 46 4 2 26" xfId="42893"/>
    <cellStyle name="Normal 46 4 2 27" xfId="44541"/>
    <cellStyle name="Normal 46 4 2 28" xfId="45511"/>
    <cellStyle name="Normal 46 4 2 29" xfId="47263"/>
    <cellStyle name="Normal 46 4 2 3" xfId="3468"/>
    <cellStyle name="Normal 46 4 2 30" xfId="49015"/>
    <cellStyle name="Normal 46 4 2 31" xfId="50767"/>
    <cellStyle name="Normal 46 4 2 32" xfId="52519"/>
    <cellStyle name="Normal 46 4 2 33" xfId="54271"/>
    <cellStyle name="Normal 46 4 2 34" xfId="56023"/>
    <cellStyle name="Normal 46 4 2 35" xfId="57776"/>
    <cellStyle name="Normal 46 4 2 36" xfId="59528"/>
    <cellStyle name="Normal 46 4 2 37" xfId="61280"/>
    <cellStyle name="Normal 46 4 2 38" xfId="62928"/>
    <cellStyle name="Normal 46 4 2 39" xfId="63794"/>
    <cellStyle name="Normal 46 4 2 4" xfId="5220"/>
    <cellStyle name="Normal 46 4 2 5" xfId="6972"/>
    <cellStyle name="Normal 46 4 2 6" xfId="8724"/>
    <cellStyle name="Normal 46 4 2 7" xfId="10477"/>
    <cellStyle name="Normal 46 4 2 8" xfId="12229"/>
    <cellStyle name="Normal 46 4 2 9" xfId="13981"/>
    <cellStyle name="Normal 46 4 20" xfId="31068"/>
    <cellStyle name="Normal 46 4 21" xfId="32821"/>
    <cellStyle name="Normal 46 4 22" xfId="34919"/>
    <cellStyle name="Normal 46 4 23" xfId="35457"/>
    <cellStyle name="Normal 46 4 24" xfId="37540"/>
    <cellStyle name="Normal 46 4 25" xfId="38950"/>
    <cellStyle name="Normal 46 4 26" xfId="40705"/>
    <cellStyle name="Normal 46 4 27" xfId="42457"/>
    <cellStyle name="Normal 46 4 28" xfId="44540"/>
    <cellStyle name="Normal 46 4 29" xfId="45075"/>
    <cellStyle name="Normal 46 4 3" xfId="1985"/>
    <cellStyle name="Normal 46 4 3 10" xfId="17926"/>
    <cellStyle name="Normal 46 4 3 11" xfId="19678"/>
    <cellStyle name="Normal 46 4 3 12" xfId="21431"/>
    <cellStyle name="Normal 46 4 3 13" xfId="23183"/>
    <cellStyle name="Normal 46 4 3 14" xfId="24935"/>
    <cellStyle name="Normal 46 4 3 15" xfId="26687"/>
    <cellStyle name="Normal 46 4 3 16" xfId="28439"/>
    <cellStyle name="Normal 46 4 3 17" xfId="30192"/>
    <cellStyle name="Normal 46 4 3 18" xfId="31944"/>
    <cellStyle name="Normal 46 4 3 19" xfId="33697"/>
    <cellStyle name="Normal 46 4 3 2" xfId="3908"/>
    <cellStyle name="Normal 46 4 3 20" xfId="36333"/>
    <cellStyle name="Normal 46 4 3 21" xfId="38073"/>
    <cellStyle name="Normal 46 4 3 22" xfId="39826"/>
    <cellStyle name="Normal 46 4 3 23" xfId="41581"/>
    <cellStyle name="Normal 46 4 3 24" xfId="43333"/>
    <cellStyle name="Normal 46 4 3 25" xfId="45951"/>
    <cellStyle name="Normal 46 4 3 26" xfId="47703"/>
    <cellStyle name="Normal 46 4 3 27" xfId="49455"/>
    <cellStyle name="Normal 46 4 3 28" xfId="51207"/>
    <cellStyle name="Normal 46 4 3 29" xfId="52959"/>
    <cellStyle name="Normal 46 4 3 3" xfId="5660"/>
    <cellStyle name="Normal 46 4 3 30" xfId="54711"/>
    <cellStyle name="Normal 46 4 3 31" xfId="56463"/>
    <cellStyle name="Normal 46 4 3 32" xfId="58216"/>
    <cellStyle name="Normal 46 4 3 33" xfId="59968"/>
    <cellStyle name="Normal 46 4 3 34" xfId="61720"/>
    <cellStyle name="Normal 46 4 3 4" xfId="7412"/>
    <cellStyle name="Normal 46 4 3 5" xfId="9164"/>
    <cellStyle name="Normal 46 4 3 6" xfId="10917"/>
    <cellStyle name="Normal 46 4 3 7" xfId="12669"/>
    <cellStyle name="Normal 46 4 3 8" xfId="14421"/>
    <cellStyle name="Normal 46 4 3 9" xfId="16173"/>
    <cellStyle name="Normal 46 4 30" xfId="46827"/>
    <cellStyle name="Normal 46 4 31" xfId="48579"/>
    <cellStyle name="Normal 46 4 32" xfId="50331"/>
    <cellStyle name="Normal 46 4 33" xfId="52083"/>
    <cellStyle name="Normal 46 4 34" xfId="53835"/>
    <cellStyle name="Normal 46 4 35" xfId="55587"/>
    <cellStyle name="Normal 46 4 36" xfId="57340"/>
    <cellStyle name="Normal 46 4 37" xfId="59092"/>
    <cellStyle name="Normal 46 4 38" xfId="60844"/>
    <cellStyle name="Normal 46 4 39" xfId="62927"/>
    <cellStyle name="Normal 46 4 4" xfId="3032"/>
    <cellStyle name="Normal 46 4 40" xfId="63793"/>
    <cellStyle name="Normal 46 4 5" xfId="4784"/>
    <cellStyle name="Normal 46 4 6" xfId="6536"/>
    <cellStyle name="Normal 46 4 7" xfId="8288"/>
    <cellStyle name="Normal 46 4 8" xfId="10041"/>
    <cellStyle name="Normal 46 4 9" xfId="11793"/>
    <cellStyle name="Normal 46 5" xfId="1986"/>
    <cellStyle name="Normal 46 5 10" xfId="15382"/>
    <cellStyle name="Normal 46 5 11" xfId="17135"/>
    <cellStyle name="Normal 46 5 12" xfId="18887"/>
    <cellStyle name="Normal 46 5 13" xfId="20640"/>
    <cellStyle name="Normal 46 5 14" xfId="22392"/>
    <cellStyle name="Normal 46 5 15" xfId="24144"/>
    <cellStyle name="Normal 46 5 16" xfId="25896"/>
    <cellStyle name="Normal 46 5 17" xfId="27648"/>
    <cellStyle name="Normal 46 5 18" xfId="29401"/>
    <cellStyle name="Normal 46 5 19" xfId="31153"/>
    <cellStyle name="Normal 46 5 2" xfId="1987"/>
    <cellStyle name="Normal 46 5 2 10" xfId="18011"/>
    <cellStyle name="Normal 46 5 2 11" xfId="19763"/>
    <cellStyle name="Normal 46 5 2 12" xfId="21516"/>
    <cellStyle name="Normal 46 5 2 13" xfId="23268"/>
    <cellStyle name="Normal 46 5 2 14" xfId="25020"/>
    <cellStyle name="Normal 46 5 2 15" xfId="26772"/>
    <cellStyle name="Normal 46 5 2 16" xfId="28524"/>
    <cellStyle name="Normal 46 5 2 17" xfId="30277"/>
    <cellStyle name="Normal 46 5 2 18" xfId="32029"/>
    <cellStyle name="Normal 46 5 2 19" xfId="33782"/>
    <cellStyle name="Normal 46 5 2 2" xfId="3993"/>
    <cellStyle name="Normal 46 5 2 20" xfId="36418"/>
    <cellStyle name="Normal 46 5 2 21" xfId="38158"/>
    <cellStyle name="Normal 46 5 2 22" xfId="39911"/>
    <cellStyle name="Normal 46 5 2 23" xfId="41666"/>
    <cellStyle name="Normal 46 5 2 24" xfId="43418"/>
    <cellStyle name="Normal 46 5 2 25" xfId="46036"/>
    <cellStyle name="Normal 46 5 2 26" xfId="47788"/>
    <cellStyle name="Normal 46 5 2 27" xfId="49540"/>
    <cellStyle name="Normal 46 5 2 28" xfId="51292"/>
    <cellStyle name="Normal 46 5 2 29" xfId="53044"/>
    <cellStyle name="Normal 46 5 2 3" xfId="5745"/>
    <cellStyle name="Normal 46 5 2 30" xfId="54796"/>
    <cellStyle name="Normal 46 5 2 31" xfId="56548"/>
    <cellStyle name="Normal 46 5 2 32" xfId="58301"/>
    <cellStyle name="Normal 46 5 2 33" xfId="60053"/>
    <cellStyle name="Normal 46 5 2 34" xfId="61805"/>
    <cellStyle name="Normal 46 5 2 4" xfId="7497"/>
    <cellStyle name="Normal 46 5 2 5" xfId="9249"/>
    <cellStyle name="Normal 46 5 2 6" xfId="11002"/>
    <cellStyle name="Normal 46 5 2 7" xfId="12754"/>
    <cellStyle name="Normal 46 5 2 8" xfId="14506"/>
    <cellStyle name="Normal 46 5 2 9" xfId="16258"/>
    <cellStyle name="Normal 46 5 20" xfId="32906"/>
    <cellStyle name="Normal 46 5 21" xfId="34921"/>
    <cellStyle name="Normal 46 5 22" xfId="35542"/>
    <cellStyle name="Normal 46 5 23" xfId="37542"/>
    <cellStyle name="Normal 46 5 24" xfId="39035"/>
    <cellStyle name="Normal 46 5 25" xfId="40790"/>
    <cellStyle name="Normal 46 5 26" xfId="42542"/>
    <cellStyle name="Normal 46 5 27" xfId="44542"/>
    <cellStyle name="Normal 46 5 28" xfId="45160"/>
    <cellStyle name="Normal 46 5 29" xfId="46912"/>
    <cellStyle name="Normal 46 5 3" xfId="3117"/>
    <cellStyle name="Normal 46 5 30" xfId="48664"/>
    <cellStyle name="Normal 46 5 31" xfId="50416"/>
    <cellStyle name="Normal 46 5 32" xfId="52168"/>
    <cellStyle name="Normal 46 5 33" xfId="53920"/>
    <cellStyle name="Normal 46 5 34" xfId="55672"/>
    <cellStyle name="Normal 46 5 35" xfId="57425"/>
    <cellStyle name="Normal 46 5 36" xfId="59177"/>
    <cellStyle name="Normal 46 5 37" xfId="60929"/>
    <cellStyle name="Normal 46 5 38" xfId="62929"/>
    <cellStyle name="Normal 46 5 39" xfId="63795"/>
    <cellStyle name="Normal 46 5 4" xfId="4869"/>
    <cellStyle name="Normal 46 5 5" xfId="6621"/>
    <cellStyle name="Normal 46 5 6" xfId="8373"/>
    <cellStyle name="Normal 46 5 7" xfId="10126"/>
    <cellStyle name="Normal 46 5 8" xfId="11878"/>
    <cellStyle name="Normal 46 5 9" xfId="13630"/>
    <cellStyle name="Normal 46 6" xfId="1988"/>
    <cellStyle name="Normal 46 6 10" xfId="17575"/>
    <cellStyle name="Normal 46 6 11" xfId="19327"/>
    <cellStyle name="Normal 46 6 12" xfId="21080"/>
    <cellStyle name="Normal 46 6 13" xfId="22832"/>
    <cellStyle name="Normal 46 6 14" xfId="24584"/>
    <cellStyle name="Normal 46 6 15" xfId="26336"/>
    <cellStyle name="Normal 46 6 16" xfId="28088"/>
    <cellStyle name="Normal 46 6 17" xfId="29841"/>
    <cellStyle name="Normal 46 6 18" xfId="31593"/>
    <cellStyle name="Normal 46 6 19" xfId="33346"/>
    <cellStyle name="Normal 46 6 2" xfId="3557"/>
    <cellStyle name="Normal 46 6 20" xfId="35982"/>
    <cellStyle name="Normal 46 6 21" xfId="37733"/>
    <cellStyle name="Normal 46 6 22" xfId="39475"/>
    <cellStyle name="Normal 46 6 23" xfId="41230"/>
    <cellStyle name="Normal 46 6 24" xfId="42982"/>
    <cellStyle name="Normal 46 6 25" xfId="45600"/>
    <cellStyle name="Normal 46 6 26" xfId="47352"/>
    <cellStyle name="Normal 46 6 27" xfId="49104"/>
    <cellStyle name="Normal 46 6 28" xfId="50856"/>
    <cellStyle name="Normal 46 6 29" xfId="52608"/>
    <cellStyle name="Normal 46 6 3" xfId="5309"/>
    <cellStyle name="Normal 46 6 30" xfId="54360"/>
    <cellStyle name="Normal 46 6 31" xfId="56112"/>
    <cellStyle name="Normal 46 6 32" xfId="57865"/>
    <cellStyle name="Normal 46 6 33" xfId="59617"/>
    <cellStyle name="Normal 46 6 34" xfId="61369"/>
    <cellStyle name="Normal 46 6 4" xfId="7061"/>
    <cellStyle name="Normal 46 6 5" xfId="8813"/>
    <cellStyle name="Normal 46 6 6" xfId="10566"/>
    <cellStyle name="Normal 46 6 7" xfId="12318"/>
    <cellStyle name="Normal 46 6 8" xfId="14070"/>
    <cellStyle name="Normal 46 6 9" xfId="15822"/>
    <cellStyle name="Normal 46 7" xfId="2681"/>
    <cellStyle name="Normal 46 8" xfId="4433"/>
    <cellStyle name="Normal 46 9" xfId="6185"/>
    <cellStyle name="Normal 47" xfId="1989"/>
    <cellStyle name="Normal 47 10" xfId="7938"/>
    <cellStyle name="Normal 47 11" xfId="9691"/>
    <cellStyle name="Normal 47 12" xfId="11443"/>
    <cellStyle name="Normal 47 13" xfId="13195"/>
    <cellStyle name="Normal 47 14" xfId="14947"/>
    <cellStyle name="Normal 47 15" xfId="16700"/>
    <cellStyle name="Normal 47 16" xfId="18452"/>
    <cellStyle name="Normal 47 17" xfId="20205"/>
    <cellStyle name="Normal 47 18" xfId="21957"/>
    <cellStyle name="Normal 47 19" xfId="23709"/>
    <cellStyle name="Normal 47 2" xfId="1990"/>
    <cellStyle name="Normal 47 2 10" xfId="9746"/>
    <cellStyle name="Normal 47 2 11" xfId="11498"/>
    <cellStyle name="Normal 47 2 12" xfId="13250"/>
    <cellStyle name="Normal 47 2 13" xfId="15002"/>
    <cellStyle name="Normal 47 2 14" xfId="16755"/>
    <cellStyle name="Normal 47 2 15" xfId="18507"/>
    <cellStyle name="Normal 47 2 16" xfId="20260"/>
    <cellStyle name="Normal 47 2 17" xfId="22012"/>
    <cellStyle name="Normal 47 2 18" xfId="23764"/>
    <cellStyle name="Normal 47 2 19" xfId="25516"/>
    <cellStyle name="Normal 47 2 2" xfId="1991"/>
    <cellStyle name="Normal 47 2 2 10" xfId="11606"/>
    <cellStyle name="Normal 47 2 2 11" xfId="13358"/>
    <cellStyle name="Normal 47 2 2 12" xfId="15110"/>
    <cellStyle name="Normal 47 2 2 13" xfId="16863"/>
    <cellStyle name="Normal 47 2 2 14" xfId="18615"/>
    <cellStyle name="Normal 47 2 2 15" xfId="20368"/>
    <cellStyle name="Normal 47 2 2 16" xfId="22120"/>
    <cellStyle name="Normal 47 2 2 17" xfId="23872"/>
    <cellStyle name="Normal 47 2 2 18" xfId="25624"/>
    <cellStyle name="Normal 47 2 2 19" xfId="27376"/>
    <cellStyle name="Normal 47 2 2 2" xfId="1992"/>
    <cellStyle name="Normal 47 2 2 2 10" xfId="13546"/>
    <cellStyle name="Normal 47 2 2 2 11" xfId="15298"/>
    <cellStyle name="Normal 47 2 2 2 12" xfId="17051"/>
    <cellStyle name="Normal 47 2 2 2 13" xfId="18803"/>
    <cellStyle name="Normal 47 2 2 2 14" xfId="20556"/>
    <cellStyle name="Normal 47 2 2 2 15" xfId="22308"/>
    <cellStyle name="Normal 47 2 2 2 16" xfId="24060"/>
    <cellStyle name="Normal 47 2 2 2 17" xfId="25812"/>
    <cellStyle name="Normal 47 2 2 2 18" xfId="27564"/>
    <cellStyle name="Normal 47 2 2 2 19" xfId="29317"/>
    <cellStyle name="Normal 47 2 2 2 2" xfId="1993"/>
    <cellStyle name="Normal 47 2 2 2 2 10" xfId="15734"/>
    <cellStyle name="Normal 47 2 2 2 2 11" xfId="17487"/>
    <cellStyle name="Normal 47 2 2 2 2 12" xfId="19239"/>
    <cellStyle name="Normal 47 2 2 2 2 13" xfId="20992"/>
    <cellStyle name="Normal 47 2 2 2 2 14" xfId="22744"/>
    <cellStyle name="Normal 47 2 2 2 2 15" xfId="24496"/>
    <cellStyle name="Normal 47 2 2 2 2 16" xfId="26248"/>
    <cellStyle name="Normal 47 2 2 2 2 17" xfId="28000"/>
    <cellStyle name="Normal 47 2 2 2 2 18" xfId="29753"/>
    <cellStyle name="Normal 47 2 2 2 2 19" xfId="31505"/>
    <cellStyle name="Normal 47 2 2 2 2 2" xfId="1994"/>
    <cellStyle name="Normal 47 2 2 2 2 2 10" xfId="18363"/>
    <cellStyle name="Normal 47 2 2 2 2 2 11" xfId="20115"/>
    <cellStyle name="Normal 47 2 2 2 2 2 12" xfId="21868"/>
    <cellStyle name="Normal 47 2 2 2 2 2 13" xfId="23620"/>
    <cellStyle name="Normal 47 2 2 2 2 2 14" xfId="25372"/>
    <cellStyle name="Normal 47 2 2 2 2 2 15" xfId="27124"/>
    <cellStyle name="Normal 47 2 2 2 2 2 16" xfId="28876"/>
    <cellStyle name="Normal 47 2 2 2 2 2 17" xfId="30629"/>
    <cellStyle name="Normal 47 2 2 2 2 2 18" xfId="32381"/>
    <cellStyle name="Normal 47 2 2 2 2 2 19" xfId="34134"/>
    <cellStyle name="Normal 47 2 2 2 2 2 2" xfId="4345"/>
    <cellStyle name="Normal 47 2 2 2 2 2 20" xfId="36770"/>
    <cellStyle name="Normal 47 2 2 2 2 2 21" xfId="38510"/>
    <cellStyle name="Normal 47 2 2 2 2 2 22" xfId="40263"/>
    <cellStyle name="Normal 47 2 2 2 2 2 23" xfId="42018"/>
    <cellStyle name="Normal 47 2 2 2 2 2 24" xfId="43770"/>
    <cellStyle name="Normal 47 2 2 2 2 2 25" xfId="46388"/>
    <cellStyle name="Normal 47 2 2 2 2 2 26" xfId="48140"/>
    <cellStyle name="Normal 47 2 2 2 2 2 27" xfId="49892"/>
    <cellStyle name="Normal 47 2 2 2 2 2 28" xfId="51644"/>
    <cellStyle name="Normal 47 2 2 2 2 2 29" xfId="53396"/>
    <cellStyle name="Normal 47 2 2 2 2 2 3" xfId="6097"/>
    <cellStyle name="Normal 47 2 2 2 2 2 30" xfId="55148"/>
    <cellStyle name="Normal 47 2 2 2 2 2 31" xfId="56900"/>
    <cellStyle name="Normal 47 2 2 2 2 2 32" xfId="58653"/>
    <cellStyle name="Normal 47 2 2 2 2 2 33" xfId="60405"/>
    <cellStyle name="Normal 47 2 2 2 2 2 34" xfId="62157"/>
    <cellStyle name="Normal 47 2 2 2 2 2 4" xfId="7849"/>
    <cellStyle name="Normal 47 2 2 2 2 2 5" xfId="9601"/>
    <cellStyle name="Normal 47 2 2 2 2 2 6" xfId="11354"/>
    <cellStyle name="Normal 47 2 2 2 2 2 7" xfId="13106"/>
    <cellStyle name="Normal 47 2 2 2 2 2 8" xfId="14858"/>
    <cellStyle name="Normal 47 2 2 2 2 2 9" xfId="16610"/>
    <cellStyle name="Normal 47 2 2 2 2 20" xfId="33258"/>
    <cellStyle name="Normal 47 2 2 2 2 21" xfId="34926"/>
    <cellStyle name="Normal 47 2 2 2 2 22" xfId="35894"/>
    <cellStyle name="Normal 47 2 2 2 2 23" xfId="37547"/>
    <cellStyle name="Normal 47 2 2 2 2 24" xfId="39387"/>
    <cellStyle name="Normal 47 2 2 2 2 25" xfId="41142"/>
    <cellStyle name="Normal 47 2 2 2 2 26" xfId="42894"/>
    <cellStyle name="Normal 47 2 2 2 2 27" xfId="44547"/>
    <cellStyle name="Normal 47 2 2 2 2 28" xfId="45512"/>
    <cellStyle name="Normal 47 2 2 2 2 29" xfId="47264"/>
    <cellStyle name="Normal 47 2 2 2 2 3" xfId="3469"/>
    <cellStyle name="Normal 47 2 2 2 2 30" xfId="49016"/>
    <cellStyle name="Normal 47 2 2 2 2 31" xfId="50768"/>
    <cellStyle name="Normal 47 2 2 2 2 32" xfId="52520"/>
    <cellStyle name="Normal 47 2 2 2 2 33" xfId="54272"/>
    <cellStyle name="Normal 47 2 2 2 2 34" xfId="56024"/>
    <cellStyle name="Normal 47 2 2 2 2 35" xfId="57777"/>
    <cellStyle name="Normal 47 2 2 2 2 36" xfId="59529"/>
    <cellStyle name="Normal 47 2 2 2 2 37" xfId="61281"/>
    <cellStyle name="Normal 47 2 2 2 2 38" xfId="62934"/>
    <cellStyle name="Normal 47 2 2 2 2 39" xfId="63800"/>
    <cellStyle name="Normal 47 2 2 2 2 4" xfId="5221"/>
    <cellStyle name="Normal 47 2 2 2 2 5" xfId="6973"/>
    <cellStyle name="Normal 47 2 2 2 2 6" xfId="8725"/>
    <cellStyle name="Normal 47 2 2 2 2 7" xfId="10478"/>
    <cellStyle name="Normal 47 2 2 2 2 8" xfId="12230"/>
    <cellStyle name="Normal 47 2 2 2 2 9" xfId="13982"/>
    <cellStyle name="Normal 47 2 2 2 20" xfId="31069"/>
    <cellStyle name="Normal 47 2 2 2 21" xfId="32822"/>
    <cellStyle name="Normal 47 2 2 2 22" xfId="34925"/>
    <cellStyle name="Normal 47 2 2 2 23" xfId="35458"/>
    <cellStyle name="Normal 47 2 2 2 24" xfId="37546"/>
    <cellStyle name="Normal 47 2 2 2 25" xfId="38951"/>
    <cellStyle name="Normal 47 2 2 2 26" xfId="40706"/>
    <cellStyle name="Normal 47 2 2 2 27" xfId="42458"/>
    <cellStyle name="Normal 47 2 2 2 28" xfId="44546"/>
    <cellStyle name="Normal 47 2 2 2 29" xfId="45076"/>
    <cellStyle name="Normal 47 2 2 2 3" xfId="1995"/>
    <cellStyle name="Normal 47 2 2 2 3 10" xfId="17927"/>
    <cellStyle name="Normal 47 2 2 2 3 11" xfId="19679"/>
    <cellStyle name="Normal 47 2 2 2 3 12" xfId="21432"/>
    <cellStyle name="Normal 47 2 2 2 3 13" xfId="23184"/>
    <cellStyle name="Normal 47 2 2 2 3 14" xfId="24936"/>
    <cellStyle name="Normal 47 2 2 2 3 15" xfId="26688"/>
    <cellStyle name="Normal 47 2 2 2 3 16" xfId="28440"/>
    <cellStyle name="Normal 47 2 2 2 3 17" xfId="30193"/>
    <cellStyle name="Normal 47 2 2 2 3 18" xfId="31945"/>
    <cellStyle name="Normal 47 2 2 2 3 19" xfId="33698"/>
    <cellStyle name="Normal 47 2 2 2 3 2" xfId="3909"/>
    <cellStyle name="Normal 47 2 2 2 3 20" xfId="36334"/>
    <cellStyle name="Normal 47 2 2 2 3 21" xfId="38074"/>
    <cellStyle name="Normal 47 2 2 2 3 22" xfId="39827"/>
    <cellStyle name="Normal 47 2 2 2 3 23" xfId="41582"/>
    <cellStyle name="Normal 47 2 2 2 3 24" xfId="43334"/>
    <cellStyle name="Normal 47 2 2 2 3 25" xfId="45952"/>
    <cellStyle name="Normal 47 2 2 2 3 26" xfId="47704"/>
    <cellStyle name="Normal 47 2 2 2 3 27" xfId="49456"/>
    <cellStyle name="Normal 47 2 2 2 3 28" xfId="51208"/>
    <cellStyle name="Normal 47 2 2 2 3 29" xfId="52960"/>
    <cellStyle name="Normal 47 2 2 2 3 3" xfId="5661"/>
    <cellStyle name="Normal 47 2 2 2 3 30" xfId="54712"/>
    <cellStyle name="Normal 47 2 2 2 3 31" xfId="56464"/>
    <cellStyle name="Normal 47 2 2 2 3 32" xfId="58217"/>
    <cellStyle name="Normal 47 2 2 2 3 33" xfId="59969"/>
    <cellStyle name="Normal 47 2 2 2 3 34" xfId="61721"/>
    <cellStyle name="Normal 47 2 2 2 3 4" xfId="7413"/>
    <cellStyle name="Normal 47 2 2 2 3 5" xfId="9165"/>
    <cellStyle name="Normal 47 2 2 2 3 6" xfId="10918"/>
    <cellStyle name="Normal 47 2 2 2 3 7" xfId="12670"/>
    <cellStyle name="Normal 47 2 2 2 3 8" xfId="14422"/>
    <cellStyle name="Normal 47 2 2 2 3 9" xfId="16174"/>
    <cellStyle name="Normal 47 2 2 2 30" xfId="46828"/>
    <cellStyle name="Normal 47 2 2 2 31" xfId="48580"/>
    <cellStyle name="Normal 47 2 2 2 32" xfId="50332"/>
    <cellStyle name="Normal 47 2 2 2 33" xfId="52084"/>
    <cellStyle name="Normal 47 2 2 2 34" xfId="53836"/>
    <cellStyle name="Normal 47 2 2 2 35" xfId="55588"/>
    <cellStyle name="Normal 47 2 2 2 36" xfId="57341"/>
    <cellStyle name="Normal 47 2 2 2 37" xfId="59093"/>
    <cellStyle name="Normal 47 2 2 2 38" xfId="60845"/>
    <cellStyle name="Normal 47 2 2 2 39" xfId="62933"/>
    <cellStyle name="Normal 47 2 2 2 4" xfId="3033"/>
    <cellStyle name="Normal 47 2 2 2 40" xfId="63799"/>
    <cellStyle name="Normal 47 2 2 2 5" xfId="4785"/>
    <cellStyle name="Normal 47 2 2 2 6" xfId="6537"/>
    <cellStyle name="Normal 47 2 2 2 7" xfId="8289"/>
    <cellStyle name="Normal 47 2 2 2 8" xfId="10042"/>
    <cellStyle name="Normal 47 2 2 2 9" xfId="11794"/>
    <cellStyle name="Normal 47 2 2 20" xfId="29129"/>
    <cellStyle name="Normal 47 2 2 21" xfId="30881"/>
    <cellStyle name="Normal 47 2 2 22" xfId="32634"/>
    <cellStyle name="Normal 47 2 2 23" xfId="34924"/>
    <cellStyle name="Normal 47 2 2 24" xfId="35270"/>
    <cellStyle name="Normal 47 2 2 25" xfId="37545"/>
    <cellStyle name="Normal 47 2 2 26" xfId="38763"/>
    <cellStyle name="Normal 47 2 2 27" xfId="40518"/>
    <cellStyle name="Normal 47 2 2 28" xfId="42270"/>
    <cellStyle name="Normal 47 2 2 29" xfId="44545"/>
    <cellStyle name="Normal 47 2 2 3" xfId="1996"/>
    <cellStyle name="Normal 47 2 2 3 10" xfId="15546"/>
    <cellStyle name="Normal 47 2 2 3 11" xfId="17299"/>
    <cellStyle name="Normal 47 2 2 3 12" xfId="19051"/>
    <cellStyle name="Normal 47 2 2 3 13" xfId="20804"/>
    <cellStyle name="Normal 47 2 2 3 14" xfId="22556"/>
    <cellStyle name="Normal 47 2 2 3 15" xfId="24308"/>
    <cellStyle name="Normal 47 2 2 3 16" xfId="26060"/>
    <cellStyle name="Normal 47 2 2 3 17" xfId="27812"/>
    <cellStyle name="Normal 47 2 2 3 18" xfId="29565"/>
    <cellStyle name="Normal 47 2 2 3 19" xfId="31317"/>
    <cellStyle name="Normal 47 2 2 3 2" xfId="1997"/>
    <cellStyle name="Normal 47 2 2 3 2 10" xfId="18175"/>
    <cellStyle name="Normal 47 2 2 3 2 11" xfId="19927"/>
    <cellStyle name="Normal 47 2 2 3 2 12" xfId="21680"/>
    <cellStyle name="Normal 47 2 2 3 2 13" xfId="23432"/>
    <cellStyle name="Normal 47 2 2 3 2 14" xfId="25184"/>
    <cellStyle name="Normal 47 2 2 3 2 15" xfId="26936"/>
    <cellStyle name="Normal 47 2 2 3 2 16" xfId="28688"/>
    <cellStyle name="Normal 47 2 2 3 2 17" xfId="30441"/>
    <cellStyle name="Normal 47 2 2 3 2 18" xfId="32193"/>
    <cellStyle name="Normal 47 2 2 3 2 19" xfId="33946"/>
    <cellStyle name="Normal 47 2 2 3 2 2" xfId="4157"/>
    <cellStyle name="Normal 47 2 2 3 2 20" xfId="36582"/>
    <cellStyle name="Normal 47 2 2 3 2 21" xfId="38322"/>
    <cellStyle name="Normal 47 2 2 3 2 22" xfId="40075"/>
    <cellStyle name="Normal 47 2 2 3 2 23" xfId="41830"/>
    <cellStyle name="Normal 47 2 2 3 2 24" xfId="43582"/>
    <cellStyle name="Normal 47 2 2 3 2 25" xfId="46200"/>
    <cellStyle name="Normal 47 2 2 3 2 26" xfId="47952"/>
    <cellStyle name="Normal 47 2 2 3 2 27" xfId="49704"/>
    <cellStyle name="Normal 47 2 2 3 2 28" xfId="51456"/>
    <cellStyle name="Normal 47 2 2 3 2 29" xfId="53208"/>
    <cellStyle name="Normal 47 2 2 3 2 3" xfId="5909"/>
    <cellStyle name="Normal 47 2 2 3 2 30" xfId="54960"/>
    <cellStyle name="Normal 47 2 2 3 2 31" xfId="56712"/>
    <cellStyle name="Normal 47 2 2 3 2 32" xfId="58465"/>
    <cellStyle name="Normal 47 2 2 3 2 33" xfId="60217"/>
    <cellStyle name="Normal 47 2 2 3 2 34" xfId="61969"/>
    <cellStyle name="Normal 47 2 2 3 2 4" xfId="7661"/>
    <cellStyle name="Normal 47 2 2 3 2 5" xfId="9413"/>
    <cellStyle name="Normal 47 2 2 3 2 6" xfId="11166"/>
    <cellStyle name="Normal 47 2 2 3 2 7" xfId="12918"/>
    <cellStyle name="Normal 47 2 2 3 2 8" xfId="14670"/>
    <cellStyle name="Normal 47 2 2 3 2 9" xfId="16422"/>
    <cellStyle name="Normal 47 2 2 3 20" xfId="33070"/>
    <cellStyle name="Normal 47 2 2 3 21" xfId="34927"/>
    <cellStyle name="Normal 47 2 2 3 22" xfId="35706"/>
    <cellStyle name="Normal 47 2 2 3 23" xfId="37548"/>
    <cellStyle name="Normal 47 2 2 3 24" xfId="39199"/>
    <cellStyle name="Normal 47 2 2 3 25" xfId="40954"/>
    <cellStyle name="Normal 47 2 2 3 26" xfId="42706"/>
    <cellStyle name="Normal 47 2 2 3 27" xfId="44548"/>
    <cellStyle name="Normal 47 2 2 3 28" xfId="45324"/>
    <cellStyle name="Normal 47 2 2 3 29" xfId="47076"/>
    <cellStyle name="Normal 47 2 2 3 3" xfId="3281"/>
    <cellStyle name="Normal 47 2 2 3 30" xfId="48828"/>
    <cellStyle name="Normal 47 2 2 3 31" xfId="50580"/>
    <cellStyle name="Normal 47 2 2 3 32" xfId="52332"/>
    <cellStyle name="Normal 47 2 2 3 33" xfId="54084"/>
    <cellStyle name="Normal 47 2 2 3 34" xfId="55836"/>
    <cellStyle name="Normal 47 2 2 3 35" xfId="57589"/>
    <cellStyle name="Normal 47 2 2 3 36" xfId="59341"/>
    <cellStyle name="Normal 47 2 2 3 37" xfId="61093"/>
    <cellStyle name="Normal 47 2 2 3 38" xfId="62935"/>
    <cellStyle name="Normal 47 2 2 3 39" xfId="63801"/>
    <cellStyle name="Normal 47 2 2 3 4" xfId="5033"/>
    <cellStyle name="Normal 47 2 2 3 5" xfId="6785"/>
    <cellStyle name="Normal 47 2 2 3 6" xfId="8537"/>
    <cellStyle name="Normal 47 2 2 3 7" xfId="10290"/>
    <cellStyle name="Normal 47 2 2 3 8" xfId="12042"/>
    <cellStyle name="Normal 47 2 2 3 9" xfId="13794"/>
    <cellStyle name="Normal 47 2 2 30" xfId="44888"/>
    <cellStyle name="Normal 47 2 2 31" xfId="46640"/>
    <cellStyle name="Normal 47 2 2 32" xfId="48392"/>
    <cellStyle name="Normal 47 2 2 33" xfId="50144"/>
    <cellStyle name="Normal 47 2 2 34" xfId="51896"/>
    <cellStyle name="Normal 47 2 2 35" xfId="53648"/>
    <cellStyle name="Normal 47 2 2 36" xfId="55400"/>
    <cellStyle name="Normal 47 2 2 37" xfId="57153"/>
    <cellStyle name="Normal 47 2 2 38" xfId="58905"/>
    <cellStyle name="Normal 47 2 2 39" xfId="60657"/>
    <cellStyle name="Normal 47 2 2 4" xfId="1998"/>
    <cellStyle name="Normal 47 2 2 4 10" xfId="17739"/>
    <cellStyle name="Normal 47 2 2 4 11" xfId="19491"/>
    <cellStyle name="Normal 47 2 2 4 12" xfId="21244"/>
    <cellStyle name="Normal 47 2 2 4 13" xfId="22996"/>
    <cellStyle name="Normal 47 2 2 4 14" xfId="24748"/>
    <cellStyle name="Normal 47 2 2 4 15" xfId="26500"/>
    <cellStyle name="Normal 47 2 2 4 16" xfId="28252"/>
    <cellStyle name="Normal 47 2 2 4 17" xfId="30005"/>
    <cellStyle name="Normal 47 2 2 4 18" xfId="31757"/>
    <cellStyle name="Normal 47 2 2 4 19" xfId="33510"/>
    <cellStyle name="Normal 47 2 2 4 2" xfId="3721"/>
    <cellStyle name="Normal 47 2 2 4 20" xfId="36146"/>
    <cellStyle name="Normal 47 2 2 4 21" xfId="37886"/>
    <cellStyle name="Normal 47 2 2 4 22" xfId="39639"/>
    <cellStyle name="Normal 47 2 2 4 23" xfId="41394"/>
    <cellStyle name="Normal 47 2 2 4 24" xfId="43146"/>
    <cellStyle name="Normal 47 2 2 4 25" xfId="45764"/>
    <cellStyle name="Normal 47 2 2 4 26" xfId="47516"/>
    <cellStyle name="Normal 47 2 2 4 27" xfId="49268"/>
    <cellStyle name="Normal 47 2 2 4 28" xfId="51020"/>
    <cellStyle name="Normal 47 2 2 4 29" xfId="52772"/>
    <cellStyle name="Normal 47 2 2 4 3" xfId="5473"/>
    <cellStyle name="Normal 47 2 2 4 30" xfId="54524"/>
    <cellStyle name="Normal 47 2 2 4 31" xfId="56276"/>
    <cellStyle name="Normal 47 2 2 4 32" xfId="58029"/>
    <cellStyle name="Normal 47 2 2 4 33" xfId="59781"/>
    <cellStyle name="Normal 47 2 2 4 34" xfId="61533"/>
    <cellStyle name="Normal 47 2 2 4 4" xfId="7225"/>
    <cellStyle name="Normal 47 2 2 4 5" xfId="8977"/>
    <cellStyle name="Normal 47 2 2 4 6" xfId="10730"/>
    <cellStyle name="Normal 47 2 2 4 7" xfId="12482"/>
    <cellStyle name="Normal 47 2 2 4 8" xfId="14234"/>
    <cellStyle name="Normal 47 2 2 4 9" xfId="15986"/>
    <cellStyle name="Normal 47 2 2 40" xfId="62932"/>
    <cellStyle name="Normal 47 2 2 41" xfId="63798"/>
    <cellStyle name="Normal 47 2 2 5" xfId="2845"/>
    <cellStyle name="Normal 47 2 2 6" xfId="4597"/>
    <cellStyle name="Normal 47 2 2 7" xfId="6349"/>
    <cellStyle name="Normal 47 2 2 8" xfId="8101"/>
    <cellStyle name="Normal 47 2 2 9" xfId="9854"/>
    <cellStyle name="Normal 47 2 20" xfId="27268"/>
    <cellStyle name="Normal 47 2 21" xfId="29021"/>
    <cellStyle name="Normal 47 2 22" xfId="30773"/>
    <cellStyle name="Normal 47 2 23" xfId="32526"/>
    <cellStyle name="Normal 47 2 24" xfId="34923"/>
    <cellStyle name="Normal 47 2 25" xfId="35162"/>
    <cellStyle name="Normal 47 2 26" xfId="37544"/>
    <cellStyle name="Normal 47 2 27" xfId="38655"/>
    <cellStyle name="Normal 47 2 28" xfId="40410"/>
    <cellStyle name="Normal 47 2 29" xfId="42162"/>
    <cellStyle name="Normal 47 2 3" xfId="1999"/>
    <cellStyle name="Normal 47 2 3 10" xfId="13547"/>
    <cellStyle name="Normal 47 2 3 11" xfId="15299"/>
    <cellStyle name="Normal 47 2 3 12" xfId="17052"/>
    <cellStyle name="Normal 47 2 3 13" xfId="18804"/>
    <cellStyle name="Normal 47 2 3 14" xfId="20557"/>
    <cellStyle name="Normal 47 2 3 15" xfId="22309"/>
    <cellStyle name="Normal 47 2 3 16" xfId="24061"/>
    <cellStyle name="Normal 47 2 3 17" xfId="25813"/>
    <cellStyle name="Normal 47 2 3 18" xfId="27565"/>
    <cellStyle name="Normal 47 2 3 19" xfId="29318"/>
    <cellStyle name="Normal 47 2 3 2" xfId="2000"/>
    <cellStyle name="Normal 47 2 3 2 10" xfId="15735"/>
    <cellStyle name="Normal 47 2 3 2 11" xfId="17488"/>
    <cellStyle name="Normal 47 2 3 2 12" xfId="19240"/>
    <cellStyle name="Normal 47 2 3 2 13" xfId="20993"/>
    <cellStyle name="Normal 47 2 3 2 14" xfId="22745"/>
    <cellStyle name="Normal 47 2 3 2 15" xfId="24497"/>
    <cellStyle name="Normal 47 2 3 2 16" xfId="26249"/>
    <cellStyle name="Normal 47 2 3 2 17" xfId="28001"/>
    <cellStyle name="Normal 47 2 3 2 18" xfId="29754"/>
    <cellStyle name="Normal 47 2 3 2 19" xfId="31506"/>
    <cellStyle name="Normal 47 2 3 2 2" xfId="2001"/>
    <cellStyle name="Normal 47 2 3 2 2 10" xfId="18364"/>
    <cellStyle name="Normal 47 2 3 2 2 11" xfId="20116"/>
    <cellStyle name="Normal 47 2 3 2 2 12" xfId="21869"/>
    <cellStyle name="Normal 47 2 3 2 2 13" xfId="23621"/>
    <cellStyle name="Normal 47 2 3 2 2 14" xfId="25373"/>
    <cellStyle name="Normal 47 2 3 2 2 15" xfId="27125"/>
    <cellStyle name="Normal 47 2 3 2 2 16" xfId="28877"/>
    <cellStyle name="Normal 47 2 3 2 2 17" xfId="30630"/>
    <cellStyle name="Normal 47 2 3 2 2 18" xfId="32382"/>
    <cellStyle name="Normal 47 2 3 2 2 19" xfId="34135"/>
    <cellStyle name="Normal 47 2 3 2 2 2" xfId="4346"/>
    <cellStyle name="Normal 47 2 3 2 2 20" xfId="36771"/>
    <cellStyle name="Normal 47 2 3 2 2 21" xfId="38511"/>
    <cellStyle name="Normal 47 2 3 2 2 22" xfId="40264"/>
    <cellStyle name="Normal 47 2 3 2 2 23" xfId="42019"/>
    <cellStyle name="Normal 47 2 3 2 2 24" xfId="43771"/>
    <cellStyle name="Normal 47 2 3 2 2 25" xfId="46389"/>
    <cellStyle name="Normal 47 2 3 2 2 26" xfId="48141"/>
    <cellStyle name="Normal 47 2 3 2 2 27" xfId="49893"/>
    <cellStyle name="Normal 47 2 3 2 2 28" xfId="51645"/>
    <cellStyle name="Normal 47 2 3 2 2 29" xfId="53397"/>
    <cellStyle name="Normal 47 2 3 2 2 3" xfId="6098"/>
    <cellStyle name="Normal 47 2 3 2 2 30" xfId="55149"/>
    <cellStyle name="Normal 47 2 3 2 2 31" xfId="56901"/>
    <cellStyle name="Normal 47 2 3 2 2 32" xfId="58654"/>
    <cellStyle name="Normal 47 2 3 2 2 33" xfId="60406"/>
    <cellStyle name="Normal 47 2 3 2 2 34" xfId="62158"/>
    <cellStyle name="Normal 47 2 3 2 2 4" xfId="7850"/>
    <cellStyle name="Normal 47 2 3 2 2 5" xfId="9602"/>
    <cellStyle name="Normal 47 2 3 2 2 6" xfId="11355"/>
    <cellStyle name="Normal 47 2 3 2 2 7" xfId="13107"/>
    <cellStyle name="Normal 47 2 3 2 2 8" xfId="14859"/>
    <cellStyle name="Normal 47 2 3 2 2 9" xfId="16611"/>
    <cellStyle name="Normal 47 2 3 2 20" xfId="33259"/>
    <cellStyle name="Normal 47 2 3 2 21" xfId="34929"/>
    <cellStyle name="Normal 47 2 3 2 22" xfId="35895"/>
    <cellStyle name="Normal 47 2 3 2 23" xfId="37550"/>
    <cellStyle name="Normal 47 2 3 2 24" xfId="39388"/>
    <cellStyle name="Normal 47 2 3 2 25" xfId="41143"/>
    <cellStyle name="Normal 47 2 3 2 26" xfId="42895"/>
    <cellStyle name="Normal 47 2 3 2 27" xfId="44550"/>
    <cellStyle name="Normal 47 2 3 2 28" xfId="45513"/>
    <cellStyle name="Normal 47 2 3 2 29" xfId="47265"/>
    <cellStyle name="Normal 47 2 3 2 3" xfId="3470"/>
    <cellStyle name="Normal 47 2 3 2 30" xfId="49017"/>
    <cellStyle name="Normal 47 2 3 2 31" xfId="50769"/>
    <cellStyle name="Normal 47 2 3 2 32" xfId="52521"/>
    <cellStyle name="Normal 47 2 3 2 33" xfId="54273"/>
    <cellStyle name="Normal 47 2 3 2 34" xfId="56025"/>
    <cellStyle name="Normal 47 2 3 2 35" xfId="57778"/>
    <cellStyle name="Normal 47 2 3 2 36" xfId="59530"/>
    <cellStyle name="Normal 47 2 3 2 37" xfId="61282"/>
    <cellStyle name="Normal 47 2 3 2 38" xfId="62937"/>
    <cellStyle name="Normal 47 2 3 2 39" xfId="63803"/>
    <cellStyle name="Normal 47 2 3 2 4" xfId="5222"/>
    <cellStyle name="Normal 47 2 3 2 5" xfId="6974"/>
    <cellStyle name="Normal 47 2 3 2 6" xfId="8726"/>
    <cellStyle name="Normal 47 2 3 2 7" xfId="10479"/>
    <cellStyle name="Normal 47 2 3 2 8" xfId="12231"/>
    <cellStyle name="Normal 47 2 3 2 9" xfId="13983"/>
    <cellStyle name="Normal 47 2 3 20" xfId="31070"/>
    <cellStyle name="Normal 47 2 3 21" xfId="32823"/>
    <cellStyle name="Normal 47 2 3 22" xfId="34928"/>
    <cellStyle name="Normal 47 2 3 23" xfId="35459"/>
    <cellStyle name="Normal 47 2 3 24" xfId="37549"/>
    <cellStyle name="Normal 47 2 3 25" xfId="38952"/>
    <cellStyle name="Normal 47 2 3 26" xfId="40707"/>
    <cellStyle name="Normal 47 2 3 27" xfId="42459"/>
    <cellStyle name="Normal 47 2 3 28" xfId="44549"/>
    <cellStyle name="Normal 47 2 3 29" xfId="45077"/>
    <cellStyle name="Normal 47 2 3 3" xfId="2002"/>
    <cellStyle name="Normal 47 2 3 3 10" xfId="17928"/>
    <cellStyle name="Normal 47 2 3 3 11" xfId="19680"/>
    <cellStyle name="Normal 47 2 3 3 12" xfId="21433"/>
    <cellStyle name="Normal 47 2 3 3 13" xfId="23185"/>
    <cellStyle name="Normal 47 2 3 3 14" xfId="24937"/>
    <cellStyle name="Normal 47 2 3 3 15" xfId="26689"/>
    <cellStyle name="Normal 47 2 3 3 16" xfId="28441"/>
    <cellStyle name="Normal 47 2 3 3 17" xfId="30194"/>
    <cellStyle name="Normal 47 2 3 3 18" xfId="31946"/>
    <cellStyle name="Normal 47 2 3 3 19" xfId="33699"/>
    <cellStyle name="Normal 47 2 3 3 2" xfId="3910"/>
    <cellStyle name="Normal 47 2 3 3 20" xfId="36335"/>
    <cellStyle name="Normal 47 2 3 3 21" xfId="38075"/>
    <cellStyle name="Normal 47 2 3 3 22" xfId="39828"/>
    <cellStyle name="Normal 47 2 3 3 23" xfId="41583"/>
    <cellStyle name="Normal 47 2 3 3 24" xfId="43335"/>
    <cellStyle name="Normal 47 2 3 3 25" xfId="45953"/>
    <cellStyle name="Normal 47 2 3 3 26" xfId="47705"/>
    <cellStyle name="Normal 47 2 3 3 27" xfId="49457"/>
    <cellStyle name="Normal 47 2 3 3 28" xfId="51209"/>
    <cellStyle name="Normal 47 2 3 3 29" xfId="52961"/>
    <cellStyle name="Normal 47 2 3 3 3" xfId="5662"/>
    <cellStyle name="Normal 47 2 3 3 30" xfId="54713"/>
    <cellStyle name="Normal 47 2 3 3 31" xfId="56465"/>
    <cellStyle name="Normal 47 2 3 3 32" xfId="58218"/>
    <cellStyle name="Normal 47 2 3 3 33" xfId="59970"/>
    <cellStyle name="Normal 47 2 3 3 34" xfId="61722"/>
    <cellStyle name="Normal 47 2 3 3 4" xfId="7414"/>
    <cellStyle name="Normal 47 2 3 3 5" xfId="9166"/>
    <cellStyle name="Normal 47 2 3 3 6" xfId="10919"/>
    <cellStyle name="Normal 47 2 3 3 7" xfId="12671"/>
    <cellStyle name="Normal 47 2 3 3 8" xfId="14423"/>
    <cellStyle name="Normal 47 2 3 3 9" xfId="16175"/>
    <cellStyle name="Normal 47 2 3 30" xfId="46829"/>
    <cellStyle name="Normal 47 2 3 31" xfId="48581"/>
    <cellStyle name="Normal 47 2 3 32" xfId="50333"/>
    <cellStyle name="Normal 47 2 3 33" xfId="52085"/>
    <cellStyle name="Normal 47 2 3 34" xfId="53837"/>
    <cellStyle name="Normal 47 2 3 35" xfId="55589"/>
    <cellStyle name="Normal 47 2 3 36" xfId="57342"/>
    <cellStyle name="Normal 47 2 3 37" xfId="59094"/>
    <cellStyle name="Normal 47 2 3 38" xfId="60846"/>
    <cellStyle name="Normal 47 2 3 39" xfId="62936"/>
    <cellStyle name="Normal 47 2 3 4" xfId="3034"/>
    <cellStyle name="Normal 47 2 3 40" xfId="63802"/>
    <cellStyle name="Normal 47 2 3 5" xfId="4786"/>
    <cellStyle name="Normal 47 2 3 6" xfId="6538"/>
    <cellStyle name="Normal 47 2 3 7" xfId="8290"/>
    <cellStyle name="Normal 47 2 3 8" xfId="10043"/>
    <cellStyle name="Normal 47 2 3 9" xfId="11795"/>
    <cellStyle name="Normal 47 2 30" xfId="44544"/>
    <cellStyle name="Normal 47 2 31" xfId="44780"/>
    <cellStyle name="Normal 47 2 32" xfId="46532"/>
    <cellStyle name="Normal 47 2 33" xfId="48284"/>
    <cellStyle name="Normal 47 2 34" xfId="50036"/>
    <cellStyle name="Normal 47 2 35" xfId="51788"/>
    <cellStyle name="Normal 47 2 36" xfId="53540"/>
    <cellStyle name="Normal 47 2 37" xfId="55292"/>
    <cellStyle name="Normal 47 2 38" xfId="57045"/>
    <cellStyle name="Normal 47 2 39" xfId="58797"/>
    <cellStyle name="Normal 47 2 4" xfId="2003"/>
    <cellStyle name="Normal 47 2 4 10" xfId="15438"/>
    <cellStyle name="Normal 47 2 4 11" xfId="17191"/>
    <cellStyle name="Normal 47 2 4 12" xfId="18943"/>
    <cellStyle name="Normal 47 2 4 13" xfId="20696"/>
    <cellStyle name="Normal 47 2 4 14" xfId="22448"/>
    <cellStyle name="Normal 47 2 4 15" xfId="24200"/>
    <cellStyle name="Normal 47 2 4 16" xfId="25952"/>
    <cellStyle name="Normal 47 2 4 17" xfId="27704"/>
    <cellStyle name="Normal 47 2 4 18" xfId="29457"/>
    <cellStyle name="Normal 47 2 4 19" xfId="31209"/>
    <cellStyle name="Normal 47 2 4 2" xfId="2004"/>
    <cellStyle name="Normal 47 2 4 2 10" xfId="18067"/>
    <cellStyle name="Normal 47 2 4 2 11" xfId="19819"/>
    <cellStyle name="Normal 47 2 4 2 12" xfId="21572"/>
    <cellStyle name="Normal 47 2 4 2 13" xfId="23324"/>
    <cellStyle name="Normal 47 2 4 2 14" xfId="25076"/>
    <cellStyle name="Normal 47 2 4 2 15" xfId="26828"/>
    <cellStyle name="Normal 47 2 4 2 16" xfId="28580"/>
    <cellStyle name="Normal 47 2 4 2 17" xfId="30333"/>
    <cellStyle name="Normal 47 2 4 2 18" xfId="32085"/>
    <cellStyle name="Normal 47 2 4 2 19" xfId="33838"/>
    <cellStyle name="Normal 47 2 4 2 2" xfId="4049"/>
    <cellStyle name="Normal 47 2 4 2 20" xfId="36474"/>
    <cellStyle name="Normal 47 2 4 2 21" xfId="38214"/>
    <cellStyle name="Normal 47 2 4 2 22" xfId="39967"/>
    <cellStyle name="Normal 47 2 4 2 23" xfId="41722"/>
    <cellStyle name="Normal 47 2 4 2 24" xfId="43474"/>
    <cellStyle name="Normal 47 2 4 2 25" xfId="46092"/>
    <cellStyle name="Normal 47 2 4 2 26" xfId="47844"/>
    <cellStyle name="Normal 47 2 4 2 27" xfId="49596"/>
    <cellStyle name="Normal 47 2 4 2 28" xfId="51348"/>
    <cellStyle name="Normal 47 2 4 2 29" xfId="53100"/>
    <cellStyle name="Normal 47 2 4 2 3" xfId="5801"/>
    <cellStyle name="Normal 47 2 4 2 30" xfId="54852"/>
    <cellStyle name="Normal 47 2 4 2 31" xfId="56604"/>
    <cellStyle name="Normal 47 2 4 2 32" xfId="58357"/>
    <cellStyle name="Normal 47 2 4 2 33" xfId="60109"/>
    <cellStyle name="Normal 47 2 4 2 34" xfId="61861"/>
    <cellStyle name="Normal 47 2 4 2 4" xfId="7553"/>
    <cellStyle name="Normal 47 2 4 2 5" xfId="9305"/>
    <cellStyle name="Normal 47 2 4 2 6" xfId="11058"/>
    <cellStyle name="Normal 47 2 4 2 7" xfId="12810"/>
    <cellStyle name="Normal 47 2 4 2 8" xfId="14562"/>
    <cellStyle name="Normal 47 2 4 2 9" xfId="16314"/>
    <cellStyle name="Normal 47 2 4 20" xfId="32962"/>
    <cellStyle name="Normal 47 2 4 21" xfId="34930"/>
    <cellStyle name="Normal 47 2 4 22" xfId="35598"/>
    <cellStyle name="Normal 47 2 4 23" xfId="37551"/>
    <cellStyle name="Normal 47 2 4 24" xfId="39091"/>
    <cellStyle name="Normal 47 2 4 25" xfId="40846"/>
    <cellStyle name="Normal 47 2 4 26" xfId="42598"/>
    <cellStyle name="Normal 47 2 4 27" xfId="44551"/>
    <cellStyle name="Normal 47 2 4 28" xfId="45216"/>
    <cellStyle name="Normal 47 2 4 29" xfId="46968"/>
    <cellStyle name="Normal 47 2 4 3" xfId="3173"/>
    <cellStyle name="Normal 47 2 4 30" xfId="48720"/>
    <cellStyle name="Normal 47 2 4 31" xfId="50472"/>
    <cellStyle name="Normal 47 2 4 32" xfId="52224"/>
    <cellStyle name="Normal 47 2 4 33" xfId="53976"/>
    <cellStyle name="Normal 47 2 4 34" xfId="55728"/>
    <cellStyle name="Normal 47 2 4 35" xfId="57481"/>
    <cellStyle name="Normal 47 2 4 36" xfId="59233"/>
    <cellStyle name="Normal 47 2 4 37" xfId="60985"/>
    <cellStyle name="Normal 47 2 4 38" xfId="62938"/>
    <cellStyle name="Normal 47 2 4 39" xfId="63804"/>
    <cellStyle name="Normal 47 2 4 4" xfId="4925"/>
    <cellStyle name="Normal 47 2 4 5" xfId="6677"/>
    <cellStyle name="Normal 47 2 4 6" xfId="8429"/>
    <cellStyle name="Normal 47 2 4 7" xfId="10182"/>
    <cellStyle name="Normal 47 2 4 8" xfId="11934"/>
    <cellStyle name="Normal 47 2 4 9" xfId="13686"/>
    <cellStyle name="Normal 47 2 40" xfId="60549"/>
    <cellStyle name="Normal 47 2 41" xfId="62931"/>
    <cellStyle name="Normal 47 2 42" xfId="63797"/>
    <cellStyle name="Normal 47 2 5" xfId="2005"/>
    <cellStyle name="Normal 47 2 5 10" xfId="17631"/>
    <cellStyle name="Normal 47 2 5 11" xfId="19383"/>
    <cellStyle name="Normal 47 2 5 12" xfId="21136"/>
    <cellStyle name="Normal 47 2 5 13" xfId="22888"/>
    <cellStyle name="Normal 47 2 5 14" xfId="24640"/>
    <cellStyle name="Normal 47 2 5 15" xfId="26392"/>
    <cellStyle name="Normal 47 2 5 16" xfId="28144"/>
    <cellStyle name="Normal 47 2 5 17" xfId="29897"/>
    <cellStyle name="Normal 47 2 5 18" xfId="31649"/>
    <cellStyle name="Normal 47 2 5 19" xfId="33402"/>
    <cellStyle name="Normal 47 2 5 2" xfId="3613"/>
    <cellStyle name="Normal 47 2 5 20" xfId="36038"/>
    <cellStyle name="Normal 47 2 5 21" xfId="37778"/>
    <cellStyle name="Normal 47 2 5 22" xfId="39531"/>
    <cellStyle name="Normal 47 2 5 23" xfId="41286"/>
    <cellStyle name="Normal 47 2 5 24" xfId="43038"/>
    <cellStyle name="Normal 47 2 5 25" xfId="45656"/>
    <cellStyle name="Normal 47 2 5 26" xfId="47408"/>
    <cellStyle name="Normal 47 2 5 27" xfId="49160"/>
    <cellStyle name="Normal 47 2 5 28" xfId="50912"/>
    <cellStyle name="Normal 47 2 5 29" xfId="52664"/>
    <cellStyle name="Normal 47 2 5 3" xfId="5365"/>
    <cellStyle name="Normal 47 2 5 30" xfId="54416"/>
    <cellStyle name="Normal 47 2 5 31" xfId="56168"/>
    <cellStyle name="Normal 47 2 5 32" xfId="57921"/>
    <cellStyle name="Normal 47 2 5 33" xfId="59673"/>
    <cellStyle name="Normal 47 2 5 34" xfId="61425"/>
    <cellStyle name="Normal 47 2 5 4" xfId="7117"/>
    <cellStyle name="Normal 47 2 5 5" xfId="8869"/>
    <cellStyle name="Normal 47 2 5 6" xfId="10622"/>
    <cellStyle name="Normal 47 2 5 7" xfId="12374"/>
    <cellStyle name="Normal 47 2 5 8" xfId="14126"/>
    <cellStyle name="Normal 47 2 5 9" xfId="15878"/>
    <cellStyle name="Normal 47 2 6" xfId="2737"/>
    <cellStyle name="Normal 47 2 7" xfId="4489"/>
    <cellStyle name="Normal 47 2 8" xfId="6241"/>
    <cellStyle name="Normal 47 2 9" xfId="7993"/>
    <cellStyle name="Normal 47 20" xfId="25461"/>
    <cellStyle name="Normal 47 21" xfId="27213"/>
    <cellStyle name="Normal 47 22" xfId="28966"/>
    <cellStyle name="Normal 47 23" xfId="30718"/>
    <cellStyle name="Normal 47 24" xfId="32471"/>
    <cellStyle name="Normal 47 25" xfId="34922"/>
    <cellStyle name="Normal 47 26" xfId="35107"/>
    <cellStyle name="Normal 47 27" xfId="37543"/>
    <cellStyle name="Normal 47 28" xfId="38600"/>
    <cellStyle name="Normal 47 29" xfId="40355"/>
    <cellStyle name="Normal 47 3" xfId="2006"/>
    <cellStyle name="Normal 47 3 10" xfId="11551"/>
    <cellStyle name="Normal 47 3 11" xfId="13303"/>
    <cellStyle name="Normal 47 3 12" xfId="15055"/>
    <cellStyle name="Normal 47 3 13" xfId="16808"/>
    <cellStyle name="Normal 47 3 14" xfId="18560"/>
    <cellStyle name="Normal 47 3 15" xfId="20313"/>
    <cellStyle name="Normal 47 3 16" xfId="22065"/>
    <cellStyle name="Normal 47 3 17" xfId="23817"/>
    <cellStyle name="Normal 47 3 18" xfId="25569"/>
    <cellStyle name="Normal 47 3 19" xfId="27321"/>
    <cellStyle name="Normal 47 3 2" xfId="2007"/>
    <cellStyle name="Normal 47 3 2 10" xfId="13548"/>
    <cellStyle name="Normal 47 3 2 11" xfId="15300"/>
    <cellStyle name="Normal 47 3 2 12" xfId="17053"/>
    <cellStyle name="Normal 47 3 2 13" xfId="18805"/>
    <cellStyle name="Normal 47 3 2 14" xfId="20558"/>
    <cellStyle name="Normal 47 3 2 15" xfId="22310"/>
    <cellStyle name="Normal 47 3 2 16" xfId="24062"/>
    <cellStyle name="Normal 47 3 2 17" xfId="25814"/>
    <cellStyle name="Normal 47 3 2 18" xfId="27566"/>
    <cellStyle name="Normal 47 3 2 19" xfId="29319"/>
    <cellStyle name="Normal 47 3 2 2" xfId="2008"/>
    <cellStyle name="Normal 47 3 2 2 10" xfId="15736"/>
    <cellStyle name="Normal 47 3 2 2 11" xfId="17489"/>
    <cellStyle name="Normal 47 3 2 2 12" xfId="19241"/>
    <cellStyle name="Normal 47 3 2 2 13" xfId="20994"/>
    <cellStyle name="Normal 47 3 2 2 14" xfId="22746"/>
    <cellStyle name="Normal 47 3 2 2 15" xfId="24498"/>
    <cellStyle name="Normal 47 3 2 2 16" xfId="26250"/>
    <cellStyle name="Normal 47 3 2 2 17" xfId="28002"/>
    <cellStyle name="Normal 47 3 2 2 18" xfId="29755"/>
    <cellStyle name="Normal 47 3 2 2 19" xfId="31507"/>
    <cellStyle name="Normal 47 3 2 2 2" xfId="2009"/>
    <cellStyle name="Normal 47 3 2 2 2 10" xfId="18365"/>
    <cellStyle name="Normal 47 3 2 2 2 11" xfId="20117"/>
    <cellStyle name="Normal 47 3 2 2 2 12" xfId="21870"/>
    <cellStyle name="Normal 47 3 2 2 2 13" xfId="23622"/>
    <cellStyle name="Normal 47 3 2 2 2 14" xfId="25374"/>
    <cellStyle name="Normal 47 3 2 2 2 15" xfId="27126"/>
    <cellStyle name="Normal 47 3 2 2 2 16" xfId="28878"/>
    <cellStyle name="Normal 47 3 2 2 2 17" xfId="30631"/>
    <cellStyle name="Normal 47 3 2 2 2 18" xfId="32383"/>
    <cellStyle name="Normal 47 3 2 2 2 19" xfId="34136"/>
    <cellStyle name="Normal 47 3 2 2 2 2" xfId="4347"/>
    <cellStyle name="Normal 47 3 2 2 2 20" xfId="36772"/>
    <cellStyle name="Normal 47 3 2 2 2 21" xfId="38512"/>
    <cellStyle name="Normal 47 3 2 2 2 22" xfId="40265"/>
    <cellStyle name="Normal 47 3 2 2 2 23" xfId="42020"/>
    <cellStyle name="Normal 47 3 2 2 2 24" xfId="43772"/>
    <cellStyle name="Normal 47 3 2 2 2 25" xfId="46390"/>
    <cellStyle name="Normal 47 3 2 2 2 26" xfId="48142"/>
    <cellStyle name="Normal 47 3 2 2 2 27" xfId="49894"/>
    <cellStyle name="Normal 47 3 2 2 2 28" xfId="51646"/>
    <cellStyle name="Normal 47 3 2 2 2 29" xfId="53398"/>
    <cellStyle name="Normal 47 3 2 2 2 3" xfId="6099"/>
    <cellStyle name="Normal 47 3 2 2 2 30" xfId="55150"/>
    <cellStyle name="Normal 47 3 2 2 2 31" xfId="56902"/>
    <cellStyle name="Normal 47 3 2 2 2 32" xfId="58655"/>
    <cellStyle name="Normal 47 3 2 2 2 33" xfId="60407"/>
    <cellStyle name="Normal 47 3 2 2 2 34" xfId="62159"/>
    <cellStyle name="Normal 47 3 2 2 2 4" xfId="7851"/>
    <cellStyle name="Normal 47 3 2 2 2 5" xfId="9603"/>
    <cellStyle name="Normal 47 3 2 2 2 6" xfId="11356"/>
    <cellStyle name="Normal 47 3 2 2 2 7" xfId="13108"/>
    <cellStyle name="Normal 47 3 2 2 2 8" xfId="14860"/>
    <cellStyle name="Normal 47 3 2 2 2 9" xfId="16612"/>
    <cellStyle name="Normal 47 3 2 2 20" xfId="33260"/>
    <cellStyle name="Normal 47 3 2 2 21" xfId="34933"/>
    <cellStyle name="Normal 47 3 2 2 22" xfId="35896"/>
    <cellStyle name="Normal 47 3 2 2 23" xfId="37554"/>
    <cellStyle name="Normal 47 3 2 2 24" xfId="39389"/>
    <cellStyle name="Normal 47 3 2 2 25" xfId="41144"/>
    <cellStyle name="Normal 47 3 2 2 26" xfId="42896"/>
    <cellStyle name="Normal 47 3 2 2 27" xfId="44554"/>
    <cellStyle name="Normal 47 3 2 2 28" xfId="45514"/>
    <cellStyle name="Normal 47 3 2 2 29" xfId="47266"/>
    <cellStyle name="Normal 47 3 2 2 3" xfId="3471"/>
    <cellStyle name="Normal 47 3 2 2 30" xfId="49018"/>
    <cellStyle name="Normal 47 3 2 2 31" xfId="50770"/>
    <cellStyle name="Normal 47 3 2 2 32" xfId="52522"/>
    <cellStyle name="Normal 47 3 2 2 33" xfId="54274"/>
    <cellStyle name="Normal 47 3 2 2 34" xfId="56026"/>
    <cellStyle name="Normal 47 3 2 2 35" xfId="57779"/>
    <cellStyle name="Normal 47 3 2 2 36" xfId="59531"/>
    <cellStyle name="Normal 47 3 2 2 37" xfId="61283"/>
    <cellStyle name="Normal 47 3 2 2 38" xfId="62941"/>
    <cellStyle name="Normal 47 3 2 2 39" xfId="63807"/>
    <cellStyle name="Normal 47 3 2 2 4" xfId="5223"/>
    <cellStyle name="Normal 47 3 2 2 5" xfId="6975"/>
    <cellStyle name="Normal 47 3 2 2 6" xfId="8727"/>
    <cellStyle name="Normal 47 3 2 2 7" xfId="10480"/>
    <cellStyle name="Normal 47 3 2 2 8" xfId="12232"/>
    <cellStyle name="Normal 47 3 2 2 9" xfId="13984"/>
    <cellStyle name="Normal 47 3 2 20" xfId="31071"/>
    <cellStyle name="Normal 47 3 2 21" xfId="32824"/>
    <cellStyle name="Normal 47 3 2 22" xfId="34932"/>
    <cellStyle name="Normal 47 3 2 23" xfId="35460"/>
    <cellStyle name="Normal 47 3 2 24" xfId="37553"/>
    <cellStyle name="Normal 47 3 2 25" xfId="38953"/>
    <cellStyle name="Normal 47 3 2 26" xfId="40708"/>
    <cellStyle name="Normal 47 3 2 27" xfId="42460"/>
    <cellStyle name="Normal 47 3 2 28" xfId="44553"/>
    <cellStyle name="Normal 47 3 2 29" xfId="45078"/>
    <cellStyle name="Normal 47 3 2 3" xfId="2010"/>
    <cellStyle name="Normal 47 3 2 3 10" xfId="17929"/>
    <cellStyle name="Normal 47 3 2 3 11" xfId="19681"/>
    <cellStyle name="Normal 47 3 2 3 12" xfId="21434"/>
    <cellStyle name="Normal 47 3 2 3 13" xfId="23186"/>
    <cellStyle name="Normal 47 3 2 3 14" xfId="24938"/>
    <cellStyle name="Normal 47 3 2 3 15" xfId="26690"/>
    <cellStyle name="Normal 47 3 2 3 16" xfId="28442"/>
    <cellStyle name="Normal 47 3 2 3 17" xfId="30195"/>
    <cellStyle name="Normal 47 3 2 3 18" xfId="31947"/>
    <cellStyle name="Normal 47 3 2 3 19" xfId="33700"/>
    <cellStyle name="Normal 47 3 2 3 2" xfId="3911"/>
    <cellStyle name="Normal 47 3 2 3 20" xfId="36336"/>
    <cellStyle name="Normal 47 3 2 3 21" xfId="38076"/>
    <cellStyle name="Normal 47 3 2 3 22" xfId="39829"/>
    <cellStyle name="Normal 47 3 2 3 23" xfId="41584"/>
    <cellStyle name="Normal 47 3 2 3 24" xfId="43336"/>
    <cellStyle name="Normal 47 3 2 3 25" xfId="45954"/>
    <cellStyle name="Normal 47 3 2 3 26" xfId="47706"/>
    <cellStyle name="Normal 47 3 2 3 27" xfId="49458"/>
    <cellStyle name="Normal 47 3 2 3 28" xfId="51210"/>
    <cellStyle name="Normal 47 3 2 3 29" xfId="52962"/>
    <cellStyle name="Normal 47 3 2 3 3" xfId="5663"/>
    <cellStyle name="Normal 47 3 2 3 30" xfId="54714"/>
    <cellStyle name="Normal 47 3 2 3 31" xfId="56466"/>
    <cellStyle name="Normal 47 3 2 3 32" xfId="58219"/>
    <cellStyle name="Normal 47 3 2 3 33" xfId="59971"/>
    <cellStyle name="Normal 47 3 2 3 34" xfId="61723"/>
    <cellStyle name="Normal 47 3 2 3 4" xfId="7415"/>
    <cellStyle name="Normal 47 3 2 3 5" xfId="9167"/>
    <cellStyle name="Normal 47 3 2 3 6" xfId="10920"/>
    <cellStyle name="Normal 47 3 2 3 7" xfId="12672"/>
    <cellStyle name="Normal 47 3 2 3 8" xfId="14424"/>
    <cellStyle name="Normal 47 3 2 3 9" xfId="16176"/>
    <cellStyle name="Normal 47 3 2 30" xfId="46830"/>
    <cellStyle name="Normal 47 3 2 31" xfId="48582"/>
    <cellStyle name="Normal 47 3 2 32" xfId="50334"/>
    <cellStyle name="Normal 47 3 2 33" xfId="52086"/>
    <cellStyle name="Normal 47 3 2 34" xfId="53838"/>
    <cellStyle name="Normal 47 3 2 35" xfId="55590"/>
    <cellStyle name="Normal 47 3 2 36" xfId="57343"/>
    <cellStyle name="Normal 47 3 2 37" xfId="59095"/>
    <cellStyle name="Normal 47 3 2 38" xfId="60847"/>
    <cellStyle name="Normal 47 3 2 39" xfId="62940"/>
    <cellStyle name="Normal 47 3 2 4" xfId="3035"/>
    <cellStyle name="Normal 47 3 2 40" xfId="63806"/>
    <cellStyle name="Normal 47 3 2 5" xfId="4787"/>
    <cellStyle name="Normal 47 3 2 6" xfId="6539"/>
    <cellStyle name="Normal 47 3 2 7" xfId="8291"/>
    <cellStyle name="Normal 47 3 2 8" xfId="10044"/>
    <cellStyle name="Normal 47 3 2 9" xfId="11796"/>
    <cellStyle name="Normal 47 3 20" xfId="29074"/>
    <cellStyle name="Normal 47 3 21" xfId="30826"/>
    <cellStyle name="Normal 47 3 22" xfId="32579"/>
    <cellStyle name="Normal 47 3 23" xfId="34931"/>
    <cellStyle name="Normal 47 3 24" xfId="35215"/>
    <cellStyle name="Normal 47 3 25" xfId="37552"/>
    <cellStyle name="Normal 47 3 26" xfId="38708"/>
    <cellStyle name="Normal 47 3 27" xfId="40463"/>
    <cellStyle name="Normal 47 3 28" xfId="42215"/>
    <cellStyle name="Normal 47 3 29" xfId="44552"/>
    <cellStyle name="Normal 47 3 3" xfId="2011"/>
    <cellStyle name="Normal 47 3 3 10" xfId="15491"/>
    <cellStyle name="Normal 47 3 3 11" xfId="17244"/>
    <cellStyle name="Normal 47 3 3 12" xfId="18996"/>
    <cellStyle name="Normal 47 3 3 13" xfId="20749"/>
    <cellStyle name="Normal 47 3 3 14" xfId="22501"/>
    <cellStyle name="Normal 47 3 3 15" xfId="24253"/>
    <cellStyle name="Normal 47 3 3 16" xfId="26005"/>
    <cellStyle name="Normal 47 3 3 17" xfId="27757"/>
    <cellStyle name="Normal 47 3 3 18" xfId="29510"/>
    <cellStyle name="Normal 47 3 3 19" xfId="31262"/>
    <cellStyle name="Normal 47 3 3 2" xfId="2012"/>
    <cellStyle name="Normal 47 3 3 2 10" xfId="18120"/>
    <cellStyle name="Normal 47 3 3 2 11" xfId="19872"/>
    <cellStyle name="Normal 47 3 3 2 12" xfId="21625"/>
    <cellStyle name="Normal 47 3 3 2 13" xfId="23377"/>
    <cellStyle name="Normal 47 3 3 2 14" xfId="25129"/>
    <cellStyle name="Normal 47 3 3 2 15" xfId="26881"/>
    <cellStyle name="Normal 47 3 3 2 16" xfId="28633"/>
    <cellStyle name="Normal 47 3 3 2 17" xfId="30386"/>
    <cellStyle name="Normal 47 3 3 2 18" xfId="32138"/>
    <cellStyle name="Normal 47 3 3 2 19" xfId="33891"/>
    <cellStyle name="Normal 47 3 3 2 2" xfId="4102"/>
    <cellStyle name="Normal 47 3 3 2 20" xfId="36527"/>
    <cellStyle name="Normal 47 3 3 2 21" xfId="38267"/>
    <cellStyle name="Normal 47 3 3 2 22" xfId="40020"/>
    <cellStyle name="Normal 47 3 3 2 23" xfId="41775"/>
    <cellStyle name="Normal 47 3 3 2 24" xfId="43527"/>
    <cellStyle name="Normal 47 3 3 2 25" xfId="46145"/>
    <cellStyle name="Normal 47 3 3 2 26" xfId="47897"/>
    <cellStyle name="Normal 47 3 3 2 27" xfId="49649"/>
    <cellStyle name="Normal 47 3 3 2 28" xfId="51401"/>
    <cellStyle name="Normal 47 3 3 2 29" xfId="53153"/>
    <cellStyle name="Normal 47 3 3 2 3" xfId="5854"/>
    <cellStyle name="Normal 47 3 3 2 30" xfId="54905"/>
    <cellStyle name="Normal 47 3 3 2 31" xfId="56657"/>
    <cellStyle name="Normal 47 3 3 2 32" xfId="58410"/>
    <cellStyle name="Normal 47 3 3 2 33" xfId="60162"/>
    <cellStyle name="Normal 47 3 3 2 34" xfId="61914"/>
    <cellStyle name="Normal 47 3 3 2 4" xfId="7606"/>
    <cellStyle name="Normal 47 3 3 2 5" xfId="9358"/>
    <cellStyle name="Normal 47 3 3 2 6" xfId="11111"/>
    <cellStyle name="Normal 47 3 3 2 7" xfId="12863"/>
    <cellStyle name="Normal 47 3 3 2 8" xfId="14615"/>
    <cellStyle name="Normal 47 3 3 2 9" xfId="16367"/>
    <cellStyle name="Normal 47 3 3 20" xfId="33015"/>
    <cellStyle name="Normal 47 3 3 21" xfId="34934"/>
    <cellStyle name="Normal 47 3 3 22" xfId="35651"/>
    <cellStyle name="Normal 47 3 3 23" xfId="37555"/>
    <cellStyle name="Normal 47 3 3 24" xfId="39144"/>
    <cellStyle name="Normal 47 3 3 25" xfId="40899"/>
    <cellStyle name="Normal 47 3 3 26" xfId="42651"/>
    <cellStyle name="Normal 47 3 3 27" xfId="44555"/>
    <cellStyle name="Normal 47 3 3 28" xfId="45269"/>
    <cellStyle name="Normal 47 3 3 29" xfId="47021"/>
    <cellStyle name="Normal 47 3 3 3" xfId="3226"/>
    <cellStyle name="Normal 47 3 3 30" xfId="48773"/>
    <cellStyle name="Normal 47 3 3 31" xfId="50525"/>
    <cellStyle name="Normal 47 3 3 32" xfId="52277"/>
    <cellStyle name="Normal 47 3 3 33" xfId="54029"/>
    <cellStyle name="Normal 47 3 3 34" xfId="55781"/>
    <cellStyle name="Normal 47 3 3 35" xfId="57534"/>
    <cellStyle name="Normal 47 3 3 36" xfId="59286"/>
    <cellStyle name="Normal 47 3 3 37" xfId="61038"/>
    <cellStyle name="Normal 47 3 3 38" xfId="62942"/>
    <cellStyle name="Normal 47 3 3 39" xfId="63808"/>
    <cellStyle name="Normal 47 3 3 4" xfId="4978"/>
    <cellStyle name="Normal 47 3 3 5" xfId="6730"/>
    <cellStyle name="Normal 47 3 3 6" xfId="8482"/>
    <cellStyle name="Normal 47 3 3 7" xfId="10235"/>
    <cellStyle name="Normal 47 3 3 8" xfId="11987"/>
    <cellStyle name="Normal 47 3 3 9" xfId="13739"/>
    <cellStyle name="Normal 47 3 30" xfId="44833"/>
    <cellStyle name="Normal 47 3 31" xfId="46585"/>
    <cellStyle name="Normal 47 3 32" xfId="48337"/>
    <cellStyle name="Normal 47 3 33" xfId="50089"/>
    <cellStyle name="Normal 47 3 34" xfId="51841"/>
    <cellStyle name="Normal 47 3 35" xfId="53593"/>
    <cellStyle name="Normal 47 3 36" xfId="55345"/>
    <cellStyle name="Normal 47 3 37" xfId="57098"/>
    <cellStyle name="Normal 47 3 38" xfId="58850"/>
    <cellStyle name="Normal 47 3 39" xfId="60602"/>
    <cellStyle name="Normal 47 3 4" xfId="2013"/>
    <cellStyle name="Normal 47 3 4 10" xfId="17684"/>
    <cellStyle name="Normal 47 3 4 11" xfId="19436"/>
    <cellStyle name="Normal 47 3 4 12" xfId="21189"/>
    <cellStyle name="Normal 47 3 4 13" xfId="22941"/>
    <cellStyle name="Normal 47 3 4 14" xfId="24693"/>
    <cellStyle name="Normal 47 3 4 15" xfId="26445"/>
    <cellStyle name="Normal 47 3 4 16" xfId="28197"/>
    <cellStyle name="Normal 47 3 4 17" xfId="29950"/>
    <cellStyle name="Normal 47 3 4 18" xfId="31702"/>
    <cellStyle name="Normal 47 3 4 19" xfId="33455"/>
    <cellStyle name="Normal 47 3 4 2" xfId="3666"/>
    <cellStyle name="Normal 47 3 4 20" xfId="36091"/>
    <cellStyle name="Normal 47 3 4 21" xfId="37831"/>
    <cellStyle name="Normal 47 3 4 22" xfId="39584"/>
    <cellStyle name="Normal 47 3 4 23" xfId="41339"/>
    <cellStyle name="Normal 47 3 4 24" xfId="43091"/>
    <cellStyle name="Normal 47 3 4 25" xfId="45709"/>
    <cellStyle name="Normal 47 3 4 26" xfId="47461"/>
    <cellStyle name="Normal 47 3 4 27" xfId="49213"/>
    <cellStyle name="Normal 47 3 4 28" xfId="50965"/>
    <cellStyle name="Normal 47 3 4 29" xfId="52717"/>
    <cellStyle name="Normal 47 3 4 3" xfId="5418"/>
    <cellStyle name="Normal 47 3 4 30" xfId="54469"/>
    <cellStyle name="Normal 47 3 4 31" xfId="56221"/>
    <cellStyle name="Normal 47 3 4 32" xfId="57974"/>
    <cellStyle name="Normal 47 3 4 33" xfId="59726"/>
    <cellStyle name="Normal 47 3 4 34" xfId="61478"/>
    <cellStyle name="Normal 47 3 4 4" xfId="7170"/>
    <cellStyle name="Normal 47 3 4 5" xfId="8922"/>
    <cellStyle name="Normal 47 3 4 6" xfId="10675"/>
    <cellStyle name="Normal 47 3 4 7" xfId="12427"/>
    <cellStyle name="Normal 47 3 4 8" xfId="14179"/>
    <cellStyle name="Normal 47 3 4 9" xfId="15931"/>
    <cellStyle name="Normal 47 3 40" xfId="62939"/>
    <cellStyle name="Normal 47 3 41" xfId="63805"/>
    <cellStyle name="Normal 47 3 5" xfId="2790"/>
    <cellStyle name="Normal 47 3 6" xfId="4542"/>
    <cellStyle name="Normal 47 3 7" xfId="6294"/>
    <cellStyle name="Normal 47 3 8" xfId="8046"/>
    <cellStyle name="Normal 47 3 9" xfId="9799"/>
    <cellStyle name="Normal 47 30" xfId="42107"/>
    <cellStyle name="Normal 47 31" xfId="44543"/>
    <cellStyle name="Normal 47 32" xfId="44725"/>
    <cellStyle name="Normal 47 33" xfId="46477"/>
    <cellStyle name="Normal 47 34" xfId="48229"/>
    <cellStyle name="Normal 47 35" xfId="49981"/>
    <cellStyle name="Normal 47 36" xfId="51733"/>
    <cellStyle name="Normal 47 37" xfId="53485"/>
    <cellStyle name="Normal 47 38" xfId="55237"/>
    <cellStyle name="Normal 47 39" xfId="56990"/>
    <cellStyle name="Normal 47 4" xfId="2014"/>
    <cellStyle name="Normal 47 4 10" xfId="13549"/>
    <cellStyle name="Normal 47 4 11" xfId="15301"/>
    <cellStyle name="Normal 47 4 12" xfId="17054"/>
    <cellStyle name="Normal 47 4 13" xfId="18806"/>
    <cellStyle name="Normal 47 4 14" xfId="20559"/>
    <cellStyle name="Normal 47 4 15" xfId="22311"/>
    <cellStyle name="Normal 47 4 16" xfId="24063"/>
    <cellStyle name="Normal 47 4 17" xfId="25815"/>
    <cellStyle name="Normal 47 4 18" xfId="27567"/>
    <cellStyle name="Normal 47 4 19" xfId="29320"/>
    <cellStyle name="Normal 47 4 2" xfId="2015"/>
    <cellStyle name="Normal 47 4 2 10" xfId="15737"/>
    <cellStyle name="Normal 47 4 2 11" xfId="17490"/>
    <cellStyle name="Normal 47 4 2 12" xfId="19242"/>
    <cellStyle name="Normal 47 4 2 13" xfId="20995"/>
    <cellStyle name="Normal 47 4 2 14" xfId="22747"/>
    <cellStyle name="Normal 47 4 2 15" xfId="24499"/>
    <cellStyle name="Normal 47 4 2 16" xfId="26251"/>
    <cellStyle name="Normal 47 4 2 17" xfId="28003"/>
    <cellStyle name="Normal 47 4 2 18" xfId="29756"/>
    <cellStyle name="Normal 47 4 2 19" xfId="31508"/>
    <cellStyle name="Normal 47 4 2 2" xfId="2016"/>
    <cellStyle name="Normal 47 4 2 2 10" xfId="18366"/>
    <cellStyle name="Normal 47 4 2 2 11" xfId="20118"/>
    <cellStyle name="Normal 47 4 2 2 12" xfId="21871"/>
    <cellStyle name="Normal 47 4 2 2 13" xfId="23623"/>
    <cellStyle name="Normal 47 4 2 2 14" xfId="25375"/>
    <cellStyle name="Normal 47 4 2 2 15" xfId="27127"/>
    <cellStyle name="Normal 47 4 2 2 16" xfId="28879"/>
    <cellStyle name="Normal 47 4 2 2 17" xfId="30632"/>
    <cellStyle name="Normal 47 4 2 2 18" xfId="32384"/>
    <cellStyle name="Normal 47 4 2 2 19" xfId="34137"/>
    <cellStyle name="Normal 47 4 2 2 2" xfId="4348"/>
    <cellStyle name="Normal 47 4 2 2 20" xfId="36773"/>
    <cellStyle name="Normal 47 4 2 2 21" xfId="38513"/>
    <cellStyle name="Normal 47 4 2 2 22" xfId="40266"/>
    <cellStyle name="Normal 47 4 2 2 23" xfId="42021"/>
    <cellStyle name="Normal 47 4 2 2 24" xfId="43773"/>
    <cellStyle name="Normal 47 4 2 2 25" xfId="46391"/>
    <cellStyle name="Normal 47 4 2 2 26" xfId="48143"/>
    <cellStyle name="Normal 47 4 2 2 27" xfId="49895"/>
    <cellStyle name="Normal 47 4 2 2 28" xfId="51647"/>
    <cellStyle name="Normal 47 4 2 2 29" xfId="53399"/>
    <cellStyle name="Normal 47 4 2 2 3" xfId="6100"/>
    <cellStyle name="Normal 47 4 2 2 30" xfId="55151"/>
    <cellStyle name="Normal 47 4 2 2 31" xfId="56903"/>
    <cellStyle name="Normal 47 4 2 2 32" xfId="58656"/>
    <cellStyle name="Normal 47 4 2 2 33" xfId="60408"/>
    <cellStyle name="Normal 47 4 2 2 34" xfId="62160"/>
    <cellStyle name="Normal 47 4 2 2 4" xfId="7852"/>
    <cellStyle name="Normal 47 4 2 2 5" xfId="9604"/>
    <cellStyle name="Normal 47 4 2 2 6" xfId="11357"/>
    <cellStyle name="Normal 47 4 2 2 7" xfId="13109"/>
    <cellStyle name="Normal 47 4 2 2 8" xfId="14861"/>
    <cellStyle name="Normal 47 4 2 2 9" xfId="16613"/>
    <cellStyle name="Normal 47 4 2 20" xfId="33261"/>
    <cellStyle name="Normal 47 4 2 21" xfId="34936"/>
    <cellStyle name="Normal 47 4 2 22" xfId="35897"/>
    <cellStyle name="Normal 47 4 2 23" xfId="37557"/>
    <cellStyle name="Normal 47 4 2 24" xfId="39390"/>
    <cellStyle name="Normal 47 4 2 25" xfId="41145"/>
    <cellStyle name="Normal 47 4 2 26" xfId="42897"/>
    <cellStyle name="Normal 47 4 2 27" xfId="44557"/>
    <cellStyle name="Normal 47 4 2 28" xfId="45515"/>
    <cellStyle name="Normal 47 4 2 29" xfId="47267"/>
    <cellStyle name="Normal 47 4 2 3" xfId="3472"/>
    <cellStyle name="Normal 47 4 2 30" xfId="49019"/>
    <cellStyle name="Normal 47 4 2 31" xfId="50771"/>
    <cellStyle name="Normal 47 4 2 32" xfId="52523"/>
    <cellStyle name="Normal 47 4 2 33" xfId="54275"/>
    <cellStyle name="Normal 47 4 2 34" xfId="56027"/>
    <cellStyle name="Normal 47 4 2 35" xfId="57780"/>
    <cellStyle name="Normal 47 4 2 36" xfId="59532"/>
    <cellStyle name="Normal 47 4 2 37" xfId="61284"/>
    <cellStyle name="Normal 47 4 2 38" xfId="62944"/>
    <cellStyle name="Normal 47 4 2 39" xfId="63810"/>
    <cellStyle name="Normal 47 4 2 4" xfId="5224"/>
    <cellStyle name="Normal 47 4 2 5" xfId="6976"/>
    <cellStyle name="Normal 47 4 2 6" xfId="8728"/>
    <cellStyle name="Normal 47 4 2 7" xfId="10481"/>
    <cellStyle name="Normal 47 4 2 8" xfId="12233"/>
    <cellStyle name="Normal 47 4 2 9" xfId="13985"/>
    <cellStyle name="Normal 47 4 20" xfId="31072"/>
    <cellStyle name="Normal 47 4 21" xfId="32825"/>
    <cellStyle name="Normal 47 4 22" xfId="34935"/>
    <cellStyle name="Normal 47 4 23" xfId="35461"/>
    <cellStyle name="Normal 47 4 24" xfId="37556"/>
    <cellStyle name="Normal 47 4 25" xfId="38954"/>
    <cellStyle name="Normal 47 4 26" xfId="40709"/>
    <cellStyle name="Normal 47 4 27" xfId="42461"/>
    <cellStyle name="Normal 47 4 28" xfId="44556"/>
    <cellStyle name="Normal 47 4 29" xfId="45079"/>
    <cellStyle name="Normal 47 4 3" xfId="2017"/>
    <cellStyle name="Normal 47 4 3 10" xfId="17930"/>
    <cellStyle name="Normal 47 4 3 11" xfId="19682"/>
    <cellStyle name="Normal 47 4 3 12" xfId="21435"/>
    <cellStyle name="Normal 47 4 3 13" xfId="23187"/>
    <cellStyle name="Normal 47 4 3 14" xfId="24939"/>
    <cellStyle name="Normal 47 4 3 15" xfId="26691"/>
    <cellStyle name="Normal 47 4 3 16" xfId="28443"/>
    <cellStyle name="Normal 47 4 3 17" xfId="30196"/>
    <cellStyle name="Normal 47 4 3 18" xfId="31948"/>
    <cellStyle name="Normal 47 4 3 19" xfId="33701"/>
    <cellStyle name="Normal 47 4 3 2" xfId="3912"/>
    <cellStyle name="Normal 47 4 3 20" xfId="36337"/>
    <cellStyle name="Normal 47 4 3 21" xfId="38077"/>
    <cellStyle name="Normal 47 4 3 22" xfId="39830"/>
    <cellStyle name="Normal 47 4 3 23" xfId="41585"/>
    <cellStyle name="Normal 47 4 3 24" xfId="43337"/>
    <cellStyle name="Normal 47 4 3 25" xfId="45955"/>
    <cellStyle name="Normal 47 4 3 26" xfId="47707"/>
    <cellStyle name="Normal 47 4 3 27" xfId="49459"/>
    <cellStyle name="Normal 47 4 3 28" xfId="51211"/>
    <cellStyle name="Normal 47 4 3 29" xfId="52963"/>
    <cellStyle name="Normal 47 4 3 3" xfId="5664"/>
    <cellStyle name="Normal 47 4 3 30" xfId="54715"/>
    <cellStyle name="Normal 47 4 3 31" xfId="56467"/>
    <cellStyle name="Normal 47 4 3 32" xfId="58220"/>
    <cellStyle name="Normal 47 4 3 33" xfId="59972"/>
    <cellStyle name="Normal 47 4 3 34" xfId="61724"/>
    <cellStyle name="Normal 47 4 3 4" xfId="7416"/>
    <cellStyle name="Normal 47 4 3 5" xfId="9168"/>
    <cellStyle name="Normal 47 4 3 6" xfId="10921"/>
    <cellStyle name="Normal 47 4 3 7" xfId="12673"/>
    <cellStyle name="Normal 47 4 3 8" xfId="14425"/>
    <cellStyle name="Normal 47 4 3 9" xfId="16177"/>
    <cellStyle name="Normal 47 4 30" xfId="46831"/>
    <cellStyle name="Normal 47 4 31" xfId="48583"/>
    <cellStyle name="Normal 47 4 32" xfId="50335"/>
    <cellStyle name="Normal 47 4 33" xfId="52087"/>
    <cellStyle name="Normal 47 4 34" xfId="53839"/>
    <cellStyle name="Normal 47 4 35" xfId="55591"/>
    <cellStyle name="Normal 47 4 36" xfId="57344"/>
    <cellStyle name="Normal 47 4 37" xfId="59096"/>
    <cellStyle name="Normal 47 4 38" xfId="60848"/>
    <cellStyle name="Normal 47 4 39" xfId="62943"/>
    <cellStyle name="Normal 47 4 4" xfId="3036"/>
    <cellStyle name="Normal 47 4 40" xfId="63809"/>
    <cellStyle name="Normal 47 4 5" xfId="4788"/>
    <cellStyle name="Normal 47 4 6" xfId="6540"/>
    <cellStyle name="Normal 47 4 7" xfId="8292"/>
    <cellStyle name="Normal 47 4 8" xfId="10045"/>
    <cellStyle name="Normal 47 4 9" xfId="11797"/>
    <cellStyle name="Normal 47 40" xfId="58742"/>
    <cellStyle name="Normal 47 41" xfId="60494"/>
    <cellStyle name="Normal 47 42" xfId="62930"/>
    <cellStyle name="Normal 47 43" xfId="63796"/>
    <cellStyle name="Normal 47 5" xfId="2018"/>
    <cellStyle name="Normal 47 5 10" xfId="15383"/>
    <cellStyle name="Normal 47 5 11" xfId="17136"/>
    <cellStyle name="Normal 47 5 12" xfId="18888"/>
    <cellStyle name="Normal 47 5 13" xfId="20641"/>
    <cellStyle name="Normal 47 5 14" xfId="22393"/>
    <cellStyle name="Normal 47 5 15" xfId="24145"/>
    <cellStyle name="Normal 47 5 16" xfId="25897"/>
    <cellStyle name="Normal 47 5 17" xfId="27649"/>
    <cellStyle name="Normal 47 5 18" xfId="29402"/>
    <cellStyle name="Normal 47 5 19" xfId="31154"/>
    <cellStyle name="Normal 47 5 2" xfId="2019"/>
    <cellStyle name="Normal 47 5 2 10" xfId="18012"/>
    <cellStyle name="Normal 47 5 2 11" xfId="19764"/>
    <cellStyle name="Normal 47 5 2 12" xfId="21517"/>
    <cellStyle name="Normal 47 5 2 13" xfId="23269"/>
    <cellStyle name="Normal 47 5 2 14" xfId="25021"/>
    <cellStyle name="Normal 47 5 2 15" xfId="26773"/>
    <cellStyle name="Normal 47 5 2 16" xfId="28525"/>
    <cellStyle name="Normal 47 5 2 17" xfId="30278"/>
    <cellStyle name="Normal 47 5 2 18" xfId="32030"/>
    <cellStyle name="Normal 47 5 2 19" xfId="33783"/>
    <cellStyle name="Normal 47 5 2 2" xfId="3994"/>
    <cellStyle name="Normal 47 5 2 20" xfId="36419"/>
    <cellStyle name="Normal 47 5 2 21" xfId="38159"/>
    <cellStyle name="Normal 47 5 2 22" xfId="39912"/>
    <cellStyle name="Normal 47 5 2 23" xfId="41667"/>
    <cellStyle name="Normal 47 5 2 24" xfId="43419"/>
    <cellStyle name="Normal 47 5 2 25" xfId="46037"/>
    <cellStyle name="Normal 47 5 2 26" xfId="47789"/>
    <cellStyle name="Normal 47 5 2 27" xfId="49541"/>
    <cellStyle name="Normal 47 5 2 28" xfId="51293"/>
    <cellStyle name="Normal 47 5 2 29" xfId="53045"/>
    <cellStyle name="Normal 47 5 2 3" xfId="5746"/>
    <cellStyle name="Normal 47 5 2 30" xfId="54797"/>
    <cellStyle name="Normal 47 5 2 31" xfId="56549"/>
    <cellStyle name="Normal 47 5 2 32" xfId="58302"/>
    <cellStyle name="Normal 47 5 2 33" xfId="60054"/>
    <cellStyle name="Normal 47 5 2 34" xfId="61806"/>
    <cellStyle name="Normal 47 5 2 4" xfId="7498"/>
    <cellStyle name="Normal 47 5 2 5" xfId="9250"/>
    <cellStyle name="Normal 47 5 2 6" xfId="11003"/>
    <cellStyle name="Normal 47 5 2 7" xfId="12755"/>
    <cellStyle name="Normal 47 5 2 8" xfId="14507"/>
    <cellStyle name="Normal 47 5 2 9" xfId="16259"/>
    <cellStyle name="Normal 47 5 20" xfId="32907"/>
    <cellStyle name="Normal 47 5 21" xfId="34937"/>
    <cellStyle name="Normal 47 5 22" xfId="35543"/>
    <cellStyle name="Normal 47 5 23" xfId="37558"/>
    <cellStyle name="Normal 47 5 24" xfId="39036"/>
    <cellStyle name="Normal 47 5 25" xfId="40791"/>
    <cellStyle name="Normal 47 5 26" xfId="42543"/>
    <cellStyle name="Normal 47 5 27" xfId="44558"/>
    <cellStyle name="Normal 47 5 28" xfId="45161"/>
    <cellStyle name="Normal 47 5 29" xfId="46913"/>
    <cellStyle name="Normal 47 5 3" xfId="3118"/>
    <cellStyle name="Normal 47 5 30" xfId="48665"/>
    <cellStyle name="Normal 47 5 31" xfId="50417"/>
    <cellStyle name="Normal 47 5 32" xfId="52169"/>
    <cellStyle name="Normal 47 5 33" xfId="53921"/>
    <cellStyle name="Normal 47 5 34" xfId="55673"/>
    <cellStyle name="Normal 47 5 35" xfId="57426"/>
    <cellStyle name="Normal 47 5 36" xfId="59178"/>
    <cellStyle name="Normal 47 5 37" xfId="60930"/>
    <cellStyle name="Normal 47 5 38" xfId="62945"/>
    <cellStyle name="Normal 47 5 39" xfId="63811"/>
    <cellStyle name="Normal 47 5 4" xfId="4870"/>
    <cellStyle name="Normal 47 5 5" xfId="6622"/>
    <cellStyle name="Normal 47 5 6" xfId="8374"/>
    <cellStyle name="Normal 47 5 7" xfId="10127"/>
    <cellStyle name="Normal 47 5 8" xfId="11879"/>
    <cellStyle name="Normal 47 5 9" xfId="13631"/>
    <cellStyle name="Normal 47 6" xfId="2020"/>
    <cellStyle name="Normal 47 6 10" xfId="17576"/>
    <cellStyle name="Normal 47 6 11" xfId="19328"/>
    <cellStyle name="Normal 47 6 12" xfId="21081"/>
    <cellStyle name="Normal 47 6 13" xfId="22833"/>
    <cellStyle name="Normal 47 6 14" xfId="24585"/>
    <cellStyle name="Normal 47 6 15" xfId="26337"/>
    <cellStyle name="Normal 47 6 16" xfId="28089"/>
    <cellStyle name="Normal 47 6 17" xfId="29842"/>
    <cellStyle name="Normal 47 6 18" xfId="31594"/>
    <cellStyle name="Normal 47 6 19" xfId="33347"/>
    <cellStyle name="Normal 47 6 2" xfId="3558"/>
    <cellStyle name="Normal 47 6 20" xfId="35983"/>
    <cellStyle name="Normal 47 6 21" xfId="37718"/>
    <cellStyle name="Normal 47 6 22" xfId="39476"/>
    <cellStyle name="Normal 47 6 23" xfId="41231"/>
    <cellStyle name="Normal 47 6 24" xfId="42983"/>
    <cellStyle name="Normal 47 6 25" xfId="45601"/>
    <cellStyle name="Normal 47 6 26" xfId="47353"/>
    <cellStyle name="Normal 47 6 27" xfId="49105"/>
    <cellStyle name="Normal 47 6 28" xfId="50857"/>
    <cellStyle name="Normal 47 6 29" xfId="52609"/>
    <cellStyle name="Normal 47 6 3" xfId="5310"/>
    <cellStyle name="Normal 47 6 30" xfId="54361"/>
    <cellStyle name="Normal 47 6 31" xfId="56113"/>
    <cellStyle name="Normal 47 6 32" xfId="57866"/>
    <cellStyle name="Normal 47 6 33" xfId="59618"/>
    <cellStyle name="Normal 47 6 34" xfId="61370"/>
    <cellStyle name="Normal 47 6 4" xfId="7062"/>
    <cellStyle name="Normal 47 6 5" xfId="8814"/>
    <cellStyle name="Normal 47 6 6" xfId="10567"/>
    <cellStyle name="Normal 47 6 7" xfId="12319"/>
    <cellStyle name="Normal 47 6 8" xfId="14071"/>
    <cellStyle name="Normal 47 6 9" xfId="15823"/>
    <cellStyle name="Normal 47 7" xfId="2682"/>
    <cellStyle name="Normal 47 8" xfId="4434"/>
    <cellStyle name="Normal 47 9" xfId="6186"/>
    <cellStyle name="Normal 48" xfId="2021"/>
    <cellStyle name="Normal 48 10" xfId="9693"/>
    <cellStyle name="Normal 48 11" xfId="11445"/>
    <cellStyle name="Normal 48 12" xfId="13197"/>
    <cellStyle name="Normal 48 13" xfId="14949"/>
    <cellStyle name="Normal 48 14" xfId="16702"/>
    <cellStyle name="Normal 48 15" xfId="18454"/>
    <cellStyle name="Normal 48 16" xfId="20207"/>
    <cellStyle name="Normal 48 17" xfId="21959"/>
    <cellStyle name="Normal 48 18" xfId="23711"/>
    <cellStyle name="Normal 48 19" xfId="25463"/>
    <cellStyle name="Normal 48 2" xfId="2022"/>
    <cellStyle name="Normal 48 2 10" xfId="11553"/>
    <cellStyle name="Normal 48 2 11" xfId="13305"/>
    <cellStyle name="Normal 48 2 12" xfId="15057"/>
    <cellStyle name="Normal 48 2 13" xfId="16810"/>
    <cellStyle name="Normal 48 2 14" xfId="18562"/>
    <cellStyle name="Normal 48 2 15" xfId="20315"/>
    <cellStyle name="Normal 48 2 16" xfId="22067"/>
    <cellStyle name="Normal 48 2 17" xfId="23819"/>
    <cellStyle name="Normal 48 2 18" xfId="25571"/>
    <cellStyle name="Normal 48 2 19" xfId="27323"/>
    <cellStyle name="Normal 48 2 2" xfId="2023"/>
    <cellStyle name="Normal 48 2 2 10" xfId="13550"/>
    <cellStyle name="Normal 48 2 2 11" xfId="15302"/>
    <cellStyle name="Normal 48 2 2 12" xfId="17055"/>
    <cellStyle name="Normal 48 2 2 13" xfId="18807"/>
    <cellStyle name="Normal 48 2 2 14" xfId="20560"/>
    <cellStyle name="Normal 48 2 2 15" xfId="22312"/>
    <cellStyle name="Normal 48 2 2 16" xfId="24064"/>
    <cellStyle name="Normal 48 2 2 17" xfId="25816"/>
    <cellStyle name="Normal 48 2 2 18" xfId="27568"/>
    <cellStyle name="Normal 48 2 2 19" xfId="29321"/>
    <cellStyle name="Normal 48 2 2 2" xfId="2024"/>
    <cellStyle name="Normal 48 2 2 2 10" xfId="15738"/>
    <cellStyle name="Normal 48 2 2 2 11" xfId="17491"/>
    <cellStyle name="Normal 48 2 2 2 12" xfId="19243"/>
    <cellStyle name="Normal 48 2 2 2 13" xfId="20996"/>
    <cellStyle name="Normal 48 2 2 2 14" xfId="22748"/>
    <cellStyle name="Normal 48 2 2 2 15" xfId="24500"/>
    <cellStyle name="Normal 48 2 2 2 16" xfId="26252"/>
    <cellStyle name="Normal 48 2 2 2 17" xfId="28004"/>
    <cellStyle name="Normal 48 2 2 2 18" xfId="29757"/>
    <cellStyle name="Normal 48 2 2 2 19" xfId="31509"/>
    <cellStyle name="Normal 48 2 2 2 2" xfId="2025"/>
    <cellStyle name="Normal 48 2 2 2 2 10" xfId="18367"/>
    <cellStyle name="Normal 48 2 2 2 2 11" xfId="20119"/>
    <cellStyle name="Normal 48 2 2 2 2 12" xfId="21872"/>
    <cellStyle name="Normal 48 2 2 2 2 13" xfId="23624"/>
    <cellStyle name="Normal 48 2 2 2 2 14" xfId="25376"/>
    <cellStyle name="Normal 48 2 2 2 2 15" xfId="27128"/>
    <cellStyle name="Normal 48 2 2 2 2 16" xfId="28880"/>
    <cellStyle name="Normal 48 2 2 2 2 17" xfId="30633"/>
    <cellStyle name="Normal 48 2 2 2 2 18" xfId="32385"/>
    <cellStyle name="Normal 48 2 2 2 2 19" xfId="34138"/>
    <cellStyle name="Normal 48 2 2 2 2 2" xfId="4349"/>
    <cellStyle name="Normal 48 2 2 2 2 20" xfId="36774"/>
    <cellStyle name="Normal 48 2 2 2 2 21" xfId="38514"/>
    <cellStyle name="Normal 48 2 2 2 2 22" xfId="40267"/>
    <cellStyle name="Normal 48 2 2 2 2 23" xfId="42022"/>
    <cellStyle name="Normal 48 2 2 2 2 24" xfId="43774"/>
    <cellStyle name="Normal 48 2 2 2 2 25" xfId="46392"/>
    <cellStyle name="Normal 48 2 2 2 2 26" xfId="48144"/>
    <cellStyle name="Normal 48 2 2 2 2 27" xfId="49896"/>
    <cellStyle name="Normal 48 2 2 2 2 28" xfId="51648"/>
    <cellStyle name="Normal 48 2 2 2 2 29" xfId="53400"/>
    <cellStyle name="Normal 48 2 2 2 2 3" xfId="6101"/>
    <cellStyle name="Normal 48 2 2 2 2 30" xfId="55152"/>
    <cellStyle name="Normal 48 2 2 2 2 31" xfId="56904"/>
    <cellStyle name="Normal 48 2 2 2 2 32" xfId="58657"/>
    <cellStyle name="Normal 48 2 2 2 2 33" xfId="60409"/>
    <cellStyle name="Normal 48 2 2 2 2 34" xfId="62161"/>
    <cellStyle name="Normal 48 2 2 2 2 4" xfId="7853"/>
    <cellStyle name="Normal 48 2 2 2 2 5" xfId="9605"/>
    <cellStyle name="Normal 48 2 2 2 2 6" xfId="11358"/>
    <cellStyle name="Normal 48 2 2 2 2 7" xfId="13110"/>
    <cellStyle name="Normal 48 2 2 2 2 8" xfId="14862"/>
    <cellStyle name="Normal 48 2 2 2 2 9" xfId="16614"/>
    <cellStyle name="Normal 48 2 2 2 20" xfId="33262"/>
    <cellStyle name="Normal 48 2 2 2 21" xfId="34939"/>
    <cellStyle name="Normal 48 2 2 2 22" xfId="35898"/>
    <cellStyle name="Normal 48 2 2 2 23" xfId="37560"/>
    <cellStyle name="Normal 48 2 2 2 24" xfId="39391"/>
    <cellStyle name="Normal 48 2 2 2 25" xfId="41146"/>
    <cellStyle name="Normal 48 2 2 2 26" xfId="42898"/>
    <cellStyle name="Normal 48 2 2 2 27" xfId="44560"/>
    <cellStyle name="Normal 48 2 2 2 28" xfId="45516"/>
    <cellStyle name="Normal 48 2 2 2 29" xfId="47268"/>
    <cellStyle name="Normal 48 2 2 2 3" xfId="3473"/>
    <cellStyle name="Normal 48 2 2 2 30" xfId="49020"/>
    <cellStyle name="Normal 48 2 2 2 31" xfId="50772"/>
    <cellStyle name="Normal 48 2 2 2 32" xfId="52524"/>
    <cellStyle name="Normal 48 2 2 2 33" xfId="54276"/>
    <cellStyle name="Normal 48 2 2 2 34" xfId="56028"/>
    <cellStyle name="Normal 48 2 2 2 35" xfId="57781"/>
    <cellStyle name="Normal 48 2 2 2 36" xfId="59533"/>
    <cellStyle name="Normal 48 2 2 2 37" xfId="61285"/>
    <cellStyle name="Normal 48 2 2 2 38" xfId="62947"/>
    <cellStyle name="Normal 48 2 2 2 39" xfId="63813"/>
    <cellStyle name="Normal 48 2 2 2 4" xfId="5225"/>
    <cellStyle name="Normal 48 2 2 2 5" xfId="6977"/>
    <cellStyle name="Normal 48 2 2 2 6" xfId="8729"/>
    <cellStyle name="Normal 48 2 2 2 7" xfId="10482"/>
    <cellStyle name="Normal 48 2 2 2 8" xfId="12234"/>
    <cellStyle name="Normal 48 2 2 2 9" xfId="13986"/>
    <cellStyle name="Normal 48 2 2 20" xfId="31073"/>
    <cellStyle name="Normal 48 2 2 21" xfId="32826"/>
    <cellStyle name="Normal 48 2 2 22" xfId="34938"/>
    <cellStyle name="Normal 48 2 2 23" xfId="35462"/>
    <cellStyle name="Normal 48 2 2 24" xfId="37559"/>
    <cellStyle name="Normal 48 2 2 25" xfId="38955"/>
    <cellStyle name="Normal 48 2 2 26" xfId="40710"/>
    <cellStyle name="Normal 48 2 2 27" xfId="42462"/>
    <cellStyle name="Normal 48 2 2 28" xfId="44559"/>
    <cellStyle name="Normal 48 2 2 29" xfId="45080"/>
    <cellStyle name="Normal 48 2 2 3" xfId="2026"/>
    <cellStyle name="Normal 48 2 2 3 10" xfId="17931"/>
    <cellStyle name="Normal 48 2 2 3 11" xfId="19683"/>
    <cellStyle name="Normal 48 2 2 3 12" xfId="21436"/>
    <cellStyle name="Normal 48 2 2 3 13" xfId="23188"/>
    <cellStyle name="Normal 48 2 2 3 14" xfId="24940"/>
    <cellStyle name="Normal 48 2 2 3 15" xfId="26692"/>
    <cellStyle name="Normal 48 2 2 3 16" xfId="28444"/>
    <cellStyle name="Normal 48 2 2 3 17" xfId="30197"/>
    <cellStyle name="Normal 48 2 2 3 18" xfId="31949"/>
    <cellStyle name="Normal 48 2 2 3 19" xfId="33702"/>
    <cellStyle name="Normal 48 2 2 3 2" xfId="3913"/>
    <cellStyle name="Normal 48 2 2 3 20" xfId="36338"/>
    <cellStyle name="Normal 48 2 2 3 21" xfId="38078"/>
    <cellStyle name="Normal 48 2 2 3 22" xfId="39831"/>
    <cellStyle name="Normal 48 2 2 3 23" xfId="41586"/>
    <cellStyle name="Normal 48 2 2 3 24" xfId="43338"/>
    <cellStyle name="Normal 48 2 2 3 25" xfId="45956"/>
    <cellStyle name="Normal 48 2 2 3 26" xfId="47708"/>
    <cellStyle name="Normal 48 2 2 3 27" xfId="49460"/>
    <cellStyle name="Normal 48 2 2 3 28" xfId="51212"/>
    <cellStyle name="Normal 48 2 2 3 29" xfId="52964"/>
    <cellStyle name="Normal 48 2 2 3 3" xfId="5665"/>
    <cellStyle name="Normal 48 2 2 3 30" xfId="54716"/>
    <cellStyle name="Normal 48 2 2 3 31" xfId="56468"/>
    <cellStyle name="Normal 48 2 2 3 32" xfId="58221"/>
    <cellStyle name="Normal 48 2 2 3 33" xfId="59973"/>
    <cellStyle name="Normal 48 2 2 3 34" xfId="61725"/>
    <cellStyle name="Normal 48 2 2 3 4" xfId="7417"/>
    <cellStyle name="Normal 48 2 2 3 5" xfId="9169"/>
    <cellStyle name="Normal 48 2 2 3 6" xfId="10922"/>
    <cellStyle name="Normal 48 2 2 3 7" xfId="12674"/>
    <cellStyle name="Normal 48 2 2 3 8" xfId="14426"/>
    <cellStyle name="Normal 48 2 2 3 9" xfId="16178"/>
    <cellStyle name="Normal 48 2 2 30" xfId="46832"/>
    <cellStyle name="Normal 48 2 2 31" xfId="48584"/>
    <cellStyle name="Normal 48 2 2 32" xfId="50336"/>
    <cellStyle name="Normal 48 2 2 33" xfId="52088"/>
    <cellStyle name="Normal 48 2 2 34" xfId="53840"/>
    <cellStyle name="Normal 48 2 2 35" xfId="55592"/>
    <cellStyle name="Normal 48 2 2 36" xfId="57345"/>
    <cellStyle name="Normal 48 2 2 37" xfId="59097"/>
    <cellStyle name="Normal 48 2 2 38" xfId="60849"/>
    <cellStyle name="Normal 48 2 2 39" xfId="62946"/>
    <cellStyle name="Normal 48 2 2 4" xfId="3037"/>
    <cellStyle name="Normal 48 2 2 40" xfId="63812"/>
    <cellStyle name="Normal 48 2 2 5" xfId="4789"/>
    <cellStyle name="Normal 48 2 2 6" xfId="6541"/>
    <cellStyle name="Normal 48 2 2 7" xfId="8293"/>
    <cellStyle name="Normal 48 2 2 8" xfId="10046"/>
    <cellStyle name="Normal 48 2 2 9" xfId="11798"/>
    <cellStyle name="Normal 48 2 20" xfId="29076"/>
    <cellStyle name="Normal 48 2 21" xfId="30828"/>
    <cellStyle name="Normal 48 2 22" xfId="32581"/>
    <cellStyle name="Normal 48 2 23" xfId="35217"/>
    <cellStyle name="Normal 48 2 24" xfId="38710"/>
    <cellStyle name="Normal 48 2 25" xfId="40465"/>
    <cellStyle name="Normal 48 2 26" xfId="42217"/>
    <cellStyle name="Normal 48 2 27" xfId="44835"/>
    <cellStyle name="Normal 48 2 28" xfId="46587"/>
    <cellStyle name="Normal 48 2 29" xfId="48339"/>
    <cellStyle name="Normal 48 2 3" xfId="2027"/>
    <cellStyle name="Normal 48 2 3 10" xfId="15493"/>
    <cellStyle name="Normal 48 2 3 11" xfId="17246"/>
    <cellStyle name="Normal 48 2 3 12" xfId="18998"/>
    <cellStyle name="Normal 48 2 3 13" xfId="20751"/>
    <cellStyle name="Normal 48 2 3 14" xfId="22503"/>
    <cellStyle name="Normal 48 2 3 15" xfId="24255"/>
    <cellStyle name="Normal 48 2 3 16" xfId="26007"/>
    <cellStyle name="Normal 48 2 3 17" xfId="27759"/>
    <cellStyle name="Normal 48 2 3 18" xfId="29512"/>
    <cellStyle name="Normal 48 2 3 19" xfId="31264"/>
    <cellStyle name="Normal 48 2 3 2" xfId="2028"/>
    <cellStyle name="Normal 48 2 3 2 10" xfId="18122"/>
    <cellStyle name="Normal 48 2 3 2 11" xfId="19874"/>
    <cellStyle name="Normal 48 2 3 2 12" xfId="21627"/>
    <cellStyle name="Normal 48 2 3 2 13" xfId="23379"/>
    <cellStyle name="Normal 48 2 3 2 14" xfId="25131"/>
    <cellStyle name="Normal 48 2 3 2 15" xfId="26883"/>
    <cellStyle name="Normal 48 2 3 2 16" xfId="28635"/>
    <cellStyle name="Normal 48 2 3 2 17" xfId="30388"/>
    <cellStyle name="Normal 48 2 3 2 18" xfId="32140"/>
    <cellStyle name="Normal 48 2 3 2 19" xfId="33893"/>
    <cellStyle name="Normal 48 2 3 2 2" xfId="4104"/>
    <cellStyle name="Normal 48 2 3 2 20" xfId="36529"/>
    <cellStyle name="Normal 48 2 3 2 21" xfId="38269"/>
    <cellStyle name="Normal 48 2 3 2 22" xfId="40022"/>
    <cellStyle name="Normal 48 2 3 2 23" xfId="41777"/>
    <cellStyle name="Normal 48 2 3 2 24" xfId="43529"/>
    <cellStyle name="Normal 48 2 3 2 25" xfId="46147"/>
    <cellStyle name="Normal 48 2 3 2 26" xfId="47899"/>
    <cellStyle name="Normal 48 2 3 2 27" xfId="49651"/>
    <cellStyle name="Normal 48 2 3 2 28" xfId="51403"/>
    <cellStyle name="Normal 48 2 3 2 29" xfId="53155"/>
    <cellStyle name="Normal 48 2 3 2 3" xfId="5856"/>
    <cellStyle name="Normal 48 2 3 2 30" xfId="54907"/>
    <cellStyle name="Normal 48 2 3 2 31" xfId="56659"/>
    <cellStyle name="Normal 48 2 3 2 32" xfId="58412"/>
    <cellStyle name="Normal 48 2 3 2 33" xfId="60164"/>
    <cellStyle name="Normal 48 2 3 2 34" xfId="61916"/>
    <cellStyle name="Normal 48 2 3 2 4" xfId="7608"/>
    <cellStyle name="Normal 48 2 3 2 5" xfId="9360"/>
    <cellStyle name="Normal 48 2 3 2 6" xfId="11113"/>
    <cellStyle name="Normal 48 2 3 2 7" xfId="12865"/>
    <cellStyle name="Normal 48 2 3 2 8" xfId="14617"/>
    <cellStyle name="Normal 48 2 3 2 9" xfId="16369"/>
    <cellStyle name="Normal 48 2 3 20" xfId="33017"/>
    <cellStyle name="Normal 48 2 3 21" xfId="34940"/>
    <cellStyle name="Normal 48 2 3 22" xfId="35653"/>
    <cellStyle name="Normal 48 2 3 23" xfId="37561"/>
    <cellStyle name="Normal 48 2 3 24" xfId="39146"/>
    <cellStyle name="Normal 48 2 3 25" xfId="40901"/>
    <cellStyle name="Normal 48 2 3 26" xfId="42653"/>
    <cellStyle name="Normal 48 2 3 27" xfId="44561"/>
    <cellStyle name="Normal 48 2 3 28" xfId="45271"/>
    <cellStyle name="Normal 48 2 3 29" xfId="47023"/>
    <cellStyle name="Normal 48 2 3 3" xfId="3228"/>
    <cellStyle name="Normal 48 2 3 30" xfId="48775"/>
    <cellStyle name="Normal 48 2 3 31" xfId="50527"/>
    <cellStyle name="Normal 48 2 3 32" xfId="52279"/>
    <cellStyle name="Normal 48 2 3 33" xfId="54031"/>
    <cellStyle name="Normal 48 2 3 34" xfId="55783"/>
    <cellStyle name="Normal 48 2 3 35" xfId="57536"/>
    <cellStyle name="Normal 48 2 3 36" xfId="59288"/>
    <cellStyle name="Normal 48 2 3 37" xfId="61040"/>
    <cellStyle name="Normal 48 2 3 38" xfId="62948"/>
    <cellStyle name="Normal 48 2 3 39" xfId="63814"/>
    <cellStyle name="Normal 48 2 3 4" xfId="4980"/>
    <cellStyle name="Normal 48 2 3 5" xfId="6732"/>
    <cellStyle name="Normal 48 2 3 6" xfId="8484"/>
    <cellStyle name="Normal 48 2 3 7" xfId="10237"/>
    <cellStyle name="Normal 48 2 3 8" xfId="11989"/>
    <cellStyle name="Normal 48 2 3 9" xfId="13741"/>
    <cellStyle name="Normal 48 2 30" xfId="50091"/>
    <cellStyle name="Normal 48 2 31" xfId="51843"/>
    <cellStyle name="Normal 48 2 32" xfId="53595"/>
    <cellStyle name="Normal 48 2 33" xfId="55347"/>
    <cellStyle name="Normal 48 2 34" xfId="57100"/>
    <cellStyle name="Normal 48 2 35" xfId="58852"/>
    <cellStyle name="Normal 48 2 36" xfId="60604"/>
    <cellStyle name="Normal 48 2 4" xfId="2029"/>
    <cellStyle name="Normal 48 2 4 10" xfId="17686"/>
    <cellStyle name="Normal 48 2 4 11" xfId="19438"/>
    <cellStyle name="Normal 48 2 4 12" xfId="21191"/>
    <cellStyle name="Normal 48 2 4 13" xfId="22943"/>
    <cellStyle name="Normal 48 2 4 14" xfId="24695"/>
    <cellStyle name="Normal 48 2 4 15" xfId="26447"/>
    <cellStyle name="Normal 48 2 4 16" xfId="28199"/>
    <cellStyle name="Normal 48 2 4 17" xfId="29952"/>
    <cellStyle name="Normal 48 2 4 18" xfId="31704"/>
    <cellStyle name="Normal 48 2 4 19" xfId="33457"/>
    <cellStyle name="Normal 48 2 4 2" xfId="3668"/>
    <cellStyle name="Normal 48 2 4 20" xfId="36093"/>
    <cellStyle name="Normal 48 2 4 21" xfId="37833"/>
    <cellStyle name="Normal 48 2 4 22" xfId="39586"/>
    <cellStyle name="Normal 48 2 4 23" xfId="41341"/>
    <cellStyle name="Normal 48 2 4 24" xfId="43093"/>
    <cellStyle name="Normal 48 2 4 25" xfId="45711"/>
    <cellStyle name="Normal 48 2 4 26" xfId="47463"/>
    <cellStyle name="Normal 48 2 4 27" xfId="49215"/>
    <cellStyle name="Normal 48 2 4 28" xfId="50967"/>
    <cellStyle name="Normal 48 2 4 29" xfId="52719"/>
    <cellStyle name="Normal 48 2 4 3" xfId="5420"/>
    <cellStyle name="Normal 48 2 4 30" xfId="54471"/>
    <cellStyle name="Normal 48 2 4 31" xfId="56223"/>
    <cellStyle name="Normal 48 2 4 32" xfId="57976"/>
    <cellStyle name="Normal 48 2 4 33" xfId="59728"/>
    <cellStyle name="Normal 48 2 4 34" xfId="61480"/>
    <cellStyle name="Normal 48 2 4 4" xfId="7172"/>
    <cellStyle name="Normal 48 2 4 5" xfId="8924"/>
    <cellStyle name="Normal 48 2 4 6" xfId="10677"/>
    <cellStyle name="Normal 48 2 4 7" xfId="12429"/>
    <cellStyle name="Normal 48 2 4 8" xfId="14181"/>
    <cellStyle name="Normal 48 2 4 9" xfId="15933"/>
    <cellStyle name="Normal 48 2 5" xfId="2792"/>
    <cellStyle name="Normal 48 2 6" xfId="4544"/>
    <cellStyle name="Normal 48 2 7" xfId="6296"/>
    <cellStyle name="Normal 48 2 8" xfId="8048"/>
    <cellStyle name="Normal 48 2 9" xfId="9801"/>
    <cellStyle name="Normal 48 20" xfId="27215"/>
    <cellStyle name="Normal 48 21" xfId="28968"/>
    <cellStyle name="Normal 48 22" xfId="30720"/>
    <cellStyle name="Normal 48 23" xfId="32473"/>
    <cellStyle name="Normal 48 24" xfId="35109"/>
    <cellStyle name="Normal 48 25" xfId="38602"/>
    <cellStyle name="Normal 48 26" xfId="40357"/>
    <cellStyle name="Normal 48 27" xfId="42109"/>
    <cellStyle name="Normal 48 28" xfId="44727"/>
    <cellStyle name="Normal 48 29" xfId="46479"/>
    <cellStyle name="Normal 48 3" xfId="2030"/>
    <cellStyle name="Normal 48 3 10" xfId="13551"/>
    <cellStyle name="Normal 48 3 11" xfId="15303"/>
    <cellStyle name="Normal 48 3 12" xfId="17056"/>
    <cellStyle name="Normal 48 3 13" xfId="18808"/>
    <cellStyle name="Normal 48 3 14" xfId="20561"/>
    <cellStyle name="Normal 48 3 15" xfId="22313"/>
    <cellStyle name="Normal 48 3 16" xfId="24065"/>
    <cellStyle name="Normal 48 3 17" xfId="25817"/>
    <cellStyle name="Normal 48 3 18" xfId="27569"/>
    <cellStyle name="Normal 48 3 19" xfId="29322"/>
    <cellStyle name="Normal 48 3 2" xfId="2031"/>
    <cellStyle name="Normal 48 3 2 10" xfId="15739"/>
    <cellStyle name="Normal 48 3 2 11" xfId="17492"/>
    <cellStyle name="Normal 48 3 2 12" xfId="19244"/>
    <cellStyle name="Normal 48 3 2 13" xfId="20997"/>
    <cellStyle name="Normal 48 3 2 14" xfId="22749"/>
    <cellStyle name="Normal 48 3 2 15" xfId="24501"/>
    <cellStyle name="Normal 48 3 2 16" xfId="26253"/>
    <cellStyle name="Normal 48 3 2 17" xfId="28005"/>
    <cellStyle name="Normal 48 3 2 18" xfId="29758"/>
    <cellStyle name="Normal 48 3 2 19" xfId="31510"/>
    <cellStyle name="Normal 48 3 2 2" xfId="2032"/>
    <cellStyle name="Normal 48 3 2 2 10" xfId="18368"/>
    <cellStyle name="Normal 48 3 2 2 11" xfId="20120"/>
    <cellStyle name="Normal 48 3 2 2 12" xfId="21873"/>
    <cellStyle name="Normal 48 3 2 2 13" xfId="23625"/>
    <cellStyle name="Normal 48 3 2 2 14" xfId="25377"/>
    <cellStyle name="Normal 48 3 2 2 15" xfId="27129"/>
    <cellStyle name="Normal 48 3 2 2 16" xfId="28881"/>
    <cellStyle name="Normal 48 3 2 2 17" xfId="30634"/>
    <cellStyle name="Normal 48 3 2 2 18" xfId="32386"/>
    <cellStyle name="Normal 48 3 2 2 19" xfId="34139"/>
    <cellStyle name="Normal 48 3 2 2 2" xfId="4350"/>
    <cellStyle name="Normal 48 3 2 2 20" xfId="36775"/>
    <cellStyle name="Normal 48 3 2 2 21" xfId="38515"/>
    <cellStyle name="Normal 48 3 2 2 22" xfId="40268"/>
    <cellStyle name="Normal 48 3 2 2 23" xfId="42023"/>
    <cellStyle name="Normal 48 3 2 2 24" xfId="43775"/>
    <cellStyle name="Normal 48 3 2 2 25" xfId="46393"/>
    <cellStyle name="Normal 48 3 2 2 26" xfId="48145"/>
    <cellStyle name="Normal 48 3 2 2 27" xfId="49897"/>
    <cellStyle name="Normal 48 3 2 2 28" xfId="51649"/>
    <cellStyle name="Normal 48 3 2 2 29" xfId="53401"/>
    <cellStyle name="Normal 48 3 2 2 3" xfId="6102"/>
    <cellStyle name="Normal 48 3 2 2 30" xfId="55153"/>
    <cellStyle name="Normal 48 3 2 2 31" xfId="56905"/>
    <cellStyle name="Normal 48 3 2 2 32" xfId="58658"/>
    <cellStyle name="Normal 48 3 2 2 33" xfId="60410"/>
    <cellStyle name="Normal 48 3 2 2 34" xfId="62162"/>
    <cellStyle name="Normal 48 3 2 2 4" xfId="7854"/>
    <cellStyle name="Normal 48 3 2 2 5" xfId="9606"/>
    <cellStyle name="Normal 48 3 2 2 6" xfId="11359"/>
    <cellStyle name="Normal 48 3 2 2 7" xfId="13111"/>
    <cellStyle name="Normal 48 3 2 2 8" xfId="14863"/>
    <cellStyle name="Normal 48 3 2 2 9" xfId="16615"/>
    <cellStyle name="Normal 48 3 2 20" xfId="33263"/>
    <cellStyle name="Normal 48 3 2 21" xfId="34942"/>
    <cellStyle name="Normal 48 3 2 22" xfId="35899"/>
    <cellStyle name="Normal 48 3 2 23" xfId="37563"/>
    <cellStyle name="Normal 48 3 2 24" xfId="39392"/>
    <cellStyle name="Normal 48 3 2 25" xfId="41147"/>
    <cellStyle name="Normal 48 3 2 26" xfId="42899"/>
    <cellStyle name="Normal 48 3 2 27" xfId="44563"/>
    <cellStyle name="Normal 48 3 2 28" xfId="45517"/>
    <cellStyle name="Normal 48 3 2 29" xfId="47269"/>
    <cellStyle name="Normal 48 3 2 3" xfId="3474"/>
    <cellStyle name="Normal 48 3 2 30" xfId="49021"/>
    <cellStyle name="Normal 48 3 2 31" xfId="50773"/>
    <cellStyle name="Normal 48 3 2 32" xfId="52525"/>
    <cellStyle name="Normal 48 3 2 33" xfId="54277"/>
    <cellStyle name="Normal 48 3 2 34" xfId="56029"/>
    <cellStyle name="Normal 48 3 2 35" xfId="57782"/>
    <cellStyle name="Normal 48 3 2 36" xfId="59534"/>
    <cellStyle name="Normal 48 3 2 37" xfId="61286"/>
    <cellStyle name="Normal 48 3 2 38" xfId="62950"/>
    <cellStyle name="Normal 48 3 2 39" xfId="63816"/>
    <cellStyle name="Normal 48 3 2 4" xfId="5226"/>
    <cellStyle name="Normal 48 3 2 5" xfId="6978"/>
    <cellStyle name="Normal 48 3 2 6" xfId="8730"/>
    <cellStyle name="Normal 48 3 2 7" xfId="10483"/>
    <cellStyle name="Normal 48 3 2 8" xfId="12235"/>
    <cellStyle name="Normal 48 3 2 9" xfId="13987"/>
    <cellStyle name="Normal 48 3 20" xfId="31074"/>
    <cellStyle name="Normal 48 3 21" xfId="32827"/>
    <cellStyle name="Normal 48 3 22" xfId="34941"/>
    <cellStyle name="Normal 48 3 23" xfId="35463"/>
    <cellStyle name="Normal 48 3 24" xfId="37562"/>
    <cellStyle name="Normal 48 3 25" xfId="38956"/>
    <cellStyle name="Normal 48 3 26" xfId="40711"/>
    <cellStyle name="Normal 48 3 27" xfId="42463"/>
    <cellStyle name="Normal 48 3 28" xfId="44562"/>
    <cellStyle name="Normal 48 3 29" xfId="45081"/>
    <cellStyle name="Normal 48 3 3" xfId="2033"/>
    <cellStyle name="Normal 48 3 3 10" xfId="17932"/>
    <cellStyle name="Normal 48 3 3 11" xfId="19684"/>
    <cellStyle name="Normal 48 3 3 12" xfId="21437"/>
    <cellStyle name="Normal 48 3 3 13" xfId="23189"/>
    <cellStyle name="Normal 48 3 3 14" xfId="24941"/>
    <cellStyle name="Normal 48 3 3 15" xfId="26693"/>
    <cellStyle name="Normal 48 3 3 16" xfId="28445"/>
    <cellStyle name="Normal 48 3 3 17" xfId="30198"/>
    <cellStyle name="Normal 48 3 3 18" xfId="31950"/>
    <cellStyle name="Normal 48 3 3 19" xfId="33703"/>
    <cellStyle name="Normal 48 3 3 2" xfId="3914"/>
    <cellStyle name="Normal 48 3 3 20" xfId="36339"/>
    <cellStyle name="Normal 48 3 3 21" xfId="38079"/>
    <cellStyle name="Normal 48 3 3 22" xfId="39832"/>
    <cellStyle name="Normal 48 3 3 23" xfId="41587"/>
    <cellStyle name="Normal 48 3 3 24" xfId="43339"/>
    <cellStyle name="Normal 48 3 3 25" xfId="45957"/>
    <cellStyle name="Normal 48 3 3 26" xfId="47709"/>
    <cellStyle name="Normal 48 3 3 27" xfId="49461"/>
    <cellStyle name="Normal 48 3 3 28" xfId="51213"/>
    <cellStyle name="Normal 48 3 3 29" xfId="52965"/>
    <cellStyle name="Normal 48 3 3 3" xfId="5666"/>
    <cellStyle name="Normal 48 3 3 30" xfId="54717"/>
    <cellStyle name="Normal 48 3 3 31" xfId="56469"/>
    <cellStyle name="Normal 48 3 3 32" xfId="58222"/>
    <cellStyle name="Normal 48 3 3 33" xfId="59974"/>
    <cellStyle name="Normal 48 3 3 34" xfId="61726"/>
    <cellStyle name="Normal 48 3 3 4" xfId="7418"/>
    <cellStyle name="Normal 48 3 3 5" xfId="9170"/>
    <cellStyle name="Normal 48 3 3 6" xfId="10923"/>
    <cellStyle name="Normal 48 3 3 7" xfId="12675"/>
    <cellStyle name="Normal 48 3 3 8" xfId="14427"/>
    <cellStyle name="Normal 48 3 3 9" xfId="16179"/>
    <cellStyle name="Normal 48 3 30" xfId="46833"/>
    <cellStyle name="Normal 48 3 31" xfId="48585"/>
    <cellStyle name="Normal 48 3 32" xfId="50337"/>
    <cellStyle name="Normal 48 3 33" xfId="52089"/>
    <cellStyle name="Normal 48 3 34" xfId="53841"/>
    <cellStyle name="Normal 48 3 35" xfId="55593"/>
    <cellStyle name="Normal 48 3 36" xfId="57346"/>
    <cellStyle name="Normal 48 3 37" xfId="59098"/>
    <cellStyle name="Normal 48 3 38" xfId="60850"/>
    <cellStyle name="Normal 48 3 39" xfId="62949"/>
    <cellStyle name="Normal 48 3 4" xfId="3038"/>
    <cellStyle name="Normal 48 3 40" xfId="63815"/>
    <cellStyle name="Normal 48 3 5" xfId="4790"/>
    <cellStyle name="Normal 48 3 6" xfId="6542"/>
    <cellStyle name="Normal 48 3 7" xfId="8294"/>
    <cellStyle name="Normal 48 3 8" xfId="10047"/>
    <cellStyle name="Normal 48 3 9" xfId="11799"/>
    <cellStyle name="Normal 48 30" xfId="48231"/>
    <cellStyle name="Normal 48 31" xfId="49983"/>
    <cellStyle name="Normal 48 32" xfId="51735"/>
    <cellStyle name="Normal 48 33" xfId="53487"/>
    <cellStyle name="Normal 48 34" xfId="55239"/>
    <cellStyle name="Normal 48 35" xfId="56992"/>
    <cellStyle name="Normal 48 36" xfId="58744"/>
    <cellStyle name="Normal 48 37" xfId="60496"/>
    <cellStyle name="Normal 48 4" xfId="2034"/>
    <cellStyle name="Normal 48 4 10" xfId="15385"/>
    <cellStyle name="Normal 48 4 11" xfId="17138"/>
    <cellStyle name="Normal 48 4 12" xfId="18890"/>
    <cellStyle name="Normal 48 4 13" xfId="20643"/>
    <cellStyle name="Normal 48 4 14" xfId="22395"/>
    <cellStyle name="Normal 48 4 15" xfId="24147"/>
    <cellStyle name="Normal 48 4 16" xfId="25899"/>
    <cellStyle name="Normal 48 4 17" xfId="27651"/>
    <cellStyle name="Normal 48 4 18" xfId="29404"/>
    <cellStyle name="Normal 48 4 19" xfId="31156"/>
    <cellStyle name="Normal 48 4 2" xfId="2035"/>
    <cellStyle name="Normal 48 4 2 10" xfId="18014"/>
    <cellStyle name="Normal 48 4 2 11" xfId="19766"/>
    <cellStyle name="Normal 48 4 2 12" xfId="21519"/>
    <cellStyle name="Normal 48 4 2 13" xfId="23271"/>
    <cellStyle name="Normal 48 4 2 14" xfId="25023"/>
    <cellStyle name="Normal 48 4 2 15" xfId="26775"/>
    <cellStyle name="Normal 48 4 2 16" xfId="28527"/>
    <cellStyle name="Normal 48 4 2 17" xfId="30280"/>
    <cellStyle name="Normal 48 4 2 18" xfId="32032"/>
    <cellStyle name="Normal 48 4 2 19" xfId="33785"/>
    <cellStyle name="Normal 48 4 2 2" xfId="3996"/>
    <cellStyle name="Normal 48 4 2 20" xfId="36421"/>
    <cellStyle name="Normal 48 4 2 21" xfId="38161"/>
    <cellStyle name="Normal 48 4 2 22" xfId="39914"/>
    <cellStyle name="Normal 48 4 2 23" xfId="41669"/>
    <cellStyle name="Normal 48 4 2 24" xfId="43421"/>
    <cellStyle name="Normal 48 4 2 25" xfId="46039"/>
    <cellStyle name="Normal 48 4 2 26" xfId="47791"/>
    <cellStyle name="Normal 48 4 2 27" xfId="49543"/>
    <cellStyle name="Normal 48 4 2 28" xfId="51295"/>
    <cellStyle name="Normal 48 4 2 29" xfId="53047"/>
    <cellStyle name="Normal 48 4 2 3" xfId="5748"/>
    <cellStyle name="Normal 48 4 2 30" xfId="54799"/>
    <cellStyle name="Normal 48 4 2 31" xfId="56551"/>
    <cellStyle name="Normal 48 4 2 32" xfId="58304"/>
    <cellStyle name="Normal 48 4 2 33" xfId="60056"/>
    <cellStyle name="Normal 48 4 2 34" xfId="61808"/>
    <cellStyle name="Normal 48 4 2 4" xfId="7500"/>
    <cellStyle name="Normal 48 4 2 5" xfId="9252"/>
    <cellStyle name="Normal 48 4 2 6" xfId="11005"/>
    <cellStyle name="Normal 48 4 2 7" xfId="12757"/>
    <cellStyle name="Normal 48 4 2 8" xfId="14509"/>
    <cellStyle name="Normal 48 4 2 9" xfId="16261"/>
    <cellStyle name="Normal 48 4 20" xfId="32909"/>
    <cellStyle name="Normal 48 4 21" xfId="34943"/>
    <cellStyle name="Normal 48 4 22" xfId="35545"/>
    <cellStyle name="Normal 48 4 23" xfId="37564"/>
    <cellStyle name="Normal 48 4 24" xfId="39038"/>
    <cellStyle name="Normal 48 4 25" xfId="40793"/>
    <cellStyle name="Normal 48 4 26" xfId="42545"/>
    <cellStyle name="Normal 48 4 27" xfId="44564"/>
    <cellStyle name="Normal 48 4 28" xfId="45163"/>
    <cellStyle name="Normal 48 4 29" xfId="46915"/>
    <cellStyle name="Normal 48 4 3" xfId="3120"/>
    <cellStyle name="Normal 48 4 30" xfId="48667"/>
    <cellStyle name="Normal 48 4 31" xfId="50419"/>
    <cellStyle name="Normal 48 4 32" xfId="52171"/>
    <cellStyle name="Normal 48 4 33" xfId="53923"/>
    <cellStyle name="Normal 48 4 34" xfId="55675"/>
    <cellStyle name="Normal 48 4 35" xfId="57428"/>
    <cellStyle name="Normal 48 4 36" xfId="59180"/>
    <cellStyle name="Normal 48 4 37" xfId="60932"/>
    <cellStyle name="Normal 48 4 38" xfId="62951"/>
    <cellStyle name="Normal 48 4 39" xfId="63817"/>
    <cellStyle name="Normal 48 4 4" xfId="4872"/>
    <cellStyle name="Normal 48 4 5" xfId="6624"/>
    <cellStyle name="Normal 48 4 6" xfId="8376"/>
    <cellStyle name="Normal 48 4 7" xfId="10129"/>
    <cellStyle name="Normal 48 4 8" xfId="11881"/>
    <cellStyle name="Normal 48 4 9" xfId="13633"/>
    <cellStyle name="Normal 48 5" xfId="2036"/>
    <cellStyle name="Normal 48 5 10" xfId="17578"/>
    <cellStyle name="Normal 48 5 11" xfId="19330"/>
    <cellStyle name="Normal 48 5 12" xfId="21083"/>
    <cellStyle name="Normal 48 5 13" xfId="22835"/>
    <cellStyle name="Normal 48 5 14" xfId="24587"/>
    <cellStyle name="Normal 48 5 15" xfId="26339"/>
    <cellStyle name="Normal 48 5 16" xfId="28091"/>
    <cellStyle name="Normal 48 5 17" xfId="29844"/>
    <cellStyle name="Normal 48 5 18" xfId="31596"/>
    <cellStyle name="Normal 48 5 19" xfId="33349"/>
    <cellStyle name="Normal 48 5 2" xfId="3560"/>
    <cellStyle name="Normal 48 5 20" xfId="35985"/>
    <cellStyle name="Normal 48 5 21" xfId="37616"/>
    <cellStyle name="Normal 48 5 22" xfId="39478"/>
    <cellStyle name="Normal 48 5 23" xfId="41233"/>
    <cellStyle name="Normal 48 5 24" xfId="42985"/>
    <cellStyle name="Normal 48 5 25" xfId="45603"/>
    <cellStyle name="Normal 48 5 26" xfId="47355"/>
    <cellStyle name="Normal 48 5 27" xfId="49107"/>
    <cellStyle name="Normal 48 5 28" xfId="50859"/>
    <cellStyle name="Normal 48 5 29" xfId="52611"/>
    <cellStyle name="Normal 48 5 3" xfId="5312"/>
    <cellStyle name="Normal 48 5 30" xfId="54363"/>
    <cellStyle name="Normal 48 5 31" xfId="56115"/>
    <cellStyle name="Normal 48 5 32" xfId="57868"/>
    <cellStyle name="Normal 48 5 33" xfId="59620"/>
    <cellStyle name="Normal 48 5 34" xfId="61372"/>
    <cellStyle name="Normal 48 5 4" xfId="7064"/>
    <cellStyle name="Normal 48 5 5" xfId="8816"/>
    <cellStyle name="Normal 48 5 6" xfId="10569"/>
    <cellStyle name="Normal 48 5 7" xfId="12321"/>
    <cellStyle name="Normal 48 5 8" xfId="14073"/>
    <cellStyle name="Normal 48 5 9" xfId="15825"/>
    <cellStyle name="Normal 48 6" xfId="2684"/>
    <cellStyle name="Normal 48 7" xfId="4436"/>
    <cellStyle name="Normal 48 8" xfId="6188"/>
    <cellStyle name="Normal 48 9" xfId="7940"/>
    <cellStyle name="Normal 49" xfId="2037"/>
    <cellStyle name="Normal 49 10" xfId="11608"/>
    <cellStyle name="Normal 49 11" xfId="13360"/>
    <cellStyle name="Normal 49 12" xfId="15112"/>
    <cellStyle name="Normal 49 13" xfId="16865"/>
    <cellStyle name="Normal 49 14" xfId="18617"/>
    <cellStyle name="Normal 49 15" xfId="20370"/>
    <cellStyle name="Normal 49 16" xfId="22122"/>
    <cellStyle name="Normal 49 17" xfId="23874"/>
    <cellStyle name="Normal 49 18" xfId="25626"/>
    <cellStyle name="Normal 49 19" xfId="27378"/>
    <cellStyle name="Normal 49 2" xfId="2038"/>
    <cellStyle name="Normal 49 2 10" xfId="13552"/>
    <cellStyle name="Normal 49 2 11" xfId="15304"/>
    <cellStyle name="Normal 49 2 12" xfId="17057"/>
    <cellStyle name="Normal 49 2 13" xfId="18809"/>
    <cellStyle name="Normal 49 2 14" xfId="20562"/>
    <cellStyle name="Normal 49 2 15" xfId="22314"/>
    <cellStyle name="Normal 49 2 16" xfId="24066"/>
    <cellStyle name="Normal 49 2 17" xfId="25818"/>
    <cellStyle name="Normal 49 2 18" xfId="27570"/>
    <cellStyle name="Normal 49 2 19" xfId="29323"/>
    <cellStyle name="Normal 49 2 2" xfId="2039"/>
    <cellStyle name="Normal 49 2 2 10" xfId="15740"/>
    <cellStyle name="Normal 49 2 2 11" xfId="17493"/>
    <cellStyle name="Normal 49 2 2 12" xfId="19245"/>
    <cellStyle name="Normal 49 2 2 13" xfId="20998"/>
    <cellStyle name="Normal 49 2 2 14" xfId="22750"/>
    <cellStyle name="Normal 49 2 2 15" xfId="24502"/>
    <cellStyle name="Normal 49 2 2 16" xfId="26254"/>
    <cellStyle name="Normal 49 2 2 17" xfId="28006"/>
    <cellStyle name="Normal 49 2 2 18" xfId="29759"/>
    <cellStyle name="Normal 49 2 2 19" xfId="31511"/>
    <cellStyle name="Normal 49 2 2 2" xfId="2040"/>
    <cellStyle name="Normal 49 2 2 2 10" xfId="18369"/>
    <cellStyle name="Normal 49 2 2 2 11" xfId="20121"/>
    <cellStyle name="Normal 49 2 2 2 12" xfId="21874"/>
    <cellStyle name="Normal 49 2 2 2 13" xfId="23626"/>
    <cellStyle name="Normal 49 2 2 2 14" xfId="25378"/>
    <cellStyle name="Normal 49 2 2 2 15" xfId="27130"/>
    <cellStyle name="Normal 49 2 2 2 16" xfId="28882"/>
    <cellStyle name="Normal 49 2 2 2 17" xfId="30635"/>
    <cellStyle name="Normal 49 2 2 2 18" xfId="32387"/>
    <cellStyle name="Normal 49 2 2 2 19" xfId="34140"/>
    <cellStyle name="Normal 49 2 2 2 2" xfId="4351"/>
    <cellStyle name="Normal 49 2 2 2 20" xfId="36776"/>
    <cellStyle name="Normal 49 2 2 2 21" xfId="38516"/>
    <cellStyle name="Normal 49 2 2 2 22" xfId="40269"/>
    <cellStyle name="Normal 49 2 2 2 23" xfId="42024"/>
    <cellStyle name="Normal 49 2 2 2 24" xfId="43776"/>
    <cellStyle name="Normal 49 2 2 2 25" xfId="46394"/>
    <cellStyle name="Normal 49 2 2 2 26" xfId="48146"/>
    <cellStyle name="Normal 49 2 2 2 27" xfId="49898"/>
    <cellStyle name="Normal 49 2 2 2 28" xfId="51650"/>
    <cellStyle name="Normal 49 2 2 2 29" xfId="53402"/>
    <cellStyle name="Normal 49 2 2 2 3" xfId="6103"/>
    <cellStyle name="Normal 49 2 2 2 30" xfId="55154"/>
    <cellStyle name="Normal 49 2 2 2 31" xfId="56906"/>
    <cellStyle name="Normal 49 2 2 2 32" xfId="58659"/>
    <cellStyle name="Normal 49 2 2 2 33" xfId="60411"/>
    <cellStyle name="Normal 49 2 2 2 34" xfId="62163"/>
    <cellStyle name="Normal 49 2 2 2 4" xfId="7855"/>
    <cellStyle name="Normal 49 2 2 2 5" xfId="9607"/>
    <cellStyle name="Normal 49 2 2 2 6" xfId="11360"/>
    <cellStyle name="Normal 49 2 2 2 7" xfId="13112"/>
    <cellStyle name="Normal 49 2 2 2 8" xfId="14864"/>
    <cellStyle name="Normal 49 2 2 2 9" xfId="16616"/>
    <cellStyle name="Normal 49 2 2 20" xfId="33264"/>
    <cellStyle name="Normal 49 2 2 21" xfId="34945"/>
    <cellStyle name="Normal 49 2 2 22" xfId="35900"/>
    <cellStyle name="Normal 49 2 2 23" xfId="37566"/>
    <cellStyle name="Normal 49 2 2 24" xfId="39393"/>
    <cellStyle name="Normal 49 2 2 25" xfId="41148"/>
    <cellStyle name="Normal 49 2 2 26" xfId="42900"/>
    <cellStyle name="Normal 49 2 2 27" xfId="44566"/>
    <cellStyle name="Normal 49 2 2 28" xfId="45518"/>
    <cellStyle name="Normal 49 2 2 29" xfId="47270"/>
    <cellStyle name="Normal 49 2 2 3" xfId="3475"/>
    <cellStyle name="Normal 49 2 2 30" xfId="49022"/>
    <cellStyle name="Normal 49 2 2 31" xfId="50774"/>
    <cellStyle name="Normal 49 2 2 32" xfId="52526"/>
    <cellStyle name="Normal 49 2 2 33" xfId="54278"/>
    <cellStyle name="Normal 49 2 2 34" xfId="56030"/>
    <cellStyle name="Normal 49 2 2 35" xfId="57783"/>
    <cellStyle name="Normal 49 2 2 36" xfId="59535"/>
    <cellStyle name="Normal 49 2 2 37" xfId="61287"/>
    <cellStyle name="Normal 49 2 2 38" xfId="62953"/>
    <cellStyle name="Normal 49 2 2 39" xfId="63819"/>
    <cellStyle name="Normal 49 2 2 4" xfId="5227"/>
    <cellStyle name="Normal 49 2 2 5" xfId="6979"/>
    <cellStyle name="Normal 49 2 2 6" xfId="8731"/>
    <cellStyle name="Normal 49 2 2 7" xfId="10484"/>
    <cellStyle name="Normal 49 2 2 8" xfId="12236"/>
    <cellStyle name="Normal 49 2 2 9" xfId="13988"/>
    <cellStyle name="Normal 49 2 20" xfId="31075"/>
    <cellStyle name="Normal 49 2 21" xfId="32828"/>
    <cellStyle name="Normal 49 2 22" xfId="34944"/>
    <cellStyle name="Normal 49 2 23" xfId="35464"/>
    <cellStyle name="Normal 49 2 24" xfId="37565"/>
    <cellStyle name="Normal 49 2 25" xfId="38957"/>
    <cellStyle name="Normal 49 2 26" xfId="40712"/>
    <cellStyle name="Normal 49 2 27" xfId="42464"/>
    <cellStyle name="Normal 49 2 28" xfId="44565"/>
    <cellStyle name="Normal 49 2 29" xfId="45082"/>
    <cellStyle name="Normal 49 2 3" xfId="2041"/>
    <cellStyle name="Normal 49 2 3 10" xfId="17933"/>
    <cellStyle name="Normal 49 2 3 11" xfId="19685"/>
    <cellStyle name="Normal 49 2 3 12" xfId="21438"/>
    <cellStyle name="Normal 49 2 3 13" xfId="23190"/>
    <cellStyle name="Normal 49 2 3 14" xfId="24942"/>
    <cellStyle name="Normal 49 2 3 15" xfId="26694"/>
    <cellStyle name="Normal 49 2 3 16" xfId="28446"/>
    <cellStyle name="Normal 49 2 3 17" xfId="30199"/>
    <cellStyle name="Normal 49 2 3 18" xfId="31951"/>
    <cellStyle name="Normal 49 2 3 19" xfId="33704"/>
    <cellStyle name="Normal 49 2 3 2" xfId="3915"/>
    <cellStyle name="Normal 49 2 3 20" xfId="36340"/>
    <cellStyle name="Normal 49 2 3 21" xfId="38080"/>
    <cellStyle name="Normal 49 2 3 22" xfId="39833"/>
    <cellStyle name="Normal 49 2 3 23" xfId="41588"/>
    <cellStyle name="Normal 49 2 3 24" xfId="43340"/>
    <cellStyle name="Normal 49 2 3 25" xfId="45958"/>
    <cellStyle name="Normal 49 2 3 26" xfId="47710"/>
    <cellStyle name="Normal 49 2 3 27" xfId="49462"/>
    <cellStyle name="Normal 49 2 3 28" xfId="51214"/>
    <cellStyle name="Normal 49 2 3 29" xfId="52966"/>
    <cellStyle name="Normal 49 2 3 3" xfId="5667"/>
    <cellStyle name="Normal 49 2 3 30" xfId="54718"/>
    <cellStyle name="Normal 49 2 3 31" xfId="56470"/>
    <cellStyle name="Normal 49 2 3 32" xfId="58223"/>
    <cellStyle name="Normal 49 2 3 33" xfId="59975"/>
    <cellStyle name="Normal 49 2 3 34" xfId="61727"/>
    <cellStyle name="Normal 49 2 3 4" xfId="7419"/>
    <cellStyle name="Normal 49 2 3 5" xfId="9171"/>
    <cellStyle name="Normal 49 2 3 6" xfId="10924"/>
    <cellStyle name="Normal 49 2 3 7" xfId="12676"/>
    <cellStyle name="Normal 49 2 3 8" xfId="14428"/>
    <cellStyle name="Normal 49 2 3 9" xfId="16180"/>
    <cellStyle name="Normal 49 2 30" xfId="46834"/>
    <cellStyle name="Normal 49 2 31" xfId="48586"/>
    <cellStyle name="Normal 49 2 32" xfId="50338"/>
    <cellStyle name="Normal 49 2 33" xfId="52090"/>
    <cellStyle name="Normal 49 2 34" xfId="53842"/>
    <cellStyle name="Normal 49 2 35" xfId="55594"/>
    <cellStyle name="Normal 49 2 36" xfId="57347"/>
    <cellStyle name="Normal 49 2 37" xfId="59099"/>
    <cellStyle name="Normal 49 2 38" xfId="60851"/>
    <cellStyle name="Normal 49 2 39" xfId="62952"/>
    <cellStyle name="Normal 49 2 4" xfId="3039"/>
    <cellStyle name="Normal 49 2 40" xfId="63818"/>
    <cellStyle name="Normal 49 2 5" xfId="4791"/>
    <cellStyle name="Normal 49 2 6" xfId="6543"/>
    <cellStyle name="Normal 49 2 7" xfId="8295"/>
    <cellStyle name="Normal 49 2 8" xfId="10048"/>
    <cellStyle name="Normal 49 2 9" xfId="11800"/>
    <cellStyle name="Normal 49 20" xfId="29131"/>
    <cellStyle name="Normal 49 21" xfId="30883"/>
    <cellStyle name="Normal 49 22" xfId="32636"/>
    <cellStyle name="Normal 49 23" xfId="35272"/>
    <cellStyle name="Normal 49 24" xfId="38765"/>
    <cellStyle name="Normal 49 25" xfId="40520"/>
    <cellStyle name="Normal 49 26" xfId="42272"/>
    <cellStyle name="Normal 49 27" xfId="44890"/>
    <cellStyle name="Normal 49 28" xfId="46642"/>
    <cellStyle name="Normal 49 29" xfId="48394"/>
    <cellStyle name="Normal 49 3" xfId="2042"/>
    <cellStyle name="Normal 49 3 10" xfId="15548"/>
    <cellStyle name="Normal 49 3 11" xfId="17301"/>
    <cellStyle name="Normal 49 3 12" xfId="19053"/>
    <cellStyle name="Normal 49 3 13" xfId="20806"/>
    <cellStyle name="Normal 49 3 14" xfId="22558"/>
    <cellStyle name="Normal 49 3 15" xfId="24310"/>
    <cellStyle name="Normal 49 3 16" xfId="26062"/>
    <cellStyle name="Normal 49 3 17" xfId="27814"/>
    <cellStyle name="Normal 49 3 18" xfId="29567"/>
    <cellStyle name="Normal 49 3 19" xfId="31319"/>
    <cellStyle name="Normal 49 3 2" xfId="2043"/>
    <cellStyle name="Normal 49 3 2 10" xfId="18177"/>
    <cellStyle name="Normal 49 3 2 11" xfId="19929"/>
    <cellStyle name="Normal 49 3 2 12" xfId="21682"/>
    <cellStyle name="Normal 49 3 2 13" xfId="23434"/>
    <cellStyle name="Normal 49 3 2 14" xfId="25186"/>
    <cellStyle name="Normal 49 3 2 15" xfId="26938"/>
    <cellStyle name="Normal 49 3 2 16" xfId="28690"/>
    <cellStyle name="Normal 49 3 2 17" xfId="30443"/>
    <cellStyle name="Normal 49 3 2 18" xfId="32195"/>
    <cellStyle name="Normal 49 3 2 19" xfId="33948"/>
    <cellStyle name="Normal 49 3 2 2" xfId="4159"/>
    <cellStyle name="Normal 49 3 2 20" xfId="36584"/>
    <cellStyle name="Normal 49 3 2 21" xfId="38324"/>
    <cellStyle name="Normal 49 3 2 22" xfId="40077"/>
    <cellStyle name="Normal 49 3 2 23" xfId="41832"/>
    <cellStyle name="Normal 49 3 2 24" xfId="43584"/>
    <cellStyle name="Normal 49 3 2 25" xfId="46202"/>
    <cellStyle name="Normal 49 3 2 26" xfId="47954"/>
    <cellStyle name="Normal 49 3 2 27" xfId="49706"/>
    <cellStyle name="Normal 49 3 2 28" xfId="51458"/>
    <cellStyle name="Normal 49 3 2 29" xfId="53210"/>
    <cellStyle name="Normal 49 3 2 3" xfId="5911"/>
    <cellStyle name="Normal 49 3 2 30" xfId="54962"/>
    <cellStyle name="Normal 49 3 2 31" xfId="56714"/>
    <cellStyle name="Normal 49 3 2 32" xfId="58467"/>
    <cellStyle name="Normal 49 3 2 33" xfId="60219"/>
    <cellStyle name="Normal 49 3 2 34" xfId="61971"/>
    <cellStyle name="Normal 49 3 2 4" xfId="7663"/>
    <cellStyle name="Normal 49 3 2 5" xfId="9415"/>
    <cellStyle name="Normal 49 3 2 6" xfId="11168"/>
    <cellStyle name="Normal 49 3 2 7" xfId="12920"/>
    <cellStyle name="Normal 49 3 2 8" xfId="14672"/>
    <cellStyle name="Normal 49 3 2 9" xfId="16424"/>
    <cellStyle name="Normal 49 3 20" xfId="33072"/>
    <cellStyle name="Normal 49 3 21" xfId="34946"/>
    <cellStyle name="Normal 49 3 22" xfId="35708"/>
    <cellStyle name="Normal 49 3 23" xfId="37567"/>
    <cellStyle name="Normal 49 3 24" xfId="39201"/>
    <cellStyle name="Normal 49 3 25" xfId="40956"/>
    <cellStyle name="Normal 49 3 26" xfId="42708"/>
    <cellStyle name="Normal 49 3 27" xfId="44567"/>
    <cellStyle name="Normal 49 3 28" xfId="45326"/>
    <cellStyle name="Normal 49 3 29" xfId="47078"/>
    <cellStyle name="Normal 49 3 3" xfId="3283"/>
    <cellStyle name="Normal 49 3 30" xfId="48830"/>
    <cellStyle name="Normal 49 3 31" xfId="50582"/>
    <cellStyle name="Normal 49 3 32" xfId="52334"/>
    <cellStyle name="Normal 49 3 33" xfId="54086"/>
    <cellStyle name="Normal 49 3 34" xfId="55838"/>
    <cellStyle name="Normal 49 3 35" xfId="57591"/>
    <cellStyle name="Normal 49 3 36" xfId="59343"/>
    <cellStyle name="Normal 49 3 37" xfId="61095"/>
    <cellStyle name="Normal 49 3 38" xfId="62954"/>
    <cellStyle name="Normal 49 3 39" xfId="63820"/>
    <cellStyle name="Normal 49 3 4" xfId="5035"/>
    <cellStyle name="Normal 49 3 5" xfId="6787"/>
    <cellStyle name="Normal 49 3 6" xfId="8539"/>
    <cellStyle name="Normal 49 3 7" xfId="10292"/>
    <cellStyle name="Normal 49 3 8" xfId="12044"/>
    <cellStyle name="Normal 49 3 9" xfId="13796"/>
    <cellStyle name="Normal 49 30" xfId="50146"/>
    <cellStyle name="Normal 49 31" xfId="51898"/>
    <cellStyle name="Normal 49 32" xfId="53650"/>
    <cellStyle name="Normal 49 33" xfId="55402"/>
    <cellStyle name="Normal 49 34" xfId="57155"/>
    <cellStyle name="Normal 49 35" xfId="58907"/>
    <cellStyle name="Normal 49 36" xfId="60659"/>
    <cellStyle name="Normal 49 4" xfId="2044"/>
    <cellStyle name="Normal 49 4 10" xfId="15988"/>
    <cellStyle name="Normal 49 4 11" xfId="17741"/>
    <cellStyle name="Normal 49 4 12" xfId="19493"/>
    <cellStyle name="Normal 49 4 13" xfId="21246"/>
    <cellStyle name="Normal 49 4 14" xfId="22998"/>
    <cellStyle name="Normal 49 4 15" xfId="24750"/>
    <cellStyle name="Normal 49 4 16" xfId="26502"/>
    <cellStyle name="Normal 49 4 17" xfId="28254"/>
    <cellStyle name="Normal 49 4 18" xfId="30007"/>
    <cellStyle name="Normal 49 4 19" xfId="31759"/>
    <cellStyle name="Normal 49 4 2" xfId="2045"/>
    <cellStyle name="Normal 49 4 20" xfId="33512"/>
    <cellStyle name="Normal 49 4 21" xfId="36148"/>
    <cellStyle name="Normal 49 4 22" xfId="37888"/>
    <cellStyle name="Normal 49 4 23" xfId="39641"/>
    <cellStyle name="Normal 49 4 24" xfId="41396"/>
    <cellStyle name="Normal 49 4 25" xfId="43148"/>
    <cellStyle name="Normal 49 4 26" xfId="45766"/>
    <cellStyle name="Normal 49 4 27" xfId="47518"/>
    <cellStyle name="Normal 49 4 28" xfId="49270"/>
    <cellStyle name="Normal 49 4 29" xfId="51022"/>
    <cellStyle name="Normal 49 4 3" xfId="3723"/>
    <cellStyle name="Normal 49 4 30" xfId="52774"/>
    <cellStyle name="Normal 49 4 31" xfId="54526"/>
    <cellStyle name="Normal 49 4 32" xfId="56278"/>
    <cellStyle name="Normal 49 4 33" xfId="58031"/>
    <cellStyle name="Normal 49 4 34" xfId="59783"/>
    <cellStyle name="Normal 49 4 35" xfId="61535"/>
    <cellStyle name="Normal 49 4 4" xfId="5475"/>
    <cellStyle name="Normal 49 4 5" xfId="7227"/>
    <cellStyle name="Normal 49 4 6" xfId="8979"/>
    <cellStyle name="Normal 49 4 7" xfId="10732"/>
    <cellStyle name="Normal 49 4 8" xfId="12484"/>
    <cellStyle name="Normal 49 4 9" xfId="14236"/>
    <cellStyle name="Normal 49 5" xfId="2847"/>
    <cellStyle name="Normal 49 6" xfId="4599"/>
    <cellStyle name="Normal 49 7" xfId="6351"/>
    <cellStyle name="Normal 49 8" xfId="8103"/>
    <cellStyle name="Normal 49 9" xfId="9856"/>
    <cellStyle name="Normal 5" xfId="2046"/>
    <cellStyle name="Normal 5 10" xfId="6139"/>
    <cellStyle name="Normal 5 11" xfId="7891"/>
    <cellStyle name="Normal 5 12" xfId="9644"/>
    <cellStyle name="Normal 5 13" xfId="11396"/>
    <cellStyle name="Normal 5 14" xfId="13148"/>
    <cellStyle name="Normal 5 15" xfId="14900"/>
    <cellStyle name="Normal 5 16" xfId="16653"/>
    <cellStyle name="Normal 5 17" xfId="18405"/>
    <cellStyle name="Normal 5 18" xfId="20158"/>
    <cellStyle name="Normal 5 19" xfId="21910"/>
    <cellStyle name="Normal 5 2" xfId="2047"/>
    <cellStyle name="Normal 5 20" xfId="23662"/>
    <cellStyle name="Normal 5 21" xfId="25414"/>
    <cellStyle name="Normal 5 22" xfId="27166"/>
    <cellStyle name="Normal 5 23" xfId="28919"/>
    <cellStyle name="Normal 5 24" xfId="30671"/>
    <cellStyle name="Normal 5 25" xfId="32424"/>
    <cellStyle name="Normal 5 26" xfId="35060"/>
    <cellStyle name="Normal 5 27" xfId="38552"/>
    <cellStyle name="Normal 5 28" xfId="40308"/>
    <cellStyle name="Normal 5 29" xfId="42060"/>
    <cellStyle name="Normal 5 3" xfId="2048"/>
    <cellStyle name="Normal 5 3 10" xfId="9699"/>
    <cellStyle name="Normal 5 3 11" xfId="11451"/>
    <cellStyle name="Normal 5 3 12" xfId="13203"/>
    <cellStyle name="Normal 5 3 13" xfId="14955"/>
    <cellStyle name="Normal 5 3 14" xfId="16708"/>
    <cellStyle name="Normal 5 3 15" xfId="18460"/>
    <cellStyle name="Normal 5 3 16" xfId="20213"/>
    <cellStyle name="Normal 5 3 17" xfId="21965"/>
    <cellStyle name="Normal 5 3 18" xfId="23717"/>
    <cellStyle name="Normal 5 3 19" xfId="25469"/>
    <cellStyle name="Normal 5 3 2" xfId="2049"/>
    <cellStyle name="Normal 5 3 2 10" xfId="11559"/>
    <cellStyle name="Normal 5 3 2 11" xfId="13311"/>
    <cellStyle name="Normal 5 3 2 12" xfId="15063"/>
    <cellStyle name="Normal 5 3 2 13" xfId="16816"/>
    <cellStyle name="Normal 5 3 2 14" xfId="18568"/>
    <cellStyle name="Normal 5 3 2 15" xfId="20321"/>
    <cellStyle name="Normal 5 3 2 16" xfId="22073"/>
    <cellStyle name="Normal 5 3 2 17" xfId="23825"/>
    <cellStyle name="Normal 5 3 2 18" xfId="25577"/>
    <cellStyle name="Normal 5 3 2 19" xfId="27329"/>
    <cellStyle name="Normal 5 3 2 2" xfId="2050"/>
    <cellStyle name="Normal 5 3 2 2 10" xfId="13553"/>
    <cellStyle name="Normal 5 3 2 2 11" xfId="15305"/>
    <cellStyle name="Normal 5 3 2 2 12" xfId="17058"/>
    <cellStyle name="Normal 5 3 2 2 13" xfId="18810"/>
    <cellStyle name="Normal 5 3 2 2 14" xfId="20563"/>
    <cellStyle name="Normal 5 3 2 2 15" xfId="22315"/>
    <cellStyle name="Normal 5 3 2 2 16" xfId="24067"/>
    <cellStyle name="Normal 5 3 2 2 17" xfId="25819"/>
    <cellStyle name="Normal 5 3 2 2 18" xfId="27571"/>
    <cellStyle name="Normal 5 3 2 2 19" xfId="29324"/>
    <cellStyle name="Normal 5 3 2 2 2" xfId="2051"/>
    <cellStyle name="Normal 5 3 2 2 2 10" xfId="15741"/>
    <cellStyle name="Normal 5 3 2 2 2 11" xfId="17494"/>
    <cellStyle name="Normal 5 3 2 2 2 12" xfId="19246"/>
    <cellStyle name="Normal 5 3 2 2 2 13" xfId="20999"/>
    <cellStyle name="Normal 5 3 2 2 2 14" xfId="22751"/>
    <cellStyle name="Normal 5 3 2 2 2 15" xfId="24503"/>
    <cellStyle name="Normal 5 3 2 2 2 16" xfId="26255"/>
    <cellStyle name="Normal 5 3 2 2 2 17" xfId="28007"/>
    <cellStyle name="Normal 5 3 2 2 2 18" xfId="29760"/>
    <cellStyle name="Normal 5 3 2 2 2 19" xfId="31512"/>
    <cellStyle name="Normal 5 3 2 2 2 2" xfId="2052"/>
    <cellStyle name="Normal 5 3 2 2 2 2 10" xfId="18370"/>
    <cellStyle name="Normal 5 3 2 2 2 2 11" xfId="20122"/>
    <cellStyle name="Normal 5 3 2 2 2 2 12" xfId="21875"/>
    <cellStyle name="Normal 5 3 2 2 2 2 13" xfId="23627"/>
    <cellStyle name="Normal 5 3 2 2 2 2 14" xfId="25379"/>
    <cellStyle name="Normal 5 3 2 2 2 2 15" xfId="27131"/>
    <cellStyle name="Normal 5 3 2 2 2 2 16" xfId="28883"/>
    <cellStyle name="Normal 5 3 2 2 2 2 17" xfId="30636"/>
    <cellStyle name="Normal 5 3 2 2 2 2 18" xfId="32388"/>
    <cellStyle name="Normal 5 3 2 2 2 2 19" xfId="34141"/>
    <cellStyle name="Normal 5 3 2 2 2 2 2" xfId="4352"/>
    <cellStyle name="Normal 5 3 2 2 2 2 20" xfId="36777"/>
    <cellStyle name="Normal 5 3 2 2 2 2 21" xfId="38517"/>
    <cellStyle name="Normal 5 3 2 2 2 2 22" xfId="40270"/>
    <cellStyle name="Normal 5 3 2 2 2 2 23" xfId="42025"/>
    <cellStyle name="Normal 5 3 2 2 2 2 24" xfId="43777"/>
    <cellStyle name="Normal 5 3 2 2 2 2 25" xfId="46395"/>
    <cellStyle name="Normal 5 3 2 2 2 2 26" xfId="48147"/>
    <cellStyle name="Normal 5 3 2 2 2 2 27" xfId="49899"/>
    <cellStyle name="Normal 5 3 2 2 2 2 28" xfId="51651"/>
    <cellStyle name="Normal 5 3 2 2 2 2 29" xfId="53403"/>
    <cellStyle name="Normal 5 3 2 2 2 2 3" xfId="6104"/>
    <cellStyle name="Normal 5 3 2 2 2 2 30" xfId="55155"/>
    <cellStyle name="Normal 5 3 2 2 2 2 31" xfId="56907"/>
    <cellStyle name="Normal 5 3 2 2 2 2 32" xfId="58660"/>
    <cellStyle name="Normal 5 3 2 2 2 2 33" xfId="60412"/>
    <cellStyle name="Normal 5 3 2 2 2 2 34" xfId="62164"/>
    <cellStyle name="Normal 5 3 2 2 2 2 4" xfId="7856"/>
    <cellStyle name="Normal 5 3 2 2 2 2 5" xfId="9608"/>
    <cellStyle name="Normal 5 3 2 2 2 2 6" xfId="11361"/>
    <cellStyle name="Normal 5 3 2 2 2 2 7" xfId="13113"/>
    <cellStyle name="Normal 5 3 2 2 2 2 8" xfId="14865"/>
    <cellStyle name="Normal 5 3 2 2 2 2 9" xfId="16617"/>
    <cellStyle name="Normal 5 3 2 2 2 20" xfId="33265"/>
    <cellStyle name="Normal 5 3 2 2 2 21" xfId="34951"/>
    <cellStyle name="Normal 5 3 2 2 2 22" xfId="35901"/>
    <cellStyle name="Normal 5 3 2 2 2 23" xfId="37572"/>
    <cellStyle name="Normal 5 3 2 2 2 24" xfId="39394"/>
    <cellStyle name="Normal 5 3 2 2 2 25" xfId="41149"/>
    <cellStyle name="Normal 5 3 2 2 2 26" xfId="42901"/>
    <cellStyle name="Normal 5 3 2 2 2 27" xfId="44572"/>
    <cellStyle name="Normal 5 3 2 2 2 28" xfId="45519"/>
    <cellStyle name="Normal 5 3 2 2 2 29" xfId="47271"/>
    <cellStyle name="Normal 5 3 2 2 2 3" xfId="3476"/>
    <cellStyle name="Normal 5 3 2 2 2 30" xfId="49023"/>
    <cellStyle name="Normal 5 3 2 2 2 31" xfId="50775"/>
    <cellStyle name="Normal 5 3 2 2 2 32" xfId="52527"/>
    <cellStyle name="Normal 5 3 2 2 2 33" xfId="54279"/>
    <cellStyle name="Normal 5 3 2 2 2 34" xfId="56031"/>
    <cellStyle name="Normal 5 3 2 2 2 35" xfId="57784"/>
    <cellStyle name="Normal 5 3 2 2 2 36" xfId="59536"/>
    <cellStyle name="Normal 5 3 2 2 2 37" xfId="61288"/>
    <cellStyle name="Normal 5 3 2 2 2 38" xfId="62959"/>
    <cellStyle name="Normal 5 3 2 2 2 39" xfId="63825"/>
    <cellStyle name="Normal 5 3 2 2 2 4" xfId="5228"/>
    <cellStyle name="Normal 5 3 2 2 2 5" xfId="6980"/>
    <cellStyle name="Normal 5 3 2 2 2 6" xfId="8732"/>
    <cellStyle name="Normal 5 3 2 2 2 7" xfId="10485"/>
    <cellStyle name="Normal 5 3 2 2 2 8" xfId="12237"/>
    <cellStyle name="Normal 5 3 2 2 2 9" xfId="13989"/>
    <cellStyle name="Normal 5 3 2 2 20" xfId="31076"/>
    <cellStyle name="Normal 5 3 2 2 21" xfId="32829"/>
    <cellStyle name="Normal 5 3 2 2 22" xfId="34950"/>
    <cellStyle name="Normal 5 3 2 2 23" xfId="35465"/>
    <cellStyle name="Normal 5 3 2 2 24" xfId="37571"/>
    <cellStyle name="Normal 5 3 2 2 25" xfId="38958"/>
    <cellStyle name="Normal 5 3 2 2 26" xfId="40713"/>
    <cellStyle name="Normal 5 3 2 2 27" xfId="42465"/>
    <cellStyle name="Normal 5 3 2 2 28" xfId="44571"/>
    <cellStyle name="Normal 5 3 2 2 29" xfId="45083"/>
    <cellStyle name="Normal 5 3 2 2 3" xfId="2053"/>
    <cellStyle name="Normal 5 3 2 2 3 10" xfId="17934"/>
    <cellStyle name="Normal 5 3 2 2 3 11" xfId="19686"/>
    <cellStyle name="Normal 5 3 2 2 3 12" xfId="21439"/>
    <cellStyle name="Normal 5 3 2 2 3 13" xfId="23191"/>
    <cellStyle name="Normal 5 3 2 2 3 14" xfId="24943"/>
    <cellStyle name="Normal 5 3 2 2 3 15" xfId="26695"/>
    <cellStyle name="Normal 5 3 2 2 3 16" xfId="28447"/>
    <cellStyle name="Normal 5 3 2 2 3 17" xfId="30200"/>
    <cellStyle name="Normal 5 3 2 2 3 18" xfId="31952"/>
    <cellStyle name="Normal 5 3 2 2 3 19" xfId="33705"/>
    <cellStyle name="Normal 5 3 2 2 3 2" xfId="3916"/>
    <cellStyle name="Normal 5 3 2 2 3 20" xfId="36341"/>
    <cellStyle name="Normal 5 3 2 2 3 21" xfId="38081"/>
    <cellStyle name="Normal 5 3 2 2 3 22" xfId="39834"/>
    <cellStyle name="Normal 5 3 2 2 3 23" xfId="41589"/>
    <cellStyle name="Normal 5 3 2 2 3 24" xfId="43341"/>
    <cellStyle name="Normal 5 3 2 2 3 25" xfId="45959"/>
    <cellStyle name="Normal 5 3 2 2 3 26" xfId="47711"/>
    <cellStyle name="Normal 5 3 2 2 3 27" xfId="49463"/>
    <cellStyle name="Normal 5 3 2 2 3 28" xfId="51215"/>
    <cellStyle name="Normal 5 3 2 2 3 29" xfId="52967"/>
    <cellStyle name="Normal 5 3 2 2 3 3" xfId="5668"/>
    <cellStyle name="Normal 5 3 2 2 3 30" xfId="54719"/>
    <cellStyle name="Normal 5 3 2 2 3 31" xfId="56471"/>
    <cellStyle name="Normal 5 3 2 2 3 32" xfId="58224"/>
    <cellStyle name="Normal 5 3 2 2 3 33" xfId="59976"/>
    <cellStyle name="Normal 5 3 2 2 3 34" xfId="61728"/>
    <cellStyle name="Normal 5 3 2 2 3 4" xfId="7420"/>
    <cellStyle name="Normal 5 3 2 2 3 5" xfId="9172"/>
    <cellStyle name="Normal 5 3 2 2 3 6" xfId="10925"/>
    <cellStyle name="Normal 5 3 2 2 3 7" xfId="12677"/>
    <cellStyle name="Normal 5 3 2 2 3 8" xfId="14429"/>
    <cellStyle name="Normal 5 3 2 2 3 9" xfId="16181"/>
    <cellStyle name="Normal 5 3 2 2 30" xfId="46835"/>
    <cellStyle name="Normal 5 3 2 2 31" xfId="48587"/>
    <cellStyle name="Normal 5 3 2 2 32" xfId="50339"/>
    <cellStyle name="Normal 5 3 2 2 33" xfId="52091"/>
    <cellStyle name="Normal 5 3 2 2 34" xfId="53843"/>
    <cellStyle name="Normal 5 3 2 2 35" xfId="55595"/>
    <cellStyle name="Normal 5 3 2 2 36" xfId="57348"/>
    <cellStyle name="Normal 5 3 2 2 37" xfId="59100"/>
    <cellStyle name="Normal 5 3 2 2 38" xfId="60852"/>
    <cellStyle name="Normal 5 3 2 2 39" xfId="62958"/>
    <cellStyle name="Normal 5 3 2 2 4" xfId="3040"/>
    <cellStyle name="Normal 5 3 2 2 40" xfId="63824"/>
    <cellStyle name="Normal 5 3 2 2 5" xfId="4792"/>
    <cellStyle name="Normal 5 3 2 2 6" xfId="6544"/>
    <cellStyle name="Normal 5 3 2 2 7" xfId="8296"/>
    <cellStyle name="Normal 5 3 2 2 8" xfId="10049"/>
    <cellStyle name="Normal 5 3 2 2 9" xfId="11801"/>
    <cellStyle name="Normal 5 3 2 20" xfId="29082"/>
    <cellStyle name="Normal 5 3 2 21" xfId="30834"/>
    <cellStyle name="Normal 5 3 2 22" xfId="32587"/>
    <cellStyle name="Normal 5 3 2 23" xfId="34949"/>
    <cellStyle name="Normal 5 3 2 24" xfId="35223"/>
    <cellStyle name="Normal 5 3 2 25" xfId="37570"/>
    <cellStyle name="Normal 5 3 2 26" xfId="38716"/>
    <cellStyle name="Normal 5 3 2 27" xfId="40471"/>
    <cellStyle name="Normal 5 3 2 28" xfId="42223"/>
    <cellStyle name="Normal 5 3 2 29" xfId="44570"/>
    <cellStyle name="Normal 5 3 2 3" xfId="2054"/>
    <cellStyle name="Normal 5 3 2 3 10" xfId="15499"/>
    <cellStyle name="Normal 5 3 2 3 11" xfId="17252"/>
    <cellStyle name="Normal 5 3 2 3 12" xfId="19004"/>
    <cellStyle name="Normal 5 3 2 3 13" xfId="20757"/>
    <cellStyle name="Normal 5 3 2 3 14" xfId="22509"/>
    <cellStyle name="Normal 5 3 2 3 15" xfId="24261"/>
    <cellStyle name="Normal 5 3 2 3 16" xfId="26013"/>
    <cellStyle name="Normal 5 3 2 3 17" xfId="27765"/>
    <cellStyle name="Normal 5 3 2 3 18" xfId="29518"/>
    <cellStyle name="Normal 5 3 2 3 19" xfId="31270"/>
    <cellStyle name="Normal 5 3 2 3 2" xfId="2055"/>
    <cellStyle name="Normal 5 3 2 3 2 10" xfId="18128"/>
    <cellStyle name="Normal 5 3 2 3 2 11" xfId="19880"/>
    <cellStyle name="Normal 5 3 2 3 2 12" xfId="21633"/>
    <cellStyle name="Normal 5 3 2 3 2 13" xfId="23385"/>
    <cellStyle name="Normal 5 3 2 3 2 14" xfId="25137"/>
    <cellStyle name="Normal 5 3 2 3 2 15" xfId="26889"/>
    <cellStyle name="Normal 5 3 2 3 2 16" xfId="28641"/>
    <cellStyle name="Normal 5 3 2 3 2 17" xfId="30394"/>
    <cellStyle name="Normal 5 3 2 3 2 18" xfId="32146"/>
    <cellStyle name="Normal 5 3 2 3 2 19" xfId="33899"/>
    <cellStyle name="Normal 5 3 2 3 2 2" xfId="4110"/>
    <cellStyle name="Normal 5 3 2 3 2 20" xfId="36535"/>
    <cellStyle name="Normal 5 3 2 3 2 21" xfId="38275"/>
    <cellStyle name="Normal 5 3 2 3 2 22" xfId="40028"/>
    <cellStyle name="Normal 5 3 2 3 2 23" xfId="41783"/>
    <cellStyle name="Normal 5 3 2 3 2 24" xfId="43535"/>
    <cellStyle name="Normal 5 3 2 3 2 25" xfId="46153"/>
    <cellStyle name="Normal 5 3 2 3 2 26" xfId="47905"/>
    <cellStyle name="Normal 5 3 2 3 2 27" xfId="49657"/>
    <cellStyle name="Normal 5 3 2 3 2 28" xfId="51409"/>
    <cellStyle name="Normal 5 3 2 3 2 29" xfId="53161"/>
    <cellStyle name="Normal 5 3 2 3 2 3" xfId="5862"/>
    <cellStyle name="Normal 5 3 2 3 2 30" xfId="54913"/>
    <cellStyle name="Normal 5 3 2 3 2 31" xfId="56665"/>
    <cellStyle name="Normal 5 3 2 3 2 32" xfId="58418"/>
    <cellStyle name="Normal 5 3 2 3 2 33" xfId="60170"/>
    <cellStyle name="Normal 5 3 2 3 2 34" xfId="61922"/>
    <cellStyle name="Normal 5 3 2 3 2 4" xfId="7614"/>
    <cellStyle name="Normal 5 3 2 3 2 5" xfId="9366"/>
    <cellStyle name="Normal 5 3 2 3 2 6" xfId="11119"/>
    <cellStyle name="Normal 5 3 2 3 2 7" xfId="12871"/>
    <cellStyle name="Normal 5 3 2 3 2 8" xfId="14623"/>
    <cellStyle name="Normal 5 3 2 3 2 9" xfId="16375"/>
    <cellStyle name="Normal 5 3 2 3 20" xfId="33023"/>
    <cellStyle name="Normal 5 3 2 3 21" xfId="34952"/>
    <cellStyle name="Normal 5 3 2 3 22" xfId="35659"/>
    <cellStyle name="Normal 5 3 2 3 23" xfId="37573"/>
    <cellStyle name="Normal 5 3 2 3 24" xfId="39152"/>
    <cellStyle name="Normal 5 3 2 3 25" xfId="40907"/>
    <cellStyle name="Normal 5 3 2 3 26" xfId="42659"/>
    <cellStyle name="Normal 5 3 2 3 27" xfId="44573"/>
    <cellStyle name="Normal 5 3 2 3 28" xfId="45277"/>
    <cellStyle name="Normal 5 3 2 3 29" xfId="47029"/>
    <cellStyle name="Normal 5 3 2 3 3" xfId="3234"/>
    <cellStyle name="Normal 5 3 2 3 30" xfId="48781"/>
    <cellStyle name="Normal 5 3 2 3 31" xfId="50533"/>
    <cellStyle name="Normal 5 3 2 3 32" xfId="52285"/>
    <cellStyle name="Normal 5 3 2 3 33" xfId="54037"/>
    <cellStyle name="Normal 5 3 2 3 34" xfId="55789"/>
    <cellStyle name="Normal 5 3 2 3 35" xfId="57542"/>
    <cellStyle name="Normal 5 3 2 3 36" xfId="59294"/>
    <cellStyle name="Normal 5 3 2 3 37" xfId="61046"/>
    <cellStyle name="Normal 5 3 2 3 38" xfId="62960"/>
    <cellStyle name="Normal 5 3 2 3 39" xfId="63826"/>
    <cellStyle name="Normal 5 3 2 3 4" xfId="4986"/>
    <cellStyle name="Normal 5 3 2 3 5" xfId="6738"/>
    <cellStyle name="Normal 5 3 2 3 6" xfId="8490"/>
    <cellStyle name="Normal 5 3 2 3 7" xfId="10243"/>
    <cellStyle name="Normal 5 3 2 3 8" xfId="11995"/>
    <cellStyle name="Normal 5 3 2 3 9" xfId="13747"/>
    <cellStyle name="Normal 5 3 2 30" xfId="44841"/>
    <cellStyle name="Normal 5 3 2 31" xfId="46593"/>
    <cellStyle name="Normal 5 3 2 32" xfId="48345"/>
    <cellStyle name="Normal 5 3 2 33" xfId="50097"/>
    <cellStyle name="Normal 5 3 2 34" xfId="51849"/>
    <cellStyle name="Normal 5 3 2 35" xfId="53601"/>
    <cellStyle name="Normal 5 3 2 36" xfId="55353"/>
    <cellStyle name="Normal 5 3 2 37" xfId="57106"/>
    <cellStyle name="Normal 5 3 2 38" xfId="58858"/>
    <cellStyle name="Normal 5 3 2 39" xfId="60610"/>
    <cellStyle name="Normal 5 3 2 4" xfId="2056"/>
    <cellStyle name="Normal 5 3 2 4 10" xfId="17692"/>
    <cellStyle name="Normal 5 3 2 4 11" xfId="19444"/>
    <cellStyle name="Normal 5 3 2 4 12" xfId="21197"/>
    <cellStyle name="Normal 5 3 2 4 13" xfId="22949"/>
    <cellStyle name="Normal 5 3 2 4 14" xfId="24701"/>
    <cellStyle name="Normal 5 3 2 4 15" xfId="26453"/>
    <cellStyle name="Normal 5 3 2 4 16" xfId="28205"/>
    <cellStyle name="Normal 5 3 2 4 17" xfId="29958"/>
    <cellStyle name="Normal 5 3 2 4 18" xfId="31710"/>
    <cellStyle name="Normal 5 3 2 4 19" xfId="33463"/>
    <cellStyle name="Normal 5 3 2 4 2" xfId="3674"/>
    <cellStyle name="Normal 5 3 2 4 20" xfId="36099"/>
    <cellStyle name="Normal 5 3 2 4 21" xfId="37839"/>
    <cellStyle name="Normal 5 3 2 4 22" xfId="39592"/>
    <cellStyle name="Normal 5 3 2 4 23" xfId="41347"/>
    <cellStyle name="Normal 5 3 2 4 24" xfId="43099"/>
    <cellStyle name="Normal 5 3 2 4 25" xfId="45717"/>
    <cellStyle name="Normal 5 3 2 4 26" xfId="47469"/>
    <cellStyle name="Normal 5 3 2 4 27" xfId="49221"/>
    <cellStyle name="Normal 5 3 2 4 28" xfId="50973"/>
    <cellStyle name="Normal 5 3 2 4 29" xfId="52725"/>
    <cellStyle name="Normal 5 3 2 4 3" xfId="5426"/>
    <cellStyle name="Normal 5 3 2 4 30" xfId="54477"/>
    <cellStyle name="Normal 5 3 2 4 31" xfId="56229"/>
    <cellStyle name="Normal 5 3 2 4 32" xfId="57982"/>
    <cellStyle name="Normal 5 3 2 4 33" xfId="59734"/>
    <cellStyle name="Normal 5 3 2 4 34" xfId="61486"/>
    <cellStyle name="Normal 5 3 2 4 4" xfId="7178"/>
    <cellStyle name="Normal 5 3 2 4 5" xfId="8930"/>
    <cellStyle name="Normal 5 3 2 4 6" xfId="10683"/>
    <cellStyle name="Normal 5 3 2 4 7" xfId="12435"/>
    <cellStyle name="Normal 5 3 2 4 8" xfId="14187"/>
    <cellStyle name="Normal 5 3 2 4 9" xfId="15939"/>
    <cellStyle name="Normal 5 3 2 40" xfId="62957"/>
    <cellStyle name="Normal 5 3 2 41" xfId="63823"/>
    <cellStyle name="Normal 5 3 2 5" xfId="2798"/>
    <cellStyle name="Normal 5 3 2 6" xfId="4550"/>
    <cellStyle name="Normal 5 3 2 7" xfId="6302"/>
    <cellStyle name="Normal 5 3 2 8" xfId="8054"/>
    <cellStyle name="Normal 5 3 2 9" xfId="9807"/>
    <cellStyle name="Normal 5 3 20" xfId="27221"/>
    <cellStyle name="Normal 5 3 21" xfId="28974"/>
    <cellStyle name="Normal 5 3 22" xfId="30726"/>
    <cellStyle name="Normal 5 3 23" xfId="32479"/>
    <cellStyle name="Normal 5 3 24" xfId="34948"/>
    <cellStyle name="Normal 5 3 25" xfId="35115"/>
    <cellStyle name="Normal 5 3 26" xfId="37569"/>
    <cellStyle name="Normal 5 3 27" xfId="38608"/>
    <cellStyle name="Normal 5 3 28" xfId="40363"/>
    <cellStyle name="Normal 5 3 29" xfId="42115"/>
    <cellStyle name="Normal 5 3 3" xfId="2057"/>
    <cellStyle name="Normal 5 3 3 10" xfId="13554"/>
    <cellStyle name="Normal 5 3 3 11" xfId="15306"/>
    <cellStyle name="Normal 5 3 3 12" xfId="17059"/>
    <cellStyle name="Normal 5 3 3 13" xfId="18811"/>
    <cellStyle name="Normal 5 3 3 14" xfId="20564"/>
    <cellStyle name="Normal 5 3 3 15" xfId="22316"/>
    <cellStyle name="Normal 5 3 3 16" xfId="24068"/>
    <cellStyle name="Normal 5 3 3 17" xfId="25820"/>
    <cellStyle name="Normal 5 3 3 18" xfId="27572"/>
    <cellStyle name="Normal 5 3 3 19" xfId="29325"/>
    <cellStyle name="Normal 5 3 3 2" xfId="2058"/>
    <cellStyle name="Normal 5 3 3 2 10" xfId="15742"/>
    <cellStyle name="Normal 5 3 3 2 11" xfId="17495"/>
    <cellStyle name="Normal 5 3 3 2 12" xfId="19247"/>
    <cellStyle name="Normal 5 3 3 2 13" xfId="21000"/>
    <cellStyle name="Normal 5 3 3 2 14" xfId="22752"/>
    <cellStyle name="Normal 5 3 3 2 15" xfId="24504"/>
    <cellStyle name="Normal 5 3 3 2 16" xfId="26256"/>
    <cellStyle name="Normal 5 3 3 2 17" xfId="28008"/>
    <cellStyle name="Normal 5 3 3 2 18" xfId="29761"/>
    <cellStyle name="Normal 5 3 3 2 19" xfId="31513"/>
    <cellStyle name="Normal 5 3 3 2 2" xfId="2059"/>
    <cellStyle name="Normal 5 3 3 2 2 10" xfId="18371"/>
    <cellStyle name="Normal 5 3 3 2 2 11" xfId="20123"/>
    <cellStyle name="Normal 5 3 3 2 2 12" xfId="21876"/>
    <cellStyle name="Normal 5 3 3 2 2 13" xfId="23628"/>
    <cellStyle name="Normal 5 3 3 2 2 14" xfId="25380"/>
    <cellStyle name="Normal 5 3 3 2 2 15" xfId="27132"/>
    <cellStyle name="Normal 5 3 3 2 2 16" xfId="28884"/>
    <cellStyle name="Normal 5 3 3 2 2 17" xfId="30637"/>
    <cellStyle name="Normal 5 3 3 2 2 18" xfId="32389"/>
    <cellStyle name="Normal 5 3 3 2 2 19" xfId="34142"/>
    <cellStyle name="Normal 5 3 3 2 2 2" xfId="4353"/>
    <cellStyle name="Normal 5 3 3 2 2 20" xfId="36778"/>
    <cellStyle name="Normal 5 3 3 2 2 21" xfId="38518"/>
    <cellStyle name="Normal 5 3 3 2 2 22" xfId="40271"/>
    <cellStyle name="Normal 5 3 3 2 2 23" xfId="42026"/>
    <cellStyle name="Normal 5 3 3 2 2 24" xfId="43778"/>
    <cellStyle name="Normal 5 3 3 2 2 25" xfId="46396"/>
    <cellStyle name="Normal 5 3 3 2 2 26" xfId="48148"/>
    <cellStyle name="Normal 5 3 3 2 2 27" xfId="49900"/>
    <cellStyle name="Normal 5 3 3 2 2 28" xfId="51652"/>
    <cellStyle name="Normal 5 3 3 2 2 29" xfId="53404"/>
    <cellStyle name="Normal 5 3 3 2 2 3" xfId="6105"/>
    <cellStyle name="Normal 5 3 3 2 2 30" xfId="55156"/>
    <cellStyle name="Normal 5 3 3 2 2 31" xfId="56908"/>
    <cellStyle name="Normal 5 3 3 2 2 32" xfId="58661"/>
    <cellStyle name="Normal 5 3 3 2 2 33" xfId="60413"/>
    <cellStyle name="Normal 5 3 3 2 2 34" xfId="62165"/>
    <cellStyle name="Normal 5 3 3 2 2 4" xfId="7857"/>
    <cellStyle name="Normal 5 3 3 2 2 5" xfId="9609"/>
    <cellStyle name="Normal 5 3 3 2 2 6" xfId="11362"/>
    <cellStyle name="Normal 5 3 3 2 2 7" xfId="13114"/>
    <cellStyle name="Normal 5 3 3 2 2 8" xfId="14866"/>
    <cellStyle name="Normal 5 3 3 2 2 9" xfId="16618"/>
    <cellStyle name="Normal 5 3 3 2 20" xfId="33266"/>
    <cellStyle name="Normal 5 3 3 2 21" xfId="34954"/>
    <cellStyle name="Normal 5 3 3 2 22" xfId="35902"/>
    <cellStyle name="Normal 5 3 3 2 23" xfId="37575"/>
    <cellStyle name="Normal 5 3 3 2 24" xfId="39395"/>
    <cellStyle name="Normal 5 3 3 2 25" xfId="41150"/>
    <cellStyle name="Normal 5 3 3 2 26" xfId="42902"/>
    <cellStyle name="Normal 5 3 3 2 27" xfId="44575"/>
    <cellStyle name="Normal 5 3 3 2 28" xfId="45520"/>
    <cellStyle name="Normal 5 3 3 2 29" xfId="47272"/>
    <cellStyle name="Normal 5 3 3 2 3" xfId="3477"/>
    <cellStyle name="Normal 5 3 3 2 30" xfId="49024"/>
    <cellStyle name="Normal 5 3 3 2 31" xfId="50776"/>
    <cellStyle name="Normal 5 3 3 2 32" xfId="52528"/>
    <cellStyle name="Normal 5 3 3 2 33" xfId="54280"/>
    <cellStyle name="Normal 5 3 3 2 34" xfId="56032"/>
    <cellStyle name="Normal 5 3 3 2 35" xfId="57785"/>
    <cellStyle name="Normal 5 3 3 2 36" xfId="59537"/>
    <cellStyle name="Normal 5 3 3 2 37" xfId="61289"/>
    <cellStyle name="Normal 5 3 3 2 38" xfId="62962"/>
    <cellStyle name="Normal 5 3 3 2 39" xfId="63828"/>
    <cellStyle name="Normal 5 3 3 2 4" xfId="5229"/>
    <cellStyle name="Normal 5 3 3 2 5" xfId="6981"/>
    <cellStyle name="Normal 5 3 3 2 6" xfId="8733"/>
    <cellStyle name="Normal 5 3 3 2 7" xfId="10486"/>
    <cellStyle name="Normal 5 3 3 2 8" xfId="12238"/>
    <cellStyle name="Normal 5 3 3 2 9" xfId="13990"/>
    <cellStyle name="Normal 5 3 3 20" xfId="31077"/>
    <cellStyle name="Normal 5 3 3 21" xfId="32830"/>
    <cellStyle name="Normal 5 3 3 22" xfId="34953"/>
    <cellStyle name="Normal 5 3 3 23" xfId="35466"/>
    <cellStyle name="Normal 5 3 3 24" xfId="37574"/>
    <cellStyle name="Normal 5 3 3 25" xfId="38959"/>
    <cellStyle name="Normal 5 3 3 26" xfId="40714"/>
    <cellStyle name="Normal 5 3 3 27" xfId="42466"/>
    <cellStyle name="Normal 5 3 3 28" xfId="44574"/>
    <cellStyle name="Normal 5 3 3 29" xfId="45084"/>
    <cellStyle name="Normal 5 3 3 3" xfId="2060"/>
    <cellStyle name="Normal 5 3 3 3 10" xfId="17935"/>
    <cellStyle name="Normal 5 3 3 3 11" xfId="19687"/>
    <cellStyle name="Normal 5 3 3 3 12" xfId="21440"/>
    <cellStyle name="Normal 5 3 3 3 13" xfId="23192"/>
    <cellStyle name="Normal 5 3 3 3 14" xfId="24944"/>
    <cellStyle name="Normal 5 3 3 3 15" xfId="26696"/>
    <cellStyle name="Normal 5 3 3 3 16" xfId="28448"/>
    <cellStyle name="Normal 5 3 3 3 17" xfId="30201"/>
    <cellStyle name="Normal 5 3 3 3 18" xfId="31953"/>
    <cellStyle name="Normal 5 3 3 3 19" xfId="33706"/>
    <cellStyle name="Normal 5 3 3 3 2" xfId="3917"/>
    <cellStyle name="Normal 5 3 3 3 20" xfId="36342"/>
    <cellStyle name="Normal 5 3 3 3 21" xfId="38082"/>
    <cellStyle name="Normal 5 3 3 3 22" xfId="39835"/>
    <cellStyle name="Normal 5 3 3 3 23" xfId="41590"/>
    <cellStyle name="Normal 5 3 3 3 24" xfId="43342"/>
    <cellStyle name="Normal 5 3 3 3 25" xfId="45960"/>
    <cellStyle name="Normal 5 3 3 3 26" xfId="47712"/>
    <cellStyle name="Normal 5 3 3 3 27" xfId="49464"/>
    <cellStyle name="Normal 5 3 3 3 28" xfId="51216"/>
    <cellStyle name="Normal 5 3 3 3 29" xfId="52968"/>
    <cellStyle name="Normal 5 3 3 3 3" xfId="5669"/>
    <cellStyle name="Normal 5 3 3 3 30" xfId="54720"/>
    <cellStyle name="Normal 5 3 3 3 31" xfId="56472"/>
    <cellStyle name="Normal 5 3 3 3 32" xfId="58225"/>
    <cellStyle name="Normal 5 3 3 3 33" xfId="59977"/>
    <cellStyle name="Normal 5 3 3 3 34" xfId="61729"/>
    <cellStyle name="Normal 5 3 3 3 4" xfId="7421"/>
    <cellStyle name="Normal 5 3 3 3 5" xfId="9173"/>
    <cellStyle name="Normal 5 3 3 3 6" xfId="10926"/>
    <cellStyle name="Normal 5 3 3 3 7" xfId="12678"/>
    <cellStyle name="Normal 5 3 3 3 8" xfId="14430"/>
    <cellStyle name="Normal 5 3 3 3 9" xfId="16182"/>
    <cellStyle name="Normal 5 3 3 30" xfId="46836"/>
    <cellStyle name="Normal 5 3 3 31" xfId="48588"/>
    <cellStyle name="Normal 5 3 3 32" xfId="50340"/>
    <cellStyle name="Normal 5 3 3 33" xfId="52092"/>
    <cellStyle name="Normal 5 3 3 34" xfId="53844"/>
    <cellStyle name="Normal 5 3 3 35" xfId="55596"/>
    <cellStyle name="Normal 5 3 3 36" xfId="57349"/>
    <cellStyle name="Normal 5 3 3 37" xfId="59101"/>
    <cellStyle name="Normal 5 3 3 38" xfId="60853"/>
    <cellStyle name="Normal 5 3 3 39" xfId="62961"/>
    <cellStyle name="Normal 5 3 3 4" xfId="3041"/>
    <cellStyle name="Normal 5 3 3 40" xfId="63827"/>
    <cellStyle name="Normal 5 3 3 5" xfId="4793"/>
    <cellStyle name="Normal 5 3 3 6" xfId="6545"/>
    <cellStyle name="Normal 5 3 3 7" xfId="8297"/>
    <cellStyle name="Normal 5 3 3 8" xfId="10050"/>
    <cellStyle name="Normal 5 3 3 9" xfId="11802"/>
    <cellStyle name="Normal 5 3 30" xfId="44569"/>
    <cellStyle name="Normal 5 3 31" xfId="44733"/>
    <cellStyle name="Normal 5 3 32" xfId="46485"/>
    <cellStyle name="Normal 5 3 33" xfId="48237"/>
    <cellStyle name="Normal 5 3 34" xfId="49989"/>
    <cellStyle name="Normal 5 3 35" xfId="51741"/>
    <cellStyle name="Normal 5 3 36" xfId="53493"/>
    <cellStyle name="Normal 5 3 37" xfId="55245"/>
    <cellStyle name="Normal 5 3 38" xfId="56998"/>
    <cellStyle name="Normal 5 3 39" xfId="58750"/>
    <cellStyle name="Normal 5 3 4" xfId="2061"/>
    <cellStyle name="Normal 5 3 4 10" xfId="15391"/>
    <cellStyle name="Normal 5 3 4 11" xfId="17144"/>
    <cellStyle name="Normal 5 3 4 12" xfId="18896"/>
    <cellStyle name="Normal 5 3 4 13" xfId="20649"/>
    <cellStyle name="Normal 5 3 4 14" xfId="22401"/>
    <cellStyle name="Normal 5 3 4 15" xfId="24153"/>
    <cellStyle name="Normal 5 3 4 16" xfId="25905"/>
    <cellStyle name="Normal 5 3 4 17" xfId="27657"/>
    <cellStyle name="Normal 5 3 4 18" xfId="29410"/>
    <cellStyle name="Normal 5 3 4 19" xfId="31162"/>
    <cellStyle name="Normal 5 3 4 2" xfId="2062"/>
    <cellStyle name="Normal 5 3 4 2 10" xfId="18020"/>
    <cellStyle name="Normal 5 3 4 2 11" xfId="19772"/>
    <cellStyle name="Normal 5 3 4 2 12" xfId="21525"/>
    <cellStyle name="Normal 5 3 4 2 13" xfId="23277"/>
    <cellStyle name="Normal 5 3 4 2 14" xfId="25029"/>
    <cellStyle name="Normal 5 3 4 2 15" xfId="26781"/>
    <cellStyle name="Normal 5 3 4 2 16" xfId="28533"/>
    <cellStyle name="Normal 5 3 4 2 17" xfId="30286"/>
    <cellStyle name="Normal 5 3 4 2 18" xfId="32038"/>
    <cellStyle name="Normal 5 3 4 2 19" xfId="33791"/>
    <cellStyle name="Normal 5 3 4 2 2" xfId="4002"/>
    <cellStyle name="Normal 5 3 4 2 20" xfId="36427"/>
    <cellStyle name="Normal 5 3 4 2 21" xfId="38167"/>
    <cellStyle name="Normal 5 3 4 2 22" xfId="39920"/>
    <cellStyle name="Normal 5 3 4 2 23" xfId="41675"/>
    <cellStyle name="Normal 5 3 4 2 24" xfId="43427"/>
    <cellStyle name="Normal 5 3 4 2 25" xfId="46045"/>
    <cellStyle name="Normal 5 3 4 2 26" xfId="47797"/>
    <cellStyle name="Normal 5 3 4 2 27" xfId="49549"/>
    <cellStyle name="Normal 5 3 4 2 28" xfId="51301"/>
    <cellStyle name="Normal 5 3 4 2 29" xfId="53053"/>
    <cellStyle name="Normal 5 3 4 2 3" xfId="5754"/>
    <cellStyle name="Normal 5 3 4 2 30" xfId="54805"/>
    <cellStyle name="Normal 5 3 4 2 31" xfId="56557"/>
    <cellStyle name="Normal 5 3 4 2 32" xfId="58310"/>
    <cellStyle name="Normal 5 3 4 2 33" xfId="60062"/>
    <cellStyle name="Normal 5 3 4 2 34" xfId="61814"/>
    <cellStyle name="Normal 5 3 4 2 4" xfId="7506"/>
    <cellStyle name="Normal 5 3 4 2 5" xfId="9258"/>
    <cellStyle name="Normal 5 3 4 2 6" xfId="11011"/>
    <cellStyle name="Normal 5 3 4 2 7" xfId="12763"/>
    <cellStyle name="Normal 5 3 4 2 8" xfId="14515"/>
    <cellStyle name="Normal 5 3 4 2 9" xfId="16267"/>
    <cellStyle name="Normal 5 3 4 20" xfId="32915"/>
    <cellStyle name="Normal 5 3 4 21" xfId="34955"/>
    <cellStyle name="Normal 5 3 4 22" xfId="35551"/>
    <cellStyle name="Normal 5 3 4 23" xfId="37576"/>
    <cellStyle name="Normal 5 3 4 24" xfId="39044"/>
    <cellStyle name="Normal 5 3 4 25" xfId="40799"/>
    <cellStyle name="Normal 5 3 4 26" xfId="42551"/>
    <cellStyle name="Normal 5 3 4 27" xfId="44576"/>
    <cellStyle name="Normal 5 3 4 28" xfId="45169"/>
    <cellStyle name="Normal 5 3 4 29" xfId="46921"/>
    <cellStyle name="Normal 5 3 4 3" xfId="3126"/>
    <cellStyle name="Normal 5 3 4 30" xfId="48673"/>
    <cellStyle name="Normal 5 3 4 31" xfId="50425"/>
    <cellStyle name="Normal 5 3 4 32" xfId="52177"/>
    <cellStyle name="Normal 5 3 4 33" xfId="53929"/>
    <cellStyle name="Normal 5 3 4 34" xfId="55681"/>
    <cellStyle name="Normal 5 3 4 35" xfId="57434"/>
    <cellStyle name="Normal 5 3 4 36" xfId="59186"/>
    <cellStyle name="Normal 5 3 4 37" xfId="60938"/>
    <cellStyle name="Normal 5 3 4 38" xfId="62963"/>
    <cellStyle name="Normal 5 3 4 39" xfId="63829"/>
    <cellStyle name="Normal 5 3 4 4" xfId="4878"/>
    <cellStyle name="Normal 5 3 4 5" xfId="6630"/>
    <cellStyle name="Normal 5 3 4 6" xfId="8382"/>
    <cellStyle name="Normal 5 3 4 7" xfId="10135"/>
    <cellStyle name="Normal 5 3 4 8" xfId="11887"/>
    <cellStyle name="Normal 5 3 4 9" xfId="13639"/>
    <cellStyle name="Normal 5 3 40" xfId="60502"/>
    <cellStyle name="Normal 5 3 41" xfId="62956"/>
    <cellStyle name="Normal 5 3 42" xfId="63822"/>
    <cellStyle name="Normal 5 3 5" xfId="2063"/>
    <cellStyle name="Normal 5 3 5 10" xfId="17584"/>
    <cellStyle name="Normal 5 3 5 11" xfId="19336"/>
    <cellStyle name="Normal 5 3 5 12" xfId="21089"/>
    <cellStyle name="Normal 5 3 5 13" xfId="22841"/>
    <cellStyle name="Normal 5 3 5 14" xfId="24593"/>
    <cellStyle name="Normal 5 3 5 15" xfId="26345"/>
    <cellStyle name="Normal 5 3 5 16" xfId="28097"/>
    <cellStyle name="Normal 5 3 5 17" xfId="29850"/>
    <cellStyle name="Normal 5 3 5 18" xfId="31602"/>
    <cellStyle name="Normal 5 3 5 19" xfId="33355"/>
    <cellStyle name="Normal 5 3 5 2" xfId="3566"/>
    <cellStyle name="Normal 5 3 5 20" xfId="35991"/>
    <cellStyle name="Normal 5 3 5 21" xfId="37720"/>
    <cellStyle name="Normal 5 3 5 22" xfId="39484"/>
    <cellStyle name="Normal 5 3 5 23" xfId="41239"/>
    <cellStyle name="Normal 5 3 5 24" xfId="42991"/>
    <cellStyle name="Normal 5 3 5 25" xfId="45609"/>
    <cellStyle name="Normal 5 3 5 26" xfId="47361"/>
    <cellStyle name="Normal 5 3 5 27" xfId="49113"/>
    <cellStyle name="Normal 5 3 5 28" xfId="50865"/>
    <cellStyle name="Normal 5 3 5 29" xfId="52617"/>
    <cellStyle name="Normal 5 3 5 3" xfId="5318"/>
    <cellStyle name="Normal 5 3 5 30" xfId="54369"/>
    <cellStyle name="Normal 5 3 5 31" xfId="56121"/>
    <cellStyle name="Normal 5 3 5 32" xfId="57874"/>
    <cellStyle name="Normal 5 3 5 33" xfId="59626"/>
    <cellStyle name="Normal 5 3 5 34" xfId="61378"/>
    <cellStyle name="Normal 5 3 5 4" xfId="7070"/>
    <cellStyle name="Normal 5 3 5 5" xfId="8822"/>
    <cellStyle name="Normal 5 3 5 6" xfId="10575"/>
    <cellStyle name="Normal 5 3 5 7" xfId="12327"/>
    <cellStyle name="Normal 5 3 5 8" xfId="14079"/>
    <cellStyle name="Normal 5 3 5 9" xfId="15831"/>
    <cellStyle name="Normal 5 3 6" xfId="2690"/>
    <cellStyle name="Normal 5 3 7" xfId="4442"/>
    <cellStyle name="Normal 5 3 8" xfId="6194"/>
    <cellStyle name="Normal 5 3 9" xfId="7946"/>
    <cellStyle name="Normal 5 30" xfId="44678"/>
    <cellStyle name="Normal 5 31" xfId="46430"/>
    <cellStyle name="Normal 5 32" xfId="48182"/>
    <cellStyle name="Normal 5 33" xfId="49934"/>
    <cellStyle name="Normal 5 34" xfId="51686"/>
    <cellStyle name="Normal 5 35" xfId="53438"/>
    <cellStyle name="Normal 5 36" xfId="55190"/>
    <cellStyle name="Normal 5 37" xfId="56943"/>
    <cellStyle name="Normal 5 38" xfId="58695"/>
    <cellStyle name="Normal 5 39" xfId="60447"/>
    <cellStyle name="Normal 5 4" xfId="2064"/>
    <cellStyle name="Normal 5 4 10" xfId="11504"/>
    <cellStyle name="Normal 5 4 11" xfId="13256"/>
    <cellStyle name="Normal 5 4 12" xfId="15008"/>
    <cellStyle name="Normal 5 4 13" xfId="16761"/>
    <cellStyle name="Normal 5 4 14" xfId="18513"/>
    <cellStyle name="Normal 5 4 15" xfId="20266"/>
    <cellStyle name="Normal 5 4 16" xfId="22018"/>
    <cellStyle name="Normal 5 4 17" xfId="23770"/>
    <cellStyle name="Normal 5 4 18" xfId="25522"/>
    <cellStyle name="Normal 5 4 19" xfId="27274"/>
    <cellStyle name="Normal 5 4 2" xfId="2065"/>
    <cellStyle name="Normal 5 4 2 10" xfId="13555"/>
    <cellStyle name="Normal 5 4 2 11" xfId="15307"/>
    <cellStyle name="Normal 5 4 2 12" xfId="17060"/>
    <cellStyle name="Normal 5 4 2 13" xfId="18812"/>
    <cellStyle name="Normal 5 4 2 14" xfId="20565"/>
    <cellStyle name="Normal 5 4 2 15" xfId="22317"/>
    <cellStyle name="Normal 5 4 2 16" xfId="24069"/>
    <cellStyle name="Normal 5 4 2 17" xfId="25821"/>
    <cellStyle name="Normal 5 4 2 18" xfId="27573"/>
    <cellStyle name="Normal 5 4 2 19" xfId="29326"/>
    <cellStyle name="Normal 5 4 2 2" xfId="2066"/>
    <cellStyle name="Normal 5 4 2 2 10" xfId="15743"/>
    <cellStyle name="Normal 5 4 2 2 11" xfId="17496"/>
    <cellStyle name="Normal 5 4 2 2 12" xfId="19248"/>
    <cellStyle name="Normal 5 4 2 2 13" xfId="21001"/>
    <cellStyle name="Normal 5 4 2 2 14" xfId="22753"/>
    <cellStyle name="Normal 5 4 2 2 15" xfId="24505"/>
    <cellStyle name="Normal 5 4 2 2 16" xfId="26257"/>
    <cellStyle name="Normal 5 4 2 2 17" xfId="28009"/>
    <cellStyle name="Normal 5 4 2 2 18" xfId="29762"/>
    <cellStyle name="Normal 5 4 2 2 19" xfId="31514"/>
    <cellStyle name="Normal 5 4 2 2 2" xfId="2067"/>
    <cellStyle name="Normal 5 4 2 2 2 10" xfId="18372"/>
    <cellStyle name="Normal 5 4 2 2 2 11" xfId="20124"/>
    <cellStyle name="Normal 5 4 2 2 2 12" xfId="21877"/>
    <cellStyle name="Normal 5 4 2 2 2 13" xfId="23629"/>
    <cellStyle name="Normal 5 4 2 2 2 14" xfId="25381"/>
    <cellStyle name="Normal 5 4 2 2 2 15" xfId="27133"/>
    <cellStyle name="Normal 5 4 2 2 2 16" xfId="28885"/>
    <cellStyle name="Normal 5 4 2 2 2 17" xfId="30638"/>
    <cellStyle name="Normal 5 4 2 2 2 18" xfId="32390"/>
    <cellStyle name="Normal 5 4 2 2 2 19" xfId="34143"/>
    <cellStyle name="Normal 5 4 2 2 2 2" xfId="4354"/>
    <cellStyle name="Normal 5 4 2 2 2 20" xfId="36779"/>
    <cellStyle name="Normal 5 4 2 2 2 21" xfId="38519"/>
    <cellStyle name="Normal 5 4 2 2 2 22" xfId="40272"/>
    <cellStyle name="Normal 5 4 2 2 2 23" xfId="42027"/>
    <cellStyle name="Normal 5 4 2 2 2 24" xfId="43779"/>
    <cellStyle name="Normal 5 4 2 2 2 25" xfId="46397"/>
    <cellStyle name="Normal 5 4 2 2 2 26" xfId="48149"/>
    <cellStyle name="Normal 5 4 2 2 2 27" xfId="49901"/>
    <cellStyle name="Normal 5 4 2 2 2 28" xfId="51653"/>
    <cellStyle name="Normal 5 4 2 2 2 29" xfId="53405"/>
    <cellStyle name="Normal 5 4 2 2 2 3" xfId="6106"/>
    <cellStyle name="Normal 5 4 2 2 2 30" xfId="55157"/>
    <cellStyle name="Normal 5 4 2 2 2 31" xfId="56909"/>
    <cellStyle name="Normal 5 4 2 2 2 32" xfId="58662"/>
    <cellStyle name="Normal 5 4 2 2 2 33" xfId="60414"/>
    <cellStyle name="Normal 5 4 2 2 2 34" xfId="62166"/>
    <cellStyle name="Normal 5 4 2 2 2 4" xfId="7858"/>
    <cellStyle name="Normal 5 4 2 2 2 5" xfId="9610"/>
    <cellStyle name="Normal 5 4 2 2 2 6" xfId="11363"/>
    <cellStyle name="Normal 5 4 2 2 2 7" xfId="13115"/>
    <cellStyle name="Normal 5 4 2 2 2 8" xfId="14867"/>
    <cellStyle name="Normal 5 4 2 2 2 9" xfId="16619"/>
    <cellStyle name="Normal 5 4 2 2 20" xfId="33267"/>
    <cellStyle name="Normal 5 4 2 2 21" xfId="34958"/>
    <cellStyle name="Normal 5 4 2 2 22" xfId="35903"/>
    <cellStyle name="Normal 5 4 2 2 23" xfId="37579"/>
    <cellStyle name="Normal 5 4 2 2 24" xfId="39396"/>
    <cellStyle name="Normal 5 4 2 2 25" xfId="41151"/>
    <cellStyle name="Normal 5 4 2 2 26" xfId="42903"/>
    <cellStyle name="Normal 5 4 2 2 27" xfId="44579"/>
    <cellStyle name="Normal 5 4 2 2 28" xfId="45521"/>
    <cellStyle name="Normal 5 4 2 2 29" xfId="47273"/>
    <cellStyle name="Normal 5 4 2 2 3" xfId="3478"/>
    <cellStyle name="Normal 5 4 2 2 30" xfId="49025"/>
    <cellStyle name="Normal 5 4 2 2 31" xfId="50777"/>
    <cellStyle name="Normal 5 4 2 2 32" xfId="52529"/>
    <cellStyle name="Normal 5 4 2 2 33" xfId="54281"/>
    <cellStyle name="Normal 5 4 2 2 34" xfId="56033"/>
    <cellStyle name="Normal 5 4 2 2 35" xfId="57786"/>
    <cellStyle name="Normal 5 4 2 2 36" xfId="59538"/>
    <cellStyle name="Normal 5 4 2 2 37" xfId="61290"/>
    <cellStyle name="Normal 5 4 2 2 38" xfId="62966"/>
    <cellStyle name="Normal 5 4 2 2 39" xfId="63832"/>
    <cellStyle name="Normal 5 4 2 2 4" xfId="5230"/>
    <cellStyle name="Normal 5 4 2 2 5" xfId="6982"/>
    <cellStyle name="Normal 5 4 2 2 6" xfId="8734"/>
    <cellStyle name="Normal 5 4 2 2 7" xfId="10487"/>
    <cellStyle name="Normal 5 4 2 2 8" xfId="12239"/>
    <cellStyle name="Normal 5 4 2 2 9" xfId="13991"/>
    <cellStyle name="Normal 5 4 2 20" xfId="31078"/>
    <cellStyle name="Normal 5 4 2 21" xfId="32831"/>
    <cellStyle name="Normal 5 4 2 22" xfId="34957"/>
    <cellStyle name="Normal 5 4 2 23" xfId="35467"/>
    <cellStyle name="Normal 5 4 2 24" xfId="37578"/>
    <cellStyle name="Normal 5 4 2 25" xfId="38960"/>
    <cellStyle name="Normal 5 4 2 26" xfId="40715"/>
    <cellStyle name="Normal 5 4 2 27" xfId="42467"/>
    <cellStyle name="Normal 5 4 2 28" xfId="44578"/>
    <cellStyle name="Normal 5 4 2 29" xfId="45085"/>
    <cellStyle name="Normal 5 4 2 3" xfId="2068"/>
    <cellStyle name="Normal 5 4 2 3 10" xfId="17936"/>
    <cellStyle name="Normal 5 4 2 3 11" xfId="19688"/>
    <cellStyle name="Normal 5 4 2 3 12" xfId="21441"/>
    <cellStyle name="Normal 5 4 2 3 13" xfId="23193"/>
    <cellStyle name="Normal 5 4 2 3 14" xfId="24945"/>
    <cellStyle name="Normal 5 4 2 3 15" xfId="26697"/>
    <cellStyle name="Normal 5 4 2 3 16" xfId="28449"/>
    <cellStyle name="Normal 5 4 2 3 17" xfId="30202"/>
    <cellStyle name="Normal 5 4 2 3 18" xfId="31954"/>
    <cellStyle name="Normal 5 4 2 3 19" xfId="33707"/>
    <cellStyle name="Normal 5 4 2 3 2" xfId="3918"/>
    <cellStyle name="Normal 5 4 2 3 20" xfId="36343"/>
    <cellStyle name="Normal 5 4 2 3 21" xfId="38083"/>
    <cellStyle name="Normal 5 4 2 3 22" xfId="39836"/>
    <cellStyle name="Normal 5 4 2 3 23" xfId="41591"/>
    <cellStyle name="Normal 5 4 2 3 24" xfId="43343"/>
    <cellStyle name="Normal 5 4 2 3 25" xfId="45961"/>
    <cellStyle name="Normal 5 4 2 3 26" xfId="47713"/>
    <cellStyle name="Normal 5 4 2 3 27" xfId="49465"/>
    <cellStyle name="Normal 5 4 2 3 28" xfId="51217"/>
    <cellStyle name="Normal 5 4 2 3 29" xfId="52969"/>
    <cellStyle name="Normal 5 4 2 3 3" xfId="5670"/>
    <cellStyle name="Normal 5 4 2 3 30" xfId="54721"/>
    <cellStyle name="Normal 5 4 2 3 31" xfId="56473"/>
    <cellStyle name="Normal 5 4 2 3 32" xfId="58226"/>
    <cellStyle name="Normal 5 4 2 3 33" xfId="59978"/>
    <cellStyle name="Normal 5 4 2 3 34" xfId="61730"/>
    <cellStyle name="Normal 5 4 2 3 4" xfId="7422"/>
    <cellStyle name="Normal 5 4 2 3 5" xfId="9174"/>
    <cellStyle name="Normal 5 4 2 3 6" xfId="10927"/>
    <cellStyle name="Normal 5 4 2 3 7" xfId="12679"/>
    <cellStyle name="Normal 5 4 2 3 8" xfId="14431"/>
    <cellStyle name="Normal 5 4 2 3 9" xfId="16183"/>
    <cellStyle name="Normal 5 4 2 30" xfId="46837"/>
    <cellStyle name="Normal 5 4 2 31" xfId="48589"/>
    <cellStyle name="Normal 5 4 2 32" xfId="50341"/>
    <cellStyle name="Normal 5 4 2 33" xfId="52093"/>
    <cellStyle name="Normal 5 4 2 34" xfId="53845"/>
    <cellStyle name="Normal 5 4 2 35" xfId="55597"/>
    <cellStyle name="Normal 5 4 2 36" xfId="57350"/>
    <cellStyle name="Normal 5 4 2 37" xfId="59102"/>
    <cellStyle name="Normal 5 4 2 38" xfId="60854"/>
    <cellStyle name="Normal 5 4 2 39" xfId="62965"/>
    <cellStyle name="Normal 5 4 2 4" xfId="3042"/>
    <cellStyle name="Normal 5 4 2 40" xfId="63831"/>
    <cellStyle name="Normal 5 4 2 5" xfId="4794"/>
    <cellStyle name="Normal 5 4 2 6" xfId="6546"/>
    <cellStyle name="Normal 5 4 2 7" xfId="8298"/>
    <cellStyle name="Normal 5 4 2 8" xfId="10051"/>
    <cellStyle name="Normal 5 4 2 9" xfId="11803"/>
    <cellStyle name="Normal 5 4 20" xfId="29027"/>
    <cellStyle name="Normal 5 4 21" xfId="30779"/>
    <cellStyle name="Normal 5 4 22" xfId="32532"/>
    <cellStyle name="Normal 5 4 23" xfId="34956"/>
    <cellStyle name="Normal 5 4 24" xfId="35168"/>
    <cellStyle name="Normal 5 4 25" xfId="37577"/>
    <cellStyle name="Normal 5 4 26" xfId="38661"/>
    <cellStyle name="Normal 5 4 27" xfId="40416"/>
    <cellStyle name="Normal 5 4 28" xfId="42168"/>
    <cellStyle name="Normal 5 4 29" xfId="44577"/>
    <cellStyle name="Normal 5 4 3" xfId="2069"/>
    <cellStyle name="Normal 5 4 3 10" xfId="15444"/>
    <cellStyle name="Normal 5 4 3 11" xfId="17197"/>
    <cellStyle name="Normal 5 4 3 12" xfId="18949"/>
    <cellStyle name="Normal 5 4 3 13" xfId="20702"/>
    <cellStyle name="Normal 5 4 3 14" xfId="22454"/>
    <cellStyle name="Normal 5 4 3 15" xfId="24206"/>
    <cellStyle name="Normal 5 4 3 16" xfId="25958"/>
    <cellStyle name="Normal 5 4 3 17" xfId="27710"/>
    <cellStyle name="Normal 5 4 3 18" xfId="29463"/>
    <cellStyle name="Normal 5 4 3 19" xfId="31215"/>
    <cellStyle name="Normal 5 4 3 2" xfId="2070"/>
    <cellStyle name="Normal 5 4 3 2 10" xfId="18073"/>
    <cellStyle name="Normal 5 4 3 2 11" xfId="19825"/>
    <cellStyle name="Normal 5 4 3 2 12" xfId="21578"/>
    <cellStyle name="Normal 5 4 3 2 13" xfId="23330"/>
    <cellStyle name="Normal 5 4 3 2 14" xfId="25082"/>
    <cellStyle name="Normal 5 4 3 2 15" xfId="26834"/>
    <cellStyle name="Normal 5 4 3 2 16" xfId="28586"/>
    <cellStyle name="Normal 5 4 3 2 17" xfId="30339"/>
    <cellStyle name="Normal 5 4 3 2 18" xfId="32091"/>
    <cellStyle name="Normal 5 4 3 2 19" xfId="33844"/>
    <cellStyle name="Normal 5 4 3 2 2" xfId="4055"/>
    <cellStyle name="Normal 5 4 3 2 20" xfId="36480"/>
    <cellStyle name="Normal 5 4 3 2 21" xfId="38220"/>
    <cellStyle name="Normal 5 4 3 2 22" xfId="39973"/>
    <cellStyle name="Normal 5 4 3 2 23" xfId="41728"/>
    <cellStyle name="Normal 5 4 3 2 24" xfId="43480"/>
    <cellStyle name="Normal 5 4 3 2 25" xfId="46098"/>
    <cellStyle name="Normal 5 4 3 2 26" xfId="47850"/>
    <cellStyle name="Normal 5 4 3 2 27" xfId="49602"/>
    <cellStyle name="Normal 5 4 3 2 28" xfId="51354"/>
    <cellStyle name="Normal 5 4 3 2 29" xfId="53106"/>
    <cellStyle name="Normal 5 4 3 2 3" xfId="5807"/>
    <cellStyle name="Normal 5 4 3 2 30" xfId="54858"/>
    <cellStyle name="Normal 5 4 3 2 31" xfId="56610"/>
    <cellStyle name="Normal 5 4 3 2 32" xfId="58363"/>
    <cellStyle name="Normal 5 4 3 2 33" xfId="60115"/>
    <cellStyle name="Normal 5 4 3 2 34" xfId="61867"/>
    <cellStyle name="Normal 5 4 3 2 4" xfId="7559"/>
    <cellStyle name="Normal 5 4 3 2 5" xfId="9311"/>
    <cellStyle name="Normal 5 4 3 2 6" xfId="11064"/>
    <cellStyle name="Normal 5 4 3 2 7" xfId="12816"/>
    <cellStyle name="Normal 5 4 3 2 8" xfId="14568"/>
    <cellStyle name="Normal 5 4 3 2 9" xfId="16320"/>
    <cellStyle name="Normal 5 4 3 20" xfId="32968"/>
    <cellStyle name="Normal 5 4 3 21" xfId="34959"/>
    <cellStyle name="Normal 5 4 3 22" xfId="35604"/>
    <cellStyle name="Normal 5 4 3 23" xfId="37580"/>
    <cellStyle name="Normal 5 4 3 24" xfId="39097"/>
    <cellStyle name="Normal 5 4 3 25" xfId="40852"/>
    <cellStyle name="Normal 5 4 3 26" xfId="42604"/>
    <cellStyle name="Normal 5 4 3 27" xfId="44580"/>
    <cellStyle name="Normal 5 4 3 28" xfId="45222"/>
    <cellStyle name="Normal 5 4 3 29" xfId="46974"/>
    <cellStyle name="Normal 5 4 3 3" xfId="3179"/>
    <cellStyle name="Normal 5 4 3 30" xfId="48726"/>
    <cellStyle name="Normal 5 4 3 31" xfId="50478"/>
    <cellStyle name="Normal 5 4 3 32" xfId="52230"/>
    <cellStyle name="Normal 5 4 3 33" xfId="53982"/>
    <cellStyle name="Normal 5 4 3 34" xfId="55734"/>
    <cellStyle name="Normal 5 4 3 35" xfId="57487"/>
    <cellStyle name="Normal 5 4 3 36" xfId="59239"/>
    <cellStyle name="Normal 5 4 3 37" xfId="60991"/>
    <cellStyle name="Normal 5 4 3 38" xfId="62967"/>
    <cellStyle name="Normal 5 4 3 39" xfId="63833"/>
    <cellStyle name="Normal 5 4 3 4" xfId="4931"/>
    <cellStyle name="Normal 5 4 3 5" xfId="6683"/>
    <cellStyle name="Normal 5 4 3 6" xfId="8435"/>
    <cellStyle name="Normal 5 4 3 7" xfId="10188"/>
    <cellStyle name="Normal 5 4 3 8" xfId="11940"/>
    <cellStyle name="Normal 5 4 3 9" xfId="13692"/>
    <cellStyle name="Normal 5 4 30" xfId="44786"/>
    <cellStyle name="Normal 5 4 31" xfId="46538"/>
    <cellStyle name="Normal 5 4 32" xfId="48290"/>
    <cellStyle name="Normal 5 4 33" xfId="50042"/>
    <cellStyle name="Normal 5 4 34" xfId="51794"/>
    <cellStyle name="Normal 5 4 35" xfId="53546"/>
    <cellStyle name="Normal 5 4 36" xfId="55298"/>
    <cellStyle name="Normal 5 4 37" xfId="57051"/>
    <cellStyle name="Normal 5 4 38" xfId="58803"/>
    <cellStyle name="Normal 5 4 39" xfId="60555"/>
    <cellStyle name="Normal 5 4 4" xfId="2071"/>
    <cellStyle name="Normal 5 4 4 10" xfId="17637"/>
    <cellStyle name="Normal 5 4 4 11" xfId="19389"/>
    <cellStyle name="Normal 5 4 4 12" xfId="21142"/>
    <cellStyle name="Normal 5 4 4 13" xfId="22894"/>
    <cellStyle name="Normal 5 4 4 14" xfId="24646"/>
    <cellStyle name="Normal 5 4 4 15" xfId="26398"/>
    <cellStyle name="Normal 5 4 4 16" xfId="28150"/>
    <cellStyle name="Normal 5 4 4 17" xfId="29903"/>
    <cellStyle name="Normal 5 4 4 18" xfId="31655"/>
    <cellStyle name="Normal 5 4 4 19" xfId="33408"/>
    <cellStyle name="Normal 5 4 4 2" xfId="3619"/>
    <cellStyle name="Normal 5 4 4 20" xfId="36044"/>
    <cellStyle name="Normal 5 4 4 21" xfId="37784"/>
    <cellStyle name="Normal 5 4 4 22" xfId="39537"/>
    <cellStyle name="Normal 5 4 4 23" xfId="41292"/>
    <cellStyle name="Normal 5 4 4 24" xfId="43044"/>
    <cellStyle name="Normal 5 4 4 25" xfId="45662"/>
    <cellStyle name="Normal 5 4 4 26" xfId="47414"/>
    <cellStyle name="Normal 5 4 4 27" xfId="49166"/>
    <cellStyle name="Normal 5 4 4 28" xfId="50918"/>
    <cellStyle name="Normal 5 4 4 29" xfId="52670"/>
    <cellStyle name="Normal 5 4 4 3" xfId="5371"/>
    <cellStyle name="Normal 5 4 4 30" xfId="54422"/>
    <cellStyle name="Normal 5 4 4 31" xfId="56174"/>
    <cellStyle name="Normal 5 4 4 32" xfId="57927"/>
    <cellStyle name="Normal 5 4 4 33" xfId="59679"/>
    <cellStyle name="Normal 5 4 4 34" xfId="61431"/>
    <cellStyle name="Normal 5 4 4 4" xfId="7123"/>
    <cellStyle name="Normal 5 4 4 5" xfId="8875"/>
    <cellStyle name="Normal 5 4 4 6" xfId="10628"/>
    <cellStyle name="Normal 5 4 4 7" xfId="12380"/>
    <cellStyle name="Normal 5 4 4 8" xfId="14132"/>
    <cellStyle name="Normal 5 4 4 9" xfId="15884"/>
    <cellStyle name="Normal 5 4 40" xfId="62964"/>
    <cellStyle name="Normal 5 4 41" xfId="63830"/>
    <cellStyle name="Normal 5 4 5" xfId="2743"/>
    <cellStyle name="Normal 5 4 6" xfId="4495"/>
    <cellStyle name="Normal 5 4 7" xfId="6247"/>
    <cellStyle name="Normal 5 4 8" xfId="7999"/>
    <cellStyle name="Normal 5 4 9" xfId="9752"/>
    <cellStyle name="Normal 5 5" xfId="2072"/>
    <cellStyle name="Normal 5 5 10" xfId="13556"/>
    <cellStyle name="Normal 5 5 11" xfId="15308"/>
    <cellStyle name="Normal 5 5 12" xfId="17061"/>
    <cellStyle name="Normal 5 5 13" xfId="18813"/>
    <cellStyle name="Normal 5 5 14" xfId="20566"/>
    <cellStyle name="Normal 5 5 15" xfId="22318"/>
    <cellStyle name="Normal 5 5 16" xfId="24070"/>
    <cellStyle name="Normal 5 5 17" xfId="25822"/>
    <cellStyle name="Normal 5 5 18" xfId="27574"/>
    <cellStyle name="Normal 5 5 19" xfId="29327"/>
    <cellStyle name="Normal 5 5 2" xfId="2073"/>
    <cellStyle name="Normal 5 5 2 10" xfId="15744"/>
    <cellStyle name="Normal 5 5 2 11" xfId="17497"/>
    <cellStyle name="Normal 5 5 2 12" xfId="19249"/>
    <cellStyle name="Normal 5 5 2 13" xfId="21002"/>
    <cellStyle name="Normal 5 5 2 14" xfId="22754"/>
    <cellStyle name="Normal 5 5 2 15" xfId="24506"/>
    <cellStyle name="Normal 5 5 2 16" xfId="26258"/>
    <cellStyle name="Normal 5 5 2 17" xfId="28010"/>
    <cellStyle name="Normal 5 5 2 18" xfId="29763"/>
    <cellStyle name="Normal 5 5 2 19" xfId="31515"/>
    <cellStyle name="Normal 5 5 2 2" xfId="2074"/>
    <cellStyle name="Normal 5 5 2 2 10" xfId="18373"/>
    <cellStyle name="Normal 5 5 2 2 11" xfId="20125"/>
    <cellStyle name="Normal 5 5 2 2 12" xfId="21878"/>
    <cellStyle name="Normal 5 5 2 2 13" xfId="23630"/>
    <cellStyle name="Normal 5 5 2 2 14" xfId="25382"/>
    <cellStyle name="Normal 5 5 2 2 15" xfId="27134"/>
    <cellStyle name="Normal 5 5 2 2 16" xfId="28886"/>
    <cellStyle name="Normal 5 5 2 2 17" xfId="30639"/>
    <cellStyle name="Normal 5 5 2 2 18" xfId="32391"/>
    <cellStyle name="Normal 5 5 2 2 19" xfId="34144"/>
    <cellStyle name="Normal 5 5 2 2 2" xfId="4355"/>
    <cellStyle name="Normal 5 5 2 2 20" xfId="36780"/>
    <cellStyle name="Normal 5 5 2 2 21" xfId="38520"/>
    <cellStyle name="Normal 5 5 2 2 22" xfId="40273"/>
    <cellStyle name="Normal 5 5 2 2 23" xfId="42028"/>
    <cellStyle name="Normal 5 5 2 2 24" xfId="43780"/>
    <cellStyle name="Normal 5 5 2 2 25" xfId="46398"/>
    <cellStyle name="Normal 5 5 2 2 26" xfId="48150"/>
    <cellStyle name="Normal 5 5 2 2 27" xfId="49902"/>
    <cellStyle name="Normal 5 5 2 2 28" xfId="51654"/>
    <cellStyle name="Normal 5 5 2 2 29" xfId="53406"/>
    <cellStyle name="Normal 5 5 2 2 3" xfId="6107"/>
    <cellStyle name="Normal 5 5 2 2 30" xfId="55158"/>
    <cellStyle name="Normal 5 5 2 2 31" xfId="56910"/>
    <cellStyle name="Normal 5 5 2 2 32" xfId="58663"/>
    <cellStyle name="Normal 5 5 2 2 33" xfId="60415"/>
    <cellStyle name="Normal 5 5 2 2 34" xfId="62167"/>
    <cellStyle name="Normal 5 5 2 2 4" xfId="7859"/>
    <cellStyle name="Normal 5 5 2 2 5" xfId="9611"/>
    <cellStyle name="Normal 5 5 2 2 6" xfId="11364"/>
    <cellStyle name="Normal 5 5 2 2 7" xfId="13116"/>
    <cellStyle name="Normal 5 5 2 2 8" xfId="14868"/>
    <cellStyle name="Normal 5 5 2 2 9" xfId="16620"/>
    <cellStyle name="Normal 5 5 2 20" xfId="33268"/>
    <cellStyle name="Normal 5 5 2 21" xfId="34961"/>
    <cellStyle name="Normal 5 5 2 22" xfId="35904"/>
    <cellStyle name="Normal 5 5 2 23" xfId="37582"/>
    <cellStyle name="Normal 5 5 2 24" xfId="39397"/>
    <cellStyle name="Normal 5 5 2 25" xfId="41152"/>
    <cellStyle name="Normal 5 5 2 26" xfId="42904"/>
    <cellStyle name="Normal 5 5 2 27" xfId="44582"/>
    <cellStyle name="Normal 5 5 2 28" xfId="45522"/>
    <cellStyle name="Normal 5 5 2 29" xfId="47274"/>
    <cellStyle name="Normal 5 5 2 3" xfId="3479"/>
    <cellStyle name="Normal 5 5 2 30" xfId="49026"/>
    <cellStyle name="Normal 5 5 2 31" xfId="50778"/>
    <cellStyle name="Normal 5 5 2 32" xfId="52530"/>
    <cellStyle name="Normal 5 5 2 33" xfId="54282"/>
    <cellStyle name="Normal 5 5 2 34" xfId="56034"/>
    <cellStyle name="Normal 5 5 2 35" xfId="57787"/>
    <cellStyle name="Normal 5 5 2 36" xfId="59539"/>
    <cellStyle name="Normal 5 5 2 37" xfId="61291"/>
    <cellStyle name="Normal 5 5 2 38" xfId="62969"/>
    <cellStyle name="Normal 5 5 2 39" xfId="63835"/>
    <cellStyle name="Normal 5 5 2 4" xfId="5231"/>
    <cellStyle name="Normal 5 5 2 5" xfId="6983"/>
    <cellStyle name="Normal 5 5 2 6" xfId="8735"/>
    <cellStyle name="Normal 5 5 2 7" xfId="10488"/>
    <cellStyle name="Normal 5 5 2 8" xfId="12240"/>
    <cellStyle name="Normal 5 5 2 9" xfId="13992"/>
    <cellStyle name="Normal 5 5 20" xfId="31079"/>
    <cellStyle name="Normal 5 5 21" xfId="32832"/>
    <cellStyle name="Normal 5 5 22" xfId="34960"/>
    <cellStyle name="Normal 5 5 23" xfId="35468"/>
    <cellStyle name="Normal 5 5 24" xfId="37581"/>
    <cellStyle name="Normal 5 5 25" xfId="38961"/>
    <cellStyle name="Normal 5 5 26" xfId="40716"/>
    <cellStyle name="Normal 5 5 27" xfId="42468"/>
    <cellStyle name="Normal 5 5 28" xfId="44581"/>
    <cellStyle name="Normal 5 5 29" xfId="45086"/>
    <cellStyle name="Normal 5 5 3" xfId="2075"/>
    <cellStyle name="Normal 5 5 3 10" xfId="17937"/>
    <cellStyle name="Normal 5 5 3 11" xfId="19689"/>
    <cellStyle name="Normal 5 5 3 12" xfId="21442"/>
    <cellStyle name="Normal 5 5 3 13" xfId="23194"/>
    <cellStyle name="Normal 5 5 3 14" xfId="24946"/>
    <cellStyle name="Normal 5 5 3 15" xfId="26698"/>
    <cellStyle name="Normal 5 5 3 16" xfId="28450"/>
    <cellStyle name="Normal 5 5 3 17" xfId="30203"/>
    <cellStyle name="Normal 5 5 3 18" xfId="31955"/>
    <cellStyle name="Normal 5 5 3 19" xfId="33708"/>
    <cellStyle name="Normal 5 5 3 2" xfId="3919"/>
    <cellStyle name="Normal 5 5 3 20" xfId="36344"/>
    <cellStyle name="Normal 5 5 3 21" xfId="38084"/>
    <cellStyle name="Normal 5 5 3 22" xfId="39837"/>
    <cellStyle name="Normal 5 5 3 23" xfId="41592"/>
    <cellStyle name="Normal 5 5 3 24" xfId="43344"/>
    <cellStyle name="Normal 5 5 3 25" xfId="45962"/>
    <cellStyle name="Normal 5 5 3 26" xfId="47714"/>
    <cellStyle name="Normal 5 5 3 27" xfId="49466"/>
    <cellStyle name="Normal 5 5 3 28" xfId="51218"/>
    <cellStyle name="Normal 5 5 3 29" xfId="52970"/>
    <cellStyle name="Normal 5 5 3 3" xfId="5671"/>
    <cellStyle name="Normal 5 5 3 30" xfId="54722"/>
    <cellStyle name="Normal 5 5 3 31" xfId="56474"/>
    <cellStyle name="Normal 5 5 3 32" xfId="58227"/>
    <cellStyle name="Normal 5 5 3 33" xfId="59979"/>
    <cellStyle name="Normal 5 5 3 34" xfId="61731"/>
    <cellStyle name="Normal 5 5 3 4" xfId="7423"/>
    <cellStyle name="Normal 5 5 3 5" xfId="9175"/>
    <cellStyle name="Normal 5 5 3 6" xfId="10928"/>
    <cellStyle name="Normal 5 5 3 7" xfId="12680"/>
    <cellStyle name="Normal 5 5 3 8" xfId="14432"/>
    <cellStyle name="Normal 5 5 3 9" xfId="16184"/>
    <cellStyle name="Normal 5 5 30" xfId="46838"/>
    <cellStyle name="Normal 5 5 31" xfId="48590"/>
    <cellStyle name="Normal 5 5 32" xfId="50342"/>
    <cellStyle name="Normal 5 5 33" xfId="52094"/>
    <cellStyle name="Normal 5 5 34" xfId="53846"/>
    <cellStyle name="Normal 5 5 35" xfId="55598"/>
    <cellStyle name="Normal 5 5 36" xfId="57351"/>
    <cellStyle name="Normal 5 5 37" xfId="59103"/>
    <cellStyle name="Normal 5 5 38" xfId="60855"/>
    <cellStyle name="Normal 5 5 39" xfId="62968"/>
    <cellStyle name="Normal 5 5 4" xfId="3043"/>
    <cellStyle name="Normal 5 5 40" xfId="63834"/>
    <cellStyle name="Normal 5 5 5" xfId="4795"/>
    <cellStyle name="Normal 5 5 6" xfId="6547"/>
    <cellStyle name="Normal 5 5 7" xfId="8299"/>
    <cellStyle name="Normal 5 5 8" xfId="10052"/>
    <cellStyle name="Normal 5 5 9" xfId="11804"/>
    <cellStyle name="Normal 5 6" xfId="2076"/>
    <cellStyle name="Normal 5 6 10" xfId="15336"/>
    <cellStyle name="Normal 5 6 11" xfId="17089"/>
    <cellStyle name="Normal 5 6 12" xfId="18841"/>
    <cellStyle name="Normal 5 6 13" xfId="20594"/>
    <cellStyle name="Normal 5 6 14" xfId="22346"/>
    <cellStyle name="Normal 5 6 15" xfId="24098"/>
    <cellStyle name="Normal 5 6 16" xfId="25850"/>
    <cellStyle name="Normal 5 6 17" xfId="27602"/>
    <cellStyle name="Normal 5 6 18" xfId="29355"/>
    <cellStyle name="Normal 5 6 19" xfId="31107"/>
    <cellStyle name="Normal 5 6 2" xfId="2077"/>
    <cellStyle name="Normal 5 6 2 10" xfId="17965"/>
    <cellStyle name="Normal 5 6 2 11" xfId="19717"/>
    <cellStyle name="Normal 5 6 2 12" xfId="21470"/>
    <cellStyle name="Normal 5 6 2 13" xfId="23222"/>
    <cellStyle name="Normal 5 6 2 14" xfId="24974"/>
    <cellStyle name="Normal 5 6 2 15" xfId="26726"/>
    <cellStyle name="Normal 5 6 2 16" xfId="28478"/>
    <cellStyle name="Normal 5 6 2 17" xfId="30231"/>
    <cellStyle name="Normal 5 6 2 18" xfId="31983"/>
    <cellStyle name="Normal 5 6 2 19" xfId="33736"/>
    <cellStyle name="Normal 5 6 2 2" xfId="3947"/>
    <cellStyle name="Normal 5 6 2 20" xfId="36372"/>
    <cellStyle name="Normal 5 6 2 21" xfId="38112"/>
    <cellStyle name="Normal 5 6 2 22" xfId="39865"/>
    <cellStyle name="Normal 5 6 2 23" xfId="41620"/>
    <cellStyle name="Normal 5 6 2 24" xfId="43372"/>
    <cellStyle name="Normal 5 6 2 25" xfId="45990"/>
    <cellStyle name="Normal 5 6 2 26" xfId="47742"/>
    <cellStyle name="Normal 5 6 2 27" xfId="49494"/>
    <cellStyle name="Normal 5 6 2 28" xfId="51246"/>
    <cellStyle name="Normal 5 6 2 29" xfId="52998"/>
    <cellStyle name="Normal 5 6 2 3" xfId="5699"/>
    <cellStyle name="Normal 5 6 2 30" xfId="54750"/>
    <cellStyle name="Normal 5 6 2 31" xfId="56502"/>
    <cellStyle name="Normal 5 6 2 32" xfId="58255"/>
    <cellStyle name="Normal 5 6 2 33" xfId="60007"/>
    <cellStyle name="Normal 5 6 2 34" xfId="61759"/>
    <cellStyle name="Normal 5 6 2 4" xfId="7451"/>
    <cellStyle name="Normal 5 6 2 5" xfId="9203"/>
    <cellStyle name="Normal 5 6 2 6" xfId="10956"/>
    <cellStyle name="Normal 5 6 2 7" xfId="12708"/>
    <cellStyle name="Normal 5 6 2 8" xfId="14460"/>
    <cellStyle name="Normal 5 6 2 9" xfId="16212"/>
    <cellStyle name="Normal 5 6 20" xfId="32860"/>
    <cellStyle name="Normal 5 6 21" xfId="34962"/>
    <cellStyle name="Normal 5 6 22" xfId="35496"/>
    <cellStyle name="Normal 5 6 23" xfId="37583"/>
    <cellStyle name="Normal 5 6 24" xfId="38989"/>
    <cellStyle name="Normal 5 6 25" xfId="40744"/>
    <cellStyle name="Normal 5 6 26" xfId="42496"/>
    <cellStyle name="Normal 5 6 27" xfId="44583"/>
    <cellStyle name="Normal 5 6 28" xfId="45114"/>
    <cellStyle name="Normal 5 6 29" xfId="46866"/>
    <cellStyle name="Normal 5 6 3" xfId="3071"/>
    <cellStyle name="Normal 5 6 30" xfId="48618"/>
    <cellStyle name="Normal 5 6 31" xfId="50370"/>
    <cellStyle name="Normal 5 6 32" xfId="52122"/>
    <cellStyle name="Normal 5 6 33" xfId="53874"/>
    <cellStyle name="Normal 5 6 34" xfId="55626"/>
    <cellStyle name="Normal 5 6 35" xfId="57379"/>
    <cellStyle name="Normal 5 6 36" xfId="59131"/>
    <cellStyle name="Normal 5 6 37" xfId="60883"/>
    <cellStyle name="Normal 5 6 38" xfId="62970"/>
    <cellStyle name="Normal 5 6 39" xfId="63836"/>
    <cellStyle name="Normal 5 6 4" xfId="4823"/>
    <cellStyle name="Normal 5 6 5" xfId="6575"/>
    <cellStyle name="Normal 5 6 6" xfId="8327"/>
    <cellStyle name="Normal 5 6 7" xfId="10080"/>
    <cellStyle name="Normal 5 6 8" xfId="11832"/>
    <cellStyle name="Normal 5 6 9" xfId="13584"/>
    <cellStyle name="Normal 5 7" xfId="2078"/>
    <cellStyle name="Normal 5 7 10" xfId="17529"/>
    <cellStyle name="Normal 5 7 11" xfId="19281"/>
    <cellStyle name="Normal 5 7 12" xfId="21034"/>
    <cellStyle name="Normal 5 7 13" xfId="22786"/>
    <cellStyle name="Normal 5 7 14" xfId="24538"/>
    <cellStyle name="Normal 5 7 15" xfId="26290"/>
    <cellStyle name="Normal 5 7 16" xfId="28042"/>
    <cellStyle name="Normal 5 7 17" xfId="29795"/>
    <cellStyle name="Normal 5 7 18" xfId="31547"/>
    <cellStyle name="Normal 5 7 19" xfId="33300"/>
    <cellStyle name="Normal 5 7 2" xfId="3511"/>
    <cellStyle name="Normal 5 7 20" xfId="34947"/>
    <cellStyle name="Normal 5 7 21" xfId="35936"/>
    <cellStyle name="Normal 5 7 22" xfId="37568"/>
    <cellStyle name="Normal 5 7 23" xfId="39429"/>
    <cellStyle name="Normal 5 7 24" xfId="41184"/>
    <cellStyle name="Normal 5 7 25" xfId="42936"/>
    <cellStyle name="Normal 5 7 26" xfId="44568"/>
    <cellStyle name="Normal 5 7 27" xfId="45554"/>
    <cellStyle name="Normal 5 7 28" xfId="47306"/>
    <cellStyle name="Normal 5 7 29" xfId="49058"/>
    <cellStyle name="Normal 5 7 3" xfId="5263"/>
    <cellStyle name="Normal 5 7 30" xfId="50810"/>
    <cellStyle name="Normal 5 7 31" xfId="52562"/>
    <cellStyle name="Normal 5 7 32" xfId="54314"/>
    <cellStyle name="Normal 5 7 33" xfId="56066"/>
    <cellStyle name="Normal 5 7 34" xfId="57819"/>
    <cellStyle name="Normal 5 7 35" xfId="59571"/>
    <cellStyle name="Normal 5 7 36" xfId="61323"/>
    <cellStyle name="Normal 5 7 37" xfId="62955"/>
    <cellStyle name="Normal 5 7 38" xfId="63821"/>
    <cellStyle name="Normal 5 7 4" xfId="7015"/>
    <cellStyle name="Normal 5 7 5" xfId="8767"/>
    <cellStyle name="Normal 5 7 6" xfId="10520"/>
    <cellStyle name="Normal 5 7 7" xfId="12272"/>
    <cellStyle name="Normal 5 7 8" xfId="14024"/>
    <cellStyle name="Normal 5 7 9" xfId="15776"/>
    <cellStyle name="Normal 5 8" xfId="2460"/>
    <cellStyle name="Normal 5 9" xfId="4387"/>
    <cellStyle name="Normal 50" xfId="2079"/>
    <cellStyle name="Normal 50 2" xfId="2080"/>
    <cellStyle name="Normal 51" xfId="2081"/>
    <cellStyle name="Normal 51 2" xfId="2082"/>
    <cellStyle name="Normal 52" xfId="2083"/>
    <cellStyle name="Normal 52 2" xfId="2084"/>
    <cellStyle name="Normal 53" xfId="2085"/>
    <cellStyle name="Normal 53 2" xfId="2086"/>
    <cellStyle name="Normal 54" xfId="2087"/>
    <cellStyle name="Normal 54 2" xfId="2088"/>
    <cellStyle name="Normal 55" xfId="2089"/>
    <cellStyle name="Normal 55 2" xfId="2090"/>
    <cellStyle name="Normal 56" xfId="2091"/>
    <cellStyle name="Normal 56 2" xfId="2092"/>
    <cellStyle name="Normal 57" xfId="2093"/>
    <cellStyle name="Normal 57 2" xfId="2094"/>
    <cellStyle name="Normal 58" xfId="2095"/>
    <cellStyle name="Normal 58 2" xfId="2096"/>
    <cellStyle name="Normal 59" xfId="2097"/>
    <cellStyle name="Normal 59 2" xfId="2098"/>
    <cellStyle name="Normal 6" xfId="2099"/>
    <cellStyle name="Normal 6 10" xfId="6140"/>
    <cellStyle name="Normal 6 11" xfId="7892"/>
    <cellStyle name="Normal 6 12" xfId="9645"/>
    <cellStyle name="Normal 6 13" xfId="11397"/>
    <cellStyle name="Normal 6 14" xfId="13149"/>
    <cellStyle name="Normal 6 15" xfId="14901"/>
    <cellStyle name="Normal 6 16" xfId="16654"/>
    <cellStyle name="Normal 6 17" xfId="18406"/>
    <cellStyle name="Normal 6 18" xfId="20159"/>
    <cellStyle name="Normal 6 19" xfId="21911"/>
    <cellStyle name="Normal 6 2" xfId="2100"/>
    <cellStyle name="Normal 6 20" xfId="23663"/>
    <cellStyle name="Normal 6 21" xfId="25415"/>
    <cellStyle name="Normal 6 22" xfId="27167"/>
    <cellStyle name="Normal 6 23" xfId="28920"/>
    <cellStyle name="Normal 6 24" xfId="30672"/>
    <cellStyle name="Normal 6 25" xfId="32425"/>
    <cellStyle name="Normal 6 26" xfId="35061"/>
    <cellStyle name="Normal 6 27" xfId="38553"/>
    <cellStyle name="Normal 6 28" xfId="40309"/>
    <cellStyle name="Normal 6 29" xfId="42061"/>
    <cellStyle name="Normal 6 3" xfId="2101"/>
    <cellStyle name="Normal 6 3 10" xfId="9700"/>
    <cellStyle name="Normal 6 3 11" xfId="11452"/>
    <cellStyle name="Normal 6 3 12" xfId="13204"/>
    <cellStyle name="Normal 6 3 13" xfId="14956"/>
    <cellStyle name="Normal 6 3 14" xfId="16709"/>
    <cellStyle name="Normal 6 3 15" xfId="18461"/>
    <cellStyle name="Normal 6 3 16" xfId="20214"/>
    <cellStyle name="Normal 6 3 17" xfId="21966"/>
    <cellStyle name="Normal 6 3 18" xfId="23718"/>
    <cellStyle name="Normal 6 3 19" xfId="25470"/>
    <cellStyle name="Normal 6 3 2" xfId="2102"/>
    <cellStyle name="Normal 6 3 2 10" xfId="11560"/>
    <cellStyle name="Normal 6 3 2 11" xfId="13312"/>
    <cellStyle name="Normal 6 3 2 12" xfId="15064"/>
    <cellStyle name="Normal 6 3 2 13" xfId="16817"/>
    <cellStyle name="Normal 6 3 2 14" xfId="18569"/>
    <cellStyle name="Normal 6 3 2 15" xfId="20322"/>
    <cellStyle name="Normal 6 3 2 16" xfId="22074"/>
    <cellStyle name="Normal 6 3 2 17" xfId="23826"/>
    <cellStyle name="Normal 6 3 2 18" xfId="25578"/>
    <cellStyle name="Normal 6 3 2 19" xfId="27330"/>
    <cellStyle name="Normal 6 3 2 2" xfId="2103"/>
    <cellStyle name="Normal 6 3 2 2 10" xfId="13557"/>
    <cellStyle name="Normal 6 3 2 2 11" xfId="15309"/>
    <cellStyle name="Normal 6 3 2 2 12" xfId="17062"/>
    <cellStyle name="Normal 6 3 2 2 13" xfId="18814"/>
    <cellStyle name="Normal 6 3 2 2 14" xfId="20567"/>
    <cellStyle name="Normal 6 3 2 2 15" xfId="22319"/>
    <cellStyle name="Normal 6 3 2 2 16" xfId="24071"/>
    <cellStyle name="Normal 6 3 2 2 17" xfId="25823"/>
    <cellStyle name="Normal 6 3 2 2 18" xfId="27575"/>
    <cellStyle name="Normal 6 3 2 2 19" xfId="29328"/>
    <cellStyle name="Normal 6 3 2 2 2" xfId="2104"/>
    <cellStyle name="Normal 6 3 2 2 2 10" xfId="15745"/>
    <cellStyle name="Normal 6 3 2 2 2 11" xfId="17498"/>
    <cellStyle name="Normal 6 3 2 2 2 12" xfId="19250"/>
    <cellStyle name="Normal 6 3 2 2 2 13" xfId="21003"/>
    <cellStyle name="Normal 6 3 2 2 2 14" xfId="22755"/>
    <cellStyle name="Normal 6 3 2 2 2 15" xfId="24507"/>
    <cellStyle name="Normal 6 3 2 2 2 16" xfId="26259"/>
    <cellStyle name="Normal 6 3 2 2 2 17" xfId="28011"/>
    <cellStyle name="Normal 6 3 2 2 2 18" xfId="29764"/>
    <cellStyle name="Normal 6 3 2 2 2 19" xfId="31516"/>
    <cellStyle name="Normal 6 3 2 2 2 2" xfId="2105"/>
    <cellStyle name="Normal 6 3 2 2 2 2 10" xfId="18374"/>
    <cellStyle name="Normal 6 3 2 2 2 2 11" xfId="20126"/>
    <cellStyle name="Normal 6 3 2 2 2 2 12" xfId="21879"/>
    <cellStyle name="Normal 6 3 2 2 2 2 13" xfId="23631"/>
    <cellStyle name="Normal 6 3 2 2 2 2 14" xfId="25383"/>
    <cellStyle name="Normal 6 3 2 2 2 2 15" xfId="27135"/>
    <cellStyle name="Normal 6 3 2 2 2 2 16" xfId="28887"/>
    <cellStyle name="Normal 6 3 2 2 2 2 17" xfId="30640"/>
    <cellStyle name="Normal 6 3 2 2 2 2 18" xfId="32392"/>
    <cellStyle name="Normal 6 3 2 2 2 2 19" xfId="34145"/>
    <cellStyle name="Normal 6 3 2 2 2 2 2" xfId="4356"/>
    <cellStyle name="Normal 6 3 2 2 2 2 20" xfId="36781"/>
    <cellStyle name="Normal 6 3 2 2 2 2 21" xfId="38521"/>
    <cellStyle name="Normal 6 3 2 2 2 2 22" xfId="40274"/>
    <cellStyle name="Normal 6 3 2 2 2 2 23" xfId="42029"/>
    <cellStyle name="Normal 6 3 2 2 2 2 24" xfId="43781"/>
    <cellStyle name="Normal 6 3 2 2 2 2 25" xfId="46399"/>
    <cellStyle name="Normal 6 3 2 2 2 2 26" xfId="48151"/>
    <cellStyle name="Normal 6 3 2 2 2 2 27" xfId="49903"/>
    <cellStyle name="Normal 6 3 2 2 2 2 28" xfId="51655"/>
    <cellStyle name="Normal 6 3 2 2 2 2 29" xfId="53407"/>
    <cellStyle name="Normal 6 3 2 2 2 2 3" xfId="6108"/>
    <cellStyle name="Normal 6 3 2 2 2 2 30" xfId="55159"/>
    <cellStyle name="Normal 6 3 2 2 2 2 31" xfId="56911"/>
    <cellStyle name="Normal 6 3 2 2 2 2 32" xfId="58664"/>
    <cellStyle name="Normal 6 3 2 2 2 2 33" xfId="60416"/>
    <cellStyle name="Normal 6 3 2 2 2 2 34" xfId="62168"/>
    <cellStyle name="Normal 6 3 2 2 2 2 4" xfId="7860"/>
    <cellStyle name="Normal 6 3 2 2 2 2 5" xfId="9612"/>
    <cellStyle name="Normal 6 3 2 2 2 2 6" xfId="11365"/>
    <cellStyle name="Normal 6 3 2 2 2 2 7" xfId="13117"/>
    <cellStyle name="Normal 6 3 2 2 2 2 8" xfId="14869"/>
    <cellStyle name="Normal 6 3 2 2 2 2 9" xfId="16621"/>
    <cellStyle name="Normal 6 3 2 2 2 20" xfId="33269"/>
    <cellStyle name="Normal 6 3 2 2 2 21" xfId="34967"/>
    <cellStyle name="Normal 6 3 2 2 2 22" xfId="35905"/>
    <cellStyle name="Normal 6 3 2 2 2 23" xfId="37588"/>
    <cellStyle name="Normal 6 3 2 2 2 24" xfId="39398"/>
    <cellStyle name="Normal 6 3 2 2 2 25" xfId="41153"/>
    <cellStyle name="Normal 6 3 2 2 2 26" xfId="42905"/>
    <cellStyle name="Normal 6 3 2 2 2 27" xfId="44588"/>
    <cellStyle name="Normal 6 3 2 2 2 28" xfId="45523"/>
    <cellStyle name="Normal 6 3 2 2 2 29" xfId="47275"/>
    <cellStyle name="Normal 6 3 2 2 2 3" xfId="3480"/>
    <cellStyle name="Normal 6 3 2 2 2 30" xfId="49027"/>
    <cellStyle name="Normal 6 3 2 2 2 31" xfId="50779"/>
    <cellStyle name="Normal 6 3 2 2 2 32" xfId="52531"/>
    <cellStyle name="Normal 6 3 2 2 2 33" xfId="54283"/>
    <cellStyle name="Normal 6 3 2 2 2 34" xfId="56035"/>
    <cellStyle name="Normal 6 3 2 2 2 35" xfId="57788"/>
    <cellStyle name="Normal 6 3 2 2 2 36" xfId="59540"/>
    <cellStyle name="Normal 6 3 2 2 2 37" xfId="61292"/>
    <cellStyle name="Normal 6 3 2 2 2 38" xfId="62975"/>
    <cellStyle name="Normal 6 3 2 2 2 39" xfId="63841"/>
    <cellStyle name="Normal 6 3 2 2 2 4" xfId="5232"/>
    <cellStyle name="Normal 6 3 2 2 2 5" xfId="6984"/>
    <cellStyle name="Normal 6 3 2 2 2 6" xfId="8736"/>
    <cellStyle name="Normal 6 3 2 2 2 7" xfId="10489"/>
    <cellStyle name="Normal 6 3 2 2 2 8" xfId="12241"/>
    <cellStyle name="Normal 6 3 2 2 2 9" xfId="13993"/>
    <cellStyle name="Normal 6 3 2 2 20" xfId="31080"/>
    <cellStyle name="Normal 6 3 2 2 21" xfId="32833"/>
    <cellStyle name="Normal 6 3 2 2 22" xfId="34966"/>
    <cellStyle name="Normal 6 3 2 2 23" xfId="35469"/>
    <cellStyle name="Normal 6 3 2 2 24" xfId="37587"/>
    <cellStyle name="Normal 6 3 2 2 25" xfId="38962"/>
    <cellStyle name="Normal 6 3 2 2 26" xfId="40717"/>
    <cellStyle name="Normal 6 3 2 2 27" xfId="42469"/>
    <cellStyle name="Normal 6 3 2 2 28" xfId="44587"/>
    <cellStyle name="Normal 6 3 2 2 29" xfId="45087"/>
    <cellStyle name="Normal 6 3 2 2 3" xfId="2106"/>
    <cellStyle name="Normal 6 3 2 2 3 10" xfId="17938"/>
    <cellStyle name="Normal 6 3 2 2 3 11" xfId="19690"/>
    <cellStyle name="Normal 6 3 2 2 3 12" xfId="21443"/>
    <cellStyle name="Normal 6 3 2 2 3 13" xfId="23195"/>
    <cellStyle name="Normal 6 3 2 2 3 14" xfId="24947"/>
    <cellStyle name="Normal 6 3 2 2 3 15" xfId="26699"/>
    <cellStyle name="Normal 6 3 2 2 3 16" xfId="28451"/>
    <cellStyle name="Normal 6 3 2 2 3 17" xfId="30204"/>
    <cellStyle name="Normal 6 3 2 2 3 18" xfId="31956"/>
    <cellStyle name="Normal 6 3 2 2 3 19" xfId="33709"/>
    <cellStyle name="Normal 6 3 2 2 3 2" xfId="3920"/>
    <cellStyle name="Normal 6 3 2 2 3 20" xfId="36345"/>
    <cellStyle name="Normal 6 3 2 2 3 21" xfId="38085"/>
    <cellStyle name="Normal 6 3 2 2 3 22" xfId="39838"/>
    <cellStyle name="Normal 6 3 2 2 3 23" xfId="41593"/>
    <cellStyle name="Normal 6 3 2 2 3 24" xfId="43345"/>
    <cellStyle name="Normal 6 3 2 2 3 25" xfId="45963"/>
    <cellStyle name="Normal 6 3 2 2 3 26" xfId="47715"/>
    <cellStyle name="Normal 6 3 2 2 3 27" xfId="49467"/>
    <cellStyle name="Normal 6 3 2 2 3 28" xfId="51219"/>
    <cellStyle name="Normal 6 3 2 2 3 29" xfId="52971"/>
    <cellStyle name="Normal 6 3 2 2 3 3" xfId="5672"/>
    <cellStyle name="Normal 6 3 2 2 3 30" xfId="54723"/>
    <cellStyle name="Normal 6 3 2 2 3 31" xfId="56475"/>
    <cellStyle name="Normal 6 3 2 2 3 32" xfId="58228"/>
    <cellStyle name="Normal 6 3 2 2 3 33" xfId="59980"/>
    <cellStyle name="Normal 6 3 2 2 3 34" xfId="61732"/>
    <cellStyle name="Normal 6 3 2 2 3 4" xfId="7424"/>
    <cellStyle name="Normal 6 3 2 2 3 5" xfId="9176"/>
    <cellStyle name="Normal 6 3 2 2 3 6" xfId="10929"/>
    <cellStyle name="Normal 6 3 2 2 3 7" xfId="12681"/>
    <cellStyle name="Normal 6 3 2 2 3 8" xfId="14433"/>
    <cellStyle name="Normal 6 3 2 2 3 9" xfId="16185"/>
    <cellStyle name="Normal 6 3 2 2 30" xfId="46839"/>
    <cellStyle name="Normal 6 3 2 2 31" xfId="48591"/>
    <cellStyle name="Normal 6 3 2 2 32" xfId="50343"/>
    <cellStyle name="Normal 6 3 2 2 33" xfId="52095"/>
    <cellStyle name="Normal 6 3 2 2 34" xfId="53847"/>
    <cellStyle name="Normal 6 3 2 2 35" xfId="55599"/>
    <cellStyle name="Normal 6 3 2 2 36" xfId="57352"/>
    <cellStyle name="Normal 6 3 2 2 37" xfId="59104"/>
    <cellStyle name="Normal 6 3 2 2 38" xfId="60856"/>
    <cellStyle name="Normal 6 3 2 2 39" xfId="62974"/>
    <cellStyle name="Normal 6 3 2 2 4" xfId="3044"/>
    <cellStyle name="Normal 6 3 2 2 40" xfId="63840"/>
    <cellStyle name="Normal 6 3 2 2 5" xfId="4796"/>
    <cellStyle name="Normal 6 3 2 2 6" xfId="6548"/>
    <cellStyle name="Normal 6 3 2 2 7" xfId="8300"/>
    <cellStyle name="Normal 6 3 2 2 8" xfId="10053"/>
    <cellStyle name="Normal 6 3 2 2 9" xfId="11805"/>
    <cellStyle name="Normal 6 3 2 20" xfId="29083"/>
    <cellStyle name="Normal 6 3 2 21" xfId="30835"/>
    <cellStyle name="Normal 6 3 2 22" xfId="32588"/>
    <cellStyle name="Normal 6 3 2 23" xfId="34965"/>
    <cellStyle name="Normal 6 3 2 24" xfId="35224"/>
    <cellStyle name="Normal 6 3 2 25" xfId="37586"/>
    <cellStyle name="Normal 6 3 2 26" xfId="38717"/>
    <cellStyle name="Normal 6 3 2 27" xfId="40472"/>
    <cellStyle name="Normal 6 3 2 28" xfId="42224"/>
    <cellStyle name="Normal 6 3 2 29" xfId="44586"/>
    <cellStyle name="Normal 6 3 2 3" xfId="2107"/>
    <cellStyle name="Normal 6 3 2 3 10" xfId="15500"/>
    <cellStyle name="Normal 6 3 2 3 11" xfId="17253"/>
    <cellStyle name="Normal 6 3 2 3 12" xfId="19005"/>
    <cellStyle name="Normal 6 3 2 3 13" xfId="20758"/>
    <cellStyle name="Normal 6 3 2 3 14" xfId="22510"/>
    <cellStyle name="Normal 6 3 2 3 15" xfId="24262"/>
    <cellStyle name="Normal 6 3 2 3 16" xfId="26014"/>
    <cellStyle name="Normal 6 3 2 3 17" xfId="27766"/>
    <cellStyle name="Normal 6 3 2 3 18" xfId="29519"/>
    <cellStyle name="Normal 6 3 2 3 19" xfId="31271"/>
    <cellStyle name="Normal 6 3 2 3 2" xfId="2108"/>
    <cellStyle name="Normal 6 3 2 3 2 10" xfId="18129"/>
    <cellStyle name="Normal 6 3 2 3 2 11" xfId="19881"/>
    <cellStyle name="Normal 6 3 2 3 2 12" xfId="21634"/>
    <cellStyle name="Normal 6 3 2 3 2 13" xfId="23386"/>
    <cellStyle name="Normal 6 3 2 3 2 14" xfId="25138"/>
    <cellStyle name="Normal 6 3 2 3 2 15" xfId="26890"/>
    <cellStyle name="Normal 6 3 2 3 2 16" xfId="28642"/>
    <cellStyle name="Normal 6 3 2 3 2 17" xfId="30395"/>
    <cellStyle name="Normal 6 3 2 3 2 18" xfId="32147"/>
    <cellStyle name="Normal 6 3 2 3 2 19" xfId="33900"/>
    <cellStyle name="Normal 6 3 2 3 2 2" xfId="4111"/>
    <cellStyle name="Normal 6 3 2 3 2 20" xfId="36536"/>
    <cellStyle name="Normal 6 3 2 3 2 21" xfId="38276"/>
    <cellStyle name="Normal 6 3 2 3 2 22" xfId="40029"/>
    <cellStyle name="Normal 6 3 2 3 2 23" xfId="41784"/>
    <cellStyle name="Normal 6 3 2 3 2 24" xfId="43536"/>
    <cellStyle name="Normal 6 3 2 3 2 25" xfId="46154"/>
    <cellStyle name="Normal 6 3 2 3 2 26" xfId="47906"/>
    <cellStyle name="Normal 6 3 2 3 2 27" xfId="49658"/>
    <cellStyle name="Normal 6 3 2 3 2 28" xfId="51410"/>
    <cellStyle name="Normal 6 3 2 3 2 29" xfId="53162"/>
    <cellStyle name="Normal 6 3 2 3 2 3" xfId="5863"/>
    <cellStyle name="Normal 6 3 2 3 2 30" xfId="54914"/>
    <cellStyle name="Normal 6 3 2 3 2 31" xfId="56666"/>
    <cellStyle name="Normal 6 3 2 3 2 32" xfId="58419"/>
    <cellStyle name="Normal 6 3 2 3 2 33" xfId="60171"/>
    <cellStyle name="Normal 6 3 2 3 2 34" xfId="61923"/>
    <cellStyle name="Normal 6 3 2 3 2 4" xfId="7615"/>
    <cellStyle name="Normal 6 3 2 3 2 5" xfId="9367"/>
    <cellStyle name="Normal 6 3 2 3 2 6" xfId="11120"/>
    <cellStyle name="Normal 6 3 2 3 2 7" xfId="12872"/>
    <cellStyle name="Normal 6 3 2 3 2 8" xfId="14624"/>
    <cellStyle name="Normal 6 3 2 3 2 9" xfId="16376"/>
    <cellStyle name="Normal 6 3 2 3 20" xfId="33024"/>
    <cellStyle name="Normal 6 3 2 3 21" xfId="34968"/>
    <cellStyle name="Normal 6 3 2 3 22" xfId="35660"/>
    <cellStyle name="Normal 6 3 2 3 23" xfId="37589"/>
    <cellStyle name="Normal 6 3 2 3 24" xfId="39153"/>
    <cellStyle name="Normal 6 3 2 3 25" xfId="40908"/>
    <cellStyle name="Normal 6 3 2 3 26" xfId="42660"/>
    <cellStyle name="Normal 6 3 2 3 27" xfId="44589"/>
    <cellStyle name="Normal 6 3 2 3 28" xfId="45278"/>
    <cellStyle name="Normal 6 3 2 3 29" xfId="47030"/>
    <cellStyle name="Normal 6 3 2 3 3" xfId="3235"/>
    <cellStyle name="Normal 6 3 2 3 30" xfId="48782"/>
    <cellStyle name="Normal 6 3 2 3 31" xfId="50534"/>
    <cellStyle name="Normal 6 3 2 3 32" xfId="52286"/>
    <cellStyle name="Normal 6 3 2 3 33" xfId="54038"/>
    <cellStyle name="Normal 6 3 2 3 34" xfId="55790"/>
    <cellStyle name="Normal 6 3 2 3 35" xfId="57543"/>
    <cellStyle name="Normal 6 3 2 3 36" xfId="59295"/>
    <cellStyle name="Normal 6 3 2 3 37" xfId="61047"/>
    <cellStyle name="Normal 6 3 2 3 38" xfId="62976"/>
    <cellStyle name="Normal 6 3 2 3 39" xfId="63842"/>
    <cellStyle name="Normal 6 3 2 3 4" xfId="4987"/>
    <cellStyle name="Normal 6 3 2 3 5" xfId="6739"/>
    <cellStyle name="Normal 6 3 2 3 6" xfId="8491"/>
    <cellStyle name="Normal 6 3 2 3 7" xfId="10244"/>
    <cellStyle name="Normal 6 3 2 3 8" xfId="11996"/>
    <cellStyle name="Normal 6 3 2 3 9" xfId="13748"/>
    <cellStyle name="Normal 6 3 2 30" xfId="44842"/>
    <cellStyle name="Normal 6 3 2 31" xfId="46594"/>
    <cellStyle name="Normal 6 3 2 32" xfId="48346"/>
    <cellStyle name="Normal 6 3 2 33" xfId="50098"/>
    <cellStyle name="Normal 6 3 2 34" xfId="51850"/>
    <cellStyle name="Normal 6 3 2 35" xfId="53602"/>
    <cellStyle name="Normal 6 3 2 36" xfId="55354"/>
    <cellStyle name="Normal 6 3 2 37" xfId="57107"/>
    <cellStyle name="Normal 6 3 2 38" xfId="58859"/>
    <cellStyle name="Normal 6 3 2 39" xfId="60611"/>
    <cellStyle name="Normal 6 3 2 4" xfId="2109"/>
    <cellStyle name="Normal 6 3 2 4 10" xfId="17693"/>
    <cellStyle name="Normal 6 3 2 4 11" xfId="19445"/>
    <cellStyle name="Normal 6 3 2 4 12" xfId="21198"/>
    <cellStyle name="Normal 6 3 2 4 13" xfId="22950"/>
    <cellStyle name="Normal 6 3 2 4 14" xfId="24702"/>
    <cellStyle name="Normal 6 3 2 4 15" xfId="26454"/>
    <cellStyle name="Normal 6 3 2 4 16" xfId="28206"/>
    <cellStyle name="Normal 6 3 2 4 17" xfId="29959"/>
    <cellStyle name="Normal 6 3 2 4 18" xfId="31711"/>
    <cellStyle name="Normal 6 3 2 4 19" xfId="33464"/>
    <cellStyle name="Normal 6 3 2 4 2" xfId="3675"/>
    <cellStyle name="Normal 6 3 2 4 20" xfId="36100"/>
    <cellStyle name="Normal 6 3 2 4 21" xfId="37840"/>
    <cellStyle name="Normal 6 3 2 4 22" xfId="39593"/>
    <cellStyle name="Normal 6 3 2 4 23" xfId="41348"/>
    <cellStyle name="Normal 6 3 2 4 24" xfId="43100"/>
    <cellStyle name="Normal 6 3 2 4 25" xfId="45718"/>
    <cellStyle name="Normal 6 3 2 4 26" xfId="47470"/>
    <cellStyle name="Normal 6 3 2 4 27" xfId="49222"/>
    <cellStyle name="Normal 6 3 2 4 28" xfId="50974"/>
    <cellStyle name="Normal 6 3 2 4 29" xfId="52726"/>
    <cellStyle name="Normal 6 3 2 4 3" xfId="5427"/>
    <cellStyle name="Normal 6 3 2 4 30" xfId="54478"/>
    <cellStyle name="Normal 6 3 2 4 31" xfId="56230"/>
    <cellStyle name="Normal 6 3 2 4 32" xfId="57983"/>
    <cellStyle name="Normal 6 3 2 4 33" xfId="59735"/>
    <cellStyle name="Normal 6 3 2 4 34" xfId="61487"/>
    <cellStyle name="Normal 6 3 2 4 4" xfId="7179"/>
    <cellStyle name="Normal 6 3 2 4 5" xfId="8931"/>
    <cellStyle name="Normal 6 3 2 4 6" xfId="10684"/>
    <cellStyle name="Normal 6 3 2 4 7" xfId="12436"/>
    <cellStyle name="Normal 6 3 2 4 8" xfId="14188"/>
    <cellStyle name="Normal 6 3 2 4 9" xfId="15940"/>
    <cellStyle name="Normal 6 3 2 40" xfId="62973"/>
    <cellStyle name="Normal 6 3 2 41" xfId="63839"/>
    <cellStyle name="Normal 6 3 2 5" xfId="2799"/>
    <cellStyle name="Normal 6 3 2 6" xfId="4551"/>
    <cellStyle name="Normal 6 3 2 7" xfId="6303"/>
    <cellStyle name="Normal 6 3 2 8" xfId="8055"/>
    <cellStyle name="Normal 6 3 2 9" xfId="9808"/>
    <cellStyle name="Normal 6 3 20" xfId="27222"/>
    <cellStyle name="Normal 6 3 21" xfId="28975"/>
    <cellStyle name="Normal 6 3 22" xfId="30727"/>
    <cellStyle name="Normal 6 3 23" xfId="32480"/>
    <cellStyle name="Normal 6 3 24" xfId="34964"/>
    <cellStyle name="Normal 6 3 25" xfId="35116"/>
    <cellStyle name="Normal 6 3 26" xfId="37585"/>
    <cellStyle name="Normal 6 3 27" xfId="38609"/>
    <cellStyle name="Normal 6 3 28" xfId="40364"/>
    <cellStyle name="Normal 6 3 29" xfId="42116"/>
    <cellStyle name="Normal 6 3 3" xfId="2110"/>
    <cellStyle name="Normal 6 3 3 10" xfId="13558"/>
    <cellStyle name="Normal 6 3 3 11" xfId="15310"/>
    <cellStyle name="Normal 6 3 3 12" xfId="17063"/>
    <cellStyle name="Normal 6 3 3 13" xfId="18815"/>
    <cellStyle name="Normal 6 3 3 14" xfId="20568"/>
    <cellStyle name="Normal 6 3 3 15" xfId="22320"/>
    <cellStyle name="Normal 6 3 3 16" xfId="24072"/>
    <cellStyle name="Normal 6 3 3 17" xfId="25824"/>
    <cellStyle name="Normal 6 3 3 18" xfId="27576"/>
    <cellStyle name="Normal 6 3 3 19" xfId="29329"/>
    <cellStyle name="Normal 6 3 3 2" xfId="2111"/>
    <cellStyle name="Normal 6 3 3 2 10" xfId="15746"/>
    <cellStyle name="Normal 6 3 3 2 11" xfId="17499"/>
    <cellStyle name="Normal 6 3 3 2 12" xfId="19251"/>
    <cellStyle name="Normal 6 3 3 2 13" xfId="21004"/>
    <cellStyle name="Normal 6 3 3 2 14" xfId="22756"/>
    <cellStyle name="Normal 6 3 3 2 15" xfId="24508"/>
    <cellStyle name="Normal 6 3 3 2 16" xfId="26260"/>
    <cellStyle name="Normal 6 3 3 2 17" xfId="28012"/>
    <cellStyle name="Normal 6 3 3 2 18" xfId="29765"/>
    <cellStyle name="Normal 6 3 3 2 19" xfId="31517"/>
    <cellStyle name="Normal 6 3 3 2 2" xfId="2112"/>
    <cellStyle name="Normal 6 3 3 2 2 10" xfId="18375"/>
    <cellStyle name="Normal 6 3 3 2 2 11" xfId="20127"/>
    <cellStyle name="Normal 6 3 3 2 2 12" xfId="21880"/>
    <cellStyle name="Normal 6 3 3 2 2 13" xfId="23632"/>
    <cellStyle name="Normal 6 3 3 2 2 14" xfId="25384"/>
    <cellStyle name="Normal 6 3 3 2 2 15" xfId="27136"/>
    <cellStyle name="Normal 6 3 3 2 2 16" xfId="28888"/>
    <cellStyle name="Normal 6 3 3 2 2 17" xfId="30641"/>
    <cellStyle name="Normal 6 3 3 2 2 18" xfId="32393"/>
    <cellStyle name="Normal 6 3 3 2 2 19" xfId="34146"/>
    <cellStyle name="Normal 6 3 3 2 2 2" xfId="4357"/>
    <cellStyle name="Normal 6 3 3 2 2 20" xfId="36782"/>
    <cellStyle name="Normal 6 3 3 2 2 21" xfId="38522"/>
    <cellStyle name="Normal 6 3 3 2 2 22" xfId="40275"/>
    <cellStyle name="Normal 6 3 3 2 2 23" xfId="42030"/>
    <cellStyle name="Normal 6 3 3 2 2 24" xfId="43782"/>
    <cellStyle name="Normal 6 3 3 2 2 25" xfId="46400"/>
    <cellStyle name="Normal 6 3 3 2 2 26" xfId="48152"/>
    <cellStyle name="Normal 6 3 3 2 2 27" xfId="49904"/>
    <cellStyle name="Normal 6 3 3 2 2 28" xfId="51656"/>
    <cellStyle name="Normal 6 3 3 2 2 29" xfId="53408"/>
    <cellStyle name="Normal 6 3 3 2 2 3" xfId="6109"/>
    <cellStyle name="Normal 6 3 3 2 2 30" xfId="55160"/>
    <cellStyle name="Normal 6 3 3 2 2 31" xfId="56912"/>
    <cellStyle name="Normal 6 3 3 2 2 32" xfId="58665"/>
    <cellStyle name="Normal 6 3 3 2 2 33" xfId="60417"/>
    <cellStyle name="Normal 6 3 3 2 2 34" xfId="62169"/>
    <cellStyle name="Normal 6 3 3 2 2 4" xfId="7861"/>
    <cellStyle name="Normal 6 3 3 2 2 5" xfId="9613"/>
    <cellStyle name="Normal 6 3 3 2 2 6" xfId="11366"/>
    <cellStyle name="Normal 6 3 3 2 2 7" xfId="13118"/>
    <cellStyle name="Normal 6 3 3 2 2 8" xfId="14870"/>
    <cellStyle name="Normal 6 3 3 2 2 9" xfId="16622"/>
    <cellStyle name="Normal 6 3 3 2 20" xfId="33270"/>
    <cellStyle name="Normal 6 3 3 2 21" xfId="34970"/>
    <cellStyle name="Normal 6 3 3 2 22" xfId="35906"/>
    <cellStyle name="Normal 6 3 3 2 23" xfId="37591"/>
    <cellStyle name="Normal 6 3 3 2 24" xfId="39399"/>
    <cellStyle name="Normal 6 3 3 2 25" xfId="41154"/>
    <cellStyle name="Normal 6 3 3 2 26" xfId="42906"/>
    <cellStyle name="Normal 6 3 3 2 27" xfId="44591"/>
    <cellStyle name="Normal 6 3 3 2 28" xfId="45524"/>
    <cellStyle name="Normal 6 3 3 2 29" xfId="47276"/>
    <cellStyle name="Normal 6 3 3 2 3" xfId="3481"/>
    <cellStyle name="Normal 6 3 3 2 30" xfId="49028"/>
    <cellStyle name="Normal 6 3 3 2 31" xfId="50780"/>
    <cellStyle name="Normal 6 3 3 2 32" xfId="52532"/>
    <cellStyle name="Normal 6 3 3 2 33" xfId="54284"/>
    <cellStyle name="Normal 6 3 3 2 34" xfId="56036"/>
    <cellStyle name="Normal 6 3 3 2 35" xfId="57789"/>
    <cellStyle name="Normal 6 3 3 2 36" xfId="59541"/>
    <cellStyle name="Normal 6 3 3 2 37" xfId="61293"/>
    <cellStyle name="Normal 6 3 3 2 38" xfId="62978"/>
    <cellStyle name="Normal 6 3 3 2 39" xfId="63844"/>
    <cellStyle name="Normal 6 3 3 2 4" xfId="5233"/>
    <cellStyle name="Normal 6 3 3 2 5" xfId="6985"/>
    <cellStyle name="Normal 6 3 3 2 6" xfId="8737"/>
    <cellStyle name="Normal 6 3 3 2 7" xfId="10490"/>
    <cellStyle name="Normal 6 3 3 2 8" xfId="12242"/>
    <cellStyle name="Normal 6 3 3 2 9" xfId="13994"/>
    <cellStyle name="Normal 6 3 3 20" xfId="31081"/>
    <cellStyle name="Normal 6 3 3 21" xfId="32834"/>
    <cellStyle name="Normal 6 3 3 22" xfId="34969"/>
    <cellStyle name="Normal 6 3 3 23" xfId="35470"/>
    <cellStyle name="Normal 6 3 3 24" xfId="37590"/>
    <cellStyle name="Normal 6 3 3 25" xfId="38963"/>
    <cellStyle name="Normal 6 3 3 26" xfId="40718"/>
    <cellStyle name="Normal 6 3 3 27" xfId="42470"/>
    <cellStyle name="Normal 6 3 3 28" xfId="44590"/>
    <cellStyle name="Normal 6 3 3 29" xfId="45088"/>
    <cellStyle name="Normal 6 3 3 3" xfId="2113"/>
    <cellStyle name="Normal 6 3 3 3 10" xfId="17939"/>
    <cellStyle name="Normal 6 3 3 3 11" xfId="19691"/>
    <cellStyle name="Normal 6 3 3 3 12" xfId="21444"/>
    <cellStyle name="Normal 6 3 3 3 13" xfId="23196"/>
    <cellStyle name="Normal 6 3 3 3 14" xfId="24948"/>
    <cellStyle name="Normal 6 3 3 3 15" xfId="26700"/>
    <cellStyle name="Normal 6 3 3 3 16" xfId="28452"/>
    <cellStyle name="Normal 6 3 3 3 17" xfId="30205"/>
    <cellStyle name="Normal 6 3 3 3 18" xfId="31957"/>
    <cellStyle name="Normal 6 3 3 3 19" xfId="33710"/>
    <cellStyle name="Normal 6 3 3 3 2" xfId="3921"/>
    <cellStyle name="Normal 6 3 3 3 20" xfId="36346"/>
    <cellStyle name="Normal 6 3 3 3 21" xfId="38086"/>
    <cellStyle name="Normal 6 3 3 3 22" xfId="39839"/>
    <cellStyle name="Normal 6 3 3 3 23" xfId="41594"/>
    <cellStyle name="Normal 6 3 3 3 24" xfId="43346"/>
    <cellStyle name="Normal 6 3 3 3 25" xfId="45964"/>
    <cellStyle name="Normal 6 3 3 3 26" xfId="47716"/>
    <cellStyle name="Normal 6 3 3 3 27" xfId="49468"/>
    <cellStyle name="Normal 6 3 3 3 28" xfId="51220"/>
    <cellStyle name="Normal 6 3 3 3 29" xfId="52972"/>
    <cellStyle name="Normal 6 3 3 3 3" xfId="5673"/>
    <cellStyle name="Normal 6 3 3 3 30" xfId="54724"/>
    <cellStyle name="Normal 6 3 3 3 31" xfId="56476"/>
    <cellStyle name="Normal 6 3 3 3 32" xfId="58229"/>
    <cellStyle name="Normal 6 3 3 3 33" xfId="59981"/>
    <cellStyle name="Normal 6 3 3 3 34" xfId="61733"/>
    <cellStyle name="Normal 6 3 3 3 4" xfId="7425"/>
    <cellStyle name="Normal 6 3 3 3 5" xfId="9177"/>
    <cellStyle name="Normal 6 3 3 3 6" xfId="10930"/>
    <cellStyle name="Normal 6 3 3 3 7" xfId="12682"/>
    <cellStyle name="Normal 6 3 3 3 8" xfId="14434"/>
    <cellStyle name="Normal 6 3 3 3 9" xfId="16186"/>
    <cellStyle name="Normal 6 3 3 30" xfId="46840"/>
    <cellStyle name="Normal 6 3 3 31" xfId="48592"/>
    <cellStyle name="Normal 6 3 3 32" xfId="50344"/>
    <cellStyle name="Normal 6 3 3 33" xfId="52096"/>
    <cellStyle name="Normal 6 3 3 34" xfId="53848"/>
    <cellStyle name="Normal 6 3 3 35" xfId="55600"/>
    <cellStyle name="Normal 6 3 3 36" xfId="57353"/>
    <cellStyle name="Normal 6 3 3 37" xfId="59105"/>
    <cellStyle name="Normal 6 3 3 38" xfId="60857"/>
    <cellStyle name="Normal 6 3 3 39" xfId="62977"/>
    <cellStyle name="Normal 6 3 3 4" xfId="3045"/>
    <cellStyle name="Normal 6 3 3 40" xfId="63843"/>
    <cellStyle name="Normal 6 3 3 5" xfId="4797"/>
    <cellStyle name="Normal 6 3 3 6" xfId="6549"/>
    <cellStyle name="Normal 6 3 3 7" xfId="8301"/>
    <cellStyle name="Normal 6 3 3 8" xfId="10054"/>
    <cellStyle name="Normal 6 3 3 9" xfId="11806"/>
    <cellStyle name="Normal 6 3 30" xfId="44585"/>
    <cellStyle name="Normal 6 3 31" xfId="44734"/>
    <cellStyle name="Normal 6 3 32" xfId="46486"/>
    <cellStyle name="Normal 6 3 33" xfId="48238"/>
    <cellStyle name="Normal 6 3 34" xfId="49990"/>
    <cellStyle name="Normal 6 3 35" xfId="51742"/>
    <cellStyle name="Normal 6 3 36" xfId="53494"/>
    <cellStyle name="Normal 6 3 37" xfId="55246"/>
    <cellStyle name="Normal 6 3 38" xfId="56999"/>
    <cellStyle name="Normal 6 3 39" xfId="58751"/>
    <cellStyle name="Normal 6 3 4" xfId="2114"/>
    <cellStyle name="Normal 6 3 4 10" xfId="15392"/>
    <cellStyle name="Normal 6 3 4 11" xfId="17145"/>
    <cellStyle name="Normal 6 3 4 12" xfId="18897"/>
    <cellStyle name="Normal 6 3 4 13" xfId="20650"/>
    <cellStyle name="Normal 6 3 4 14" xfId="22402"/>
    <cellStyle name="Normal 6 3 4 15" xfId="24154"/>
    <cellStyle name="Normal 6 3 4 16" xfId="25906"/>
    <cellStyle name="Normal 6 3 4 17" xfId="27658"/>
    <cellStyle name="Normal 6 3 4 18" xfId="29411"/>
    <cellStyle name="Normal 6 3 4 19" xfId="31163"/>
    <cellStyle name="Normal 6 3 4 2" xfId="2115"/>
    <cellStyle name="Normal 6 3 4 2 10" xfId="18021"/>
    <cellStyle name="Normal 6 3 4 2 11" xfId="19773"/>
    <cellStyle name="Normal 6 3 4 2 12" xfId="21526"/>
    <cellStyle name="Normal 6 3 4 2 13" xfId="23278"/>
    <cellStyle name="Normal 6 3 4 2 14" xfId="25030"/>
    <cellStyle name="Normal 6 3 4 2 15" xfId="26782"/>
    <cellStyle name="Normal 6 3 4 2 16" xfId="28534"/>
    <cellStyle name="Normal 6 3 4 2 17" xfId="30287"/>
    <cellStyle name="Normal 6 3 4 2 18" xfId="32039"/>
    <cellStyle name="Normal 6 3 4 2 19" xfId="33792"/>
    <cellStyle name="Normal 6 3 4 2 2" xfId="4003"/>
    <cellStyle name="Normal 6 3 4 2 20" xfId="36428"/>
    <cellStyle name="Normal 6 3 4 2 21" xfId="38168"/>
    <cellStyle name="Normal 6 3 4 2 22" xfId="39921"/>
    <cellStyle name="Normal 6 3 4 2 23" xfId="41676"/>
    <cellStyle name="Normal 6 3 4 2 24" xfId="43428"/>
    <cellStyle name="Normal 6 3 4 2 25" xfId="46046"/>
    <cellStyle name="Normal 6 3 4 2 26" xfId="47798"/>
    <cellStyle name="Normal 6 3 4 2 27" xfId="49550"/>
    <cellStyle name="Normal 6 3 4 2 28" xfId="51302"/>
    <cellStyle name="Normal 6 3 4 2 29" xfId="53054"/>
    <cellStyle name="Normal 6 3 4 2 3" xfId="5755"/>
    <cellStyle name="Normal 6 3 4 2 30" xfId="54806"/>
    <cellStyle name="Normal 6 3 4 2 31" xfId="56558"/>
    <cellStyle name="Normal 6 3 4 2 32" xfId="58311"/>
    <cellStyle name="Normal 6 3 4 2 33" xfId="60063"/>
    <cellStyle name="Normal 6 3 4 2 34" xfId="61815"/>
    <cellStyle name="Normal 6 3 4 2 4" xfId="7507"/>
    <cellStyle name="Normal 6 3 4 2 5" xfId="9259"/>
    <cellStyle name="Normal 6 3 4 2 6" xfId="11012"/>
    <cellStyle name="Normal 6 3 4 2 7" xfId="12764"/>
    <cellStyle name="Normal 6 3 4 2 8" xfId="14516"/>
    <cellStyle name="Normal 6 3 4 2 9" xfId="16268"/>
    <cellStyle name="Normal 6 3 4 20" xfId="32916"/>
    <cellStyle name="Normal 6 3 4 21" xfId="34971"/>
    <cellStyle name="Normal 6 3 4 22" xfId="35552"/>
    <cellStyle name="Normal 6 3 4 23" xfId="37592"/>
    <cellStyle name="Normal 6 3 4 24" xfId="39045"/>
    <cellStyle name="Normal 6 3 4 25" xfId="40800"/>
    <cellStyle name="Normal 6 3 4 26" xfId="42552"/>
    <cellStyle name="Normal 6 3 4 27" xfId="44592"/>
    <cellStyle name="Normal 6 3 4 28" xfId="45170"/>
    <cellStyle name="Normal 6 3 4 29" xfId="46922"/>
    <cellStyle name="Normal 6 3 4 3" xfId="3127"/>
    <cellStyle name="Normal 6 3 4 30" xfId="48674"/>
    <cellStyle name="Normal 6 3 4 31" xfId="50426"/>
    <cellStyle name="Normal 6 3 4 32" xfId="52178"/>
    <cellStyle name="Normal 6 3 4 33" xfId="53930"/>
    <cellStyle name="Normal 6 3 4 34" xfId="55682"/>
    <cellStyle name="Normal 6 3 4 35" xfId="57435"/>
    <cellStyle name="Normal 6 3 4 36" xfId="59187"/>
    <cellStyle name="Normal 6 3 4 37" xfId="60939"/>
    <cellStyle name="Normal 6 3 4 38" xfId="62979"/>
    <cellStyle name="Normal 6 3 4 39" xfId="63845"/>
    <cellStyle name="Normal 6 3 4 4" xfId="4879"/>
    <cellStyle name="Normal 6 3 4 5" xfId="6631"/>
    <cellStyle name="Normal 6 3 4 6" xfId="8383"/>
    <cellStyle name="Normal 6 3 4 7" xfId="10136"/>
    <cellStyle name="Normal 6 3 4 8" xfId="11888"/>
    <cellStyle name="Normal 6 3 4 9" xfId="13640"/>
    <cellStyle name="Normal 6 3 40" xfId="60503"/>
    <cellStyle name="Normal 6 3 41" xfId="62972"/>
    <cellStyle name="Normal 6 3 42" xfId="63838"/>
    <cellStyle name="Normal 6 3 5" xfId="2116"/>
    <cellStyle name="Normal 6 3 5 10" xfId="17585"/>
    <cellStyle name="Normal 6 3 5 11" xfId="19337"/>
    <cellStyle name="Normal 6 3 5 12" xfId="21090"/>
    <cellStyle name="Normal 6 3 5 13" xfId="22842"/>
    <cellStyle name="Normal 6 3 5 14" xfId="24594"/>
    <cellStyle name="Normal 6 3 5 15" xfId="26346"/>
    <cellStyle name="Normal 6 3 5 16" xfId="28098"/>
    <cellStyle name="Normal 6 3 5 17" xfId="29851"/>
    <cellStyle name="Normal 6 3 5 18" xfId="31603"/>
    <cellStyle name="Normal 6 3 5 19" xfId="33356"/>
    <cellStyle name="Normal 6 3 5 2" xfId="3567"/>
    <cellStyle name="Normal 6 3 5 20" xfId="35992"/>
    <cellStyle name="Normal 6 3 5 21" xfId="37735"/>
    <cellStyle name="Normal 6 3 5 22" xfId="39485"/>
    <cellStyle name="Normal 6 3 5 23" xfId="41240"/>
    <cellStyle name="Normal 6 3 5 24" xfId="42992"/>
    <cellStyle name="Normal 6 3 5 25" xfId="45610"/>
    <cellStyle name="Normal 6 3 5 26" xfId="47362"/>
    <cellStyle name="Normal 6 3 5 27" xfId="49114"/>
    <cellStyle name="Normal 6 3 5 28" xfId="50866"/>
    <cellStyle name="Normal 6 3 5 29" xfId="52618"/>
    <cellStyle name="Normal 6 3 5 3" xfId="5319"/>
    <cellStyle name="Normal 6 3 5 30" xfId="54370"/>
    <cellStyle name="Normal 6 3 5 31" xfId="56122"/>
    <cellStyle name="Normal 6 3 5 32" xfId="57875"/>
    <cellStyle name="Normal 6 3 5 33" xfId="59627"/>
    <cellStyle name="Normal 6 3 5 34" xfId="61379"/>
    <cellStyle name="Normal 6 3 5 4" xfId="7071"/>
    <cellStyle name="Normal 6 3 5 5" xfId="8823"/>
    <cellStyle name="Normal 6 3 5 6" xfId="10576"/>
    <cellStyle name="Normal 6 3 5 7" xfId="12328"/>
    <cellStyle name="Normal 6 3 5 8" xfId="14080"/>
    <cellStyle name="Normal 6 3 5 9" xfId="15832"/>
    <cellStyle name="Normal 6 3 6" xfId="2691"/>
    <cellStyle name="Normal 6 3 7" xfId="4443"/>
    <cellStyle name="Normal 6 3 8" xfId="6195"/>
    <cellStyle name="Normal 6 3 9" xfId="7947"/>
    <cellStyle name="Normal 6 30" xfId="44679"/>
    <cellStyle name="Normal 6 31" xfId="46431"/>
    <cellStyle name="Normal 6 32" xfId="48183"/>
    <cellStyle name="Normal 6 33" xfId="49935"/>
    <cellStyle name="Normal 6 34" xfId="51687"/>
    <cellStyle name="Normal 6 35" xfId="53439"/>
    <cellStyle name="Normal 6 36" xfId="55191"/>
    <cellStyle name="Normal 6 37" xfId="56944"/>
    <cellStyle name="Normal 6 38" xfId="58696"/>
    <cellStyle name="Normal 6 39" xfId="60448"/>
    <cellStyle name="Normal 6 4" xfId="2117"/>
    <cellStyle name="Normal 6 4 10" xfId="11505"/>
    <cellStyle name="Normal 6 4 11" xfId="13257"/>
    <cellStyle name="Normal 6 4 12" xfId="15009"/>
    <cellStyle name="Normal 6 4 13" xfId="16762"/>
    <cellStyle name="Normal 6 4 14" xfId="18514"/>
    <cellStyle name="Normal 6 4 15" xfId="20267"/>
    <cellStyle name="Normal 6 4 16" xfId="22019"/>
    <cellStyle name="Normal 6 4 17" xfId="23771"/>
    <cellStyle name="Normal 6 4 18" xfId="25523"/>
    <cellStyle name="Normal 6 4 19" xfId="27275"/>
    <cellStyle name="Normal 6 4 2" xfId="2118"/>
    <cellStyle name="Normal 6 4 2 10" xfId="13559"/>
    <cellStyle name="Normal 6 4 2 11" xfId="15311"/>
    <cellStyle name="Normal 6 4 2 12" xfId="17064"/>
    <cellStyle name="Normal 6 4 2 13" xfId="18816"/>
    <cellStyle name="Normal 6 4 2 14" xfId="20569"/>
    <cellStyle name="Normal 6 4 2 15" xfId="22321"/>
    <cellStyle name="Normal 6 4 2 16" xfId="24073"/>
    <cellStyle name="Normal 6 4 2 17" xfId="25825"/>
    <cellStyle name="Normal 6 4 2 18" xfId="27577"/>
    <cellStyle name="Normal 6 4 2 19" xfId="29330"/>
    <cellStyle name="Normal 6 4 2 2" xfId="2119"/>
    <cellStyle name="Normal 6 4 2 2 10" xfId="15747"/>
    <cellStyle name="Normal 6 4 2 2 11" xfId="17500"/>
    <cellStyle name="Normal 6 4 2 2 12" xfId="19252"/>
    <cellStyle name="Normal 6 4 2 2 13" xfId="21005"/>
    <cellStyle name="Normal 6 4 2 2 14" xfId="22757"/>
    <cellStyle name="Normal 6 4 2 2 15" xfId="24509"/>
    <cellStyle name="Normal 6 4 2 2 16" xfId="26261"/>
    <cellStyle name="Normal 6 4 2 2 17" xfId="28013"/>
    <cellStyle name="Normal 6 4 2 2 18" xfId="29766"/>
    <cellStyle name="Normal 6 4 2 2 19" xfId="31518"/>
    <cellStyle name="Normal 6 4 2 2 2" xfId="2120"/>
    <cellStyle name="Normal 6 4 2 2 2 10" xfId="18376"/>
    <cellStyle name="Normal 6 4 2 2 2 11" xfId="20128"/>
    <cellStyle name="Normal 6 4 2 2 2 12" xfId="21881"/>
    <cellStyle name="Normal 6 4 2 2 2 13" xfId="23633"/>
    <cellStyle name="Normal 6 4 2 2 2 14" xfId="25385"/>
    <cellStyle name="Normal 6 4 2 2 2 15" xfId="27137"/>
    <cellStyle name="Normal 6 4 2 2 2 16" xfId="28889"/>
    <cellStyle name="Normal 6 4 2 2 2 17" xfId="30642"/>
    <cellStyle name="Normal 6 4 2 2 2 18" xfId="32394"/>
    <cellStyle name="Normal 6 4 2 2 2 19" xfId="34147"/>
    <cellStyle name="Normal 6 4 2 2 2 2" xfId="4358"/>
    <cellStyle name="Normal 6 4 2 2 2 20" xfId="36783"/>
    <cellStyle name="Normal 6 4 2 2 2 21" xfId="38523"/>
    <cellStyle name="Normal 6 4 2 2 2 22" xfId="40276"/>
    <cellStyle name="Normal 6 4 2 2 2 23" xfId="42031"/>
    <cellStyle name="Normal 6 4 2 2 2 24" xfId="43783"/>
    <cellStyle name="Normal 6 4 2 2 2 25" xfId="46401"/>
    <cellStyle name="Normal 6 4 2 2 2 26" xfId="48153"/>
    <cellStyle name="Normal 6 4 2 2 2 27" xfId="49905"/>
    <cellStyle name="Normal 6 4 2 2 2 28" xfId="51657"/>
    <cellStyle name="Normal 6 4 2 2 2 29" xfId="53409"/>
    <cellStyle name="Normal 6 4 2 2 2 3" xfId="6110"/>
    <cellStyle name="Normal 6 4 2 2 2 30" xfId="55161"/>
    <cellStyle name="Normal 6 4 2 2 2 31" xfId="56913"/>
    <cellStyle name="Normal 6 4 2 2 2 32" xfId="58666"/>
    <cellStyle name="Normal 6 4 2 2 2 33" xfId="60418"/>
    <cellStyle name="Normal 6 4 2 2 2 34" xfId="62170"/>
    <cellStyle name="Normal 6 4 2 2 2 4" xfId="7862"/>
    <cellStyle name="Normal 6 4 2 2 2 5" xfId="9614"/>
    <cellStyle name="Normal 6 4 2 2 2 6" xfId="11367"/>
    <cellStyle name="Normal 6 4 2 2 2 7" xfId="13119"/>
    <cellStyle name="Normal 6 4 2 2 2 8" xfId="14871"/>
    <cellStyle name="Normal 6 4 2 2 2 9" xfId="16623"/>
    <cellStyle name="Normal 6 4 2 2 20" xfId="33271"/>
    <cellStyle name="Normal 6 4 2 2 21" xfId="34974"/>
    <cellStyle name="Normal 6 4 2 2 22" xfId="35907"/>
    <cellStyle name="Normal 6 4 2 2 23" xfId="37595"/>
    <cellStyle name="Normal 6 4 2 2 24" xfId="39400"/>
    <cellStyle name="Normal 6 4 2 2 25" xfId="41155"/>
    <cellStyle name="Normal 6 4 2 2 26" xfId="42907"/>
    <cellStyle name="Normal 6 4 2 2 27" xfId="44595"/>
    <cellStyle name="Normal 6 4 2 2 28" xfId="45525"/>
    <cellStyle name="Normal 6 4 2 2 29" xfId="47277"/>
    <cellStyle name="Normal 6 4 2 2 3" xfId="3482"/>
    <cellStyle name="Normal 6 4 2 2 30" xfId="49029"/>
    <cellStyle name="Normal 6 4 2 2 31" xfId="50781"/>
    <cellStyle name="Normal 6 4 2 2 32" xfId="52533"/>
    <cellStyle name="Normal 6 4 2 2 33" xfId="54285"/>
    <cellStyle name="Normal 6 4 2 2 34" xfId="56037"/>
    <cellStyle name="Normal 6 4 2 2 35" xfId="57790"/>
    <cellStyle name="Normal 6 4 2 2 36" xfId="59542"/>
    <cellStyle name="Normal 6 4 2 2 37" xfId="61294"/>
    <cellStyle name="Normal 6 4 2 2 38" xfId="62982"/>
    <cellStyle name="Normal 6 4 2 2 39" xfId="63848"/>
    <cellStyle name="Normal 6 4 2 2 4" xfId="5234"/>
    <cellStyle name="Normal 6 4 2 2 5" xfId="6986"/>
    <cellStyle name="Normal 6 4 2 2 6" xfId="8738"/>
    <cellStyle name="Normal 6 4 2 2 7" xfId="10491"/>
    <cellStyle name="Normal 6 4 2 2 8" xfId="12243"/>
    <cellStyle name="Normal 6 4 2 2 9" xfId="13995"/>
    <cellStyle name="Normal 6 4 2 20" xfId="31082"/>
    <cellStyle name="Normal 6 4 2 21" xfId="32835"/>
    <cellStyle name="Normal 6 4 2 22" xfId="34973"/>
    <cellStyle name="Normal 6 4 2 23" xfId="35471"/>
    <cellStyle name="Normal 6 4 2 24" xfId="37594"/>
    <cellStyle name="Normal 6 4 2 25" xfId="38964"/>
    <cellStyle name="Normal 6 4 2 26" xfId="40719"/>
    <cellStyle name="Normal 6 4 2 27" xfId="42471"/>
    <cellStyle name="Normal 6 4 2 28" xfId="44594"/>
    <cellStyle name="Normal 6 4 2 29" xfId="45089"/>
    <cellStyle name="Normal 6 4 2 3" xfId="2121"/>
    <cellStyle name="Normal 6 4 2 3 10" xfId="17940"/>
    <cellStyle name="Normal 6 4 2 3 11" xfId="19692"/>
    <cellStyle name="Normal 6 4 2 3 12" xfId="21445"/>
    <cellStyle name="Normal 6 4 2 3 13" xfId="23197"/>
    <cellStyle name="Normal 6 4 2 3 14" xfId="24949"/>
    <cellStyle name="Normal 6 4 2 3 15" xfId="26701"/>
    <cellStyle name="Normal 6 4 2 3 16" xfId="28453"/>
    <cellStyle name="Normal 6 4 2 3 17" xfId="30206"/>
    <cellStyle name="Normal 6 4 2 3 18" xfId="31958"/>
    <cellStyle name="Normal 6 4 2 3 19" xfId="33711"/>
    <cellStyle name="Normal 6 4 2 3 2" xfId="3922"/>
    <cellStyle name="Normal 6 4 2 3 20" xfId="36347"/>
    <cellStyle name="Normal 6 4 2 3 21" xfId="38087"/>
    <cellStyle name="Normal 6 4 2 3 22" xfId="39840"/>
    <cellStyle name="Normal 6 4 2 3 23" xfId="41595"/>
    <cellStyle name="Normal 6 4 2 3 24" xfId="43347"/>
    <cellStyle name="Normal 6 4 2 3 25" xfId="45965"/>
    <cellStyle name="Normal 6 4 2 3 26" xfId="47717"/>
    <cellStyle name="Normal 6 4 2 3 27" xfId="49469"/>
    <cellStyle name="Normal 6 4 2 3 28" xfId="51221"/>
    <cellStyle name="Normal 6 4 2 3 29" xfId="52973"/>
    <cellStyle name="Normal 6 4 2 3 3" xfId="5674"/>
    <cellStyle name="Normal 6 4 2 3 30" xfId="54725"/>
    <cellStyle name="Normal 6 4 2 3 31" xfId="56477"/>
    <cellStyle name="Normal 6 4 2 3 32" xfId="58230"/>
    <cellStyle name="Normal 6 4 2 3 33" xfId="59982"/>
    <cellStyle name="Normal 6 4 2 3 34" xfId="61734"/>
    <cellStyle name="Normal 6 4 2 3 4" xfId="7426"/>
    <cellStyle name="Normal 6 4 2 3 5" xfId="9178"/>
    <cellStyle name="Normal 6 4 2 3 6" xfId="10931"/>
    <cellStyle name="Normal 6 4 2 3 7" xfId="12683"/>
    <cellStyle name="Normal 6 4 2 3 8" xfId="14435"/>
    <cellStyle name="Normal 6 4 2 3 9" xfId="16187"/>
    <cellStyle name="Normal 6 4 2 30" xfId="46841"/>
    <cellStyle name="Normal 6 4 2 31" xfId="48593"/>
    <cellStyle name="Normal 6 4 2 32" xfId="50345"/>
    <cellStyle name="Normal 6 4 2 33" xfId="52097"/>
    <cellStyle name="Normal 6 4 2 34" xfId="53849"/>
    <cellStyle name="Normal 6 4 2 35" xfId="55601"/>
    <cellStyle name="Normal 6 4 2 36" xfId="57354"/>
    <cellStyle name="Normal 6 4 2 37" xfId="59106"/>
    <cellStyle name="Normal 6 4 2 38" xfId="60858"/>
    <cellStyle name="Normal 6 4 2 39" xfId="62981"/>
    <cellStyle name="Normal 6 4 2 4" xfId="3046"/>
    <cellStyle name="Normal 6 4 2 40" xfId="63847"/>
    <cellStyle name="Normal 6 4 2 5" xfId="4798"/>
    <cellStyle name="Normal 6 4 2 6" xfId="6550"/>
    <cellStyle name="Normal 6 4 2 7" xfId="8302"/>
    <cellStyle name="Normal 6 4 2 8" xfId="10055"/>
    <cellStyle name="Normal 6 4 2 9" xfId="11807"/>
    <cellStyle name="Normal 6 4 20" xfId="29028"/>
    <cellStyle name="Normal 6 4 21" xfId="30780"/>
    <cellStyle name="Normal 6 4 22" xfId="32533"/>
    <cellStyle name="Normal 6 4 23" xfId="34972"/>
    <cellStyle name="Normal 6 4 24" xfId="35169"/>
    <cellStyle name="Normal 6 4 25" xfId="37593"/>
    <cellStyle name="Normal 6 4 26" xfId="38662"/>
    <cellStyle name="Normal 6 4 27" xfId="40417"/>
    <cellStyle name="Normal 6 4 28" xfId="42169"/>
    <cellStyle name="Normal 6 4 29" xfId="44593"/>
    <cellStyle name="Normal 6 4 3" xfId="2122"/>
    <cellStyle name="Normal 6 4 3 10" xfId="15445"/>
    <cellStyle name="Normal 6 4 3 11" xfId="17198"/>
    <cellStyle name="Normal 6 4 3 12" xfId="18950"/>
    <cellStyle name="Normal 6 4 3 13" xfId="20703"/>
    <cellStyle name="Normal 6 4 3 14" xfId="22455"/>
    <cellStyle name="Normal 6 4 3 15" xfId="24207"/>
    <cellStyle name="Normal 6 4 3 16" xfId="25959"/>
    <cellStyle name="Normal 6 4 3 17" xfId="27711"/>
    <cellStyle name="Normal 6 4 3 18" xfId="29464"/>
    <cellStyle name="Normal 6 4 3 19" xfId="31216"/>
    <cellStyle name="Normal 6 4 3 2" xfId="2123"/>
    <cellStyle name="Normal 6 4 3 2 10" xfId="18074"/>
    <cellStyle name="Normal 6 4 3 2 11" xfId="19826"/>
    <cellStyle name="Normal 6 4 3 2 12" xfId="21579"/>
    <cellStyle name="Normal 6 4 3 2 13" xfId="23331"/>
    <cellStyle name="Normal 6 4 3 2 14" xfId="25083"/>
    <cellStyle name="Normal 6 4 3 2 15" xfId="26835"/>
    <cellStyle name="Normal 6 4 3 2 16" xfId="28587"/>
    <cellStyle name="Normal 6 4 3 2 17" xfId="30340"/>
    <cellStyle name="Normal 6 4 3 2 18" xfId="32092"/>
    <cellStyle name="Normal 6 4 3 2 19" xfId="33845"/>
    <cellStyle name="Normal 6 4 3 2 2" xfId="4056"/>
    <cellStyle name="Normal 6 4 3 2 20" xfId="36481"/>
    <cellStyle name="Normal 6 4 3 2 21" xfId="38221"/>
    <cellStyle name="Normal 6 4 3 2 22" xfId="39974"/>
    <cellStyle name="Normal 6 4 3 2 23" xfId="41729"/>
    <cellStyle name="Normal 6 4 3 2 24" xfId="43481"/>
    <cellStyle name="Normal 6 4 3 2 25" xfId="46099"/>
    <cellStyle name="Normal 6 4 3 2 26" xfId="47851"/>
    <cellStyle name="Normal 6 4 3 2 27" xfId="49603"/>
    <cellStyle name="Normal 6 4 3 2 28" xfId="51355"/>
    <cellStyle name="Normal 6 4 3 2 29" xfId="53107"/>
    <cellStyle name="Normal 6 4 3 2 3" xfId="5808"/>
    <cellStyle name="Normal 6 4 3 2 30" xfId="54859"/>
    <cellStyle name="Normal 6 4 3 2 31" xfId="56611"/>
    <cellStyle name="Normal 6 4 3 2 32" xfId="58364"/>
    <cellStyle name="Normal 6 4 3 2 33" xfId="60116"/>
    <cellStyle name="Normal 6 4 3 2 34" xfId="61868"/>
    <cellStyle name="Normal 6 4 3 2 4" xfId="7560"/>
    <cellStyle name="Normal 6 4 3 2 5" xfId="9312"/>
    <cellStyle name="Normal 6 4 3 2 6" xfId="11065"/>
    <cellStyle name="Normal 6 4 3 2 7" xfId="12817"/>
    <cellStyle name="Normal 6 4 3 2 8" xfId="14569"/>
    <cellStyle name="Normal 6 4 3 2 9" xfId="16321"/>
    <cellStyle name="Normal 6 4 3 20" xfId="32969"/>
    <cellStyle name="Normal 6 4 3 21" xfId="34975"/>
    <cellStyle name="Normal 6 4 3 22" xfId="35605"/>
    <cellStyle name="Normal 6 4 3 23" xfId="37596"/>
    <cellStyle name="Normal 6 4 3 24" xfId="39098"/>
    <cellStyle name="Normal 6 4 3 25" xfId="40853"/>
    <cellStyle name="Normal 6 4 3 26" xfId="42605"/>
    <cellStyle name="Normal 6 4 3 27" xfId="44596"/>
    <cellStyle name="Normal 6 4 3 28" xfId="45223"/>
    <cellStyle name="Normal 6 4 3 29" xfId="46975"/>
    <cellStyle name="Normal 6 4 3 3" xfId="3180"/>
    <cellStyle name="Normal 6 4 3 30" xfId="48727"/>
    <cellStyle name="Normal 6 4 3 31" xfId="50479"/>
    <cellStyle name="Normal 6 4 3 32" xfId="52231"/>
    <cellStyle name="Normal 6 4 3 33" xfId="53983"/>
    <cellStyle name="Normal 6 4 3 34" xfId="55735"/>
    <cellStyle name="Normal 6 4 3 35" xfId="57488"/>
    <cellStyle name="Normal 6 4 3 36" xfId="59240"/>
    <cellStyle name="Normal 6 4 3 37" xfId="60992"/>
    <cellStyle name="Normal 6 4 3 38" xfId="62983"/>
    <cellStyle name="Normal 6 4 3 39" xfId="63849"/>
    <cellStyle name="Normal 6 4 3 4" xfId="4932"/>
    <cellStyle name="Normal 6 4 3 5" xfId="6684"/>
    <cellStyle name="Normal 6 4 3 6" xfId="8436"/>
    <cellStyle name="Normal 6 4 3 7" xfId="10189"/>
    <cellStyle name="Normal 6 4 3 8" xfId="11941"/>
    <cellStyle name="Normal 6 4 3 9" xfId="13693"/>
    <cellStyle name="Normal 6 4 30" xfId="44787"/>
    <cellStyle name="Normal 6 4 31" xfId="46539"/>
    <cellStyle name="Normal 6 4 32" xfId="48291"/>
    <cellStyle name="Normal 6 4 33" xfId="50043"/>
    <cellStyle name="Normal 6 4 34" xfId="51795"/>
    <cellStyle name="Normal 6 4 35" xfId="53547"/>
    <cellStyle name="Normal 6 4 36" xfId="55299"/>
    <cellStyle name="Normal 6 4 37" xfId="57052"/>
    <cellStyle name="Normal 6 4 38" xfId="58804"/>
    <cellStyle name="Normal 6 4 39" xfId="60556"/>
    <cellStyle name="Normal 6 4 4" xfId="2124"/>
    <cellStyle name="Normal 6 4 4 10" xfId="17638"/>
    <cellStyle name="Normal 6 4 4 11" xfId="19390"/>
    <cellStyle name="Normal 6 4 4 12" xfId="21143"/>
    <cellStyle name="Normal 6 4 4 13" xfId="22895"/>
    <cellStyle name="Normal 6 4 4 14" xfId="24647"/>
    <cellStyle name="Normal 6 4 4 15" xfId="26399"/>
    <cellStyle name="Normal 6 4 4 16" xfId="28151"/>
    <cellStyle name="Normal 6 4 4 17" xfId="29904"/>
    <cellStyle name="Normal 6 4 4 18" xfId="31656"/>
    <cellStyle name="Normal 6 4 4 19" xfId="33409"/>
    <cellStyle name="Normal 6 4 4 2" xfId="3620"/>
    <cellStyle name="Normal 6 4 4 20" xfId="36045"/>
    <cellStyle name="Normal 6 4 4 21" xfId="37785"/>
    <cellStyle name="Normal 6 4 4 22" xfId="39538"/>
    <cellStyle name="Normal 6 4 4 23" xfId="41293"/>
    <cellStyle name="Normal 6 4 4 24" xfId="43045"/>
    <cellStyle name="Normal 6 4 4 25" xfId="45663"/>
    <cellStyle name="Normal 6 4 4 26" xfId="47415"/>
    <cellStyle name="Normal 6 4 4 27" xfId="49167"/>
    <cellStyle name="Normal 6 4 4 28" xfId="50919"/>
    <cellStyle name="Normal 6 4 4 29" xfId="52671"/>
    <cellStyle name="Normal 6 4 4 3" xfId="5372"/>
    <cellStyle name="Normal 6 4 4 30" xfId="54423"/>
    <cellStyle name="Normal 6 4 4 31" xfId="56175"/>
    <cellStyle name="Normal 6 4 4 32" xfId="57928"/>
    <cellStyle name="Normal 6 4 4 33" xfId="59680"/>
    <cellStyle name="Normal 6 4 4 34" xfId="61432"/>
    <cellStyle name="Normal 6 4 4 4" xfId="7124"/>
    <cellStyle name="Normal 6 4 4 5" xfId="8876"/>
    <cellStyle name="Normal 6 4 4 6" xfId="10629"/>
    <cellStyle name="Normal 6 4 4 7" xfId="12381"/>
    <cellStyle name="Normal 6 4 4 8" xfId="14133"/>
    <cellStyle name="Normal 6 4 4 9" xfId="15885"/>
    <cellStyle name="Normal 6 4 40" xfId="62980"/>
    <cellStyle name="Normal 6 4 41" xfId="63846"/>
    <cellStyle name="Normal 6 4 5" xfId="2744"/>
    <cellStyle name="Normal 6 4 6" xfId="4496"/>
    <cellStyle name="Normal 6 4 7" xfId="6248"/>
    <cellStyle name="Normal 6 4 8" xfId="8000"/>
    <cellStyle name="Normal 6 4 9" xfId="9753"/>
    <cellStyle name="Normal 6 5" xfId="2125"/>
    <cellStyle name="Normal 6 5 10" xfId="13560"/>
    <cellStyle name="Normal 6 5 11" xfId="15312"/>
    <cellStyle name="Normal 6 5 12" xfId="17065"/>
    <cellStyle name="Normal 6 5 13" xfId="18817"/>
    <cellStyle name="Normal 6 5 14" xfId="20570"/>
    <cellStyle name="Normal 6 5 15" xfId="22322"/>
    <cellStyle name="Normal 6 5 16" xfId="24074"/>
    <cellStyle name="Normal 6 5 17" xfId="25826"/>
    <cellStyle name="Normal 6 5 18" xfId="27578"/>
    <cellStyle name="Normal 6 5 19" xfId="29331"/>
    <cellStyle name="Normal 6 5 2" xfId="2126"/>
    <cellStyle name="Normal 6 5 2 10" xfId="15748"/>
    <cellStyle name="Normal 6 5 2 11" xfId="17501"/>
    <cellStyle name="Normal 6 5 2 12" xfId="19253"/>
    <cellStyle name="Normal 6 5 2 13" xfId="21006"/>
    <cellStyle name="Normal 6 5 2 14" xfId="22758"/>
    <cellStyle name="Normal 6 5 2 15" xfId="24510"/>
    <cellStyle name="Normal 6 5 2 16" xfId="26262"/>
    <cellStyle name="Normal 6 5 2 17" xfId="28014"/>
    <cellStyle name="Normal 6 5 2 18" xfId="29767"/>
    <cellStyle name="Normal 6 5 2 19" xfId="31519"/>
    <cellStyle name="Normal 6 5 2 2" xfId="2127"/>
    <cellStyle name="Normal 6 5 2 2 10" xfId="18377"/>
    <cellStyle name="Normal 6 5 2 2 11" xfId="20129"/>
    <cellStyle name="Normal 6 5 2 2 12" xfId="21882"/>
    <cellStyle name="Normal 6 5 2 2 13" xfId="23634"/>
    <cellStyle name="Normal 6 5 2 2 14" xfId="25386"/>
    <cellStyle name="Normal 6 5 2 2 15" xfId="27138"/>
    <cellStyle name="Normal 6 5 2 2 16" xfId="28890"/>
    <cellStyle name="Normal 6 5 2 2 17" xfId="30643"/>
    <cellStyle name="Normal 6 5 2 2 18" xfId="32395"/>
    <cellStyle name="Normal 6 5 2 2 19" xfId="34148"/>
    <cellStyle name="Normal 6 5 2 2 2" xfId="4359"/>
    <cellStyle name="Normal 6 5 2 2 20" xfId="36784"/>
    <cellStyle name="Normal 6 5 2 2 21" xfId="38524"/>
    <cellStyle name="Normal 6 5 2 2 22" xfId="40277"/>
    <cellStyle name="Normal 6 5 2 2 23" xfId="42032"/>
    <cellStyle name="Normal 6 5 2 2 24" xfId="43784"/>
    <cellStyle name="Normal 6 5 2 2 25" xfId="46402"/>
    <cellStyle name="Normal 6 5 2 2 26" xfId="48154"/>
    <cellStyle name="Normal 6 5 2 2 27" xfId="49906"/>
    <cellStyle name="Normal 6 5 2 2 28" xfId="51658"/>
    <cellStyle name="Normal 6 5 2 2 29" xfId="53410"/>
    <cellStyle name="Normal 6 5 2 2 3" xfId="6111"/>
    <cellStyle name="Normal 6 5 2 2 30" xfId="55162"/>
    <cellStyle name="Normal 6 5 2 2 31" xfId="56914"/>
    <cellStyle name="Normal 6 5 2 2 32" xfId="58667"/>
    <cellStyle name="Normal 6 5 2 2 33" xfId="60419"/>
    <cellStyle name="Normal 6 5 2 2 34" xfId="62171"/>
    <cellStyle name="Normal 6 5 2 2 4" xfId="7863"/>
    <cellStyle name="Normal 6 5 2 2 5" xfId="9615"/>
    <cellStyle name="Normal 6 5 2 2 6" xfId="11368"/>
    <cellStyle name="Normal 6 5 2 2 7" xfId="13120"/>
    <cellStyle name="Normal 6 5 2 2 8" xfId="14872"/>
    <cellStyle name="Normal 6 5 2 2 9" xfId="16624"/>
    <cellStyle name="Normal 6 5 2 20" xfId="33272"/>
    <cellStyle name="Normal 6 5 2 21" xfId="34977"/>
    <cellStyle name="Normal 6 5 2 22" xfId="35908"/>
    <cellStyle name="Normal 6 5 2 23" xfId="37598"/>
    <cellStyle name="Normal 6 5 2 24" xfId="39401"/>
    <cellStyle name="Normal 6 5 2 25" xfId="41156"/>
    <cellStyle name="Normal 6 5 2 26" xfId="42908"/>
    <cellStyle name="Normal 6 5 2 27" xfId="44598"/>
    <cellStyle name="Normal 6 5 2 28" xfId="45526"/>
    <cellStyle name="Normal 6 5 2 29" xfId="47278"/>
    <cellStyle name="Normal 6 5 2 3" xfId="3483"/>
    <cellStyle name="Normal 6 5 2 30" xfId="49030"/>
    <cellStyle name="Normal 6 5 2 31" xfId="50782"/>
    <cellStyle name="Normal 6 5 2 32" xfId="52534"/>
    <cellStyle name="Normal 6 5 2 33" xfId="54286"/>
    <cellStyle name="Normal 6 5 2 34" xfId="56038"/>
    <cellStyle name="Normal 6 5 2 35" xfId="57791"/>
    <cellStyle name="Normal 6 5 2 36" xfId="59543"/>
    <cellStyle name="Normal 6 5 2 37" xfId="61295"/>
    <cellStyle name="Normal 6 5 2 38" xfId="62985"/>
    <cellStyle name="Normal 6 5 2 39" xfId="63851"/>
    <cellStyle name="Normal 6 5 2 4" xfId="5235"/>
    <cellStyle name="Normal 6 5 2 5" xfId="6987"/>
    <cellStyle name="Normal 6 5 2 6" xfId="8739"/>
    <cellStyle name="Normal 6 5 2 7" xfId="10492"/>
    <cellStyle name="Normal 6 5 2 8" xfId="12244"/>
    <cellStyle name="Normal 6 5 2 9" xfId="13996"/>
    <cellStyle name="Normal 6 5 20" xfId="31083"/>
    <cellStyle name="Normal 6 5 21" xfId="32836"/>
    <cellStyle name="Normal 6 5 22" xfId="34976"/>
    <cellStyle name="Normal 6 5 23" xfId="35472"/>
    <cellStyle name="Normal 6 5 24" xfId="37597"/>
    <cellStyle name="Normal 6 5 25" xfId="38965"/>
    <cellStyle name="Normal 6 5 26" xfId="40720"/>
    <cellStyle name="Normal 6 5 27" xfId="42472"/>
    <cellStyle name="Normal 6 5 28" xfId="44597"/>
    <cellStyle name="Normal 6 5 29" xfId="45090"/>
    <cellStyle name="Normal 6 5 3" xfId="2128"/>
    <cellStyle name="Normal 6 5 3 10" xfId="17941"/>
    <cellStyle name="Normal 6 5 3 11" xfId="19693"/>
    <cellStyle name="Normal 6 5 3 12" xfId="21446"/>
    <cellStyle name="Normal 6 5 3 13" xfId="23198"/>
    <cellStyle name="Normal 6 5 3 14" xfId="24950"/>
    <cellStyle name="Normal 6 5 3 15" xfId="26702"/>
    <cellStyle name="Normal 6 5 3 16" xfId="28454"/>
    <cellStyle name="Normal 6 5 3 17" xfId="30207"/>
    <cellStyle name="Normal 6 5 3 18" xfId="31959"/>
    <cellStyle name="Normal 6 5 3 19" xfId="33712"/>
    <cellStyle name="Normal 6 5 3 2" xfId="3923"/>
    <cellStyle name="Normal 6 5 3 20" xfId="36348"/>
    <cellStyle name="Normal 6 5 3 21" xfId="38088"/>
    <cellStyle name="Normal 6 5 3 22" xfId="39841"/>
    <cellStyle name="Normal 6 5 3 23" xfId="41596"/>
    <cellStyle name="Normal 6 5 3 24" xfId="43348"/>
    <cellStyle name="Normal 6 5 3 25" xfId="45966"/>
    <cellStyle name="Normal 6 5 3 26" xfId="47718"/>
    <cellStyle name="Normal 6 5 3 27" xfId="49470"/>
    <cellStyle name="Normal 6 5 3 28" xfId="51222"/>
    <cellStyle name="Normal 6 5 3 29" xfId="52974"/>
    <cellStyle name="Normal 6 5 3 3" xfId="5675"/>
    <cellStyle name="Normal 6 5 3 30" xfId="54726"/>
    <cellStyle name="Normal 6 5 3 31" xfId="56478"/>
    <cellStyle name="Normal 6 5 3 32" xfId="58231"/>
    <cellStyle name="Normal 6 5 3 33" xfId="59983"/>
    <cellStyle name="Normal 6 5 3 34" xfId="61735"/>
    <cellStyle name="Normal 6 5 3 4" xfId="7427"/>
    <cellStyle name="Normal 6 5 3 5" xfId="9179"/>
    <cellStyle name="Normal 6 5 3 6" xfId="10932"/>
    <cellStyle name="Normal 6 5 3 7" xfId="12684"/>
    <cellStyle name="Normal 6 5 3 8" xfId="14436"/>
    <cellStyle name="Normal 6 5 3 9" xfId="16188"/>
    <cellStyle name="Normal 6 5 30" xfId="46842"/>
    <cellStyle name="Normal 6 5 31" xfId="48594"/>
    <cellStyle name="Normal 6 5 32" xfId="50346"/>
    <cellStyle name="Normal 6 5 33" xfId="52098"/>
    <cellStyle name="Normal 6 5 34" xfId="53850"/>
    <cellStyle name="Normal 6 5 35" xfId="55602"/>
    <cellStyle name="Normal 6 5 36" xfId="57355"/>
    <cellStyle name="Normal 6 5 37" xfId="59107"/>
    <cellStyle name="Normal 6 5 38" xfId="60859"/>
    <cellStyle name="Normal 6 5 39" xfId="62984"/>
    <cellStyle name="Normal 6 5 4" xfId="3047"/>
    <cellStyle name="Normal 6 5 40" xfId="63850"/>
    <cellStyle name="Normal 6 5 5" xfId="4799"/>
    <cellStyle name="Normal 6 5 6" xfId="6551"/>
    <cellStyle name="Normal 6 5 7" xfId="8303"/>
    <cellStyle name="Normal 6 5 8" xfId="10056"/>
    <cellStyle name="Normal 6 5 9" xfId="11808"/>
    <cellStyle name="Normal 6 6" xfId="2129"/>
    <cellStyle name="Normal 6 6 10" xfId="15337"/>
    <cellStyle name="Normal 6 6 11" xfId="17090"/>
    <cellStyle name="Normal 6 6 12" xfId="18842"/>
    <cellStyle name="Normal 6 6 13" xfId="20595"/>
    <cellStyle name="Normal 6 6 14" xfId="22347"/>
    <cellStyle name="Normal 6 6 15" xfId="24099"/>
    <cellStyle name="Normal 6 6 16" xfId="25851"/>
    <cellStyle name="Normal 6 6 17" xfId="27603"/>
    <cellStyle name="Normal 6 6 18" xfId="29356"/>
    <cellStyle name="Normal 6 6 19" xfId="31108"/>
    <cellStyle name="Normal 6 6 2" xfId="2130"/>
    <cellStyle name="Normal 6 6 2 10" xfId="17966"/>
    <cellStyle name="Normal 6 6 2 11" xfId="19718"/>
    <cellStyle name="Normal 6 6 2 12" xfId="21471"/>
    <cellStyle name="Normal 6 6 2 13" xfId="23223"/>
    <cellStyle name="Normal 6 6 2 14" xfId="24975"/>
    <cellStyle name="Normal 6 6 2 15" xfId="26727"/>
    <cellStyle name="Normal 6 6 2 16" xfId="28479"/>
    <cellStyle name="Normal 6 6 2 17" xfId="30232"/>
    <cellStyle name="Normal 6 6 2 18" xfId="31984"/>
    <cellStyle name="Normal 6 6 2 19" xfId="33737"/>
    <cellStyle name="Normal 6 6 2 2" xfId="3948"/>
    <cellStyle name="Normal 6 6 2 20" xfId="36373"/>
    <cellStyle name="Normal 6 6 2 21" xfId="38113"/>
    <cellStyle name="Normal 6 6 2 22" xfId="39866"/>
    <cellStyle name="Normal 6 6 2 23" xfId="41621"/>
    <cellStyle name="Normal 6 6 2 24" xfId="43373"/>
    <cellStyle name="Normal 6 6 2 25" xfId="45991"/>
    <cellStyle name="Normal 6 6 2 26" xfId="47743"/>
    <cellStyle name="Normal 6 6 2 27" xfId="49495"/>
    <cellStyle name="Normal 6 6 2 28" xfId="51247"/>
    <cellStyle name="Normal 6 6 2 29" xfId="52999"/>
    <cellStyle name="Normal 6 6 2 3" xfId="5700"/>
    <cellStyle name="Normal 6 6 2 30" xfId="54751"/>
    <cellStyle name="Normal 6 6 2 31" xfId="56503"/>
    <cellStyle name="Normal 6 6 2 32" xfId="58256"/>
    <cellStyle name="Normal 6 6 2 33" xfId="60008"/>
    <cellStyle name="Normal 6 6 2 34" xfId="61760"/>
    <cellStyle name="Normal 6 6 2 4" xfId="7452"/>
    <cellStyle name="Normal 6 6 2 5" xfId="9204"/>
    <cellStyle name="Normal 6 6 2 6" xfId="10957"/>
    <cellStyle name="Normal 6 6 2 7" xfId="12709"/>
    <cellStyle name="Normal 6 6 2 8" xfId="14461"/>
    <cellStyle name="Normal 6 6 2 9" xfId="16213"/>
    <cellStyle name="Normal 6 6 20" xfId="32861"/>
    <cellStyle name="Normal 6 6 21" xfId="34978"/>
    <cellStyle name="Normal 6 6 22" xfId="35497"/>
    <cellStyle name="Normal 6 6 23" xfId="37599"/>
    <cellStyle name="Normal 6 6 24" xfId="38990"/>
    <cellStyle name="Normal 6 6 25" xfId="40745"/>
    <cellStyle name="Normal 6 6 26" xfId="42497"/>
    <cellStyle name="Normal 6 6 27" xfId="44599"/>
    <cellStyle name="Normal 6 6 28" xfId="45115"/>
    <cellStyle name="Normal 6 6 29" xfId="46867"/>
    <cellStyle name="Normal 6 6 3" xfId="3072"/>
    <cellStyle name="Normal 6 6 30" xfId="48619"/>
    <cellStyle name="Normal 6 6 31" xfId="50371"/>
    <cellStyle name="Normal 6 6 32" xfId="52123"/>
    <cellStyle name="Normal 6 6 33" xfId="53875"/>
    <cellStyle name="Normal 6 6 34" xfId="55627"/>
    <cellStyle name="Normal 6 6 35" xfId="57380"/>
    <cellStyle name="Normal 6 6 36" xfId="59132"/>
    <cellStyle name="Normal 6 6 37" xfId="60884"/>
    <cellStyle name="Normal 6 6 38" xfId="62986"/>
    <cellStyle name="Normal 6 6 39" xfId="63852"/>
    <cellStyle name="Normal 6 6 4" xfId="4824"/>
    <cellStyle name="Normal 6 6 5" xfId="6576"/>
    <cellStyle name="Normal 6 6 6" xfId="8328"/>
    <cellStyle name="Normal 6 6 7" xfId="10081"/>
    <cellStyle name="Normal 6 6 8" xfId="11833"/>
    <cellStyle name="Normal 6 6 9" xfId="13585"/>
    <cellStyle name="Normal 6 7" xfId="2131"/>
    <cellStyle name="Normal 6 7 10" xfId="17530"/>
    <cellStyle name="Normal 6 7 11" xfId="19282"/>
    <cellStyle name="Normal 6 7 12" xfId="21035"/>
    <cellStyle name="Normal 6 7 13" xfId="22787"/>
    <cellStyle name="Normal 6 7 14" xfId="24539"/>
    <cellStyle name="Normal 6 7 15" xfId="26291"/>
    <cellStyle name="Normal 6 7 16" xfId="28043"/>
    <cellStyle name="Normal 6 7 17" xfId="29796"/>
    <cellStyle name="Normal 6 7 18" xfId="31548"/>
    <cellStyle name="Normal 6 7 19" xfId="33301"/>
    <cellStyle name="Normal 6 7 2" xfId="3512"/>
    <cellStyle name="Normal 6 7 20" xfId="34963"/>
    <cellStyle name="Normal 6 7 21" xfId="35937"/>
    <cellStyle name="Normal 6 7 22" xfId="37584"/>
    <cellStyle name="Normal 6 7 23" xfId="39430"/>
    <cellStyle name="Normal 6 7 24" xfId="41185"/>
    <cellStyle name="Normal 6 7 25" xfId="42937"/>
    <cellStyle name="Normal 6 7 26" xfId="44584"/>
    <cellStyle name="Normal 6 7 27" xfId="45555"/>
    <cellStyle name="Normal 6 7 28" xfId="47307"/>
    <cellStyle name="Normal 6 7 29" xfId="49059"/>
    <cellStyle name="Normal 6 7 3" xfId="5264"/>
    <cellStyle name="Normal 6 7 30" xfId="50811"/>
    <cellStyle name="Normal 6 7 31" xfId="52563"/>
    <cellStyle name="Normal 6 7 32" xfId="54315"/>
    <cellStyle name="Normal 6 7 33" xfId="56067"/>
    <cellStyle name="Normal 6 7 34" xfId="57820"/>
    <cellStyle name="Normal 6 7 35" xfId="59572"/>
    <cellStyle name="Normal 6 7 36" xfId="61324"/>
    <cellStyle name="Normal 6 7 37" xfId="62971"/>
    <cellStyle name="Normal 6 7 38" xfId="63837"/>
    <cellStyle name="Normal 6 7 4" xfId="7016"/>
    <cellStyle name="Normal 6 7 5" xfId="8768"/>
    <cellStyle name="Normal 6 7 6" xfId="10521"/>
    <cellStyle name="Normal 6 7 7" xfId="12273"/>
    <cellStyle name="Normal 6 7 8" xfId="14025"/>
    <cellStyle name="Normal 6 7 9" xfId="15777"/>
    <cellStyle name="Normal 6 8" xfId="2461"/>
    <cellStyle name="Normal 6 9" xfId="4388"/>
    <cellStyle name="Normal 60" xfId="2132"/>
    <cellStyle name="Normal 60 2" xfId="2133"/>
    <cellStyle name="Normal 61" xfId="2134"/>
    <cellStyle name="Normal 61 2" xfId="2135"/>
    <cellStyle name="Normal 62" xfId="2136"/>
    <cellStyle name="Normal 62 2" xfId="2137"/>
    <cellStyle name="Normal 63" xfId="2138"/>
    <cellStyle name="Normal 63 2" xfId="2139"/>
    <cellStyle name="Normal 64" xfId="2140"/>
    <cellStyle name="Normal 64 2" xfId="2141"/>
    <cellStyle name="Normal 65" xfId="2142"/>
    <cellStyle name="Normal 65 2" xfId="2143"/>
    <cellStyle name="Normal 66" xfId="2144"/>
    <cellStyle name="Normal 66 2" xfId="2145"/>
    <cellStyle name="Normal 67" xfId="2146"/>
    <cellStyle name="Normal 67 2" xfId="2147"/>
    <cellStyle name="Normal 68" xfId="2148"/>
    <cellStyle name="Normal 68 2" xfId="2149"/>
    <cellStyle name="Normal 69" xfId="2150"/>
    <cellStyle name="Normal 69 2" xfId="2151"/>
    <cellStyle name="Normal 7" xfId="2152"/>
    <cellStyle name="Normal 7 10" xfId="6141"/>
    <cellStyle name="Normal 7 11" xfId="7893"/>
    <cellStyle name="Normal 7 12" xfId="9646"/>
    <cellStyle name="Normal 7 13" xfId="11398"/>
    <cellStyle name="Normal 7 14" xfId="13150"/>
    <cellStyle name="Normal 7 15" xfId="14902"/>
    <cellStyle name="Normal 7 16" xfId="16655"/>
    <cellStyle name="Normal 7 17" xfId="18407"/>
    <cellStyle name="Normal 7 18" xfId="20160"/>
    <cellStyle name="Normal 7 19" xfId="21912"/>
    <cellStyle name="Normal 7 2" xfId="2153"/>
    <cellStyle name="Normal 7 2 2" xfId="2154"/>
    <cellStyle name="Normal 7 2 3" xfId="2155"/>
    <cellStyle name="Normal 7 2 3 2" xfId="34979"/>
    <cellStyle name="Normal 7 2 3 3" xfId="37600"/>
    <cellStyle name="Normal 7 2 3 4" xfId="38564"/>
    <cellStyle name="Normal 7 2 3 5" xfId="44600"/>
    <cellStyle name="Normal 7 2 3 6" xfId="62987"/>
    <cellStyle name="Normal 7 2 3 7" xfId="63853"/>
    <cellStyle name="Normal 7 20" xfId="23664"/>
    <cellStyle name="Normal 7 21" xfId="25416"/>
    <cellStyle name="Normal 7 22" xfId="27168"/>
    <cellStyle name="Normal 7 23" xfId="28921"/>
    <cellStyle name="Normal 7 24" xfId="30673"/>
    <cellStyle name="Normal 7 25" xfId="32426"/>
    <cellStyle name="Normal 7 26" xfId="35062"/>
    <cellStyle name="Normal 7 27" xfId="38554"/>
    <cellStyle name="Normal 7 28" xfId="40310"/>
    <cellStyle name="Normal 7 29" xfId="42062"/>
    <cellStyle name="Normal 7 3" xfId="2156"/>
    <cellStyle name="Normal 7 3 10" xfId="9701"/>
    <cellStyle name="Normal 7 3 11" xfId="11453"/>
    <cellStyle name="Normal 7 3 12" xfId="13205"/>
    <cellStyle name="Normal 7 3 13" xfId="14957"/>
    <cellStyle name="Normal 7 3 14" xfId="16710"/>
    <cellStyle name="Normal 7 3 15" xfId="18462"/>
    <cellStyle name="Normal 7 3 16" xfId="20215"/>
    <cellStyle name="Normal 7 3 17" xfId="21967"/>
    <cellStyle name="Normal 7 3 18" xfId="23719"/>
    <cellStyle name="Normal 7 3 19" xfId="25471"/>
    <cellStyle name="Normal 7 3 2" xfId="2157"/>
    <cellStyle name="Normal 7 3 2 10" xfId="11561"/>
    <cellStyle name="Normal 7 3 2 11" xfId="13313"/>
    <cellStyle name="Normal 7 3 2 12" xfId="15065"/>
    <cellStyle name="Normal 7 3 2 13" xfId="16818"/>
    <cellStyle name="Normal 7 3 2 14" xfId="18570"/>
    <cellStyle name="Normal 7 3 2 15" xfId="20323"/>
    <cellStyle name="Normal 7 3 2 16" xfId="22075"/>
    <cellStyle name="Normal 7 3 2 17" xfId="23827"/>
    <cellStyle name="Normal 7 3 2 18" xfId="25579"/>
    <cellStyle name="Normal 7 3 2 19" xfId="27331"/>
    <cellStyle name="Normal 7 3 2 2" xfId="2158"/>
    <cellStyle name="Normal 7 3 2 2 10" xfId="13561"/>
    <cellStyle name="Normal 7 3 2 2 11" xfId="15313"/>
    <cellStyle name="Normal 7 3 2 2 12" xfId="17066"/>
    <cellStyle name="Normal 7 3 2 2 13" xfId="18818"/>
    <cellStyle name="Normal 7 3 2 2 14" xfId="20571"/>
    <cellStyle name="Normal 7 3 2 2 15" xfId="22323"/>
    <cellStyle name="Normal 7 3 2 2 16" xfId="24075"/>
    <cellStyle name="Normal 7 3 2 2 17" xfId="25827"/>
    <cellStyle name="Normal 7 3 2 2 18" xfId="27579"/>
    <cellStyle name="Normal 7 3 2 2 19" xfId="29332"/>
    <cellStyle name="Normal 7 3 2 2 2" xfId="2159"/>
    <cellStyle name="Normal 7 3 2 2 2 10" xfId="15749"/>
    <cellStyle name="Normal 7 3 2 2 2 11" xfId="17502"/>
    <cellStyle name="Normal 7 3 2 2 2 12" xfId="19254"/>
    <cellStyle name="Normal 7 3 2 2 2 13" xfId="21007"/>
    <cellStyle name="Normal 7 3 2 2 2 14" xfId="22759"/>
    <cellStyle name="Normal 7 3 2 2 2 15" xfId="24511"/>
    <cellStyle name="Normal 7 3 2 2 2 16" xfId="26263"/>
    <cellStyle name="Normal 7 3 2 2 2 17" xfId="28015"/>
    <cellStyle name="Normal 7 3 2 2 2 18" xfId="29768"/>
    <cellStyle name="Normal 7 3 2 2 2 19" xfId="31520"/>
    <cellStyle name="Normal 7 3 2 2 2 2" xfId="2160"/>
    <cellStyle name="Normal 7 3 2 2 2 2 10" xfId="18378"/>
    <cellStyle name="Normal 7 3 2 2 2 2 11" xfId="20130"/>
    <cellStyle name="Normal 7 3 2 2 2 2 12" xfId="21883"/>
    <cellStyle name="Normal 7 3 2 2 2 2 13" xfId="23635"/>
    <cellStyle name="Normal 7 3 2 2 2 2 14" xfId="25387"/>
    <cellStyle name="Normal 7 3 2 2 2 2 15" xfId="27139"/>
    <cellStyle name="Normal 7 3 2 2 2 2 16" xfId="28891"/>
    <cellStyle name="Normal 7 3 2 2 2 2 17" xfId="30644"/>
    <cellStyle name="Normal 7 3 2 2 2 2 18" xfId="32396"/>
    <cellStyle name="Normal 7 3 2 2 2 2 19" xfId="34149"/>
    <cellStyle name="Normal 7 3 2 2 2 2 2" xfId="4360"/>
    <cellStyle name="Normal 7 3 2 2 2 2 20" xfId="36785"/>
    <cellStyle name="Normal 7 3 2 2 2 2 21" xfId="38525"/>
    <cellStyle name="Normal 7 3 2 2 2 2 22" xfId="40278"/>
    <cellStyle name="Normal 7 3 2 2 2 2 23" xfId="42033"/>
    <cellStyle name="Normal 7 3 2 2 2 2 24" xfId="43785"/>
    <cellStyle name="Normal 7 3 2 2 2 2 25" xfId="46403"/>
    <cellStyle name="Normal 7 3 2 2 2 2 26" xfId="48155"/>
    <cellStyle name="Normal 7 3 2 2 2 2 27" xfId="49907"/>
    <cellStyle name="Normal 7 3 2 2 2 2 28" xfId="51659"/>
    <cellStyle name="Normal 7 3 2 2 2 2 29" xfId="53411"/>
    <cellStyle name="Normal 7 3 2 2 2 2 3" xfId="6112"/>
    <cellStyle name="Normal 7 3 2 2 2 2 30" xfId="55163"/>
    <cellStyle name="Normal 7 3 2 2 2 2 31" xfId="56915"/>
    <cellStyle name="Normal 7 3 2 2 2 2 32" xfId="58668"/>
    <cellStyle name="Normal 7 3 2 2 2 2 33" xfId="60420"/>
    <cellStyle name="Normal 7 3 2 2 2 2 34" xfId="62172"/>
    <cellStyle name="Normal 7 3 2 2 2 2 4" xfId="7864"/>
    <cellStyle name="Normal 7 3 2 2 2 2 5" xfId="9616"/>
    <cellStyle name="Normal 7 3 2 2 2 2 6" xfId="11369"/>
    <cellStyle name="Normal 7 3 2 2 2 2 7" xfId="13121"/>
    <cellStyle name="Normal 7 3 2 2 2 2 8" xfId="14873"/>
    <cellStyle name="Normal 7 3 2 2 2 2 9" xfId="16625"/>
    <cellStyle name="Normal 7 3 2 2 2 20" xfId="33273"/>
    <cellStyle name="Normal 7 3 2 2 2 21" xfId="34983"/>
    <cellStyle name="Normal 7 3 2 2 2 22" xfId="35909"/>
    <cellStyle name="Normal 7 3 2 2 2 23" xfId="37604"/>
    <cellStyle name="Normal 7 3 2 2 2 24" xfId="39402"/>
    <cellStyle name="Normal 7 3 2 2 2 25" xfId="41157"/>
    <cellStyle name="Normal 7 3 2 2 2 26" xfId="42909"/>
    <cellStyle name="Normal 7 3 2 2 2 27" xfId="44604"/>
    <cellStyle name="Normal 7 3 2 2 2 28" xfId="45527"/>
    <cellStyle name="Normal 7 3 2 2 2 29" xfId="47279"/>
    <cellStyle name="Normal 7 3 2 2 2 3" xfId="3484"/>
    <cellStyle name="Normal 7 3 2 2 2 30" xfId="49031"/>
    <cellStyle name="Normal 7 3 2 2 2 31" xfId="50783"/>
    <cellStyle name="Normal 7 3 2 2 2 32" xfId="52535"/>
    <cellStyle name="Normal 7 3 2 2 2 33" xfId="54287"/>
    <cellStyle name="Normal 7 3 2 2 2 34" xfId="56039"/>
    <cellStyle name="Normal 7 3 2 2 2 35" xfId="57792"/>
    <cellStyle name="Normal 7 3 2 2 2 36" xfId="59544"/>
    <cellStyle name="Normal 7 3 2 2 2 37" xfId="61296"/>
    <cellStyle name="Normal 7 3 2 2 2 38" xfId="62991"/>
    <cellStyle name="Normal 7 3 2 2 2 39" xfId="63857"/>
    <cellStyle name="Normal 7 3 2 2 2 4" xfId="5236"/>
    <cellStyle name="Normal 7 3 2 2 2 5" xfId="6988"/>
    <cellStyle name="Normal 7 3 2 2 2 6" xfId="8740"/>
    <cellStyle name="Normal 7 3 2 2 2 7" xfId="10493"/>
    <cellStyle name="Normal 7 3 2 2 2 8" xfId="12245"/>
    <cellStyle name="Normal 7 3 2 2 2 9" xfId="13997"/>
    <cellStyle name="Normal 7 3 2 2 20" xfId="31084"/>
    <cellStyle name="Normal 7 3 2 2 21" xfId="32837"/>
    <cellStyle name="Normal 7 3 2 2 22" xfId="34982"/>
    <cellStyle name="Normal 7 3 2 2 23" xfId="35473"/>
    <cellStyle name="Normal 7 3 2 2 24" xfId="37603"/>
    <cellStyle name="Normal 7 3 2 2 25" xfId="38966"/>
    <cellStyle name="Normal 7 3 2 2 26" xfId="40721"/>
    <cellStyle name="Normal 7 3 2 2 27" xfId="42473"/>
    <cellStyle name="Normal 7 3 2 2 28" xfId="44603"/>
    <cellStyle name="Normal 7 3 2 2 29" xfId="45091"/>
    <cellStyle name="Normal 7 3 2 2 3" xfId="2161"/>
    <cellStyle name="Normal 7 3 2 2 3 10" xfId="17942"/>
    <cellStyle name="Normal 7 3 2 2 3 11" xfId="19694"/>
    <cellStyle name="Normal 7 3 2 2 3 12" xfId="21447"/>
    <cellStyle name="Normal 7 3 2 2 3 13" xfId="23199"/>
    <cellStyle name="Normal 7 3 2 2 3 14" xfId="24951"/>
    <cellStyle name="Normal 7 3 2 2 3 15" xfId="26703"/>
    <cellStyle name="Normal 7 3 2 2 3 16" xfId="28455"/>
    <cellStyle name="Normal 7 3 2 2 3 17" xfId="30208"/>
    <cellStyle name="Normal 7 3 2 2 3 18" xfId="31960"/>
    <cellStyle name="Normal 7 3 2 2 3 19" xfId="33713"/>
    <cellStyle name="Normal 7 3 2 2 3 2" xfId="3924"/>
    <cellStyle name="Normal 7 3 2 2 3 20" xfId="36349"/>
    <cellStyle name="Normal 7 3 2 2 3 21" xfId="38089"/>
    <cellStyle name="Normal 7 3 2 2 3 22" xfId="39842"/>
    <cellStyle name="Normal 7 3 2 2 3 23" xfId="41597"/>
    <cellStyle name="Normal 7 3 2 2 3 24" xfId="43349"/>
    <cellStyle name="Normal 7 3 2 2 3 25" xfId="45967"/>
    <cellStyle name="Normal 7 3 2 2 3 26" xfId="47719"/>
    <cellStyle name="Normal 7 3 2 2 3 27" xfId="49471"/>
    <cellStyle name="Normal 7 3 2 2 3 28" xfId="51223"/>
    <cellStyle name="Normal 7 3 2 2 3 29" xfId="52975"/>
    <cellStyle name="Normal 7 3 2 2 3 3" xfId="5676"/>
    <cellStyle name="Normal 7 3 2 2 3 30" xfId="54727"/>
    <cellStyle name="Normal 7 3 2 2 3 31" xfId="56479"/>
    <cellStyle name="Normal 7 3 2 2 3 32" xfId="58232"/>
    <cellStyle name="Normal 7 3 2 2 3 33" xfId="59984"/>
    <cellStyle name="Normal 7 3 2 2 3 34" xfId="61736"/>
    <cellStyle name="Normal 7 3 2 2 3 4" xfId="7428"/>
    <cellStyle name="Normal 7 3 2 2 3 5" xfId="9180"/>
    <cellStyle name="Normal 7 3 2 2 3 6" xfId="10933"/>
    <cellStyle name="Normal 7 3 2 2 3 7" xfId="12685"/>
    <cellStyle name="Normal 7 3 2 2 3 8" xfId="14437"/>
    <cellStyle name="Normal 7 3 2 2 3 9" xfId="16189"/>
    <cellStyle name="Normal 7 3 2 2 30" xfId="46843"/>
    <cellStyle name="Normal 7 3 2 2 31" xfId="48595"/>
    <cellStyle name="Normal 7 3 2 2 32" xfId="50347"/>
    <cellStyle name="Normal 7 3 2 2 33" xfId="52099"/>
    <cellStyle name="Normal 7 3 2 2 34" xfId="53851"/>
    <cellStyle name="Normal 7 3 2 2 35" xfId="55603"/>
    <cellStyle name="Normal 7 3 2 2 36" xfId="57356"/>
    <cellStyle name="Normal 7 3 2 2 37" xfId="59108"/>
    <cellStyle name="Normal 7 3 2 2 38" xfId="60860"/>
    <cellStyle name="Normal 7 3 2 2 39" xfId="62990"/>
    <cellStyle name="Normal 7 3 2 2 4" xfId="3048"/>
    <cellStyle name="Normal 7 3 2 2 40" xfId="63856"/>
    <cellStyle name="Normal 7 3 2 2 5" xfId="4800"/>
    <cellStyle name="Normal 7 3 2 2 6" xfId="6552"/>
    <cellStyle name="Normal 7 3 2 2 7" xfId="8304"/>
    <cellStyle name="Normal 7 3 2 2 8" xfId="10057"/>
    <cellStyle name="Normal 7 3 2 2 9" xfId="11809"/>
    <cellStyle name="Normal 7 3 2 20" xfId="29084"/>
    <cellStyle name="Normal 7 3 2 21" xfId="30836"/>
    <cellStyle name="Normal 7 3 2 22" xfId="32589"/>
    <cellStyle name="Normal 7 3 2 23" xfId="34981"/>
    <cellStyle name="Normal 7 3 2 24" xfId="35225"/>
    <cellStyle name="Normal 7 3 2 25" xfId="37602"/>
    <cellStyle name="Normal 7 3 2 26" xfId="38718"/>
    <cellStyle name="Normal 7 3 2 27" xfId="40473"/>
    <cellStyle name="Normal 7 3 2 28" xfId="42225"/>
    <cellStyle name="Normal 7 3 2 29" xfId="44602"/>
    <cellStyle name="Normal 7 3 2 3" xfId="2162"/>
    <cellStyle name="Normal 7 3 2 3 10" xfId="15501"/>
    <cellStyle name="Normal 7 3 2 3 11" xfId="17254"/>
    <cellStyle name="Normal 7 3 2 3 12" xfId="19006"/>
    <cellStyle name="Normal 7 3 2 3 13" xfId="20759"/>
    <cellStyle name="Normal 7 3 2 3 14" xfId="22511"/>
    <cellStyle name="Normal 7 3 2 3 15" xfId="24263"/>
    <cellStyle name="Normal 7 3 2 3 16" xfId="26015"/>
    <cellStyle name="Normal 7 3 2 3 17" xfId="27767"/>
    <cellStyle name="Normal 7 3 2 3 18" xfId="29520"/>
    <cellStyle name="Normal 7 3 2 3 19" xfId="31272"/>
    <cellStyle name="Normal 7 3 2 3 2" xfId="2163"/>
    <cellStyle name="Normal 7 3 2 3 2 10" xfId="18130"/>
    <cellStyle name="Normal 7 3 2 3 2 11" xfId="19882"/>
    <cellStyle name="Normal 7 3 2 3 2 12" xfId="21635"/>
    <cellStyle name="Normal 7 3 2 3 2 13" xfId="23387"/>
    <cellStyle name="Normal 7 3 2 3 2 14" xfId="25139"/>
    <cellStyle name="Normal 7 3 2 3 2 15" xfId="26891"/>
    <cellStyle name="Normal 7 3 2 3 2 16" xfId="28643"/>
    <cellStyle name="Normal 7 3 2 3 2 17" xfId="30396"/>
    <cellStyle name="Normal 7 3 2 3 2 18" xfId="32148"/>
    <cellStyle name="Normal 7 3 2 3 2 19" xfId="33901"/>
    <cellStyle name="Normal 7 3 2 3 2 2" xfId="4112"/>
    <cellStyle name="Normal 7 3 2 3 2 20" xfId="36537"/>
    <cellStyle name="Normal 7 3 2 3 2 21" xfId="38277"/>
    <cellStyle name="Normal 7 3 2 3 2 22" xfId="40030"/>
    <cellStyle name="Normal 7 3 2 3 2 23" xfId="41785"/>
    <cellStyle name="Normal 7 3 2 3 2 24" xfId="43537"/>
    <cellStyle name="Normal 7 3 2 3 2 25" xfId="46155"/>
    <cellStyle name="Normal 7 3 2 3 2 26" xfId="47907"/>
    <cellStyle name="Normal 7 3 2 3 2 27" xfId="49659"/>
    <cellStyle name="Normal 7 3 2 3 2 28" xfId="51411"/>
    <cellStyle name="Normal 7 3 2 3 2 29" xfId="53163"/>
    <cellStyle name="Normal 7 3 2 3 2 3" xfId="5864"/>
    <cellStyle name="Normal 7 3 2 3 2 30" xfId="54915"/>
    <cellStyle name="Normal 7 3 2 3 2 31" xfId="56667"/>
    <cellStyle name="Normal 7 3 2 3 2 32" xfId="58420"/>
    <cellStyle name="Normal 7 3 2 3 2 33" xfId="60172"/>
    <cellStyle name="Normal 7 3 2 3 2 34" xfId="61924"/>
    <cellStyle name="Normal 7 3 2 3 2 4" xfId="7616"/>
    <cellStyle name="Normal 7 3 2 3 2 5" xfId="9368"/>
    <cellStyle name="Normal 7 3 2 3 2 6" xfId="11121"/>
    <cellStyle name="Normal 7 3 2 3 2 7" xfId="12873"/>
    <cellStyle name="Normal 7 3 2 3 2 8" xfId="14625"/>
    <cellStyle name="Normal 7 3 2 3 2 9" xfId="16377"/>
    <cellStyle name="Normal 7 3 2 3 20" xfId="33025"/>
    <cellStyle name="Normal 7 3 2 3 21" xfId="34984"/>
    <cellStyle name="Normal 7 3 2 3 22" xfId="35661"/>
    <cellStyle name="Normal 7 3 2 3 23" xfId="37605"/>
    <cellStyle name="Normal 7 3 2 3 24" xfId="39154"/>
    <cellStyle name="Normal 7 3 2 3 25" xfId="40909"/>
    <cellStyle name="Normal 7 3 2 3 26" xfId="42661"/>
    <cellStyle name="Normal 7 3 2 3 27" xfId="44605"/>
    <cellStyle name="Normal 7 3 2 3 28" xfId="45279"/>
    <cellStyle name="Normal 7 3 2 3 29" xfId="47031"/>
    <cellStyle name="Normal 7 3 2 3 3" xfId="3236"/>
    <cellStyle name="Normal 7 3 2 3 30" xfId="48783"/>
    <cellStyle name="Normal 7 3 2 3 31" xfId="50535"/>
    <cellStyle name="Normal 7 3 2 3 32" xfId="52287"/>
    <cellStyle name="Normal 7 3 2 3 33" xfId="54039"/>
    <cellStyle name="Normal 7 3 2 3 34" xfId="55791"/>
    <cellStyle name="Normal 7 3 2 3 35" xfId="57544"/>
    <cellStyle name="Normal 7 3 2 3 36" xfId="59296"/>
    <cellStyle name="Normal 7 3 2 3 37" xfId="61048"/>
    <cellStyle name="Normal 7 3 2 3 38" xfId="62992"/>
    <cellStyle name="Normal 7 3 2 3 39" xfId="63858"/>
    <cellStyle name="Normal 7 3 2 3 4" xfId="4988"/>
    <cellStyle name="Normal 7 3 2 3 5" xfId="6740"/>
    <cellStyle name="Normal 7 3 2 3 6" xfId="8492"/>
    <cellStyle name="Normal 7 3 2 3 7" xfId="10245"/>
    <cellStyle name="Normal 7 3 2 3 8" xfId="11997"/>
    <cellStyle name="Normal 7 3 2 3 9" xfId="13749"/>
    <cellStyle name="Normal 7 3 2 30" xfId="44843"/>
    <cellStyle name="Normal 7 3 2 31" xfId="46595"/>
    <cellStyle name="Normal 7 3 2 32" xfId="48347"/>
    <cellStyle name="Normal 7 3 2 33" xfId="50099"/>
    <cellStyle name="Normal 7 3 2 34" xfId="51851"/>
    <cellStyle name="Normal 7 3 2 35" xfId="53603"/>
    <cellStyle name="Normal 7 3 2 36" xfId="55355"/>
    <cellStyle name="Normal 7 3 2 37" xfId="57108"/>
    <cellStyle name="Normal 7 3 2 38" xfId="58860"/>
    <cellStyle name="Normal 7 3 2 39" xfId="60612"/>
    <cellStyle name="Normal 7 3 2 4" xfId="2164"/>
    <cellStyle name="Normal 7 3 2 4 10" xfId="17694"/>
    <cellStyle name="Normal 7 3 2 4 11" xfId="19446"/>
    <cellStyle name="Normal 7 3 2 4 12" xfId="21199"/>
    <cellStyle name="Normal 7 3 2 4 13" xfId="22951"/>
    <cellStyle name="Normal 7 3 2 4 14" xfId="24703"/>
    <cellStyle name="Normal 7 3 2 4 15" xfId="26455"/>
    <cellStyle name="Normal 7 3 2 4 16" xfId="28207"/>
    <cellStyle name="Normal 7 3 2 4 17" xfId="29960"/>
    <cellStyle name="Normal 7 3 2 4 18" xfId="31712"/>
    <cellStyle name="Normal 7 3 2 4 19" xfId="33465"/>
    <cellStyle name="Normal 7 3 2 4 2" xfId="3676"/>
    <cellStyle name="Normal 7 3 2 4 20" xfId="36101"/>
    <cellStyle name="Normal 7 3 2 4 21" xfId="37841"/>
    <cellStyle name="Normal 7 3 2 4 22" xfId="39594"/>
    <cellStyle name="Normal 7 3 2 4 23" xfId="41349"/>
    <cellStyle name="Normal 7 3 2 4 24" xfId="43101"/>
    <cellStyle name="Normal 7 3 2 4 25" xfId="45719"/>
    <cellStyle name="Normal 7 3 2 4 26" xfId="47471"/>
    <cellStyle name="Normal 7 3 2 4 27" xfId="49223"/>
    <cellStyle name="Normal 7 3 2 4 28" xfId="50975"/>
    <cellStyle name="Normal 7 3 2 4 29" xfId="52727"/>
    <cellStyle name="Normal 7 3 2 4 3" xfId="5428"/>
    <cellStyle name="Normal 7 3 2 4 30" xfId="54479"/>
    <cellStyle name="Normal 7 3 2 4 31" xfId="56231"/>
    <cellStyle name="Normal 7 3 2 4 32" xfId="57984"/>
    <cellStyle name="Normal 7 3 2 4 33" xfId="59736"/>
    <cellStyle name="Normal 7 3 2 4 34" xfId="61488"/>
    <cellStyle name="Normal 7 3 2 4 4" xfId="7180"/>
    <cellStyle name="Normal 7 3 2 4 5" xfId="8932"/>
    <cellStyle name="Normal 7 3 2 4 6" xfId="10685"/>
    <cellStyle name="Normal 7 3 2 4 7" xfId="12437"/>
    <cellStyle name="Normal 7 3 2 4 8" xfId="14189"/>
    <cellStyle name="Normal 7 3 2 4 9" xfId="15941"/>
    <cellStyle name="Normal 7 3 2 40" xfId="62989"/>
    <cellStyle name="Normal 7 3 2 41" xfId="63855"/>
    <cellStyle name="Normal 7 3 2 5" xfId="2800"/>
    <cellStyle name="Normal 7 3 2 6" xfId="4552"/>
    <cellStyle name="Normal 7 3 2 7" xfId="6304"/>
    <cellStyle name="Normal 7 3 2 8" xfId="8056"/>
    <cellStyle name="Normal 7 3 2 9" xfId="9809"/>
    <cellStyle name="Normal 7 3 20" xfId="27223"/>
    <cellStyle name="Normal 7 3 21" xfId="28976"/>
    <cellStyle name="Normal 7 3 22" xfId="30728"/>
    <cellStyle name="Normal 7 3 23" xfId="32481"/>
    <cellStyle name="Normal 7 3 24" xfId="34980"/>
    <cellStyle name="Normal 7 3 25" xfId="35117"/>
    <cellStyle name="Normal 7 3 26" xfId="37601"/>
    <cellStyle name="Normal 7 3 27" xfId="38610"/>
    <cellStyle name="Normal 7 3 28" xfId="40365"/>
    <cellStyle name="Normal 7 3 29" xfId="42117"/>
    <cellStyle name="Normal 7 3 3" xfId="2165"/>
    <cellStyle name="Normal 7 3 3 10" xfId="13562"/>
    <cellStyle name="Normal 7 3 3 11" xfId="15314"/>
    <cellStyle name="Normal 7 3 3 12" xfId="17067"/>
    <cellStyle name="Normal 7 3 3 13" xfId="18819"/>
    <cellStyle name="Normal 7 3 3 14" xfId="20572"/>
    <cellStyle name="Normal 7 3 3 15" xfId="22324"/>
    <cellStyle name="Normal 7 3 3 16" xfId="24076"/>
    <cellStyle name="Normal 7 3 3 17" xfId="25828"/>
    <cellStyle name="Normal 7 3 3 18" xfId="27580"/>
    <cellStyle name="Normal 7 3 3 19" xfId="29333"/>
    <cellStyle name="Normal 7 3 3 2" xfId="2166"/>
    <cellStyle name="Normal 7 3 3 2 10" xfId="15750"/>
    <cellStyle name="Normal 7 3 3 2 11" xfId="17503"/>
    <cellStyle name="Normal 7 3 3 2 12" xfId="19255"/>
    <cellStyle name="Normal 7 3 3 2 13" xfId="21008"/>
    <cellStyle name="Normal 7 3 3 2 14" xfId="22760"/>
    <cellStyle name="Normal 7 3 3 2 15" xfId="24512"/>
    <cellStyle name="Normal 7 3 3 2 16" xfId="26264"/>
    <cellStyle name="Normal 7 3 3 2 17" xfId="28016"/>
    <cellStyle name="Normal 7 3 3 2 18" xfId="29769"/>
    <cellStyle name="Normal 7 3 3 2 19" xfId="31521"/>
    <cellStyle name="Normal 7 3 3 2 2" xfId="2167"/>
    <cellStyle name="Normal 7 3 3 2 2 10" xfId="18379"/>
    <cellStyle name="Normal 7 3 3 2 2 11" xfId="20131"/>
    <cellStyle name="Normal 7 3 3 2 2 12" xfId="21884"/>
    <cellStyle name="Normal 7 3 3 2 2 13" xfId="23636"/>
    <cellStyle name="Normal 7 3 3 2 2 14" xfId="25388"/>
    <cellStyle name="Normal 7 3 3 2 2 15" xfId="27140"/>
    <cellStyle name="Normal 7 3 3 2 2 16" xfId="28892"/>
    <cellStyle name="Normal 7 3 3 2 2 17" xfId="30645"/>
    <cellStyle name="Normal 7 3 3 2 2 18" xfId="32397"/>
    <cellStyle name="Normal 7 3 3 2 2 19" xfId="34150"/>
    <cellStyle name="Normal 7 3 3 2 2 2" xfId="4361"/>
    <cellStyle name="Normal 7 3 3 2 2 20" xfId="36786"/>
    <cellStyle name="Normal 7 3 3 2 2 21" xfId="38526"/>
    <cellStyle name="Normal 7 3 3 2 2 22" xfId="40279"/>
    <cellStyle name="Normal 7 3 3 2 2 23" xfId="42034"/>
    <cellStyle name="Normal 7 3 3 2 2 24" xfId="43786"/>
    <cellStyle name="Normal 7 3 3 2 2 25" xfId="46404"/>
    <cellStyle name="Normal 7 3 3 2 2 26" xfId="48156"/>
    <cellStyle name="Normal 7 3 3 2 2 27" xfId="49908"/>
    <cellStyle name="Normal 7 3 3 2 2 28" xfId="51660"/>
    <cellStyle name="Normal 7 3 3 2 2 29" xfId="53412"/>
    <cellStyle name="Normal 7 3 3 2 2 3" xfId="6113"/>
    <cellStyle name="Normal 7 3 3 2 2 30" xfId="55164"/>
    <cellStyle name="Normal 7 3 3 2 2 31" xfId="56916"/>
    <cellStyle name="Normal 7 3 3 2 2 32" xfId="58669"/>
    <cellStyle name="Normal 7 3 3 2 2 33" xfId="60421"/>
    <cellStyle name="Normal 7 3 3 2 2 34" xfId="62173"/>
    <cellStyle name="Normal 7 3 3 2 2 4" xfId="7865"/>
    <cellStyle name="Normal 7 3 3 2 2 5" xfId="9617"/>
    <cellStyle name="Normal 7 3 3 2 2 6" xfId="11370"/>
    <cellStyle name="Normal 7 3 3 2 2 7" xfId="13122"/>
    <cellStyle name="Normal 7 3 3 2 2 8" xfId="14874"/>
    <cellStyle name="Normal 7 3 3 2 2 9" xfId="16626"/>
    <cellStyle name="Normal 7 3 3 2 20" xfId="33274"/>
    <cellStyle name="Normal 7 3 3 2 21" xfId="34986"/>
    <cellStyle name="Normal 7 3 3 2 22" xfId="35910"/>
    <cellStyle name="Normal 7 3 3 2 23" xfId="37607"/>
    <cellStyle name="Normal 7 3 3 2 24" xfId="39403"/>
    <cellStyle name="Normal 7 3 3 2 25" xfId="41158"/>
    <cellStyle name="Normal 7 3 3 2 26" xfId="42910"/>
    <cellStyle name="Normal 7 3 3 2 27" xfId="44607"/>
    <cellStyle name="Normal 7 3 3 2 28" xfId="45528"/>
    <cellStyle name="Normal 7 3 3 2 29" xfId="47280"/>
    <cellStyle name="Normal 7 3 3 2 3" xfId="3485"/>
    <cellStyle name="Normal 7 3 3 2 30" xfId="49032"/>
    <cellStyle name="Normal 7 3 3 2 31" xfId="50784"/>
    <cellStyle name="Normal 7 3 3 2 32" xfId="52536"/>
    <cellStyle name="Normal 7 3 3 2 33" xfId="54288"/>
    <cellStyle name="Normal 7 3 3 2 34" xfId="56040"/>
    <cellStyle name="Normal 7 3 3 2 35" xfId="57793"/>
    <cellStyle name="Normal 7 3 3 2 36" xfId="59545"/>
    <cellStyle name="Normal 7 3 3 2 37" xfId="61297"/>
    <cellStyle name="Normal 7 3 3 2 38" xfId="62994"/>
    <cellStyle name="Normal 7 3 3 2 39" xfId="63860"/>
    <cellStyle name="Normal 7 3 3 2 4" xfId="5237"/>
    <cellStyle name="Normal 7 3 3 2 5" xfId="6989"/>
    <cellStyle name="Normal 7 3 3 2 6" xfId="8741"/>
    <cellStyle name="Normal 7 3 3 2 7" xfId="10494"/>
    <cellStyle name="Normal 7 3 3 2 8" xfId="12246"/>
    <cellStyle name="Normal 7 3 3 2 9" xfId="13998"/>
    <cellStyle name="Normal 7 3 3 20" xfId="31085"/>
    <cellStyle name="Normal 7 3 3 21" xfId="32838"/>
    <cellStyle name="Normal 7 3 3 22" xfId="34985"/>
    <cellStyle name="Normal 7 3 3 23" xfId="35474"/>
    <cellStyle name="Normal 7 3 3 24" xfId="37606"/>
    <cellStyle name="Normal 7 3 3 25" xfId="38967"/>
    <cellStyle name="Normal 7 3 3 26" xfId="40722"/>
    <cellStyle name="Normal 7 3 3 27" xfId="42474"/>
    <cellStyle name="Normal 7 3 3 28" xfId="44606"/>
    <cellStyle name="Normal 7 3 3 29" xfId="45092"/>
    <cellStyle name="Normal 7 3 3 3" xfId="2168"/>
    <cellStyle name="Normal 7 3 3 3 10" xfId="17943"/>
    <cellStyle name="Normal 7 3 3 3 11" xfId="19695"/>
    <cellStyle name="Normal 7 3 3 3 12" xfId="21448"/>
    <cellStyle name="Normal 7 3 3 3 13" xfId="23200"/>
    <cellStyle name="Normal 7 3 3 3 14" xfId="24952"/>
    <cellStyle name="Normal 7 3 3 3 15" xfId="26704"/>
    <cellStyle name="Normal 7 3 3 3 16" xfId="28456"/>
    <cellStyle name="Normal 7 3 3 3 17" xfId="30209"/>
    <cellStyle name="Normal 7 3 3 3 18" xfId="31961"/>
    <cellStyle name="Normal 7 3 3 3 19" xfId="33714"/>
    <cellStyle name="Normal 7 3 3 3 2" xfId="3925"/>
    <cellStyle name="Normal 7 3 3 3 20" xfId="36350"/>
    <cellStyle name="Normal 7 3 3 3 21" xfId="38090"/>
    <cellStyle name="Normal 7 3 3 3 22" xfId="39843"/>
    <cellStyle name="Normal 7 3 3 3 23" xfId="41598"/>
    <cellStyle name="Normal 7 3 3 3 24" xfId="43350"/>
    <cellStyle name="Normal 7 3 3 3 25" xfId="45968"/>
    <cellStyle name="Normal 7 3 3 3 26" xfId="47720"/>
    <cellStyle name="Normal 7 3 3 3 27" xfId="49472"/>
    <cellStyle name="Normal 7 3 3 3 28" xfId="51224"/>
    <cellStyle name="Normal 7 3 3 3 29" xfId="52976"/>
    <cellStyle name="Normal 7 3 3 3 3" xfId="5677"/>
    <cellStyle name="Normal 7 3 3 3 30" xfId="54728"/>
    <cellStyle name="Normal 7 3 3 3 31" xfId="56480"/>
    <cellStyle name="Normal 7 3 3 3 32" xfId="58233"/>
    <cellStyle name="Normal 7 3 3 3 33" xfId="59985"/>
    <cellStyle name="Normal 7 3 3 3 34" xfId="61737"/>
    <cellStyle name="Normal 7 3 3 3 4" xfId="7429"/>
    <cellStyle name="Normal 7 3 3 3 5" xfId="9181"/>
    <cellStyle name="Normal 7 3 3 3 6" xfId="10934"/>
    <cellStyle name="Normal 7 3 3 3 7" xfId="12686"/>
    <cellStyle name="Normal 7 3 3 3 8" xfId="14438"/>
    <cellStyle name="Normal 7 3 3 3 9" xfId="16190"/>
    <cellStyle name="Normal 7 3 3 30" xfId="46844"/>
    <cellStyle name="Normal 7 3 3 31" xfId="48596"/>
    <cellStyle name="Normal 7 3 3 32" xfId="50348"/>
    <cellStyle name="Normal 7 3 3 33" xfId="52100"/>
    <cellStyle name="Normal 7 3 3 34" xfId="53852"/>
    <cellStyle name="Normal 7 3 3 35" xfId="55604"/>
    <cellStyle name="Normal 7 3 3 36" xfId="57357"/>
    <cellStyle name="Normal 7 3 3 37" xfId="59109"/>
    <cellStyle name="Normal 7 3 3 38" xfId="60861"/>
    <cellStyle name="Normal 7 3 3 39" xfId="62993"/>
    <cellStyle name="Normal 7 3 3 4" xfId="3049"/>
    <cellStyle name="Normal 7 3 3 40" xfId="63859"/>
    <cellStyle name="Normal 7 3 3 5" xfId="4801"/>
    <cellStyle name="Normal 7 3 3 6" xfId="6553"/>
    <cellStyle name="Normal 7 3 3 7" xfId="8305"/>
    <cellStyle name="Normal 7 3 3 8" xfId="10058"/>
    <cellStyle name="Normal 7 3 3 9" xfId="11810"/>
    <cellStyle name="Normal 7 3 30" xfId="44601"/>
    <cellStyle name="Normal 7 3 31" xfId="44735"/>
    <cellStyle name="Normal 7 3 32" xfId="46487"/>
    <cellStyle name="Normal 7 3 33" xfId="48239"/>
    <cellStyle name="Normal 7 3 34" xfId="49991"/>
    <cellStyle name="Normal 7 3 35" xfId="51743"/>
    <cellStyle name="Normal 7 3 36" xfId="53495"/>
    <cellStyle name="Normal 7 3 37" xfId="55247"/>
    <cellStyle name="Normal 7 3 38" xfId="57000"/>
    <cellStyle name="Normal 7 3 39" xfId="58752"/>
    <cellStyle name="Normal 7 3 4" xfId="2169"/>
    <cellStyle name="Normal 7 3 4 10" xfId="15393"/>
    <cellStyle name="Normal 7 3 4 11" xfId="17146"/>
    <cellStyle name="Normal 7 3 4 12" xfId="18898"/>
    <cellStyle name="Normal 7 3 4 13" xfId="20651"/>
    <cellStyle name="Normal 7 3 4 14" xfId="22403"/>
    <cellStyle name="Normal 7 3 4 15" xfId="24155"/>
    <cellStyle name="Normal 7 3 4 16" xfId="25907"/>
    <cellStyle name="Normal 7 3 4 17" xfId="27659"/>
    <cellStyle name="Normal 7 3 4 18" xfId="29412"/>
    <cellStyle name="Normal 7 3 4 19" xfId="31164"/>
    <cellStyle name="Normal 7 3 4 2" xfId="2170"/>
    <cellStyle name="Normal 7 3 4 2 10" xfId="18022"/>
    <cellStyle name="Normal 7 3 4 2 11" xfId="19774"/>
    <cellStyle name="Normal 7 3 4 2 12" xfId="21527"/>
    <cellStyle name="Normal 7 3 4 2 13" xfId="23279"/>
    <cellStyle name="Normal 7 3 4 2 14" xfId="25031"/>
    <cellStyle name="Normal 7 3 4 2 15" xfId="26783"/>
    <cellStyle name="Normal 7 3 4 2 16" xfId="28535"/>
    <cellStyle name="Normal 7 3 4 2 17" xfId="30288"/>
    <cellStyle name="Normal 7 3 4 2 18" xfId="32040"/>
    <cellStyle name="Normal 7 3 4 2 19" xfId="33793"/>
    <cellStyle name="Normal 7 3 4 2 2" xfId="4004"/>
    <cellStyle name="Normal 7 3 4 2 20" xfId="36429"/>
    <cellStyle name="Normal 7 3 4 2 21" xfId="38169"/>
    <cellStyle name="Normal 7 3 4 2 22" xfId="39922"/>
    <cellStyle name="Normal 7 3 4 2 23" xfId="41677"/>
    <cellStyle name="Normal 7 3 4 2 24" xfId="43429"/>
    <cellStyle name="Normal 7 3 4 2 25" xfId="46047"/>
    <cellStyle name="Normal 7 3 4 2 26" xfId="47799"/>
    <cellStyle name="Normal 7 3 4 2 27" xfId="49551"/>
    <cellStyle name="Normal 7 3 4 2 28" xfId="51303"/>
    <cellStyle name="Normal 7 3 4 2 29" xfId="53055"/>
    <cellStyle name="Normal 7 3 4 2 3" xfId="5756"/>
    <cellStyle name="Normal 7 3 4 2 30" xfId="54807"/>
    <cellStyle name="Normal 7 3 4 2 31" xfId="56559"/>
    <cellStyle name="Normal 7 3 4 2 32" xfId="58312"/>
    <cellStyle name="Normal 7 3 4 2 33" xfId="60064"/>
    <cellStyle name="Normal 7 3 4 2 34" xfId="61816"/>
    <cellStyle name="Normal 7 3 4 2 4" xfId="7508"/>
    <cellStyle name="Normal 7 3 4 2 5" xfId="9260"/>
    <cellStyle name="Normal 7 3 4 2 6" xfId="11013"/>
    <cellStyle name="Normal 7 3 4 2 7" xfId="12765"/>
    <cellStyle name="Normal 7 3 4 2 8" xfId="14517"/>
    <cellStyle name="Normal 7 3 4 2 9" xfId="16269"/>
    <cellStyle name="Normal 7 3 4 20" xfId="32917"/>
    <cellStyle name="Normal 7 3 4 21" xfId="34987"/>
    <cellStyle name="Normal 7 3 4 22" xfId="35553"/>
    <cellStyle name="Normal 7 3 4 23" xfId="37608"/>
    <cellStyle name="Normal 7 3 4 24" xfId="39046"/>
    <cellStyle name="Normal 7 3 4 25" xfId="40801"/>
    <cellStyle name="Normal 7 3 4 26" xfId="42553"/>
    <cellStyle name="Normal 7 3 4 27" xfId="44608"/>
    <cellStyle name="Normal 7 3 4 28" xfId="45171"/>
    <cellStyle name="Normal 7 3 4 29" xfId="46923"/>
    <cellStyle name="Normal 7 3 4 3" xfId="3128"/>
    <cellStyle name="Normal 7 3 4 30" xfId="48675"/>
    <cellStyle name="Normal 7 3 4 31" xfId="50427"/>
    <cellStyle name="Normal 7 3 4 32" xfId="52179"/>
    <cellStyle name="Normal 7 3 4 33" xfId="53931"/>
    <cellStyle name="Normal 7 3 4 34" xfId="55683"/>
    <cellStyle name="Normal 7 3 4 35" xfId="57436"/>
    <cellStyle name="Normal 7 3 4 36" xfId="59188"/>
    <cellStyle name="Normal 7 3 4 37" xfId="60940"/>
    <cellStyle name="Normal 7 3 4 38" xfId="62995"/>
    <cellStyle name="Normal 7 3 4 39" xfId="63861"/>
    <cellStyle name="Normal 7 3 4 4" xfId="4880"/>
    <cellStyle name="Normal 7 3 4 5" xfId="6632"/>
    <cellStyle name="Normal 7 3 4 6" xfId="8384"/>
    <cellStyle name="Normal 7 3 4 7" xfId="10137"/>
    <cellStyle name="Normal 7 3 4 8" xfId="11889"/>
    <cellStyle name="Normal 7 3 4 9" xfId="13641"/>
    <cellStyle name="Normal 7 3 40" xfId="60504"/>
    <cellStyle name="Normal 7 3 41" xfId="62988"/>
    <cellStyle name="Normal 7 3 42" xfId="63854"/>
    <cellStyle name="Normal 7 3 5" xfId="2171"/>
    <cellStyle name="Normal 7 3 5 10" xfId="17586"/>
    <cellStyle name="Normal 7 3 5 11" xfId="19338"/>
    <cellStyle name="Normal 7 3 5 12" xfId="21091"/>
    <cellStyle name="Normal 7 3 5 13" xfId="22843"/>
    <cellStyle name="Normal 7 3 5 14" xfId="24595"/>
    <cellStyle name="Normal 7 3 5 15" xfId="26347"/>
    <cellStyle name="Normal 7 3 5 16" xfId="28099"/>
    <cellStyle name="Normal 7 3 5 17" xfId="29852"/>
    <cellStyle name="Normal 7 3 5 18" xfId="31604"/>
    <cellStyle name="Normal 7 3 5 19" xfId="33357"/>
    <cellStyle name="Normal 7 3 5 2" xfId="3568"/>
    <cellStyle name="Normal 7 3 5 20" xfId="35993"/>
    <cellStyle name="Normal 7 3 5 21" xfId="37721"/>
    <cellStyle name="Normal 7 3 5 22" xfId="39486"/>
    <cellStyle name="Normal 7 3 5 23" xfId="41241"/>
    <cellStyle name="Normal 7 3 5 24" xfId="42993"/>
    <cellStyle name="Normal 7 3 5 25" xfId="45611"/>
    <cellStyle name="Normal 7 3 5 26" xfId="47363"/>
    <cellStyle name="Normal 7 3 5 27" xfId="49115"/>
    <cellStyle name="Normal 7 3 5 28" xfId="50867"/>
    <cellStyle name="Normal 7 3 5 29" xfId="52619"/>
    <cellStyle name="Normal 7 3 5 3" xfId="5320"/>
    <cellStyle name="Normal 7 3 5 30" xfId="54371"/>
    <cellStyle name="Normal 7 3 5 31" xfId="56123"/>
    <cellStyle name="Normal 7 3 5 32" xfId="57876"/>
    <cellStyle name="Normal 7 3 5 33" xfId="59628"/>
    <cellStyle name="Normal 7 3 5 34" xfId="61380"/>
    <cellStyle name="Normal 7 3 5 4" xfId="7072"/>
    <cellStyle name="Normal 7 3 5 5" xfId="8824"/>
    <cellStyle name="Normal 7 3 5 6" xfId="10577"/>
    <cellStyle name="Normal 7 3 5 7" xfId="12329"/>
    <cellStyle name="Normal 7 3 5 8" xfId="14081"/>
    <cellStyle name="Normal 7 3 5 9" xfId="15833"/>
    <cellStyle name="Normal 7 3 6" xfId="2692"/>
    <cellStyle name="Normal 7 3 7" xfId="4444"/>
    <cellStyle name="Normal 7 3 8" xfId="6196"/>
    <cellStyle name="Normal 7 3 9" xfId="7948"/>
    <cellStyle name="Normal 7 30" xfId="44680"/>
    <cellStyle name="Normal 7 31" xfId="46432"/>
    <cellStyle name="Normal 7 32" xfId="48184"/>
    <cellStyle name="Normal 7 33" xfId="49936"/>
    <cellStyle name="Normal 7 34" xfId="51688"/>
    <cellStyle name="Normal 7 35" xfId="53440"/>
    <cellStyle name="Normal 7 36" xfId="55192"/>
    <cellStyle name="Normal 7 37" xfId="56945"/>
    <cellStyle name="Normal 7 38" xfId="58697"/>
    <cellStyle name="Normal 7 39" xfId="60449"/>
    <cellStyle name="Normal 7 4" xfId="2172"/>
    <cellStyle name="Normal 7 4 10" xfId="11506"/>
    <cellStyle name="Normal 7 4 11" xfId="13258"/>
    <cellStyle name="Normal 7 4 12" xfId="15010"/>
    <cellStyle name="Normal 7 4 13" xfId="16763"/>
    <cellStyle name="Normal 7 4 14" xfId="18515"/>
    <cellStyle name="Normal 7 4 15" xfId="20268"/>
    <cellStyle name="Normal 7 4 16" xfId="22020"/>
    <cellStyle name="Normal 7 4 17" xfId="23772"/>
    <cellStyle name="Normal 7 4 18" xfId="25524"/>
    <cellStyle name="Normal 7 4 19" xfId="27276"/>
    <cellStyle name="Normal 7 4 2" xfId="2173"/>
    <cellStyle name="Normal 7 4 2 10" xfId="13563"/>
    <cellStyle name="Normal 7 4 2 11" xfId="15315"/>
    <cellStyle name="Normal 7 4 2 12" xfId="17068"/>
    <cellStyle name="Normal 7 4 2 13" xfId="18820"/>
    <cellStyle name="Normal 7 4 2 14" xfId="20573"/>
    <cellStyle name="Normal 7 4 2 15" xfId="22325"/>
    <cellStyle name="Normal 7 4 2 16" xfId="24077"/>
    <cellStyle name="Normal 7 4 2 17" xfId="25829"/>
    <cellStyle name="Normal 7 4 2 18" xfId="27581"/>
    <cellStyle name="Normal 7 4 2 19" xfId="29334"/>
    <cellStyle name="Normal 7 4 2 2" xfId="2174"/>
    <cellStyle name="Normal 7 4 2 2 10" xfId="15751"/>
    <cellStyle name="Normal 7 4 2 2 11" xfId="17504"/>
    <cellStyle name="Normal 7 4 2 2 12" xfId="19256"/>
    <cellStyle name="Normal 7 4 2 2 13" xfId="21009"/>
    <cellStyle name="Normal 7 4 2 2 14" xfId="22761"/>
    <cellStyle name="Normal 7 4 2 2 15" xfId="24513"/>
    <cellStyle name="Normal 7 4 2 2 16" xfId="26265"/>
    <cellStyle name="Normal 7 4 2 2 17" xfId="28017"/>
    <cellStyle name="Normal 7 4 2 2 18" xfId="29770"/>
    <cellStyle name="Normal 7 4 2 2 19" xfId="31522"/>
    <cellStyle name="Normal 7 4 2 2 2" xfId="2175"/>
    <cellStyle name="Normal 7 4 2 2 2 10" xfId="18380"/>
    <cellStyle name="Normal 7 4 2 2 2 11" xfId="20132"/>
    <cellStyle name="Normal 7 4 2 2 2 12" xfId="21885"/>
    <cellStyle name="Normal 7 4 2 2 2 13" xfId="23637"/>
    <cellStyle name="Normal 7 4 2 2 2 14" xfId="25389"/>
    <cellStyle name="Normal 7 4 2 2 2 15" xfId="27141"/>
    <cellStyle name="Normal 7 4 2 2 2 16" xfId="28893"/>
    <cellStyle name="Normal 7 4 2 2 2 17" xfId="30646"/>
    <cellStyle name="Normal 7 4 2 2 2 18" xfId="32398"/>
    <cellStyle name="Normal 7 4 2 2 2 19" xfId="34151"/>
    <cellStyle name="Normal 7 4 2 2 2 2" xfId="4362"/>
    <cellStyle name="Normal 7 4 2 2 2 20" xfId="36787"/>
    <cellStyle name="Normal 7 4 2 2 2 21" xfId="38527"/>
    <cellStyle name="Normal 7 4 2 2 2 22" xfId="40280"/>
    <cellStyle name="Normal 7 4 2 2 2 23" xfId="42035"/>
    <cellStyle name="Normal 7 4 2 2 2 24" xfId="43787"/>
    <cellStyle name="Normal 7 4 2 2 2 25" xfId="46405"/>
    <cellStyle name="Normal 7 4 2 2 2 26" xfId="48157"/>
    <cellStyle name="Normal 7 4 2 2 2 27" xfId="49909"/>
    <cellStyle name="Normal 7 4 2 2 2 28" xfId="51661"/>
    <cellStyle name="Normal 7 4 2 2 2 29" xfId="53413"/>
    <cellStyle name="Normal 7 4 2 2 2 3" xfId="6114"/>
    <cellStyle name="Normal 7 4 2 2 2 30" xfId="55165"/>
    <cellStyle name="Normal 7 4 2 2 2 31" xfId="56917"/>
    <cellStyle name="Normal 7 4 2 2 2 32" xfId="58670"/>
    <cellStyle name="Normal 7 4 2 2 2 33" xfId="60422"/>
    <cellStyle name="Normal 7 4 2 2 2 34" xfId="62174"/>
    <cellStyle name="Normal 7 4 2 2 2 4" xfId="7866"/>
    <cellStyle name="Normal 7 4 2 2 2 5" xfId="9618"/>
    <cellStyle name="Normal 7 4 2 2 2 6" xfId="11371"/>
    <cellStyle name="Normal 7 4 2 2 2 7" xfId="13123"/>
    <cellStyle name="Normal 7 4 2 2 2 8" xfId="14875"/>
    <cellStyle name="Normal 7 4 2 2 2 9" xfId="16627"/>
    <cellStyle name="Normal 7 4 2 2 20" xfId="33275"/>
    <cellStyle name="Normal 7 4 2 2 21" xfId="34990"/>
    <cellStyle name="Normal 7 4 2 2 22" xfId="35911"/>
    <cellStyle name="Normal 7 4 2 2 23" xfId="37611"/>
    <cellStyle name="Normal 7 4 2 2 24" xfId="39404"/>
    <cellStyle name="Normal 7 4 2 2 25" xfId="41159"/>
    <cellStyle name="Normal 7 4 2 2 26" xfId="42911"/>
    <cellStyle name="Normal 7 4 2 2 27" xfId="44611"/>
    <cellStyle name="Normal 7 4 2 2 28" xfId="45529"/>
    <cellStyle name="Normal 7 4 2 2 29" xfId="47281"/>
    <cellStyle name="Normal 7 4 2 2 3" xfId="3486"/>
    <cellStyle name="Normal 7 4 2 2 30" xfId="49033"/>
    <cellStyle name="Normal 7 4 2 2 31" xfId="50785"/>
    <cellStyle name="Normal 7 4 2 2 32" xfId="52537"/>
    <cellStyle name="Normal 7 4 2 2 33" xfId="54289"/>
    <cellStyle name="Normal 7 4 2 2 34" xfId="56041"/>
    <cellStyle name="Normal 7 4 2 2 35" xfId="57794"/>
    <cellStyle name="Normal 7 4 2 2 36" xfId="59546"/>
    <cellStyle name="Normal 7 4 2 2 37" xfId="61298"/>
    <cellStyle name="Normal 7 4 2 2 38" xfId="62998"/>
    <cellStyle name="Normal 7 4 2 2 39" xfId="63864"/>
    <cellStyle name="Normal 7 4 2 2 4" xfId="5238"/>
    <cellStyle name="Normal 7 4 2 2 5" xfId="6990"/>
    <cellStyle name="Normal 7 4 2 2 6" xfId="8742"/>
    <cellStyle name="Normal 7 4 2 2 7" xfId="10495"/>
    <cellStyle name="Normal 7 4 2 2 8" xfId="12247"/>
    <cellStyle name="Normal 7 4 2 2 9" xfId="13999"/>
    <cellStyle name="Normal 7 4 2 20" xfId="31086"/>
    <cellStyle name="Normal 7 4 2 21" xfId="32839"/>
    <cellStyle name="Normal 7 4 2 22" xfId="34989"/>
    <cellStyle name="Normal 7 4 2 23" xfId="35475"/>
    <cellStyle name="Normal 7 4 2 24" xfId="37610"/>
    <cellStyle name="Normal 7 4 2 25" xfId="38968"/>
    <cellStyle name="Normal 7 4 2 26" xfId="40723"/>
    <cellStyle name="Normal 7 4 2 27" xfId="42475"/>
    <cellStyle name="Normal 7 4 2 28" xfId="44610"/>
    <cellStyle name="Normal 7 4 2 29" xfId="45093"/>
    <cellStyle name="Normal 7 4 2 3" xfId="2176"/>
    <cellStyle name="Normal 7 4 2 3 10" xfId="17944"/>
    <cellStyle name="Normal 7 4 2 3 11" xfId="19696"/>
    <cellStyle name="Normal 7 4 2 3 12" xfId="21449"/>
    <cellStyle name="Normal 7 4 2 3 13" xfId="23201"/>
    <cellStyle name="Normal 7 4 2 3 14" xfId="24953"/>
    <cellStyle name="Normal 7 4 2 3 15" xfId="26705"/>
    <cellStyle name="Normal 7 4 2 3 16" xfId="28457"/>
    <cellStyle name="Normal 7 4 2 3 17" xfId="30210"/>
    <cellStyle name="Normal 7 4 2 3 18" xfId="31962"/>
    <cellStyle name="Normal 7 4 2 3 19" xfId="33715"/>
    <cellStyle name="Normal 7 4 2 3 2" xfId="3926"/>
    <cellStyle name="Normal 7 4 2 3 20" xfId="36351"/>
    <cellStyle name="Normal 7 4 2 3 21" xfId="38091"/>
    <cellStyle name="Normal 7 4 2 3 22" xfId="39844"/>
    <cellStyle name="Normal 7 4 2 3 23" xfId="41599"/>
    <cellStyle name="Normal 7 4 2 3 24" xfId="43351"/>
    <cellStyle name="Normal 7 4 2 3 25" xfId="45969"/>
    <cellStyle name="Normal 7 4 2 3 26" xfId="47721"/>
    <cellStyle name="Normal 7 4 2 3 27" xfId="49473"/>
    <cellStyle name="Normal 7 4 2 3 28" xfId="51225"/>
    <cellStyle name="Normal 7 4 2 3 29" xfId="52977"/>
    <cellStyle name="Normal 7 4 2 3 3" xfId="5678"/>
    <cellStyle name="Normal 7 4 2 3 30" xfId="54729"/>
    <cellStyle name="Normal 7 4 2 3 31" xfId="56481"/>
    <cellStyle name="Normal 7 4 2 3 32" xfId="58234"/>
    <cellStyle name="Normal 7 4 2 3 33" xfId="59986"/>
    <cellStyle name="Normal 7 4 2 3 34" xfId="61738"/>
    <cellStyle name="Normal 7 4 2 3 4" xfId="7430"/>
    <cellStyle name="Normal 7 4 2 3 5" xfId="9182"/>
    <cellStyle name="Normal 7 4 2 3 6" xfId="10935"/>
    <cellStyle name="Normal 7 4 2 3 7" xfId="12687"/>
    <cellStyle name="Normal 7 4 2 3 8" xfId="14439"/>
    <cellStyle name="Normal 7 4 2 3 9" xfId="16191"/>
    <cellStyle name="Normal 7 4 2 30" xfId="46845"/>
    <cellStyle name="Normal 7 4 2 31" xfId="48597"/>
    <cellStyle name="Normal 7 4 2 32" xfId="50349"/>
    <cellStyle name="Normal 7 4 2 33" xfId="52101"/>
    <cellStyle name="Normal 7 4 2 34" xfId="53853"/>
    <cellStyle name="Normal 7 4 2 35" xfId="55605"/>
    <cellStyle name="Normal 7 4 2 36" xfId="57358"/>
    <cellStyle name="Normal 7 4 2 37" xfId="59110"/>
    <cellStyle name="Normal 7 4 2 38" xfId="60862"/>
    <cellStyle name="Normal 7 4 2 39" xfId="62997"/>
    <cellStyle name="Normal 7 4 2 4" xfId="3050"/>
    <cellStyle name="Normal 7 4 2 40" xfId="63863"/>
    <cellStyle name="Normal 7 4 2 5" xfId="4802"/>
    <cellStyle name="Normal 7 4 2 6" xfId="6554"/>
    <cellStyle name="Normal 7 4 2 7" xfId="8306"/>
    <cellStyle name="Normal 7 4 2 8" xfId="10059"/>
    <cellStyle name="Normal 7 4 2 9" xfId="11811"/>
    <cellStyle name="Normal 7 4 20" xfId="29029"/>
    <cellStyle name="Normal 7 4 21" xfId="30781"/>
    <cellStyle name="Normal 7 4 22" xfId="32534"/>
    <cellStyle name="Normal 7 4 23" xfId="34988"/>
    <cellStyle name="Normal 7 4 24" xfId="35170"/>
    <cellStyle name="Normal 7 4 25" xfId="37609"/>
    <cellStyle name="Normal 7 4 26" xfId="38663"/>
    <cellStyle name="Normal 7 4 27" xfId="40418"/>
    <cellStyle name="Normal 7 4 28" xfId="42170"/>
    <cellStyle name="Normal 7 4 29" xfId="44609"/>
    <cellStyle name="Normal 7 4 3" xfId="2177"/>
    <cellStyle name="Normal 7 4 3 10" xfId="15446"/>
    <cellStyle name="Normal 7 4 3 11" xfId="17199"/>
    <cellStyle name="Normal 7 4 3 12" xfId="18951"/>
    <cellStyle name="Normal 7 4 3 13" xfId="20704"/>
    <cellStyle name="Normal 7 4 3 14" xfId="22456"/>
    <cellStyle name="Normal 7 4 3 15" xfId="24208"/>
    <cellStyle name="Normal 7 4 3 16" xfId="25960"/>
    <cellStyle name="Normal 7 4 3 17" xfId="27712"/>
    <cellStyle name="Normal 7 4 3 18" xfId="29465"/>
    <cellStyle name="Normal 7 4 3 19" xfId="31217"/>
    <cellStyle name="Normal 7 4 3 2" xfId="2178"/>
    <cellStyle name="Normal 7 4 3 2 10" xfId="18075"/>
    <cellStyle name="Normal 7 4 3 2 11" xfId="19827"/>
    <cellStyle name="Normal 7 4 3 2 12" xfId="21580"/>
    <cellStyle name="Normal 7 4 3 2 13" xfId="23332"/>
    <cellStyle name="Normal 7 4 3 2 14" xfId="25084"/>
    <cellStyle name="Normal 7 4 3 2 15" xfId="26836"/>
    <cellStyle name="Normal 7 4 3 2 16" xfId="28588"/>
    <cellStyle name="Normal 7 4 3 2 17" xfId="30341"/>
    <cellStyle name="Normal 7 4 3 2 18" xfId="32093"/>
    <cellStyle name="Normal 7 4 3 2 19" xfId="33846"/>
    <cellStyle name="Normal 7 4 3 2 2" xfId="4057"/>
    <cellStyle name="Normal 7 4 3 2 20" xfId="36482"/>
    <cellStyle name="Normal 7 4 3 2 21" xfId="38222"/>
    <cellStyle name="Normal 7 4 3 2 22" xfId="39975"/>
    <cellStyle name="Normal 7 4 3 2 23" xfId="41730"/>
    <cellStyle name="Normal 7 4 3 2 24" xfId="43482"/>
    <cellStyle name="Normal 7 4 3 2 25" xfId="46100"/>
    <cellStyle name="Normal 7 4 3 2 26" xfId="47852"/>
    <cellStyle name="Normal 7 4 3 2 27" xfId="49604"/>
    <cellStyle name="Normal 7 4 3 2 28" xfId="51356"/>
    <cellStyle name="Normal 7 4 3 2 29" xfId="53108"/>
    <cellStyle name="Normal 7 4 3 2 3" xfId="5809"/>
    <cellStyle name="Normal 7 4 3 2 30" xfId="54860"/>
    <cellStyle name="Normal 7 4 3 2 31" xfId="56612"/>
    <cellStyle name="Normal 7 4 3 2 32" xfId="58365"/>
    <cellStyle name="Normal 7 4 3 2 33" xfId="60117"/>
    <cellStyle name="Normal 7 4 3 2 34" xfId="61869"/>
    <cellStyle name="Normal 7 4 3 2 4" xfId="7561"/>
    <cellStyle name="Normal 7 4 3 2 5" xfId="9313"/>
    <cellStyle name="Normal 7 4 3 2 6" xfId="11066"/>
    <cellStyle name="Normal 7 4 3 2 7" xfId="12818"/>
    <cellStyle name="Normal 7 4 3 2 8" xfId="14570"/>
    <cellStyle name="Normal 7 4 3 2 9" xfId="16322"/>
    <cellStyle name="Normal 7 4 3 20" xfId="32970"/>
    <cellStyle name="Normal 7 4 3 21" xfId="34991"/>
    <cellStyle name="Normal 7 4 3 22" xfId="35606"/>
    <cellStyle name="Normal 7 4 3 23" xfId="37612"/>
    <cellStyle name="Normal 7 4 3 24" xfId="39099"/>
    <cellStyle name="Normal 7 4 3 25" xfId="40854"/>
    <cellStyle name="Normal 7 4 3 26" xfId="42606"/>
    <cellStyle name="Normal 7 4 3 27" xfId="44612"/>
    <cellStyle name="Normal 7 4 3 28" xfId="45224"/>
    <cellStyle name="Normal 7 4 3 29" xfId="46976"/>
    <cellStyle name="Normal 7 4 3 3" xfId="3181"/>
    <cellStyle name="Normal 7 4 3 30" xfId="48728"/>
    <cellStyle name="Normal 7 4 3 31" xfId="50480"/>
    <cellStyle name="Normal 7 4 3 32" xfId="52232"/>
    <cellStyle name="Normal 7 4 3 33" xfId="53984"/>
    <cellStyle name="Normal 7 4 3 34" xfId="55736"/>
    <cellStyle name="Normal 7 4 3 35" xfId="57489"/>
    <cellStyle name="Normal 7 4 3 36" xfId="59241"/>
    <cellStyle name="Normal 7 4 3 37" xfId="60993"/>
    <cellStyle name="Normal 7 4 3 38" xfId="62999"/>
    <cellStyle name="Normal 7 4 3 39" xfId="63865"/>
    <cellStyle name="Normal 7 4 3 4" xfId="4933"/>
    <cellStyle name="Normal 7 4 3 5" xfId="6685"/>
    <cellStyle name="Normal 7 4 3 6" xfId="8437"/>
    <cellStyle name="Normal 7 4 3 7" xfId="10190"/>
    <cellStyle name="Normal 7 4 3 8" xfId="11942"/>
    <cellStyle name="Normal 7 4 3 9" xfId="13694"/>
    <cellStyle name="Normal 7 4 30" xfId="44788"/>
    <cellStyle name="Normal 7 4 31" xfId="46540"/>
    <cellStyle name="Normal 7 4 32" xfId="48292"/>
    <cellStyle name="Normal 7 4 33" xfId="50044"/>
    <cellStyle name="Normal 7 4 34" xfId="51796"/>
    <cellStyle name="Normal 7 4 35" xfId="53548"/>
    <cellStyle name="Normal 7 4 36" xfId="55300"/>
    <cellStyle name="Normal 7 4 37" xfId="57053"/>
    <cellStyle name="Normal 7 4 38" xfId="58805"/>
    <cellStyle name="Normal 7 4 39" xfId="60557"/>
    <cellStyle name="Normal 7 4 4" xfId="2179"/>
    <cellStyle name="Normal 7 4 4 10" xfId="17639"/>
    <cellStyle name="Normal 7 4 4 11" xfId="19391"/>
    <cellStyle name="Normal 7 4 4 12" xfId="21144"/>
    <cellStyle name="Normal 7 4 4 13" xfId="22896"/>
    <cellStyle name="Normal 7 4 4 14" xfId="24648"/>
    <cellStyle name="Normal 7 4 4 15" xfId="26400"/>
    <cellStyle name="Normal 7 4 4 16" xfId="28152"/>
    <cellStyle name="Normal 7 4 4 17" xfId="29905"/>
    <cellStyle name="Normal 7 4 4 18" xfId="31657"/>
    <cellStyle name="Normal 7 4 4 19" xfId="33410"/>
    <cellStyle name="Normal 7 4 4 2" xfId="3621"/>
    <cellStyle name="Normal 7 4 4 20" xfId="36046"/>
    <cellStyle name="Normal 7 4 4 21" xfId="37786"/>
    <cellStyle name="Normal 7 4 4 22" xfId="39539"/>
    <cellStyle name="Normal 7 4 4 23" xfId="41294"/>
    <cellStyle name="Normal 7 4 4 24" xfId="43046"/>
    <cellStyle name="Normal 7 4 4 25" xfId="45664"/>
    <cellStyle name="Normal 7 4 4 26" xfId="47416"/>
    <cellStyle name="Normal 7 4 4 27" xfId="49168"/>
    <cellStyle name="Normal 7 4 4 28" xfId="50920"/>
    <cellStyle name="Normal 7 4 4 29" xfId="52672"/>
    <cellStyle name="Normal 7 4 4 3" xfId="5373"/>
    <cellStyle name="Normal 7 4 4 30" xfId="54424"/>
    <cellStyle name="Normal 7 4 4 31" xfId="56176"/>
    <cellStyle name="Normal 7 4 4 32" xfId="57929"/>
    <cellStyle name="Normal 7 4 4 33" xfId="59681"/>
    <cellStyle name="Normal 7 4 4 34" xfId="61433"/>
    <cellStyle name="Normal 7 4 4 4" xfId="7125"/>
    <cellStyle name="Normal 7 4 4 5" xfId="8877"/>
    <cellStyle name="Normal 7 4 4 6" xfId="10630"/>
    <cellStyle name="Normal 7 4 4 7" xfId="12382"/>
    <cellStyle name="Normal 7 4 4 8" xfId="14134"/>
    <cellStyle name="Normal 7 4 4 9" xfId="15886"/>
    <cellStyle name="Normal 7 4 40" xfId="62996"/>
    <cellStyle name="Normal 7 4 41" xfId="63862"/>
    <cellStyle name="Normal 7 4 5" xfId="2745"/>
    <cellStyle name="Normal 7 4 6" xfId="4497"/>
    <cellStyle name="Normal 7 4 7" xfId="6249"/>
    <cellStyle name="Normal 7 4 8" xfId="8001"/>
    <cellStyle name="Normal 7 4 9" xfId="9754"/>
    <cellStyle name="Normal 7 5" xfId="2180"/>
    <cellStyle name="Normal 7 5 10" xfId="13564"/>
    <cellStyle name="Normal 7 5 11" xfId="15316"/>
    <cellStyle name="Normal 7 5 12" xfId="17069"/>
    <cellStyle name="Normal 7 5 13" xfId="18821"/>
    <cellStyle name="Normal 7 5 14" xfId="20574"/>
    <cellStyle name="Normal 7 5 15" xfId="22326"/>
    <cellStyle name="Normal 7 5 16" xfId="24078"/>
    <cellStyle name="Normal 7 5 17" xfId="25830"/>
    <cellStyle name="Normal 7 5 18" xfId="27582"/>
    <cellStyle name="Normal 7 5 19" xfId="29335"/>
    <cellStyle name="Normal 7 5 2" xfId="2181"/>
    <cellStyle name="Normal 7 5 2 10" xfId="15752"/>
    <cellStyle name="Normal 7 5 2 11" xfId="17505"/>
    <cellStyle name="Normal 7 5 2 12" xfId="19257"/>
    <cellStyle name="Normal 7 5 2 13" xfId="21010"/>
    <cellStyle name="Normal 7 5 2 14" xfId="22762"/>
    <cellStyle name="Normal 7 5 2 15" xfId="24514"/>
    <cellStyle name="Normal 7 5 2 16" xfId="26266"/>
    <cellStyle name="Normal 7 5 2 17" xfId="28018"/>
    <cellStyle name="Normal 7 5 2 18" xfId="29771"/>
    <cellStyle name="Normal 7 5 2 19" xfId="31523"/>
    <cellStyle name="Normal 7 5 2 2" xfId="2182"/>
    <cellStyle name="Normal 7 5 2 2 10" xfId="18381"/>
    <cellStyle name="Normal 7 5 2 2 11" xfId="20133"/>
    <cellStyle name="Normal 7 5 2 2 12" xfId="21886"/>
    <cellStyle name="Normal 7 5 2 2 13" xfId="23638"/>
    <cellStyle name="Normal 7 5 2 2 14" xfId="25390"/>
    <cellStyle name="Normal 7 5 2 2 15" xfId="27142"/>
    <cellStyle name="Normal 7 5 2 2 16" xfId="28894"/>
    <cellStyle name="Normal 7 5 2 2 17" xfId="30647"/>
    <cellStyle name="Normal 7 5 2 2 18" xfId="32399"/>
    <cellStyle name="Normal 7 5 2 2 19" xfId="34152"/>
    <cellStyle name="Normal 7 5 2 2 2" xfId="4363"/>
    <cellStyle name="Normal 7 5 2 2 20" xfId="36788"/>
    <cellStyle name="Normal 7 5 2 2 21" xfId="38528"/>
    <cellStyle name="Normal 7 5 2 2 22" xfId="40281"/>
    <cellStyle name="Normal 7 5 2 2 23" xfId="42036"/>
    <cellStyle name="Normal 7 5 2 2 24" xfId="43788"/>
    <cellStyle name="Normal 7 5 2 2 25" xfId="46406"/>
    <cellStyle name="Normal 7 5 2 2 26" xfId="48158"/>
    <cellStyle name="Normal 7 5 2 2 27" xfId="49910"/>
    <cellStyle name="Normal 7 5 2 2 28" xfId="51662"/>
    <cellStyle name="Normal 7 5 2 2 29" xfId="53414"/>
    <cellStyle name="Normal 7 5 2 2 3" xfId="6115"/>
    <cellStyle name="Normal 7 5 2 2 30" xfId="55166"/>
    <cellStyle name="Normal 7 5 2 2 31" xfId="56918"/>
    <cellStyle name="Normal 7 5 2 2 32" xfId="58671"/>
    <cellStyle name="Normal 7 5 2 2 33" xfId="60423"/>
    <cellStyle name="Normal 7 5 2 2 34" xfId="62175"/>
    <cellStyle name="Normal 7 5 2 2 4" xfId="7867"/>
    <cellStyle name="Normal 7 5 2 2 5" xfId="9619"/>
    <cellStyle name="Normal 7 5 2 2 6" xfId="11372"/>
    <cellStyle name="Normal 7 5 2 2 7" xfId="13124"/>
    <cellStyle name="Normal 7 5 2 2 8" xfId="14876"/>
    <cellStyle name="Normal 7 5 2 2 9" xfId="16628"/>
    <cellStyle name="Normal 7 5 2 20" xfId="33276"/>
    <cellStyle name="Normal 7 5 2 21" xfId="34993"/>
    <cellStyle name="Normal 7 5 2 22" xfId="35912"/>
    <cellStyle name="Normal 7 5 2 23" xfId="37614"/>
    <cellStyle name="Normal 7 5 2 24" xfId="39405"/>
    <cellStyle name="Normal 7 5 2 25" xfId="41160"/>
    <cellStyle name="Normal 7 5 2 26" xfId="42912"/>
    <cellStyle name="Normal 7 5 2 27" xfId="44614"/>
    <cellStyle name="Normal 7 5 2 28" xfId="45530"/>
    <cellStyle name="Normal 7 5 2 29" xfId="47282"/>
    <cellStyle name="Normal 7 5 2 3" xfId="3487"/>
    <cellStyle name="Normal 7 5 2 30" xfId="49034"/>
    <cellStyle name="Normal 7 5 2 31" xfId="50786"/>
    <cellStyle name="Normal 7 5 2 32" xfId="52538"/>
    <cellStyle name="Normal 7 5 2 33" xfId="54290"/>
    <cellStyle name="Normal 7 5 2 34" xfId="56042"/>
    <cellStyle name="Normal 7 5 2 35" xfId="57795"/>
    <cellStyle name="Normal 7 5 2 36" xfId="59547"/>
    <cellStyle name="Normal 7 5 2 37" xfId="61299"/>
    <cellStyle name="Normal 7 5 2 38" xfId="63001"/>
    <cellStyle name="Normal 7 5 2 39" xfId="63867"/>
    <cellStyle name="Normal 7 5 2 4" xfId="5239"/>
    <cellStyle name="Normal 7 5 2 5" xfId="6991"/>
    <cellStyle name="Normal 7 5 2 6" xfId="8743"/>
    <cellStyle name="Normal 7 5 2 7" xfId="10496"/>
    <cellStyle name="Normal 7 5 2 8" xfId="12248"/>
    <cellStyle name="Normal 7 5 2 9" xfId="14000"/>
    <cellStyle name="Normal 7 5 20" xfId="31087"/>
    <cellStyle name="Normal 7 5 21" xfId="32840"/>
    <cellStyle name="Normal 7 5 22" xfId="34992"/>
    <cellStyle name="Normal 7 5 23" xfId="35476"/>
    <cellStyle name="Normal 7 5 24" xfId="37613"/>
    <cellStyle name="Normal 7 5 25" xfId="38969"/>
    <cellStyle name="Normal 7 5 26" xfId="40724"/>
    <cellStyle name="Normal 7 5 27" xfId="42476"/>
    <cellStyle name="Normal 7 5 28" xfId="44613"/>
    <cellStyle name="Normal 7 5 29" xfId="45094"/>
    <cellStyle name="Normal 7 5 3" xfId="2183"/>
    <cellStyle name="Normal 7 5 3 10" xfId="17945"/>
    <cellStyle name="Normal 7 5 3 11" xfId="19697"/>
    <cellStyle name="Normal 7 5 3 12" xfId="21450"/>
    <cellStyle name="Normal 7 5 3 13" xfId="23202"/>
    <cellStyle name="Normal 7 5 3 14" xfId="24954"/>
    <cellStyle name="Normal 7 5 3 15" xfId="26706"/>
    <cellStyle name="Normal 7 5 3 16" xfId="28458"/>
    <cellStyle name="Normal 7 5 3 17" xfId="30211"/>
    <cellStyle name="Normal 7 5 3 18" xfId="31963"/>
    <cellStyle name="Normal 7 5 3 19" xfId="33716"/>
    <cellStyle name="Normal 7 5 3 2" xfId="3927"/>
    <cellStyle name="Normal 7 5 3 20" xfId="36352"/>
    <cellStyle name="Normal 7 5 3 21" xfId="38092"/>
    <cellStyle name="Normal 7 5 3 22" xfId="39845"/>
    <cellStyle name="Normal 7 5 3 23" xfId="41600"/>
    <cellStyle name="Normal 7 5 3 24" xfId="43352"/>
    <cellStyle name="Normal 7 5 3 25" xfId="45970"/>
    <cellStyle name="Normal 7 5 3 26" xfId="47722"/>
    <cellStyle name="Normal 7 5 3 27" xfId="49474"/>
    <cellStyle name="Normal 7 5 3 28" xfId="51226"/>
    <cellStyle name="Normal 7 5 3 29" xfId="52978"/>
    <cellStyle name="Normal 7 5 3 3" xfId="5679"/>
    <cellStyle name="Normal 7 5 3 30" xfId="54730"/>
    <cellStyle name="Normal 7 5 3 31" xfId="56482"/>
    <cellStyle name="Normal 7 5 3 32" xfId="58235"/>
    <cellStyle name="Normal 7 5 3 33" xfId="59987"/>
    <cellStyle name="Normal 7 5 3 34" xfId="61739"/>
    <cellStyle name="Normal 7 5 3 4" xfId="7431"/>
    <cellStyle name="Normal 7 5 3 5" xfId="9183"/>
    <cellStyle name="Normal 7 5 3 6" xfId="10936"/>
    <cellStyle name="Normal 7 5 3 7" xfId="12688"/>
    <cellStyle name="Normal 7 5 3 8" xfId="14440"/>
    <cellStyle name="Normal 7 5 3 9" xfId="16192"/>
    <cellStyle name="Normal 7 5 30" xfId="46846"/>
    <cellStyle name="Normal 7 5 31" xfId="48598"/>
    <cellStyle name="Normal 7 5 32" xfId="50350"/>
    <cellStyle name="Normal 7 5 33" xfId="52102"/>
    <cellStyle name="Normal 7 5 34" xfId="53854"/>
    <cellStyle name="Normal 7 5 35" xfId="55606"/>
    <cellStyle name="Normal 7 5 36" xfId="57359"/>
    <cellStyle name="Normal 7 5 37" xfId="59111"/>
    <cellStyle name="Normal 7 5 38" xfId="60863"/>
    <cellStyle name="Normal 7 5 39" xfId="63000"/>
    <cellStyle name="Normal 7 5 4" xfId="3051"/>
    <cellStyle name="Normal 7 5 40" xfId="63866"/>
    <cellStyle name="Normal 7 5 5" xfId="4803"/>
    <cellStyle name="Normal 7 5 6" xfId="6555"/>
    <cellStyle name="Normal 7 5 7" xfId="8307"/>
    <cellStyle name="Normal 7 5 8" xfId="10060"/>
    <cellStyle name="Normal 7 5 9" xfId="11812"/>
    <cellStyle name="Normal 7 6" xfId="2184"/>
    <cellStyle name="Normal 7 6 10" xfId="15338"/>
    <cellStyle name="Normal 7 6 11" xfId="17091"/>
    <cellStyle name="Normal 7 6 12" xfId="18843"/>
    <cellStyle name="Normal 7 6 13" xfId="20596"/>
    <cellStyle name="Normal 7 6 14" xfId="22348"/>
    <cellStyle name="Normal 7 6 15" xfId="24100"/>
    <cellStyle name="Normal 7 6 16" xfId="25852"/>
    <cellStyle name="Normal 7 6 17" xfId="27604"/>
    <cellStyle name="Normal 7 6 18" xfId="29357"/>
    <cellStyle name="Normal 7 6 19" xfId="31109"/>
    <cellStyle name="Normal 7 6 2" xfId="2185"/>
    <cellStyle name="Normal 7 6 2 10" xfId="17967"/>
    <cellStyle name="Normal 7 6 2 11" xfId="19719"/>
    <cellStyle name="Normal 7 6 2 12" xfId="21472"/>
    <cellStyle name="Normal 7 6 2 13" xfId="23224"/>
    <cellStyle name="Normal 7 6 2 14" xfId="24976"/>
    <cellStyle name="Normal 7 6 2 15" xfId="26728"/>
    <cellStyle name="Normal 7 6 2 16" xfId="28480"/>
    <cellStyle name="Normal 7 6 2 17" xfId="30233"/>
    <cellStyle name="Normal 7 6 2 18" xfId="31985"/>
    <cellStyle name="Normal 7 6 2 19" xfId="33738"/>
    <cellStyle name="Normal 7 6 2 2" xfId="3949"/>
    <cellStyle name="Normal 7 6 2 20" xfId="36374"/>
    <cellStyle name="Normal 7 6 2 21" xfId="38114"/>
    <cellStyle name="Normal 7 6 2 22" xfId="39867"/>
    <cellStyle name="Normal 7 6 2 23" xfId="41622"/>
    <cellStyle name="Normal 7 6 2 24" xfId="43374"/>
    <cellStyle name="Normal 7 6 2 25" xfId="45992"/>
    <cellStyle name="Normal 7 6 2 26" xfId="47744"/>
    <cellStyle name="Normal 7 6 2 27" xfId="49496"/>
    <cellStyle name="Normal 7 6 2 28" xfId="51248"/>
    <cellStyle name="Normal 7 6 2 29" xfId="53000"/>
    <cellStyle name="Normal 7 6 2 3" xfId="5701"/>
    <cellStyle name="Normal 7 6 2 30" xfId="54752"/>
    <cellStyle name="Normal 7 6 2 31" xfId="56504"/>
    <cellStyle name="Normal 7 6 2 32" xfId="58257"/>
    <cellStyle name="Normal 7 6 2 33" xfId="60009"/>
    <cellStyle name="Normal 7 6 2 34" xfId="61761"/>
    <cellStyle name="Normal 7 6 2 4" xfId="7453"/>
    <cellStyle name="Normal 7 6 2 5" xfId="9205"/>
    <cellStyle name="Normal 7 6 2 6" xfId="10958"/>
    <cellStyle name="Normal 7 6 2 7" xfId="12710"/>
    <cellStyle name="Normal 7 6 2 8" xfId="14462"/>
    <cellStyle name="Normal 7 6 2 9" xfId="16214"/>
    <cellStyle name="Normal 7 6 20" xfId="32862"/>
    <cellStyle name="Normal 7 6 21" xfId="34994"/>
    <cellStyle name="Normal 7 6 22" xfId="35498"/>
    <cellStyle name="Normal 7 6 23" xfId="37615"/>
    <cellStyle name="Normal 7 6 24" xfId="38991"/>
    <cellStyle name="Normal 7 6 25" xfId="40746"/>
    <cellStyle name="Normal 7 6 26" xfId="42498"/>
    <cellStyle name="Normal 7 6 27" xfId="44615"/>
    <cellStyle name="Normal 7 6 28" xfId="45116"/>
    <cellStyle name="Normal 7 6 29" xfId="46868"/>
    <cellStyle name="Normal 7 6 3" xfId="3073"/>
    <cellStyle name="Normal 7 6 30" xfId="48620"/>
    <cellStyle name="Normal 7 6 31" xfId="50372"/>
    <cellStyle name="Normal 7 6 32" xfId="52124"/>
    <cellStyle name="Normal 7 6 33" xfId="53876"/>
    <cellStyle name="Normal 7 6 34" xfId="55628"/>
    <cellStyle name="Normal 7 6 35" xfId="57381"/>
    <cellStyle name="Normal 7 6 36" xfId="59133"/>
    <cellStyle name="Normal 7 6 37" xfId="60885"/>
    <cellStyle name="Normal 7 6 38" xfId="63002"/>
    <cellStyle name="Normal 7 6 39" xfId="63868"/>
    <cellStyle name="Normal 7 6 4" xfId="4825"/>
    <cellStyle name="Normal 7 6 5" xfId="6577"/>
    <cellStyle name="Normal 7 6 6" xfId="8329"/>
    <cellStyle name="Normal 7 6 7" xfId="10082"/>
    <cellStyle name="Normal 7 6 8" xfId="11834"/>
    <cellStyle name="Normal 7 6 9" xfId="13586"/>
    <cellStyle name="Normal 7 7" xfId="2186"/>
    <cellStyle name="Normal 7 7 10" xfId="17531"/>
    <cellStyle name="Normal 7 7 11" xfId="19283"/>
    <cellStyle name="Normal 7 7 12" xfId="21036"/>
    <cellStyle name="Normal 7 7 13" xfId="22788"/>
    <cellStyle name="Normal 7 7 14" xfId="24540"/>
    <cellStyle name="Normal 7 7 15" xfId="26292"/>
    <cellStyle name="Normal 7 7 16" xfId="28044"/>
    <cellStyle name="Normal 7 7 17" xfId="29797"/>
    <cellStyle name="Normal 7 7 18" xfId="31549"/>
    <cellStyle name="Normal 7 7 19" xfId="33302"/>
    <cellStyle name="Normal 7 7 2" xfId="3513"/>
    <cellStyle name="Normal 7 7 20" xfId="35938"/>
    <cellStyle name="Normal 7 7 21" xfId="37747"/>
    <cellStyle name="Normal 7 7 22" xfId="39431"/>
    <cellStyle name="Normal 7 7 23" xfId="41186"/>
    <cellStyle name="Normal 7 7 24" xfId="42938"/>
    <cellStyle name="Normal 7 7 25" xfId="45556"/>
    <cellStyle name="Normal 7 7 26" xfId="47308"/>
    <cellStyle name="Normal 7 7 27" xfId="49060"/>
    <cellStyle name="Normal 7 7 28" xfId="50812"/>
    <cellStyle name="Normal 7 7 29" xfId="52564"/>
    <cellStyle name="Normal 7 7 3" xfId="5265"/>
    <cellStyle name="Normal 7 7 30" xfId="54316"/>
    <cellStyle name="Normal 7 7 31" xfId="56068"/>
    <cellStyle name="Normal 7 7 32" xfId="57821"/>
    <cellStyle name="Normal 7 7 33" xfId="59573"/>
    <cellStyle name="Normal 7 7 34" xfId="61325"/>
    <cellStyle name="Normal 7 7 4" xfId="7017"/>
    <cellStyle name="Normal 7 7 5" xfId="8769"/>
    <cellStyle name="Normal 7 7 6" xfId="10522"/>
    <cellStyle name="Normal 7 7 7" xfId="12274"/>
    <cellStyle name="Normal 7 7 8" xfId="14026"/>
    <cellStyle name="Normal 7 7 9" xfId="15778"/>
    <cellStyle name="Normal 7 8" xfId="2462"/>
    <cellStyle name="Normal 7 9" xfId="4389"/>
    <cellStyle name="Normal 70" xfId="2187"/>
    <cellStyle name="Normal 70 2" xfId="2188"/>
    <cellStyle name="Normal 71" xfId="2189"/>
    <cellStyle name="Normal 71 2" xfId="2190"/>
    <cellStyle name="Normal 72" xfId="2191"/>
    <cellStyle name="Normal 72 2" xfId="2192"/>
    <cellStyle name="Normal 73" xfId="2193"/>
    <cellStyle name="Normal 73 2" xfId="2194"/>
    <cellStyle name="Normal 74" xfId="2195"/>
    <cellStyle name="Normal 74 2" xfId="2196"/>
    <cellStyle name="Normal 75" xfId="2197"/>
    <cellStyle name="Normal 75 2" xfId="2198"/>
    <cellStyle name="Normal 76" xfId="2199"/>
    <cellStyle name="Normal 76 2" xfId="2200"/>
    <cellStyle name="Normal 77" xfId="2201"/>
    <cellStyle name="Normal 77 2" xfId="2202"/>
    <cellStyle name="Normal 78" xfId="2203"/>
    <cellStyle name="Normal 78 2" xfId="2204"/>
    <cellStyle name="Normal 79" xfId="2205"/>
    <cellStyle name="Normal 79 2" xfId="2206"/>
    <cellStyle name="Normal 8" xfId="2207"/>
    <cellStyle name="Normal 8 10" xfId="7894"/>
    <cellStyle name="Normal 8 11" xfId="9647"/>
    <cellStyle name="Normal 8 12" xfId="11399"/>
    <cellStyle name="Normal 8 13" xfId="13151"/>
    <cellStyle name="Normal 8 14" xfId="14903"/>
    <cellStyle name="Normal 8 15" xfId="16656"/>
    <cellStyle name="Normal 8 16" xfId="18408"/>
    <cellStyle name="Normal 8 17" xfId="20161"/>
    <cellStyle name="Normal 8 18" xfId="21913"/>
    <cellStyle name="Normal 8 19" xfId="23665"/>
    <cellStyle name="Normal 8 2" xfId="2208"/>
    <cellStyle name="Normal 8 2 10" xfId="9702"/>
    <cellStyle name="Normal 8 2 11" xfId="11454"/>
    <cellStyle name="Normal 8 2 12" xfId="13206"/>
    <cellStyle name="Normal 8 2 13" xfId="14958"/>
    <cellStyle name="Normal 8 2 14" xfId="16711"/>
    <cellStyle name="Normal 8 2 15" xfId="18463"/>
    <cellStyle name="Normal 8 2 16" xfId="20216"/>
    <cellStyle name="Normal 8 2 17" xfId="21968"/>
    <cellStyle name="Normal 8 2 18" xfId="23720"/>
    <cellStyle name="Normal 8 2 19" xfId="25472"/>
    <cellStyle name="Normal 8 2 2" xfId="2209"/>
    <cellStyle name="Normal 8 2 2 10" xfId="11562"/>
    <cellStyle name="Normal 8 2 2 11" xfId="13314"/>
    <cellStyle name="Normal 8 2 2 12" xfId="15066"/>
    <cellStyle name="Normal 8 2 2 13" xfId="16819"/>
    <cellStyle name="Normal 8 2 2 14" xfId="18571"/>
    <cellStyle name="Normal 8 2 2 15" xfId="20324"/>
    <cellStyle name="Normal 8 2 2 16" xfId="22076"/>
    <cellStyle name="Normal 8 2 2 17" xfId="23828"/>
    <cellStyle name="Normal 8 2 2 18" xfId="25580"/>
    <cellStyle name="Normal 8 2 2 19" xfId="27332"/>
    <cellStyle name="Normal 8 2 2 2" xfId="2210"/>
    <cellStyle name="Normal 8 2 2 2 10" xfId="13565"/>
    <cellStyle name="Normal 8 2 2 2 11" xfId="15317"/>
    <cellStyle name="Normal 8 2 2 2 12" xfId="17070"/>
    <cellStyle name="Normal 8 2 2 2 13" xfId="18822"/>
    <cellStyle name="Normal 8 2 2 2 14" xfId="20575"/>
    <cellStyle name="Normal 8 2 2 2 15" xfId="22327"/>
    <cellStyle name="Normal 8 2 2 2 16" xfId="24079"/>
    <cellStyle name="Normal 8 2 2 2 17" xfId="25831"/>
    <cellStyle name="Normal 8 2 2 2 18" xfId="27583"/>
    <cellStyle name="Normal 8 2 2 2 19" xfId="29336"/>
    <cellStyle name="Normal 8 2 2 2 2" xfId="2211"/>
    <cellStyle name="Normal 8 2 2 2 2 10" xfId="15753"/>
    <cellStyle name="Normal 8 2 2 2 2 11" xfId="17506"/>
    <cellStyle name="Normal 8 2 2 2 2 12" xfId="19258"/>
    <cellStyle name="Normal 8 2 2 2 2 13" xfId="21011"/>
    <cellStyle name="Normal 8 2 2 2 2 14" xfId="22763"/>
    <cellStyle name="Normal 8 2 2 2 2 15" xfId="24515"/>
    <cellStyle name="Normal 8 2 2 2 2 16" xfId="26267"/>
    <cellStyle name="Normal 8 2 2 2 2 17" xfId="28019"/>
    <cellStyle name="Normal 8 2 2 2 2 18" xfId="29772"/>
    <cellStyle name="Normal 8 2 2 2 2 19" xfId="31524"/>
    <cellStyle name="Normal 8 2 2 2 2 2" xfId="2212"/>
    <cellStyle name="Normal 8 2 2 2 2 2 10" xfId="18382"/>
    <cellStyle name="Normal 8 2 2 2 2 2 11" xfId="20134"/>
    <cellStyle name="Normal 8 2 2 2 2 2 12" xfId="21887"/>
    <cellStyle name="Normal 8 2 2 2 2 2 13" xfId="23639"/>
    <cellStyle name="Normal 8 2 2 2 2 2 14" xfId="25391"/>
    <cellStyle name="Normal 8 2 2 2 2 2 15" xfId="27143"/>
    <cellStyle name="Normal 8 2 2 2 2 2 16" xfId="28895"/>
    <cellStyle name="Normal 8 2 2 2 2 2 17" xfId="30648"/>
    <cellStyle name="Normal 8 2 2 2 2 2 18" xfId="32400"/>
    <cellStyle name="Normal 8 2 2 2 2 2 19" xfId="34153"/>
    <cellStyle name="Normal 8 2 2 2 2 2 2" xfId="4364"/>
    <cellStyle name="Normal 8 2 2 2 2 2 20" xfId="36789"/>
    <cellStyle name="Normal 8 2 2 2 2 2 21" xfId="38529"/>
    <cellStyle name="Normal 8 2 2 2 2 2 22" xfId="40282"/>
    <cellStyle name="Normal 8 2 2 2 2 2 23" xfId="42037"/>
    <cellStyle name="Normal 8 2 2 2 2 2 24" xfId="43789"/>
    <cellStyle name="Normal 8 2 2 2 2 2 25" xfId="46407"/>
    <cellStyle name="Normal 8 2 2 2 2 2 26" xfId="48159"/>
    <cellStyle name="Normal 8 2 2 2 2 2 27" xfId="49911"/>
    <cellStyle name="Normal 8 2 2 2 2 2 28" xfId="51663"/>
    <cellStyle name="Normal 8 2 2 2 2 2 29" xfId="53415"/>
    <cellStyle name="Normal 8 2 2 2 2 2 3" xfId="6116"/>
    <cellStyle name="Normal 8 2 2 2 2 2 30" xfId="55167"/>
    <cellStyle name="Normal 8 2 2 2 2 2 31" xfId="56919"/>
    <cellStyle name="Normal 8 2 2 2 2 2 32" xfId="58672"/>
    <cellStyle name="Normal 8 2 2 2 2 2 33" xfId="60424"/>
    <cellStyle name="Normal 8 2 2 2 2 2 34" xfId="62176"/>
    <cellStyle name="Normal 8 2 2 2 2 2 4" xfId="7868"/>
    <cellStyle name="Normal 8 2 2 2 2 2 5" xfId="9620"/>
    <cellStyle name="Normal 8 2 2 2 2 2 6" xfId="11373"/>
    <cellStyle name="Normal 8 2 2 2 2 2 7" xfId="13125"/>
    <cellStyle name="Normal 8 2 2 2 2 2 8" xfId="14877"/>
    <cellStyle name="Normal 8 2 2 2 2 2 9" xfId="16629"/>
    <cellStyle name="Normal 8 2 2 2 2 20" xfId="33277"/>
    <cellStyle name="Normal 8 2 2 2 2 21" xfId="34998"/>
    <cellStyle name="Normal 8 2 2 2 2 22" xfId="35913"/>
    <cellStyle name="Normal 8 2 2 2 2 23" xfId="37623"/>
    <cellStyle name="Normal 8 2 2 2 2 24" xfId="39406"/>
    <cellStyle name="Normal 8 2 2 2 2 25" xfId="41161"/>
    <cellStyle name="Normal 8 2 2 2 2 26" xfId="42913"/>
    <cellStyle name="Normal 8 2 2 2 2 27" xfId="44619"/>
    <cellStyle name="Normal 8 2 2 2 2 28" xfId="45531"/>
    <cellStyle name="Normal 8 2 2 2 2 29" xfId="47283"/>
    <cellStyle name="Normal 8 2 2 2 2 3" xfId="3488"/>
    <cellStyle name="Normal 8 2 2 2 2 30" xfId="49035"/>
    <cellStyle name="Normal 8 2 2 2 2 31" xfId="50787"/>
    <cellStyle name="Normal 8 2 2 2 2 32" xfId="52539"/>
    <cellStyle name="Normal 8 2 2 2 2 33" xfId="54291"/>
    <cellStyle name="Normal 8 2 2 2 2 34" xfId="56043"/>
    <cellStyle name="Normal 8 2 2 2 2 35" xfId="57796"/>
    <cellStyle name="Normal 8 2 2 2 2 36" xfId="59548"/>
    <cellStyle name="Normal 8 2 2 2 2 37" xfId="61300"/>
    <cellStyle name="Normal 8 2 2 2 2 38" xfId="63006"/>
    <cellStyle name="Normal 8 2 2 2 2 39" xfId="63872"/>
    <cellStyle name="Normal 8 2 2 2 2 4" xfId="5240"/>
    <cellStyle name="Normal 8 2 2 2 2 5" xfId="6992"/>
    <cellStyle name="Normal 8 2 2 2 2 6" xfId="8744"/>
    <cellStyle name="Normal 8 2 2 2 2 7" xfId="10497"/>
    <cellStyle name="Normal 8 2 2 2 2 8" xfId="12249"/>
    <cellStyle name="Normal 8 2 2 2 2 9" xfId="14001"/>
    <cellStyle name="Normal 8 2 2 2 20" xfId="31088"/>
    <cellStyle name="Normal 8 2 2 2 21" xfId="32841"/>
    <cellStyle name="Normal 8 2 2 2 22" xfId="34997"/>
    <cellStyle name="Normal 8 2 2 2 23" xfId="35477"/>
    <cellStyle name="Normal 8 2 2 2 24" xfId="37622"/>
    <cellStyle name="Normal 8 2 2 2 25" xfId="38970"/>
    <cellStyle name="Normal 8 2 2 2 26" xfId="40725"/>
    <cellStyle name="Normal 8 2 2 2 27" xfId="42477"/>
    <cellStyle name="Normal 8 2 2 2 28" xfId="44618"/>
    <cellStyle name="Normal 8 2 2 2 29" xfId="45095"/>
    <cellStyle name="Normal 8 2 2 2 3" xfId="2213"/>
    <cellStyle name="Normal 8 2 2 2 3 10" xfId="17946"/>
    <cellStyle name="Normal 8 2 2 2 3 11" xfId="19698"/>
    <cellStyle name="Normal 8 2 2 2 3 12" xfId="21451"/>
    <cellStyle name="Normal 8 2 2 2 3 13" xfId="23203"/>
    <cellStyle name="Normal 8 2 2 2 3 14" xfId="24955"/>
    <cellStyle name="Normal 8 2 2 2 3 15" xfId="26707"/>
    <cellStyle name="Normal 8 2 2 2 3 16" xfId="28459"/>
    <cellStyle name="Normal 8 2 2 2 3 17" xfId="30212"/>
    <cellStyle name="Normal 8 2 2 2 3 18" xfId="31964"/>
    <cellStyle name="Normal 8 2 2 2 3 19" xfId="33717"/>
    <cellStyle name="Normal 8 2 2 2 3 2" xfId="3928"/>
    <cellStyle name="Normal 8 2 2 2 3 20" xfId="36353"/>
    <cellStyle name="Normal 8 2 2 2 3 21" xfId="38093"/>
    <cellStyle name="Normal 8 2 2 2 3 22" xfId="39846"/>
    <cellStyle name="Normal 8 2 2 2 3 23" xfId="41601"/>
    <cellStyle name="Normal 8 2 2 2 3 24" xfId="43353"/>
    <cellStyle name="Normal 8 2 2 2 3 25" xfId="45971"/>
    <cellStyle name="Normal 8 2 2 2 3 26" xfId="47723"/>
    <cellStyle name="Normal 8 2 2 2 3 27" xfId="49475"/>
    <cellStyle name="Normal 8 2 2 2 3 28" xfId="51227"/>
    <cellStyle name="Normal 8 2 2 2 3 29" xfId="52979"/>
    <cellStyle name="Normal 8 2 2 2 3 3" xfId="5680"/>
    <cellStyle name="Normal 8 2 2 2 3 30" xfId="54731"/>
    <cellStyle name="Normal 8 2 2 2 3 31" xfId="56483"/>
    <cellStyle name="Normal 8 2 2 2 3 32" xfId="58236"/>
    <cellStyle name="Normal 8 2 2 2 3 33" xfId="59988"/>
    <cellStyle name="Normal 8 2 2 2 3 34" xfId="61740"/>
    <cellStyle name="Normal 8 2 2 2 3 4" xfId="7432"/>
    <cellStyle name="Normal 8 2 2 2 3 5" xfId="9184"/>
    <cellStyle name="Normal 8 2 2 2 3 6" xfId="10937"/>
    <cellStyle name="Normal 8 2 2 2 3 7" xfId="12689"/>
    <cellStyle name="Normal 8 2 2 2 3 8" xfId="14441"/>
    <cellStyle name="Normal 8 2 2 2 3 9" xfId="16193"/>
    <cellStyle name="Normal 8 2 2 2 30" xfId="46847"/>
    <cellStyle name="Normal 8 2 2 2 31" xfId="48599"/>
    <cellStyle name="Normal 8 2 2 2 32" xfId="50351"/>
    <cellStyle name="Normal 8 2 2 2 33" xfId="52103"/>
    <cellStyle name="Normal 8 2 2 2 34" xfId="53855"/>
    <cellStyle name="Normal 8 2 2 2 35" xfId="55607"/>
    <cellStyle name="Normal 8 2 2 2 36" xfId="57360"/>
    <cellStyle name="Normal 8 2 2 2 37" xfId="59112"/>
    <cellStyle name="Normal 8 2 2 2 38" xfId="60864"/>
    <cellStyle name="Normal 8 2 2 2 39" xfId="63005"/>
    <cellStyle name="Normal 8 2 2 2 4" xfId="3052"/>
    <cellStyle name="Normal 8 2 2 2 40" xfId="63871"/>
    <cellStyle name="Normal 8 2 2 2 5" xfId="4804"/>
    <cellStyle name="Normal 8 2 2 2 6" xfId="6556"/>
    <cellStyle name="Normal 8 2 2 2 7" xfId="8308"/>
    <cellStyle name="Normal 8 2 2 2 8" xfId="10061"/>
    <cellStyle name="Normal 8 2 2 2 9" xfId="11813"/>
    <cellStyle name="Normal 8 2 2 20" xfId="29085"/>
    <cellStyle name="Normal 8 2 2 21" xfId="30837"/>
    <cellStyle name="Normal 8 2 2 22" xfId="32590"/>
    <cellStyle name="Normal 8 2 2 23" xfId="34996"/>
    <cellStyle name="Normal 8 2 2 24" xfId="35226"/>
    <cellStyle name="Normal 8 2 2 25" xfId="37621"/>
    <cellStyle name="Normal 8 2 2 26" xfId="38719"/>
    <cellStyle name="Normal 8 2 2 27" xfId="40474"/>
    <cellStyle name="Normal 8 2 2 28" xfId="42226"/>
    <cellStyle name="Normal 8 2 2 29" xfId="44617"/>
    <cellStyle name="Normal 8 2 2 3" xfId="2214"/>
    <cellStyle name="Normal 8 2 2 3 10" xfId="15502"/>
    <cellStyle name="Normal 8 2 2 3 11" xfId="17255"/>
    <cellStyle name="Normal 8 2 2 3 12" xfId="19007"/>
    <cellStyle name="Normal 8 2 2 3 13" xfId="20760"/>
    <cellStyle name="Normal 8 2 2 3 14" xfId="22512"/>
    <cellStyle name="Normal 8 2 2 3 15" xfId="24264"/>
    <cellStyle name="Normal 8 2 2 3 16" xfId="26016"/>
    <cellStyle name="Normal 8 2 2 3 17" xfId="27768"/>
    <cellStyle name="Normal 8 2 2 3 18" xfId="29521"/>
    <cellStyle name="Normal 8 2 2 3 19" xfId="31273"/>
    <cellStyle name="Normal 8 2 2 3 2" xfId="2215"/>
    <cellStyle name="Normal 8 2 2 3 2 10" xfId="18131"/>
    <cellStyle name="Normal 8 2 2 3 2 11" xfId="19883"/>
    <cellStyle name="Normal 8 2 2 3 2 12" xfId="21636"/>
    <cellStyle name="Normal 8 2 2 3 2 13" xfId="23388"/>
    <cellStyle name="Normal 8 2 2 3 2 14" xfId="25140"/>
    <cellStyle name="Normal 8 2 2 3 2 15" xfId="26892"/>
    <cellStyle name="Normal 8 2 2 3 2 16" xfId="28644"/>
    <cellStyle name="Normal 8 2 2 3 2 17" xfId="30397"/>
    <cellStyle name="Normal 8 2 2 3 2 18" xfId="32149"/>
    <cellStyle name="Normal 8 2 2 3 2 19" xfId="33902"/>
    <cellStyle name="Normal 8 2 2 3 2 2" xfId="4113"/>
    <cellStyle name="Normal 8 2 2 3 2 20" xfId="36538"/>
    <cellStyle name="Normal 8 2 2 3 2 21" xfId="38278"/>
    <cellStyle name="Normal 8 2 2 3 2 22" xfId="40031"/>
    <cellStyle name="Normal 8 2 2 3 2 23" xfId="41786"/>
    <cellStyle name="Normal 8 2 2 3 2 24" xfId="43538"/>
    <cellStyle name="Normal 8 2 2 3 2 25" xfId="46156"/>
    <cellStyle name="Normal 8 2 2 3 2 26" xfId="47908"/>
    <cellStyle name="Normal 8 2 2 3 2 27" xfId="49660"/>
    <cellStyle name="Normal 8 2 2 3 2 28" xfId="51412"/>
    <cellStyle name="Normal 8 2 2 3 2 29" xfId="53164"/>
    <cellStyle name="Normal 8 2 2 3 2 3" xfId="5865"/>
    <cellStyle name="Normal 8 2 2 3 2 30" xfId="54916"/>
    <cellStyle name="Normal 8 2 2 3 2 31" xfId="56668"/>
    <cellStyle name="Normal 8 2 2 3 2 32" xfId="58421"/>
    <cellStyle name="Normal 8 2 2 3 2 33" xfId="60173"/>
    <cellStyle name="Normal 8 2 2 3 2 34" xfId="61925"/>
    <cellStyle name="Normal 8 2 2 3 2 4" xfId="7617"/>
    <cellStyle name="Normal 8 2 2 3 2 5" xfId="9369"/>
    <cellStyle name="Normal 8 2 2 3 2 6" xfId="11122"/>
    <cellStyle name="Normal 8 2 2 3 2 7" xfId="12874"/>
    <cellStyle name="Normal 8 2 2 3 2 8" xfId="14626"/>
    <cellStyle name="Normal 8 2 2 3 2 9" xfId="16378"/>
    <cellStyle name="Normal 8 2 2 3 20" xfId="33026"/>
    <cellStyle name="Normal 8 2 2 3 21" xfId="34999"/>
    <cellStyle name="Normal 8 2 2 3 22" xfId="35662"/>
    <cellStyle name="Normal 8 2 2 3 23" xfId="37624"/>
    <cellStyle name="Normal 8 2 2 3 24" xfId="39155"/>
    <cellStyle name="Normal 8 2 2 3 25" xfId="40910"/>
    <cellStyle name="Normal 8 2 2 3 26" xfId="42662"/>
    <cellStyle name="Normal 8 2 2 3 27" xfId="44620"/>
    <cellStyle name="Normal 8 2 2 3 28" xfId="45280"/>
    <cellStyle name="Normal 8 2 2 3 29" xfId="47032"/>
    <cellStyle name="Normal 8 2 2 3 3" xfId="3237"/>
    <cellStyle name="Normal 8 2 2 3 30" xfId="48784"/>
    <cellStyle name="Normal 8 2 2 3 31" xfId="50536"/>
    <cellStyle name="Normal 8 2 2 3 32" xfId="52288"/>
    <cellStyle name="Normal 8 2 2 3 33" xfId="54040"/>
    <cellStyle name="Normal 8 2 2 3 34" xfId="55792"/>
    <cellStyle name="Normal 8 2 2 3 35" xfId="57545"/>
    <cellStyle name="Normal 8 2 2 3 36" xfId="59297"/>
    <cellStyle name="Normal 8 2 2 3 37" xfId="61049"/>
    <cellStyle name="Normal 8 2 2 3 38" xfId="63007"/>
    <cellStyle name="Normal 8 2 2 3 39" xfId="63873"/>
    <cellStyle name="Normal 8 2 2 3 4" xfId="4989"/>
    <cellStyle name="Normal 8 2 2 3 5" xfId="6741"/>
    <cellStyle name="Normal 8 2 2 3 6" xfId="8493"/>
    <cellStyle name="Normal 8 2 2 3 7" xfId="10246"/>
    <cellStyle name="Normal 8 2 2 3 8" xfId="11998"/>
    <cellStyle name="Normal 8 2 2 3 9" xfId="13750"/>
    <cellStyle name="Normal 8 2 2 30" xfId="44844"/>
    <cellStyle name="Normal 8 2 2 31" xfId="46596"/>
    <cellStyle name="Normal 8 2 2 32" xfId="48348"/>
    <cellStyle name="Normal 8 2 2 33" xfId="50100"/>
    <cellStyle name="Normal 8 2 2 34" xfId="51852"/>
    <cellStyle name="Normal 8 2 2 35" xfId="53604"/>
    <cellStyle name="Normal 8 2 2 36" xfId="55356"/>
    <cellStyle name="Normal 8 2 2 37" xfId="57109"/>
    <cellStyle name="Normal 8 2 2 38" xfId="58861"/>
    <cellStyle name="Normal 8 2 2 39" xfId="60613"/>
    <cellStyle name="Normal 8 2 2 4" xfId="2216"/>
    <cellStyle name="Normal 8 2 2 4 10" xfId="17695"/>
    <cellStyle name="Normal 8 2 2 4 11" xfId="19447"/>
    <cellStyle name="Normal 8 2 2 4 12" xfId="21200"/>
    <cellStyle name="Normal 8 2 2 4 13" xfId="22952"/>
    <cellStyle name="Normal 8 2 2 4 14" xfId="24704"/>
    <cellStyle name="Normal 8 2 2 4 15" xfId="26456"/>
    <cellStyle name="Normal 8 2 2 4 16" xfId="28208"/>
    <cellStyle name="Normal 8 2 2 4 17" xfId="29961"/>
    <cellStyle name="Normal 8 2 2 4 18" xfId="31713"/>
    <cellStyle name="Normal 8 2 2 4 19" xfId="33466"/>
    <cellStyle name="Normal 8 2 2 4 2" xfId="3677"/>
    <cellStyle name="Normal 8 2 2 4 20" xfId="36102"/>
    <cellStyle name="Normal 8 2 2 4 21" xfId="37842"/>
    <cellStyle name="Normal 8 2 2 4 22" xfId="39595"/>
    <cellStyle name="Normal 8 2 2 4 23" xfId="41350"/>
    <cellStyle name="Normal 8 2 2 4 24" xfId="43102"/>
    <cellStyle name="Normal 8 2 2 4 25" xfId="45720"/>
    <cellStyle name="Normal 8 2 2 4 26" xfId="47472"/>
    <cellStyle name="Normal 8 2 2 4 27" xfId="49224"/>
    <cellStyle name="Normal 8 2 2 4 28" xfId="50976"/>
    <cellStyle name="Normal 8 2 2 4 29" xfId="52728"/>
    <cellStyle name="Normal 8 2 2 4 3" xfId="5429"/>
    <cellStyle name="Normal 8 2 2 4 30" xfId="54480"/>
    <cellStyle name="Normal 8 2 2 4 31" xfId="56232"/>
    <cellStyle name="Normal 8 2 2 4 32" xfId="57985"/>
    <cellStyle name="Normal 8 2 2 4 33" xfId="59737"/>
    <cellStyle name="Normal 8 2 2 4 34" xfId="61489"/>
    <cellStyle name="Normal 8 2 2 4 4" xfId="7181"/>
    <cellStyle name="Normal 8 2 2 4 5" xfId="8933"/>
    <cellStyle name="Normal 8 2 2 4 6" xfId="10686"/>
    <cellStyle name="Normal 8 2 2 4 7" xfId="12438"/>
    <cellStyle name="Normal 8 2 2 4 8" xfId="14190"/>
    <cellStyle name="Normal 8 2 2 4 9" xfId="15942"/>
    <cellStyle name="Normal 8 2 2 40" xfId="63004"/>
    <cellStyle name="Normal 8 2 2 41" xfId="63870"/>
    <cellStyle name="Normal 8 2 2 5" xfId="2801"/>
    <cellStyle name="Normal 8 2 2 6" xfId="4553"/>
    <cellStyle name="Normal 8 2 2 7" xfId="6305"/>
    <cellStyle name="Normal 8 2 2 8" xfId="8057"/>
    <cellStyle name="Normal 8 2 2 9" xfId="9810"/>
    <cellStyle name="Normal 8 2 20" xfId="27224"/>
    <cellStyle name="Normal 8 2 21" xfId="28977"/>
    <cellStyle name="Normal 8 2 22" xfId="30729"/>
    <cellStyle name="Normal 8 2 23" xfId="32482"/>
    <cellStyle name="Normal 8 2 24" xfId="34995"/>
    <cellStyle name="Normal 8 2 25" xfId="35118"/>
    <cellStyle name="Normal 8 2 26" xfId="37620"/>
    <cellStyle name="Normal 8 2 27" xfId="38611"/>
    <cellStyle name="Normal 8 2 28" xfId="40366"/>
    <cellStyle name="Normal 8 2 29" xfId="42118"/>
    <cellStyle name="Normal 8 2 3" xfId="2217"/>
    <cellStyle name="Normal 8 2 3 10" xfId="13566"/>
    <cellStyle name="Normal 8 2 3 11" xfId="15318"/>
    <cellStyle name="Normal 8 2 3 12" xfId="17071"/>
    <cellStyle name="Normal 8 2 3 13" xfId="18823"/>
    <cellStyle name="Normal 8 2 3 14" xfId="20576"/>
    <cellStyle name="Normal 8 2 3 15" xfId="22328"/>
    <cellStyle name="Normal 8 2 3 16" xfId="24080"/>
    <cellStyle name="Normal 8 2 3 17" xfId="25832"/>
    <cellStyle name="Normal 8 2 3 18" xfId="27584"/>
    <cellStyle name="Normal 8 2 3 19" xfId="29337"/>
    <cellStyle name="Normal 8 2 3 2" xfId="2218"/>
    <cellStyle name="Normal 8 2 3 2 10" xfId="15754"/>
    <cellStyle name="Normal 8 2 3 2 11" xfId="17507"/>
    <cellStyle name="Normal 8 2 3 2 12" xfId="19259"/>
    <cellStyle name="Normal 8 2 3 2 13" xfId="21012"/>
    <cellStyle name="Normal 8 2 3 2 14" xfId="22764"/>
    <cellStyle name="Normal 8 2 3 2 15" xfId="24516"/>
    <cellStyle name="Normal 8 2 3 2 16" xfId="26268"/>
    <cellStyle name="Normal 8 2 3 2 17" xfId="28020"/>
    <cellStyle name="Normal 8 2 3 2 18" xfId="29773"/>
    <cellStyle name="Normal 8 2 3 2 19" xfId="31525"/>
    <cellStyle name="Normal 8 2 3 2 2" xfId="2219"/>
    <cellStyle name="Normal 8 2 3 2 2 10" xfId="18383"/>
    <cellStyle name="Normal 8 2 3 2 2 11" xfId="20135"/>
    <cellStyle name="Normal 8 2 3 2 2 12" xfId="21888"/>
    <cellStyle name="Normal 8 2 3 2 2 13" xfId="23640"/>
    <cellStyle name="Normal 8 2 3 2 2 14" xfId="25392"/>
    <cellStyle name="Normal 8 2 3 2 2 15" xfId="27144"/>
    <cellStyle name="Normal 8 2 3 2 2 16" xfId="28896"/>
    <cellStyle name="Normal 8 2 3 2 2 17" xfId="30649"/>
    <cellStyle name="Normal 8 2 3 2 2 18" xfId="32401"/>
    <cellStyle name="Normal 8 2 3 2 2 19" xfId="34154"/>
    <cellStyle name="Normal 8 2 3 2 2 2" xfId="4365"/>
    <cellStyle name="Normal 8 2 3 2 2 20" xfId="36790"/>
    <cellStyle name="Normal 8 2 3 2 2 21" xfId="38530"/>
    <cellStyle name="Normal 8 2 3 2 2 22" xfId="40283"/>
    <cellStyle name="Normal 8 2 3 2 2 23" xfId="42038"/>
    <cellStyle name="Normal 8 2 3 2 2 24" xfId="43790"/>
    <cellStyle name="Normal 8 2 3 2 2 25" xfId="46408"/>
    <cellStyle name="Normal 8 2 3 2 2 26" xfId="48160"/>
    <cellStyle name="Normal 8 2 3 2 2 27" xfId="49912"/>
    <cellStyle name="Normal 8 2 3 2 2 28" xfId="51664"/>
    <cellStyle name="Normal 8 2 3 2 2 29" xfId="53416"/>
    <cellStyle name="Normal 8 2 3 2 2 3" xfId="6117"/>
    <cellStyle name="Normal 8 2 3 2 2 30" xfId="55168"/>
    <cellStyle name="Normal 8 2 3 2 2 31" xfId="56920"/>
    <cellStyle name="Normal 8 2 3 2 2 32" xfId="58673"/>
    <cellStyle name="Normal 8 2 3 2 2 33" xfId="60425"/>
    <cellStyle name="Normal 8 2 3 2 2 34" xfId="62177"/>
    <cellStyle name="Normal 8 2 3 2 2 4" xfId="7869"/>
    <cellStyle name="Normal 8 2 3 2 2 5" xfId="9621"/>
    <cellStyle name="Normal 8 2 3 2 2 6" xfId="11374"/>
    <cellStyle name="Normal 8 2 3 2 2 7" xfId="13126"/>
    <cellStyle name="Normal 8 2 3 2 2 8" xfId="14878"/>
    <cellStyle name="Normal 8 2 3 2 2 9" xfId="16630"/>
    <cellStyle name="Normal 8 2 3 2 20" xfId="33278"/>
    <cellStyle name="Normal 8 2 3 2 21" xfId="35001"/>
    <cellStyle name="Normal 8 2 3 2 22" xfId="35914"/>
    <cellStyle name="Normal 8 2 3 2 23" xfId="37626"/>
    <cellStyle name="Normal 8 2 3 2 24" xfId="39407"/>
    <cellStyle name="Normal 8 2 3 2 25" xfId="41162"/>
    <cellStyle name="Normal 8 2 3 2 26" xfId="42914"/>
    <cellStyle name="Normal 8 2 3 2 27" xfId="44622"/>
    <cellStyle name="Normal 8 2 3 2 28" xfId="45532"/>
    <cellStyle name="Normal 8 2 3 2 29" xfId="47284"/>
    <cellStyle name="Normal 8 2 3 2 3" xfId="3489"/>
    <cellStyle name="Normal 8 2 3 2 30" xfId="49036"/>
    <cellStyle name="Normal 8 2 3 2 31" xfId="50788"/>
    <cellStyle name="Normal 8 2 3 2 32" xfId="52540"/>
    <cellStyle name="Normal 8 2 3 2 33" xfId="54292"/>
    <cellStyle name="Normal 8 2 3 2 34" xfId="56044"/>
    <cellStyle name="Normal 8 2 3 2 35" xfId="57797"/>
    <cellStyle name="Normal 8 2 3 2 36" xfId="59549"/>
    <cellStyle name="Normal 8 2 3 2 37" xfId="61301"/>
    <cellStyle name="Normal 8 2 3 2 38" xfId="63009"/>
    <cellStyle name="Normal 8 2 3 2 39" xfId="63875"/>
    <cellStyle name="Normal 8 2 3 2 4" xfId="5241"/>
    <cellStyle name="Normal 8 2 3 2 5" xfId="6993"/>
    <cellStyle name="Normal 8 2 3 2 6" xfId="8745"/>
    <cellStyle name="Normal 8 2 3 2 7" xfId="10498"/>
    <cellStyle name="Normal 8 2 3 2 8" xfId="12250"/>
    <cellStyle name="Normal 8 2 3 2 9" xfId="14002"/>
    <cellStyle name="Normal 8 2 3 20" xfId="31089"/>
    <cellStyle name="Normal 8 2 3 21" xfId="32842"/>
    <cellStyle name="Normal 8 2 3 22" xfId="35000"/>
    <cellStyle name="Normal 8 2 3 23" xfId="35478"/>
    <cellStyle name="Normal 8 2 3 24" xfId="37625"/>
    <cellStyle name="Normal 8 2 3 25" xfId="38971"/>
    <cellStyle name="Normal 8 2 3 26" xfId="40726"/>
    <cellStyle name="Normal 8 2 3 27" xfId="42478"/>
    <cellStyle name="Normal 8 2 3 28" xfId="44621"/>
    <cellStyle name="Normal 8 2 3 29" xfId="45096"/>
    <cellStyle name="Normal 8 2 3 3" xfId="2220"/>
    <cellStyle name="Normal 8 2 3 3 10" xfId="17947"/>
    <cellStyle name="Normal 8 2 3 3 11" xfId="19699"/>
    <cellStyle name="Normal 8 2 3 3 12" xfId="21452"/>
    <cellStyle name="Normal 8 2 3 3 13" xfId="23204"/>
    <cellStyle name="Normal 8 2 3 3 14" xfId="24956"/>
    <cellStyle name="Normal 8 2 3 3 15" xfId="26708"/>
    <cellStyle name="Normal 8 2 3 3 16" xfId="28460"/>
    <cellStyle name="Normal 8 2 3 3 17" xfId="30213"/>
    <cellStyle name="Normal 8 2 3 3 18" xfId="31965"/>
    <cellStyle name="Normal 8 2 3 3 19" xfId="33718"/>
    <cellStyle name="Normal 8 2 3 3 2" xfId="3929"/>
    <cellStyle name="Normal 8 2 3 3 20" xfId="36354"/>
    <cellStyle name="Normal 8 2 3 3 21" xfId="38094"/>
    <cellStyle name="Normal 8 2 3 3 22" xfId="39847"/>
    <cellStyle name="Normal 8 2 3 3 23" xfId="41602"/>
    <cellStyle name="Normal 8 2 3 3 24" xfId="43354"/>
    <cellStyle name="Normal 8 2 3 3 25" xfId="45972"/>
    <cellStyle name="Normal 8 2 3 3 26" xfId="47724"/>
    <cellStyle name="Normal 8 2 3 3 27" xfId="49476"/>
    <cellStyle name="Normal 8 2 3 3 28" xfId="51228"/>
    <cellStyle name="Normal 8 2 3 3 29" xfId="52980"/>
    <cellStyle name="Normal 8 2 3 3 3" xfId="5681"/>
    <cellStyle name="Normal 8 2 3 3 30" xfId="54732"/>
    <cellStyle name="Normal 8 2 3 3 31" xfId="56484"/>
    <cellStyle name="Normal 8 2 3 3 32" xfId="58237"/>
    <cellStyle name="Normal 8 2 3 3 33" xfId="59989"/>
    <cellStyle name="Normal 8 2 3 3 34" xfId="61741"/>
    <cellStyle name="Normal 8 2 3 3 4" xfId="7433"/>
    <cellStyle name="Normal 8 2 3 3 5" xfId="9185"/>
    <cellStyle name="Normal 8 2 3 3 6" xfId="10938"/>
    <cellStyle name="Normal 8 2 3 3 7" xfId="12690"/>
    <cellStyle name="Normal 8 2 3 3 8" xfId="14442"/>
    <cellStyle name="Normal 8 2 3 3 9" xfId="16194"/>
    <cellStyle name="Normal 8 2 3 30" xfId="46848"/>
    <cellStyle name="Normal 8 2 3 31" xfId="48600"/>
    <cellStyle name="Normal 8 2 3 32" xfId="50352"/>
    <cellStyle name="Normal 8 2 3 33" xfId="52104"/>
    <cellStyle name="Normal 8 2 3 34" xfId="53856"/>
    <cellStyle name="Normal 8 2 3 35" xfId="55608"/>
    <cellStyle name="Normal 8 2 3 36" xfId="57361"/>
    <cellStyle name="Normal 8 2 3 37" xfId="59113"/>
    <cellStyle name="Normal 8 2 3 38" xfId="60865"/>
    <cellStyle name="Normal 8 2 3 39" xfId="63008"/>
    <cellStyle name="Normal 8 2 3 4" xfId="3053"/>
    <cellStyle name="Normal 8 2 3 40" xfId="63874"/>
    <cellStyle name="Normal 8 2 3 5" xfId="4805"/>
    <cellStyle name="Normal 8 2 3 6" xfId="6557"/>
    <cellStyle name="Normal 8 2 3 7" xfId="8309"/>
    <cellStyle name="Normal 8 2 3 8" xfId="10062"/>
    <cellStyle name="Normal 8 2 3 9" xfId="11814"/>
    <cellStyle name="Normal 8 2 30" xfId="44616"/>
    <cellStyle name="Normal 8 2 31" xfId="44736"/>
    <cellStyle name="Normal 8 2 32" xfId="46488"/>
    <cellStyle name="Normal 8 2 33" xfId="48240"/>
    <cellStyle name="Normal 8 2 34" xfId="49992"/>
    <cellStyle name="Normal 8 2 35" xfId="51744"/>
    <cellStyle name="Normal 8 2 36" xfId="53496"/>
    <cellStyle name="Normal 8 2 37" xfId="55248"/>
    <cellStyle name="Normal 8 2 38" xfId="57001"/>
    <cellStyle name="Normal 8 2 39" xfId="58753"/>
    <cellStyle name="Normal 8 2 4" xfId="2221"/>
    <cellStyle name="Normal 8 2 4 10" xfId="15394"/>
    <cellStyle name="Normal 8 2 4 11" xfId="17147"/>
    <cellStyle name="Normal 8 2 4 12" xfId="18899"/>
    <cellStyle name="Normal 8 2 4 13" xfId="20652"/>
    <cellStyle name="Normal 8 2 4 14" xfId="22404"/>
    <cellStyle name="Normal 8 2 4 15" xfId="24156"/>
    <cellStyle name="Normal 8 2 4 16" xfId="25908"/>
    <cellStyle name="Normal 8 2 4 17" xfId="27660"/>
    <cellStyle name="Normal 8 2 4 18" xfId="29413"/>
    <cellStyle name="Normal 8 2 4 19" xfId="31165"/>
    <cellStyle name="Normal 8 2 4 2" xfId="2222"/>
    <cellStyle name="Normal 8 2 4 2 10" xfId="18023"/>
    <cellStyle name="Normal 8 2 4 2 11" xfId="19775"/>
    <cellStyle name="Normal 8 2 4 2 12" xfId="21528"/>
    <cellStyle name="Normal 8 2 4 2 13" xfId="23280"/>
    <cellStyle name="Normal 8 2 4 2 14" xfId="25032"/>
    <cellStyle name="Normal 8 2 4 2 15" xfId="26784"/>
    <cellStyle name="Normal 8 2 4 2 16" xfId="28536"/>
    <cellStyle name="Normal 8 2 4 2 17" xfId="30289"/>
    <cellStyle name="Normal 8 2 4 2 18" xfId="32041"/>
    <cellStyle name="Normal 8 2 4 2 19" xfId="33794"/>
    <cellStyle name="Normal 8 2 4 2 2" xfId="4005"/>
    <cellStyle name="Normal 8 2 4 2 20" xfId="36430"/>
    <cellStyle name="Normal 8 2 4 2 21" xfId="38170"/>
    <cellStyle name="Normal 8 2 4 2 22" xfId="39923"/>
    <cellStyle name="Normal 8 2 4 2 23" xfId="41678"/>
    <cellStyle name="Normal 8 2 4 2 24" xfId="43430"/>
    <cellStyle name="Normal 8 2 4 2 25" xfId="46048"/>
    <cellStyle name="Normal 8 2 4 2 26" xfId="47800"/>
    <cellStyle name="Normal 8 2 4 2 27" xfId="49552"/>
    <cellStyle name="Normal 8 2 4 2 28" xfId="51304"/>
    <cellStyle name="Normal 8 2 4 2 29" xfId="53056"/>
    <cellStyle name="Normal 8 2 4 2 3" xfId="5757"/>
    <cellStyle name="Normal 8 2 4 2 30" xfId="54808"/>
    <cellStyle name="Normal 8 2 4 2 31" xfId="56560"/>
    <cellStyle name="Normal 8 2 4 2 32" xfId="58313"/>
    <cellStyle name="Normal 8 2 4 2 33" xfId="60065"/>
    <cellStyle name="Normal 8 2 4 2 34" xfId="61817"/>
    <cellStyle name="Normal 8 2 4 2 4" xfId="7509"/>
    <cellStyle name="Normal 8 2 4 2 5" xfId="9261"/>
    <cellStyle name="Normal 8 2 4 2 6" xfId="11014"/>
    <cellStyle name="Normal 8 2 4 2 7" xfId="12766"/>
    <cellStyle name="Normal 8 2 4 2 8" xfId="14518"/>
    <cellStyle name="Normal 8 2 4 2 9" xfId="16270"/>
    <cellStyle name="Normal 8 2 4 20" xfId="32918"/>
    <cellStyle name="Normal 8 2 4 21" xfId="35002"/>
    <cellStyle name="Normal 8 2 4 22" xfId="35554"/>
    <cellStyle name="Normal 8 2 4 23" xfId="37627"/>
    <cellStyle name="Normal 8 2 4 24" xfId="39047"/>
    <cellStyle name="Normal 8 2 4 25" xfId="40802"/>
    <cellStyle name="Normal 8 2 4 26" xfId="42554"/>
    <cellStyle name="Normal 8 2 4 27" xfId="44623"/>
    <cellStyle name="Normal 8 2 4 28" xfId="45172"/>
    <cellStyle name="Normal 8 2 4 29" xfId="46924"/>
    <cellStyle name="Normal 8 2 4 3" xfId="3129"/>
    <cellStyle name="Normal 8 2 4 30" xfId="48676"/>
    <cellStyle name="Normal 8 2 4 31" xfId="50428"/>
    <cellStyle name="Normal 8 2 4 32" xfId="52180"/>
    <cellStyle name="Normal 8 2 4 33" xfId="53932"/>
    <cellStyle name="Normal 8 2 4 34" xfId="55684"/>
    <cellStyle name="Normal 8 2 4 35" xfId="57437"/>
    <cellStyle name="Normal 8 2 4 36" xfId="59189"/>
    <cellStyle name="Normal 8 2 4 37" xfId="60941"/>
    <cellStyle name="Normal 8 2 4 38" xfId="63010"/>
    <cellStyle name="Normal 8 2 4 39" xfId="63876"/>
    <cellStyle name="Normal 8 2 4 4" xfId="4881"/>
    <cellStyle name="Normal 8 2 4 5" xfId="6633"/>
    <cellStyle name="Normal 8 2 4 6" xfId="8385"/>
    <cellStyle name="Normal 8 2 4 7" xfId="10138"/>
    <cellStyle name="Normal 8 2 4 8" xfId="11890"/>
    <cellStyle name="Normal 8 2 4 9" xfId="13642"/>
    <cellStyle name="Normal 8 2 40" xfId="60505"/>
    <cellStyle name="Normal 8 2 41" xfId="63003"/>
    <cellStyle name="Normal 8 2 42" xfId="63869"/>
    <cellStyle name="Normal 8 2 5" xfId="2223"/>
    <cellStyle name="Normal 8 2 5 10" xfId="17587"/>
    <cellStyle name="Normal 8 2 5 11" xfId="19339"/>
    <cellStyle name="Normal 8 2 5 12" xfId="21092"/>
    <cellStyle name="Normal 8 2 5 13" xfId="22844"/>
    <cellStyle name="Normal 8 2 5 14" xfId="24596"/>
    <cellStyle name="Normal 8 2 5 15" xfId="26348"/>
    <cellStyle name="Normal 8 2 5 16" xfId="28100"/>
    <cellStyle name="Normal 8 2 5 17" xfId="29853"/>
    <cellStyle name="Normal 8 2 5 18" xfId="31605"/>
    <cellStyle name="Normal 8 2 5 19" xfId="33358"/>
    <cellStyle name="Normal 8 2 5 2" xfId="3569"/>
    <cellStyle name="Normal 8 2 5 20" xfId="35994"/>
    <cellStyle name="Normal 8 2 5 21" xfId="37751"/>
    <cellStyle name="Normal 8 2 5 22" xfId="39487"/>
    <cellStyle name="Normal 8 2 5 23" xfId="41242"/>
    <cellStyle name="Normal 8 2 5 24" xfId="42994"/>
    <cellStyle name="Normal 8 2 5 25" xfId="45612"/>
    <cellStyle name="Normal 8 2 5 26" xfId="47364"/>
    <cellStyle name="Normal 8 2 5 27" xfId="49116"/>
    <cellStyle name="Normal 8 2 5 28" xfId="50868"/>
    <cellStyle name="Normal 8 2 5 29" xfId="52620"/>
    <cellStyle name="Normal 8 2 5 3" xfId="5321"/>
    <cellStyle name="Normal 8 2 5 30" xfId="54372"/>
    <cellStyle name="Normal 8 2 5 31" xfId="56124"/>
    <cellStyle name="Normal 8 2 5 32" xfId="57877"/>
    <cellStyle name="Normal 8 2 5 33" xfId="59629"/>
    <cellStyle name="Normal 8 2 5 34" xfId="61381"/>
    <cellStyle name="Normal 8 2 5 4" xfId="7073"/>
    <cellStyle name="Normal 8 2 5 5" xfId="8825"/>
    <cellStyle name="Normal 8 2 5 6" xfId="10578"/>
    <cellStyle name="Normal 8 2 5 7" xfId="12330"/>
    <cellStyle name="Normal 8 2 5 8" xfId="14082"/>
    <cellStyle name="Normal 8 2 5 9" xfId="15834"/>
    <cellStyle name="Normal 8 2 6" xfId="2693"/>
    <cellStyle name="Normal 8 2 7" xfId="4445"/>
    <cellStyle name="Normal 8 2 8" xfId="6197"/>
    <cellStyle name="Normal 8 2 9" xfId="7949"/>
    <cellStyle name="Normal 8 20" xfId="25417"/>
    <cellStyle name="Normal 8 21" xfId="27169"/>
    <cellStyle name="Normal 8 22" xfId="28922"/>
    <cellStyle name="Normal 8 23" xfId="30674"/>
    <cellStyle name="Normal 8 24" xfId="32427"/>
    <cellStyle name="Normal 8 25" xfId="35063"/>
    <cellStyle name="Normal 8 26" xfId="38555"/>
    <cellStyle name="Normal 8 27" xfId="40311"/>
    <cellStyle name="Normal 8 28" xfId="42063"/>
    <cellStyle name="Normal 8 29" xfId="44681"/>
    <cellStyle name="Normal 8 3" xfId="2224"/>
    <cellStyle name="Normal 8 3 10" xfId="11507"/>
    <cellStyle name="Normal 8 3 11" xfId="13259"/>
    <cellStyle name="Normal 8 3 12" xfId="15011"/>
    <cellStyle name="Normal 8 3 13" xfId="16764"/>
    <cellStyle name="Normal 8 3 14" xfId="18516"/>
    <cellStyle name="Normal 8 3 15" xfId="20269"/>
    <cellStyle name="Normal 8 3 16" xfId="22021"/>
    <cellStyle name="Normal 8 3 17" xfId="23773"/>
    <cellStyle name="Normal 8 3 18" xfId="25525"/>
    <cellStyle name="Normal 8 3 19" xfId="27277"/>
    <cellStyle name="Normal 8 3 2" xfId="2225"/>
    <cellStyle name="Normal 8 3 2 10" xfId="13567"/>
    <cellStyle name="Normal 8 3 2 11" xfId="15319"/>
    <cellStyle name="Normal 8 3 2 12" xfId="17072"/>
    <cellStyle name="Normal 8 3 2 13" xfId="18824"/>
    <cellStyle name="Normal 8 3 2 14" xfId="20577"/>
    <cellStyle name="Normal 8 3 2 15" xfId="22329"/>
    <cellStyle name="Normal 8 3 2 16" xfId="24081"/>
    <cellStyle name="Normal 8 3 2 17" xfId="25833"/>
    <cellStyle name="Normal 8 3 2 18" xfId="27585"/>
    <cellStyle name="Normal 8 3 2 19" xfId="29338"/>
    <cellStyle name="Normal 8 3 2 2" xfId="2226"/>
    <cellStyle name="Normal 8 3 2 2 10" xfId="15755"/>
    <cellStyle name="Normal 8 3 2 2 11" xfId="17508"/>
    <cellStyle name="Normal 8 3 2 2 12" xfId="19260"/>
    <cellStyle name="Normal 8 3 2 2 13" xfId="21013"/>
    <cellStyle name="Normal 8 3 2 2 14" xfId="22765"/>
    <cellStyle name="Normal 8 3 2 2 15" xfId="24517"/>
    <cellStyle name="Normal 8 3 2 2 16" xfId="26269"/>
    <cellStyle name="Normal 8 3 2 2 17" xfId="28021"/>
    <cellStyle name="Normal 8 3 2 2 18" xfId="29774"/>
    <cellStyle name="Normal 8 3 2 2 19" xfId="31526"/>
    <cellStyle name="Normal 8 3 2 2 2" xfId="2227"/>
    <cellStyle name="Normal 8 3 2 2 2 10" xfId="18384"/>
    <cellStyle name="Normal 8 3 2 2 2 11" xfId="20136"/>
    <cellStyle name="Normal 8 3 2 2 2 12" xfId="21889"/>
    <cellStyle name="Normal 8 3 2 2 2 13" xfId="23641"/>
    <cellStyle name="Normal 8 3 2 2 2 14" xfId="25393"/>
    <cellStyle name="Normal 8 3 2 2 2 15" xfId="27145"/>
    <cellStyle name="Normal 8 3 2 2 2 16" xfId="28897"/>
    <cellStyle name="Normal 8 3 2 2 2 17" xfId="30650"/>
    <cellStyle name="Normal 8 3 2 2 2 18" xfId="32402"/>
    <cellStyle name="Normal 8 3 2 2 2 19" xfId="34155"/>
    <cellStyle name="Normal 8 3 2 2 2 2" xfId="4366"/>
    <cellStyle name="Normal 8 3 2 2 2 20" xfId="36791"/>
    <cellStyle name="Normal 8 3 2 2 2 21" xfId="38531"/>
    <cellStyle name="Normal 8 3 2 2 2 22" xfId="40284"/>
    <cellStyle name="Normal 8 3 2 2 2 23" xfId="42039"/>
    <cellStyle name="Normal 8 3 2 2 2 24" xfId="43791"/>
    <cellStyle name="Normal 8 3 2 2 2 25" xfId="46409"/>
    <cellStyle name="Normal 8 3 2 2 2 26" xfId="48161"/>
    <cellStyle name="Normal 8 3 2 2 2 27" xfId="49913"/>
    <cellStyle name="Normal 8 3 2 2 2 28" xfId="51665"/>
    <cellStyle name="Normal 8 3 2 2 2 29" xfId="53417"/>
    <cellStyle name="Normal 8 3 2 2 2 3" xfId="6118"/>
    <cellStyle name="Normal 8 3 2 2 2 30" xfId="55169"/>
    <cellStyle name="Normal 8 3 2 2 2 31" xfId="56921"/>
    <cellStyle name="Normal 8 3 2 2 2 32" xfId="58674"/>
    <cellStyle name="Normal 8 3 2 2 2 33" xfId="60426"/>
    <cellStyle name="Normal 8 3 2 2 2 34" xfId="62178"/>
    <cellStyle name="Normal 8 3 2 2 2 4" xfId="7870"/>
    <cellStyle name="Normal 8 3 2 2 2 5" xfId="9622"/>
    <cellStyle name="Normal 8 3 2 2 2 6" xfId="11375"/>
    <cellStyle name="Normal 8 3 2 2 2 7" xfId="13127"/>
    <cellStyle name="Normal 8 3 2 2 2 8" xfId="14879"/>
    <cellStyle name="Normal 8 3 2 2 2 9" xfId="16631"/>
    <cellStyle name="Normal 8 3 2 2 20" xfId="33279"/>
    <cellStyle name="Normal 8 3 2 2 21" xfId="35005"/>
    <cellStyle name="Normal 8 3 2 2 22" xfId="35915"/>
    <cellStyle name="Normal 8 3 2 2 23" xfId="37630"/>
    <cellStyle name="Normal 8 3 2 2 24" xfId="39408"/>
    <cellStyle name="Normal 8 3 2 2 25" xfId="41163"/>
    <cellStyle name="Normal 8 3 2 2 26" xfId="42915"/>
    <cellStyle name="Normal 8 3 2 2 27" xfId="44626"/>
    <cellStyle name="Normal 8 3 2 2 28" xfId="45533"/>
    <cellStyle name="Normal 8 3 2 2 29" xfId="47285"/>
    <cellStyle name="Normal 8 3 2 2 3" xfId="3490"/>
    <cellStyle name="Normal 8 3 2 2 30" xfId="49037"/>
    <cellStyle name="Normal 8 3 2 2 31" xfId="50789"/>
    <cellStyle name="Normal 8 3 2 2 32" xfId="52541"/>
    <cellStyle name="Normal 8 3 2 2 33" xfId="54293"/>
    <cellStyle name="Normal 8 3 2 2 34" xfId="56045"/>
    <cellStyle name="Normal 8 3 2 2 35" xfId="57798"/>
    <cellStyle name="Normal 8 3 2 2 36" xfId="59550"/>
    <cellStyle name="Normal 8 3 2 2 37" xfId="61302"/>
    <cellStyle name="Normal 8 3 2 2 38" xfId="63013"/>
    <cellStyle name="Normal 8 3 2 2 39" xfId="63879"/>
    <cellStyle name="Normal 8 3 2 2 4" xfId="5242"/>
    <cellStyle name="Normal 8 3 2 2 5" xfId="6994"/>
    <cellStyle name="Normal 8 3 2 2 6" xfId="8746"/>
    <cellStyle name="Normal 8 3 2 2 7" xfId="10499"/>
    <cellStyle name="Normal 8 3 2 2 8" xfId="12251"/>
    <cellStyle name="Normal 8 3 2 2 9" xfId="14003"/>
    <cellStyle name="Normal 8 3 2 20" xfId="31090"/>
    <cellStyle name="Normal 8 3 2 21" xfId="32843"/>
    <cellStyle name="Normal 8 3 2 22" xfId="35004"/>
    <cellStyle name="Normal 8 3 2 23" xfId="35479"/>
    <cellStyle name="Normal 8 3 2 24" xfId="37629"/>
    <cellStyle name="Normal 8 3 2 25" xfId="38972"/>
    <cellStyle name="Normal 8 3 2 26" xfId="40727"/>
    <cellStyle name="Normal 8 3 2 27" xfId="42479"/>
    <cellStyle name="Normal 8 3 2 28" xfId="44625"/>
    <cellStyle name="Normal 8 3 2 29" xfId="45097"/>
    <cellStyle name="Normal 8 3 2 3" xfId="2228"/>
    <cellStyle name="Normal 8 3 2 3 10" xfId="17948"/>
    <cellStyle name="Normal 8 3 2 3 11" xfId="19700"/>
    <cellStyle name="Normal 8 3 2 3 12" xfId="21453"/>
    <cellStyle name="Normal 8 3 2 3 13" xfId="23205"/>
    <cellStyle name="Normal 8 3 2 3 14" xfId="24957"/>
    <cellStyle name="Normal 8 3 2 3 15" xfId="26709"/>
    <cellStyle name="Normal 8 3 2 3 16" xfId="28461"/>
    <cellStyle name="Normal 8 3 2 3 17" xfId="30214"/>
    <cellStyle name="Normal 8 3 2 3 18" xfId="31966"/>
    <cellStyle name="Normal 8 3 2 3 19" xfId="33719"/>
    <cellStyle name="Normal 8 3 2 3 2" xfId="3930"/>
    <cellStyle name="Normal 8 3 2 3 20" xfId="36355"/>
    <cellStyle name="Normal 8 3 2 3 21" xfId="38095"/>
    <cellStyle name="Normal 8 3 2 3 22" xfId="39848"/>
    <cellStyle name="Normal 8 3 2 3 23" xfId="41603"/>
    <cellStyle name="Normal 8 3 2 3 24" xfId="43355"/>
    <cellStyle name="Normal 8 3 2 3 25" xfId="45973"/>
    <cellStyle name="Normal 8 3 2 3 26" xfId="47725"/>
    <cellStyle name="Normal 8 3 2 3 27" xfId="49477"/>
    <cellStyle name="Normal 8 3 2 3 28" xfId="51229"/>
    <cellStyle name="Normal 8 3 2 3 29" xfId="52981"/>
    <cellStyle name="Normal 8 3 2 3 3" xfId="5682"/>
    <cellStyle name="Normal 8 3 2 3 30" xfId="54733"/>
    <cellStyle name="Normal 8 3 2 3 31" xfId="56485"/>
    <cellStyle name="Normal 8 3 2 3 32" xfId="58238"/>
    <cellStyle name="Normal 8 3 2 3 33" xfId="59990"/>
    <cellStyle name="Normal 8 3 2 3 34" xfId="61742"/>
    <cellStyle name="Normal 8 3 2 3 4" xfId="7434"/>
    <cellStyle name="Normal 8 3 2 3 5" xfId="9186"/>
    <cellStyle name="Normal 8 3 2 3 6" xfId="10939"/>
    <cellStyle name="Normal 8 3 2 3 7" xfId="12691"/>
    <cellStyle name="Normal 8 3 2 3 8" xfId="14443"/>
    <cellStyle name="Normal 8 3 2 3 9" xfId="16195"/>
    <cellStyle name="Normal 8 3 2 30" xfId="46849"/>
    <cellStyle name="Normal 8 3 2 31" xfId="48601"/>
    <cellStyle name="Normal 8 3 2 32" xfId="50353"/>
    <cellStyle name="Normal 8 3 2 33" xfId="52105"/>
    <cellStyle name="Normal 8 3 2 34" xfId="53857"/>
    <cellStyle name="Normal 8 3 2 35" xfId="55609"/>
    <cellStyle name="Normal 8 3 2 36" xfId="57362"/>
    <cellStyle name="Normal 8 3 2 37" xfId="59114"/>
    <cellStyle name="Normal 8 3 2 38" xfId="60866"/>
    <cellStyle name="Normal 8 3 2 39" xfId="63012"/>
    <cellStyle name="Normal 8 3 2 4" xfId="3054"/>
    <cellStyle name="Normal 8 3 2 40" xfId="63878"/>
    <cellStyle name="Normal 8 3 2 5" xfId="4806"/>
    <cellStyle name="Normal 8 3 2 6" xfId="6558"/>
    <cellStyle name="Normal 8 3 2 7" xfId="8310"/>
    <cellStyle name="Normal 8 3 2 8" xfId="10063"/>
    <cellStyle name="Normal 8 3 2 9" xfId="11815"/>
    <cellStyle name="Normal 8 3 20" xfId="29030"/>
    <cellStyle name="Normal 8 3 21" xfId="30782"/>
    <cellStyle name="Normal 8 3 22" xfId="32535"/>
    <cellStyle name="Normal 8 3 23" xfId="35003"/>
    <cellStyle name="Normal 8 3 24" xfId="35171"/>
    <cellStyle name="Normal 8 3 25" xfId="37628"/>
    <cellStyle name="Normal 8 3 26" xfId="38664"/>
    <cellStyle name="Normal 8 3 27" xfId="40419"/>
    <cellStyle name="Normal 8 3 28" xfId="42171"/>
    <cellStyle name="Normal 8 3 29" xfId="44624"/>
    <cellStyle name="Normal 8 3 3" xfId="2229"/>
    <cellStyle name="Normal 8 3 3 10" xfId="15447"/>
    <cellStyle name="Normal 8 3 3 11" xfId="17200"/>
    <cellStyle name="Normal 8 3 3 12" xfId="18952"/>
    <cellStyle name="Normal 8 3 3 13" xfId="20705"/>
    <cellStyle name="Normal 8 3 3 14" xfId="22457"/>
    <cellStyle name="Normal 8 3 3 15" xfId="24209"/>
    <cellStyle name="Normal 8 3 3 16" xfId="25961"/>
    <cellStyle name="Normal 8 3 3 17" xfId="27713"/>
    <cellStyle name="Normal 8 3 3 18" xfId="29466"/>
    <cellStyle name="Normal 8 3 3 19" xfId="31218"/>
    <cellStyle name="Normal 8 3 3 2" xfId="2230"/>
    <cellStyle name="Normal 8 3 3 2 10" xfId="18076"/>
    <cellStyle name="Normal 8 3 3 2 11" xfId="19828"/>
    <cellStyle name="Normal 8 3 3 2 12" xfId="21581"/>
    <cellStyle name="Normal 8 3 3 2 13" xfId="23333"/>
    <cellStyle name="Normal 8 3 3 2 14" xfId="25085"/>
    <cellStyle name="Normal 8 3 3 2 15" xfId="26837"/>
    <cellStyle name="Normal 8 3 3 2 16" xfId="28589"/>
    <cellStyle name="Normal 8 3 3 2 17" xfId="30342"/>
    <cellStyle name="Normal 8 3 3 2 18" xfId="32094"/>
    <cellStyle name="Normal 8 3 3 2 19" xfId="33847"/>
    <cellStyle name="Normal 8 3 3 2 2" xfId="4058"/>
    <cellStyle name="Normal 8 3 3 2 20" xfId="36483"/>
    <cellStyle name="Normal 8 3 3 2 21" xfId="38223"/>
    <cellStyle name="Normal 8 3 3 2 22" xfId="39976"/>
    <cellStyle name="Normal 8 3 3 2 23" xfId="41731"/>
    <cellStyle name="Normal 8 3 3 2 24" xfId="43483"/>
    <cellStyle name="Normal 8 3 3 2 25" xfId="46101"/>
    <cellStyle name="Normal 8 3 3 2 26" xfId="47853"/>
    <cellStyle name="Normal 8 3 3 2 27" xfId="49605"/>
    <cellStyle name="Normal 8 3 3 2 28" xfId="51357"/>
    <cellStyle name="Normal 8 3 3 2 29" xfId="53109"/>
    <cellStyle name="Normal 8 3 3 2 3" xfId="5810"/>
    <cellStyle name="Normal 8 3 3 2 30" xfId="54861"/>
    <cellStyle name="Normal 8 3 3 2 31" xfId="56613"/>
    <cellStyle name="Normal 8 3 3 2 32" xfId="58366"/>
    <cellStyle name="Normal 8 3 3 2 33" xfId="60118"/>
    <cellStyle name="Normal 8 3 3 2 34" xfId="61870"/>
    <cellStyle name="Normal 8 3 3 2 4" xfId="7562"/>
    <cellStyle name="Normal 8 3 3 2 5" xfId="9314"/>
    <cellStyle name="Normal 8 3 3 2 6" xfId="11067"/>
    <cellStyle name="Normal 8 3 3 2 7" xfId="12819"/>
    <cellStyle name="Normal 8 3 3 2 8" xfId="14571"/>
    <cellStyle name="Normal 8 3 3 2 9" xfId="16323"/>
    <cellStyle name="Normal 8 3 3 20" xfId="32971"/>
    <cellStyle name="Normal 8 3 3 21" xfId="35006"/>
    <cellStyle name="Normal 8 3 3 22" xfId="35607"/>
    <cellStyle name="Normal 8 3 3 23" xfId="37631"/>
    <cellStyle name="Normal 8 3 3 24" xfId="39100"/>
    <cellStyle name="Normal 8 3 3 25" xfId="40855"/>
    <cellStyle name="Normal 8 3 3 26" xfId="42607"/>
    <cellStyle name="Normal 8 3 3 27" xfId="44627"/>
    <cellStyle name="Normal 8 3 3 28" xfId="45225"/>
    <cellStyle name="Normal 8 3 3 29" xfId="46977"/>
    <cellStyle name="Normal 8 3 3 3" xfId="3182"/>
    <cellStyle name="Normal 8 3 3 30" xfId="48729"/>
    <cellStyle name="Normal 8 3 3 31" xfId="50481"/>
    <cellStyle name="Normal 8 3 3 32" xfId="52233"/>
    <cellStyle name="Normal 8 3 3 33" xfId="53985"/>
    <cellStyle name="Normal 8 3 3 34" xfId="55737"/>
    <cellStyle name="Normal 8 3 3 35" xfId="57490"/>
    <cellStyle name="Normal 8 3 3 36" xfId="59242"/>
    <cellStyle name="Normal 8 3 3 37" xfId="60994"/>
    <cellStyle name="Normal 8 3 3 38" xfId="63014"/>
    <cellStyle name="Normal 8 3 3 39" xfId="63880"/>
    <cellStyle name="Normal 8 3 3 4" xfId="4934"/>
    <cellStyle name="Normal 8 3 3 5" xfId="6686"/>
    <cellStyle name="Normal 8 3 3 6" xfId="8438"/>
    <cellStyle name="Normal 8 3 3 7" xfId="10191"/>
    <cellStyle name="Normal 8 3 3 8" xfId="11943"/>
    <cellStyle name="Normal 8 3 3 9" xfId="13695"/>
    <cellStyle name="Normal 8 3 30" xfId="44789"/>
    <cellStyle name="Normal 8 3 31" xfId="46541"/>
    <cellStyle name="Normal 8 3 32" xfId="48293"/>
    <cellStyle name="Normal 8 3 33" xfId="50045"/>
    <cellStyle name="Normal 8 3 34" xfId="51797"/>
    <cellStyle name="Normal 8 3 35" xfId="53549"/>
    <cellStyle name="Normal 8 3 36" xfId="55301"/>
    <cellStyle name="Normal 8 3 37" xfId="57054"/>
    <cellStyle name="Normal 8 3 38" xfId="58806"/>
    <cellStyle name="Normal 8 3 39" xfId="60558"/>
    <cellStyle name="Normal 8 3 4" xfId="2231"/>
    <cellStyle name="Normal 8 3 4 10" xfId="17640"/>
    <cellStyle name="Normal 8 3 4 11" xfId="19392"/>
    <cellStyle name="Normal 8 3 4 12" xfId="21145"/>
    <cellStyle name="Normal 8 3 4 13" xfId="22897"/>
    <cellStyle name="Normal 8 3 4 14" xfId="24649"/>
    <cellStyle name="Normal 8 3 4 15" xfId="26401"/>
    <cellStyle name="Normal 8 3 4 16" xfId="28153"/>
    <cellStyle name="Normal 8 3 4 17" xfId="29906"/>
    <cellStyle name="Normal 8 3 4 18" xfId="31658"/>
    <cellStyle name="Normal 8 3 4 19" xfId="33411"/>
    <cellStyle name="Normal 8 3 4 2" xfId="3622"/>
    <cellStyle name="Normal 8 3 4 20" xfId="36047"/>
    <cellStyle name="Normal 8 3 4 21" xfId="37787"/>
    <cellStyle name="Normal 8 3 4 22" xfId="39540"/>
    <cellStyle name="Normal 8 3 4 23" xfId="41295"/>
    <cellStyle name="Normal 8 3 4 24" xfId="43047"/>
    <cellStyle name="Normal 8 3 4 25" xfId="45665"/>
    <cellStyle name="Normal 8 3 4 26" xfId="47417"/>
    <cellStyle name="Normal 8 3 4 27" xfId="49169"/>
    <cellStyle name="Normal 8 3 4 28" xfId="50921"/>
    <cellStyle name="Normal 8 3 4 29" xfId="52673"/>
    <cellStyle name="Normal 8 3 4 3" xfId="5374"/>
    <cellStyle name="Normal 8 3 4 30" xfId="54425"/>
    <cellStyle name="Normal 8 3 4 31" xfId="56177"/>
    <cellStyle name="Normal 8 3 4 32" xfId="57930"/>
    <cellStyle name="Normal 8 3 4 33" xfId="59682"/>
    <cellStyle name="Normal 8 3 4 34" xfId="61434"/>
    <cellStyle name="Normal 8 3 4 4" xfId="7126"/>
    <cellStyle name="Normal 8 3 4 5" xfId="8878"/>
    <cellStyle name="Normal 8 3 4 6" xfId="10631"/>
    <cellStyle name="Normal 8 3 4 7" xfId="12383"/>
    <cellStyle name="Normal 8 3 4 8" xfId="14135"/>
    <cellStyle name="Normal 8 3 4 9" xfId="15887"/>
    <cellStyle name="Normal 8 3 40" xfId="63011"/>
    <cellStyle name="Normal 8 3 41" xfId="63877"/>
    <cellStyle name="Normal 8 3 5" xfId="2746"/>
    <cellStyle name="Normal 8 3 6" xfId="4498"/>
    <cellStyle name="Normal 8 3 7" xfId="6250"/>
    <cellStyle name="Normal 8 3 8" xfId="8002"/>
    <cellStyle name="Normal 8 3 9" xfId="9755"/>
    <cellStyle name="Normal 8 30" xfId="46433"/>
    <cellStyle name="Normal 8 31" xfId="48185"/>
    <cellStyle name="Normal 8 32" xfId="49937"/>
    <cellStyle name="Normal 8 33" xfId="51689"/>
    <cellStyle name="Normal 8 34" xfId="53441"/>
    <cellStyle name="Normal 8 35" xfId="55193"/>
    <cellStyle name="Normal 8 36" xfId="56946"/>
    <cellStyle name="Normal 8 37" xfId="58698"/>
    <cellStyle name="Normal 8 38" xfId="60450"/>
    <cellStyle name="Normal 8 4" xfId="2232"/>
    <cellStyle name="Normal 8 4 10" xfId="13568"/>
    <cellStyle name="Normal 8 4 11" xfId="15320"/>
    <cellStyle name="Normal 8 4 12" xfId="17073"/>
    <cellStyle name="Normal 8 4 13" xfId="18825"/>
    <cellStyle name="Normal 8 4 14" xfId="20578"/>
    <cellStyle name="Normal 8 4 15" xfId="22330"/>
    <cellStyle name="Normal 8 4 16" xfId="24082"/>
    <cellStyle name="Normal 8 4 17" xfId="25834"/>
    <cellStyle name="Normal 8 4 18" xfId="27586"/>
    <cellStyle name="Normal 8 4 19" xfId="29339"/>
    <cellStyle name="Normal 8 4 2" xfId="2233"/>
    <cellStyle name="Normal 8 4 2 10" xfId="15756"/>
    <cellStyle name="Normal 8 4 2 11" xfId="17509"/>
    <cellStyle name="Normal 8 4 2 12" xfId="19261"/>
    <cellStyle name="Normal 8 4 2 13" xfId="21014"/>
    <cellStyle name="Normal 8 4 2 14" xfId="22766"/>
    <cellStyle name="Normal 8 4 2 15" xfId="24518"/>
    <cellStyle name="Normal 8 4 2 16" xfId="26270"/>
    <cellStyle name="Normal 8 4 2 17" xfId="28022"/>
    <cellStyle name="Normal 8 4 2 18" xfId="29775"/>
    <cellStyle name="Normal 8 4 2 19" xfId="31527"/>
    <cellStyle name="Normal 8 4 2 2" xfId="2234"/>
    <cellStyle name="Normal 8 4 2 2 10" xfId="18385"/>
    <cellStyle name="Normal 8 4 2 2 11" xfId="20137"/>
    <cellStyle name="Normal 8 4 2 2 12" xfId="21890"/>
    <cellStyle name="Normal 8 4 2 2 13" xfId="23642"/>
    <cellStyle name="Normal 8 4 2 2 14" xfId="25394"/>
    <cellStyle name="Normal 8 4 2 2 15" xfId="27146"/>
    <cellStyle name="Normal 8 4 2 2 16" xfId="28898"/>
    <cellStyle name="Normal 8 4 2 2 17" xfId="30651"/>
    <cellStyle name="Normal 8 4 2 2 18" xfId="32403"/>
    <cellStyle name="Normal 8 4 2 2 19" xfId="34156"/>
    <cellStyle name="Normal 8 4 2 2 2" xfId="4367"/>
    <cellStyle name="Normal 8 4 2 2 20" xfId="36792"/>
    <cellStyle name="Normal 8 4 2 2 21" xfId="38532"/>
    <cellStyle name="Normal 8 4 2 2 22" xfId="40285"/>
    <cellStyle name="Normal 8 4 2 2 23" xfId="42040"/>
    <cellStyle name="Normal 8 4 2 2 24" xfId="43792"/>
    <cellStyle name="Normal 8 4 2 2 25" xfId="46410"/>
    <cellStyle name="Normal 8 4 2 2 26" xfId="48162"/>
    <cellStyle name="Normal 8 4 2 2 27" xfId="49914"/>
    <cellStyle name="Normal 8 4 2 2 28" xfId="51666"/>
    <cellStyle name="Normal 8 4 2 2 29" xfId="53418"/>
    <cellStyle name="Normal 8 4 2 2 3" xfId="6119"/>
    <cellStyle name="Normal 8 4 2 2 30" xfId="55170"/>
    <cellStyle name="Normal 8 4 2 2 31" xfId="56922"/>
    <cellStyle name="Normal 8 4 2 2 32" xfId="58675"/>
    <cellStyle name="Normal 8 4 2 2 33" xfId="60427"/>
    <cellStyle name="Normal 8 4 2 2 34" xfId="62179"/>
    <cellStyle name="Normal 8 4 2 2 4" xfId="7871"/>
    <cellStyle name="Normal 8 4 2 2 5" xfId="9623"/>
    <cellStyle name="Normal 8 4 2 2 6" xfId="11376"/>
    <cellStyle name="Normal 8 4 2 2 7" xfId="13128"/>
    <cellStyle name="Normal 8 4 2 2 8" xfId="14880"/>
    <cellStyle name="Normal 8 4 2 2 9" xfId="16632"/>
    <cellStyle name="Normal 8 4 2 20" xfId="33280"/>
    <cellStyle name="Normal 8 4 2 21" xfId="35008"/>
    <cellStyle name="Normal 8 4 2 22" xfId="35916"/>
    <cellStyle name="Normal 8 4 2 23" xfId="37633"/>
    <cellStyle name="Normal 8 4 2 24" xfId="39409"/>
    <cellStyle name="Normal 8 4 2 25" xfId="41164"/>
    <cellStyle name="Normal 8 4 2 26" xfId="42916"/>
    <cellStyle name="Normal 8 4 2 27" xfId="44629"/>
    <cellStyle name="Normal 8 4 2 28" xfId="45534"/>
    <cellStyle name="Normal 8 4 2 29" xfId="47286"/>
    <cellStyle name="Normal 8 4 2 3" xfId="3491"/>
    <cellStyle name="Normal 8 4 2 30" xfId="49038"/>
    <cellStyle name="Normal 8 4 2 31" xfId="50790"/>
    <cellStyle name="Normal 8 4 2 32" xfId="52542"/>
    <cellStyle name="Normal 8 4 2 33" xfId="54294"/>
    <cellStyle name="Normal 8 4 2 34" xfId="56046"/>
    <cellStyle name="Normal 8 4 2 35" xfId="57799"/>
    <cellStyle name="Normal 8 4 2 36" xfId="59551"/>
    <cellStyle name="Normal 8 4 2 37" xfId="61303"/>
    <cellStyle name="Normal 8 4 2 38" xfId="63016"/>
    <cellStyle name="Normal 8 4 2 39" xfId="63882"/>
    <cellStyle name="Normal 8 4 2 4" xfId="5243"/>
    <cellStyle name="Normal 8 4 2 5" xfId="6995"/>
    <cellStyle name="Normal 8 4 2 6" xfId="8747"/>
    <cellStyle name="Normal 8 4 2 7" xfId="10500"/>
    <cellStyle name="Normal 8 4 2 8" xfId="12252"/>
    <cellStyle name="Normal 8 4 2 9" xfId="14004"/>
    <cellStyle name="Normal 8 4 20" xfId="31091"/>
    <cellStyle name="Normal 8 4 21" xfId="32844"/>
    <cellStyle name="Normal 8 4 22" xfId="35007"/>
    <cellStyle name="Normal 8 4 23" xfId="35480"/>
    <cellStyle name="Normal 8 4 24" xfId="37632"/>
    <cellStyle name="Normal 8 4 25" xfId="38973"/>
    <cellStyle name="Normal 8 4 26" xfId="40728"/>
    <cellStyle name="Normal 8 4 27" xfId="42480"/>
    <cellStyle name="Normal 8 4 28" xfId="44628"/>
    <cellStyle name="Normal 8 4 29" xfId="45098"/>
    <cellStyle name="Normal 8 4 3" xfId="2235"/>
    <cellStyle name="Normal 8 4 3 10" xfId="17949"/>
    <cellStyle name="Normal 8 4 3 11" xfId="19701"/>
    <cellStyle name="Normal 8 4 3 12" xfId="21454"/>
    <cellStyle name="Normal 8 4 3 13" xfId="23206"/>
    <cellStyle name="Normal 8 4 3 14" xfId="24958"/>
    <cellStyle name="Normal 8 4 3 15" xfId="26710"/>
    <cellStyle name="Normal 8 4 3 16" xfId="28462"/>
    <cellStyle name="Normal 8 4 3 17" xfId="30215"/>
    <cellStyle name="Normal 8 4 3 18" xfId="31967"/>
    <cellStyle name="Normal 8 4 3 19" xfId="33720"/>
    <cellStyle name="Normal 8 4 3 2" xfId="3931"/>
    <cellStyle name="Normal 8 4 3 20" xfId="36356"/>
    <cellStyle name="Normal 8 4 3 21" xfId="38096"/>
    <cellStyle name="Normal 8 4 3 22" xfId="39849"/>
    <cellStyle name="Normal 8 4 3 23" xfId="41604"/>
    <cellStyle name="Normal 8 4 3 24" xfId="43356"/>
    <cellStyle name="Normal 8 4 3 25" xfId="45974"/>
    <cellStyle name="Normal 8 4 3 26" xfId="47726"/>
    <cellStyle name="Normal 8 4 3 27" xfId="49478"/>
    <cellStyle name="Normal 8 4 3 28" xfId="51230"/>
    <cellStyle name="Normal 8 4 3 29" xfId="52982"/>
    <cellStyle name="Normal 8 4 3 3" xfId="5683"/>
    <cellStyle name="Normal 8 4 3 30" xfId="54734"/>
    <cellStyle name="Normal 8 4 3 31" xfId="56486"/>
    <cellStyle name="Normal 8 4 3 32" xfId="58239"/>
    <cellStyle name="Normal 8 4 3 33" xfId="59991"/>
    <cellStyle name="Normal 8 4 3 34" xfId="61743"/>
    <cellStyle name="Normal 8 4 3 4" xfId="7435"/>
    <cellStyle name="Normal 8 4 3 5" xfId="9187"/>
    <cellStyle name="Normal 8 4 3 6" xfId="10940"/>
    <cellStyle name="Normal 8 4 3 7" xfId="12692"/>
    <cellStyle name="Normal 8 4 3 8" xfId="14444"/>
    <cellStyle name="Normal 8 4 3 9" xfId="16196"/>
    <cellStyle name="Normal 8 4 30" xfId="46850"/>
    <cellStyle name="Normal 8 4 31" xfId="48602"/>
    <cellStyle name="Normal 8 4 32" xfId="50354"/>
    <cellStyle name="Normal 8 4 33" xfId="52106"/>
    <cellStyle name="Normal 8 4 34" xfId="53858"/>
    <cellStyle name="Normal 8 4 35" xfId="55610"/>
    <cellStyle name="Normal 8 4 36" xfId="57363"/>
    <cellStyle name="Normal 8 4 37" xfId="59115"/>
    <cellStyle name="Normal 8 4 38" xfId="60867"/>
    <cellStyle name="Normal 8 4 39" xfId="63015"/>
    <cellStyle name="Normal 8 4 4" xfId="3055"/>
    <cellStyle name="Normal 8 4 40" xfId="63881"/>
    <cellStyle name="Normal 8 4 5" xfId="4807"/>
    <cellStyle name="Normal 8 4 6" xfId="6559"/>
    <cellStyle name="Normal 8 4 7" xfId="8311"/>
    <cellStyle name="Normal 8 4 8" xfId="10064"/>
    <cellStyle name="Normal 8 4 9" xfId="11816"/>
    <cellStyle name="Normal 8 5" xfId="2236"/>
    <cellStyle name="Normal 8 5 10" xfId="15339"/>
    <cellStyle name="Normal 8 5 11" xfId="17092"/>
    <cellStyle name="Normal 8 5 12" xfId="18844"/>
    <cellStyle name="Normal 8 5 13" xfId="20597"/>
    <cellStyle name="Normal 8 5 14" xfId="22349"/>
    <cellStyle name="Normal 8 5 15" xfId="24101"/>
    <cellStyle name="Normal 8 5 16" xfId="25853"/>
    <cellStyle name="Normal 8 5 17" xfId="27605"/>
    <cellStyle name="Normal 8 5 18" xfId="29358"/>
    <cellStyle name="Normal 8 5 19" xfId="31110"/>
    <cellStyle name="Normal 8 5 2" xfId="2237"/>
    <cellStyle name="Normal 8 5 2 10" xfId="17968"/>
    <cellStyle name="Normal 8 5 2 11" xfId="19720"/>
    <cellStyle name="Normal 8 5 2 12" xfId="21473"/>
    <cellStyle name="Normal 8 5 2 13" xfId="23225"/>
    <cellStyle name="Normal 8 5 2 14" xfId="24977"/>
    <cellStyle name="Normal 8 5 2 15" xfId="26729"/>
    <cellStyle name="Normal 8 5 2 16" xfId="28481"/>
    <cellStyle name="Normal 8 5 2 17" xfId="30234"/>
    <cellStyle name="Normal 8 5 2 18" xfId="31986"/>
    <cellStyle name="Normal 8 5 2 19" xfId="33739"/>
    <cellStyle name="Normal 8 5 2 2" xfId="3950"/>
    <cellStyle name="Normal 8 5 2 20" xfId="36375"/>
    <cellStyle name="Normal 8 5 2 21" xfId="38115"/>
    <cellStyle name="Normal 8 5 2 22" xfId="39868"/>
    <cellStyle name="Normal 8 5 2 23" xfId="41623"/>
    <cellStyle name="Normal 8 5 2 24" xfId="43375"/>
    <cellStyle name="Normal 8 5 2 25" xfId="45993"/>
    <cellStyle name="Normal 8 5 2 26" xfId="47745"/>
    <cellStyle name="Normal 8 5 2 27" xfId="49497"/>
    <cellStyle name="Normal 8 5 2 28" xfId="51249"/>
    <cellStyle name="Normal 8 5 2 29" xfId="53001"/>
    <cellStyle name="Normal 8 5 2 3" xfId="5702"/>
    <cellStyle name="Normal 8 5 2 30" xfId="54753"/>
    <cellStyle name="Normal 8 5 2 31" xfId="56505"/>
    <cellStyle name="Normal 8 5 2 32" xfId="58258"/>
    <cellStyle name="Normal 8 5 2 33" xfId="60010"/>
    <cellStyle name="Normal 8 5 2 34" xfId="61762"/>
    <cellStyle name="Normal 8 5 2 4" xfId="7454"/>
    <cellStyle name="Normal 8 5 2 5" xfId="9206"/>
    <cellStyle name="Normal 8 5 2 6" xfId="10959"/>
    <cellStyle name="Normal 8 5 2 7" xfId="12711"/>
    <cellStyle name="Normal 8 5 2 8" xfId="14463"/>
    <cellStyle name="Normal 8 5 2 9" xfId="16215"/>
    <cellStyle name="Normal 8 5 20" xfId="32863"/>
    <cellStyle name="Normal 8 5 21" xfId="35009"/>
    <cellStyle name="Normal 8 5 22" xfId="35499"/>
    <cellStyle name="Normal 8 5 23" xfId="37634"/>
    <cellStyle name="Normal 8 5 24" xfId="38992"/>
    <cellStyle name="Normal 8 5 25" xfId="40747"/>
    <cellStyle name="Normal 8 5 26" xfId="42499"/>
    <cellStyle name="Normal 8 5 27" xfId="44630"/>
    <cellStyle name="Normal 8 5 28" xfId="45117"/>
    <cellStyle name="Normal 8 5 29" xfId="46869"/>
    <cellStyle name="Normal 8 5 3" xfId="3074"/>
    <cellStyle name="Normal 8 5 30" xfId="48621"/>
    <cellStyle name="Normal 8 5 31" xfId="50373"/>
    <cellStyle name="Normal 8 5 32" xfId="52125"/>
    <cellStyle name="Normal 8 5 33" xfId="53877"/>
    <cellStyle name="Normal 8 5 34" xfId="55629"/>
    <cellStyle name="Normal 8 5 35" xfId="57382"/>
    <cellStyle name="Normal 8 5 36" xfId="59134"/>
    <cellStyle name="Normal 8 5 37" xfId="60886"/>
    <cellStyle name="Normal 8 5 38" xfId="63017"/>
    <cellStyle name="Normal 8 5 39" xfId="63883"/>
    <cellStyle name="Normal 8 5 4" xfId="4826"/>
    <cellStyle name="Normal 8 5 5" xfId="6578"/>
    <cellStyle name="Normal 8 5 6" xfId="8330"/>
    <cellStyle name="Normal 8 5 7" xfId="10083"/>
    <cellStyle name="Normal 8 5 8" xfId="11835"/>
    <cellStyle name="Normal 8 5 9" xfId="13587"/>
    <cellStyle name="Normal 8 6" xfId="2238"/>
    <cellStyle name="Normal 8 6 10" xfId="17532"/>
    <cellStyle name="Normal 8 6 11" xfId="19284"/>
    <cellStyle name="Normal 8 6 12" xfId="21037"/>
    <cellStyle name="Normal 8 6 13" xfId="22789"/>
    <cellStyle name="Normal 8 6 14" xfId="24541"/>
    <cellStyle name="Normal 8 6 15" xfId="26293"/>
    <cellStyle name="Normal 8 6 16" xfId="28045"/>
    <cellStyle name="Normal 8 6 17" xfId="29798"/>
    <cellStyle name="Normal 8 6 18" xfId="31550"/>
    <cellStyle name="Normal 8 6 19" xfId="33303"/>
    <cellStyle name="Normal 8 6 2" xfId="3514"/>
    <cellStyle name="Normal 8 6 20" xfId="35939"/>
    <cellStyle name="Normal 8 6 21" xfId="37684"/>
    <cellStyle name="Normal 8 6 22" xfId="39432"/>
    <cellStyle name="Normal 8 6 23" xfId="41187"/>
    <cellStyle name="Normal 8 6 24" xfId="42939"/>
    <cellStyle name="Normal 8 6 25" xfId="45557"/>
    <cellStyle name="Normal 8 6 26" xfId="47309"/>
    <cellStyle name="Normal 8 6 27" xfId="49061"/>
    <cellStyle name="Normal 8 6 28" xfId="50813"/>
    <cellStyle name="Normal 8 6 29" xfId="52565"/>
    <cellStyle name="Normal 8 6 3" xfId="5266"/>
    <cellStyle name="Normal 8 6 30" xfId="54317"/>
    <cellStyle name="Normal 8 6 31" xfId="56069"/>
    <cellStyle name="Normal 8 6 32" xfId="57822"/>
    <cellStyle name="Normal 8 6 33" xfId="59574"/>
    <cellStyle name="Normal 8 6 34" xfId="61326"/>
    <cellStyle name="Normal 8 6 4" xfId="7018"/>
    <cellStyle name="Normal 8 6 5" xfId="8770"/>
    <cellStyle name="Normal 8 6 6" xfId="10523"/>
    <cellStyle name="Normal 8 6 7" xfId="12275"/>
    <cellStyle name="Normal 8 6 8" xfId="14027"/>
    <cellStyle name="Normal 8 6 9" xfId="15779"/>
    <cellStyle name="Normal 8 7" xfId="2463"/>
    <cellStyle name="Normal 8 8" xfId="4390"/>
    <cellStyle name="Normal 8 9" xfId="6142"/>
    <cellStyle name="Normal 80" xfId="2239"/>
    <cellStyle name="Normal 80 2" xfId="2240"/>
    <cellStyle name="Normal 81" xfId="2241"/>
    <cellStyle name="Normal 81 2" xfId="2242"/>
    <cellStyle name="Normal 82" xfId="2243"/>
    <cellStyle name="Normal 82 2" xfId="2244"/>
    <cellStyle name="Normal 83" xfId="2245"/>
    <cellStyle name="Normal 83 2" xfId="2246"/>
    <cellStyle name="Normal 84" xfId="2247"/>
    <cellStyle name="Normal 84 2" xfId="2248"/>
    <cellStyle name="Normal 85" xfId="2249"/>
    <cellStyle name="Normal 85 2" xfId="2250"/>
    <cellStyle name="Normal 86" xfId="2251"/>
    <cellStyle name="Normal 86 2" xfId="2252"/>
    <cellStyle name="Normal 87" xfId="2253"/>
    <cellStyle name="Normal 87 2" xfId="2254"/>
    <cellStyle name="Normal 88" xfId="2255"/>
    <cellStyle name="Normal 88 2" xfId="2256"/>
    <cellStyle name="Normal 89" xfId="2257"/>
    <cellStyle name="Normal 89 2" xfId="2258"/>
    <cellStyle name="Normal 9" xfId="2259"/>
    <cellStyle name="Normal 9 10" xfId="6143"/>
    <cellStyle name="Normal 9 11" xfId="7895"/>
    <cellStyle name="Normal 9 12" xfId="9648"/>
    <cellStyle name="Normal 9 13" xfId="11400"/>
    <cellStyle name="Normal 9 14" xfId="13152"/>
    <cellStyle name="Normal 9 15" xfId="14904"/>
    <cellStyle name="Normal 9 16" xfId="16657"/>
    <cellStyle name="Normal 9 17" xfId="18409"/>
    <cellStyle name="Normal 9 18" xfId="20162"/>
    <cellStyle name="Normal 9 19" xfId="21914"/>
    <cellStyle name="Normal 9 2" xfId="2260"/>
    <cellStyle name="Normal 9 2 10" xfId="9703"/>
    <cellStyle name="Normal 9 2 11" xfId="11455"/>
    <cellStyle name="Normal 9 2 12" xfId="13207"/>
    <cellStyle name="Normal 9 2 13" xfId="14959"/>
    <cellStyle name="Normal 9 2 14" xfId="16712"/>
    <cellStyle name="Normal 9 2 15" xfId="18464"/>
    <cellStyle name="Normal 9 2 16" xfId="20217"/>
    <cellStyle name="Normal 9 2 17" xfId="21969"/>
    <cellStyle name="Normal 9 2 18" xfId="23721"/>
    <cellStyle name="Normal 9 2 19" xfId="25473"/>
    <cellStyle name="Normal 9 2 2" xfId="2261"/>
    <cellStyle name="Normal 9 2 2 10" xfId="11563"/>
    <cellStyle name="Normal 9 2 2 11" xfId="13315"/>
    <cellStyle name="Normal 9 2 2 12" xfId="15067"/>
    <cellStyle name="Normal 9 2 2 13" xfId="16820"/>
    <cellStyle name="Normal 9 2 2 14" xfId="18572"/>
    <cellStyle name="Normal 9 2 2 15" xfId="20325"/>
    <cellStyle name="Normal 9 2 2 16" xfId="22077"/>
    <cellStyle name="Normal 9 2 2 17" xfId="23829"/>
    <cellStyle name="Normal 9 2 2 18" xfId="25581"/>
    <cellStyle name="Normal 9 2 2 19" xfId="27333"/>
    <cellStyle name="Normal 9 2 2 2" xfId="2262"/>
    <cellStyle name="Normal 9 2 2 2 10" xfId="13569"/>
    <cellStyle name="Normal 9 2 2 2 11" xfId="15321"/>
    <cellStyle name="Normal 9 2 2 2 12" xfId="17074"/>
    <cellStyle name="Normal 9 2 2 2 13" xfId="18826"/>
    <cellStyle name="Normal 9 2 2 2 14" xfId="20579"/>
    <cellStyle name="Normal 9 2 2 2 15" xfId="22331"/>
    <cellStyle name="Normal 9 2 2 2 16" xfId="24083"/>
    <cellStyle name="Normal 9 2 2 2 17" xfId="25835"/>
    <cellStyle name="Normal 9 2 2 2 18" xfId="27587"/>
    <cellStyle name="Normal 9 2 2 2 19" xfId="29340"/>
    <cellStyle name="Normal 9 2 2 2 2" xfId="2263"/>
    <cellStyle name="Normal 9 2 2 2 2 10" xfId="15757"/>
    <cellStyle name="Normal 9 2 2 2 2 11" xfId="17510"/>
    <cellStyle name="Normal 9 2 2 2 2 12" xfId="19262"/>
    <cellStyle name="Normal 9 2 2 2 2 13" xfId="21015"/>
    <cellStyle name="Normal 9 2 2 2 2 14" xfId="22767"/>
    <cellStyle name="Normal 9 2 2 2 2 15" xfId="24519"/>
    <cellStyle name="Normal 9 2 2 2 2 16" xfId="26271"/>
    <cellStyle name="Normal 9 2 2 2 2 17" xfId="28023"/>
    <cellStyle name="Normal 9 2 2 2 2 18" xfId="29776"/>
    <cellStyle name="Normal 9 2 2 2 2 19" xfId="31528"/>
    <cellStyle name="Normal 9 2 2 2 2 2" xfId="2264"/>
    <cellStyle name="Normal 9 2 2 2 2 2 10" xfId="18386"/>
    <cellStyle name="Normal 9 2 2 2 2 2 11" xfId="20138"/>
    <cellStyle name="Normal 9 2 2 2 2 2 12" xfId="21891"/>
    <cellStyle name="Normal 9 2 2 2 2 2 13" xfId="23643"/>
    <cellStyle name="Normal 9 2 2 2 2 2 14" xfId="25395"/>
    <cellStyle name="Normal 9 2 2 2 2 2 15" xfId="27147"/>
    <cellStyle name="Normal 9 2 2 2 2 2 16" xfId="28899"/>
    <cellStyle name="Normal 9 2 2 2 2 2 17" xfId="30652"/>
    <cellStyle name="Normal 9 2 2 2 2 2 18" xfId="32404"/>
    <cellStyle name="Normal 9 2 2 2 2 2 19" xfId="34157"/>
    <cellStyle name="Normal 9 2 2 2 2 2 2" xfId="4368"/>
    <cellStyle name="Normal 9 2 2 2 2 2 20" xfId="36793"/>
    <cellStyle name="Normal 9 2 2 2 2 2 21" xfId="38533"/>
    <cellStyle name="Normal 9 2 2 2 2 2 22" xfId="40286"/>
    <cellStyle name="Normal 9 2 2 2 2 2 23" xfId="42041"/>
    <cellStyle name="Normal 9 2 2 2 2 2 24" xfId="43793"/>
    <cellStyle name="Normal 9 2 2 2 2 2 25" xfId="46411"/>
    <cellStyle name="Normal 9 2 2 2 2 2 26" xfId="48163"/>
    <cellStyle name="Normal 9 2 2 2 2 2 27" xfId="49915"/>
    <cellStyle name="Normal 9 2 2 2 2 2 28" xfId="51667"/>
    <cellStyle name="Normal 9 2 2 2 2 2 29" xfId="53419"/>
    <cellStyle name="Normal 9 2 2 2 2 2 3" xfId="6120"/>
    <cellStyle name="Normal 9 2 2 2 2 2 30" xfId="55171"/>
    <cellStyle name="Normal 9 2 2 2 2 2 31" xfId="56923"/>
    <cellStyle name="Normal 9 2 2 2 2 2 32" xfId="58676"/>
    <cellStyle name="Normal 9 2 2 2 2 2 33" xfId="60428"/>
    <cellStyle name="Normal 9 2 2 2 2 2 34" xfId="62180"/>
    <cellStyle name="Normal 9 2 2 2 2 2 4" xfId="7872"/>
    <cellStyle name="Normal 9 2 2 2 2 2 5" xfId="9624"/>
    <cellStyle name="Normal 9 2 2 2 2 2 6" xfId="11377"/>
    <cellStyle name="Normal 9 2 2 2 2 2 7" xfId="13129"/>
    <cellStyle name="Normal 9 2 2 2 2 2 8" xfId="14881"/>
    <cellStyle name="Normal 9 2 2 2 2 2 9" xfId="16633"/>
    <cellStyle name="Normal 9 2 2 2 2 20" xfId="33281"/>
    <cellStyle name="Normal 9 2 2 2 2 21" xfId="35014"/>
    <cellStyle name="Normal 9 2 2 2 2 22" xfId="35917"/>
    <cellStyle name="Normal 9 2 2 2 2 23" xfId="37639"/>
    <cellStyle name="Normal 9 2 2 2 2 24" xfId="39410"/>
    <cellStyle name="Normal 9 2 2 2 2 25" xfId="41165"/>
    <cellStyle name="Normal 9 2 2 2 2 26" xfId="42917"/>
    <cellStyle name="Normal 9 2 2 2 2 27" xfId="44635"/>
    <cellStyle name="Normal 9 2 2 2 2 28" xfId="45535"/>
    <cellStyle name="Normal 9 2 2 2 2 29" xfId="47287"/>
    <cellStyle name="Normal 9 2 2 2 2 3" xfId="3492"/>
    <cellStyle name="Normal 9 2 2 2 2 30" xfId="49039"/>
    <cellStyle name="Normal 9 2 2 2 2 31" xfId="50791"/>
    <cellStyle name="Normal 9 2 2 2 2 32" xfId="52543"/>
    <cellStyle name="Normal 9 2 2 2 2 33" xfId="54295"/>
    <cellStyle name="Normal 9 2 2 2 2 34" xfId="56047"/>
    <cellStyle name="Normal 9 2 2 2 2 35" xfId="57800"/>
    <cellStyle name="Normal 9 2 2 2 2 36" xfId="59552"/>
    <cellStyle name="Normal 9 2 2 2 2 37" xfId="61304"/>
    <cellStyle name="Normal 9 2 2 2 2 38" xfId="63022"/>
    <cellStyle name="Normal 9 2 2 2 2 39" xfId="63888"/>
    <cellStyle name="Normal 9 2 2 2 2 4" xfId="5244"/>
    <cellStyle name="Normal 9 2 2 2 2 5" xfId="6996"/>
    <cellStyle name="Normal 9 2 2 2 2 6" xfId="8748"/>
    <cellStyle name="Normal 9 2 2 2 2 7" xfId="10501"/>
    <cellStyle name="Normal 9 2 2 2 2 8" xfId="12253"/>
    <cellStyle name="Normal 9 2 2 2 2 9" xfId="14005"/>
    <cellStyle name="Normal 9 2 2 2 20" xfId="31092"/>
    <cellStyle name="Normal 9 2 2 2 21" xfId="32845"/>
    <cellStyle name="Normal 9 2 2 2 22" xfId="35013"/>
    <cellStyle name="Normal 9 2 2 2 23" xfId="35481"/>
    <cellStyle name="Normal 9 2 2 2 24" xfId="37638"/>
    <cellStyle name="Normal 9 2 2 2 25" xfId="38974"/>
    <cellStyle name="Normal 9 2 2 2 26" xfId="40729"/>
    <cellStyle name="Normal 9 2 2 2 27" xfId="42481"/>
    <cellStyle name="Normal 9 2 2 2 28" xfId="44634"/>
    <cellStyle name="Normal 9 2 2 2 29" xfId="45099"/>
    <cellStyle name="Normal 9 2 2 2 3" xfId="2265"/>
    <cellStyle name="Normal 9 2 2 2 3 10" xfId="17950"/>
    <cellStyle name="Normal 9 2 2 2 3 11" xfId="19702"/>
    <cellStyle name="Normal 9 2 2 2 3 12" xfId="21455"/>
    <cellStyle name="Normal 9 2 2 2 3 13" xfId="23207"/>
    <cellStyle name="Normal 9 2 2 2 3 14" xfId="24959"/>
    <cellStyle name="Normal 9 2 2 2 3 15" xfId="26711"/>
    <cellStyle name="Normal 9 2 2 2 3 16" xfId="28463"/>
    <cellStyle name="Normal 9 2 2 2 3 17" xfId="30216"/>
    <cellStyle name="Normal 9 2 2 2 3 18" xfId="31968"/>
    <cellStyle name="Normal 9 2 2 2 3 19" xfId="33721"/>
    <cellStyle name="Normal 9 2 2 2 3 2" xfId="3932"/>
    <cellStyle name="Normal 9 2 2 2 3 20" xfId="36357"/>
    <cellStyle name="Normal 9 2 2 2 3 21" xfId="38097"/>
    <cellStyle name="Normal 9 2 2 2 3 22" xfId="39850"/>
    <cellStyle name="Normal 9 2 2 2 3 23" xfId="41605"/>
    <cellStyle name="Normal 9 2 2 2 3 24" xfId="43357"/>
    <cellStyle name="Normal 9 2 2 2 3 25" xfId="45975"/>
    <cellStyle name="Normal 9 2 2 2 3 26" xfId="47727"/>
    <cellStyle name="Normal 9 2 2 2 3 27" xfId="49479"/>
    <cellStyle name="Normal 9 2 2 2 3 28" xfId="51231"/>
    <cellStyle name="Normal 9 2 2 2 3 29" xfId="52983"/>
    <cellStyle name="Normal 9 2 2 2 3 3" xfId="5684"/>
    <cellStyle name="Normal 9 2 2 2 3 30" xfId="54735"/>
    <cellStyle name="Normal 9 2 2 2 3 31" xfId="56487"/>
    <cellStyle name="Normal 9 2 2 2 3 32" xfId="58240"/>
    <cellStyle name="Normal 9 2 2 2 3 33" xfId="59992"/>
    <cellStyle name="Normal 9 2 2 2 3 34" xfId="61744"/>
    <cellStyle name="Normal 9 2 2 2 3 4" xfId="7436"/>
    <cellStyle name="Normal 9 2 2 2 3 5" xfId="9188"/>
    <cellStyle name="Normal 9 2 2 2 3 6" xfId="10941"/>
    <cellStyle name="Normal 9 2 2 2 3 7" xfId="12693"/>
    <cellStyle name="Normal 9 2 2 2 3 8" xfId="14445"/>
    <cellStyle name="Normal 9 2 2 2 3 9" xfId="16197"/>
    <cellStyle name="Normal 9 2 2 2 30" xfId="46851"/>
    <cellStyle name="Normal 9 2 2 2 31" xfId="48603"/>
    <cellStyle name="Normal 9 2 2 2 32" xfId="50355"/>
    <cellStyle name="Normal 9 2 2 2 33" xfId="52107"/>
    <cellStyle name="Normal 9 2 2 2 34" xfId="53859"/>
    <cellStyle name="Normal 9 2 2 2 35" xfId="55611"/>
    <cellStyle name="Normal 9 2 2 2 36" xfId="57364"/>
    <cellStyle name="Normal 9 2 2 2 37" xfId="59116"/>
    <cellStyle name="Normal 9 2 2 2 38" xfId="60868"/>
    <cellStyle name="Normal 9 2 2 2 39" xfId="63021"/>
    <cellStyle name="Normal 9 2 2 2 4" xfId="3056"/>
    <cellStyle name="Normal 9 2 2 2 40" xfId="63887"/>
    <cellStyle name="Normal 9 2 2 2 5" xfId="4808"/>
    <cellStyle name="Normal 9 2 2 2 6" xfId="6560"/>
    <cellStyle name="Normal 9 2 2 2 7" xfId="8312"/>
    <cellStyle name="Normal 9 2 2 2 8" xfId="10065"/>
    <cellStyle name="Normal 9 2 2 2 9" xfId="11817"/>
    <cellStyle name="Normal 9 2 2 20" xfId="29086"/>
    <cellStyle name="Normal 9 2 2 21" xfId="30838"/>
    <cellStyle name="Normal 9 2 2 22" xfId="32591"/>
    <cellStyle name="Normal 9 2 2 23" xfId="35012"/>
    <cellStyle name="Normal 9 2 2 24" xfId="35227"/>
    <cellStyle name="Normal 9 2 2 25" xfId="37637"/>
    <cellStyle name="Normal 9 2 2 26" xfId="38720"/>
    <cellStyle name="Normal 9 2 2 27" xfId="40475"/>
    <cellStyle name="Normal 9 2 2 28" xfId="42227"/>
    <cellStyle name="Normal 9 2 2 29" xfId="44633"/>
    <cellStyle name="Normal 9 2 2 3" xfId="2266"/>
    <cellStyle name="Normal 9 2 2 3 10" xfId="15503"/>
    <cellStyle name="Normal 9 2 2 3 11" xfId="17256"/>
    <cellStyle name="Normal 9 2 2 3 12" xfId="19008"/>
    <cellStyle name="Normal 9 2 2 3 13" xfId="20761"/>
    <cellStyle name="Normal 9 2 2 3 14" xfId="22513"/>
    <cellStyle name="Normal 9 2 2 3 15" xfId="24265"/>
    <cellStyle name="Normal 9 2 2 3 16" xfId="26017"/>
    <cellStyle name="Normal 9 2 2 3 17" xfId="27769"/>
    <cellStyle name="Normal 9 2 2 3 18" xfId="29522"/>
    <cellStyle name="Normal 9 2 2 3 19" xfId="31274"/>
    <cellStyle name="Normal 9 2 2 3 2" xfId="2267"/>
    <cellStyle name="Normal 9 2 2 3 2 10" xfId="18132"/>
    <cellStyle name="Normal 9 2 2 3 2 11" xfId="19884"/>
    <cellStyle name="Normal 9 2 2 3 2 12" xfId="21637"/>
    <cellStyle name="Normal 9 2 2 3 2 13" xfId="23389"/>
    <cellStyle name="Normal 9 2 2 3 2 14" xfId="25141"/>
    <cellStyle name="Normal 9 2 2 3 2 15" xfId="26893"/>
    <cellStyle name="Normal 9 2 2 3 2 16" xfId="28645"/>
    <cellStyle name="Normal 9 2 2 3 2 17" xfId="30398"/>
    <cellStyle name="Normal 9 2 2 3 2 18" xfId="32150"/>
    <cellStyle name="Normal 9 2 2 3 2 19" xfId="33903"/>
    <cellStyle name="Normal 9 2 2 3 2 2" xfId="4114"/>
    <cellStyle name="Normal 9 2 2 3 2 20" xfId="36539"/>
    <cellStyle name="Normal 9 2 2 3 2 21" xfId="38279"/>
    <cellStyle name="Normal 9 2 2 3 2 22" xfId="40032"/>
    <cellStyle name="Normal 9 2 2 3 2 23" xfId="41787"/>
    <cellStyle name="Normal 9 2 2 3 2 24" xfId="43539"/>
    <cellStyle name="Normal 9 2 2 3 2 25" xfId="46157"/>
    <cellStyle name="Normal 9 2 2 3 2 26" xfId="47909"/>
    <cellStyle name="Normal 9 2 2 3 2 27" xfId="49661"/>
    <cellStyle name="Normal 9 2 2 3 2 28" xfId="51413"/>
    <cellStyle name="Normal 9 2 2 3 2 29" xfId="53165"/>
    <cellStyle name="Normal 9 2 2 3 2 3" xfId="5866"/>
    <cellStyle name="Normal 9 2 2 3 2 30" xfId="54917"/>
    <cellStyle name="Normal 9 2 2 3 2 31" xfId="56669"/>
    <cellStyle name="Normal 9 2 2 3 2 32" xfId="58422"/>
    <cellStyle name="Normal 9 2 2 3 2 33" xfId="60174"/>
    <cellStyle name="Normal 9 2 2 3 2 34" xfId="61926"/>
    <cellStyle name="Normal 9 2 2 3 2 4" xfId="7618"/>
    <cellStyle name="Normal 9 2 2 3 2 5" xfId="9370"/>
    <cellStyle name="Normal 9 2 2 3 2 6" xfId="11123"/>
    <cellStyle name="Normal 9 2 2 3 2 7" xfId="12875"/>
    <cellStyle name="Normal 9 2 2 3 2 8" xfId="14627"/>
    <cellStyle name="Normal 9 2 2 3 2 9" xfId="16379"/>
    <cellStyle name="Normal 9 2 2 3 20" xfId="33027"/>
    <cellStyle name="Normal 9 2 2 3 21" xfId="35015"/>
    <cellStyle name="Normal 9 2 2 3 22" xfId="35663"/>
    <cellStyle name="Normal 9 2 2 3 23" xfId="37640"/>
    <cellStyle name="Normal 9 2 2 3 24" xfId="39156"/>
    <cellStyle name="Normal 9 2 2 3 25" xfId="40911"/>
    <cellStyle name="Normal 9 2 2 3 26" xfId="42663"/>
    <cellStyle name="Normal 9 2 2 3 27" xfId="44636"/>
    <cellStyle name="Normal 9 2 2 3 28" xfId="45281"/>
    <cellStyle name="Normal 9 2 2 3 29" xfId="47033"/>
    <cellStyle name="Normal 9 2 2 3 3" xfId="3238"/>
    <cellStyle name="Normal 9 2 2 3 30" xfId="48785"/>
    <cellStyle name="Normal 9 2 2 3 31" xfId="50537"/>
    <cellStyle name="Normal 9 2 2 3 32" xfId="52289"/>
    <cellStyle name="Normal 9 2 2 3 33" xfId="54041"/>
    <cellStyle name="Normal 9 2 2 3 34" xfId="55793"/>
    <cellStyle name="Normal 9 2 2 3 35" xfId="57546"/>
    <cellStyle name="Normal 9 2 2 3 36" xfId="59298"/>
    <cellStyle name="Normal 9 2 2 3 37" xfId="61050"/>
    <cellStyle name="Normal 9 2 2 3 38" xfId="63023"/>
    <cellStyle name="Normal 9 2 2 3 39" xfId="63889"/>
    <cellStyle name="Normal 9 2 2 3 4" xfId="4990"/>
    <cellStyle name="Normal 9 2 2 3 5" xfId="6742"/>
    <cellStyle name="Normal 9 2 2 3 6" xfId="8494"/>
    <cellStyle name="Normal 9 2 2 3 7" xfId="10247"/>
    <cellStyle name="Normal 9 2 2 3 8" xfId="11999"/>
    <cellStyle name="Normal 9 2 2 3 9" xfId="13751"/>
    <cellStyle name="Normal 9 2 2 30" xfId="44845"/>
    <cellStyle name="Normal 9 2 2 31" xfId="46597"/>
    <cellStyle name="Normal 9 2 2 32" xfId="48349"/>
    <cellStyle name="Normal 9 2 2 33" xfId="50101"/>
    <cellStyle name="Normal 9 2 2 34" xfId="51853"/>
    <cellStyle name="Normal 9 2 2 35" xfId="53605"/>
    <cellStyle name="Normal 9 2 2 36" xfId="55357"/>
    <cellStyle name="Normal 9 2 2 37" xfId="57110"/>
    <cellStyle name="Normal 9 2 2 38" xfId="58862"/>
    <cellStyle name="Normal 9 2 2 39" xfId="60614"/>
    <cellStyle name="Normal 9 2 2 4" xfId="2268"/>
    <cellStyle name="Normal 9 2 2 4 10" xfId="17696"/>
    <cellStyle name="Normal 9 2 2 4 11" xfId="19448"/>
    <cellStyle name="Normal 9 2 2 4 12" xfId="21201"/>
    <cellStyle name="Normal 9 2 2 4 13" xfId="22953"/>
    <cellStyle name="Normal 9 2 2 4 14" xfId="24705"/>
    <cellStyle name="Normal 9 2 2 4 15" xfId="26457"/>
    <cellStyle name="Normal 9 2 2 4 16" xfId="28209"/>
    <cellStyle name="Normal 9 2 2 4 17" xfId="29962"/>
    <cellStyle name="Normal 9 2 2 4 18" xfId="31714"/>
    <cellStyle name="Normal 9 2 2 4 19" xfId="33467"/>
    <cellStyle name="Normal 9 2 2 4 2" xfId="3678"/>
    <cellStyle name="Normal 9 2 2 4 20" xfId="36103"/>
    <cellStyle name="Normal 9 2 2 4 21" xfId="37843"/>
    <cellStyle name="Normal 9 2 2 4 22" xfId="39596"/>
    <cellStyle name="Normal 9 2 2 4 23" xfId="41351"/>
    <cellStyle name="Normal 9 2 2 4 24" xfId="43103"/>
    <cellStyle name="Normal 9 2 2 4 25" xfId="45721"/>
    <cellStyle name="Normal 9 2 2 4 26" xfId="47473"/>
    <cellStyle name="Normal 9 2 2 4 27" xfId="49225"/>
    <cellStyle name="Normal 9 2 2 4 28" xfId="50977"/>
    <cellStyle name="Normal 9 2 2 4 29" xfId="52729"/>
    <cellStyle name="Normal 9 2 2 4 3" xfId="5430"/>
    <cellStyle name="Normal 9 2 2 4 30" xfId="54481"/>
    <cellStyle name="Normal 9 2 2 4 31" xfId="56233"/>
    <cellStyle name="Normal 9 2 2 4 32" xfId="57986"/>
    <cellStyle name="Normal 9 2 2 4 33" xfId="59738"/>
    <cellStyle name="Normal 9 2 2 4 34" xfId="61490"/>
    <cellStyle name="Normal 9 2 2 4 4" xfId="7182"/>
    <cellStyle name="Normal 9 2 2 4 5" xfId="8934"/>
    <cellStyle name="Normal 9 2 2 4 6" xfId="10687"/>
    <cellStyle name="Normal 9 2 2 4 7" xfId="12439"/>
    <cellStyle name="Normal 9 2 2 4 8" xfId="14191"/>
    <cellStyle name="Normal 9 2 2 4 9" xfId="15943"/>
    <cellStyle name="Normal 9 2 2 40" xfId="63020"/>
    <cellStyle name="Normal 9 2 2 41" xfId="63886"/>
    <cellStyle name="Normal 9 2 2 5" xfId="2802"/>
    <cellStyle name="Normal 9 2 2 6" xfId="4554"/>
    <cellStyle name="Normal 9 2 2 7" xfId="6306"/>
    <cellStyle name="Normal 9 2 2 8" xfId="8058"/>
    <cellStyle name="Normal 9 2 2 9" xfId="9811"/>
    <cellStyle name="Normal 9 2 20" xfId="27225"/>
    <cellStyle name="Normal 9 2 21" xfId="28978"/>
    <cellStyle name="Normal 9 2 22" xfId="30730"/>
    <cellStyle name="Normal 9 2 23" xfId="32483"/>
    <cellStyle name="Normal 9 2 24" xfId="35011"/>
    <cellStyle name="Normal 9 2 25" xfId="35119"/>
    <cellStyle name="Normal 9 2 26" xfId="37636"/>
    <cellStyle name="Normal 9 2 27" xfId="38612"/>
    <cellStyle name="Normal 9 2 28" xfId="40367"/>
    <cellStyle name="Normal 9 2 29" xfId="42119"/>
    <cellStyle name="Normal 9 2 3" xfId="2269"/>
    <cellStyle name="Normal 9 2 3 10" xfId="13570"/>
    <cellStyle name="Normal 9 2 3 11" xfId="15322"/>
    <cellStyle name="Normal 9 2 3 12" xfId="17075"/>
    <cellStyle name="Normal 9 2 3 13" xfId="18827"/>
    <cellStyle name="Normal 9 2 3 14" xfId="20580"/>
    <cellStyle name="Normal 9 2 3 15" xfId="22332"/>
    <cellStyle name="Normal 9 2 3 16" xfId="24084"/>
    <cellStyle name="Normal 9 2 3 17" xfId="25836"/>
    <cellStyle name="Normal 9 2 3 18" xfId="27588"/>
    <cellStyle name="Normal 9 2 3 19" xfId="29341"/>
    <cellStyle name="Normal 9 2 3 2" xfId="2270"/>
    <cellStyle name="Normal 9 2 3 2 10" xfId="15758"/>
    <cellStyle name="Normal 9 2 3 2 11" xfId="17511"/>
    <cellStyle name="Normal 9 2 3 2 12" xfId="19263"/>
    <cellStyle name="Normal 9 2 3 2 13" xfId="21016"/>
    <cellStyle name="Normal 9 2 3 2 14" xfId="22768"/>
    <cellStyle name="Normal 9 2 3 2 15" xfId="24520"/>
    <cellStyle name="Normal 9 2 3 2 16" xfId="26272"/>
    <cellStyle name="Normal 9 2 3 2 17" xfId="28024"/>
    <cellStyle name="Normal 9 2 3 2 18" xfId="29777"/>
    <cellStyle name="Normal 9 2 3 2 19" xfId="31529"/>
    <cellStyle name="Normal 9 2 3 2 2" xfId="2271"/>
    <cellStyle name="Normal 9 2 3 2 2 10" xfId="18387"/>
    <cellStyle name="Normal 9 2 3 2 2 11" xfId="20139"/>
    <cellStyle name="Normal 9 2 3 2 2 12" xfId="21892"/>
    <cellStyle name="Normal 9 2 3 2 2 13" xfId="23644"/>
    <cellStyle name="Normal 9 2 3 2 2 14" xfId="25396"/>
    <cellStyle name="Normal 9 2 3 2 2 15" xfId="27148"/>
    <cellStyle name="Normal 9 2 3 2 2 16" xfId="28900"/>
    <cellStyle name="Normal 9 2 3 2 2 17" xfId="30653"/>
    <cellStyle name="Normal 9 2 3 2 2 18" xfId="32405"/>
    <cellStyle name="Normal 9 2 3 2 2 19" xfId="34158"/>
    <cellStyle name="Normal 9 2 3 2 2 2" xfId="4369"/>
    <cellStyle name="Normal 9 2 3 2 2 20" xfId="36794"/>
    <cellStyle name="Normal 9 2 3 2 2 21" xfId="38534"/>
    <cellStyle name="Normal 9 2 3 2 2 22" xfId="40287"/>
    <cellStyle name="Normal 9 2 3 2 2 23" xfId="42042"/>
    <cellStyle name="Normal 9 2 3 2 2 24" xfId="43794"/>
    <cellStyle name="Normal 9 2 3 2 2 25" xfId="46412"/>
    <cellStyle name="Normal 9 2 3 2 2 26" xfId="48164"/>
    <cellStyle name="Normal 9 2 3 2 2 27" xfId="49916"/>
    <cellStyle name="Normal 9 2 3 2 2 28" xfId="51668"/>
    <cellStyle name="Normal 9 2 3 2 2 29" xfId="53420"/>
    <cellStyle name="Normal 9 2 3 2 2 3" xfId="6121"/>
    <cellStyle name="Normal 9 2 3 2 2 30" xfId="55172"/>
    <cellStyle name="Normal 9 2 3 2 2 31" xfId="56924"/>
    <cellStyle name="Normal 9 2 3 2 2 32" xfId="58677"/>
    <cellStyle name="Normal 9 2 3 2 2 33" xfId="60429"/>
    <cellStyle name="Normal 9 2 3 2 2 34" xfId="62181"/>
    <cellStyle name="Normal 9 2 3 2 2 4" xfId="7873"/>
    <cellStyle name="Normal 9 2 3 2 2 5" xfId="9625"/>
    <cellStyle name="Normal 9 2 3 2 2 6" xfId="11378"/>
    <cellStyle name="Normal 9 2 3 2 2 7" xfId="13130"/>
    <cellStyle name="Normal 9 2 3 2 2 8" xfId="14882"/>
    <cellStyle name="Normal 9 2 3 2 2 9" xfId="16634"/>
    <cellStyle name="Normal 9 2 3 2 20" xfId="33282"/>
    <cellStyle name="Normal 9 2 3 2 21" xfId="35017"/>
    <cellStyle name="Normal 9 2 3 2 22" xfId="35918"/>
    <cellStyle name="Normal 9 2 3 2 23" xfId="37642"/>
    <cellStyle name="Normal 9 2 3 2 24" xfId="39411"/>
    <cellStyle name="Normal 9 2 3 2 25" xfId="41166"/>
    <cellStyle name="Normal 9 2 3 2 26" xfId="42918"/>
    <cellStyle name="Normal 9 2 3 2 27" xfId="44638"/>
    <cellStyle name="Normal 9 2 3 2 28" xfId="45536"/>
    <cellStyle name="Normal 9 2 3 2 29" xfId="47288"/>
    <cellStyle name="Normal 9 2 3 2 3" xfId="3493"/>
    <cellStyle name="Normal 9 2 3 2 30" xfId="49040"/>
    <cellStyle name="Normal 9 2 3 2 31" xfId="50792"/>
    <cellStyle name="Normal 9 2 3 2 32" xfId="52544"/>
    <cellStyle name="Normal 9 2 3 2 33" xfId="54296"/>
    <cellStyle name="Normal 9 2 3 2 34" xfId="56048"/>
    <cellStyle name="Normal 9 2 3 2 35" xfId="57801"/>
    <cellStyle name="Normal 9 2 3 2 36" xfId="59553"/>
    <cellStyle name="Normal 9 2 3 2 37" xfId="61305"/>
    <cellStyle name="Normal 9 2 3 2 38" xfId="63025"/>
    <cellStyle name="Normal 9 2 3 2 39" xfId="63891"/>
    <cellStyle name="Normal 9 2 3 2 4" xfId="5245"/>
    <cellStyle name="Normal 9 2 3 2 5" xfId="6997"/>
    <cellStyle name="Normal 9 2 3 2 6" xfId="8749"/>
    <cellStyle name="Normal 9 2 3 2 7" xfId="10502"/>
    <cellStyle name="Normal 9 2 3 2 8" xfId="12254"/>
    <cellStyle name="Normal 9 2 3 2 9" xfId="14006"/>
    <cellStyle name="Normal 9 2 3 20" xfId="31093"/>
    <cellStyle name="Normal 9 2 3 21" xfId="32846"/>
    <cellStyle name="Normal 9 2 3 22" xfId="35016"/>
    <cellStyle name="Normal 9 2 3 23" xfId="35482"/>
    <cellStyle name="Normal 9 2 3 24" xfId="37641"/>
    <cellStyle name="Normal 9 2 3 25" xfId="38975"/>
    <cellStyle name="Normal 9 2 3 26" xfId="40730"/>
    <cellStyle name="Normal 9 2 3 27" xfId="42482"/>
    <cellStyle name="Normal 9 2 3 28" xfId="44637"/>
    <cellStyle name="Normal 9 2 3 29" xfId="45100"/>
    <cellStyle name="Normal 9 2 3 3" xfId="2272"/>
    <cellStyle name="Normal 9 2 3 3 10" xfId="17951"/>
    <cellStyle name="Normal 9 2 3 3 11" xfId="19703"/>
    <cellStyle name="Normal 9 2 3 3 12" xfId="21456"/>
    <cellStyle name="Normal 9 2 3 3 13" xfId="23208"/>
    <cellStyle name="Normal 9 2 3 3 14" xfId="24960"/>
    <cellStyle name="Normal 9 2 3 3 15" xfId="26712"/>
    <cellStyle name="Normal 9 2 3 3 16" xfId="28464"/>
    <cellStyle name="Normal 9 2 3 3 17" xfId="30217"/>
    <cellStyle name="Normal 9 2 3 3 18" xfId="31969"/>
    <cellStyle name="Normal 9 2 3 3 19" xfId="33722"/>
    <cellStyle name="Normal 9 2 3 3 2" xfId="3933"/>
    <cellStyle name="Normal 9 2 3 3 20" xfId="36358"/>
    <cellStyle name="Normal 9 2 3 3 21" xfId="38098"/>
    <cellStyle name="Normal 9 2 3 3 22" xfId="39851"/>
    <cellStyle name="Normal 9 2 3 3 23" xfId="41606"/>
    <cellStyle name="Normal 9 2 3 3 24" xfId="43358"/>
    <cellStyle name="Normal 9 2 3 3 25" xfId="45976"/>
    <cellStyle name="Normal 9 2 3 3 26" xfId="47728"/>
    <cellStyle name="Normal 9 2 3 3 27" xfId="49480"/>
    <cellStyle name="Normal 9 2 3 3 28" xfId="51232"/>
    <cellStyle name="Normal 9 2 3 3 29" xfId="52984"/>
    <cellStyle name="Normal 9 2 3 3 3" xfId="5685"/>
    <cellStyle name="Normal 9 2 3 3 30" xfId="54736"/>
    <cellStyle name="Normal 9 2 3 3 31" xfId="56488"/>
    <cellStyle name="Normal 9 2 3 3 32" xfId="58241"/>
    <cellStyle name="Normal 9 2 3 3 33" xfId="59993"/>
    <cellStyle name="Normal 9 2 3 3 34" xfId="61745"/>
    <cellStyle name="Normal 9 2 3 3 4" xfId="7437"/>
    <cellStyle name="Normal 9 2 3 3 5" xfId="9189"/>
    <cellStyle name="Normal 9 2 3 3 6" xfId="10942"/>
    <cellStyle name="Normal 9 2 3 3 7" xfId="12694"/>
    <cellStyle name="Normal 9 2 3 3 8" xfId="14446"/>
    <cellStyle name="Normal 9 2 3 3 9" xfId="16198"/>
    <cellStyle name="Normal 9 2 3 30" xfId="46852"/>
    <cellStyle name="Normal 9 2 3 31" xfId="48604"/>
    <cellStyle name="Normal 9 2 3 32" xfId="50356"/>
    <cellStyle name="Normal 9 2 3 33" xfId="52108"/>
    <cellStyle name="Normal 9 2 3 34" xfId="53860"/>
    <cellStyle name="Normal 9 2 3 35" xfId="55612"/>
    <cellStyle name="Normal 9 2 3 36" xfId="57365"/>
    <cellStyle name="Normal 9 2 3 37" xfId="59117"/>
    <cellStyle name="Normal 9 2 3 38" xfId="60869"/>
    <cellStyle name="Normal 9 2 3 39" xfId="63024"/>
    <cellStyle name="Normal 9 2 3 4" xfId="3057"/>
    <cellStyle name="Normal 9 2 3 40" xfId="63890"/>
    <cellStyle name="Normal 9 2 3 5" xfId="4809"/>
    <cellStyle name="Normal 9 2 3 6" xfId="6561"/>
    <cellStyle name="Normal 9 2 3 7" xfId="8313"/>
    <cellStyle name="Normal 9 2 3 8" xfId="10066"/>
    <cellStyle name="Normal 9 2 3 9" xfId="11818"/>
    <cellStyle name="Normal 9 2 30" xfId="44632"/>
    <cellStyle name="Normal 9 2 31" xfId="44737"/>
    <cellStyle name="Normal 9 2 32" xfId="46489"/>
    <cellStyle name="Normal 9 2 33" xfId="48241"/>
    <cellStyle name="Normal 9 2 34" xfId="49993"/>
    <cellStyle name="Normal 9 2 35" xfId="51745"/>
    <cellStyle name="Normal 9 2 36" xfId="53497"/>
    <cellStyle name="Normal 9 2 37" xfId="55249"/>
    <cellStyle name="Normal 9 2 38" xfId="57002"/>
    <cellStyle name="Normal 9 2 39" xfId="58754"/>
    <cellStyle name="Normal 9 2 4" xfId="2273"/>
    <cellStyle name="Normal 9 2 4 10" xfId="15395"/>
    <cellStyle name="Normal 9 2 4 11" xfId="17148"/>
    <cellStyle name="Normal 9 2 4 12" xfId="18900"/>
    <cellStyle name="Normal 9 2 4 13" xfId="20653"/>
    <cellStyle name="Normal 9 2 4 14" xfId="22405"/>
    <cellStyle name="Normal 9 2 4 15" xfId="24157"/>
    <cellStyle name="Normal 9 2 4 16" xfId="25909"/>
    <cellStyle name="Normal 9 2 4 17" xfId="27661"/>
    <cellStyle name="Normal 9 2 4 18" xfId="29414"/>
    <cellStyle name="Normal 9 2 4 19" xfId="31166"/>
    <cellStyle name="Normal 9 2 4 2" xfId="2274"/>
    <cellStyle name="Normal 9 2 4 2 10" xfId="18024"/>
    <cellStyle name="Normal 9 2 4 2 11" xfId="19776"/>
    <cellStyle name="Normal 9 2 4 2 12" xfId="21529"/>
    <cellStyle name="Normal 9 2 4 2 13" xfId="23281"/>
    <cellStyle name="Normal 9 2 4 2 14" xfId="25033"/>
    <cellStyle name="Normal 9 2 4 2 15" xfId="26785"/>
    <cellStyle name="Normal 9 2 4 2 16" xfId="28537"/>
    <cellStyle name="Normal 9 2 4 2 17" xfId="30290"/>
    <cellStyle name="Normal 9 2 4 2 18" xfId="32042"/>
    <cellStyle name="Normal 9 2 4 2 19" xfId="33795"/>
    <cellStyle name="Normal 9 2 4 2 2" xfId="4006"/>
    <cellStyle name="Normal 9 2 4 2 20" xfId="36431"/>
    <cellStyle name="Normal 9 2 4 2 21" xfId="38171"/>
    <cellStyle name="Normal 9 2 4 2 22" xfId="39924"/>
    <cellStyle name="Normal 9 2 4 2 23" xfId="41679"/>
    <cellStyle name="Normal 9 2 4 2 24" xfId="43431"/>
    <cellStyle name="Normal 9 2 4 2 25" xfId="46049"/>
    <cellStyle name="Normal 9 2 4 2 26" xfId="47801"/>
    <cellStyle name="Normal 9 2 4 2 27" xfId="49553"/>
    <cellStyle name="Normal 9 2 4 2 28" xfId="51305"/>
    <cellStyle name="Normal 9 2 4 2 29" xfId="53057"/>
    <cellStyle name="Normal 9 2 4 2 3" xfId="5758"/>
    <cellStyle name="Normal 9 2 4 2 30" xfId="54809"/>
    <cellStyle name="Normal 9 2 4 2 31" xfId="56561"/>
    <cellStyle name="Normal 9 2 4 2 32" xfId="58314"/>
    <cellStyle name="Normal 9 2 4 2 33" xfId="60066"/>
    <cellStyle name="Normal 9 2 4 2 34" xfId="61818"/>
    <cellStyle name="Normal 9 2 4 2 4" xfId="7510"/>
    <cellStyle name="Normal 9 2 4 2 5" xfId="9262"/>
    <cellStyle name="Normal 9 2 4 2 6" xfId="11015"/>
    <cellStyle name="Normal 9 2 4 2 7" xfId="12767"/>
    <cellStyle name="Normal 9 2 4 2 8" xfId="14519"/>
    <cellStyle name="Normal 9 2 4 2 9" xfId="16271"/>
    <cellStyle name="Normal 9 2 4 20" xfId="32919"/>
    <cellStyle name="Normal 9 2 4 21" xfId="35018"/>
    <cellStyle name="Normal 9 2 4 22" xfId="35555"/>
    <cellStyle name="Normal 9 2 4 23" xfId="37643"/>
    <cellStyle name="Normal 9 2 4 24" xfId="39048"/>
    <cellStyle name="Normal 9 2 4 25" xfId="40803"/>
    <cellStyle name="Normal 9 2 4 26" xfId="42555"/>
    <cellStyle name="Normal 9 2 4 27" xfId="44639"/>
    <cellStyle name="Normal 9 2 4 28" xfId="45173"/>
    <cellStyle name="Normal 9 2 4 29" xfId="46925"/>
    <cellStyle name="Normal 9 2 4 3" xfId="3130"/>
    <cellStyle name="Normal 9 2 4 30" xfId="48677"/>
    <cellStyle name="Normal 9 2 4 31" xfId="50429"/>
    <cellStyle name="Normal 9 2 4 32" xfId="52181"/>
    <cellStyle name="Normal 9 2 4 33" xfId="53933"/>
    <cellStyle name="Normal 9 2 4 34" xfId="55685"/>
    <cellStyle name="Normal 9 2 4 35" xfId="57438"/>
    <cellStyle name="Normal 9 2 4 36" xfId="59190"/>
    <cellStyle name="Normal 9 2 4 37" xfId="60942"/>
    <cellStyle name="Normal 9 2 4 38" xfId="63026"/>
    <cellStyle name="Normal 9 2 4 39" xfId="63892"/>
    <cellStyle name="Normal 9 2 4 4" xfId="4882"/>
    <cellStyle name="Normal 9 2 4 5" xfId="6634"/>
    <cellStyle name="Normal 9 2 4 6" xfId="8386"/>
    <cellStyle name="Normal 9 2 4 7" xfId="10139"/>
    <cellStyle name="Normal 9 2 4 8" xfId="11891"/>
    <cellStyle name="Normal 9 2 4 9" xfId="13643"/>
    <cellStyle name="Normal 9 2 40" xfId="60506"/>
    <cellStyle name="Normal 9 2 41" xfId="63019"/>
    <cellStyle name="Normal 9 2 42" xfId="63885"/>
    <cellStyle name="Normal 9 2 5" xfId="2275"/>
    <cellStyle name="Normal 9 2 5 10" xfId="17588"/>
    <cellStyle name="Normal 9 2 5 11" xfId="19340"/>
    <cellStyle name="Normal 9 2 5 12" xfId="21093"/>
    <cellStyle name="Normal 9 2 5 13" xfId="22845"/>
    <cellStyle name="Normal 9 2 5 14" xfId="24597"/>
    <cellStyle name="Normal 9 2 5 15" xfId="26349"/>
    <cellStyle name="Normal 9 2 5 16" xfId="28101"/>
    <cellStyle name="Normal 9 2 5 17" xfId="29854"/>
    <cellStyle name="Normal 9 2 5 18" xfId="31606"/>
    <cellStyle name="Normal 9 2 5 19" xfId="33359"/>
    <cellStyle name="Normal 9 2 5 2" xfId="3570"/>
    <cellStyle name="Normal 9 2 5 20" xfId="35995"/>
    <cellStyle name="Normal 9 2 5 21" xfId="37722"/>
    <cellStyle name="Normal 9 2 5 22" xfId="39488"/>
    <cellStyle name="Normal 9 2 5 23" xfId="41243"/>
    <cellStyle name="Normal 9 2 5 24" xfId="42995"/>
    <cellStyle name="Normal 9 2 5 25" xfId="45613"/>
    <cellStyle name="Normal 9 2 5 26" xfId="47365"/>
    <cellStyle name="Normal 9 2 5 27" xfId="49117"/>
    <cellStyle name="Normal 9 2 5 28" xfId="50869"/>
    <cellStyle name="Normal 9 2 5 29" xfId="52621"/>
    <cellStyle name="Normal 9 2 5 3" xfId="5322"/>
    <cellStyle name="Normal 9 2 5 30" xfId="54373"/>
    <cellStyle name="Normal 9 2 5 31" xfId="56125"/>
    <cellStyle name="Normal 9 2 5 32" xfId="57878"/>
    <cellStyle name="Normal 9 2 5 33" xfId="59630"/>
    <cellStyle name="Normal 9 2 5 34" xfId="61382"/>
    <cellStyle name="Normal 9 2 5 4" xfId="7074"/>
    <cellStyle name="Normal 9 2 5 5" xfId="8826"/>
    <cellStyle name="Normal 9 2 5 6" xfId="10579"/>
    <cellStyle name="Normal 9 2 5 7" xfId="12331"/>
    <cellStyle name="Normal 9 2 5 8" xfId="14083"/>
    <cellStyle name="Normal 9 2 5 9" xfId="15835"/>
    <cellStyle name="Normal 9 2 6" xfId="2694"/>
    <cellStyle name="Normal 9 2 7" xfId="4446"/>
    <cellStyle name="Normal 9 2 8" xfId="6198"/>
    <cellStyle name="Normal 9 2 9" xfId="7950"/>
    <cellStyle name="Normal 9 20" xfId="23666"/>
    <cellStyle name="Normal 9 21" xfId="25418"/>
    <cellStyle name="Normal 9 22" xfId="27170"/>
    <cellStyle name="Normal 9 23" xfId="28923"/>
    <cellStyle name="Normal 9 24" xfId="30675"/>
    <cellStyle name="Normal 9 25" xfId="32428"/>
    <cellStyle name="Normal 9 26" xfId="35064"/>
    <cellStyle name="Normal 9 27" xfId="38556"/>
    <cellStyle name="Normal 9 28" xfId="40312"/>
    <cellStyle name="Normal 9 29" xfId="42064"/>
    <cellStyle name="Normal 9 3" xfId="2276"/>
    <cellStyle name="Normal 9 3 10" xfId="11508"/>
    <cellStyle name="Normal 9 3 11" xfId="13260"/>
    <cellStyle name="Normal 9 3 12" xfId="15012"/>
    <cellStyle name="Normal 9 3 13" xfId="16765"/>
    <cellStyle name="Normal 9 3 14" xfId="18517"/>
    <cellStyle name="Normal 9 3 15" xfId="20270"/>
    <cellStyle name="Normal 9 3 16" xfId="22022"/>
    <cellStyle name="Normal 9 3 17" xfId="23774"/>
    <cellStyle name="Normal 9 3 18" xfId="25526"/>
    <cellStyle name="Normal 9 3 19" xfId="27278"/>
    <cellStyle name="Normal 9 3 2" xfId="2277"/>
    <cellStyle name="Normal 9 3 2 10" xfId="13571"/>
    <cellStyle name="Normal 9 3 2 11" xfId="15323"/>
    <cellStyle name="Normal 9 3 2 12" xfId="17076"/>
    <cellStyle name="Normal 9 3 2 13" xfId="18828"/>
    <cellStyle name="Normal 9 3 2 14" xfId="20581"/>
    <cellStyle name="Normal 9 3 2 15" xfId="22333"/>
    <cellStyle name="Normal 9 3 2 16" xfId="24085"/>
    <cellStyle name="Normal 9 3 2 17" xfId="25837"/>
    <cellStyle name="Normal 9 3 2 18" xfId="27589"/>
    <cellStyle name="Normal 9 3 2 19" xfId="29342"/>
    <cellStyle name="Normal 9 3 2 2" xfId="2278"/>
    <cellStyle name="Normal 9 3 2 2 10" xfId="15759"/>
    <cellStyle name="Normal 9 3 2 2 11" xfId="17512"/>
    <cellStyle name="Normal 9 3 2 2 12" xfId="19264"/>
    <cellStyle name="Normal 9 3 2 2 13" xfId="21017"/>
    <cellStyle name="Normal 9 3 2 2 14" xfId="22769"/>
    <cellStyle name="Normal 9 3 2 2 15" xfId="24521"/>
    <cellStyle name="Normal 9 3 2 2 16" xfId="26273"/>
    <cellStyle name="Normal 9 3 2 2 17" xfId="28025"/>
    <cellStyle name="Normal 9 3 2 2 18" xfId="29778"/>
    <cellStyle name="Normal 9 3 2 2 19" xfId="31530"/>
    <cellStyle name="Normal 9 3 2 2 2" xfId="2279"/>
    <cellStyle name="Normal 9 3 2 2 2 10" xfId="18388"/>
    <cellStyle name="Normal 9 3 2 2 2 11" xfId="20140"/>
    <cellStyle name="Normal 9 3 2 2 2 12" xfId="21893"/>
    <cellStyle name="Normal 9 3 2 2 2 13" xfId="23645"/>
    <cellStyle name="Normal 9 3 2 2 2 14" xfId="25397"/>
    <cellStyle name="Normal 9 3 2 2 2 15" xfId="27149"/>
    <cellStyle name="Normal 9 3 2 2 2 16" xfId="28901"/>
    <cellStyle name="Normal 9 3 2 2 2 17" xfId="30654"/>
    <cellStyle name="Normal 9 3 2 2 2 18" xfId="32406"/>
    <cellStyle name="Normal 9 3 2 2 2 19" xfId="34159"/>
    <cellStyle name="Normal 9 3 2 2 2 2" xfId="4370"/>
    <cellStyle name="Normal 9 3 2 2 2 20" xfId="36795"/>
    <cellStyle name="Normal 9 3 2 2 2 21" xfId="38535"/>
    <cellStyle name="Normal 9 3 2 2 2 22" xfId="40288"/>
    <cellStyle name="Normal 9 3 2 2 2 23" xfId="42043"/>
    <cellStyle name="Normal 9 3 2 2 2 24" xfId="43795"/>
    <cellStyle name="Normal 9 3 2 2 2 25" xfId="46413"/>
    <cellStyle name="Normal 9 3 2 2 2 26" xfId="48165"/>
    <cellStyle name="Normal 9 3 2 2 2 27" xfId="49917"/>
    <cellStyle name="Normal 9 3 2 2 2 28" xfId="51669"/>
    <cellStyle name="Normal 9 3 2 2 2 29" xfId="53421"/>
    <cellStyle name="Normal 9 3 2 2 2 3" xfId="6122"/>
    <cellStyle name="Normal 9 3 2 2 2 30" xfId="55173"/>
    <cellStyle name="Normal 9 3 2 2 2 31" xfId="56925"/>
    <cellStyle name="Normal 9 3 2 2 2 32" xfId="58678"/>
    <cellStyle name="Normal 9 3 2 2 2 33" xfId="60430"/>
    <cellStyle name="Normal 9 3 2 2 2 34" xfId="62182"/>
    <cellStyle name="Normal 9 3 2 2 2 4" xfId="7874"/>
    <cellStyle name="Normal 9 3 2 2 2 5" xfId="9626"/>
    <cellStyle name="Normal 9 3 2 2 2 6" xfId="11379"/>
    <cellStyle name="Normal 9 3 2 2 2 7" xfId="13131"/>
    <cellStyle name="Normal 9 3 2 2 2 8" xfId="14883"/>
    <cellStyle name="Normal 9 3 2 2 2 9" xfId="16635"/>
    <cellStyle name="Normal 9 3 2 2 20" xfId="33283"/>
    <cellStyle name="Normal 9 3 2 2 21" xfId="35021"/>
    <cellStyle name="Normal 9 3 2 2 22" xfId="35919"/>
    <cellStyle name="Normal 9 3 2 2 23" xfId="37646"/>
    <cellStyle name="Normal 9 3 2 2 24" xfId="39412"/>
    <cellStyle name="Normal 9 3 2 2 25" xfId="41167"/>
    <cellStyle name="Normal 9 3 2 2 26" xfId="42919"/>
    <cellStyle name="Normal 9 3 2 2 27" xfId="44642"/>
    <cellStyle name="Normal 9 3 2 2 28" xfId="45537"/>
    <cellStyle name="Normal 9 3 2 2 29" xfId="47289"/>
    <cellStyle name="Normal 9 3 2 2 3" xfId="3494"/>
    <cellStyle name="Normal 9 3 2 2 30" xfId="49041"/>
    <cellStyle name="Normal 9 3 2 2 31" xfId="50793"/>
    <cellStyle name="Normal 9 3 2 2 32" xfId="52545"/>
    <cellStyle name="Normal 9 3 2 2 33" xfId="54297"/>
    <cellStyle name="Normal 9 3 2 2 34" xfId="56049"/>
    <cellStyle name="Normal 9 3 2 2 35" xfId="57802"/>
    <cellStyle name="Normal 9 3 2 2 36" xfId="59554"/>
    <cellStyle name="Normal 9 3 2 2 37" xfId="61306"/>
    <cellStyle name="Normal 9 3 2 2 38" xfId="63029"/>
    <cellStyle name="Normal 9 3 2 2 39" xfId="63895"/>
    <cellStyle name="Normal 9 3 2 2 4" xfId="5246"/>
    <cellStyle name="Normal 9 3 2 2 5" xfId="6998"/>
    <cellStyle name="Normal 9 3 2 2 6" xfId="8750"/>
    <cellStyle name="Normal 9 3 2 2 7" xfId="10503"/>
    <cellStyle name="Normal 9 3 2 2 8" xfId="12255"/>
    <cellStyle name="Normal 9 3 2 2 9" xfId="14007"/>
    <cellStyle name="Normal 9 3 2 20" xfId="31094"/>
    <cellStyle name="Normal 9 3 2 21" xfId="32847"/>
    <cellStyle name="Normal 9 3 2 22" xfId="35020"/>
    <cellStyle name="Normal 9 3 2 23" xfId="35483"/>
    <cellStyle name="Normal 9 3 2 24" xfId="37645"/>
    <cellStyle name="Normal 9 3 2 25" xfId="38976"/>
    <cellStyle name="Normal 9 3 2 26" xfId="40731"/>
    <cellStyle name="Normal 9 3 2 27" xfId="42483"/>
    <cellStyle name="Normal 9 3 2 28" xfId="44641"/>
    <cellStyle name="Normal 9 3 2 29" xfId="45101"/>
    <cellStyle name="Normal 9 3 2 3" xfId="2280"/>
    <cellStyle name="Normal 9 3 2 3 10" xfId="17952"/>
    <cellStyle name="Normal 9 3 2 3 11" xfId="19704"/>
    <cellStyle name="Normal 9 3 2 3 12" xfId="21457"/>
    <cellStyle name="Normal 9 3 2 3 13" xfId="23209"/>
    <cellStyle name="Normal 9 3 2 3 14" xfId="24961"/>
    <cellStyle name="Normal 9 3 2 3 15" xfId="26713"/>
    <cellStyle name="Normal 9 3 2 3 16" xfId="28465"/>
    <cellStyle name="Normal 9 3 2 3 17" xfId="30218"/>
    <cellStyle name="Normal 9 3 2 3 18" xfId="31970"/>
    <cellStyle name="Normal 9 3 2 3 19" xfId="33723"/>
    <cellStyle name="Normal 9 3 2 3 2" xfId="3934"/>
    <cellStyle name="Normal 9 3 2 3 20" xfId="36359"/>
    <cellStyle name="Normal 9 3 2 3 21" xfId="38099"/>
    <cellStyle name="Normal 9 3 2 3 22" xfId="39852"/>
    <cellStyle name="Normal 9 3 2 3 23" xfId="41607"/>
    <cellStyle name="Normal 9 3 2 3 24" xfId="43359"/>
    <cellStyle name="Normal 9 3 2 3 25" xfId="45977"/>
    <cellStyle name="Normal 9 3 2 3 26" xfId="47729"/>
    <cellStyle name="Normal 9 3 2 3 27" xfId="49481"/>
    <cellStyle name="Normal 9 3 2 3 28" xfId="51233"/>
    <cellStyle name="Normal 9 3 2 3 29" xfId="52985"/>
    <cellStyle name="Normal 9 3 2 3 3" xfId="5686"/>
    <cellStyle name="Normal 9 3 2 3 30" xfId="54737"/>
    <cellStyle name="Normal 9 3 2 3 31" xfId="56489"/>
    <cellStyle name="Normal 9 3 2 3 32" xfId="58242"/>
    <cellStyle name="Normal 9 3 2 3 33" xfId="59994"/>
    <cellStyle name="Normal 9 3 2 3 34" xfId="61746"/>
    <cellStyle name="Normal 9 3 2 3 4" xfId="7438"/>
    <cellStyle name="Normal 9 3 2 3 5" xfId="9190"/>
    <cellStyle name="Normal 9 3 2 3 6" xfId="10943"/>
    <cellStyle name="Normal 9 3 2 3 7" xfId="12695"/>
    <cellStyle name="Normal 9 3 2 3 8" xfId="14447"/>
    <cellStyle name="Normal 9 3 2 3 9" xfId="16199"/>
    <cellStyle name="Normal 9 3 2 30" xfId="46853"/>
    <cellStyle name="Normal 9 3 2 31" xfId="48605"/>
    <cellStyle name="Normal 9 3 2 32" xfId="50357"/>
    <cellStyle name="Normal 9 3 2 33" xfId="52109"/>
    <cellStyle name="Normal 9 3 2 34" xfId="53861"/>
    <cellStyle name="Normal 9 3 2 35" xfId="55613"/>
    <cellStyle name="Normal 9 3 2 36" xfId="57366"/>
    <cellStyle name="Normal 9 3 2 37" xfId="59118"/>
    <cellStyle name="Normal 9 3 2 38" xfId="60870"/>
    <cellStyle name="Normal 9 3 2 39" xfId="63028"/>
    <cellStyle name="Normal 9 3 2 4" xfId="3058"/>
    <cellStyle name="Normal 9 3 2 40" xfId="63894"/>
    <cellStyle name="Normal 9 3 2 5" xfId="4810"/>
    <cellStyle name="Normal 9 3 2 6" xfId="6562"/>
    <cellStyle name="Normal 9 3 2 7" xfId="8314"/>
    <cellStyle name="Normal 9 3 2 8" xfId="10067"/>
    <cellStyle name="Normal 9 3 2 9" xfId="11819"/>
    <cellStyle name="Normal 9 3 20" xfId="29031"/>
    <cellStyle name="Normal 9 3 21" xfId="30783"/>
    <cellStyle name="Normal 9 3 22" xfId="32536"/>
    <cellStyle name="Normal 9 3 23" xfId="35019"/>
    <cellStyle name="Normal 9 3 24" xfId="35172"/>
    <cellStyle name="Normal 9 3 25" xfId="37644"/>
    <cellStyle name="Normal 9 3 26" xfId="38665"/>
    <cellStyle name="Normal 9 3 27" xfId="40420"/>
    <cellStyle name="Normal 9 3 28" xfId="42172"/>
    <cellStyle name="Normal 9 3 29" xfId="44640"/>
    <cellStyle name="Normal 9 3 3" xfId="2281"/>
    <cellStyle name="Normal 9 3 3 10" xfId="15448"/>
    <cellStyle name="Normal 9 3 3 11" xfId="17201"/>
    <cellStyle name="Normal 9 3 3 12" xfId="18953"/>
    <cellStyle name="Normal 9 3 3 13" xfId="20706"/>
    <cellStyle name="Normal 9 3 3 14" xfId="22458"/>
    <cellStyle name="Normal 9 3 3 15" xfId="24210"/>
    <cellStyle name="Normal 9 3 3 16" xfId="25962"/>
    <cellStyle name="Normal 9 3 3 17" xfId="27714"/>
    <cellStyle name="Normal 9 3 3 18" xfId="29467"/>
    <cellStyle name="Normal 9 3 3 19" xfId="31219"/>
    <cellStyle name="Normal 9 3 3 2" xfId="2282"/>
    <cellStyle name="Normal 9 3 3 2 10" xfId="18077"/>
    <cellStyle name="Normal 9 3 3 2 11" xfId="19829"/>
    <cellStyle name="Normal 9 3 3 2 12" xfId="21582"/>
    <cellStyle name="Normal 9 3 3 2 13" xfId="23334"/>
    <cellStyle name="Normal 9 3 3 2 14" xfId="25086"/>
    <cellStyle name="Normal 9 3 3 2 15" xfId="26838"/>
    <cellStyle name="Normal 9 3 3 2 16" xfId="28590"/>
    <cellStyle name="Normal 9 3 3 2 17" xfId="30343"/>
    <cellStyle name="Normal 9 3 3 2 18" xfId="32095"/>
    <cellStyle name="Normal 9 3 3 2 19" xfId="33848"/>
    <cellStyle name="Normal 9 3 3 2 2" xfId="4059"/>
    <cellStyle name="Normal 9 3 3 2 20" xfId="36484"/>
    <cellStyle name="Normal 9 3 3 2 21" xfId="38224"/>
    <cellStyle name="Normal 9 3 3 2 22" xfId="39977"/>
    <cellStyle name="Normal 9 3 3 2 23" xfId="41732"/>
    <cellStyle name="Normal 9 3 3 2 24" xfId="43484"/>
    <cellStyle name="Normal 9 3 3 2 25" xfId="46102"/>
    <cellStyle name="Normal 9 3 3 2 26" xfId="47854"/>
    <cellStyle name="Normal 9 3 3 2 27" xfId="49606"/>
    <cellStyle name="Normal 9 3 3 2 28" xfId="51358"/>
    <cellStyle name="Normal 9 3 3 2 29" xfId="53110"/>
    <cellStyle name="Normal 9 3 3 2 3" xfId="5811"/>
    <cellStyle name="Normal 9 3 3 2 30" xfId="54862"/>
    <cellStyle name="Normal 9 3 3 2 31" xfId="56614"/>
    <cellStyle name="Normal 9 3 3 2 32" xfId="58367"/>
    <cellStyle name="Normal 9 3 3 2 33" xfId="60119"/>
    <cellStyle name="Normal 9 3 3 2 34" xfId="61871"/>
    <cellStyle name="Normal 9 3 3 2 4" xfId="7563"/>
    <cellStyle name="Normal 9 3 3 2 5" xfId="9315"/>
    <cellStyle name="Normal 9 3 3 2 6" xfId="11068"/>
    <cellStyle name="Normal 9 3 3 2 7" xfId="12820"/>
    <cellStyle name="Normal 9 3 3 2 8" xfId="14572"/>
    <cellStyle name="Normal 9 3 3 2 9" xfId="16324"/>
    <cellStyle name="Normal 9 3 3 20" xfId="32972"/>
    <cellStyle name="Normal 9 3 3 21" xfId="35022"/>
    <cellStyle name="Normal 9 3 3 22" xfId="35608"/>
    <cellStyle name="Normal 9 3 3 23" xfId="37647"/>
    <cellStyle name="Normal 9 3 3 24" xfId="39101"/>
    <cellStyle name="Normal 9 3 3 25" xfId="40856"/>
    <cellStyle name="Normal 9 3 3 26" xfId="42608"/>
    <cellStyle name="Normal 9 3 3 27" xfId="44643"/>
    <cellStyle name="Normal 9 3 3 28" xfId="45226"/>
    <cellStyle name="Normal 9 3 3 29" xfId="46978"/>
    <cellStyle name="Normal 9 3 3 3" xfId="3183"/>
    <cellStyle name="Normal 9 3 3 30" xfId="48730"/>
    <cellStyle name="Normal 9 3 3 31" xfId="50482"/>
    <cellStyle name="Normal 9 3 3 32" xfId="52234"/>
    <cellStyle name="Normal 9 3 3 33" xfId="53986"/>
    <cellStyle name="Normal 9 3 3 34" xfId="55738"/>
    <cellStyle name="Normal 9 3 3 35" xfId="57491"/>
    <cellStyle name="Normal 9 3 3 36" xfId="59243"/>
    <cellStyle name="Normal 9 3 3 37" xfId="60995"/>
    <cellStyle name="Normal 9 3 3 38" xfId="63030"/>
    <cellStyle name="Normal 9 3 3 39" xfId="63896"/>
    <cellStyle name="Normal 9 3 3 4" xfId="4935"/>
    <cellStyle name="Normal 9 3 3 5" xfId="6687"/>
    <cellStyle name="Normal 9 3 3 6" xfId="8439"/>
    <cellStyle name="Normal 9 3 3 7" xfId="10192"/>
    <cellStyle name="Normal 9 3 3 8" xfId="11944"/>
    <cellStyle name="Normal 9 3 3 9" xfId="13696"/>
    <cellStyle name="Normal 9 3 30" xfId="44790"/>
    <cellStyle name="Normal 9 3 31" xfId="46542"/>
    <cellStyle name="Normal 9 3 32" xfId="48294"/>
    <cellStyle name="Normal 9 3 33" xfId="50046"/>
    <cellStyle name="Normal 9 3 34" xfId="51798"/>
    <cellStyle name="Normal 9 3 35" xfId="53550"/>
    <cellStyle name="Normal 9 3 36" xfId="55302"/>
    <cellStyle name="Normal 9 3 37" xfId="57055"/>
    <cellStyle name="Normal 9 3 38" xfId="58807"/>
    <cellStyle name="Normal 9 3 39" xfId="60559"/>
    <cellStyle name="Normal 9 3 4" xfId="2283"/>
    <cellStyle name="Normal 9 3 4 10" xfId="17641"/>
    <cellStyle name="Normal 9 3 4 11" xfId="19393"/>
    <cellStyle name="Normal 9 3 4 12" xfId="21146"/>
    <cellStyle name="Normal 9 3 4 13" xfId="22898"/>
    <cellStyle name="Normal 9 3 4 14" xfId="24650"/>
    <cellStyle name="Normal 9 3 4 15" xfId="26402"/>
    <cellStyle name="Normal 9 3 4 16" xfId="28154"/>
    <cellStyle name="Normal 9 3 4 17" xfId="29907"/>
    <cellStyle name="Normal 9 3 4 18" xfId="31659"/>
    <cellStyle name="Normal 9 3 4 19" xfId="33412"/>
    <cellStyle name="Normal 9 3 4 2" xfId="3623"/>
    <cellStyle name="Normal 9 3 4 20" xfId="36048"/>
    <cellStyle name="Normal 9 3 4 21" xfId="37788"/>
    <cellStyle name="Normal 9 3 4 22" xfId="39541"/>
    <cellStyle name="Normal 9 3 4 23" xfId="41296"/>
    <cellStyle name="Normal 9 3 4 24" xfId="43048"/>
    <cellStyle name="Normal 9 3 4 25" xfId="45666"/>
    <cellStyle name="Normal 9 3 4 26" xfId="47418"/>
    <cellStyle name="Normal 9 3 4 27" xfId="49170"/>
    <cellStyle name="Normal 9 3 4 28" xfId="50922"/>
    <cellStyle name="Normal 9 3 4 29" xfId="52674"/>
    <cellStyle name="Normal 9 3 4 3" xfId="5375"/>
    <cellStyle name="Normal 9 3 4 30" xfId="54426"/>
    <cellStyle name="Normal 9 3 4 31" xfId="56178"/>
    <cellStyle name="Normal 9 3 4 32" xfId="57931"/>
    <cellStyle name="Normal 9 3 4 33" xfId="59683"/>
    <cellStyle name="Normal 9 3 4 34" xfId="61435"/>
    <cellStyle name="Normal 9 3 4 4" xfId="7127"/>
    <cellStyle name="Normal 9 3 4 5" xfId="8879"/>
    <cellStyle name="Normal 9 3 4 6" xfId="10632"/>
    <cellStyle name="Normal 9 3 4 7" xfId="12384"/>
    <cellStyle name="Normal 9 3 4 8" xfId="14136"/>
    <cellStyle name="Normal 9 3 4 9" xfId="15888"/>
    <cellStyle name="Normal 9 3 40" xfId="63027"/>
    <cellStyle name="Normal 9 3 41" xfId="63893"/>
    <cellStyle name="Normal 9 3 5" xfId="2747"/>
    <cellStyle name="Normal 9 3 6" xfId="4499"/>
    <cellStyle name="Normal 9 3 7" xfId="6251"/>
    <cellStyle name="Normal 9 3 8" xfId="8003"/>
    <cellStyle name="Normal 9 3 9" xfId="9756"/>
    <cellStyle name="Normal 9 30" xfId="44682"/>
    <cellStyle name="Normal 9 31" xfId="46434"/>
    <cellStyle name="Normal 9 32" xfId="48186"/>
    <cellStyle name="Normal 9 33" xfId="49938"/>
    <cellStyle name="Normal 9 34" xfId="51690"/>
    <cellStyle name="Normal 9 35" xfId="53442"/>
    <cellStyle name="Normal 9 36" xfId="55194"/>
    <cellStyle name="Normal 9 37" xfId="56947"/>
    <cellStyle name="Normal 9 38" xfId="58699"/>
    <cellStyle name="Normal 9 39" xfId="60451"/>
    <cellStyle name="Normal 9 4" xfId="2284"/>
    <cellStyle name="Normal 9 4 10" xfId="13572"/>
    <cellStyle name="Normal 9 4 11" xfId="15324"/>
    <cellStyle name="Normal 9 4 12" xfId="17077"/>
    <cellStyle name="Normal 9 4 13" xfId="18829"/>
    <cellStyle name="Normal 9 4 14" xfId="20582"/>
    <cellStyle name="Normal 9 4 15" xfId="22334"/>
    <cellStyle name="Normal 9 4 16" xfId="24086"/>
    <cellStyle name="Normal 9 4 17" xfId="25838"/>
    <cellStyle name="Normal 9 4 18" xfId="27590"/>
    <cellStyle name="Normal 9 4 19" xfId="29343"/>
    <cellStyle name="Normal 9 4 2" xfId="2285"/>
    <cellStyle name="Normal 9 4 2 10" xfId="15760"/>
    <cellStyle name="Normal 9 4 2 11" xfId="17513"/>
    <cellStyle name="Normal 9 4 2 12" xfId="19265"/>
    <cellStyle name="Normal 9 4 2 13" xfId="21018"/>
    <cellStyle name="Normal 9 4 2 14" xfId="22770"/>
    <cellStyle name="Normal 9 4 2 15" xfId="24522"/>
    <cellStyle name="Normal 9 4 2 16" xfId="26274"/>
    <cellStyle name="Normal 9 4 2 17" xfId="28026"/>
    <cellStyle name="Normal 9 4 2 18" xfId="29779"/>
    <cellStyle name="Normal 9 4 2 19" xfId="31531"/>
    <cellStyle name="Normal 9 4 2 2" xfId="2286"/>
    <cellStyle name="Normal 9 4 2 2 10" xfId="18389"/>
    <cellStyle name="Normal 9 4 2 2 11" xfId="20141"/>
    <cellStyle name="Normal 9 4 2 2 12" xfId="21894"/>
    <cellStyle name="Normal 9 4 2 2 13" xfId="23646"/>
    <cellStyle name="Normal 9 4 2 2 14" xfId="25398"/>
    <cellStyle name="Normal 9 4 2 2 15" xfId="27150"/>
    <cellStyle name="Normal 9 4 2 2 16" xfId="28902"/>
    <cellStyle name="Normal 9 4 2 2 17" xfId="30655"/>
    <cellStyle name="Normal 9 4 2 2 18" xfId="32407"/>
    <cellStyle name="Normal 9 4 2 2 19" xfId="34160"/>
    <cellStyle name="Normal 9 4 2 2 2" xfId="4371"/>
    <cellStyle name="Normal 9 4 2 2 20" xfId="36796"/>
    <cellStyle name="Normal 9 4 2 2 21" xfId="38536"/>
    <cellStyle name="Normal 9 4 2 2 22" xfId="40289"/>
    <cellStyle name="Normal 9 4 2 2 23" xfId="42044"/>
    <cellStyle name="Normal 9 4 2 2 24" xfId="43796"/>
    <cellStyle name="Normal 9 4 2 2 25" xfId="46414"/>
    <cellStyle name="Normal 9 4 2 2 26" xfId="48166"/>
    <cellStyle name="Normal 9 4 2 2 27" xfId="49918"/>
    <cellStyle name="Normal 9 4 2 2 28" xfId="51670"/>
    <cellStyle name="Normal 9 4 2 2 29" xfId="53422"/>
    <cellStyle name="Normal 9 4 2 2 3" xfId="6123"/>
    <cellStyle name="Normal 9 4 2 2 30" xfId="55174"/>
    <cellStyle name="Normal 9 4 2 2 31" xfId="56926"/>
    <cellStyle name="Normal 9 4 2 2 32" xfId="58679"/>
    <cellStyle name="Normal 9 4 2 2 33" xfId="60431"/>
    <cellStyle name="Normal 9 4 2 2 34" xfId="62183"/>
    <cellStyle name="Normal 9 4 2 2 4" xfId="7875"/>
    <cellStyle name="Normal 9 4 2 2 5" xfId="9627"/>
    <cellStyle name="Normal 9 4 2 2 6" xfId="11380"/>
    <cellStyle name="Normal 9 4 2 2 7" xfId="13132"/>
    <cellStyle name="Normal 9 4 2 2 8" xfId="14884"/>
    <cellStyle name="Normal 9 4 2 2 9" xfId="16636"/>
    <cellStyle name="Normal 9 4 2 20" xfId="33284"/>
    <cellStyle name="Normal 9 4 2 21" xfId="35024"/>
    <cellStyle name="Normal 9 4 2 22" xfId="35920"/>
    <cellStyle name="Normal 9 4 2 23" xfId="37649"/>
    <cellStyle name="Normal 9 4 2 24" xfId="39413"/>
    <cellStyle name="Normal 9 4 2 25" xfId="41168"/>
    <cellStyle name="Normal 9 4 2 26" xfId="42920"/>
    <cellStyle name="Normal 9 4 2 27" xfId="44645"/>
    <cellStyle name="Normal 9 4 2 28" xfId="45538"/>
    <cellStyle name="Normal 9 4 2 29" xfId="47290"/>
    <cellStyle name="Normal 9 4 2 3" xfId="3495"/>
    <cellStyle name="Normal 9 4 2 30" xfId="49042"/>
    <cellStyle name="Normal 9 4 2 31" xfId="50794"/>
    <cellStyle name="Normal 9 4 2 32" xfId="52546"/>
    <cellStyle name="Normal 9 4 2 33" xfId="54298"/>
    <cellStyle name="Normal 9 4 2 34" xfId="56050"/>
    <cellStyle name="Normal 9 4 2 35" xfId="57803"/>
    <cellStyle name="Normal 9 4 2 36" xfId="59555"/>
    <cellStyle name="Normal 9 4 2 37" xfId="61307"/>
    <cellStyle name="Normal 9 4 2 38" xfId="63032"/>
    <cellStyle name="Normal 9 4 2 39" xfId="63898"/>
    <cellStyle name="Normal 9 4 2 4" xfId="5247"/>
    <cellStyle name="Normal 9 4 2 5" xfId="6999"/>
    <cellStyle name="Normal 9 4 2 6" xfId="8751"/>
    <cellStyle name="Normal 9 4 2 7" xfId="10504"/>
    <cellStyle name="Normal 9 4 2 8" xfId="12256"/>
    <cellStyle name="Normal 9 4 2 9" xfId="14008"/>
    <cellStyle name="Normal 9 4 20" xfId="31095"/>
    <cellStyle name="Normal 9 4 21" xfId="32848"/>
    <cellStyle name="Normal 9 4 22" xfId="35023"/>
    <cellStyle name="Normal 9 4 23" xfId="35484"/>
    <cellStyle name="Normal 9 4 24" xfId="37648"/>
    <cellStyle name="Normal 9 4 25" xfId="38977"/>
    <cellStyle name="Normal 9 4 26" xfId="40732"/>
    <cellStyle name="Normal 9 4 27" xfId="42484"/>
    <cellStyle name="Normal 9 4 28" xfId="44644"/>
    <cellStyle name="Normal 9 4 29" xfId="45102"/>
    <cellStyle name="Normal 9 4 3" xfId="2287"/>
    <cellStyle name="Normal 9 4 3 10" xfId="17953"/>
    <cellStyle name="Normal 9 4 3 11" xfId="19705"/>
    <cellStyle name="Normal 9 4 3 12" xfId="21458"/>
    <cellStyle name="Normal 9 4 3 13" xfId="23210"/>
    <cellStyle name="Normal 9 4 3 14" xfId="24962"/>
    <cellStyle name="Normal 9 4 3 15" xfId="26714"/>
    <cellStyle name="Normal 9 4 3 16" xfId="28466"/>
    <cellStyle name="Normal 9 4 3 17" xfId="30219"/>
    <cellStyle name="Normal 9 4 3 18" xfId="31971"/>
    <cellStyle name="Normal 9 4 3 19" xfId="33724"/>
    <cellStyle name="Normal 9 4 3 2" xfId="3935"/>
    <cellStyle name="Normal 9 4 3 20" xfId="36360"/>
    <cellStyle name="Normal 9 4 3 21" xfId="38100"/>
    <cellStyle name="Normal 9 4 3 22" xfId="39853"/>
    <cellStyle name="Normal 9 4 3 23" xfId="41608"/>
    <cellStyle name="Normal 9 4 3 24" xfId="43360"/>
    <cellStyle name="Normal 9 4 3 25" xfId="45978"/>
    <cellStyle name="Normal 9 4 3 26" xfId="47730"/>
    <cellStyle name="Normal 9 4 3 27" xfId="49482"/>
    <cellStyle name="Normal 9 4 3 28" xfId="51234"/>
    <cellStyle name="Normal 9 4 3 29" xfId="52986"/>
    <cellStyle name="Normal 9 4 3 3" xfId="5687"/>
    <cellStyle name="Normal 9 4 3 30" xfId="54738"/>
    <cellStyle name="Normal 9 4 3 31" xfId="56490"/>
    <cellStyle name="Normal 9 4 3 32" xfId="58243"/>
    <cellStyle name="Normal 9 4 3 33" xfId="59995"/>
    <cellStyle name="Normal 9 4 3 34" xfId="61747"/>
    <cellStyle name="Normal 9 4 3 4" xfId="7439"/>
    <cellStyle name="Normal 9 4 3 5" xfId="9191"/>
    <cellStyle name="Normal 9 4 3 6" xfId="10944"/>
    <cellStyle name="Normal 9 4 3 7" xfId="12696"/>
    <cellStyle name="Normal 9 4 3 8" xfId="14448"/>
    <cellStyle name="Normal 9 4 3 9" xfId="16200"/>
    <cellStyle name="Normal 9 4 30" xfId="46854"/>
    <cellStyle name="Normal 9 4 31" xfId="48606"/>
    <cellStyle name="Normal 9 4 32" xfId="50358"/>
    <cellStyle name="Normal 9 4 33" xfId="52110"/>
    <cellStyle name="Normal 9 4 34" xfId="53862"/>
    <cellStyle name="Normal 9 4 35" xfId="55614"/>
    <cellStyle name="Normal 9 4 36" xfId="57367"/>
    <cellStyle name="Normal 9 4 37" xfId="59119"/>
    <cellStyle name="Normal 9 4 38" xfId="60871"/>
    <cellStyle name="Normal 9 4 39" xfId="63031"/>
    <cellStyle name="Normal 9 4 4" xfId="3059"/>
    <cellStyle name="Normal 9 4 40" xfId="63897"/>
    <cellStyle name="Normal 9 4 5" xfId="4811"/>
    <cellStyle name="Normal 9 4 6" xfId="6563"/>
    <cellStyle name="Normal 9 4 7" xfId="8315"/>
    <cellStyle name="Normal 9 4 8" xfId="10068"/>
    <cellStyle name="Normal 9 4 9" xfId="11820"/>
    <cellStyle name="Normal 9 5" xfId="2288"/>
    <cellStyle name="Normal 9 5 10" xfId="15340"/>
    <cellStyle name="Normal 9 5 11" xfId="17093"/>
    <cellStyle name="Normal 9 5 12" xfId="18845"/>
    <cellStyle name="Normal 9 5 13" xfId="20598"/>
    <cellStyle name="Normal 9 5 14" xfId="22350"/>
    <cellStyle name="Normal 9 5 15" xfId="24102"/>
    <cellStyle name="Normal 9 5 16" xfId="25854"/>
    <cellStyle name="Normal 9 5 17" xfId="27606"/>
    <cellStyle name="Normal 9 5 18" xfId="29359"/>
    <cellStyle name="Normal 9 5 19" xfId="31111"/>
    <cellStyle name="Normal 9 5 2" xfId="2289"/>
    <cellStyle name="Normal 9 5 2 10" xfId="17969"/>
    <cellStyle name="Normal 9 5 2 11" xfId="19721"/>
    <cellStyle name="Normal 9 5 2 12" xfId="21474"/>
    <cellStyle name="Normal 9 5 2 13" xfId="23226"/>
    <cellStyle name="Normal 9 5 2 14" xfId="24978"/>
    <cellStyle name="Normal 9 5 2 15" xfId="26730"/>
    <cellStyle name="Normal 9 5 2 16" xfId="28482"/>
    <cellStyle name="Normal 9 5 2 17" xfId="30235"/>
    <cellStyle name="Normal 9 5 2 18" xfId="31987"/>
    <cellStyle name="Normal 9 5 2 19" xfId="33740"/>
    <cellStyle name="Normal 9 5 2 2" xfId="3951"/>
    <cellStyle name="Normal 9 5 2 20" xfId="36376"/>
    <cellStyle name="Normal 9 5 2 21" xfId="38116"/>
    <cellStyle name="Normal 9 5 2 22" xfId="39869"/>
    <cellStyle name="Normal 9 5 2 23" xfId="41624"/>
    <cellStyle name="Normal 9 5 2 24" xfId="43376"/>
    <cellStyle name="Normal 9 5 2 25" xfId="45994"/>
    <cellStyle name="Normal 9 5 2 26" xfId="47746"/>
    <cellStyle name="Normal 9 5 2 27" xfId="49498"/>
    <cellStyle name="Normal 9 5 2 28" xfId="51250"/>
    <cellStyle name="Normal 9 5 2 29" xfId="53002"/>
    <cellStyle name="Normal 9 5 2 3" xfId="5703"/>
    <cellStyle name="Normal 9 5 2 30" xfId="54754"/>
    <cellStyle name="Normal 9 5 2 31" xfId="56506"/>
    <cellStyle name="Normal 9 5 2 32" xfId="58259"/>
    <cellStyle name="Normal 9 5 2 33" xfId="60011"/>
    <cellStyle name="Normal 9 5 2 34" xfId="61763"/>
    <cellStyle name="Normal 9 5 2 4" xfId="7455"/>
    <cellStyle name="Normal 9 5 2 5" xfId="9207"/>
    <cellStyle name="Normal 9 5 2 6" xfId="10960"/>
    <cellStyle name="Normal 9 5 2 7" xfId="12712"/>
    <cellStyle name="Normal 9 5 2 8" xfId="14464"/>
    <cellStyle name="Normal 9 5 2 9" xfId="16216"/>
    <cellStyle name="Normal 9 5 20" xfId="32864"/>
    <cellStyle name="Normal 9 5 21" xfId="35025"/>
    <cellStyle name="Normal 9 5 22" xfId="35500"/>
    <cellStyle name="Normal 9 5 23" xfId="37650"/>
    <cellStyle name="Normal 9 5 24" xfId="38993"/>
    <cellStyle name="Normal 9 5 25" xfId="40748"/>
    <cellStyle name="Normal 9 5 26" xfId="42500"/>
    <cellStyle name="Normal 9 5 27" xfId="44646"/>
    <cellStyle name="Normal 9 5 28" xfId="45118"/>
    <cellStyle name="Normal 9 5 29" xfId="46870"/>
    <cellStyle name="Normal 9 5 3" xfId="3075"/>
    <cellStyle name="Normal 9 5 30" xfId="48622"/>
    <cellStyle name="Normal 9 5 31" xfId="50374"/>
    <cellStyle name="Normal 9 5 32" xfId="52126"/>
    <cellStyle name="Normal 9 5 33" xfId="53878"/>
    <cellStyle name="Normal 9 5 34" xfId="55630"/>
    <cellStyle name="Normal 9 5 35" xfId="57383"/>
    <cellStyle name="Normal 9 5 36" xfId="59135"/>
    <cellStyle name="Normal 9 5 37" xfId="60887"/>
    <cellStyle name="Normal 9 5 38" xfId="63033"/>
    <cellStyle name="Normal 9 5 39" xfId="63899"/>
    <cellStyle name="Normal 9 5 4" xfId="4827"/>
    <cellStyle name="Normal 9 5 5" xfId="6579"/>
    <cellStyle name="Normal 9 5 6" xfId="8331"/>
    <cellStyle name="Normal 9 5 7" xfId="10084"/>
    <cellStyle name="Normal 9 5 8" xfId="11836"/>
    <cellStyle name="Normal 9 5 9" xfId="13588"/>
    <cellStyle name="Normal 9 6" xfId="2290"/>
    <cellStyle name="Normal 9 6 10" xfId="15780"/>
    <cellStyle name="Normal 9 6 11" xfId="17533"/>
    <cellStyle name="Normal 9 6 12" xfId="19285"/>
    <cellStyle name="Normal 9 6 13" xfId="21038"/>
    <cellStyle name="Normal 9 6 14" xfId="22790"/>
    <cellStyle name="Normal 9 6 15" xfId="24542"/>
    <cellStyle name="Normal 9 6 16" xfId="26294"/>
    <cellStyle name="Normal 9 6 17" xfId="28046"/>
    <cellStyle name="Normal 9 6 18" xfId="29799"/>
    <cellStyle name="Normal 9 6 19" xfId="31551"/>
    <cellStyle name="Normal 9 6 2" xfId="2291"/>
    <cellStyle name="Normal 9 6 20" xfId="33304"/>
    <cellStyle name="Normal 9 6 21" xfId="35940"/>
    <cellStyle name="Normal 9 6 22" xfId="37679"/>
    <cellStyle name="Normal 9 6 23" xfId="39433"/>
    <cellStyle name="Normal 9 6 24" xfId="41188"/>
    <cellStyle name="Normal 9 6 25" xfId="42940"/>
    <cellStyle name="Normal 9 6 26" xfId="45558"/>
    <cellStyle name="Normal 9 6 27" xfId="47310"/>
    <cellStyle name="Normal 9 6 28" xfId="49062"/>
    <cellStyle name="Normal 9 6 29" xfId="50814"/>
    <cellStyle name="Normal 9 6 3" xfId="3515"/>
    <cellStyle name="Normal 9 6 30" xfId="52566"/>
    <cellStyle name="Normal 9 6 31" xfId="54318"/>
    <cellStyle name="Normal 9 6 32" xfId="56070"/>
    <cellStyle name="Normal 9 6 33" xfId="57823"/>
    <cellStyle name="Normal 9 6 34" xfId="59575"/>
    <cellStyle name="Normal 9 6 35" xfId="61327"/>
    <cellStyle name="Normal 9 6 4" xfId="5267"/>
    <cellStyle name="Normal 9 6 5" xfId="7019"/>
    <cellStyle name="Normal 9 6 6" xfId="8771"/>
    <cellStyle name="Normal 9 6 7" xfId="10524"/>
    <cellStyle name="Normal 9 6 8" xfId="12276"/>
    <cellStyle name="Normal 9 6 9" xfId="14028"/>
    <cellStyle name="Normal 9 7" xfId="2292"/>
    <cellStyle name="Normal 9 7 2" xfId="35010"/>
    <cellStyle name="Normal 9 7 3" xfId="37635"/>
    <cellStyle name="Normal 9 7 4" xfId="40301"/>
    <cellStyle name="Normal 9 7 5" xfId="44631"/>
    <cellStyle name="Normal 9 7 6" xfId="63018"/>
    <cellStyle name="Normal 9 7 7" xfId="63884"/>
    <cellStyle name="Normal 9 8" xfId="2465"/>
    <cellStyle name="Normal 9 9" xfId="4391"/>
    <cellStyle name="Normal 90" xfId="2293"/>
    <cellStyle name="Normal 90 2" xfId="2294"/>
    <cellStyle name="Normal 91" xfId="2295"/>
    <cellStyle name="Normal 91 2" xfId="2296"/>
    <cellStyle name="Normal 92" xfId="2297"/>
    <cellStyle name="Normal 92 2" xfId="2298"/>
    <cellStyle name="Normal 93" xfId="2299"/>
    <cellStyle name="Normal 93 2" xfId="2300"/>
    <cellStyle name="Normal 94" xfId="2301"/>
    <cellStyle name="Normal 94 2" xfId="2302"/>
    <cellStyle name="Normal 95" xfId="2303"/>
    <cellStyle name="Normal 95 2" xfId="2304"/>
    <cellStyle name="Normal 96" xfId="2305"/>
    <cellStyle name="Normal 96 2" xfId="2306"/>
    <cellStyle name="Normal 97" xfId="2307"/>
    <cellStyle name="Normal 97 2" xfId="2308"/>
    <cellStyle name="Normal 98" xfId="2309"/>
    <cellStyle name="Normal 98 2" xfId="2310"/>
    <cellStyle name="Normal 99" xfId="2311"/>
    <cellStyle name="Normal 99 2" xfId="2312"/>
    <cellStyle name="Note 2" xfId="2313"/>
    <cellStyle name="Output 2" xfId="2314"/>
    <cellStyle name="Percent" xfId="2315" builtinId="5"/>
    <cellStyle name="Percent 2" xfId="2316"/>
    <cellStyle name="Percent 2 10" xfId="6168"/>
    <cellStyle name="Percent 2 11" xfId="7920"/>
    <cellStyle name="Percent 2 12" xfId="9673"/>
    <cellStyle name="Percent 2 13" xfId="11425"/>
    <cellStyle name="Percent 2 14" xfId="13177"/>
    <cellStyle name="Percent 2 15" xfId="14929"/>
    <cellStyle name="Percent 2 16" xfId="16682"/>
    <cellStyle name="Percent 2 17" xfId="18434"/>
    <cellStyle name="Percent 2 18" xfId="20187"/>
    <cellStyle name="Percent 2 19" xfId="21939"/>
    <cellStyle name="Percent 2 2" xfId="2317"/>
    <cellStyle name="Percent 2 2 10" xfId="9728"/>
    <cellStyle name="Percent 2 2 11" xfId="11480"/>
    <cellStyle name="Percent 2 2 12" xfId="13232"/>
    <cellStyle name="Percent 2 2 13" xfId="14984"/>
    <cellStyle name="Percent 2 2 14" xfId="16737"/>
    <cellStyle name="Percent 2 2 15" xfId="18489"/>
    <cellStyle name="Percent 2 2 16" xfId="20242"/>
    <cellStyle name="Percent 2 2 17" xfId="21994"/>
    <cellStyle name="Percent 2 2 18" xfId="23746"/>
    <cellStyle name="Percent 2 2 19" xfId="25498"/>
    <cellStyle name="Percent 2 2 2" xfId="2318"/>
    <cellStyle name="Percent 2 2 2 10" xfId="11588"/>
    <cellStyle name="Percent 2 2 2 11" xfId="13340"/>
    <cellStyle name="Percent 2 2 2 12" xfId="15092"/>
    <cellStyle name="Percent 2 2 2 13" xfId="16845"/>
    <cellStyle name="Percent 2 2 2 14" xfId="18597"/>
    <cellStyle name="Percent 2 2 2 15" xfId="20350"/>
    <cellStyle name="Percent 2 2 2 16" xfId="22102"/>
    <cellStyle name="Percent 2 2 2 17" xfId="23854"/>
    <cellStyle name="Percent 2 2 2 18" xfId="25606"/>
    <cellStyle name="Percent 2 2 2 19" xfId="27358"/>
    <cellStyle name="Percent 2 2 2 2" xfId="2319"/>
    <cellStyle name="Percent 2 2 2 2 10" xfId="13573"/>
    <cellStyle name="Percent 2 2 2 2 11" xfId="15325"/>
    <cellStyle name="Percent 2 2 2 2 12" xfId="17078"/>
    <cellStyle name="Percent 2 2 2 2 13" xfId="18830"/>
    <cellStyle name="Percent 2 2 2 2 14" xfId="20583"/>
    <cellStyle name="Percent 2 2 2 2 15" xfId="22335"/>
    <cellStyle name="Percent 2 2 2 2 16" xfId="24087"/>
    <cellStyle name="Percent 2 2 2 2 17" xfId="25839"/>
    <cellStyle name="Percent 2 2 2 2 18" xfId="27591"/>
    <cellStyle name="Percent 2 2 2 2 19" xfId="29344"/>
    <cellStyle name="Percent 2 2 2 2 2" xfId="2320"/>
    <cellStyle name="Percent 2 2 2 2 2 10" xfId="15761"/>
    <cellStyle name="Percent 2 2 2 2 2 11" xfId="17514"/>
    <cellStyle name="Percent 2 2 2 2 2 12" xfId="19266"/>
    <cellStyle name="Percent 2 2 2 2 2 13" xfId="21019"/>
    <cellStyle name="Percent 2 2 2 2 2 14" xfId="22771"/>
    <cellStyle name="Percent 2 2 2 2 2 15" xfId="24523"/>
    <cellStyle name="Percent 2 2 2 2 2 16" xfId="26275"/>
    <cellStyle name="Percent 2 2 2 2 2 17" xfId="28027"/>
    <cellStyle name="Percent 2 2 2 2 2 18" xfId="29780"/>
    <cellStyle name="Percent 2 2 2 2 2 19" xfId="31532"/>
    <cellStyle name="Percent 2 2 2 2 2 2" xfId="2321"/>
    <cellStyle name="Percent 2 2 2 2 2 2 10" xfId="18390"/>
    <cellStyle name="Percent 2 2 2 2 2 2 11" xfId="20142"/>
    <cellStyle name="Percent 2 2 2 2 2 2 12" xfId="21895"/>
    <cellStyle name="Percent 2 2 2 2 2 2 13" xfId="23647"/>
    <cellStyle name="Percent 2 2 2 2 2 2 14" xfId="25399"/>
    <cellStyle name="Percent 2 2 2 2 2 2 15" xfId="27151"/>
    <cellStyle name="Percent 2 2 2 2 2 2 16" xfId="28903"/>
    <cellStyle name="Percent 2 2 2 2 2 2 17" xfId="30656"/>
    <cellStyle name="Percent 2 2 2 2 2 2 18" xfId="32408"/>
    <cellStyle name="Percent 2 2 2 2 2 2 19" xfId="34161"/>
    <cellStyle name="Percent 2 2 2 2 2 2 2" xfId="4372"/>
    <cellStyle name="Percent 2 2 2 2 2 2 20" xfId="36797"/>
    <cellStyle name="Percent 2 2 2 2 2 2 21" xfId="38537"/>
    <cellStyle name="Percent 2 2 2 2 2 2 22" xfId="40290"/>
    <cellStyle name="Percent 2 2 2 2 2 2 23" xfId="42045"/>
    <cellStyle name="Percent 2 2 2 2 2 2 24" xfId="43797"/>
    <cellStyle name="Percent 2 2 2 2 2 2 25" xfId="46415"/>
    <cellStyle name="Percent 2 2 2 2 2 2 26" xfId="48167"/>
    <cellStyle name="Percent 2 2 2 2 2 2 27" xfId="49919"/>
    <cellStyle name="Percent 2 2 2 2 2 2 28" xfId="51671"/>
    <cellStyle name="Percent 2 2 2 2 2 2 29" xfId="53423"/>
    <cellStyle name="Percent 2 2 2 2 2 2 3" xfId="6124"/>
    <cellStyle name="Percent 2 2 2 2 2 2 30" xfId="55175"/>
    <cellStyle name="Percent 2 2 2 2 2 2 31" xfId="56927"/>
    <cellStyle name="Percent 2 2 2 2 2 2 32" xfId="58680"/>
    <cellStyle name="Percent 2 2 2 2 2 2 33" xfId="60432"/>
    <cellStyle name="Percent 2 2 2 2 2 2 34" xfId="62184"/>
    <cellStyle name="Percent 2 2 2 2 2 2 4" xfId="7876"/>
    <cellStyle name="Percent 2 2 2 2 2 2 5" xfId="9628"/>
    <cellStyle name="Percent 2 2 2 2 2 2 6" xfId="11381"/>
    <cellStyle name="Percent 2 2 2 2 2 2 7" xfId="13133"/>
    <cellStyle name="Percent 2 2 2 2 2 2 8" xfId="14885"/>
    <cellStyle name="Percent 2 2 2 2 2 2 9" xfId="16637"/>
    <cellStyle name="Percent 2 2 2 2 2 20" xfId="33285"/>
    <cellStyle name="Percent 2 2 2 2 2 21" xfId="35030"/>
    <cellStyle name="Percent 2 2 2 2 2 22" xfId="35921"/>
    <cellStyle name="Percent 2 2 2 2 2 23" xfId="37655"/>
    <cellStyle name="Percent 2 2 2 2 2 24" xfId="39414"/>
    <cellStyle name="Percent 2 2 2 2 2 25" xfId="41169"/>
    <cellStyle name="Percent 2 2 2 2 2 26" xfId="42921"/>
    <cellStyle name="Percent 2 2 2 2 2 27" xfId="44651"/>
    <cellStyle name="Percent 2 2 2 2 2 28" xfId="45539"/>
    <cellStyle name="Percent 2 2 2 2 2 29" xfId="47291"/>
    <cellStyle name="Percent 2 2 2 2 2 3" xfId="3496"/>
    <cellStyle name="Percent 2 2 2 2 2 30" xfId="49043"/>
    <cellStyle name="Percent 2 2 2 2 2 31" xfId="50795"/>
    <cellStyle name="Percent 2 2 2 2 2 32" xfId="52547"/>
    <cellStyle name="Percent 2 2 2 2 2 33" xfId="54299"/>
    <cellStyle name="Percent 2 2 2 2 2 34" xfId="56051"/>
    <cellStyle name="Percent 2 2 2 2 2 35" xfId="57804"/>
    <cellStyle name="Percent 2 2 2 2 2 36" xfId="59556"/>
    <cellStyle name="Percent 2 2 2 2 2 37" xfId="61308"/>
    <cellStyle name="Percent 2 2 2 2 2 38" xfId="63038"/>
    <cellStyle name="Percent 2 2 2 2 2 39" xfId="63904"/>
    <cellStyle name="Percent 2 2 2 2 2 4" xfId="5248"/>
    <cellStyle name="Percent 2 2 2 2 2 5" xfId="7000"/>
    <cellStyle name="Percent 2 2 2 2 2 6" xfId="8752"/>
    <cellStyle name="Percent 2 2 2 2 2 7" xfId="10505"/>
    <cellStyle name="Percent 2 2 2 2 2 8" xfId="12257"/>
    <cellStyle name="Percent 2 2 2 2 2 9" xfId="14009"/>
    <cellStyle name="Percent 2 2 2 2 20" xfId="31096"/>
    <cellStyle name="Percent 2 2 2 2 21" xfId="32849"/>
    <cellStyle name="Percent 2 2 2 2 22" xfId="35029"/>
    <cellStyle name="Percent 2 2 2 2 23" xfId="35485"/>
    <cellStyle name="Percent 2 2 2 2 24" xfId="37654"/>
    <cellStyle name="Percent 2 2 2 2 25" xfId="38978"/>
    <cellStyle name="Percent 2 2 2 2 26" xfId="40733"/>
    <cellStyle name="Percent 2 2 2 2 27" xfId="42485"/>
    <cellStyle name="Percent 2 2 2 2 28" xfId="44650"/>
    <cellStyle name="Percent 2 2 2 2 29" xfId="45103"/>
    <cellStyle name="Percent 2 2 2 2 3" xfId="2322"/>
    <cellStyle name="Percent 2 2 2 2 3 10" xfId="17954"/>
    <cellStyle name="Percent 2 2 2 2 3 11" xfId="19706"/>
    <cellStyle name="Percent 2 2 2 2 3 12" xfId="21459"/>
    <cellStyle name="Percent 2 2 2 2 3 13" xfId="23211"/>
    <cellStyle name="Percent 2 2 2 2 3 14" xfId="24963"/>
    <cellStyle name="Percent 2 2 2 2 3 15" xfId="26715"/>
    <cellStyle name="Percent 2 2 2 2 3 16" xfId="28467"/>
    <cellStyle name="Percent 2 2 2 2 3 17" xfId="30220"/>
    <cellStyle name="Percent 2 2 2 2 3 18" xfId="31972"/>
    <cellStyle name="Percent 2 2 2 2 3 19" xfId="33725"/>
    <cellStyle name="Percent 2 2 2 2 3 2" xfId="3936"/>
    <cellStyle name="Percent 2 2 2 2 3 20" xfId="36361"/>
    <cellStyle name="Percent 2 2 2 2 3 21" xfId="38101"/>
    <cellStyle name="Percent 2 2 2 2 3 22" xfId="39854"/>
    <cellStyle name="Percent 2 2 2 2 3 23" xfId="41609"/>
    <cellStyle name="Percent 2 2 2 2 3 24" xfId="43361"/>
    <cellStyle name="Percent 2 2 2 2 3 25" xfId="45979"/>
    <cellStyle name="Percent 2 2 2 2 3 26" xfId="47731"/>
    <cellStyle name="Percent 2 2 2 2 3 27" xfId="49483"/>
    <cellStyle name="Percent 2 2 2 2 3 28" xfId="51235"/>
    <cellStyle name="Percent 2 2 2 2 3 29" xfId="52987"/>
    <cellStyle name="Percent 2 2 2 2 3 3" xfId="5688"/>
    <cellStyle name="Percent 2 2 2 2 3 30" xfId="54739"/>
    <cellStyle name="Percent 2 2 2 2 3 31" xfId="56491"/>
    <cellStyle name="Percent 2 2 2 2 3 32" xfId="58244"/>
    <cellStyle name="Percent 2 2 2 2 3 33" xfId="59996"/>
    <cellStyle name="Percent 2 2 2 2 3 34" xfId="61748"/>
    <cellStyle name="Percent 2 2 2 2 3 4" xfId="7440"/>
    <cellStyle name="Percent 2 2 2 2 3 5" xfId="9192"/>
    <cellStyle name="Percent 2 2 2 2 3 6" xfId="10945"/>
    <cellStyle name="Percent 2 2 2 2 3 7" xfId="12697"/>
    <cellStyle name="Percent 2 2 2 2 3 8" xfId="14449"/>
    <cellStyle name="Percent 2 2 2 2 3 9" xfId="16201"/>
    <cellStyle name="Percent 2 2 2 2 30" xfId="46855"/>
    <cellStyle name="Percent 2 2 2 2 31" xfId="48607"/>
    <cellStyle name="Percent 2 2 2 2 32" xfId="50359"/>
    <cellStyle name="Percent 2 2 2 2 33" xfId="52111"/>
    <cellStyle name="Percent 2 2 2 2 34" xfId="53863"/>
    <cellStyle name="Percent 2 2 2 2 35" xfId="55615"/>
    <cellStyle name="Percent 2 2 2 2 36" xfId="57368"/>
    <cellStyle name="Percent 2 2 2 2 37" xfId="59120"/>
    <cellStyle name="Percent 2 2 2 2 38" xfId="60872"/>
    <cellStyle name="Percent 2 2 2 2 39" xfId="63037"/>
    <cellStyle name="Percent 2 2 2 2 4" xfId="3060"/>
    <cellStyle name="Percent 2 2 2 2 40" xfId="63903"/>
    <cellStyle name="Percent 2 2 2 2 5" xfId="4812"/>
    <cellStyle name="Percent 2 2 2 2 6" xfId="6564"/>
    <cellStyle name="Percent 2 2 2 2 7" xfId="8316"/>
    <cellStyle name="Percent 2 2 2 2 8" xfId="10069"/>
    <cellStyle name="Percent 2 2 2 2 9" xfId="11821"/>
    <cellStyle name="Percent 2 2 2 20" xfId="29111"/>
    <cellStyle name="Percent 2 2 2 21" xfId="30863"/>
    <cellStyle name="Percent 2 2 2 22" xfId="32616"/>
    <cellStyle name="Percent 2 2 2 23" xfId="35028"/>
    <cellStyle name="Percent 2 2 2 24" xfId="35252"/>
    <cellStyle name="Percent 2 2 2 25" xfId="37653"/>
    <cellStyle name="Percent 2 2 2 26" xfId="38745"/>
    <cellStyle name="Percent 2 2 2 27" xfId="40500"/>
    <cellStyle name="Percent 2 2 2 28" xfId="42252"/>
    <cellStyle name="Percent 2 2 2 29" xfId="44649"/>
    <cellStyle name="Percent 2 2 2 3" xfId="2323"/>
    <cellStyle name="Percent 2 2 2 3 10" xfId="15528"/>
    <cellStyle name="Percent 2 2 2 3 11" xfId="17281"/>
    <cellStyle name="Percent 2 2 2 3 12" xfId="19033"/>
    <cellStyle name="Percent 2 2 2 3 13" xfId="20786"/>
    <cellStyle name="Percent 2 2 2 3 14" xfId="22538"/>
    <cellStyle name="Percent 2 2 2 3 15" xfId="24290"/>
    <cellStyle name="Percent 2 2 2 3 16" xfId="26042"/>
    <cellStyle name="Percent 2 2 2 3 17" xfId="27794"/>
    <cellStyle name="Percent 2 2 2 3 18" xfId="29547"/>
    <cellStyle name="Percent 2 2 2 3 19" xfId="31299"/>
    <cellStyle name="Percent 2 2 2 3 2" xfId="2324"/>
    <cellStyle name="Percent 2 2 2 3 2 10" xfId="18157"/>
    <cellStyle name="Percent 2 2 2 3 2 11" xfId="19909"/>
    <cellStyle name="Percent 2 2 2 3 2 12" xfId="21662"/>
    <cellStyle name="Percent 2 2 2 3 2 13" xfId="23414"/>
    <cellStyle name="Percent 2 2 2 3 2 14" xfId="25166"/>
    <cellStyle name="Percent 2 2 2 3 2 15" xfId="26918"/>
    <cellStyle name="Percent 2 2 2 3 2 16" xfId="28670"/>
    <cellStyle name="Percent 2 2 2 3 2 17" xfId="30423"/>
    <cellStyle name="Percent 2 2 2 3 2 18" xfId="32175"/>
    <cellStyle name="Percent 2 2 2 3 2 19" xfId="33928"/>
    <cellStyle name="Percent 2 2 2 3 2 2" xfId="4139"/>
    <cellStyle name="Percent 2 2 2 3 2 20" xfId="36564"/>
    <cellStyle name="Percent 2 2 2 3 2 21" xfId="38304"/>
    <cellStyle name="Percent 2 2 2 3 2 22" xfId="40057"/>
    <cellStyle name="Percent 2 2 2 3 2 23" xfId="41812"/>
    <cellStyle name="Percent 2 2 2 3 2 24" xfId="43564"/>
    <cellStyle name="Percent 2 2 2 3 2 25" xfId="46182"/>
    <cellStyle name="Percent 2 2 2 3 2 26" xfId="47934"/>
    <cellStyle name="Percent 2 2 2 3 2 27" xfId="49686"/>
    <cellStyle name="Percent 2 2 2 3 2 28" xfId="51438"/>
    <cellStyle name="Percent 2 2 2 3 2 29" xfId="53190"/>
    <cellStyle name="Percent 2 2 2 3 2 3" xfId="5891"/>
    <cellStyle name="Percent 2 2 2 3 2 30" xfId="54942"/>
    <cellStyle name="Percent 2 2 2 3 2 31" xfId="56694"/>
    <cellStyle name="Percent 2 2 2 3 2 32" xfId="58447"/>
    <cellStyle name="Percent 2 2 2 3 2 33" xfId="60199"/>
    <cellStyle name="Percent 2 2 2 3 2 34" xfId="61951"/>
    <cellStyle name="Percent 2 2 2 3 2 4" xfId="7643"/>
    <cellStyle name="Percent 2 2 2 3 2 5" xfId="9395"/>
    <cellStyle name="Percent 2 2 2 3 2 6" xfId="11148"/>
    <cellStyle name="Percent 2 2 2 3 2 7" xfId="12900"/>
    <cellStyle name="Percent 2 2 2 3 2 8" xfId="14652"/>
    <cellStyle name="Percent 2 2 2 3 2 9" xfId="16404"/>
    <cellStyle name="Percent 2 2 2 3 20" xfId="33052"/>
    <cellStyle name="Percent 2 2 2 3 21" xfId="35031"/>
    <cellStyle name="Percent 2 2 2 3 22" xfId="35688"/>
    <cellStyle name="Percent 2 2 2 3 23" xfId="37656"/>
    <cellStyle name="Percent 2 2 2 3 24" xfId="39181"/>
    <cellStyle name="Percent 2 2 2 3 25" xfId="40936"/>
    <cellStyle name="Percent 2 2 2 3 26" xfId="42688"/>
    <cellStyle name="Percent 2 2 2 3 27" xfId="44652"/>
    <cellStyle name="Percent 2 2 2 3 28" xfId="45306"/>
    <cellStyle name="Percent 2 2 2 3 29" xfId="47058"/>
    <cellStyle name="Percent 2 2 2 3 3" xfId="3263"/>
    <cellStyle name="Percent 2 2 2 3 30" xfId="48810"/>
    <cellStyle name="Percent 2 2 2 3 31" xfId="50562"/>
    <cellStyle name="Percent 2 2 2 3 32" xfId="52314"/>
    <cellStyle name="Percent 2 2 2 3 33" xfId="54066"/>
    <cellStyle name="Percent 2 2 2 3 34" xfId="55818"/>
    <cellStyle name="Percent 2 2 2 3 35" xfId="57571"/>
    <cellStyle name="Percent 2 2 2 3 36" xfId="59323"/>
    <cellStyle name="Percent 2 2 2 3 37" xfId="61075"/>
    <cellStyle name="Percent 2 2 2 3 38" xfId="63039"/>
    <cellStyle name="Percent 2 2 2 3 39" xfId="63905"/>
    <cellStyle name="Percent 2 2 2 3 4" xfId="5015"/>
    <cellStyle name="Percent 2 2 2 3 5" xfId="6767"/>
    <cellStyle name="Percent 2 2 2 3 6" xfId="8519"/>
    <cellStyle name="Percent 2 2 2 3 7" xfId="10272"/>
    <cellStyle name="Percent 2 2 2 3 8" xfId="12024"/>
    <cellStyle name="Percent 2 2 2 3 9" xfId="13776"/>
    <cellStyle name="Percent 2 2 2 30" xfId="44870"/>
    <cellStyle name="Percent 2 2 2 31" xfId="46622"/>
    <cellStyle name="Percent 2 2 2 32" xfId="48374"/>
    <cellStyle name="Percent 2 2 2 33" xfId="50126"/>
    <cellStyle name="Percent 2 2 2 34" xfId="51878"/>
    <cellStyle name="Percent 2 2 2 35" xfId="53630"/>
    <cellStyle name="Percent 2 2 2 36" xfId="55382"/>
    <cellStyle name="Percent 2 2 2 37" xfId="57135"/>
    <cellStyle name="Percent 2 2 2 38" xfId="58887"/>
    <cellStyle name="Percent 2 2 2 39" xfId="60639"/>
    <cellStyle name="Percent 2 2 2 4" xfId="2325"/>
    <cellStyle name="Percent 2 2 2 4 10" xfId="17721"/>
    <cellStyle name="Percent 2 2 2 4 11" xfId="19473"/>
    <cellStyle name="Percent 2 2 2 4 12" xfId="21226"/>
    <cellStyle name="Percent 2 2 2 4 13" xfId="22978"/>
    <cellStyle name="Percent 2 2 2 4 14" xfId="24730"/>
    <cellStyle name="Percent 2 2 2 4 15" xfId="26482"/>
    <cellStyle name="Percent 2 2 2 4 16" xfId="28234"/>
    <cellStyle name="Percent 2 2 2 4 17" xfId="29987"/>
    <cellStyle name="Percent 2 2 2 4 18" xfId="31739"/>
    <cellStyle name="Percent 2 2 2 4 19" xfId="33492"/>
    <cellStyle name="Percent 2 2 2 4 2" xfId="3703"/>
    <cellStyle name="Percent 2 2 2 4 20" xfId="36128"/>
    <cellStyle name="Percent 2 2 2 4 21" xfId="37868"/>
    <cellStyle name="Percent 2 2 2 4 22" xfId="39621"/>
    <cellStyle name="Percent 2 2 2 4 23" xfId="41376"/>
    <cellStyle name="Percent 2 2 2 4 24" xfId="43128"/>
    <cellStyle name="Percent 2 2 2 4 25" xfId="45746"/>
    <cellStyle name="Percent 2 2 2 4 26" xfId="47498"/>
    <cellStyle name="Percent 2 2 2 4 27" xfId="49250"/>
    <cellStyle name="Percent 2 2 2 4 28" xfId="51002"/>
    <cellStyle name="Percent 2 2 2 4 29" xfId="52754"/>
    <cellStyle name="Percent 2 2 2 4 3" xfId="5455"/>
    <cellStyle name="Percent 2 2 2 4 30" xfId="54506"/>
    <cellStyle name="Percent 2 2 2 4 31" xfId="56258"/>
    <cellStyle name="Percent 2 2 2 4 32" xfId="58011"/>
    <cellStyle name="Percent 2 2 2 4 33" xfId="59763"/>
    <cellStyle name="Percent 2 2 2 4 34" xfId="61515"/>
    <cellStyle name="Percent 2 2 2 4 4" xfId="7207"/>
    <cellStyle name="Percent 2 2 2 4 5" xfId="8959"/>
    <cellStyle name="Percent 2 2 2 4 6" xfId="10712"/>
    <cellStyle name="Percent 2 2 2 4 7" xfId="12464"/>
    <cellStyle name="Percent 2 2 2 4 8" xfId="14216"/>
    <cellStyle name="Percent 2 2 2 4 9" xfId="15968"/>
    <cellStyle name="Percent 2 2 2 40" xfId="63036"/>
    <cellStyle name="Percent 2 2 2 41" xfId="63902"/>
    <cellStyle name="Percent 2 2 2 5" xfId="2827"/>
    <cellStyle name="Percent 2 2 2 6" xfId="4579"/>
    <cellStyle name="Percent 2 2 2 7" xfId="6331"/>
    <cellStyle name="Percent 2 2 2 8" xfId="8083"/>
    <cellStyle name="Percent 2 2 2 9" xfId="9836"/>
    <cellStyle name="Percent 2 2 20" xfId="27250"/>
    <cellStyle name="Percent 2 2 21" xfId="29003"/>
    <cellStyle name="Percent 2 2 22" xfId="30755"/>
    <cellStyle name="Percent 2 2 23" xfId="32508"/>
    <cellStyle name="Percent 2 2 24" xfId="35027"/>
    <cellStyle name="Percent 2 2 25" xfId="35144"/>
    <cellStyle name="Percent 2 2 26" xfId="37652"/>
    <cellStyle name="Percent 2 2 27" xfId="38637"/>
    <cellStyle name="Percent 2 2 28" xfId="40392"/>
    <cellStyle name="Percent 2 2 29" xfId="42144"/>
    <cellStyle name="Percent 2 2 3" xfId="2326"/>
    <cellStyle name="Percent 2 2 3 10" xfId="13574"/>
    <cellStyle name="Percent 2 2 3 11" xfId="15326"/>
    <cellStyle name="Percent 2 2 3 12" xfId="17079"/>
    <cellStyle name="Percent 2 2 3 13" xfId="18831"/>
    <cellStyle name="Percent 2 2 3 14" xfId="20584"/>
    <cellStyle name="Percent 2 2 3 15" xfId="22336"/>
    <cellStyle name="Percent 2 2 3 16" xfId="24088"/>
    <cellStyle name="Percent 2 2 3 17" xfId="25840"/>
    <cellStyle name="Percent 2 2 3 18" xfId="27592"/>
    <cellStyle name="Percent 2 2 3 19" xfId="29345"/>
    <cellStyle name="Percent 2 2 3 2" xfId="2327"/>
    <cellStyle name="Percent 2 2 3 2 10" xfId="15762"/>
    <cellStyle name="Percent 2 2 3 2 11" xfId="17515"/>
    <cellStyle name="Percent 2 2 3 2 12" xfId="19267"/>
    <cellStyle name="Percent 2 2 3 2 13" xfId="21020"/>
    <cellStyle name="Percent 2 2 3 2 14" xfId="22772"/>
    <cellStyle name="Percent 2 2 3 2 15" xfId="24524"/>
    <cellStyle name="Percent 2 2 3 2 16" xfId="26276"/>
    <cellStyle name="Percent 2 2 3 2 17" xfId="28028"/>
    <cellStyle name="Percent 2 2 3 2 18" xfId="29781"/>
    <cellStyle name="Percent 2 2 3 2 19" xfId="31533"/>
    <cellStyle name="Percent 2 2 3 2 2" xfId="2328"/>
    <cellStyle name="Percent 2 2 3 2 2 10" xfId="18391"/>
    <cellStyle name="Percent 2 2 3 2 2 11" xfId="20143"/>
    <cellStyle name="Percent 2 2 3 2 2 12" xfId="21896"/>
    <cellStyle name="Percent 2 2 3 2 2 13" xfId="23648"/>
    <cellStyle name="Percent 2 2 3 2 2 14" xfId="25400"/>
    <cellStyle name="Percent 2 2 3 2 2 15" xfId="27152"/>
    <cellStyle name="Percent 2 2 3 2 2 16" xfId="28904"/>
    <cellStyle name="Percent 2 2 3 2 2 17" xfId="30657"/>
    <cellStyle name="Percent 2 2 3 2 2 18" xfId="32409"/>
    <cellStyle name="Percent 2 2 3 2 2 19" xfId="34162"/>
    <cellStyle name="Percent 2 2 3 2 2 2" xfId="4373"/>
    <cellStyle name="Percent 2 2 3 2 2 20" xfId="36798"/>
    <cellStyle name="Percent 2 2 3 2 2 21" xfId="38538"/>
    <cellStyle name="Percent 2 2 3 2 2 22" xfId="40291"/>
    <cellStyle name="Percent 2 2 3 2 2 23" xfId="42046"/>
    <cellStyle name="Percent 2 2 3 2 2 24" xfId="43798"/>
    <cellStyle name="Percent 2 2 3 2 2 25" xfId="46416"/>
    <cellStyle name="Percent 2 2 3 2 2 26" xfId="48168"/>
    <cellStyle name="Percent 2 2 3 2 2 27" xfId="49920"/>
    <cellStyle name="Percent 2 2 3 2 2 28" xfId="51672"/>
    <cellStyle name="Percent 2 2 3 2 2 29" xfId="53424"/>
    <cellStyle name="Percent 2 2 3 2 2 3" xfId="6125"/>
    <cellStyle name="Percent 2 2 3 2 2 30" xfId="55176"/>
    <cellStyle name="Percent 2 2 3 2 2 31" xfId="56928"/>
    <cellStyle name="Percent 2 2 3 2 2 32" xfId="58681"/>
    <cellStyle name="Percent 2 2 3 2 2 33" xfId="60433"/>
    <cellStyle name="Percent 2 2 3 2 2 34" xfId="62185"/>
    <cellStyle name="Percent 2 2 3 2 2 4" xfId="7877"/>
    <cellStyle name="Percent 2 2 3 2 2 5" xfId="9629"/>
    <cellStyle name="Percent 2 2 3 2 2 6" xfId="11382"/>
    <cellStyle name="Percent 2 2 3 2 2 7" xfId="13134"/>
    <cellStyle name="Percent 2 2 3 2 2 8" xfId="14886"/>
    <cellStyle name="Percent 2 2 3 2 2 9" xfId="16638"/>
    <cellStyle name="Percent 2 2 3 2 20" xfId="33286"/>
    <cellStyle name="Percent 2 2 3 2 21" xfId="35033"/>
    <cellStyle name="Percent 2 2 3 2 22" xfId="35922"/>
    <cellStyle name="Percent 2 2 3 2 23" xfId="37658"/>
    <cellStyle name="Percent 2 2 3 2 24" xfId="39415"/>
    <cellStyle name="Percent 2 2 3 2 25" xfId="41170"/>
    <cellStyle name="Percent 2 2 3 2 26" xfId="42922"/>
    <cellStyle name="Percent 2 2 3 2 27" xfId="44654"/>
    <cellStyle name="Percent 2 2 3 2 28" xfId="45540"/>
    <cellStyle name="Percent 2 2 3 2 29" xfId="47292"/>
    <cellStyle name="Percent 2 2 3 2 3" xfId="3497"/>
    <cellStyle name="Percent 2 2 3 2 30" xfId="49044"/>
    <cellStyle name="Percent 2 2 3 2 31" xfId="50796"/>
    <cellStyle name="Percent 2 2 3 2 32" xfId="52548"/>
    <cellStyle name="Percent 2 2 3 2 33" xfId="54300"/>
    <cellStyle name="Percent 2 2 3 2 34" xfId="56052"/>
    <cellStyle name="Percent 2 2 3 2 35" xfId="57805"/>
    <cellStyle name="Percent 2 2 3 2 36" xfId="59557"/>
    <cellStyle name="Percent 2 2 3 2 37" xfId="61309"/>
    <cellStyle name="Percent 2 2 3 2 38" xfId="63041"/>
    <cellStyle name="Percent 2 2 3 2 39" xfId="63907"/>
    <cellStyle name="Percent 2 2 3 2 4" xfId="5249"/>
    <cellStyle name="Percent 2 2 3 2 5" xfId="7001"/>
    <cellStyle name="Percent 2 2 3 2 6" xfId="8753"/>
    <cellStyle name="Percent 2 2 3 2 7" xfId="10506"/>
    <cellStyle name="Percent 2 2 3 2 8" xfId="12258"/>
    <cellStyle name="Percent 2 2 3 2 9" xfId="14010"/>
    <cellStyle name="Percent 2 2 3 20" xfId="31097"/>
    <cellStyle name="Percent 2 2 3 21" xfId="32850"/>
    <cellStyle name="Percent 2 2 3 22" xfId="35032"/>
    <cellStyle name="Percent 2 2 3 23" xfId="35486"/>
    <cellStyle name="Percent 2 2 3 24" xfId="37657"/>
    <cellStyle name="Percent 2 2 3 25" xfId="38979"/>
    <cellStyle name="Percent 2 2 3 26" xfId="40734"/>
    <cellStyle name="Percent 2 2 3 27" xfId="42486"/>
    <cellStyle name="Percent 2 2 3 28" xfId="44653"/>
    <cellStyle name="Percent 2 2 3 29" xfId="45104"/>
    <cellStyle name="Percent 2 2 3 3" xfId="2329"/>
    <cellStyle name="Percent 2 2 3 3 10" xfId="17955"/>
    <cellStyle name="Percent 2 2 3 3 11" xfId="19707"/>
    <cellStyle name="Percent 2 2 3 3 12" xfId="21460"/>
    <cellStyle name="Percent 2 2 3 3 13" xfId="23212"/>
    <cellStyle name="Percent 2 2 3 3 14" xfId="24964"/>
    <cellStyle name="Percent 2 2 3 3 15" xfId="26716"/>
    <cellStyle name="Percent 2 2 3 3 16" xfId="28468"/>
    <cellStyle name="Percent 2 2 3 3 17" xfId="30221"/>
    <cellStyle name="Percent 2 2 3 3 18" xfId="31973"/>
    <cellStyle name="Percent 2 2 3 3 19" xfId="33726"/>
    <cellStyle name="Percent 2 2 3 3 2" xfId="3937"/>
    <cellStyle name="Percent 2 2 3 3 20" xfId="36362"/>
    <cellStyle name="Percent 2 2 3 3 21" xfId="38102"/>
    <cellStyle name="Percent 2 2 3 3 22" xfId="39855"/>
    <cellStyle name="Percent 2 2 3 3 23" xfId="41610"/>
    <cellStyle name="Percent 2 2 3 3 24" xfId="43362"/>
    <cellStyle name="Percent 2 2 3 3 25" xfId="45980"/>
    <cellStyle name="Percent 2 2 3 3 26" xfId="47732"/>
    <cellStyle name="Percent 2 2 3 3 27" xfId="49484"/>
    <cellStyle name="Percent 2 2 3 3 28" xfId="51236"/>
    <cellStyle name="Percent 2 2 3 3 29" xfId="52988"/>
    <cellStyle name="Percent 2 2 3 3 3" xfId="5689"/>
    <cellStyle name="Percent 2 2 3 3 30" xfId="54740"/>
    <cellStyle name="Percent 2 2 3 3 31" xfId="56492"/>
    <cellStyle name="Percent 2 2 3 3 32" xfId="58245"/>
    <cellStyle name="Percent 2 2 3 3 33" xfId="59997"/>
    <cellStyle name="Percent 2 2 3 3 34" xfId="61749"/>
    <cellStyle name="Percent 2 2 3 3 4" xfId="7441"/>
    <cellStyle name="Percent 2 2 3 3 5" xfId="9193"/>
    <cellStyle name="Percent 2 2 3 3 6" xfId="10946"/>
    <cellStyle name="Percent 2 2 3 3 7" xfId="12698"/>
    <cellStyle name="Percent 2 2 3 3 8" xfId="14450"/>
    <cellStyle name="Percent 2 2 3 3 9" xfId="16202"/>
    <cellStyle name="Percent 2 2 3 30" xfId="46856"/>
    <cellStyle name="Percent 2 2 3 31" xfId="48608"/>
    <cellStyle name="Percent 2 2 3 32" xfId="50360"/>
    <cellStyle name="Percent 2 2 3 33" xfId="52112"/>
    <cellStyle name="Percent 2 2 3 34" xfId="53864"/>
    <cellStyle name="Percent 2 2 3 35" xfId="55616"/>
    <cellStyle name="Percent 2 2 3 36" xfId="57369"/>
    <cellStyle name="Percent 2 2 3 37" xfId="59121"/>
    <cellStyle name="Percent 2 2 3 38" xfId="60873"/>
    <cellStyle name="Percent 2 2 3 39" xfId="63040"/>
    <cellStyle name="Percent 2 2 3 4" xfId="3061"/>
    <cellStyle name="Percent 2 2 3 40" xfId="63906"/>
    <cellStyle name="Percent 2 2 3 5" xfId="4813"/>
    <cellStyle name="Percent 2 2 3 6" xfId="6565"/>
    <cellStyle name="Percent 2 2 3 7" xfId="8317"/>
    <cellStyle name="Percent 2 2 3 8" xfId="10070"/>
    <cellStyle name="Percent 2 2 3 9" xfId="11822"/>
    <cellStyle name="Percent 2 2 30" xfId="44648"/>
    <cellStyle name="Percent 2 2 31" xfId="44762"/>
    <cellStyle name="Percent 2 2 32" xfId="46514"/>
    <cellStyle name="Percent 2 2 33" xfId="48266"/>
    <cellStyle name="Percent 2 2 34" xfId="50018"/>
    <cellStyle name="Percent 2 2 35" xfId="51770"/>
    <cellStyle name="Percent 2 2 36" xfId="53522"/>
    <cellStyle name="Percent 2 2 37" xfId="55274"/>
    <cellStyle name="Percent 2 2 38" xfId="57027"/>
    <cellStyle name="Percent 2 2 39" xfId="58779"/>
    <cellStyle name="Percent 2 2 4" xfId="2330"/>
    <cellStyle name="Percent 2 2 4 10" xfId="15420"/>
    <cellStyle name="Percent 2 2 4 11" xfId="17173"/>
    <cellStyle name="Percent 2 2 4 12" xfId="18925"/>
    <cellStyle name="Percent 2 2 4 13" xfId="20678"/>
    <cellStyle name="Percent 2 2 4 14" xfId="22430"/>
    <cellStyle name="Percent 2 2 4 15" xfId="24182"/>
    <cellStyle name="Percent 2 2 4 16" xfId="25934"/>
    <cellStyle name="Percent 2 2 4 17" xfId="27686"/>
    <cellStyle name="Percent 2 2 4 18" xfId="29439"/>
    <cellStyle name="Percent 2 2 4 19" xfId="31191"/>
    <cellStyle name="Percent 2 2 4 2" xfId="2331"/>
    <cellStyle name="Percent 2 2 4 2 10" xfId="18049"/>
    <cellStyle name="Percent 2 2 4 2 11" xfId="19801"/>
    <cellStyle name="Percent 2 2 4 2 12" xfId="21554"/>
    <cellStyle name="Percent 2 2 4 2 13" xfId="23306"/>
    <cellStyle name="Percent 2 2 4 2 14" xfId="25058"/>
    <cellStyle name="Percent 2 2 4 2 15" xfId="26810"/>
    <cellStyle name="Percent 2 2 4 2 16" xfId="28562"/>
    <cellStyle name="Percent 2 2 4 2 17" xfId="30315"/>
    <cellStyle name="Percent 2 2 4 2 18" xfId="32067"/>
    <cellStyle name="Percent 2 2 4 2 19" xfId="33820"/>
    <cellStyle name="Percent 2 2 4 2 2" xfId="4031"/>
    <cellStyle name="Percent 2 2 4 2 20" xfId="36456"/>
    <cellStyle name="Percent 2 2 4 2 21" xfId="38196"/>
    <cellStyle name="Percent 2 2 4 2 22" xfId="39949"/>
    <cellStyle name="Percent 2 2 4 2 23" xfId="41704"/>
    <cellStyle name="Percent 2 2 4 2 24" xfId="43456"/>
    <cellStyle name="Percent 2 2 4 2 25" xfId="46074"/>
    <cellStyle name="Percent 2 2 4 2 26" xfId="47826"/>
    <cellStyle name="Percent 2 2 4 2 27" xfId="49578"/>
    <cellStyle name="Percent 2 2 4 2 28" xfId="51330"/>
    <cellStyle name="Percent 2 2 4 2 29" xfId="53082"/>
    <cellStyle name="Percent 2 2 4 2 3" xfId="5783"/>
    <cellStyle name="Percent 2 2 4 2 30" xfId="54834"/>
    <cellStyle name="Percent 2 2 4 2 31" xfId="56586"/>
    <cellStyle name="Percent 2 2 4 2 32" xfId="58339"/>
    <cellStyle name="Percent 2 2 4 2 33" xfId="60091"/>
    <cellStyle name="Percent 2 2 4 2 34" xfId="61843"/>
    <cellStyle name="Percent 2 2 4 2 4" xfId="7535"/>
    <cellStyle name="Percent 2 2 4 2 5" xfId="9287"/>
    <cellStyle name="Percent 2 2 4 2 6" xfId="11040"/>
    <cellStyle name="Percent 2 2 4 2 7" xfId="12792"/>
    <cellStyle name="Percent 2 2 4 2 8" xfId="14544"/>
    <cellStyle name="Percent 2 2 4 2 9" xfId="16296"/>
    <cellStyle name="Percent 2 2 4 20" xfId="32944"/>
    <cellStyle name="Percent 2 2 4 21" xfId="35034"/>
    <cellStyle name="Percent 2 2 4 22" xfId="35580"/>
    <cellStyle name="Percent 2 2 4 23" xfId="37659"/>
    <cellStyle name="Percent 2 2 4 24" xfId="39073"/>
    <cellStyle name="Percent 2 2 4 25" xfId="40828"/>
    <cellStyle name="Percent 2 2 4 26" xfId="42580"/>
    <cellStyle name="Percent 2 2 4 27" xfId="44655"/>
    <cellStyle name="Percent 2 2 4 28" xfId="45198"/>
    <cellStyle name="Percent 2 2 4 29" xfId="46950"/>
    <cellStyle name="Percent 2 2 4 3" xfId="3155"/>
    <cellStyle name="Percent 2 2 4 30" xfId="48702"/>
    <cellStyle name="Percent 2 2 4 31" xfId="50454"/>
    <cellStyle name="Percent 2 2 4 32" xfId="52206"/>
    <cellStyle name="Percent 2 2 4 33" xfId="53958"/>
    <cellStyle name="Percent 2 2 4 34" xfId="55710"/>
    <cellStyle name="Percent 2 2 4 35" xfId="57463"/>
    <cellStyle name="Percent 2 2 4 36" xfId="59215"/>
    <cellStyle name="Percent 2 2 4 37" xfId="60967"/>
    <cellStyle name="Percent 2 2 4 38" xfId="63042"/>
    <cellStyle name="Percent 2 2 4 39" xfId="63908"/>
    <cellStyle name="Percent 2 2 4 4" xfId="4907"/>
    <cellStyle name="Percent 2 2 4 5" xfId="6659"/>
    <cellStyle name="Percent 2 2 4 6" xfId="8411"/>
    <cellStyle name="Percent 2 2 4 7" xfId="10164"/>
    <cellStyle name="Percent 2 2 4 8" xfId="11916"/>
    <cellStyle name="Percent 2 2 4 9" xfId="13668"/>
    <cellStyle name="Percent 2 2 40" xfId="60531"/>
    <cellStyle name="Percent 2 2 41" xfId="63035"/>
    <cellStyle name="Percent 2 2 42" xfId="63901"/>
    <cellStyle name="Percent 2 2 5" xfId="2332"/>
    <cellStyle name="Percent 2 2 5 10" xfId="17613"/>
    <cellStyle name="Percent 2 2 5 11" xfId="19365"/>
    <cellStyle name="Percent 2 2 5 12" xfId="21118"/>
    <cellStyle name="Percent 2 2 5 13" xfId="22870"/>
    <cellStyle name="Percent 2 2 5 14" xfId="24622"/>
    <cellStyle name="Percent 2 2 5 15" xfId="26374"/>
    <cellStyle name="Percent 2 2 5 16" xfId="28126"/>
    <cellStyle name="Percent 2 2 5 17" xfId="29879"/>
    <cellStyle name="Percent 2 2 5 18" xfId="31631"/>
    <cellStyle name="Percent 2 2 5 19" xfId="33384"/>
    <cellStyle name="Percent 2 2 5 2" xfId="3595"/>
    <cellStyle name="Percent 2 2 5 20" xfId="36020"/>
    <cellStyle name="Percent 2 2 5 21" xfId="37760"/>
    <cellStyle name="Percent 2 2 5 22" xfId="39513"/>
    <cellStyle name="Percent 2 2 5 23" xfId="41268"/>
    <cellStyle name="Percent 2 2 5 24" xfId="43020"/>
    <cellStyle name="Percent 2 2 5 25" xfId="45638"/>
    <cellStyle name="Percent 2 2 5 26" xfId="47390"/>
    <cellStyle name="Percent 2 2 5 27" xfId="49142"/>
    <cellStyle name="Percent 2 2 5 28" xfId="50894"/>
    <cellStyle name="Percent 2 2 5 29" xfId="52646"/>
    <cellStyle name="Percent 2 2 5 3" xfId="5347"/>
    <cellStyle name="Percent 2 2 5 30" xfId="54398"/>
    <cellStyle name="Percent 2 2 5 31" xfId="56150"/>
    <cellStyle name="Percent 2 2 5 32" xfId="57903"/>
    <cellStyle name="Percent 2 2 5 33" xfId="59655"/>
    <cellStyle name="Percent 2 2 5 34" xfId="61407"/>
    <cellStyle name="Percent 2 2 5 4" xfId="7099"/>
    <cellStyle name="Percent 2 2 5 5" xfId="8851"/>
    <cellStyle name="Percent 2 2 5 6" xfId="10604"/>
    <cellStyle name="Percent 2 2 5 7" xfId="12356"/>
    <cellStyle name="Percent 2 2 5 8" xfId="14108"/>
    <cellStyle name="Percent 2 2 5 9" xfId="15860"/>
    <cellStyle name="Percent 2 2 6" xfId="2719"/>
    <cellStyle name="Percent 2 2 7" xfId="4471"/>
    <cellStyle name="Percent 2 2 8" xfId="6223"/>
    <cellStyle name="Percent 2 2 9" xfId="7975"/>
    <cellStyle name="Percent 2 20" xfId="23691"/>
    <cellStyle name="Percent 2 21" xfId="25443"/>
    <cellStyle name="Percent 2 22" xfId="27195"/>
    <cellStyle name="Percent 2 23" xfId="28948"/>
    <cellStyle name="Percent 2 24" xfId="30700"/>
    <cellStyle name="Percent 2 25" xfId="32453"/>
    <cellStyle name="Percent 2 26" xfId="35089"/>
    <cellStyle name="Percent 2 27" xfId="38582"/>
    <cellStyle name="Percent 2 28" xfId="40337"/>
    <cellStyle name="Percent 2 29" xfId="42089"/>
    <cellStyle name="Percent 2 3" xfId="2333"/>
    <cellStyle name="Percent 2 3 10" xfId="11533"/>
    <cellStyle name="Percent 2 3 11" xfId="13285"/>
    <cellStyle name="Percent 2 3 12" xfId="15037"/>
    <cellStyle name="Percent 2 3 13" xfId="16790"/>
    <cellStyle name="Percent 2 3 14" xfId="18542"/>
    <cellStyle name="Percent 2 3 15" xfId="20295"/>
    <cellStyle name="Percent 2 3 16" xfId="22047"/>
    <cellStyle name="Percent 2 3 17" xfId="23799"/>
    <cellStyle name="Percent 2 3 18" xfId="25551"/>
    <cellStyle name="Percent 2 3 19" xfId="27303"/>
    <cellStyle name="Percent 2 3 2" xfId="2334"/>
    <cellStyle name="Percent 2 3 2 10" xfId="13575"/>
    <cellStyle name="Percent 2 3 2 11" xfId="15327"/>
    <cellStyle name="Percent 2 3 2 12" xfId="17080"/>
    <cellStyle name="Percent 2 3 2 13" xfId="18832"/>
    <cellStyle name="Percent 2 3 2 14" xfId="20585"/>
    <cellStyle name="Percent 2 3 2 15" xfId="22337"/>
    <cellStyle name="Percent 2 3 2 16" xfId="24089"/>
    <cellStyle name="Percent 2 3 2 17" xfId="25841"/>
    <cellStyle name="Percent 2 3 2 18" xfId="27593"/>
    <cellStyle name="Percent 2 3 2 19" xfId="29346"/>
    <cellStyle name="Percent 2 3 2 2" xfId="2335"/>
    <cellStyle name="Percent 2 3 2 2 10" xfId="15763"/>
    <cellStyle name="Percent 2 3 2 2 11" xfId="17516"/>
    <cellStyle name="Percent 2 3 2 2 12" xfId="19268"/>
    <cellStyle name="Percent 2 3 2 2 13" xfId="21021"/>
    <cellStyle name="Percent 2 3 2 2 14" xfId="22773"/>
    <cellStyle name="Percent 2 3 2 2 15" xfId="24525"/>
    <cellStyle name="Percent 2 3 2 2 16" xfId="26277"/>
    <cellStyle name="Percent 2 3 2 2 17" xfId="28029"/>
    <cellStyle name="Percent 2 3 2 2 18" xfId="29782"/>
    <cellStyle name="Percent 2 3 2 2 19" xfId="31534"/>
    <cellStyle name="Percent 2 3 2 2 2" xfId="2336"/>
    <cellStyle name="Percent 2 3 2 2 2 10" xfId="18392"/>
    <cellStyle name="Percent 2 3 2 2 2 11" xfId="20144"/>
    <cellStyle name="Percent 2 3 2 2 2 12" xfId="21897"/>
    <cellStyle name="Percent 2 3 2 2 2 13" xfId="23649"/>
    <cellStyle name="Percent 2 3 2 2 2 14" xfId="25401"/>
    <cellStyle name="Percent 2 3 2 2 2 15" xfId="27153"/>
    <cellStyle name="Percent 2 3 2 2 2 16" xfId="28905"/>
    <cellStyle name="Percent 2 3 2 2 2 17" xfId="30658"/>
    <cellStyle name="Percent 2 3 2 2 2 18" xfId="32410"/>
    <cellStyle name="Percent 2 3 2 2 2 19" xfId="34163"/>
    <cellStyle name="Percent 2 3 2 2 2 2" xfId="4374"/>
    <cellStyle name="Percent 2 3 2 2 2 20" xfId="36799"/>
    <cellStyle name="Percent 2 3 2 2 2 21" xfId="38539"/>
    <cellStyle name="Percent 2 3 2 2 2 22" xfId="40292"/>
    <cellStyle name="Percent 2 3 2 2 2 23" xfId="42047"/>
    <cellStyle name="Percent 2 3 2 2 2 24" xfId="43799"/>
    <cellStyle name="Percent 2 3 2 2 2 25" xfId="46417"/>
    <cellStyle name="Percent 2 3 2 2 2 26" xfId="48169"/>
    <cellStyle name="Percent 2 3 2 2 2 27" xfId="49921"/>
    <cellStyle name="Percent 2 3 2 2 2 28" xfId="51673"/>
    <cellStyle name="Percent 2 3 2 2 2 29" xfId="53425"/>
    <cellStyle name="Percent 2 3 2 2 2 3" xfId="6126"/>
    <cellStyle name="Percent 2 3 2 2 2 30" xfId="55177"/>
    <cellStyle name="Percent 2 3 2 2 2 31" xfId="56929"/>
    <cellStyle name="Percent 2 3 2 2 2 32" xfId="58682"/>
    <cellStyle name="Percent 2 3 2 2 2 33" xfId="60434"/>
    <cellStyle name="Percent 2 3 2 2 2 34" xfId="62186"/>
    <cellStyle name="Percent 2 3 2 2 2 4" xfId="7878"/>
    <cellStyle name="Percent 2 3 2 2 2 5" xfId="9630"/>
    <cellStyle name="Percent 2 3 2 2 2 6" xfId="11383"/>
    <cellStyle name="Percent 2 3 2 2 2 7" xfId="13135"/>
    <cellStyle name="Percent 2 3 2 2 2 8" xfId="14887"/>
    <cellStyle name="Percent 2 3 2 2 2 9" xfId="16639"/>
    <cellStyle name="Percent 2 3 2 2 20" xfId="33287"/>
    <cellStyle name="Percent 2 3 2 2 21" xfId="35037"/>
    <cellStyle name="Percent 2 3 2 2 22" xfId="35923"/>
    <cellStyle name="Percent 2 3 2 2 23" xfId="37662"/>
    <cellStyle name="Percent 2 3 2 2 24" xfId="39416"/>
    <cellStyle name="Percent 2 3 2 2 25" xfId="41171"/>
    <cellStyle name="Percent 2 3 2 2 26" xfId="42923"/>
    <cellStyle name="Percent 2 3 2 2 27" xfId="44658"/>
    <cellStyle name="Percent 2 3 2 2 28" xfId="45541"/>
    <cellStyle name="Percent 2 3 2 2 29" xfId="47293"/>
    <cellStyle name="Percent 2 3 2 2 3" xfId="3498"/>
    <cellStyle name="Percent 2 3 2 2 30" xfId="49045"/>
    <cellStyle name="Percent 2 3 2 2 31" xfId="50797"/>
    <cellStyle name="Percent 2 3 2 2 32" xfId="52549"/>
    <cellStyle name="Percent 2 3 2 2 33" xfId="54301"/>
    <cellStyle name="Percent 2 3 2 2 34" xfId="56053"/>
    <cellStyle name="Percent 2 3 2 2 35" xfId="57806"/>
    <cellStyle name="Percent 2 3 2 2 36" xfId="59558"/>
    <cellStyle name="Percent 2 3 2 2 37" xfId="61310"/>
    <cellStyle name="Percent 2 3 2 2 38" xfId="63045"/>
    <cellStyle name="Percent 2 3 2 2 39" xfId="63911"/>
    <cellStyle name="Percent 2 3 2 2 4" xfId="5250"/>
    <cellStyle name="Percent 2 3 2 2 5" xfId="7002"/>
    <cellStyle name="Percent 2 3 2 2 6" xfId="8754"/>
    <cellStyle name="Percent 2 3 2 2 7" xfId="10507"/>
    <cellStyle name="Percent 2 3 2 2 8" xfId="12259"/>
    <cellStyle name="Percent 2 3 2 2 9" xfId="14011"/>
    <cellStyle name="Percent 2 3 2 20" xfId="31098"/>
    <cellStyle name="Percent 2 3 2 21" xfId="32851"/>
    <cellStyle name="Percent 2 3 2 22" xfId="35036"/>
    <cellStyle name="Percent 2 3 2 23" xfId="35487"/>
    <cellStyle name="Percent 2 3 2 24" xfId="37661"/>
    <cellStyle name="Percent 2 3 2 25" xfId="38980"/>
    <cellStyle name="Percent 2 3 2 26" xfId="40735"/>
    <cellStyle name="Percent 2 3 2 27" xfId="42487"/>
    <cellStyle name="Percent 2 3 2 28" xfId="44657"/>
    <cellStyle name="Percent 2 3 2 29" xfId="45105"/>
    <cellStyle name="Percent 2 3 2 3" xfId="2337"/>
    <cellStyle name="Percent 2 3 2 3 10" xfId="17956"/>
    <cellStyle name="Percent 2 3 2 3 11" xfId="19708"/>
    <cellStyle name="Percent 2 3 2 3 12" xfId="21461"/>
    <cellStyle name="Percent 2 3 2 3 13" xfId="23213"/>
    <cellStyle name="Percent 2 3 2 3 14" xfId="24965"/>
    <cellStyle name="Percent 2 3 2 3 15" xfId="26717"/>
    <cellStyle name="Percent 2 3 2 3 16" xfId="28469"/>
    <cellStyle name="Percent 2 3 2 3 17" xfId="30222"/>
    <cellStyle name="Percent 2 3 2 3 18" xfId="31974"/>
    <cellStyle name="Percent 2 3 2 3 19" xfId="33727"/>
    <cellStyle name="Percent 2 3 2 3 2" xfId="3938"/>
    <cellStyle name="Percent 2 3 2 3 20" xfId="36363"/>
    <cellStyle name="Percent 2 3 2 3 21" xfId="38103"/>
    <cellStyle name="Percent 2 3 2 3 22" xfId="39856"/>
    <cellStyle name="Percent 2 3 2 3 23" xfId="41611"/>
    <cellStyle name="Percent 2 3 2 3 24" xfId="43363"/>
    <cellStyle name="Percent 2 3 2 3 25" xfId="45981"/>
    <cellStyle name="Percent 2 3 2 3 26" xfId="47733"/>
    <cellStyle name="Percent 2 3 2 3 27" xfId="49485"/>
    <cellStyle name="Percent 2 3 2 3 28" xfId="51237"/>
    <cellStyle name="Percent 2 3 2 3 29" xfId="52989"/>
    <cellStyle name="Percent 2 3 2 3 3" xfId="5690"/>
    <cellStyle name="Percent 2 3 2 3 30" xfId="54741"/>
    <cellStyle name="Percent 2 3 2 3 31" xfId="56493"/>
    <cellStyle name="Percent 2 3 2 3 32" xfId="58246"/>
    <cellStyle name="Percent 2 3 2 3 33" xfId="59998"/>
    <cellStyle name="Percent 2 3 2 3 34" xfId="61750"/>
    <cellStyle name="Percent 2 3 2 3 4" xfId="7442"/>
    <cellStyle name="Percent 2 3 2 3 5" xfId="9194"/>
    <cellStyle name="Percent 2 3 2 3 6" xfId="10947"/>
    <cellStyle name="Percent 2 3 2 3 7" xfId="12699"/>
    <cellStyle name="Percent 2 3 2 3 8" xfId="14451"/>
    <cellStyle name="Percent 2 3 2 3 9" xfId="16203"/>
    <cellStyle name="Percent 2 3 2 30" xfId="46857"/>
    <cellStyle name="Percent 2 3 2 31" xfId="48609"/>
    <cellStyle name="Percent 2 3 2 32" xfId="50361"/>
    <cellStyle name="Percent 2 3 2 33" xfId="52113"/>
    <cellStyle name="Percent 2 3 2 34" xfId="53865"/>
    <cellStyle name="Percent 2 3 2 35" xfId="55617"/>
    <cellStyle name="Percent 2 3 2 36" xfId="57370"/>
    <cellStyle name="Percent 2 3 2 37" xfId="59122"/>
    <cellStyle name="Percent 2 3 2 38" xfId="60874"/>
    <cellStyle name="Percent 2 3 2 39" xfId="63044"/>
    <cellStyle name="Percent 2 3 2 4" xfId="3062"/>
    <cellStyle name="Percent 2 3 2 40" xfId="63910"/>
    <cellStyle name="Percent 2 3 2 5" xfId="4814"/>
    <cellStyle name="Percent 2 3 2 6" xfId="6566"/>
    <cellStyle name="Percent 2 3 2 7" xfId="8318"/>
    <cellStyle name="Percent 2 3 2 8" xfId="10071"/>
    <cellStyle name="Percent 2 3 2 9" xfId="11823"/>
    <cellStyle name="Percent 2 3 20" xfId="29056"/>
    <cellStyle name="Percent 2 3 21" xfId="30808"/>
    <cellStyle name="Percent 2 3 22" xfId="32561"/>
    <cellStyle name="Percent 2 3 23" xfId="35035"/>
    <cellStyle name="Percent 2 3 24" xfId="35197"/>
    <cellStyle name="Percent 2 3 25" xfId="37660"/>
    <cellStyle name="Percent 2 3 26" xfId="38690"/>
    <cellStyle name="Percent 2 3 27" xfId="40445"/>
    <cellStyle name="Percent 2 3 28" xfId="42197"/>
    <cellStyle name="Percent 2 3 29" xfId="44656"/>
    <cellStyle name="Percent 2 3 3" xfId="2338"/>
    <cellStyle name="Percent 2 3 3 10" xfId="15473"/>
    <cellStyle name="Percent 2 3 3 11" xfId="17226"/>
    <cellStyle name="Percent 2 3 3 12" xfId="18978"/>
    <cellStyle name="Percent 2 3 3 13" xfId="20731"/>
    <cellStyle name="Percent 2 3 3 14" xfId="22483"/>
    <cellStyle name="Percent 2 3 3 15" xfId="24235"/>
    <cellStyle name="Percent 2 3 3 16" xfId="25987"/>
    <cellStyle name="Percent 2 3 3 17" xfId="27739"/>
    <cellStyle name="Percent 2 3 3 18" xfId="29492"/>
    <cellStyle name="Percent 2 3 3 19" xfId="31244"/>
    <cellStyle name="Percent 2 3 3 2" xfId="2339"/>
    <cellStyle name="Percent 2 3 3 2 10" xfId="18102"/>
    <cellStyle name="Percent 2 3 3 2 11" xfId="19854"/>
    <cellStyle name="Percent 2 3 3 2 12" xfId="21607"/>
    <cellStyle name="Percent 2 3 3 2 13" xfId="23359"/>
    <cellStyle name="Percent 2 3 3 2 14" xfId="25111"/>
    <cellStyle name="Percent 2 3 3 2 15" xfId="26863"/>
    <cellStyle name="Percent 2 3 3 2 16" xfId="28615"/>
    <cellStyle name="Percent 2 3 3 2 17" xfId="30368"/>
    <cellStyle name="Percent 2 3 3 2 18" xfId="32120"/>
    <cellStyle name="Percent 2 3 3 2 19" xfId="33873"/>
    <cellStyle name="Percent 2 3 3 2 2" xfId="4084"/>
    <cellStyle name="Percent 2 3 3 2 20" xfId="36509"/>
    <cellStyle name="Percent 2 3 3 2 21" xfId="38249"/>
    <cellStyle name="Percent 2 3 3 2 22" xfId="40002"/>
    <cellStyle name="Percent 2 3 3 2 23" xfId="41757"/>
    <cellStyle name="Percent 2 3 3 2 24" xfId="43509"/>
    <cellStyle name="Percent 2 3 3 2 25" xfId="46127"/>
    <cellStyle name="Percent 2 3 3 2 26" xfId="47879"/>
    <cellStyle name="Percent 2 3 3 2 27" xfId="49631"/>
    <cellStyle name="Percent 2 3 3 2 28" xfId="51383"/>
    <cellStyle name="Percent 2 3 3 2 29" xfId="53135"/>
    <cellStyle name="Percent 2 3 3 2 3" xfId="5836"/>
    <cellStyle name="Percent 2 3 3 2 30" xfId="54887"/>
    <cellStyle name="Percent 2 3 3 2 31" xfId="56639"/>
    <cellStyle name="Percent 2 3 3 2 32" xfId="58392"/>
    <cellStyle name="Percent 2 3 3 2 33" xfId="60144"/>
    <cellStyle name="Percent 2 3 3 2 34" xfId="61896"/>
    <cellStyle name="Percent 2 3 3 2 4" xfId="7588"/>
    <cellStyle name="Percent 2 3 3 2 5" xfId="9340"/>
    <cellStyle name="Percent 2 3 3 2 6" xfId="11093"/>
    <cellStyle name="Percent 2 3 3 2 7" xfId="12845"/>
    <cellStyle name="Percent 2 3 3 2 8" xfId="14597"/>
    <cellStyle name="Percent 2 3 3 2 9" xfId="16349"/>
    <cellStyle name="Percent 2 3 3 20" xfId="32997"/>
    <cellStyle name="Percent 2 3 3 21" xfId="35038"/>
    <cellStyle name="Percent 2 3 3 22" xfId="35633"/>
    <cellStyle name="Percent 2 3 3 23" xfId="37663"/>
    <cellStyle name="Percent 2 3 3 24" xfId="39126"/>
    <cellStyle name="Percent 2 3 3 25" xfId="40881"/>
    <cellStyle name="Percent 2 3 3 26" xfId="42633"/>
    <cellStyle name="Percent 2 3 3 27" xfId="44659"/>
    <cellStyle name="Percent 2 3 3 28" xfId="45251"/>
    <cellStyle name="Percent 2 3 3 29" xfId="47003"/>
    <cellStyle name="Percent 2 3 3 3" xfId="3208"/>
    <cellStyle name="Percent 2 3 3 30" xfId="48755"/>
    <cellStyle name="Percent 2 3 3 31" xfId="50507"/>
    <cellStyle name="Percent 2 3 3 32" xfId="52259"/>
    <cellStyle name="Percent 2 3 3 33" xfId="54011"/>
    <cellStyle name="Percent 2 3 3 34" xfId="55763"/>
    <cellStyle name="Percent 2 3 3 35" xfId="57516"/>
    <cellStyle name="Percent 2 3 3 36" xfId="59268"/>
    <cellStyle name="Percent 2 3 3 37" xfId="61020"/>
    <cellStyle name="Percent 2 3 3 38" xfId="63046"/>
    <cellStyle name="Percent 2 3 3 39" xfId="63912"/>
    <cellStyle name="Percent 2 3 3 4" xfId="4960"/>
    <cellStyle name="Percent 2 3 3 5" xfId="6712"/>
    <cellStyle name="Percent 2 3 3 6" xfId="8464"/>
    <cellStyle name="Percent 2 3 3 7" xfId="10217"/>
    <cellStyle name="Percent 2 3 3 8" xfId="11969"/>
    <cellStyle name="Percent 2 3 3 9" xfId="13721"/>
    <cellStyle name="Percent 2 3 30" xfId="44815"/>
    <cellStyle name="Percent 2 3 31" xfId="46567"/>
    <cellStyle name="Percent 2 3 32" xfId="48319"/>
    <cellStyle name="Percent 2 3 33" xfId="50071"/>
    <cellStyle name="Percent 2 3 34" xfId="51823"/>
    <cellStyle name="Percent 2 3 35" xfId="53575"/>
    <cellStyle name="Percent 2 3 36" xfId="55327"/>
    <cellStyle name="Percent 2 3 37" xfId="57080"/>
    <cellStyle name="Percent 2 3 38" xfId="58832"/>
    <cellStyle name="Percent 2 3 39" xfId="60584"/>
    <cellStyle name="Percent 2 3 4" xfId="2340"/>
    <cellStyle name="Percent 2 3 4 10" xfId="17666"/>
    <cellStyle name="Percent 2 3 4 11" xfId="19418"/>
    <cellStyle name="Percent 2 3 4 12" xfId="21171"/>
    <cellStyle name="Percent 2 3 4 13" xfId="22923"/>
    <cellStyle name="Percent 2 3 4 14" xfId="24675"/>
    <cellStyle name="Percent 2 3 4 15" xfId="26427"/>
    <cellStyle name="Percent 2 3 4 16" xfId="28179"/>
    <cellStyle name="Percent 2 3 4 17" xfId="29932"/>
    <cellStyle name="Percent 2 3 4 18" xfId="31684"/>
    <cellStyle name="Percent 2 3 4 19" xfId="33437"/>
    <cellStyle name="Percent 2 3 4 2" xfId="3648"/>
    <cellStyle name="Percent 2 3 4 20" xfId="36073"/>
    <cellStyle name="Percent 2 3 4 21" xfId="37813"/>
    <cellStyle name="Percent 2 3 4 22" xfId="39566"/>
    <cellStyle name="Percent 2 3 4 23" xfId="41321"/>
    <cellStyle name="Percent 2 3 4 24" xfId="43073"/>
    <cellStyle name="Percent 2 3 4 25" xfId="45691"/>
    <cellStyle name="Percent 2 3 4 26" xfId="47443"/>
    <cellStyle name="Percent 2 3 4 27" xfId="49195"/>
    <cellStyle name="Percent 2 3 4 28" xfId="50947"/>
    <cellStyle name="Percent 2 3 4 29" xfId="52699"/>
    <cellStyle name="Percent 2 3 4 3" xfId="5400"/>
    <cellStyle name="Percent 2 3 4 30" xfId="54451"/>
    <cellStyle name="Percent 2 3 4 31" xfId="56203"/>
    <cellStyle name="Percent 2 3 4 32" xfId="57956"/>
    <cellStyle name="Percent 2 3 4 33" xfId="59708"/>
    <cellStyle name="Percent 2 3 4 34" xfId="61460"/>
    <cellStyle name="Percent 2 3 4 4" xfId="7152"/>
    <cellStyle name="Percent 2 3 4 5" xfId="8904"/>
    <cellStyle name="Percent 2 3 4 6" xfId="10657"/>
    <cellStyle name="Percent 2 3 4 7" xfId="12409"/>
    <cellStyle name="Percent 2 3 4 8" xfId="14161"/>
    <cellStyle name="Percent 2 3 4 9" xfId="15913"/>
    <cellStyle name="Percent 2 3 40" xfId="63043"/>
    <cellStyle name="Percent 2 3 41" xfId="63909"/>
    <cellStyle name="Percent 2 3 5" xfId="2772"/>
    <cellStyle name="Percent 2 3 6" xfId="4524"/>
    <cellStyle name="Percent 2 3 7" xfId="6276"/>
    <cellStyle name="Percent 2 3 8" xfId="8028"/>
    <cellStyle name="Percent 2 3 9" xfId="9781"/>
    <cellStyle name="Percent 2 30" xfId="44707"/>
    <cellStyle name="Percent 2 31" xfId="46459"/>
    <cellStyle name="Percent 2 32" xfId="48211"/>
    <cellStyle name="Percent 2 33" xfId="49963"/>
    <cellStyle name="Percent 2 34" xfId="51715"/>
    <cellStyle name="Percent 2 35" xfId="53467"/>
    <cellStyle name="Percent 2 36" xfId="55219"/>
    <cellStyle name="Percent 2 37" xfId="56972"/>
    <cellStyle name="Percent 2 38" xfId="58724"/>
    <cellStyle name="Percent 2 39" xfId="60476"/>
    <cellStyle name="Percent 2 4" xfId="2341"/>
    <cellStyle name="Percent 2 4 10" xfId="13576"/>
    <cellStyle name="Percent 2 4 11" xfId="15328"/>
    <cellStyle name="Percent 2 4 12" xfId="17081"/>
    <cellStyle name="Percent 2 4 13" xfId="18833"/>
    <cellStyle name="Percent 2 4 14" xfId="20586"/>
    <cellStyle name="Percent 2 4 15" xfId="22338"/>
    <cellStyle name="Percent 2 4 16" xfId="24090"/>
    <cellStyle name="Percent 2 4 17" xfId="25842"/>
    <cellStyle name="Percent 2 4 18" xfId="27594"/>
    <cellStyle name="Percent 2 4 19" xfId="29347"/>
    <cellStyle name="Percent 2 4 2" xfId="2342"/>
    <cellStyle name="Percent 2 4 2 10" xfId="15764"/>
    <cellStyle name="Percent 2 4 2 11" xfId="17517"/>
    <cellStyle name="Percent 2 4 2 12" xfId="19269"/>
    <cellStyle name="Percent 2 4 2 13" xfId="21022"/>
    <cellStyle name="Percent 2 4 2 14" xfId="22774"/>
    <cellStyle name="Percent 2 4 2 15" xfId="24526"/>
    <cellStyle name="Percent 2 4 2 16" xfId="26278"/>
    <cellStyle name="Percent 2 4 2 17" xfId="28030"/>
    <cellStyle name="Percent 2 4 2 18" xfId="29783"/>
    <cellStyle name="Percent 2 4 2 19" xfId="31535"/>
    <cellStyle name="Percent 2 4 2 2" xfId="2343"/>
    <cellStyle name="Percent 2 4 2 2 10" xfId="18393"/>
    <cellStyle name="Percent 2 4 2 2 11" xfId="20145"/>
    <cellStyle name="Percent 2 4 2 2 12" xfId="21898"/>
    <cellStyle name="Percent 2 4 2 2 13" xfId="23650"/>
    <cellStyle name="Percent 2 4 2 2 14" xfId="25402"/>
    <cellStyle name="Percent 2 4 2 2 15" xfId="27154"/>
    <cellStyle name="Percent 2 4 2 2 16" xfId="28906"/>
    <cellStyle name="Percent 2 4 2 2 17" xfId="30659"/>
    <cellStyle name="Percent 2 4 2 2 18" xfId="32411"/>
    <cellStyle name="Percent 2 4 2 2 19" xfId="34164"/>
    <cellStyle name="Percent 2 4 2 2 2" xfId="4375"/>
    <cellStyle name="Percent 2 4 2 2 20" xfId="36800"/>
    <cellStyle name="Percent 2 4 2 2 21" xfId="38540"/>
    <cellStyle name="Percent 2 4 2 2 22" xfId="40293"/>
    <cellStyle name="Percent 2 4 2 2 23" xfId="42048"/>
    <cellStyle name="Percent 2 4 2 2 24" xfId="43800"/>
    <cellStyle name="Percent 2 4 2 2 25" xfId="46418"/>
    <cellStyle name="Percent 2 4 2 2 26" xfId="48170"/>
    <cellStyle name="Percent 2 4 2 2 27" xfId="49922"/>
    <cellStyle name="Percent 2 4 2 2 28" xfId="51674"/>
    <cellStyle name="Percent 2 4 2 2 29" xfId="53426"/>
    <cellStyle name="Percent 2 4 2 2 3" xfId="6127"/>
    <cellStyle name="Percent 2 4 2 2 30" xfId="55178"/>
    <cellStyle name="Percent 2 4 2 2 31" xfId="56930"/>
    <cellStyle name="Percent 2 4 2 2 32" xfId="58683"/>
    <cellStyle name="Percent 2 4 2 2 33" xfId="60435"/>
    <cellStyle name="Percent 2 4 2 2 34" xfId="62187"/>
    <cellStyle name="Percent 2 4 2 2 4" xfId="7879"/>
    <cellStyle name="Percent 2 4 2 2 5" xfId="9631"/>
    <cellStyle name="Percent 2 4 2 2 6" xfId="11384"/>
    <cellStyle name="Percent 2 4 2 2 7" xfId="13136"/>
    <cellStyle name="Percent 2 4 2 2 8" xfId="14888"/>
    <cellStyle name="Percent 2 4 2 2 9" xfId="16640"/>
    <cellStyle name="Percent 2 4 2 20" xfId="33288"/>
    <cellStyle name="Percent 2 4 2 21" xfId="35040"/>
    <cellStyle name="Percent 2 4 2 22" xfId="35924"/>
    <cellStyle name="Percent 2 4 2 23" xfId="37665"/>
    <cellStyle name="Percent 2 4 2 24" xfId="39417"/>
    <cellStyle name="Percent 2 4 2 25" xfId="41172"/>
    <cellStyle name="Percent 2 4 2 26" xfId="42924"/>
    <cellStyle name="Percent 2 4 2 27" xfId="44661"/>
    <cellStyle name="Percent 2 4 2 28" xfId="45542"/>
    <cellStyle name="Percent 2 4 2 29" xfId="47294"/>
    <cellStyle name="Percent 2 4 2 3" xfId="3499"/>
    <cellStyle name="Percent 2 4 2 30" xfId="49046"/>
    <cellStyle name="Percent 2 4 2 31" xfId="50798"/>
    <cellStyle name="Percent 2 4 2 32" xfId="52550"/>
    <cellStyle name="Percent 2 4 2 33" xfId="54302"/>
    <cellStyle name="Percent 2 4 2 34" xfId="56054"/>
    <cellStyle name="Percent 2 4 2 35" xfId="57807"/>
    <cellStyle name="Percent 2 4 2 36" xfId="59559"/>
    <cellStyle name="Percent 2 4 2 37" xfId="61311"/>
    <cellStyle name="Percent 2 4 2 38" xfId="63048"/>
    <cellStyle name="Percent 2 4 2 39" xfId="63914"/>
    <cellStyle name="Percent 2 4 2 4" xfId="5251"/>
    <cellStyle name="Percent 2 4 2 5" xfId="7003"/>
    <cellStyle name="Percent 2 4 2 6" xfId="8755"/>
    <cellStyle name="Percent 2 4 2 7" xfId="10508"/>
    <cellStyle name="Percent 2 4 2 8" xfId="12260"/>
    <cellStyle name="Percent 2 4 2 9" xfId="14012"/>
    <cellStyle name="Percent 2 4 20" xfId="31099"/>
    <cellStyle name="Percent 2 4 21" xfId="32852"/>
    <cellStyle name="Percent 2 4 22" xfId="35039"/>
    <cellStyle name="Percent 2 4 23" xfId="35488"/>
    <cellStyle name="Percent 2 4 24" xfId="37664"/>
    <cellStyle name="Percent 2 4 25" xfId="38981"/>
    <cellStyle name="Percent 2 4 26" xfId="40736"/>
    <cellStyle name="Percent 2 4 27" xfId="42488"/>
    <cellStyle name="Percent 2 4 28" xfId="44660"/>
    <cellStyle name="Percent 2 4 29" xfId="45106"/>
    <cellStyle name="Percent 2 4 3" xfId="2344"/>
    <cellStyle name="Percent 2 4 3 10" xfId="17957"/>
    <cellStyle name="Percent 2 4 3 11" xfId="19709"/>
    <cellStyle name="Percent 2 4 3 12" xfId="21462"/>
    <cellStyle name="Percent 2 4 3 13" xfId="23214"/>
    <cellStyle name="Percent 2 4 3 14" xfId="24966"/>
    <cellStyle name="Percent 2 4 3 15" xfId="26718"/>
    <cellStyle name="Percent 2 4 3 16" xfId="28470"/>
    <cellStyle name="Percent 2 4 3 17" xfId="30223"/>
    <cellStyle name="Percent 2 4 3 18" xfId="31975"/>
    <cellStyle name="Percent 2 4 3 19" xfId="33728"/>
    <cellStyle name="Percent 2 4 3 2" xfId="3939"/>
    <cellStyle name="Percent 2 4 3 20" xfId="36364"/>
    <cellStyle name="Percent 2 4 3 21" xfId="38104"/>
    <cellStyle name="Percent 2 4 3 22" xfId="39857"/>
    <cellStyle name="Percent 2 4 3 23" xfId="41612"/>
    <cellStyle name="Percent 2 4 3 24" xfId="43364"/>
    <cellStyle name="Percent 2 4 3 25" xfId="45982"/>
    <cellStyle name="Percent 2 4 3 26" xfId="47734"/>
    <cellStyle name="Percent 2 4 3 27" xfId="49486"/>
    <cellStyle name="Percent 2 4 3 28" xfId="51238"/>
    <cellStyle name="Percent 2 4 3 29" xfId="52990"/>
    <cellStyle name="Percent 2 4 3 3" xfId="5691"/>
    <cellStyle name="Percent 2 4 3 30" xfId="54742"/>
    <cellStyle name="Percent 2 4 3 31" xfId="56494"/>
    <cellStyle name="Percent 2 4 3 32" xfId="58247"/>
    <cellStyle name="Percent 2 4 3 33" xfId="59999"/>
    <cellStyle name="Percent 2 4 3 34" xfId="61751"/>
    <cellStyle name="Percent 2 4 3 4" xfId="7443"/>
    <cellStyle name="Percent 2 4 3 5" xfId="9195"/>
    <cellStyle name="Percent 2 4 3 6" xfId="10948"/>
    <cellStyle name="Percent 2 4 3 7" xfId="12700"/>
    <cellStyle name="Percent 2 4 3 8" xfId="14452"/>
    <cellStyle name="Percent 2 4 3 9" xfId="16204"/>
    <cellStyle name="Percent 2 4 30" xfId="46858"/>
    <cellStyle name="Percent 2 4 31" xfId="48610"/>
    <cellStyle name="Percent 2 4 32" xfId="50362"/>
    <cellStyle name="Percent 2 4 33" xfId="52114"/>
    <cellStyle name="Percent 2 4 34" xfId="53866"/>
    <cellStyle name="Percent 2 4 35" xfId="55618"/>
    <cellStyle name="Percent 2 4 36" xfId="57371"/>
    <cellStyle name="Percent 2 4 37" xfId="59123"/>
    <cellStyle name="Percent 2 4 38" xfId="60875"/>
    <cellStyle name="Percent 2 4 39" xfId="63047"/>
    <cellStyle name="Percent 2 4 4" xfId="3063"/>
    <cellStyle name="Percent 2 4 40" xfId="63913"/>
    <cellStyle name="Percent 2 4 5" xfId="4815"/>
    <cellStyle name="Percent 2 4 6" xfId="6567"/>
    <cellStyle name="Percent 2 4 7" xfId="8319"/>
    <cellStyle name="Percent 2 4 8" xfId="10072"/>
    <cellStyle name="Percent 2 4 9" xfId="11824"/>
    <cellStyle name="Percent 2 5" xfId="2345"/>
    <cellStyle name="Percent 2 5 10" xfId="15365"/>
    <cellStyle name="Percent 2 5 11" xfId="17118"/>
    <cellStyle name="Percent 2 5 12" xfId="18870"/>
    <cellStyle name="Percent 2 5 13" xfId="20623"/>
    <cellStyle name="Percent 2 5 14" xfId="22375"/>
    <cellStyle name="Percent 2 5 15" xfId="24127"/>
    <cellStyle name="Percent 2 5 16" xfId="25879"/>
    <cellStyle name="Percent 2 5 17" xfId="27631"/>
    <cellStyle name="Percent 2 5 18" xfId="29384"/>
    <cellStyle name="Percent 2 5 19" xfId="31136"/>
    <cellStyle name="Percent 2 5 2" xfId="2346"/>
    <cellStyle name="Percent 2 5 2 10" xfId="17994"/>
    <cellStyle name="Percent 2 5 2 11" xfId="19746"/>
    <cellStyle name="Percent 2 5 2 12" xfId="21499"/>
    <cellStyle name="Percent 2 5 2 13" xfId="23251"/>
    <cellStyle name="Percent 2 5 2 14" xfId="25003"/>
    <cellStyle name="Percent 2 5 2 15" xfId="26755"/>
    <cellStyle name="Percent 2 5 2 16" xfId="28507"/>
    <cellStyle name="Percent 2 5 2 17" xfId="30260"/>
    <cellStyle name="Percent 2 5 2 18" xfId="32012"/>
    <cellStyle name="Percent 2 5 2 19" xfId="33765"/>
    <cellStyle name="Percent 2 5 2 2" xfId="3976"/>
    <cellStyle name="Percent 2 5 2 20" xfId="36401"/>
    <cellStyle name="Percent 2 5 2 21" xfId="38141"/>
    <cellStyle name="Percent 2 5 2 22" xfId="39894"/>
    <cellStyle name="Percent 2 5 2 23" xfId="41649"/>
    <cellStyle name="Percent 2 5 2 24" xfId="43401"/>
    <cellStyle name="Percent 2 5 2 25" xfId="46019"/>
    <cellStyle name="Percent 2 5 2 26" xfId="47771"/>
    <cellStyle name="Percent 2 5 2 27" xfId="49523"/>
    <cellStyle name="Percent 2 5 2 28" xfId="51275"/>
    <cellStyle name="Percent 2 5 2 29" xfId="53027"/>
    <cellStyle name="Percent 2 5 2 3" xfId="5728"/>
    <cellStyle name="Percent 2 5 2 30" xfId="54779"/>
    <cellStyle name="Percent 2 5 2 31" xfId="56531"/>
    <cellStyle name="Percent 2 5 2 32" xfId="58284"/>
    <cellStyle name="Percent 2 5 2 33" xfId="60036"/>
    <cellStyle name="Percent 2 5 2 34" xfId="61788"/>
    <cellStyle name="Percent 2 5 2 4" xfId="7480"/>
    <cellStyle name="Percent 2 5 2 5" xfId="9232"/>
    <cellStyle name="Percent 2 5 2 6" xfId="10985"/>
    <cellStyle name="Percent 2 5 2 7" xfId="12737"/>
    <cellStyle name="Percent 2 5 2 8" xfId="14489"/>
    <cellStyle name="Percent 2 5 2 9" xfId="16241"/>
    <cellStyle name="Percent 2 5 20" xfId="32889"/>
    <cellStyle name="Percent 2 5 21" xfId="35041"/>
    <cellStyle name="Percent 2 5 22" xfId="35525"/>
    <cellStyle name="Percent 2 5 23" xfId="37666"/>
    <cellStyle name="Percent 2 5 24" xfId="39018"/>
    <cellStyle name="Percent 2 5 25" xfId="40773"/>
    <cellStyle name="Percent 2 5 26" xfId="42525"/>
    <cellStyle name="Percent 2 5 27" xfId="44662"/>
    <cellStyle name="Percent 2 5 28" xfId="45143"/>
    <cellStyle name="Percent 2 5 29" xfId="46895"/>
    <cellStyle name="Percent 2 5 3" xfId="3100"/>
    <cellStyle name="Percent 2 5 30" xfId="48647"/>
    <cellStyle name="Percent 2 5 31" xfId="50399"/>
    <cellStyle name="Percent 2 5 32" xfId="52151"/>
    <cellStyle name="Percent 2 5 33" xfId="53903"/>
    <cellStyle name="Percent 2 5 34" xfId="55655"/>
    <cellStyle name="Percent 2 5 35" xfId="57408"/>
    <cellStyle name="Percent 2 5 36" xfId="59160"/>
    <cellStyle name="Percent 2 5 37" xfId="60912"/>
    <cellStyle name="Percent 2 5 38" xfId="63049"/>
    <cellStyle name="Percent 2 5 39" xfId="63915"/>
    <cellStyle name="Percent 2 5 4" xfId="4852"/>
    <cellStyle name="Percent 2 5 5" xfId="6604"/>
    <cellStyle name="Percent 2 5 6" xfId="8356"/>
    <cellStyle name="Percent 2 5 7" xfId="10109"/>
    <cellStyle name="Percent 2 5 8" xfId="11861"/>
    <cellStyle name="Percent 2 5 9" xfId="13613"/>
    <cellStyle name="Percent 2 6" xfId="2347"/>
    <cellStyle name="Percent 2 6 10" xfId="15805"/>
    <cellStyle name="Percent 2 6 11" xfId="17558"/>
    <cellStyle name="Percent 2 6 12" xfId="19310"/>
    <cellStyle name="Percent 2 6 13" xfId="21063"/>
    <cellStyle name="Percent 2 6 14" xfId="22815"/>
    <cellStyle name="Percent 2 6 15" xfId="24567"/>
    <cellStyle name="Percent 2 6 16" xfId="26319"/>
    <cellStyle name="Percent 2 6 17" xfId="28071"/>
    <cellStyle name="Percent 2 6 18" xfId="29824"/>
    <cellStyle name="Percent 2 6 19" xfId="31576"/>
    <cellStyle name="Percent 2 6 2" xfId="2348"/>
    <cellStyle name="Percent 2 6 20" xfId="33329"/>
    <cellStyle name="Percent 2 6 21" xfId="35965"/>
    <cellStyle name="Percent 2 6 22" xfId="37617"/>
    <cellStyle name="Percent 2 6 23" xfId="39458"/>
    <cellStyle name="Percent 2 6 24" xfId="41213"/>
    <cellStyle name="Percent 2 6 25" xfId="42965"/>
    <cellStyle name="Percent 2 6 26" xfId="45583"/>
    <cellStyle name="Percent 2 6 27" xfId="47335"/>
    <cellStyle name="Percent 2 6 28" xfId="49087"/>
    <cellStyle name="Percent 2 6 29" xfId="50839"/>
    <cellStyle name="Percent 2 6 3" xfId="3540"/>
    <cellStyle name="Percent 2 6 30" xfId="52591"/>
    <cellStyle name="Percent 2 6 31" xfId="54343"/>
    <cellStyle name="Percent 2 6 32" xfId="56095"/>
    <cellStyle name="Percent 2 6 33" xfId="57848"/>
    <cellStyle name="Percent 2 6 34" xfId="59600"/>
    <cellStyle name="Percent 2 6 35" xfId="61352"/>
    <cellStyle name="Percent 2 6 4" xfId="5292"/>
    <cellStyle name="Percent 2 6 5" xfId="7044"/>
    <cellStyle name="Percent 2 6 6" xfId="8796"/>
    <cellStyle name="Percent 2 6 7" xfId="10549"/>
    <cellStyle name="Percent 2 6 8" xfId="12301"/>
    <cellStyle name="Percent 2 6 9" xfId="14053"/>
    <cellStyle name="Percent 2 7" xfId="2349"/>
    <cellStyle name="Percent 2 7 2" xfId="35026"/>
    <cellStyle name="Percent 2 7 3" xfId="37651"/>
    <cellStyle name="Percent 2 7 4" xfId="40302"/>
    <cellStyle name="Percent 2 7 5" xfId="44647"/>
    <cellStyle name="Percent 2 7 6" xfId="63034"/>
    <cellStyle name="Percent 2 7 7" xfId="63900"/>
    <cellStyle name="Percent 2 8" xfId="2664"/>
    <cellStyle name="Percent 2 9" xfId="4416"/>
    <cellStyle name="Percent 3" xfId="2350"/>
    <cellStyle name="Percent 3 10" xfId="9694"/>
    <cellStyle name="Percent 3 11" xfId="11446"/>
    <cellStyle name="Percent 3 12" xfId="13198"/>
    <cellStyle name="Percent 3 13" xfId="14950"/>
    <cellStyle name="Percent 3 14" xfId="16703"/>
    <cellStyle name="Percent 3 15" xfId="18455"/>
    <cellStyle name="Percent 3 16" xfId="20208"/>
    <cellStyle name="Percent 3 17" xfId="21960"/>
    <cellStyle name="Percent 3 18" xfId="23712"/>
    <cellStyle name="Percent 3 19" xfId="25464"/>
    <cellStyle name="Percent 3 2" xfId="2351"/>
    <cellStyle name="Percent 3 2 10" xfId="11554"/>
    <cellStyle name="Percent 3 2 11" xfId="13306"/>
    <cellStyle name="Percent 3 2 12" xfId="15058"/>
    <cellStyle name="Percent 3 2 13" xfId="16811"/>
    <cellStyle name="Percent 3 2 14" xfId="18563"/>
    <cellStyle name="Percent 3 2 15" xfId="20316"/>
    <cellStyle name="Percent 3 2 16" xfId="22068"/>
    <cellStyle name="Percent 3 2 17" xfId="23820"/>
    <cellStyle name="Percent 3 2 18" xfId="25572"/>
    <cellStyle name="Percent 3 2 19" xfId="27324"/>
    <cellStyle name="Percent 3 2 2" xfId="2352"/>
    <cellStyle name="Percent 3 2 2 10" xfId="13577"/>
    <cellStyle name="Percent 3 2 2 11" xfId="15329"/>
    <cellStyle name="Percent 3 2 2 12" xfId="17082"/>
    <cellStyle name="Percent 3 2 2 13" xfId="18834"/>
    <cellStyle name="Percent 3 2 2 14" xfId="20587"/>
    <cellStyle name="Percent 3 2 2 15" xfId="22339"/>
    <cellStyle name="Percent 3 2 2 16" xfId="24091"/>
    <cellStyle name="Percent 3 2 2 17" xfId="25843"/>
    <cellStyle name="Percent 3 2 2 18" xfId="27595"/>
    <cellStyle name="Percent 3 2 2 19" xfId="29348"/>
    <cellStyle name="Percent 3 2 2 2" xfId="2353"/>
    <cellStyle name="Percent 3 2 2 2 10" xfId="15765"/>
    <cellStyle name="Percent 3 2 2 2 11" xfId="17518"/>
    <cellStyle name="Percent 3 2 2 2 12" xfId="19270"/>
    <cellStyle name="Percent 3 2 2 2 13" xfId="21023"/>
    <cellStyle name="Percent 3 2 2 2 14" xfId="22775"/>
    <cellStyle name="Percent 3 2 2 2 15" xfId="24527"/>
    <cellStyle name="Percent 3 2 2 2 16" xfId="26279"/>
    <cellStyle name="Percent 3 2 2 2 17" xfId="28031"/>
    <cellStyle name="Percent 3 2 2 2 18" xfId="29784"/>
    <cellStyle name="Percent 3 2 2 2 19" xfId="31536"/>
    <cellStyle name="Percent 3 2 2 2 2" xfId="2354"/>
    <cellStyle name="Percent 3 2 2 2 2 10" xfId="18394"/>
    <cellStyle name="Percent 3 2 2 2 2 11" xfId="20146"/>
    <cellStyle name="Percent 3 2 2 2 2 12" xfId="21899"/>
    <cellStyle name="Percent 3 2 2 2 2 13" xfId="23651"/>
    <cellStyle name="Percent 3 2 2 2 2 14" xfId="25403"/>
    <cellStyle name="Percent 3 2 2 2 2 15" xfId="27155"/>
    <cellStyle name="Percent 3 2 2 2 2 16" xfId="28907"/>
    <cellStyle name="Percent 3 2 2 2 2 17" xfId="30660"/>
    <cellStyle name="Percent 3 2 2 2 2 18" xfId="32412"/>
    <cellStyle name="Percent 3 2 2 2 2 19" xfId="34165"/>
    <cellStyle name="Percent 3 2 2 2 2 2" xfId="4376"/>
    <cellStyle name="Percent 3 2 2 2 2 20" xfId="36801"/>
    <cellStyle name="Percent 3 2 2 2 2 21" xfId="38541"/>
    <cellStyle name="Percent 3 2 2 2 2 22" xfId="40294"/>
    <cellStyle name="Percent 3 2 2 2 2 23" xfId="42049"/>
    <cellStyle name="Percent 3 2 2 2 2 24" xfId="43801"/>
    <cellStyle name="Percent 3 2 2 2 2 25" xfId="46419"/>
    <cellStyle name="Percent 3 2 2 2 2 26" xfId="48171"/>
    <cellStyle name="Percent 3 2 2 2 2 27" xfId="49923"/>
    <cellStyle name="Percent 3 2 2 2 2 28" xfId="51675"/>
    <cellStyle name="Percent 3 2 2 2 2 29" xfId="53427"/>
    <cellStyle name="Percent 3 2 2 2 2 3" xfId="6128"/>
    <cellStyle name="Percent 3 2 2 2 2 30" xfId="55179"/>
    <cellStyle name="Percent 3 2 2 2 2 31" xfId="56931"/>
    <cellStyle name="Percent 3 2 2 2 2 32" xfId="58684"/>
    <cellStyle name="Percent 3 2 2 2 2 33" xfId="60436"/>
    <cellStyle name="Percent 3 2 2 2 2 34" xfId="62188"/>
    <cellStyle name="Percent 3 2 2 2 2 4" xfId="7880"/>
    <cellStyle name="Percent 3 2 2 2 2 5" xfId="9632"/>
    <cellStyle name="Percent 3 2 2 2 2 6" xfId="11385"/>
    <cellStyle name="Percent 3 2 2 2 2 7" xfId="13137"/>
    <cellStyle name="Percent 3 2 2 2 2 8" xfId="14889"/>
    <cellStyle name="Percent 3 2 2 2 2 9" xfId="16641"/>
    <cellStyle name="Percent 3 2 2 2 20" xfId="33289"/>
    <cellStyle name="Percent 3 2 2 2 21" xfId="35044"/>
    <cellStyle name="Percent 3 2 2 2 22" xfId="35925"/>
    <cellStyle name="Percent 3 2 2 2 23" xfId="37669"/>
    <cellStyle name="Percent 3 2 2 2 24" xfId="39418"/>
    <cellStyle name="Percent 3 2 2 2 25" xfId="41173"/>
    <cellStyle name="Percent 3 2 2 2 26" xfId="42925"/>
    <cellStyle name="Percent 3 2 2 2 27" xfId="44665"/>
    <cellStyle name="Percent 3 2 2 2 28" xfId="45543"/>
    <cellStyle name="Percent 3 2 2 2 29" xfId="47295"/>
    <cellStyle name="Percent 3 2 2 2 3" xfId="3500"/>
    <cellStyle name="Percent 3 2 2 2 30" xfId="49047"/>
    <cellStyle name="Percent 3 2 2 2 31" xfId="50799"/>
    <cellStyle name="Percent 3 2 2 2 32" xfId="52551"/>
    <cellStyle name="Percent 3 2 2 2 33" xfId="54303"/>
    <cellStyle name="Percent 3 2 2 2 34" xfId="56055"/>
    <cellStyle name="Percent 3 2 2 2 35" xfId="57808"/>
    <cellStyle name="Percent 3 2 2 2 36" xfId="59560"/>
    <cellStyle name="Percent 3 2 2 2 37" xfId="61312"/>
    <cellStyle name="Percent 3 2 2 2 38" xfId="63052"/>
    <cellStyle name="Percent 3 2 2 2 39" xfId="63918"/>
    <cellStyle name="Percent 3 2 2 2 4" xfId="5252"/>
    <cellStyle name="Percent 3 2 2 2 5" xfId="7004"/>
    <cellStyle name="Percent 3 2 2 2 6" xfId="8756"/>
    <cellStyle name="Percent 3 2 2 2 7" xfId="10509"/>
    <cellStyle name="Percent 3 2 2 2 8" xfId="12261"/>
    <cellStyle name="Percent 3 2 2 2 9" xfId="14013"/>
    <cellStyle name="Percent 3 2 2 20" xfId="31100"/>
    <cellStyle name="Percent 3 2 2 21" xfId="32853"/>
    <cellStyle name="Percent 3 2 2 22" xfId="35043"/>
    <cellStyle name="Percent 3 2 2 23" xfId="35489"/>
    <cellStyle name="Percent 3 2 2 24" xfId="37668"/>
    <cellStyle name="Percent 3 2 2 25" xfId="38982"/>
    <cellStyle name="Percent 3 2 2 26" xfId="40737"/>
    <cellStyle name="Percent 3 2 2 27" xfId="42489"/>
    <cellStyle name="Percent 3 2 2 28" xfId="44664"/>
    <cellStyle name="Percent 3 2 2 29" xfId="45107"/>
    <cellStyle name="Percent 3 2 2 3" xfId="2355"/>
    <cellStyle name="Percent 3 2 2 3 10" xfId="17958"/>
    <cellStyle name="Percent 3 2 2 3 11" xfId="19710"/>
    <cellStyle name="Percent 3 2 2 3 12" xfId="21463"/>
    <cellStyle name="Percent 3 2 2 3 13" xfId="23215"/>
    <cellStyle name="Percent 3 2 2 3 14" xfId="24967"/>
    <cellStyle name="Percent 3 2 2 3 15" xfId="26719"/>
    <cellStyle name="Percent 3 2 2 3 16" xfId="28471"/>
    <cellStyle name="Percent 3 2 2 3 17" xfId="30224"/>
    <cellStyle name="Percent 3 2 2 3 18" xfId="31976"/>
    <cellStyle name="Percent 3 2 2 3 19" xfId="33729"/>
    <cellStyle name="Percent 3 2 2 3 2" xfId="3940"/>
    <cellStyle name="Percent 3 2 2 3 20" xfId="36365"/>
    <cellStyle name="Percent 3 2 2 3 21" xfId="38105"/>
    <cellStyle name="Percent 3 2 2 3 22" xfId="39858"/>
    <cellStyle name="Percent 3 2 2 3 23" xfId="41613"/>
    <cellStyle name="Percent 3 2 2 3 24" xfId="43365"/>
    <cellStyle name="Percent 3 2 2 3 25" xfId="45983"/>
    <cellStyle name="Percent 3 2 2 3 26" xfId="47735"/>
    <cellStyle name="Percent 3 2 2 3 27" xfId="49487"/>
    <cellStyle name="Percent 3 2 2 3 28" xfId="51239"/>
    <cellStyle name="Percent 3 2 2 3 29" xfId="52991"/>
    <cellStyle name="Percent 3 2 2 3 3" xfId="5692"/>
    <cellStyle name="Percent 3 2 2 3 30" xfId="54743"/>
    <cellStyle name="Percent 3 2 2 3 31" xfId="56495"/>
    <cellStyle name="Percent 3 2 2 3 32" xfId="58248"/>
    <cellStyle name="Percent 3 2 2 3 33" xfId="60000"/>
    <cellStyle name="Percent 3 2 2 3 34" xfId="61752"/>
    <cellStyle name="Percent 3 2 2 3 4" xfId="7444"/>
    <cellStyle name="Percent 3 2 2 3 5" xfId="9196"/>
    <cellStyle name="Percent 3 2 2 3 6" xfId="10949"/>
    <cellStyle name="Percent 3 2 2 3 7" xfId="12701"/>
    <cellStyle name="Percent 3 2 2 3 8" xfId="14453"/>
    <cellStyle name="Percent 3 2 2 3 9" xfId="16205"/>
    <cellStyle name="Percent 3 2 2 30" xfId="46859"/>
    <cellStyle name="Percent 3 2 2 31" xfId="48611"/>
    <cellStyle name="Percent 3 2 2 32" xfId="50363"/>
    <cellStyle name="Percent 3 2 2 33" xfId="52115"/>
    <cellStyle name="Percent 3 2 2 34" xfId="53867"/>
    <cellStyle name="Percent 3 2 2 35" xfId="55619"/>
    <cellStyle name="Percent 3 2 2 36" xfId="57372"/>
    <cellStyle name="Percent 3 2 2 37" xfId="59124"/>
    <cellStyle name="Percent 3 2 2 38" xfId="60876"/>
    <cellStyle name="Percent 3 2 2 39" xfId="63051"/>
    <cellStyle name="Percent 3 2 2 4" xfId="3064"/>
    <cellStyle name="Percent 3 2 2 40" xfId="63917"/>
    <cellStyle name="Percent 3 2 2 5" xfId="4816"/>
    <cellStyle name="Percent 3 2 2 6" xfId="6568"/>
    <cellStyle name="Percent 3 2 2 7" xfId="8320"/>
    <cellStyle name="Percent 3 2 2 8" xfId="10073"/>
    <cellStyle name="Percent 3 2 2 9" xfId="11825"/>
    <cellStyle name="Percent 3 2 20" xfId="29077"/>
    <cellStyle name="Percent 3 2 21" xfId="30829"/>
    <cellStyle name="Percent 3 2 22" xfId="32582"/>
    <cellStyle name="Percent 3 2 23" xfId="35042"/>
    <cellStyle name="Percent 3 2 24" xfId="35218"/>
    <cellStyle name="Percent 3 2 25" xfId="37667"/>
    <cellStyle name="Percent 3 2 26" xfId="38711"/>
    <cellStyle name="Percent 3 2 27" xfId="40466"/>
    <cellStyle name="Percent 3 2 28" xfId="42218"/>
    <cellStyle name="Percent 3 2 29" xfId="44663"/>
    <cellStyle name="Percent 3 2 3" xfId="2356"/>
    <cellStyle name="Percent 3 2 3 10" xfId="15494"/>
    <cellStyle name="Percent 3 2 3 11" xfId="17247"/>
    <cellStyle name="Percent 3 2 3 12" xfId="18999"/>
    <cellStyle name="Percent 3 2 3 13" xfId="20752"/>
    <cellStyle name="Percent 3 2 3 14" xfId="22504"/>
    <cellStyle name="Percent 3 2 3 15" xfId="24256"/>
    <cellStyle name="Percent 3 2 3 16" xfId="26008"/>
    <cellStyle name="Percent 3 2 3 17" xfId="27760"/>
    <cellStyle name="Percent 3 2 3 18" xfId="29513"/>
    <cellStyle name="Percent 3 2 3 19" xfId="31265"/>
    <cellStyle name="Percent 3 2 3 2" xfId="2357"/>
    <cellStyle name="Percent 3 2 3 2 10" xfId="18123"/>
    <cellStyle name="Percent 3 2 3 2 11" xfId="19875"/>
    <cellStyle name="Percent 3 2 3 2 12" xfId="21628"/>
    <cellStyle name="Percent 3 2 3 2 13" xfId="23380"/>
    <cellStyle name="Percent 3 2 3 2 14" xfId="25132"/>
    <cellStyle name="Percent 3 2 3 2 15" xfId="26884"/>
    <cellStyle name="Percent 3 2 3 2 16" xfId="28636"/>
    <cellStyle name="Percent 3 2 3 2 17" xfId="30389"/>
    <cellStyle name="Percent 3 2 3 2 18" xfId="32141"/>
    <cellStyle name="Percent 3 2 3 2 19" xfId="33894"/>
    <cellStyle name="Percent 3 2 3 2 2" xfId="4105"/>
    <cellStyle name="Percent 3 2 3 2 20" xfId="36530"/>
    <cellStyle name="Percent 3 2 3 2 21" xfId="38270"/>
    <cellStyle name="Percent 3 2 3 2 22" xfId="40023"/>
    <cellStyle name="Percent 3 2 3 2 23" xfId="41778"/>
    <cellStyle name="Percent 3 2 3 2 24" xfId="43530"/>
    <cellStyle name="Percent 3 2 3 2 25" xfId="46148"/>
    <cellStyle name="Percent 3 2 3 2 26" xfId="47900"/>
    <cellStyle name="Percent 3 2 3 2 27" xfId="49652"/>
    <cellStyle name="Percent 3 2 3 2 28" xfId="51404"/>
    <cellStyle name="Percent 3 2 3 2 29" xfId="53156"/>
    <cellStyle name="Percent 3 2 3 2 3" xfId="5857"/>
    <cellStyle name="Percent 3 2 3 2 30" xfId="54908"/>
    <cellStyle name="Percent 3 2 3 2 31" xfId="56660"/>
    <cellStyle name="Percent 3 2 3 2 32" xfId="58413"/>
    <cellStyle name="Percent 3 2 3 2 33" xfId="60165"/>
    <cellStyle name="Percent 3 2 3 2 34" xfId="61917"/>
    <cellStyle name="Percent 3 2 3 2 4" xfId="7609"/>
    <cellStyle name="Percent 3 2 3 2 5" xfId="9361"/>
    <cellStyle name="Percent 3 2 3 2 6" xfId="11114"/>
    <cellStyle name="Percent 3 2 3 2 7" xfId="12866"/>
    <cellStyle name="Percent 3 2 3 2 8" xfId="14618"/>
    <cellStyle name="Percent 3 2 3 2 9" xfId="16370"/>
    <cellStyle name="Percent 3 2 3 20" xfId="33018"/>
    <cellStyle name="Percent 3 2 3 21" xfId="35045"/>
    <cellStyle name="Percent 3 2 3 22" xfId="35654"/>
    <cellStyle name="Percent 3 2 3 23" xfId="37670"/>
    <cellStyle name="Percent 3 2 3 24" xfId="39147"/>
    <cellStyle name="Percent 3 2 3 25" xfId="40902"/>
    <cellStyle name="Percent 3 2 3 26" xfId="42654"/>
    <cellStyle name="Percent 3 2 3 27" xfId="44666"/>
    <cellStyle name="Percent 3 2 3 28" xfId="45272"/>
    <cellStyle name="Percent 3 2 3 29" xfId="47024"/>
    <cellStyle name="Percent 3 2 3 3" xfId="3229"/>
    <cellStyle name="Percent 3 2 3 30" xfId="48776"/>
    <cellStyle name="Percent 3 2 3 31" xfId="50528"/>
    <cellStyle name="Percent 3 2 3 32" xfId="52280"/>
    <cellStyle name="Percent 3 2 3 33" xfId="54032"/>
    <cellStyle name="Percent 3 2 3 34" xfId="55784"/>
    <cellStyle name="Percent 3 2 3 35" xfId="57537"/>
    <cellStyle name="Percent 3 2 3 36" xfId="59289"/>
    <cellStyle name="Percent 3 2 3 37" xfId="61041"/>
    <cellStyle name="Percent 3 2 3 38" xfId="63053"/>
    <cellStyle name="Percent 3 2 3 39" xfId="63919"/>
    <cellStyle name="Percent 3 2 3 4" xfId="4981"/>
    <cellStyle name="Percent 3 2 3 5" xfId="6733"/>
    <cellStyle name="Percent 3 2 3 6" xfId="8485"/>
    <cellStyle name="Percent 3 2 3 7" xfId="10238"/>
    <cellStyle name="Percent 3 2 3 8" xfId="11990"/>
    <cellStyle name="Percent 3 2 3 9" xfId="13742"/>
    <cellStyle name="Percent 3 2 30" xfId="44836"/>
    <cellStyle name="Percent 3 2 31" xfId="46588"/>
    <cellStyle name="Percent 3 2 32" xfId="48340"/>
    <cellStyle name="Percent 3 2 33" xfId="50092"/>
    <cellStyle name="Percent 3 2 34" xfId="51844"/>
    <cellStyle name="Percent 3 2 35" xfId="53596"/>
    <cellStyle name="Percent 3 2 36" xfId="55348"/>
    <cellStyle name="Percent 3 2 37" xfId="57101"/>
    <cellStyle name="Percent 3 2 38" xfId="58853"/>
    <cellStyle name="Percent 3 2 39" xfId="60605"/>
    <cellStyle name="Percent 3 2 4" xfId="2358"/>
    <cellStyle name="Percent 3 2 4 10" xfId="17687"/>
    <cellStyle name="Percent 3 2 4 11" xfId="19439"/>
    <cellStyle name="Percent 3 2 4 12" xfId="21192"/>
    <cellStyle name="Percent 3 2 4 13" xfId="22944"/>
    <cellStyle name="Percent 3 2 4 14" xfId="24696"/>
    <cellStyle name="Percent 3 2 4 15" xfId="26448"/>
    <cellStyle name="Percent 3 2 4 16" xfId="28200"/>
    <cellStyle name="Percent 3 2 4 17" xfId="29953"/>
    <cellStyle name="Percent 3 2 4 18" xfId="31705"/>
    <cellStyle name="Percent 3 2 4 19" xfId="33458"/>
    <cellStyle name="Percent 3 2 4 2" xfId="3669"/>
    <cellStyle name="Percent 3 2 4 20" xfId="36094"/>
    <cellStyle name="Percent 3 2 4 21" xfId="37834"/>
    <cellStyle name="Percent 3 2 4 22" xfId="39587"/>
    <cellStyle name="Percent 3 2 4 23" xfId="41342"/>
    <cellStyle name="Percent 3 2 4 24" xfId="43094"/>
    <cellStyle name="Percent 3 2 4 25" xfId="45712"/>
    <cellStyle name="Percent 3 2 4 26" xfId="47464"/>
    <cellStyle name="Percent 3 2 4 27" xfId="49216"/>
    <cellStyle name="Percent 3 2 4 28" xfId="50968"/>
    <cellStyle name="Percent 3 2 4 29" xfId="52720"/>
    <cellStyle name="Percent 3 2 4 3" xfId="5421"/>
    <cellStyle name="Percent 3 2 4 30" xfId="54472"/>
    <cellStyle name="Percent 3 2 4 31" xfId="56224"/>
    <cellStyle name="Percent 3 2 4 32" xfId="57977"/>
    <cellStyle name="Percent 3 2 4 33" xfId="59729"/>
    <cellStyle name="Percent 3 2 4 34" xfId="61481"/>
    <cellStyle name="Percent 3 2 4 4" xfId="7173"/>
    <cellStyle name="Percent 3 2 4 5" xfId="8925"/>
    <cellStyle name="Percent 3 2 4 6" xfId="10678"/>
    <cellStyle name="Percent 3 2 4 7" xfId="12430"/>
    <cellStyle name="Percent 3 2 4 8" xfId="14182"/>
    <cellStyle name="Percent 3 2 4 9" xfId="15934"/>
    <cellStyle name="Percent 3 2 40" xfId="63050"/>
    <cellStyle name="Percent 3 2 41" xfId="63916"/>
    <cellStyle name="Percent 3 2 5" xfId="2793"/>
    <cellStyle name="Percent 3 2 6" xfId="4545"/>
    <cellStyle name="Percent 3 2 7" xfId="6297"/>
    <cellStyle name="Percent 3 2 8" xfId="8049"/>
    <cellStyle name="Percent 3 2 9" xfId="9802"/>
    <cellStyle name="Percent 3 20" xfId="27216"/>
    <cellStyle name="Percent 3 21" xfId="28969"/>
    <cellStyle name="Percent 3 22" xfId="30721"/>
    <cellStyle name="Percent 3 23" xfId="32474"/>
    <cellStyle name="Percent 3 24" xfId="35110"/>
    <cellStyle name="Percent 3 25" xfId="38603"/>
    <cellStyle name="Percent 3 26" xfId="40358"/>
    <cellStyle name="Percent 3 27" xfId="42110"/>
    <cellStyle name="Percent 3 28" xfId="44728"/>
    <cellStyle name="Percent 3 29" xfId="46480"/>
    <cellStyle name="Percent 3 3" xfId="2359"/>
    <cellStyle name="Percent 3 3 10" xfId="13578"/>
    <cellStyle name="Percent 3 3 11" xfId="15330"/>
    <cellStyle name="Percent 3 3 12" xfId="17083"/>
    <cellStyle name="Percent 3 3 13" xfId="18835"/>
    <cellStyle name="Percent 3 3 14" xfId="20588"/>
    <cellStyle name="Percent 3 3 15" xfId="22340"/>
    <cellStyle name="Percent 3 3 16" xfId="24092"/>
    <cellStyle name="Percent 3 3 17" xfId="25844"/>
    <cellStyle name="Percent 3 3 18" xfId="27596"/>
    <cellStyle name="Percent 3 3 19" xfId="29349"/>
    <cellStyle name="Percent 3 3 2" xfId="2360"/>
    <cellStyle name="Percent 3 3 2 10" xfId="15766"/>
    <cellStyle name="Percent 3 3 2 11" xfId="17519"/>
    <cellStyle name="Percent 3 3 2 12" xfId="19271"/>
    <cellStyle name="Percent 3 3 2 13" xfId="21024"/>
    <cellStyle name="Percent 3 3 2 14" xfId="22776"/>
    <cellStyle name="Percent 3 3 2 15" xfId="24528"/>
    <cellStyle name="Percent 3 3 2 16" xfId="26280"/>
    <cellStyle name="Percent 3 3 2 17" xfId="28032"/>
    <cellStyle name="Percent 3 3 2 18" xfId="29785"/>
    <cellStyle name="Percent 3 3 2 19" xfId="31537"/>
    <cellStyle name="Percent 3 3 2 2" xfId="2361"/>
    <cellStyle name="Percent 3 3 2 2 10" xfId="18395"/>
    <cellStyle name="Percent 3 3 2 2 11" xfId="20147"/>
    <cellStyle name="Percent 3 3 2 2 12" xfId="21900"/>
    <cellStyle name="Percent 3 3 2 2 13" xfId="23652"/>
    <cellStyle name="Percent 3 3 2 2 14" xfId="25404"/>
    <cellStyle name="Percent 3 3 2 2 15" xfId="27156"/>
    <cellStyle name="Percent 3 3 2 2 16" xfId="28908"/>
    <cellStyle name="Percent 3 3 2 2 17" xfId="30661"/>
    <cellStyle name="Percent 3 3 2 2 18" xfId="32413"/>
    <cellStyle name="Percent 3 3 2 2 19" xfId="34166"/>
    <cellStyle name="Percent 3 3 2 2 2" xfId="4377"/>
    <cellStyle name="Percent 3 3 2 2 20" xfId="36802"/>
    <cellStyle name="Percent 3 3 2 2 21" xfId="38542"/>
    <cellStyle name="Percent 3 3 2 2 22" xfId="40295"/>
    <cellStyle name="Percent 3 3 2 2 23" xfId="42050"/>
    <cellStyle name="Percent 3 3 2 2 24" xfId="43802"/>
    <cellStyle name="Percent 3 3 2 2 25" xfId="46420"/>
    <cellStyle name="Percent 3 3 2 2 26" xfId="48172"/>
    <cellStyle name="Percent 3 3 2 2 27" xfId="49924"/>
    <cellStyle name="Percent 3 3 2 2 28" xfId="51676"/>
    <cellStyle name="Percent 3 3 2 2 29" xfId="53428"/>
    <cellStyle name="Percent 3 3 2 2 3" xfId="6129"/>
    <cellStyle name="Percent 3 3 2 2 30" xfId="55180"/>
    <cellStyle name="Percent 3 3 2 2 31" xfId="56932"/>
    <cellStyle name="Percent 3 3 2 2 32" xfId="58685"/>
    <cellStyle name="Percent 3 3 2 2 33" xfId="60437"/>
    <cellStyle name="Percent 3 3 2 2 34" xfId="62189"/>
    <cellStyle name="Percent 3 3 2 2 4" xfId="7881"/>
    <cellStyle name="Percent 3 3 2 2 5" xfId="9633"/>
    <cellStyle name="Percent 3 3 2 2 6" xfId="11386"/>
    <cellStyle name="Percent 3 3 2 2 7" xfId="13138"/>
    <cellStyle name="Percent 3 3 2 2 8" xfId="14890"/>
    <cellStyle name="Percent 3 3 2 2 9" xfId="16642"/>
    <cellStyle name="Percent 3 3 2 20" xfId="33290"/>
    <cellStyle name="Percent 3 3 2 21" xfId="35047"/>
    <cellStyle name="Percent 3 3 2 22" xfId="35926"/>
    <cellStyle name="Percent 3 3 2 23" xfId="37672"/>
    <cellStyle name="Percent 3 3 2 24" xfId="39419"/>
    <cellStyle name="Percent 3 3 2 25" xfId="41174"/>
    <cellStyle name="Percent 3 3 2 26" xfId="42926"/>
    <cellStyle name="Percent 3 3 2 27" xfId="44668"/>
    <cellStyle name="Percent 3 3 2 28" xfId="45544"/>
    <cellStyle name="Percent 3 3 2 29" xfId="47296"/>
    <cellStyle name="Percent 3 3 2 3" xfId="3501"/>
    <cellStyle name="Percent 3 3 2 30" xfId="49048"/>
    <cellStyle name="Percent 3 3 2 31" xfId="50800"/>
    <cellStyle name="Percent 3 3 2 32" xfId="52552"/>
    <cellStyle name="Percent 3 3 2 33" xfId="54304"/>
    <cellStyle name="Percent 3 3 2 34" xfId="56056"/>
    <cellStyle name="Percent 3 3 2 35" xfId="57809"/>
    <cellStyle name="Percent 3 3 2 36" xfId="59561"/>
    <cellStyle name="Percent 3 3 2 37" xfId="61313"/>
    <cellStyle name="Percent 3 3 2 38" xfId="63055"/>
    <cellStyle name="Percent 3 3 2 39" xfId="63921"/>
    <cellStyle name="Percent 3 3 2 4" xfId="5253"/>
    <cellStyle name="Percent 3 3 2 5" xfId="7005"/>
    <cellStyle name="Percent 3 3 2 6" xfId="8757"/>
    <cellStyle name="Percent 3 3 2 7" xfId="10510"/>
    <cellStyle name="Percent 3 3 2 8" xfId="12262"/>
    <cellStyle name="Percent 3 3 2 9" xfId="14014"/>
    <cellStyle name="Percent 3 3 20" xfId="31101"/>
    <cellStyle name="Percent 3 3 21" xfId="32854"/>
    <cellStyle name="Percent 3 3 22" xfId="35046"/>
    <cellStyle name="Percent 3 3 23" xfId="35490"/>
    <cellStyle name="Percent 3 3 24" xfId="37671"/>
    <cellStyle name="Percent 3 3 25" xfId="38983"/>
    <cellStyle name="Percent 3 3 26" xfId="40738"/>
    <cellStyle name="Percent 3 3 27" xfId="42490"/>
    <cellStyle name="Percent 3 3 28" xfId="44667"/>
    <cellStyle name="Percent 3 3 29" xfId="45108"/>
    <cellStyle name="Percent 3 3 3" xfId="2362"/>
    <cellStyle name="Percent 3 3 3 10" xfId="17959"/>
    <cellStyle name="Percent 3 3 3 11" xfId="19711"/>
    <cellStyle name="Percent 3 3 3 12" xfId="21464"/>
    <cellStyle name="Percent 3 3 3 13" xfId="23216"/>
    <cellStyle name="Percent 3 3 3 14" xfId="24968"/>
    <cellStyle name="Percent 3 3 3 15" xfId="26720"/>
    <cellStyle name="Percent 3 3 3 16" xfId="28472"/>
    <cellStyle name="Percent 3 3 3 17" xfId="30225"/>
    <cellStyle name="Percent 3 3 3 18" xfId="31977"/>
    <cellStyle name="Percent 3 3 3 19" xfId="33730"/>
    <cellStyle name="Percent 3 3 3 2" xfId="3941"/>
    <cellStyle name="Percent 3 3 3 20" xfId="36366"/>
    <cellStyle name="Percent 3 3 3 21" xfId="38106"/>
    <cellStyle name="Percent 3 3 3 22" xfId="39859"/>
    <cellStyle name="Percent 3 3 3 23" xfId="41614"/>
    <cellStyle name="Percent 3 3 3 24" xfId="43366"/>
    <cellStyle name="Percent 3 3 3 25" xfId="45984"/>
    <cellStyle name="Percent 3 3 3 26" xfId="47736"/>
    <cellStyle name="Percent 3 3 3 27" xfId="49488"/>
    <cellStyle name="Percent 3 3 3 28" xfId="51240"/>
    <cellStyle name="Percent 3 3 3 29" xfId="52992"/>
    <cellStyle name="Percent 3 3 3 3" xfId="5693"/>
    <cellStyle name="Percent 3 3 3 30" xfId="54744"/>
    <cellStyle name="Percent 3 3 3 31" xfId="56496"/>
    <cellStyle name="Percent 3 3 3 32" xfId="58249"/>
    <cellStyle name="Percent 3 3 3 33" xfId="60001"/>
    <cellStyle name="Percent 3 3 3 34" xfId="61753"/>
    <cellStyle name="Percent 3 3 3 4" xfId="7445"/>
    <cellStyle name="Percent 3 3 3 5" xfId="9197"/>
    <cellStyle name="Percent 3 3 3 6" xfId="10950"/>
    <cellStyle name="Percent 3 3 3 7" xfId="12702"/>
    <cellStyle name="Percent 3 3 3 8" xfId="14454"/>
    <cellStyle name="Percent 3 3 3 9" xfId="16206"/>
    <cellStyle name="Percent 3 3 30" xfId="46860"/>
    <cellStyle name="Percent 3 3 31" xfId="48612"/>
    <cellStyle name="Percent 3 3 32" xfId="50364"/>
    <cellStyle name="Percent 3 3 33" xfId="52116"/>
    <cellStyle name="Percent 3 3 34" xfId="53868"/>
    <cellStyle name="Percent 3 3 35" xfId="55620"/>
    <cellStyle name="Percent 3 3 36" xfId="57373"/>
    <cellStyle name="Percent 3 3 37" xfId="59125"/>
    <cellStyle name="Percent 3 3 38" xfId="60877"/>
    <cellStyle name="Percent 3 3 39" xfId="63054"/>
    <cellStyle name="Percent 3 3 4" xfId="3065"/>
    <cellStyle name="Percent 3 3 40" xfId="63920"/>
    <cellStyle name="Percent 3 3 5" xfId="4817"/>
    <cellStyle name="Percent 3 3 6" xfId="6569"/>
    <cellStyle name="Percent 3 3 7" xfId="8321"/>
    <cellStyle name="Percent 3 3 8" xfId="10074"/>
    <cellStyle name="Percent 3 3 9" xfId="11826"/>
    <cellStyle name="Percent 3 30" xfId="48232"/>
    <cellStyle name="Percent 3 31" xfId="49984"/>
    <cellStyle name="Percent 3 32" xfId="51736"/>
    <cellStyle name="Percent 3 33" xfId="53488"/>
    <cellStyle name="Percent 3 34" xfId="55240"/>
    <cellStyle name="Percent 3 35" xfId="56993"/>
    <cellStyle name="Percent 3 36" xfId="58745"/>
    <cellStyle name="Percent 3 37" xfId="60497"/>
    <cellStyle name="Percent 3 4" xfId="2363"/>
    <cellStyle name="Percent 3 4 10" xfId="15386"/>
    <cellStyle name="Percent 3 4 11" xfId="17139"/>
    <cellStyle name="Percent 3 4 12" xfId="18891"/>
    <cellStyle name="Percent 3 4 13" xfId="20644"/>
    <cellStyle name="Percent 3 4 14" xfId="22396"/>
    <cellStyle name="Percent 3 4 15" xfId="24148"/>
    <cellStyle name="Percent 3 4 16" xfId="25900"/>
    <cellStyle name="Percent 3 4 17" xfId="27652"/>
    <cellStyle name="Percent 3 4 18" xfId="29405"/>
    <cellStyle name="Percent 3 4 19" xfId="31157"/>
    <cellStyle name="Percent 3 4 2" xfId="2364"/>
    <cellStyle name="Percent 3 4 2 10" xfId="18015"/>
    <cellStyle name="Percent 3 4 2 11" xfId="19767"/>
    <cellStyle name="Percent 3 4 2 12" xfId="21520"/>
    <cellStyle name="Percent 3 4 2 13" xfId="23272"/>
    <cellStyle name="Percent 3 4 2 14" xfId="25024"/>
    <cellStyle name="Percent 3 4 2 15" xfId="26776"/>
    <cellStyle name="Percent 3 4 2 16" xfId="28528"/>
    <cellStyle name="Percent 3 4 2 17" xfId="30281"/>
    <cellStyle name="Percent 3 4 2 18" xfId="32033"/>
    <cellStyle name="Percent 3 4 2 19" xfId="33786"/>
    <cellStyle name="Percent 3 4 2 2" xfId="3997"/>
    <cellStyle name="Percent 3 4 2 20" xfId="36422"/>
    <cellStyle name="Percent 3 4 2 21" xfId="38162"/>
    <cellStyle name="Percent 3 4 2 22" xfId="39915"/>
    <cellStyle name="Percent 3 4 2 23" xfId="41670"/>
    <cellStyle name="Percent 3 4 2 24" xfId="43422"/>
    <cellStyle name="Percent 3 4 2 25" xfId="46040"/>
    <cellStyle name="Percent 3 4 2 26" xfId="47792"/>
    <cellStyle name="Percent 3 4 2 27" xfId="49544"/>
    <cellStyle name="Percent 3 4 2 28" xfId="51296"/>
    <cellStyle name="Percent 3 4 2 29" xfId="53048"/>
    <cellStyle name="Percent 3 4 2 3" xfId="5749"/>
    <cellStyle name="Percent 3 4 2 30" xfId="54800"/>
    <cellStyle name="Percent 3 4 2 31" xfId="56552"/>
    <cellStyle name="Percent 3 4 2 32" xfId="58305"/>
    <cellStyle name="Percent 3 4 2 33" xfId="60057"/>
    <cellStyle name="Percent 3 4 2 34" xfId="61809"/>
    <cellStyle name="Percent 3 4 2 4" xfId="7501"/>
    <cellStyle name="Percent 3 4 2 5" xfId="9253"/>
    <cellStyle name="Percent 3 4 2 6" xfId="11006"/>
    <cellStyle name="Percent 3 4 2 7" xfId="12758"/>
    <cellStyle name="Percent 3 4 2 8" xfId="14510"/>
    <cellStyle name="Percent 3 4 2 9" xfId="16262"/>
    <cellStyle name="Percent 3 4 20" xfId="32910"/>
    <cellStyle name="Percent 3 4 21" xfId="35048"/>
    <cellStyle name="Percent 3 4 22" xfId="35546"/>
    <cellStyle name="Percent 3 4 23" xfId="37673"/>
    <cellStyle name="Percent 3 4 24" xfId="39039"/>
    <cellStyle name="Percent 3 4 25" xfId="40794"/>
    <cellStyle name="Percent 3 4 26" xfId="42546"/>
    <cellStyle name="Percent 3 4 27" xfId="44669"/>
    <cellStyle name="Percent 3 4 28" xfId="45164"/>
    <cellStyle name="Percent 3 4 29" xfId="46916"/>
    <cellStyle name="Percent 3 4 3" xfId="3121"/>
    <cellStyle name="Percent 3 4 30" xfId="48668"/>
    <cellStyle name="Percent 3 4 31" xfId="50420"/>
    <cellStyle name="Percent 3 4 32" xfId="52172"/>
    <cellStyle name="Percent 3 4 33" xfId="53924"/>
    <cellStyle name="Percent 3 4 34" xfId="55676"/>
    <cellStyle name="Percent 3 4 35" xfId="57429"/>
    <cellStyle name="Percent 3 4 36" xfId="59181"/>
    <cellStyle name="Percent 3 4 37" xfId="60933"/>
    <cellStyle name="Percent 3 4 38" xfId="63056"/>
    <cellStyle name="Percent 3 4 39" xfId="63922"/>
    <cellStyle name="Percent 3 4 4" xfId="4873"/>
    <cellStyle name="Percent 3 4 5" xfId="6625"/>
    <cellStyle name="Percent 3 4 6" xfId="8377"/>
    <cellStyle name="Percent 3 4 7" xfId="10130"/>
    <cellStyle name="Percent 3 4 8" xfId="11882"/>
    <cellStyle name="Percent 3 4 9" xfId="13634"/>
    <cellStyle name="Percent 3 5" xfId="2365"/>
    <cellStyle name="Percent 3 5 10" xfId="17579"/>
    <cellStyle name="Percent 3 5 11" xfId="19331"/>
    <cellStyle name="Percent 3 5 12" xfId="21084"/>
    <cellStyle name="Percent 3 5 13" xfId="22836"/>
    <cellStyle name="Percent 3 5 14" xfId="24588"/>
    <cellStyle name="Percent 3 5 15" xfId="26340"/>
    <cellStyle name="Percent 3 5 16" xfId="28092"/>
    <cellStyle name="Percent 3 5 17" xfId="29845"/>
    <cellStyle name="Percent 3 5 18" xfId="31597"/>
    <cellStyle name="Percent 3 5 19" xfId="33350"/>
    <cellStyle name="Percent 3 5 2" xfId="3561"/>
    <cellStyle name="Percent 3 5 20" xfId="35986"/>
    <cellStyle name="Percent 3 5 21" xfId="37749"/>
    <cellStyle name="Percent 3 5 22" xfId="39479"/>
    <cellStyle name="Percent 3 5 23" xfId="41234"/>
    <cellStyle name="Percent 3 5 24" xfId="42986"/>
    <cellStyle name="Percent 3 5 25" xfId="45604"/>
    <cellStyle name="Percent 3 5 26" xfId="47356"/>
    <cellStyle name="Percent 3 5 27" xfId="49108"/>
    <cellStyle name="Percent 3 5 28" xfId="50860"/>
    <cellStyle name="Percent 3 5 29" xfId="52612"/>
    <cellStyle name="Percent 3 5 3" xfId="5313"/>
    <cellStyle name="Percent 3 5 30" xfId="54364"/>
    <cellStyle name="Percent 3 5 31" xfId="56116"/>
    <cellStyle name="Percent 3 5 32" xfId="57869"/>
    <cellStyle name="Percent 3 5 33" xfId="59621"/>
    <cellStyle name="Percent 3 5 34" xfId="61373"/>
    <cellStyle name="Percent 3 5 4" xfId="7065"/>
    <cellStyle name="Percent 3 5 5" xfId="8817"/>
    <cellStyle name="Percent 3 5 6" xfId="10570"/>
    <cellStyle name="Percent 3 5 7" xfId="12322"/>
    <cellStyle name="Percent 3 5 8" xfId="14074"/>
    <cellStyle name="Percent 3 5 9" xfId="15826"/>
    <cellStyle name="Percent 3 6" xfId="2685"/>
    <cellStyle name="Percent 3 7" xfId="4437"/>
    <cellStyle name="Percent 3 8" xfId="6189"/>
    <cellStyle name="Percent 3 9" xfId="7941"/>
    <cellStyle name="Percent 4" xfId="2366"/>
    <cellStyle name="Percent 5" xfId="2367"/>
    <cellStyle name="Percent 5 10" xfId="11609"/>
    <cellStyle name="Percent 5 11" xfId="13361"/>
    <cellStyle name="Percent 5 12" xfId="15113"/>
    <cellStyle name="Percent 5 13" xfId="16866"/>
    <cellStyle name="Percent 5 14" xfId="18618"/>
    <cellStyle name="Percent 5 15" xfId="20371"/>
    <cellStyle name="Percent 5 16" xfId="22123"/>
    <cellStyle name="Percent 5 17" xfId="23875"/>
    <cellStyle name="Percent 5 18" xfId="25627"/>
    <cellStyle name="Percent 5 19" xfId="27379"/>
    <cellStyle name="Percent 5 2" xfId="2368"/>
    <cellStyle name="Percent 5 2 10" xfId="13579"/>
    <cellStyle name="Percent 5 2 11" xfId="15331"/>
    <cellStyle name="Percent 5 2 12" xfId="17084"/>
    <cellStyle name="Percent 5 2 13" xfId="18836"/>
    <cellStyle name="Percent 5 2 14" xfId="20589"/>
    <cellStyle name="Percent 5 2 15" xfId="22341"/>
    <cellStyle name="Percent 5 2 16" xfId="24093"/>
    <cellStyle name="Percent 5 2 17" xfId="25845"/>
    <cellStyle name="Percent 5 2 18" xfId="27597"/>
    <cellStyle name="Percent 5 2 19" xfId="29350"/>
    <cellStyle name="Percent 5 2 2" xfId="2369"/>
    <cellStyle name="Percent 5 2 2 10" xfId="15767"/>
    <cellStyle name="Percent 5 2 2 11" xfId="17520"/>
    <cellStyle name="Percent 5 2 2 12" xfId="19272"/>
    <cellStyle name="Percent 5 2 2 13" xfId="21025"/>
    <cellStyle name="Percent 5 2 2 14" xfId="22777"/>
    <cellStyle name="Percent 5 2 2 15" xfId="24529"/>
    <cellStyle name="Percent 5 2 2 16" xfId="26281"/>
    <cellStyle name="Percent 5 2 2 17" xfId="28033"/>
    <cellStyle name="Percent 5 2 2 18" xfId="29786"/>
    <cellStyle name="Percent 5 2 2 19" xfId="31538"/>
    <cellStyle name="Percent 5 2 2 2" xfId="2370"/>
    <cellStyle name="Percent 5 2 2 2 10" xfId="18396"/>
    <cellStyle name="Percent 5 2 2 2 11" xfId="20148"/>
    <cellStyle name="Percent 5 2 2 2 12" xfId="21901"/>
    <cellStyle name="Percent 5 2 2 2 13" xfId="23653"/>
    <cellStyle name="Percent 5 2 2 2 14" xfId="25405"/>
    <cellStyle name="Percent 5 2 2 2 15" xfId="27157"/>
    <cellStyle name="Percent 5 2 2 2 16" xfId="28909"/>
    <cellStyle name="Percent 5 2 2 2 17" xfId="30662"/>
    <cellStyle name="Percent 5 2 2 2 18" xfId="32414"/>
    <cellStyle name="Percent 5 2 2 2 19" xfId="34167"/>
    <cellStyle name="Percent 5 2 2 2 2" xfId="4378"/>
    <cellStyle name="Percent 5 2 2 2 20" xfId="36803"/>
    <cellStyle name="Percent 5 2 2 2 21" xfId="38543"/>
    <cellStyle name="Percent 5 2 2 2 22" xfId="40296"/>
    <cellStyle name="Percent 5 2 2 2 23" xfId="42051"/>
    <cellStyle name="Percent 5 2 2 2 24" xfId="43803"/>
    <cellStyle name="Percent 5 2 2 2 25" xfId="46421"/>
    <cellStyle name="Percent 5 2 2 2 26" xfId="48173"/>
    <cellStyle name="Percent 5 2 2 2 27" xfId="49925"/>
    <cellStyle name="Percent 5 2 2 2 28" xfId="51677"/>
    <cellStyle name="Percent 5 2 2 2 29" xfId="53429"/>
    <cellStyle name="Percent 5 2 2 2 3" xfId="6130"/>
    <cellStyle name="Percent 5 2 2 2 30" xfId="55181"/>
    <cellStyle name="Percent 5 2 2 2 31" xfId="56933"/>
    <cellStyle name="Percent 5 2 2 2 32" xfId="58686"/>
    <cellStyle name="Percent 5 2 2 2 33" xfId="60438"/>
    <cellStyle name="Percent 5 2 2 2 34" xfId="62190"/>
    <cellStyle name="Percent 5 2 2 2 4" xfId="7882"/>
    <cellStyle name="Percent 5 2 2 2 5" xfId="9634"/>
    <cellStyle name="Percent 5 2 2 2 6" xfId="11387"/>
    <cellStyle name="Percent 5 2 2 2 7" xfId="13139"/>
    <cellStyle name="Percent 5 2 2 2 8" xfId="14891"/>
    <cellStyle name="Percent 5 2 2 2 9" xfId="16643"/>
    <cellStyle name="Percent 5 2 2 20" xfId="33291"/>
    <cellStyle name="Percent 5 2 2 21" xfId="35051"/>
    <cellStyle name="Percent 5 2 2 22" xfId="35927"/>
    <cellStyle name="Percent 5 2 2 23" xfId="37676"/>
    <cellStyle name="Percent 5 2 2 24" xfId="39420"/>
    <cellStyle name="Percent 5 2 2 25" xfId="41175"/>
    <cellStyle name="Percent 5 2 2 26" xfId="42927"/>
    <cellStyle name="Percent 5 2 2 27" xfId="44672"/>
    <cellStyle name="Percent 5 2 2 28" xfId="45545"/>
    <cellStyle name="Percent 5 2 2 29" xfId="47297"/>
    <cellStyle name="Percent 5 2 2 3" xfId="3502"/>
    <cellStyle name="Percent 5 2 2 30" xfId="49049"/>
    <cellStyle name="Percent 5 2 2 31" xfId="50801"/>
    <cellStyle name="Percent 5 2 2 32" xfId="52553"/>
    <cellStyle name="Percent 5 2 2 33" xfId="54305"/>
    <cellStyle name="Percent 5 2 2 34" xfId="56057"/>
    <cellStyle name="Percent 5 2 2 35" xfId="57810"/>
    <cellStyle name="Percent 5 2 2 36" xfId="59562"/>
    <cellStyle name="Percent 5 2 2 37" xfId="61314"/>
    <cellStyle name="Percent 5 2 2 38" xfId="63059"/>
    <cellStyle name="Percent 5 2 2 39" xfId="63925"/>
    <cellStyle name="Percent 5 2 2 4" xfId="5254"/>
    <cellStyle name="Percent 5 2 2 5" xfId="7006"/>
    <cellStyle name="Percent 5 2 2 6" xfId="8758"/>
    <cellStyle name="Percent 5 2 2 7" xfId="10511"/>
    <cellStyle name="Percent 5 2 2 8" xfId="12263"/>
    <cellStyle name="Percent 5 2 2 9" xfId="14015"/>
    <cellStyle name="Percent 5 2 20" xfId="31102"/>
    <cellStyle name="Percent 5 2 21" xfId="32855"/>
    <cellStyle name="Percent 5 2 22" xfId="35050"/>
    <cellStyle name="Percent 5 2 23" xfId="35491"/>
    <cellStyle name="Percent 5 2 24" xfId="37675"/>
    <cellStyle name="Percent 5 2 25" xfId="38984"/>
    <cellStyle name="Percent 5 2 26" xfId="40739"/>
    <cellStyle name="Percent 5 2 27" xfId="42491"/>
    <cellStyle name="Percent 5 2 28" xfId="44671"/>
    <cellStyle name="Percent 5 2 29" xfId="45109"/>
    <cellStyle name="Percent 5 2 3" xfId="2371"/>
    <cellStyle name="Percent 5 2 3 10" xfId="17960"/>
    <cellStyle name="Percent 5 2 3 11" xfId="19712"/>
    <cellStyle name="Percent 5 2 3 12" xfId="21465"/>
    <cellStyle name="Percent 5 2 3 13" xfId="23217"/>
    <cellStyle name="Percent 5 2 3 14" xfId="24969"/>
    <cellStyle name="Percent 5 2 3 15" xfId="26721"/>
    <cellStyle name="Percent 5 2 3 16" xfId="28473"/>
    <cellStyle name="Percent 5 2 3 17" xfId="30226"/>
    <cellStyle name="Percent 5 2 3 18" xfId="31978"/>
    <cellStyle name="Percent 5 2 3 19" xfId="33731"/>
    <cellStyle name="Percent 5 2 3 2" xfId="3942"/>
    <cellStyle name="Percent 5 2 3 20" xfId="36367"/>
    <cellStyle name="Percent 5 2 3 21" xfId="38107"/>
    <cellStyle name="Percent 5 2 3 22" xfId="39860"/>
    <cellStyle name="Percent 5 2 3 23" xfId="41615"/>
    <cellStyle name="Percent 5 2 3 24" xfId="43367"/>
    <cellStyle name="Percent 5 2 3 25" xfId="45985"/>
    <cellStyle name="Percent 5 2 3 26" xfId="47737"/>
    <cellStyle name="Percent 5 2 3 27" xfId="49489"/>
    <cellStyle name="Percent 5 2 3 28" xfId="51241"/>
    <cellStyle name="Percent 5 2 3 29" xfId="52993"/>
    <cellStyle name="Percent 5 2 3 3" xfId="5694"/>
    <cellStyle name="Percent 5 2 3 30" xfId="54745"/>
    <cellStyle name="Percent 5 2 3 31" xfId="56497"/>
    <cellStyle name="Percent 5 2 3 32" xfId="58250"/>
    <cellStyle name="Percent 5 2 3 33" xfId="60002"/>
    <cellStyle name="Percent 5 2 3 34" xfId="61754"/>
    <cellStyle name="Percent 5 2 3 4" xfId="7446"/>
    <cellStyle name="Percent 5 2 3 5" xfId="9198"/>
    <cellStyle name="Percent 5 2 3 6" xfId="10951"/>
    <cellStyle name="Percent 5 2 3 7" xfId="12703"/>
    <cellStyle name="Percent 5 2 3 8" xfId="14455"/>
    <cellStyle name="Percent 5 2 3 9" xfId="16207"/>
    <cellStyle name="Percent 5 2 30" xfId="46861"/>
    <cellStyle name="Percent 5 2 31" xfId="48613"/>
    <cellStyle name="Percent 5 2 32" xfId="50365"/>
    <cellStyle name="Percent 5 2 33" xfId="52117"/>
    <cellStyle name="Percent 5 2 34" xfId="53869"/>
    <cellStyle name="Percent 5 2 35" xfId="55621"/>
    <cellStyle name="Percent 5 2 36" xfId="57374"/>
    <cellStyle name="Percent 5 2 37" xfId="59126"/>
    <cellStyle name="Percent 5 2 38" xfId="60878"/>
    <cellStyle name="Percent 5 2 39" xfId="63058"/>
    <cellStyle name="Percent 5 2 4" xfId="3066"/>
    <cellStyle name="Percent 5 2 40" xfId="63924"/>
    <cellStyle name="Percent 5 2 5" xfId="4818"/>
    <cellStyle name="Percent 5 2 6" xfId="6570"/>
    <cellStyle name="Percent 5 2 7" xfId="8322"/>
    <cellStyle name="Percent 5 2 8" xfId="10075"/>
    <cellStyle name="Percent 5 2 9" xfId="11827"/>
    <cellStyle name="Percent 5 20" xfId="29132"/>
    <cellStyle name="Percent 5 21" xfId="30884"/>
    <cellStyle name="Percent 5 22" xfId="32637"/>
    <cellStyle name="Percent 5 23" xfId="35049"/>
    <cellStyle name="Percent 5 24" xfId="35273"/>
    <cellStyle name="Percent 5 25" xfId="37674"/>
    <cellStyle name="Percent 5 26" xfId="38766"/>
    <cellStyle name="Percent 5 27" xfId="40521"/>
    <cellStyle name="Percent 5 28" xfId="42273"/>
    <cellStyle name="Percent 5 29" xfId="44670"/>
    <cellStyle name="Percent 5 3" xfId="2372"/>
    <cellStyle name="Percent 5 3 10" xfId="15549"/>
    <cellStyle name="Percent 5 3 11" xfId="17302"/>
    <cellStyle name="Percent 5 3 12" xfId="19054"/>
    <cellStyle name="Percent 5 3 13" xfId="20807"/>
    <cellStyle name="Percent 5 3 14" xfId="22559"/>
    <cellStyle name="Percent 5 3 15" xfId="24311"/>
    <cellStyle name="Percent 5 3 16" xfId="26063"/>
    <cellStyle name="Percent 5 3 17" xfId="27815"/>
    <cellStyle name="Percent 5 3 18" xfId="29568"/>
    <cellStyle name="Percent 5 3 19" xfId="31320"/>
    <cellStyle name="Percent 5 3 2" xfId="2373"/>
    <cellStyle name="Percent 5 3 2 10" xfId="18178"/>
    <cellStyle name="Percent 5 3 2 11" xfId="19930"/>
    <cellStyle name="Percent 5 3 2 12" xfId="21683"/>
    <cellStyle name="Percent 5 3 2 13" xfId="23435"/>
    <cellStyle name="Percent 5 3 2 14" xfId="25187"/>
    <cellStyle name="Percent 5 3 2 15" xfId="26939"/>
    <cellStyle name="Percent 5 3 2 16" xfId="28691"/>
    <cellStyle name="Percent 5 3 2 17" xfId="30444"/>
    <cellStyle name="Percent 5 3 2 18" xfId="32196"/>
    <cellStyle name="Percent 5 3 2 19" xfId="33949"/>
    <cellStyle name="Percent 5 3 2 2" xfId="4160"/>
    <cellStyle name="Percent 5 3 2 20" xfId="36585"/>
    <cellStyle name="Percent 5 3 2 21" xfId="38325"/>
    <cellStyle name="Percent 5 3 2 22" xfId="40078"/>
    <cellStyle name="Percent 5 3 2 23" xfId="41833"/>
    <cellStyle name="Percent 5 3 2 24" xfId="43585"/>
    <cellStyle name="Percent 5 3 2 25" xfId="46203"/>
    <cellStyle name="Percent 5 3 2 26" xfId="47955"/>
    <cellStyle name="Percent 5 3 2 27" xfId="49707"/>
    <cellStyle name="Percent 5 3 2 28" xfId="51459"/>
    <cellStyle name="Percent 5 3 2 29" xfId="53211"/>
    <cellStyle name="Percent 5 3 2 3" xfId="5912"/>
    <cellStyle name="Percent 5 3 2 30" xfId="54963"/>
    <cellStyle name="Percent 5 3 2 31" xfId="56715"/>
    <cellStyle name="Percent 5 3 2 32" xfId="58468"/>
    <cellStyle name="Percent 5 3 2 33" xfId="60220"/>
    <cellStyle name="Percent 5 3 2 34" xfId="61972"/>
    <cellStyle name="Percent 5 3 2 4" xfId="7664"/>
    <cellStyle name="Percent 5 3 2 5" xfId="9416"/>
    <cellStyle name="Percent 5 3 2 6" xfId="11169"/>
    <cellStyle name="Percent 5 3 2 7" xfId="12921"/>
    <cellStyle name="Percent 5 3 2 8" xfId="14673"/>
    <cellStyle name="Percent 5 3 2 9" xfId="16425"/>
    <cellStyle name="Percent 5 3 20" xfId="33073"/>
    <cellStyle name="Percent 5 3 21" xfId="35052"/>
    <cellStyle name="Percent 5 3 22" xfId="35709"/>
    <cellStyle name="Percent 5 3 23" xfId="37677"/>
    <cellStyle name="Percent 5 3 24" xfId="39202"/>
    <cellStyle name="Percent 5 3 25" xfId="40957"/>
    <cellStyle name="Percent 5 3 26" xfId="42709"/>
    <cellStyle name="Percent 5 3 27" xfId="44673"/>
    <cellStyle name="Percent 5 3 28" xfId="45327"/>
    <cellStyle name="Percent 5 3 29" xfId="47079"/>
    <cellStyle name="Percent 5 3 3" xfId="3284"/>
    <cellStyle name="Percent 5 3 30" xfId="48831"/>
    <cellStyle name="Percent 5 3 31" xfId="50583"/>
    <cellStyle name="Percent 5 3 32" xfId="52335"/>
    <cellStyle name="Percent 5 3 33" xfId="54087"/>
    <cellStyle name="Percent 5 3 34" xfId="55839"/>
    <cellStyle name="Percent 5 3 35" xfId="57592"/>
    <cellStyle name="Percent 5 3 36" xfId="59344"/>
    <cellStyle name="Percent 5 3 37" xfId="61096"/>
    <cellStyle name="Percent 5 3 38" xfId="63060"/>
    <cellStyle name="Percent 5 3 39" xfId="63926"/>
    <cellStyle name="Percent 5 3 4" xfId="5036"/>
    <cellStyle name="Percent 5 3 5" xfId="6788"/>
    <cellStyle name="Percent 5 3 6" xfId="8540"/>
    <cellStyle name="Percent 5 3 7" xfId="10293"/>
    <cellStyle name="Percent 5 3 8" xfId="12045"/>
    <cellStyle name="Percent 5 3 9" xfId="13797"/>
    <cellStyle name="Percent 5 30" xfId="44891"/>
    <cellStyle name="Percent 5 31" xfId="46643"/>
    <cellStyle name="Percent 5 32" xfId="48395"/>
    <cellStyle name="Percent 5 33" xfId="50147"/>
    <cellStyle name="Percent 5 34" xfId="51899"/>
    <cellStyle name="Percent 5 35" xfId="53651"/>
    <cellStyle name="Percent 5 36" xfId="55403"/>
    <cellStyle name="Percent 5 37" xfId="57156"/>
    <cellStyle name="Percent 5 38" xfId="58908"/>
    <cellStyle name="Percent 5 39" xfId="60660"/>
    <cellStyle name="Percent 5 4" xfId="2374"/>
    <cellStyle name="Percent 5 4 10" xfId="17742"/>
    <cellStyle name="Percent 5 4 11" xfId="19494"/>
    <cellStyle name="Percent 5 4 12" xfId="21247"/>
    <cellStyle name="Percent 5 4 13" xfId="22999"/>
    <cellStyle name="Percent 5 4 14" xfId="24751"/>
    <cellStyle name="Percent 5 4 15" xfId="26503"/>
    <cellStyle name="Percent 5 4 16" xfId="28255"/>
    <cellStyle name="Percent 5 4 17" xfId="30008"/>
    <cellStyle name="Percent 5 4 18" xfId="31760"/>
    <cellStyle name="Percent 5 4 19" xfId="33513"/>
    <cellStyle name="Percent 5 4 2" xfId="3724"/>
    <cellStyle name="Percent 5 4 20" xfId="36149"/>
    <cellStyle name="Percent 5 4 21" xfId="37889"/>
    <cellStyle name="Percent 5 4 22" xfId="39642"/>
    <cellStyle name="Percent 5 4 23" xfId="41397"/>
    <cellStyle name="Percent 5 4 24" xfId="43149"/>
    <cellStyle name="Percent 5 4 25" xfId="45767"/>
    <cellStyle name="Percent 5 4 26" xfId="47519"/>
    <cellStyle name="Percent 5 4 27" xfId="49271"/>
    <cellStyle name="Percent 5 4 28" xfId="51023"/>
    <cellStyle name="Percent 5 4 29" xfId="52775"/>
    <cellStyle name="Percent 5 4 3" xfId="5476"/>
    <cellStyle name="Percent 5 4 30" xfId="54527"/>
    <cellStyle name="Percent 5 4 31" xfId="56279"/>
    <cellStyle name="Percent 5 4 32" xfId="58032"/>
    <cellStyle name="Percent 5 4 33" xfId="59784"/>
    <cellStyle name="Percent 5 4 34" xfId="61536"/>
    <cellStyle name="Percent 5 4 4" xfId="7228"/>
    <cellStyle name="Percent 5 4 5" xfId="8980"/>
    <cellStyle name="Percent 5 4 6" xfId="10733"/>
    <cellStyle name="Percent 5 4 7" xfId="12485"/>
    <cellStyle name="Percent 5 4 8" xfId="14237"/>
    <cellStyle name="Percent 5 4 9" xfId="15989"/>
    <cellStyle name="Percent 5 40" xfId="63057"/>
    <cellStyle name="Percent 5 41" xfId="63923"/>
    <cellStyle name="Percent 5 5" xfId="2848"/>
    <cellStyle name="Percent 5 6" xfId="4600"/>
    <cellStyle name="Percent 5 7" xfId="6352"/>
    <cellStyle name="Percent 5 8" xfId="8104"/>
    <cellStyle name="Percent 5 9" xfId="9857"/>
    <cellStyle name="Title 10" xfId="2375"/>
    <cellStyle name="Title 10 2" xfId="2631"/>
    <cellStyle name="Title 11" xfId="2376"/>
    <cellStyle name="Title 11 2" xfId="2632"/>
    <cellStyle name="Title 12" xfId="2377"/>
    <cellStyle name="Title 12 2" xfId="35053"/>
    <cellStyle name="Title 13" xfId="2453"/>
    <cellStyle name="Title 2" xfId="2378"/>
    <cellStyle name="Title 2 10" xfId="2379"/>
    <cellStyle name="Title 2 11" xfId="2380"/>
    <cellStyle name="Title 2 2" xfId="2381"/>
    <cellStyle name="Title 2 3" xfId="2382"/>
    <cellStyle name="Title 2 4" xfId="2383"/>
    <cellStyle name="Title 2 5" xfId="2384"/>
    <cellStyle name="Title 2 6" xfId="2385"/>
    <cellStyle name="Title 2 7" xfId="2386"/>
    <cellStyle name="Title 2 8" xfId="2387"/>
    <cellStyle name="Title 2 9" xfId="2388"/>
    <cellStyle name="Title 3" xfId="2389"/>
    <cellStyle name="Title 3 2" xfId="2633"/>
    <cellStyle name="Title 4" xfId="2390"/>
    <cellStyle name="Title 4 2" xfId="2634"/>
    <cellStyle name="Title 5" xfId="2391"/>
    <cellStyle name="Title 5 2" xfId="2635"/>
    <cellStyle name="Title 6" xfId="2392"/>
    <cellStyle name="Title 6 2" xfId="2636"/>
    <cellStyle name="Title 7" xfId="2393"/>
    <cellStyle name="Title 7 2" xfId="2637"/>
    <cellStyle name="Title 8" xfId="2394"/>
    <cellStyle name="Title 8 2" xfId="2638"/>
    <cellStyle name="Title 9" xfId="2395"/>
    <cellStyle name="Title 9 2" xfId="2639"/>
    <cellStyle name="Total 10" xfId="2396"/>
    <cellStyle name="Total 10 2" xfId="2640"/>
    <cellStyle name="Total 11" xfId="2397"/>
    <cellStyle name="Total 11 2" xfId="2641"/>
    <cellStyle name="Total 12" xfId="2398"/>
    <cellStyle name="Total 12 2" xfId="35054"/>
    <cellStyle name="Total 13" xfId="2454"/>
    <cellStyle name="Total 2" xfId="2399"/>
    <cellStyle name="Total 2 10" xfId="2400"/>
    <cellStyle name="Total 2 11" xfId="2401"/>
    <cellStyle name="Total 2 2" xfId="2402"/>
    <cellStyle name="Total 2 3" xfId="2403"/>
    <cellStyle name="Total 2 4" xfId="2404"/>
    <cellStyle name="Total 2 5" xfId="2405"/>
    <cellStyle name="Total 2 6" xfId="2406"/>
    <cellStyle name="Total 2 7" xfId="2407"/>
    <cellStyle name="Total 2 8" xfId="2408"/>
    <cellStyle name="Total 2 9" xfId="2409"/>
    <cellStyle name="Total 3" xfId="2410"/>
    <cellStyle name="Total 3 2" xfId="2642"/>
    <cellStyle name="Total 4" xfId="2411"/>
    <cellStyle name="Total 4 2" xfId="2643"/>
    <cellStyle name="Total 5" xfId="2412"/>
    <cellStyle name="Total 5 2" xfId="2644"/>
    <cellStyle name="Total 6" xfId="2413"/>
    <cellStyle name="Total 6 2" xfId="2645"/>
    <cellStyle name="Total 7" xfId="2414"/>
    <cellStyle name="Total 7 2" xfId="2646"/>
    <cellStyle name="Total 8" xfId="2415"/>
    <cellStyle name="Total 8 2" xfId="2647"/>
    <cellStyle name="Total 9" xfId="2416"/>
    <cellStyle name="Total 9 2" xfId="2648"/>
    <cellStyle name="Warning Text 10" xfId="2417"/>
    <cellStyle name="Warning Text 10 2" xfId="2649"/>
    <cellStyle name="Warning Text 11" xfId="2418"/>
    <cellStyle name="Warning Text 11 2" xfId="2650"/>
    <cellStyle name="Warning Text 12" xfId="2419"/>
    <cellStyle name="Warning Text 12 2" xfId="35055"/>
    <cellStyle name="Warning Text 13" xfId="2455"/>
    <cellStyle name="Warning Text 2" xfId="2420"/>
    <cellStyle name="Warning Text 2 10" xfId="2421"/>
    <cellStyle name="Warning Text 2 11" xfId="2422"/>
    <cellStyle name="Warning Text 2 2" xfId="2423"/>
    <cellStyle name="Warning Text 2 3" xfId="2424"/>
    <cellStyle name="Warning Text 2 4" xfId="2425"/>
    <cellStyle name="Warning Text 2 5" xfId="2426"/>
    <cellStyle name="Warning Text 2 6" xfId="2427"/>
    <cellStyle name="Warning Text 2 7" xfId="2428"/>
    <cellStyle name="Warning Text 2 8" xfId="2429"/>
    <cellStyle name="Warning Text 2 9" xfId="2430"/>
    <cellStyle name="Warning Text 3" xfId="2431"/>
    <cellStyle name="Warning Text 3 2" xfId="2651"/>
    <cellStyle name="Warning Text 4" xfId="2432"/>
    <cellStyle name="Warning Text 4 2" xfId="2652"/>
    <cellStyle name="Warning Text 5" xfId="2433"/>
    <cellStyle name="Warning Text 5 2" xfId="2653"/>
    <cellStyle name="Warning Text 6" xfId="2434"/>
    <cellStyle name="Warning Text 6 2" xfId="2654"/>
    <cellStyle name="Warning Text 7" xfId="2435"/>
    <cellStyle name="Warning Text 7 2" xfId="2655"/>
    <cellStyle name="Warning Text 8" xfId="2436"/>
    <cellStyle name="Warning Text 8 2" xfId="2656"/>
    <cellStyle name="Warning Text 9" xfId="2437"/>
    <cellStyle name="Warning Text 9 2" xfId="2657"/>
  </cellStyles>
  <dxfs count="59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Verve">
      <a:majorFont>
        <a:latin typeface="Century Gothic"/>
        <a:ea typeface=""/>
        <a:cs typeface=""/>
        <a:font script="Jpan" typeface="HGｺﾞｼｯｸM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5"/>
  <sheetViews>
    <sheetView zoomScaleNormal="100" zoomScaleSheetLayoutView="100" workbookViewId="0">
      <selection activeCell="F36" sqref="F36:G36"/>
    </sheetView>
  </sheetViews>
  <sheetFormatPr defaultRowHeight="16.5" x14ac:dyDescent="0.3"/>
  <cols>
    <col min="1" max="1" width="6.75" customWidth="1"/>
    <col min="2" max="2" width="8.875" customWidth="1"/>
    <col min="3" max="3" width="22.5" customWidth="1"/>
    <col min="4" max="4" width="16.625" customWidth="1"/>
    <col min="5" max="5" width="21.5" customWidth="1"/>
    <col min="6" max="6" width="17.5" customWidth="1"/>
    <col min="7" max="7" width="14.875" customWidth="1"/>
    <col min="8" max="8" width="15.75" style="6" customWidth="1"/>
    <col min="9" max="9" width="16.5" customWidth="1"/>
    <col min="10" max="10" width="18.375" customWidth="1"/>
  </cols>
  <sheetData>
    <row r="1" spans="1:12" ht="14.25" customHeight="1" x14ac:dyDescent="0.3">
      <c r="A1" s="288" t="s">
        <v>2</v>
      </c>
      <c r="B1" s="288"/>
      <c r="C1" s="288"/>
      <c r="D1" s="288"/>
      <c r="E1" s="288"/>
      <c r="F1" s="288"/>
      <c r="G1" s="288"/>
      <c r="H1" s="288"/>
      <c r="I1" s="288"/>
    </row>
    <row r="2" spans="1:12" s="2" customFormat="1" ht="15" customHeight="1" x14ac:dyDescent="0.3">
      <c r="A2" s="288"/>
      <c r="B2" s="288"/>
      <c r="C2" s="288"/>
      <c r="D2" s="288"/>
      <c r="E2" s="288"/>
      <c r="F2" s="288"/>
      <c r="G2" s="288"/>
      <c r="H2" s="288"/>
      <c r="I2" s="288"/>
    </row>
    <row r="3" spans="1:12" s="2" customFormat="1" ht="15" customHeight="1" x14ac:dyDescent="0.3">
      <c r="A3" s="289" t="s">
        <v>822</v>
      </c>
      <c r="B3" s="289"/>
      <c r="C3" s="289"/>
      <c r="D3" s="289"/>
      <c r="E3" s="289"/>
      <c r="F3" s="289"/>
      <c r="G3" s="289"/>
      <c r="H3" s="289"/>
      <c r="I3" s="289"/>
      <c r="J3" s="9"/>
    </row>
    <row r="4" spans="1:12" ht="15" customHeight="1" x14ac:dyDescent="0.3">
      <c r="A4" s="289"/>
      <c r="B4" s="289"/>
      <c r="C4" s="289"/>
      <c r="D4" s="289"/>
      <c r="E4" s="289"/>
      <c r="F4" s="289"/>
      <c r="G4" s="289"/>
      <c r="H4" s="289"/>
      <c r="I4" s="289"/>
      <c r="J4" s="9"/>
    </row>
    <row r="5" spans="1:12" ht="23.25" customHeight="1" x14ac:dyDescent="0.3">
      <c r="A5" s="290" t="s">
        <v>1030</v>
      </c>
      <c r="B5" s="290"/>
      <c r="C5" s="290"/>
      <c r="D5" s="10"/>
      <c r="E5" s="10"/>
      <c r="G5" s="291" t="s">
        <v>1031</v>
      </c>
      <c r="H5" s="291"/>
      <c r="I5" s="291"/>
      <c r="J5" s="11"/>
      <c r="K5" s="11"/>
      <c r="L5" s="1"/>
    </row>
    <row r="6" spans="1:12" ht="10.5" hidden="1" customHeight="1" x14ac:dyDescent="0.3">
      <c r="A6" s="15"/>
      <c r="B6" s="10"/>
      <c r="C6" s="10"/>
      <c r="D6" s="10"/>
      <c r="E6" s="10"/>
      <c r="G6" s="12"/>
      <c r="H6" s="12"/>
      <c r="I6" s="12"/>
      <c r="J6" s="11"/>
      <c r="K6" s="11"/>
      <c r="L6" s="1"/>
    </row>
    <row r="7" spans="1:12" ht="40.5" hidden="1" customHeight="1" x14ac:dyDescent="0.3">
      <c r="A7" s="292" t="s">
        <v>6</v>
      </c>
      <c r="B7" s="13" t="s">
        <v>7</v>
      </c>
      <c r="C7" s="13" t="s">
        <v>8</v>
      </c>
      <c r="D7" s="13" t="s">
        <v>13</v>
      </c>
      <c r="E7" s="13" t="s">
        <v>9</v>
      </c>
      <c r="F7" s="14" t="s">
        <v>70</v>
      </c>
      <c r="G7" s="14" t="s">
        <v>71</v>
      </c>
      <c r="H7" s="14" t="s">
        <v>72</v>
      </c>
      <c r="I7" s="14" t="s">
        <v>73</v>
      </c>
    </row>
    <row r="8" spans="1:12" s="17" customFormat="1" ht="17.25" hidden="1" customHeight="1" x14ac:dyDescent="0.25">
      <c r="A8" s="293"/>
      <c r="B8" s="5">
        <v>1</v>
      </c>
      <c r="C8" s="25" t="s">
        <v>68</v>
      </c>
      <c r="D8" s="5">
        <v>2</v>
      </c>
      <c r="E8" s="5">
        <v>13814</v>
      </c>
      <c r="F8" s="16" t="e">
        <f>#REF!</f>
        <v>#REF!</v>
      </c>
      <c r="G8" s="5" t="e">
        <f>F8-E8</f>
        <v>#REF!</v>
      </c>
      <c r="H8" s="16" t="e">
        <f>#REF!</f>
        <v>#REF!</v>
      </c>
      <c r="I8" s="5" t="e">
        <f>H8-F8</f>
        <v>#REF!</v>
      </c>
    </row>
    <row r="9" spans="1:12" s="17" customFormat="1" ht="17.25" hidden="1" customHeight="1" x14ac:dyDescent="0.25">
      <c r="A9" s="293"/>
      <c r="B9" s="5">
        <v>2</v>
      </c>
      <c r="C9" s="25" t="s">
        <v>19</v>
      </c>
      <c r="D9" s="5">
        <v>1</v>
      </c>
      <c r="E9" s="5">
        <v>27930</v>
      </c>
      <c r="F9" s="16" t="e">
        <f>#REF!</f>
        <v>#REF!</v>
      </c>
      <c r="G9" s="5" t="e">
        <f t="shared" ref="G9:G18" si="0">F9-E9</f>
        <v>#REF!</v>
      </c>
      <c r="H9" s="16" t="e">
        <f>#REF!</f>
        <v>#REF!</v>
      </c>
      <c r="I9" s="5" t="e">
        <f>H9-F9</f>
        <v>#REF!</v>
      </c>
    </row>
    <row r="10" spans="1:12" s="17" customFormat="1" ht="18" hidden="1" customHeight="1" x14ac:dyDescent="0.25">
      <c r="A10" s="293"/>
      <c r="B10" s="5">
        <v>3</v>
      </c>
      <c r="C10" s="26" t="s">
        <v>16</v>
      </c>
      <c r="D10" s="5">
        <v>7</v>
      </c>
      <c r="E10" s="5">
        <v>35000</v>
      </c>
      <c r="F10" s="16" t="e">
        <f>#REF!</f>
        <v>#REF!</v>
      </c>
      <c r="G10" s="5"/>
      <c r="H10" s="16" t="e">
        <f>#REF!</f>
        <v>#REF!</v>
      </c>
      <c r="I10" s="5" t="e">
        <f>H10-F10</f>
        <v>#REF!</v>
      </c>
    </row>
    <row r="11" spans="1:12" s="17" customFormat="1" ht="18" hidden="1" customHeight="1" x14ac:dyDescent="0.25">
      <c r="A11" s="293"/>
      <c r="B11" s="5">
        <v>4</v>
      </c>
      <c r="C11" s="25" t="s">
        <v>10</v>
      </c>
      <c r="D11" s="5">
        <v>18</v>
      </c>
      <c r="E11" s="5">
        <v>224918</v>
      </c>
      <c r="F11" s="16" t="e">
        <f>#REF!</f>
        <v>#REF!</v>
      </c>
      <c r="G11" s="5" t="e">
        <f t="shared" si="0"/>
        <v>#REF!</v>
      </c>
      <c r="H11" s="16" t="e">
        <f>#REF!</f>
        <v>#REF!</v>
      </c>
      <c r="I11" s="5" t="e">
        <f>H11-F11</f>
        <v>#REF!</v>
      </c>
    </row>
    <row r="12" spans="1:12" s="23" customFormat="1" ht="18" hidden="1" customHeight="1" x14ac:dyDescent="0.3">
      <c r="A12" s="293"/>
      <c r="B12" s="5">
        <v>5</v>
      </c>
      <c r="C12" s="25" t="s">
        <v>17</v>
      </c>
      <c r="D12" s="5">
        <v>21</v>
      </c>
      <c r="E12" s="24">
        <v>120253</v>
      </c>
      <c r="F12" s="16" t="e">
        <f>#REF!</f>
        <v>#REF!</v>
      </c>
      <c r="G12" s="5" t="e">
        <f t="shared" si="0"/>
        <v>#REF!</v>
      </c>
      <c r="H12" s="16" t="e">
        <f>#REF!</f>
        <v>#REF!</v>
      </c>
      <c r="I12" s="5" t="e">
        <f>H12-F12</f>
        <v>#REF!</v>
      </c>
    </row>
    <row r="13" spans="1:12" s="18" customFormat="1" ht="18" hidden="1" customHeight="1" x14ac:dyDescent="0.3">
      <c r="A13" s="293"/>
      <c r="B13" s="5">
        <v>6</v>
      </c>
      <c r="C13" s="25" t="s">
        <v>80</v>
      </c>
      <c r="D13" s="5">
        <v>1</v>
      </c>
      <c r="E13" s="24">
        <v>3060</v>
      </c>
      <c r="F13" s="19" t="e">
        <f>#REF!</f>
        <v>#REF!</v>
      </c>
      <c r="G13" s="5" t="e">
        <f>F13-E13</f>
        <v>#REF!</v>
      </c>
      <c r="H13" s="16" t="e">
        <f>#REF!</f>
        <v>#REF!</v>
      </c>
      <c r="I13" s="5" t="e">
        <f t="shared" ref="I13:I18" si="1">H13-F13</f>
        <v>#REF!</v>
      </c>
    </row>
    <row r="14" spans="1:12" s="18" customFormat="1" ht="18" hidden="1" customHeight="1" x14ac:dyDescent="0.3">
      <c r="A14" s="293"/>
      <c r="B14" s="5">
        <v>7</v>
      </c>
      <c r="C14" s="25" t="s">
        <v>81</v>
      </c>
      <c r="D14" s="5">
        <v>2</v>
      </c>
      <c r="E14" s="24">
        <v>40316</v>
      </c>
      <c r="F14" s="16" t="e">
        <f>#REF!</f>
        <v>#REF!</v>
      </c>
      <c r="G14" s="5" t="e">
        <f t="shared" si="0"/>
        <v>#REF!</v>
      </c>
      <c r="H14" s="16" t="e">
        <f>#REF!</f>
        <v>#REF!</v>
      </c>
      <c r="I14" s="5" t="e">
        <f>H14-F14</f>
        <v>#REF!</v>
      </c>
    </row>
    <row r="15" spans="1:12" s="18" customFormat="1" ht="18" hidden="1" customHeight="1" x14ac:dyDescent="0.3">
      <c r="A15" s="293"/>
      <c r="B15" s="5">
        <v>8</v>
      </c>
      <c r="C15" s="25" t="s">
        <v>18</v>
      </c>
      <c r="D15" s="5">
        <v>9</v>
      </c>
      <c r="E15" s="24">
        <v>127207</v>
      </c>
      <c r="F15" s="16" t="e">
        <f>#REF!</f>
        <v>#REF!</v>
      </c>
      <c r="G15" s="5" t="e">
        <f t="shared" si="0"/>
        <v>#REF!</v>
      </c>
      <c r="H15" s="16" t="e">
        <f>#REF!</f>
        <v>#REF!</v>
      </c>
      <c r="I15" s="5" t="e">
        <f>H15-F15</f>
        <v>#REF!</v>
      </c>
    </row>
    <row r="16" spans="1:12" s="18" customFormat="1" ht="31.5" hidden="1" customHeight="1" x14ac:dyDescent="0.3">
      <c r="A16" s="293"/>
      <c r="B16" s="5">
        <v>9</v>
      </c>
      <c r="C16" s="27" t="s">
        <v>20</v>
      </c>
      <c r="D16" s="5">
        <v>55</v>
      </c>
      <c r="E16" s="24">
        <v>424200</v>
      </c>
      <c r="F16" s="16" t="e">
        <f>#REF!</f>
        <v>#REF!</v>
      </c>
      <c r="G16" s="5" t="e">
        <f t="shared" si="0"/>
        <v>#REF!</v>
      </c>
      <c r="H16" s="16" t="e">
        <f>#REF!</f>
        <v>#REF!</v>
      </c>
      <c r="I16" s="5" t="e">
        <f t="shared" si="1"/>
        <v>#REF!</v>
      </c>
    </row>
    <row r="17" spans="1:9" s="18" customFormat="1" ht="31.5" hidden="1" customHeight="1" x14ac:dyDescent="0.3">
      <c r="A17" s="293"/>
      <c r="B17" s="5">
        <v>10</v>
      </c>
      <c r="C17" s="27" t="s">
        <v>74</v>
      </c>
      <c r="D17" s="5">
        <v>12</v>
      </c>
      <c r="E17" s="24">
        <v>22000</v>
      </c>
      <c r="F17" s="16" t="e">
        <f>#REF!</f>
        <v>#REF!</v>
      </c>
      <c r="G17" s="5" t="e">
        <f t="shared" si="0"/>
        <v>#REF!</v>
      </c>
      <c r="H17" s="16" t="e">
        <f>#REF!</f>
        <v>#REF!</v>
      </c>
      <c r="I17" s="5" t="e">
        <f>H17-F17</f>
        <v>#REF!</v>
      </c>
    </row>
    <row r="18" spans="1:9" s="18" customFormat="1" ht="18" hidden="1" customHeight="1" x14ac:dyDescent="0.3">
      <c r="A18" s="293"/>
      <c r="B18" s="5">
        <v>11</v>
      </c>
      <c r="C18" s="25" t="s">
        <v>11</v>
      </c>
      <c r="D18" s="5">
        <f>5+8+56</f>
        <v>69</v>
      </c>
      <c r="E18" s="24">
        <f>10690+22088+168399</f>
        <v>201177</v>
      </c>
      <c r="F18" s="19" t="e">
        <f>#REF!</f>
        <v>#REF!</v>
      </c>
      <c r="G18" s="5" t="e">
        <f t="shared" si="0"/>
        <v>#REF!</v>
      </c>
      <c r="H18" s="19" t="e">
        <f>#REF!</f>
        <v>#REF!</v>
      </c>
      <c r="I18" s="5" t="e">
        <f t="shared" si="1"/>
        <v>#REF!</v>
      </c>
    </row>
    <row r="19" spans="1:9" s="22" customFormat="1" ht="26.25" hidden="1" customHeight="1" x14ac:dyDescent="0.35">
      <c r="A19" s="294"/>
      <c r="B19" s="295" t="s">
        <v>12</v>
      </c>
      <c r="C19" s="296"/>
      <c r="D19" s="21">
        <f t="shared" ref="D19:I19" si="2">SUM(D8:D18)</f>
        <v>197</v>
      </c>
      <c r="E19" s="21">
        <f t="shared" si="2"/>
        <v>1239875</v>
      </c>
      <c r="F19" s="21" t="e">
        <f t="shared" si="2"/>
        <v>#REF!</v>
      </c>
      <c r="G19" s="21" t="e">
        <f t="shared" si="2"/>
        <v>#REF!</v>
      </c>
      <c r="H19" s="21" t="e">
        <f t="shared" si="2"/>
        <v>#REF!</v>
      </c>
      <c r="I19" s="21" t="e">
        <f t="shared" si="2"/>
        <v>#REF!</v>
      </c>
    </row>
    <row r="20" spans="1:9" s="22" customFormat="1" ht="26.25" hidden="1" customHeight="1" x14ac:dyDescent="0.35">
      <c r="A20" s="28"/>
      <c r="B20" s="29"/>
      <c r="C20" s="29"/>
      <c r="D20" s="29"/>
      <c r="E20" s="29"/>
      <c r="F20" s="29"/>
      <c r="G20" s="29"/>
      <c r="H20" s="29"/>
      <c r="I20" s="29"/>
    </row>
    <row r="21" spans="1:9" s="22" customFormat="1" ht="26.25" hidden="1" customHeight="1" x14ac:dyDescent="0.35">
      <c r="A21" s="28"/>
      <c r="B21" s="29"/>
      <c r="C21" s="29"/>
      <c r="D21" s="29"/>
      <c r="E21" s="29"/>
      <c r="F21" s="29"/>
      <c r="G21" s="29"/>
      <c r="H21" s="29"/>
      <c r="I21" s="29"/>
    </row>
    <row r="22" spans="1:9" s="22" customFormat="1" ht="26.25" hidden="1" customHeight="1" x14ac:dyDescent="0.35">
      <c r="A22" s="28"/>
      <c r="B22" s="29"/>
      <c r="C22" s="29"/>
      <c r="D22" s="29"/>
      <c r="E22" s="29"/>
      <c r="F22" s="29"/>
      <c r="G22" s="29"/>
      <c r="H22" s="29"/>
      <c r="I22" s="29"/>
    </row>
    <row r="23" spans="1:9" s="22" customFormat="1" ht="26.25" hidden="1" customHeight="1" x14ac:dyDescent="0.35">
      <c r="A23" s="28"/>
      <c r="B23" s="29"/>
      <c r="C23" s="29"/>
      <c r="D23" s="29"/>
      <c r="E23" s="29"/>
      <c r="F23" s="29"/>
      <c r="G23" s="29"/>
      <c r="H23" s="29"/>
      <c r="I23" s="29"/>
    </row>
    <row r="24" spans="1:9" s="22" customFormat="1" ht="26.25" hidden="1" customHeight="1" x14ac:dyDescent="0.35">
      <c r="A24" s="28"/>
      <c r="B24" s="29"/>
      <c r="C24" s="29"/>
      <c r="D24" s="29"/>
      <c r="E24" s="29"/>
      <c r="F24" s="29"/>
      <c r="G24" s="29"/>
      <c r="H24" s="29"/>
      <c r="I24" s="29"/>
    </row>
    <row r="25" spans="1:9" s="22" customFormat="1" ht="26.25" hidden="1" customHeight="1" x14ac:dyDescent="0.35">
      <c r="A25" s="28"/>
      <c r="B25" s="29"/>
      <c r="C25" s="29"/>
      <c r="D25" s="29"/>
      <c r="E25" s="29"/>
      <c r="F25" s="29"/>
      <c r="G25" s="29"/>
      <c r="H25" s="29"/>
      <c r="I25" s="29"/>
    </row>
    <row r="26" spans="1:9" s="22" customFormat="1" ht="26.25" hidden="1" customHeight="1" x14ac:dyDescent="0.35">
      <c r="A26" s="28"/>
      <c r="B26" s="29"/>
      <c r="C26" s="29"/>
      <c r="D26" s="29"/>
      <c r="E26" s="29"/>
      <c r="F26" s="29"/>
      <c r="G26" s="29"/>
      <c r="H26" s="29"/>
      <c r="I26" s="29"/>
    </row>
    <row r="27" spans="1:9" s="22" customFormat="1" ht="26.25" hidden="1" customHeight="1" x14ac:dyDescent="0.35">
      <c r="A27" s="28"/>
      <c r="B27" s="29"/>
      <c r="C27" s="29"/>
      <c r="D27" s="29"/>
      <c r="E27" s="29"/>
      <c r="F27" s="29"/>
      <c r="G27" s="29"/>
      <c r="H27" s="29"/>
      <c r="I27" s="29"/>
    </row>
    <row r="28" spans="1:9" s="22" customFormat="1" ht="26.25" hidden="1" customHeight="1" x14ac:dyDescent="0.35">
      <c r="A28" s="28"/>
      <c r="B28" s="29"/>
      <c r="C28" s="29"/>
      <c r="D28" s="29"/>
      <c r="E28" s="29"/>
      <c r="F28" s="29"/>
      <c r="G28" s="29"/>
      <c r="H28" s="29"/>
      <c r="I28" s="29"/>
    </row>
    <row r="29" spans="1:9" hidden="1" x14ac:dyDescent="0.3">
      <c r="A29" s="2"/>
      <c r="B29" s="2"/>
      <c r="C29" s="2"/>
      <c r="D29" s="2"/>
      <c r="E29" s="2"/>
      <c r="F29" s="2"/>
      <c r="G29" s="2"/>
      <c r="H29" s="8"/>
      <c r="I29" s="2"/>
    </row>
    <row r="30" spans="1:9" x14ac:dyDescent="0.3">
      <c r="A30" s="2"/>
      <c r="B30" s="2"/>
      <c r="C30" s="2"/>
      <c r="D30" s="2"/>
      <c r="E30" s="2"/>
      <c r="F30" s="2"/>
      <c r="G30" s="4"/>
      <c r="H30" s="4"/>
      <c r="I30" s="4"/>
    </row>
    <row r="31" spans="1:9" x14ac:dyDescent="0.3">
      <c r="A31" s="2"/>
      <c r="B31" s="2"/>
      <c r="C31" s="2"/>
      <c r="D31" s="2"/>
      <c r="E31" s="2"/>
      <c r="F31" s="2"/>
      <c r="G31" s="2"/>
      <c r="H31" s="8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8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8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8"/>
      <c r="I34" s="2"/>
    </row>
    <row r="35" spans="1:9" ht="27.75" customHeight="1" x14ac:dyDescent="0.3">
      <c r="B35" s="4"/>
      <c r="C35" s="4"/>
      <c r="D35" s="281" t="s">
        <v>82</v>
      </c>
      <c r="E35" s="281"/>
      <c r="F35" s="297">
        <f>'Production '!L2258</f>
        <v>59025</v>
      </c>
      <c r="G35" s="298"/>
      <c r="I35" s="20"/>
    </row>
    <row r="36" spans="1:9" ht="27.75" customHeight="1" x14ac:dyDescent="0.3">
      <c r="B36" s="4"/>
      <c r="C36" s="4"/>
      <c r="D36" s="281" t="s">
        <v>823</v>
      </c>
      <c r="E36" s="281"/>
      <c r="F36" s="279">
        <f>54864+47515+49192+53263+61506+54059+67005+60402+57638+58219+55736+60606+56662</f>
        <v>736667</v>
      </c>
      <c r="G36" s="280"/>
      <c r="I36" s="20"/>
    </row>
    <row r="37" spans="1:9" ht="27.75" customHeight="1" x14ac:dyDescent="0.3">
      <c r="B37" s="4"/>
      <c r="C37" s="4"/>
      <c r="D37" s="281" t="s">
        <v>824</v>
      </c>
      <c r="E37" s="281"/>
      <c r="F37" s="279">
        <v>13</v>
      </c>
      <c r="G37" s="280"/>
      <c r="I37" s="20"/>
    </row>
    <row r="38" spans="1:9" ht="27.75" customHeight="1" x14ac:dyDescent="0.3">
      <c r="B38" s="4"/>
      <c r="C38" s="4"/>
      <c r="D38" s="284" t="s">
        <v>825</v>
      </c>
      <c r="E38" s="284"/>
      <c r="F38" s="279">
        <f>F36/F37</f>
        <v>56666.692307692305</v>
      </c>
      <c r="G38" s="280"/>
      <c r="I38" s="20"/>
    </row>
    <row r="39" spans="1:9" ht="27.75" customHeight="1" x14ac:dyDescent="0.3">
      <c r="B39" s="4"/>
      <c r="C39" s="4"/>
      <c r="D39" s="281" t="s">
        <v>83</v>
      </c>
      <c r="E39" s="281"/>
      <c r="F39" s="282">
        <f>'Production '!M2258</f>
        <v>2043097</v>
      </c>
      <c r="G39" s="283"/>
      <c r="H39" s="33"/>
      <c r="I39" s="20"/>
    </row>
    <row r="40" spans="1:9" ht="27.75" customHeight="1" x14ac:dyDescent="0.3">
      <c r="B40" s="4"/>
      <c r="C40" s="35"/>
      <c r="D40" s="281" t="s">
        <v>4</v>
      </c>
      <c r="E40" s="281"/>
      <c r="F40" s="282">
        <f>'Production '!X2258</f>
        <v>-537967</v>
      </c>
      <c r="G40" s="283"/>
      <c r="H40" s="31"/>
    </row>
    <row r="41" spans="1:9" ht="27.75" customHeight="1" x14ac:dyDescent="0.3">
      <c r="B41" s="4"/>
      <c r="C41" s="35"/>
      <c r="D41" s="281" t="s">
        <v>75</v>
      </c>
      <c r="E41" s="281"/>
      <c r="F41" s="280">
        <f>'Production '!V2258</f>
        <v>43847</v>
      </c>
      <c r="G41" s="287"/>
      <c r="H41" s="7"/>
      <c r="I41" s="3"/>
    </row>
    <row r="42" spans="1:9" ht="27.75" customHeight="1" x14ac:dyDescent="0.3">
      <c r="B42" s="4"/>
      <c r="C42" s="36"/>
      <c r="D42" s="281" t="s">
        <v>76</v>
      </c>
      <c r="E42" s="281"/>
      <c r="F42" s="280">
        <f>'Production '!W2258</f>
        <v>1505130</v>
      </c>
      <c r="G42" s="287"/>
      <c r="H42" s="37"/>
      <c r="I42" s="38"/>
    </row>
    <row r="43" spans="1:9" ht="27.75" customHeight="1" x14ac:dyDescent="0.3">
      <c r="B43" s="4"/>
      <c r="C43" s="4"/>
      <c r="D43" s="281" t="s">
        <v>14</v>
      </c>
      <c r="E43" s="281"/>
      <c r="F43" s="30"/>
      <c r="G43" s="30"/>
    </row>
    <row r="44" spans="1:9" ht="27.75" customHeight="1" x14ac:dyDescent="0.3">
      <c r="B44" s="4"/>
      <c r="C44" s="4"/>
      <c r="D44" s="281" t="s">
        <v>3</v>
      </c>
      <c r="E44" s="281"/>
      <c r="F44" s="285">
        <v>35</v>
      </c>
      <c r="G44" s="286"/>
      <c r="H44" s="34"/>
    </row>
    <row r="45" spans="1:9" ht="16.5" customHeight="1" x14ac:dyDescent="0.3">
      <c r="B45" s="4"/>
      <c r="C45" s="4"/>
      <c r="F45" s="4"/>
      <c r="G45" s="4"/>
    </row>
    <row r="46" spans="1:9" ht="16.5" customHeight="1" x14ac:dyDescent="0.3">
      <c r="B46" s="4"/>
      <c r="C46" s="4"/>
      <c r="D46" s="4"/>
      <c r="E46" s="4"/>
      <c r="F46" s="4"/>
      <c r="G46" s="4"/>
    </row>
    <row r="47" spans="1:9" ht="16.5" customHeight="1" x14ac:dyDescent="0.3">
      <c r="B47" s="4"/>
      <c r="C47" s="4"/>
      <c r="D47" s="4"/>
      <c r="E47" s="4"/>
      <c r="F47" s="4"/>
      <c r="G47" s="4"/>
    </row>
    <row r="48" spans="1:9" ht="16.5" customHeight="1" x14ac:dyDescent="0.3">
      <c r="B48" s="4"/>
      <c r="C48" s="4"/>
      <c r="D48" s="4"/>
      <c r="E48" s="4"/>
      <c r="F48" s="4"/>
      <c r="G48" s="4"/>
    </row>
    <row r="49" spans="1:9" ht="16.5" customHeight="1" x14ac:dyDescent="0.3">
      <c r="B49" s="4"/>
      <c r="C49" s="4"/>
      <c r="D49" s="4"/>
      <c r="E49" s="4"/>
      <c r="F49" s="4"/>
      <c r="G49" s="4"/>
    </row>
    <row r="50" spans="1:9" ht="16.5" customHeight="1" x14ac:dyDescent="0.3">
      <c r="B50" s="4"/>
      <c r="C50" s="4"/>
      <c r="D50" s="4"/>
      <c r="E50" s="4"/>
      <c r="F50" s="4"/>
      <c r="G50" s="4"/>
    </row>
    <row r="51" spans="1:9" ht="16.5" customHeight="1" x14ac:dyDescent="0.3">
      <c r="B51" s="4"/>
      <c r="C51" s="4"/>
      <c r="D51" s="4"/>
      <c r="E51" s="4"/>
      <c r="F51" s="4"/>
      <c r="G51" s="4"/>
    </row>
    <row r="52" spans="1:9" ht="16.5" customHeight="1" x14ac:dyDescent="0.3">
      <c r="B52" s="4"/>
      <c r="C52" s="4"/>
      <c r="D52" s="4"/>
      <c r="E52" s="4"/>
      <c r="F52" s="4"/>
      <c r="G52" s="4"/>
    </row>
    <row r="53" spans="1:9" ht="16.5" customHeight="1" x14ac:dyDescent="0.3">
      <c r="B53" s="4"/>
      <c r="C53" s="4"/>
      <c r="D53" s="4"/>
      <c r="E53" s="4"/>
      <c r="F53" s="4"/>
      <c r="G53" s="4"/>
    </row>
    <row r="54" spans="1:9" ht="16.5" customHeight="1" x14ac:dyDescent="0.3">
      <c r="A54" s="278" t="s">
        <v>15</v>
      </c>
      <c r="B54" s="278"/>
      <c r="C54" s="4"/>
      <c r="D54" s="278" t="s">
        <v>77</v>
      </c>
      <c r="E54" s="278"/>
      <c r="F54" s="4"/>
      <c r="G54" s="4"/>
      <c r="H54" s="278" t="s">
        <v>78</v>
      </c>
      <c r="I54" s="278"/>
    </row>
    <row r="55" spans="1:9" x14ac:dyDescent="0.3">
      <c r="C55" s="4"/>
      <c r="D55" s="4"/>
      <c r="E55" s="4"/>
      <c r="F55" s="4"/>
      <c r="G55" s="4"/>
    </row>
  </sheetData>
  <mergeCells count="28">
    <mergeCell ref="F42:G42"/>
    <mergeCell ref="F40:G40"/>
    <mergeCell ref="A1:I2"/>
    <mergeCell ref="A3:I4"/>
    <mergeCell ref="A5:C5"/>
    <mergeCell ref="G5:I5"/>
    <mergeCell ref="D36:E36"/>
    <mergeCell ref="F36:G36"/>
    <mergeCell ref="A7:A19"/>
    <mergeCell ref="B19:C19"/>
    <mergeCell ref="F35:G35"/>
    <mergeCell ref="D35:E35"/>
    <mergeCell ref="H54:I54"/>
    <mergeCell ref="A54:B54"/>
    <mergeCell ref="F37:G37"/>
    <mergeCell ref="F38:G38"/>
    <mergeCell ref="D43:E43"/>
    <mergeCell ref="D40:E40"/>
    <mergeCell ref="D39:E39"/>
    <mergeCell ref="D54:E54"/>
    <mergeCell ref="F39:G39"/>
    <mergeCell ref="D37:E37"/>
    <mergeCell ref="D38:E38"/>
    <mergeCell ref="F44:G44"/>
    <mergeCell ref="D44:E44"/>
    <mergeCell ref="D41:E41"/>
    <mergeCell ref="D42:E42"/>
    <mergeCell ref="F41:G41"/>
  </mergeCells>
  <phoneticPr fontId="43" type="noConversion"/>
  <pageMargins left="0.17" right="0.17" top="0.13" bottom="0.02" header="0.17" footer="0.12"/>
  <pageSetup scale="84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I4948"/>
  <sheetViews>
    <sheetView tabSelected="1" view="pageBreakPreview" zoomScale="85" zoomScaleNormal="83" zoomScaleSheetLayoutView="85" workbookViewId="0">
      <pane ySplit="4" topLeftCell="A5" activePane="bottomLeft" state="frozen"/>
      <selection pane="bottomLeft" activeCell="E14" sqref="E14"/>
    </sheetView>
  </sheetViews>
  <sheetFormatPr defaultRowHeight="23.25" customHeight="1" x14ac:dyDescent="0.2"/>
  <cols>
    <col min="1" max="1" width="9.875" style="32" customWidth="1"/>
    <col min="2" max="2" width="13.625" style="40" customWidth="1"/>
    <col min="3" max="3" width="13.25" style="32" customWidth="1"/>
    <col min="4" max="4" width="15" style="40" customWidth="1"/>
    <col min="5" max="5" width="15.25" style="32" customWidth="1"/>
    <col min="6" max="6" width="11.5" style="32" customWidth="1"/>
    <col min="7" max="7" width="4.875" style="42" customWidth="1"/>
    <col min="8" max="8" width="5.75" style="42" customWidth="1"/>
    <col min="9" max="9" width="4.875" style="42" customWidth="1"/>
    <col min="10" max="10" width="5.25" style="42" customWidth="1"/>
    <col min="11" max="11" width="9.375" style="69" customWidth="1"/>
    <col min="12" max="12" width="9.375" style="32" customWidth="1"/>
    <col min="13" max="13" width="11" style="32" customWidth="1"/>
    <col min="14" max="14" width="12.125" style="60" customWidth="1"/>
    <col min="15" max="15" width="9" style="60" customWidth="1"/>
    <col min="16" max="16" width="9.875" style="32" customWidth="1"/>
    <col min="17" max="17" width="10" style="32" customWidth="1"/>
    <col min="18" max="18" width="9.625" style="32" customWidth="1"/>
    <col min="19" max="19" width="11.625" style="32" customWidth="1"/>
    <col min="20" max="20" width="10.375" style="60" customWidth="1"/>
    <col min="21" max="21" width="9.375" style="60" customWidth="1"/>
    <col min="22" max="22" width="8.375" style="32" customWidth="1"/>
    <col min="23" max="23" width="10.25" style="32" customWidth="1"/>
    <col min="24" max="24" width="11.25" style="60" customWidth="1"/>
    <col min="25" max="25" width="5.75" style="60" customWidth="1"/>
    <col min="26" max="26" width="7.25" style="60" customWidth="1"/>
    <col min="27" max="27" width="9.25" style="60" customWidth="1"/>
    <col min="28" max="28" width="8.875" style="42" customWidth="1"/>
    <col min="29" max="29" width="17.25" style="32" customWidth="1"/>
    <col min="30" max="30" width="11.875" style="32" customWidth="1"/>
    <col min="31" max="31" width="7" style="32" customWidth="1"/>
    <col min="32" max="32" width="7" style="32" hidden="1" customWidth="1"/>
    <col min="33" max="35" width="7" style="32" customWidth="1"/>
    <col min="36" max="16384" width="9" style="32"/>
  </cols>
  <sheetData>
    <row r="1" spans="1:35" ht="19.5" customHeight="1" x14ac:dyDescent="0.2">
      <c r="B1" s="317" t="s">
        <v>126</v>
      </c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</row>
    <row r="2" spans="1:35" s="40" customFormat="1" ht="19.5" customHeight="1" x14ac:dyDescent="0.2">
      <c r="B2" s="318" t="s">
        <v>121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</row>
    <row r="3" spans="1:35" ht="19.5" customHeight="1" x14ac:dyDescent="0.2">
      <c r="B3" s="320" t="s">
        <v>33</v>
      </c>
      <c r="C3" s="320"/>
      <c r="D3" s="319" t="s">
        <v>1029</v>
      </c>
      <c r="E3" s="319"/>
      <c r="F3" s="39"/>
      <c r="G3" s="39"/>
      <c r="H3" s="39"/>
      <c r="I3" s="39"/>
      <c r="J3" s="39"/>
      <c r="K3" s="39"/>
      <c r="L3" s="39"/>
      <c r="M3" s="41"/>
      <c r="N3" s="39"/>
      <c r="O3" s="39"/>
      <c r="P3" s="39"/>
      <c r="Q3" s="39"/>
      <c r="R3" s="39"/>
      <c r="S3" s="39"/>
      <c r="T3" s="88"/>
      <c r="U3" s="39"/>
      <c r="V3" s="320" t="s">
        <v>35</v>
      </c>
      <c r="W3" s="320"/>
      <c r="X3" s="319" t="s">
        <v>298</v>
      </c>
      <c r="Y3" s="319"/>
      <c r="Z3" s="319"/>
      <c r="AA3" s="319"/>
      <c r="AB3" s="319"/>
    </row>
    <row r="4" spans="1:35" s="44" customFormat="1" ht="39.75" customHeight="1" x14ac:dyDescent="0.3">
      <c r="A4" s="97"/>
      <c r="B4" s="97" t="s">
        <v>8</v>
      </c>
      <c r="C4" s="98" t="s">
        <v>25</v>
      </c>
      <c r="D4" s="112" t="s">
        <v>30</v>
      </c>
      <c r="E4" s="97" t="s">
        <v>122</v>
      </c>
      <c r="F4" s="108" t="s">
        <v>31</v>
      </c>
      <c r="G4" s="108" t="s">
        <v>34</v>
      </c>
      <c r="H4" s="108" t="s">
        <v>101</v>
      </c>
      <c r="I4" s="108"/>
      <c r="J4" s="108" t="s">
        <v>61</v>
      </c>
      <c r="K4" s="108" t="s">
        <v>26</v>
      </c>
      <c r="L4" s="108" t="s">
        <v>82</v>
      </c>
      <c r="M4" s="108" t="s">
        <v>102</v>
      </c>
      <c r="N4" s="62" t="s">
        <v>103</v>
      </c>
      <c r="O4" s="62" t="s">
        <v>55</v>
      </c>
      <c r="P4" s="108" t="s">
        <v>119</v>
      </c>
      <c r="Q4" s="108" t="s">
        <v>27</v>
      </c>
      <c r="R4" s="108" t="s">
        <v>113</v>
      </c>
      <c r="S4" s="108" t="s">
        <v>28</v>
      </c>
      <c r="T4" s="62" t="s">
        <v>32</v>
      </c>
      <c r="U4" s="62" t="s">
        <v>84</v>
      </c>
      <c r="V4" s="108" t="s">
        <v>86</v>
      </c>
      <c r="W4" s="108" t="s">
        <v>79</v>
      </c>
      <c r="X4" s="62" t="s">
        <v>108</v>
      </c>
      <c r="Y4" s="62" t="s">
        <v>42</v>
      </c>
      <c r="Z4" s="62" t="s">
        <v>43</v>
      </c>
      <c r="AA4" s="62" t="s">
        <v>54</v>
      </c>
      <c r="AB4" s="108" t="s">
        <v>29</v>
      </c>
      <c r="AC4" s="95" t="s">
        <v>90</v>
      </c>
      <c r="AD4" s="95" t="s">
        <v>91</v>
      </c>
      <c r="AE4" s="95" t="s">
        <v>92</v>
      </c>
      <c r="AF4" s="95"/>
      <c r="AG4" s="95" t="s">
        <v>95</v>
      </c>
      <c r="AH4" s="99" t="s">
        <v>93</v>
      </c>
      <c r="AI4" s="99" t="s">
        <v>94</v>
      </c>
    </row>
    <row r="5" spans="1:35" s="44" customFormat="1" ht="15.75" customHeight="1" x14ac:dyDescent="0.3">
      <c r="A5" s="97"/>
      <c r="B5" s="97"/>
      <c r="C5" s="98"/>
      <c r="D5" s="112"/>
      <c r="E5" s="97"/>
      <c r="F5" s="108"/>
      <c r="G5" s="108"/>
      <c r="H5" s="108" t="s">
        <v>109</v>
      </c>
      <c r="I5" s="108" t="s">
        <v>110</v>
      </c>
      <c r="J5" s="108"/>
      <c r="K5" s="108"/>
      <c r="L5" s="108"/>
      <c r="M5" s="108"/>
      <c r="N5" s="62"/>
      <c r="O5" s="62"/>
      <c r="P5" s="108"/>
      <c r="Q5" s="108"/>
      <c r="R5" s="108"/>
      <c r="S5" s="108"/>
      <c r="T5" s="62"/>
      <c r="U5" s="62"/>
      <c r="V5" s="108"/>
      <c r="W5" s="108"/>
      <c r="X5" s="62"/>
      <c r="Y5" s="62"/>
      <c r="Z5" s="62"/>
      <c r="AA5" s="62"/>
      <c r="AB5" s="108"/>
      <c r="AC5" s="95"/>
      <c r="AD5" s="95"/>
      <c r="AE5" s="95"/>
      <c r="AF5" s="95"/>
      <c r="AG5" s="95"/>
      <c r="AH5" s="99"/>
      <c r="AI5" s="99"/>
    </row>
    <row r="6" spans="1:35" s="49" customFormat="1" ht="18" customHeight="1" x14ac:dyDescent="0.3">
      <c r="A6" s="109"/>
      <c r="B6" s="107" t="s">
        <v>69</v>
      </c>
      <c r="C6" s="117">
        <v>48553</v>
      </c>
      <c r="D6" s="307">
        <v>9686355</v>
      </c>
      <c r="E6" s="124" t="s">
        <v>118</v>
      </c>
      <c r="F6" s="96">
        <v>890</v>
      </c>
      <c r="G6" s="109"/>
      <c r="H6" s="109"/>
      <c r="I6" s="109"/>
      <c r="J6" s="109"/>
      <c r="K6" s="109"/>
      <c r="L6" s="109"/>
      <c r="M6" s="109"/>
      <c r="N6" s="59">
        <f>M6-F6</f>
        <v>-890</v>
      </c>
      <c r="O6" s="59"/>
      <c r="P6" s="109"/>
      <c r="Q6" s="109"/>
      <c r="R6" s="109"/>
      <c r="S6" s="109"/>
      <c r="T6" s="59">
        <f>S6-Q6</f>
        <v>0</v>
      </c>
      <c r="U6" s="59">
        <f t="shared" ref="U6:U7" si="0">IF(Q6&gt;0,S6-W6,M6-W6)</f>
        <v>0</v>
      </c>
      <c r="V6" s="109"/>
      <c r="W6" s="109"/>
      <c r="X6" s="59">
        <f>W6-M6</f>
        <v>0</v>
      </c>
      <c r="Y6" s="59"/>
      <c r="Z6" s="59"/>
      <c r="AA6" s="59"/>
      <c r="AB6" s="89"/>
      <c r="AC6" s="109"/>
      <c r="AD6" s="109"/>
      <c r="AE6" s="100">
        <f t="shared" ref="AE6:AE8" si="1">N6/F6</f>
        <v>-1</v>
      </c>
      <c r="AF6" s="90"/>
      <c r="AG6" s="109">
        <f t="shared" ref="AG6:AG8" si="2">IF(N6&lt;0,N6,0)</f>
        <v>-890</v>
      </c>
      <c r="AH6" s="100">
        <f t="shared" ref="AH6:AH8" si="3">(S6-F6)/F6</f>
        <v>-1</v>
      </c>
      <c r="AI6" s="100">
        <f t="shared" ref="AI6:AI8" si="4">(W6-F6)/F6</f>
        <v>-1</v>
      </c>
    </row>
    <row r="7" spans="1:35" s="49" customFormat="1" ht="18" customHeight="1" x14ac:dyDescent="0.3">
      <c r="A7" s="109"/>
      <c r="B7" s="107" t="s">
        <v>69</v>
      </c>
      <c r="C7" s="117">
        <v>48553</v>
      </c>
      <c r="D7" s="308"/>
      <c r="E7" s="124" t="s">
        <v>190</v>
      </c>
      <c r="F7" s="96">
        <v>1110</v>
      </c>
      <c r="G7" s="109"/>
      <c r="H7" s="109"/>
      <c r="I7" s="109"/>
      <c r="J7" s="109"/>
      <c r="K7" s="109"/>
      <c r="L7" s="109"/>
      <c r="M7" s="109"/>
      <c r="N7" s="59">
        <f>M7-F7</f>
        <v>-1110</v>
      </c>
      <c r="O7" s="59"/>
      <c r="P7" s="109"/>
      <c r="Q7" s="109"/>
      <c r="R7" s="109"/>
      <c r="S7" s="109"/>
      <c r="T7" s="59">
        <f>S7-Q7</f>
        <v>0</v>
      </c>
      <c r="U7" s="59">
        <f t="shared" si="0"/>
        <v>0</v>
      </c>
      <c r="V7" s="109"/>
      <c r="W7" s="109"/>
      <c r="X7" s="59">
        <f>W7-M7</f>
        <v>0</v>
      </c>
      <c r="Y7" s="59"/>
      <c r="Z7" s="59"/>
      <c r="AA7" s="59"/>
      <c r="AB7" s="89"/>
      <c r="AC7" s="109"/>
      <c r="AD7" s="109"/>
      <c r="AE7" s="100">
        <f t="shared" si="1"/>
        <v>-1</v>
      </c>
      <c r="AF7" s="90"/>
      <c r="AG7" s="109">
        <f t="shared" si="2"/>
        <v>-1110</v>
      </c>
      <c r="AH7" s="100">
        <f t="shared" si="3"/>
        <v>-1</v>
      </c>
      <c r="AI7" s="100">
        <f t="shared" si="4"/>
        <v>-1</v>
      </c>
    </row>
    <row r="8" spans="1:35" s="79" customFormat="1" ht="17.25" customHeight="1" x14ac:dyDescent="0.3">
      <c r="A8" s="90" t="s">
        <v>46</v>
      </c>
      <c r="B8" s="136" t="s">
        <v>69</v>
      </c>
      <c r="C8" s="137"/>
      <c r="D8" s="136"/>
      <c r="E8" s="136" t="s">
        <v>44</v>
      </c>
      <c r="F8" s="90">
        <f>SUM(F6:F7)</f>
        <v>2000</v>
      </c>
      <c r="G8" s="90"/>
      <c r="H8" s="90"/>
      <c r="I8" s="90"/>
      <c r="J8" s="90" t="s">
        <v>60</v>
      </c>
      <c r="K8" s="68" t="s">
        <v>726</v>
      </c>
      <c r="L8" s="90">
        <f>SUM(L6:L7)</f>
        <v>0</v>
      </c>
      <c r="M8" s="90">
        <f>SUM(M6:M7)</f>
        <v>0</v>
      </c>
      <c r="N8" s="90">
        <f>SUM(N6:N7)</f>
        <v>-2000</v>
      </c>
      <c r="O8" s="90"/>
      <c r="P8" s="90">
        <f t="shared" ref="P8:X8" si="5">SUM(P6:P7)</f>
        <v>0</v>
      </c>
      <c r="Q8" s="90">
        <f t="shared" si="5"/>
        <v>0</v>
      </c>
      <c r="R8" s="90">
        <f t="shared" si="5"/>
        <v>0</v>
      </c>
      <c r="S8" s="90">
        <f t="shared" si="5"/>
        <v>0</v>
      </c>
      <c r="T8" s="90">
        <f t="shared" si="5"/>
        <v>0</v>
      </c>
      <c r="U8" s="59">
        <f t="shared" si="5"/>
        <v>0</v>
      </c>
      <c r="V8" s="90">
        <f t="shared" si="5"/>
        <v>0</v>
      </c>
      <c r="W8" s="90">
        <f t="shared" si="5"/>
        <v>0</v>
      </c>
      <c r="X8" s="90">
        <f t="shared" si="5"/>
        <v>0</v>
      </c>
      <c r="Y8" s="90"/>
      <c r="Z8" s="90"/>
      <c r="AA8" s="90"/>
      <c r="AB8" s="48"/>
      <c r="AC8" s="90"/>
      <c r="AD8" s="90"/>
      <c r="AE8" s="100">
        <f t="shared" si="1"/>
        <v>-1</v>
      </c>
      <c r="AF8" s="90"/>
      <c r="AG8" s="109">
        <f t="shared" si="2"/>
        <v>-2000</v>
      </c>
      <c r="AH8" s="100">
        <f t="shared" si="3"/>
        <v>-1</v>
      </c>
      <c r="AI8" s="100">
        <f t="shared" si="4"/>
        <v>-1</v>
      </c>
    </row>
    <row r="9" spans="1:35" s="49" customFormat="1" ht="18" customHeight="1" x14ac:dyDescent="0.3">
      <c r="A9" s="109"/>
      <c r="B9" s="107" t="s">
        <v>69</v>
      </c>
      <c r="C9" s="117" t="s">
        <v>1026</v>
      </c>
      <c r="D9" s="274">
        <v>9686529</v>
      </c>
      <c r="E9" s="124" t="s">
        <v>1027</v>
      </c>
      <c r="F9" s="96">
        <v>5350</v>
      </c>
      <c r="G9" s="109"/>
      <c r="H9" s="109"/>
      <c r="I9" s="109"/>
      <c r="J9" s="109"/>
      <c r="K9" s="109"/>
      <c r="L9" s="109"/>
      <c r="M9" s="109"/>
      <c r="N9" s="59">
        <f>M9-F9</f>
        <v>-5350</v>
      </c>
      <c r="O9" s="59"/>
      <c r="P9" s="109"/>
      <c r="Q9" s="109"/>
      <c r="R9" s="109"/>
      <c r="S9" s="109"/>
      <c r="T9" s="59">
        <f>S9-Q9</f>
        <v>0</v>
      </c>
      <c r="U9" s="59">
        <f t="shared" ref="U9:U63" si="6">IF(Q9&gt;0,S9-W9,M9-W9)</f>
        <v>0</v>
      </c>
      <c r="V9" s="109"/>
      <c r="W9" s="109"/>
      <c r="X9" s="59">
        <f>W9-M9</f>
        <v>0</v>
      </c>
      <c r="Y9" s="59"/>
      <c r="Z9" s="59"/>
      <c r="AA9" s="59"/>
      <c r="AB9" s="89"/>
      <c r="AC9" s="109"/>
      <c r="AD9" s="109"/>
      <c r="AE9" s="100">
        <f t="shared" ref="AE9:AE10" si="7">N9/F9</f>
        <v>-1</v>
      </c>
      <c r="AF9" s="90"/>
      <c r="AG9" s="109">
        <f t="shared" ref="AG9:AG10" si="8">IF(N9&lt;0,N9,0)</f>
        <v>-5350</v>
      </c>
      <c r="AH9" s="100">
        <f t="shared" ref="AH9:AH10" si="9">(S9-F9)/F9</f>
        <v>-1</v>
      </c>
      <c r="AI9" s="100">
        <f t="shared" ref="AI9:AI10" si="10">(W9-F9)/F9</f>
        <v>-1</v>
      </c>
    </row>
    <row r="10" spans="1:35" s="79" customFormat="1" ht="17.25" customHeight="1" x14ac:dyDescent="0.3">
      <c r="A10" s="90" t="s">
        <v>46</v>
      </c>
      <c r="B10" s="136" t="s">
        <v>69</v>
      </c>
      <c r="C10" s="137"/>
      <c r="D10" s="136"/>
      <c r="E10" s="136" t="s">
        <v>44</v>
      </c>
      <c r="F10" s="90">
        <f>SUM(F9:F9)</f>
        <v>5350</v>
      </c>
      <c r="G10" s="90"/>
      <c r="H10" s="90"/>
      <c r="I10" s="90"/>
      <c r="J10" s="90" t="s">
        <v>60</v>
      </c>
      <c r="K10" s="68" t="s">
        <v>726</v>
      </c>
      <c r="L10" s="90">
        <f>SUM(L9:L9)</f>
        <v>0</v>
      </c>
      <c r="M10" s="90">
        <f>SUM(M9:M9)</f>
        <v>0</v>
      </c>
      <c r="N10" s="90">
        <f>SUM(N9:N9)</f>
        <v>-5350</v>
      </c>
      <c r="O10" s="90"/>
      <c r="P10" s="90">
        <f t="shared" ref="P10:X10" si="11">SUM(P9:P9)</f>
        <v>0</v>
      </c>
      <c r="Q10" s="90">
        <f t="shared" si="11"/>
        <v>0</v>
      </c>
      <c r="R10" s="90">
        <f t="shared" si="11"/>
        <v>0</v>
      </c>
      <c r="S10" s="90">
        <f t="shared" si="11"/>
        <v>0</v>
      </c>
      <c r="T10" s="90">
        <f t="shared" si="11"/>
        <v>0</v>
      </c>
      <c r="U10" s="59">
        <f t="shared" si="11"/>
        <v>0</v>
      </c>
      <c r="V10" s="90">
        <f t="shared" si="11"/>
        <v>0</v>
      </c>
      <c r="W10" s="90">
        <f t="shared" si="11"/>
        <v>0</v>
      </c>
      <c r="X10" s="90">
        <f t="shared" si="11"/>
        <v>0</v>
      </c>
      <c r="Y10" s="90" t="s">
        <v>47</v>
      </c>
      <c r="Z10" s="90" t="s">
        <v>45</v>
      </c>
      <c r="AA10" s="90"/>
      <c r="AB10" s="48"/>
      <c r="AC10" s="90"/>
      <c r="AD10" s="90"/>
      <c r="AE10" s="100">
        <f t="shared" si="7"/>
        <v>-1</v>
      </c>
      <c r="AF10" s="90"/>
      <c r="AG10" s="109">
        <f t="shared" si="8"/>
        <v>-5350</v>
      </c>
      <c r="AH10" s="100">
        <f t="shared" si="9"/>
        <v>-1</v>
      </c>
      <c r="AI10" s="100">
        <f t="shared" si="10"/>
        <v>-1</v>
      </c>
    </row>
    <row r="11" spans="1:35" s="52" customFormat="1" ht="26.25" customHeight="1" x14ac:dyDescent="0.3">
      <c r="A11" s="73"/>
      <c r="B11" s="73" t="s">
        <v>21</v>
      </c>
      <c r="C11" s="73"/>
      <c r="D11" s="73"/>
      <c r="E11" s="73"/>
      <c r="F11" s="73">
        <f>+F10+F8</f>
        <v>7350</v>
      </c>
      <c r="G11" s="73"/>
      <c r="H11" s="73"/>
      <c r="I11" s="73"/>
      <c r="J11" s="73"/>
      <c r="K11" s="73"/>
      <c r="L11" s="73">
        <f>+L10+L8</f>
        <v>0</v>
      </c>
      <c r="M11" s="73">
        <f t="shared" ref="M11:X11" si="12">+M10+M8</f>
        <v>0</v>
      </c>
      <c r="N11" s="73">
        <f t="shared" si="12"/>
        <v>-7350</v>
      </c>
      <c r="O11" s="73"/>
      <c r="P11" s="73">
        <f t="shared" si="12"/>
        <v>0</v>
      </c>
      <c r="Q11" s="73">
        <f t="shared" si="12"/>
        <v>0</v>
      </c>
      <c r="R11" s="73">
        <f t="shared" si="12"/>
        <v>0</v>
      </c>
      <c r="S11" s="73">
        <f t="shared" si="12"/>
        <v>0</v>
      </c>
      <c r="T11" s="73">
        <f t="shared" si="12"/>
        <v>0</v>
      </c>
      <c r="U11" s="73">
        <f t="shared" si="12"/>
        <v>0</v>
      </c>
      <c r="V11" s="73">
        <f t="shared" si="12"/>
        <v>0</v>
      </c>
      <c r="W11" s="73">
        <f t="shared" si="12"/>
        <v>0</v>
      </c>
      <c r="X11" s="73">
        <f t="shared" si="12"/>
        <v>0</v>
      </c>
      <c r="Y11" s="73"/>
      <c r="Z11" s="53"/>
      <c r="AA11" s="53"/>
      <c r="AB11" s="53"/>
      <c r="AC11" s="73"/>
      <c r="AD11" s="73"/>
      <c r="AE11" s="100">
        <f t="shared" ref="AE11:AE16" si="13">N11/F11</f>
        <v>-1</v>
      </c>
      <c r="AF11" s="90"/>
      <c r="AG11" s="109">
        <f t="shared" ref="AG11:AG16" si="14">IF(N11&lt;0,N11,0)</f>
        <v>-7350</v>
      </c>
      <c r="AH11" s="100">
        <f t="shared" ref="AH11:AH16" si="15">(S11-F11)/F11</f>
        <v>-1</v>
      </c>
      <c r="AI11" s="100">
        <f t="shared" ref="AI11:AI16" si="16">(W11-F11)/F11</f>
        <v>-1</v>
      </c>
    </row>
    <row r="12" spans="1:35" s="50" customFormat="1" ht="21.75" customHeight="1" x14ac:dyDescent="0.3">
      <c r="A12" s="106"/>
      <c r="B12" s="107" t="s">
        <v>96</v>
      </c>
      <c r="C12" s="157">
        <v>46594</v>
      </c>
      <c r="D12" s="321" t="s">
        <v>142</v>
      </c>
      <c r="E12" s="131" t="s">
        <v>143</v>
      </c>
      <c r="F12" s="96">
        <v>2310</v>
      </c>
      <c r="G12" s="106"/>
      <c r="H12" s="106"/>
      <c r="I12" s="106"/>
      <c r="J12" s="122"/>
      <c r="K12" s="106"/>
      <c r="L12" s="106"/>
      <c r="M12" s="106">
        <f>1032+924+456</f>
        <v>2412</v>
      </c>
      <c r="N12" s="110">
        <f>M12-F12</f>
        <v>102</v>
      </c>
      <c r="O12" s="110"/>
      <c r="P12" s="106"/>
      <c r="Q12" s="106"/>
      <c r="R12" s="106"/>
      <c r="S12" s="106"/>
      <c r="T12" s="110">
        <f>S12-Q12</f>
        <v>0</v>
      </c>
      <c r="U12" s="59">
        <f t="shared" si="6"/>
        <v>55</v>
      </c>
      <c r="V12" s="106"/>
      <c r="W12" s="106">
        <f>1005+1352</f>
        <v>2357</v>
      </c>
      <c r="X12" s="110">
        <f>+W12-M12</f>
        <v>-55</v>
      </c>
      <c r="Y12" s="110"/>
      <c r="Z12" s="110"/>
      <c r="AA12" s="110"/>
      <c r="AB12" s="111"/>
      <c r="AC12" s="106"/>
      <c r="AD12" s="106"/>
      <c r="AE12" s="100">
        <f t="shared" si="13"/>
        <v>4.4155844155844157E-2</v>
      </c>
      <c r="AF12" s="90"/>
      <c r="AG12" s="109">
        <f t="shared" si="14"/>
        <v>0</v>
      </c>
      <c r="AH12" s="100">
        <f t="shared" si="15"/>
        <v>-1</v>
      </c>
      <c r="AI12" s="100">
        <f t="shared" si="16"/>
        <v>2.0346320346320345E-2</v>
      </c>
    </row>
    <row r="13" spans="1:35" s="50" customFormat="1" ht="21.75" customHeight="1" x14ac:dyDescent="0.3">
      <c r="A13" s="106"/>
      <c r="B13" s="107" t="s">
        <v>96</v>
      </c>
      <c r="C13" s="157">
        <v>46594</v>
      </c>
      <c r="D13" s="322"/>
      <c r="E13" s="131" t="s">
        <v>104</v>
      </c>
      <c r="F13" s="96">
        <v>2712</v>
      </c>
      <c r="G13" s="106"/>
      <c r="H13" s="106"/>
      <c r="I13" s="106"/>
      <c r="J13" s="122"/>
      <c r="K13" s="106"/>
      <c r="L13" s="106"/>
      <c r="M13" s="106">
        <f>480+432+246+924+669</f>
        <v>2751</v>
      </c>
      <c r="N13" s="110">
        <f>M13-F13</f>
        <v>39</v>
      </c>
      <c r="O13" s="110"/>
      <c r="P13" s="106"/>
      <c r="Q13" s="106"/>
      <c r="R13" s="106"/>
      <c r="S13" s="106"/>
      <c r="T13" s="110">
        <f>S13-Q13</f>
        <v>0</v>
      </c>
      <c r="U13" s="59">
        <f t="shared" si="6"/>
        <v>12</v>
      </c>
      <c r="V13" s="106"/>
      <c r="W13" s="106">
        <f>2271+468</f>
        <v>2739</v>
      </c>
      <c r="X13" s="110">
        <f>+W13-M13</f>
        <v>-12</v>
      </c>
      <c r="Y13" s="110"/>
      <c r="Z13" s="110"/>
      <c r="AA13" s="110"/>
      <c r="AB13" s="111"/>
      <c r="AC13" s="106"/>
      <c r="AD13" s="106"/>
      <c r="AE13" s="100">
        <f t="shared" si="13"/>
        <v>1.4380530973451327E-2</v>
      </c>
      <c r="AF13" s="90"/>
      <c r="AG13" s="109">
        <f t="shared" si="14"/>
        <v>0</v>
      </c>
      <c r="AH13" s="100">
        <f t="shared" si="15"/>
        <v>-1</v>
      </c>
      <c r="AI13" s="100">
        <f t="shared" si="16"/>
        <v>9.9557522123893804E-3</v>
      </c>
    </row>
    <row r="14" spans="1:35" s="50" customFormat="1" ht="21.75" customHeight="1" x14ac:dyDescent="0.3">
      <c r="A14" s="106"/>
      <c r="B14" s="107" t="s">
        <v>96</v>
      </c>
      <c r="C14" s="157">
        <v>46594</v>
      </c>
      <c r="D14" s="322"/>
      <c r="E14" s="131" t="s">
        <v>144</v>
      </c>
      <c r="F14" s="96">
        <v>2200</v>
      </c>
      <c r="G14" s="106"/>
      <c r="H14" s="106"/>
      <c r="I14" s="106"/>
      <c r="J14" s="122"/>
      <c r="K14" s="106"/>
      <c r="L14" s="106"/>
      <c r="M14" s="106">
        <f>432+1032+804+36</f>
        <v>2304</v>
      </c>
      <c r="N14" s="110">
        <f>M14-F14</f>
        <v>104</v>
      </c>
      <c r="O14" s="110"/>
      <c r="P14" s="106"/>
      <c r="Q14" s="106"/>
      <c r="R14" s="106"/>
      <c r="S14" s="106"/>
      <c r="T14" s="110">
        <f>S14-Q14</f>
        <v>0</v>
      </c>
      <c r="U14" s="59">
        <f t="shared" si="6"/>
        <v>0</v>
      </c>
      <c r="V14" s="106"/>
      <c r="W14" s="106">
        <v>2304</v>
      </c>
      <c r="X14" s="110">
        <f>+W14-M14</f>
        <v>0</v>
      </c>
      <c r="Y14" s="110"/>
      <c r="Z14" s="110"/>
      <c r="AA14" s="110"/>
      <c r="AB14" s="111"/>
      <c r="AC14" s="106"/>
      <c r="AD14" s="106"/>
      <c r="AE14" s="100">
        <f t="shared" si="13"/>
        <v>4.7272727272727272E-2</v>
      </c>
      <c r="AF14" s="90"/>
      <c r="AG14" s="109">
        <f t="shared" si="14"/>
        <v>0</v>
      </c>
      <c r="AH14" s="100">
        <f t="shared" si="15"/>
        <v>-1</v>
      </c>
      <c r="AI14" s="100">
        <f t="shared" si="16"/>
        <v>4.7272727272727272E-2</v>
      </c>
    </row>
    <row r="15" spans="1:35" s="50" customFormat="1" ht="21.75" customHeight="1" x14ac:dyDescent="0.3">
      <c r="A15" s="106"/>
      <c r="B15" s="107" t="s">
        <v>96</v>
      </c>
      <c r="C15" s="157">
        <v>46594</v>
      </c>
      <c r="D15" s="322"/>
      <c r="E15" s="131" t="s">
        <v>147</v>
      </c>
      <c r="F15" s="96">
        <v>1900</v>
      </c>
      <c r="G15" s="106"/>
      <c r="H15" s="106"/>
      <c r="I15" s="106"/>
      <c r="J15" s="122"/>
      <c r="K15" s="106"/>
      <c r="L15" s="106"/>
      <c r="M15" s="106">
        <f>708+1260</f>
        <v>1968</v>
      </c>
      <c r="N15" s="110">
        <f>M15-F15</f>
        <v>68</v>
      </c>
      <c r="O15" s="110"/>
      <c r="P15" s="106"/>
      <c r="Q15" s="106"/>
      <c r="R15" s="106"/>
      <c r="S15" s="106"/>
      <c r="T15" s="110">
        <f>S15-Q15</f>
        <v>0</v>
      </c>
      <c r="U15" s="59">
        <f t="shared" si="6"/>
        <v>0</v>
      </c>
      <c r="V15" s="106"/>
      <c r="W15" s="106">
        <v>1968</v>
      </c>
      <c r="X15" s="110">
        <f>+W15-M15</f>
        <v>0</v>
      </c>
      <c r="Y15" s="110"/>
      <c r="Z15" s="110"/>
      <c r="AA15" s="110"/>
      <c r="AB15" s="111"/>
      <c r="AC15" s="106"/>
      <c r="AD15" s="106"/>
      <c r="AE15" s="100">
        <f t="shared" si="13"/>
        <v>3.5789473684210524E-2</v>
      </c>
      <c r="AF15" s="90"/>
      <c r="AG15" s="109">
        <f t="shared" si="14"/>
        <v>0</v>
      </c>
      <c r="AH15" s="100">
        <f t="shared" si="15"/>
        <v>-1</v>
      </c>
      <c r="AI15" s="100">
        <f t="shared" si="16"/>
        <v>3.5789473684210524E-2</v>
      </c>
    </row>
    <row r="16" spans="1:35" s="43" customFormat="1" ht="14.25" customHeight="1" x14ac:dyDescent="0.3">
      <c r="A16" s="90" t="s">
        <v>46</v>
      </c>
      <c r="B16" s="90" t="s">
        <v>96</v>
      </c>
      <c r="C16" s="137"/>
      <c r="D16" s="90"/>
      <c r="E16" s="90"/>
      <c r="F16" s="136">
        <f>SUM(F12:F15)</f>
        <v>9122</v>
      </c>
      <c r="G16" s="136"/>
      <c r="H16" s="136"/>
      <c r="I16" s="136"/>
      <c r="J16" s="136" t="s">
        <v>58</v>
      </c>
      <c r="K16" s="64" t="s">
        <v>128</v>
      </c>
      <c r="L16" s="136">
        <f>SUM(L12:L15)</f>
        <v>0</v>
      </c>
      <c r="M16" s="136">
        <f>SUM(M12:M15)</f>
        <v>9435</v>
      </c>
      <c r="N16" s="136">
        <f>SUM(N12:N15)</f>
        <v>313</v>
      </c>
      <c r="O16" s="136"/>
      <c r="P16" s="136">
        <f>SUM(P12:P15)</f>
        <v>0</v>
      </c>
      <c r="Q16" s="136">
        <f>SUM(Q12:Q15)</f>
        <v>0</v>
      </c>
      <c r="R16" s="136">
        <f>SUM(R12:R15)</f>
        <v>0</v>
      </c>
      <c r="S16" s="136">
        <f>SUM(S12:S15)</f>
        <v>0</v>
      </c>
      <c r="T16" s="136">
        <f>SUM(T12:T15)</f>
        <v>0</v>
      </c>
      <c r="U16" s="59">
        <f>IF(Q16&gt;0,S16-W16,M16-W16)</f>
        <v>67</v>
      </c>
      <c r="V16" s="136">
        <f>SUM(V12:V15)</f>
        <v>0</v>
      </c>
      <c r="W16" s="136">
        <f>SUM(W12:W15)</f>
        <v>9368</v>
      </c>
      <c r="X16" s="136">
        <f>SUM(X12:X15)</f>
        <v>-67</v>
      </c>
      <c r="Y16" s="136"/>
      <c r="Z16" s="136"/>
      <c r="AA16" s="136"/>
      <c r="AB16" s="84"/>
      <c r="AC16" s="136"/>
      <c r="AD16" s="136"/>
      <c r="AE16" s="100">
        <f t="shared" si="13"/>
        <v>3.4312650734488054E-2</v>
      </c>
      <c r="AF16" s="90"/>
      <c r="AG16" s="109">
        <f t="shared" si="14"/>
        <v>0</v>
      </c>
      <c r="AH16" s="100">
        <f t="shared" si="15"/>
        <v>-1</v>
      </c>
      <c r="AI16" s="100">
        <f t="shared" si="16"/>
        <v>2.6967770225827671E-2</v>
      </c>
    </row>
    <row r="17" spans="1:35" s="51" customFormat="1" ht="22.5" customHeight="1" x14ac:dyDescent="0.3">
      <c r="A17" s="57"/>
      <c r="B17" s="73" t="s">
        <v>21</v>
      </c>
      <c r="C17" s="73"/>
      <c r="D17" s="73"/>
      <c r="E17" s="73"/>
      <c r="F17" s="53">
        <f>+F16</f>
        <v>9122</v>
      </c>
      <c r="G17" s="53"/>
      <c r="H17" s="53"/>
      <c r="I17" s="53"/>
      <c r="J17" s="53"/>
      <c r="K17" s="53"/>
      <c r="L17" s="53">
        <f t="shared" ref="L17:X17" si="17">+L16</f>
        <v>0</v>
      </c>
      <c r="M17" s="53">
        <f t="shared" si="17"/>
        <v>9435</v>
      </c>
      <c r="N17" s="53">
        <f t="shared" si="17"/>
        <v>313</v>
      </c>
      <c r="O17" s="53"/>
      <c r="P17" s="53">
        <f t="shared" si="17"/>
        <v>0</v>
      </c>
      <c r="Q17" s="53">
        <f t="shared" si="17"/>
        <v>0</v>
      </c>
      <c r="R17" s="53">
        <f t="shared" si="17"/>
        <v>0</v>
      </c>
      <c r="S17" s="53">
        <f t="shared" si="17"/>
        <v>0</v>
      </c>
      <c r="T17" s="53">
        <f t="shared" si="17"/>
        <v>0</v>
      </c>
      <c r="U17" s="59">
        <f>IF(Q17&gt;0,S17-W17,M17-W17)</f>
        <v>67</v>
      </c>
      <c r="V17" s="53">
        <f t="shared" si="17"/>
        <v>0</v>
      </c>
      <c r="W17" s="53">
        <f t="shared" si="17"/>
        <v>9368</v>
      </c>
      <c r="X17" s="53">
        <f t="shared" si="17"/>
        <v>-67</v>
      </c>
      <c r="Y17" s="53"/>
      <c r="Z17" s="53"/>
      <c r="AA17" s="53"/>
      <c r="AB17" s="57"/>
      <c r="AC17" s="57"/>
      <c r="AD17" s="57"/>
      <c r="AE17" s="100">
        <f t="shared" ref="AE17:AE33" si="18">N17/F17</f>
        <v>3.4312650734488054E-2</v>
      </c>
      <c r="AF17" s="90"/>
      <c r="AG17" s="109">
        <f t="shared" ref="AG17:AG33" si="19">IF(N17&lt;0,N17,0)</f>
        <v>0</v>
      </c>
      <c r="AH17" s="100">
        <f t="shared" ref="AH17:AH33" si="20">(S17-F17)/F17</f>
        <v>-1</v>
      </c>
      <c r="AI17" s="100">
        <f t="shared" ref="AI17:AI33" si="21">(W17-F17)/F17</f>
        <v>2.6967770225827671E-2</v>
      </c>
    </row>
    <row r="18" spans="1:35" s="50" customFormat="1" ht="18.75" customHeight="1" x14ac:dyDescent="0.3">
      <c r="A18" s="106"/>
      <c r="B18" s="107" t="s">
        <v>99</v>
      </c>
      <c r="C18" s="117">
        <v>47437</v>
      </c>
      <c r="D18" s="160">
        <v>148278404</v>
      </c>
      <c r="E18" s="130" t="s">
        <v>195</v>
      </c>
      <c r="F18" s="106">
        <v>15144</v>
      </c>
      <c r="G18" s="106"/>
      <c r="H18" s="106"/>
      <c r="I18" s="106"/>
      <c r="J18" s="106"/>
      <c r="K18" s="106" t="s">
        <v>100</v>
      </c>
      <c r="L18" s="106"/>
      <c r="M18" s="106">
        <f>504+1272+1456+800+480+624+1688+1816+1480+704+1288+1328+408+1671</f>
        <v>15519</v>
      </c>
      <c r="N18" s="110">
        <f>M18-F18</f>
        <v>375</v>
      </c>
      <c r="O18" s="110"/>
      <c r="P18" s="106"/>
      <c r="Q18" s="106">
        <f>504+960+1272+800+1104+480+1621+1336+496+536+456+488+1288+1112+1328+1671+67</f>
        <v>15519</v>
      </c>
      <c r="R18" s="106"/>
      <c r="S18" s="106">
        <f>18+844+1042+1125+1024+1088+1045+939+1098+751+1052+1133+978+1010+1060+1312</f>
        <v>15519</v>
      </c>
      <c r="T18" s="110">
        <f>S18-Q18</f>
        <v>0</v>
      </c>
      <c r="U18" s="59">
        <f t="shared" si="6"/>
        <v>75</v>
      </c>
      <c r="V18" s="106"/>
      <c r="W18" s="106">
        <f>1196+1159+1527+429+832+752+2805+1364+2315+2339+726</f>
        <v>15444</v>
      </c>
      <c r="X18" s="110">
        <f>+W18-M18</f>
        <v>-75</v>
      </c>
      <c r="Y18" s="110"/>
      <c r="Z18" s="110"/>
      <c r="AA18" s="110"/>
      <c r="AB18" s="106"/>
      <c r="AC18" s="106"/>
      <c r="AD18" s="106"/>
      <c r="AE18" s="100">
        <f t="shared" si="18"/>
        <v>2.4762282091917592E-2</v>
      </c>
      <c r="AF18" s="90"/>
      <c r="AG18" s="109">
        <f t="shared" si="19"/>
        <v>0</v>
      </c>
      <c r="AH18" s="100">
        <f t="shared" si="20"/>
        <v>2.4762282091917592E-2</v>
      </c>
      <c r="AI18" s="100">
        <f t="shared" si="21"/>
        <v>1.9809825673534072E-2</v>
      </c>
    </row>
    <row r="19" spans="1:35" s="43" customFormat="1" ht="17.25" customHeight="1" x14ac:dyDescent="0.3">
      <c r="A19" s="90" t="s">
        <v>46</v>
      </c>
      <c r="B19" s="80" t="s">
        <v>99</v>
      </c>
      <c r="C19" s="137"/>
      <c r="D19" s="90"/>
      <c r="E19" s="90"/>
      <c r="F19" s="136">
        <f>SUM(F18:F18)</f>
        <v>15144</v>
      </c>
      <c r="G19" s="136"/>
      <c r="H19" s="136"/>
      <c r="I19" s="136"/>
      <c r="J19" s="136" t="s">
        <v>60</v>
      </c>
      <c r="K19" s="64" t="s">
        <v>176</v>
      </c>
      <c r="L19" s="136">
        <f>SUM(L18:L18)</f>
        <v>0</v>
      </c>
      <c r="M19" s="136">
        <f>SUM(M18:M18)</f>
        <v>15519</v>
      </c>
      <c r="N19" s="136">
        <f>SUM(N18:N18)</f>
        <v>375</v>
      </c>
      <c r="O19" s="136" t="s">
        <v>207</v>
      </c>
      <c r="P19" s="136">
        <f>SUM(P18:P18)</f>
        <v>0</v>
      </c>
      <c r="Q19" s="136">
        <f>SUM(Q18:Q18)</f>
        <v>15519</v>
      </c>
      <c r="R19" s="136">
        <f>SUM(R18:R18)</f>
        <v>0</v>
      </c>
      <c r="S19" s="136">
        <f>SUM(S18:S18)</f>
        <v>15519</v>
      </c>
      <c r="T19" s="136">
        <f>SUM(T18:T18)</f>
        <v>0</v>
      </c>
      <c r="U19" s="59">
        <f t="shared" si="6"/>
        <v>75</v>
      </c>
      <c r="V19" s="136">
        <f>SUM(V18:V18)</f>
        <v>0</v>
      </c>
      <c r="W19" s="136">
        <f>SUM(W18:W18)</f>
        <v>15444</v>
      </c>
      <c r="X19" s="136">
        <f>SUM(X18:X18)</f>
        <v>-75</v>
      </c>
      <c r="Y19" s="136" t="s">
        <v>57</v>
      </c>
      <c r="Z19" s="136" t="s">
        <v>45</v>
      </c>
      <c r="AA19" s="136"/>
      <c r="AB19" s="84"/>
      <c r="AC19" s="136"/>
      <c r="AD19" s="136"/>
      <c r="AE19" s="100">
        <f t="shared" ref="AE19" si="22">N19/F19</f>
        <v>2.4762282091917592E-2</v>
      </c>
      <c r="AF19" s="90"/>
      <c r="AG19" s="109">
        <f t="shared" ref="AG19" si="23">IF(N19&lt;0,N19,0)</f>
        <v>0</v>
      </c>
      <c r="AH19" s="100">
        <f t="shared" ref="AH19" si="24">(S19-F19)/F19</f>
        <v>2.4762282091917592E-2</v>
      </c>
      <c r="AI19" s="100">
        <f t="shared" ref="AI19" si="25">(W19-F19)/F19</f>
        <v>1.9809825673534072E-2</v>
      </c>
    </row>
    <row r="20" spans="1:35" s="51" customFormat="1" ht="26.25" customHeight="1" x14ac:dyDescent="0.3">
      <c r="A20" s="57"/>
      <c r="B20" s="73" t="s">
        <v>106</v>
      </c>
      <c r="C20" s="73"/>
      <c r="D20" s="73"/>
      <c r="E20" s="73"/>
      <c r="F20" s="53">
        <f>+F19</f>
        <v>15144</v>
      </c>
      <c r="G20" s="53"/>
      <c r="H20" s="53"/>
      <c r="I20" s="53"/>
      <c r="J20" s="53"/>
      <c r="K20" s="53"/>
      <c r="L20" s="53">
        <f>+L19</f>
        <v>0</v>
      </c>
      <c r="M20" s="53">
        <f t="shared" ref="M20:X20" si="26">+M19</f>
        <v>15519</v>
      </c>
      <c r="N20" s="53">
        <f t="shared" si="26"/>
        <v>375</v>
      </c>
      <c r="O20" s="53"/>
      <c r="P20" s="53">
        <f t="shared" si="26"/>
        <v>0</v>
      </c>
      <c r="Q20" s="53">
        <f t="shared" si="26"/>
        <v>15519</v>
      </c>
      <c r="R20" s="53">
        <f t="shared" si="26"/>
        <v>0</v>
      </c>
      <c r="S20" s="53">
        <f t="shared" si="26"/>
        <v>15519</v>
      </c>
      <c r="T20" s="53">
        <f t="shared" si="26"/>
        <v>0</v>
      </c>
      <c r="U20" s="59">
        <f t="shared" si="6"/>
        <v>75</v>
      </c>
      <c r="V20" s="53">
        <f t="shared" si="26"/>
        <v>0</v>
      </c>
      <c r="W20" s="53">
        <f t="shared" si="26"/>
        <v>15444</v>
      </c>
      <c r="X20" s="53">
        <f t="shared" si="26"/>
        <v>-75</v>
      </c>
      <c r="Y20" s="53"/>
      <c r="Z20" s="53"/>
      <c r="AA20" s="53"/>
      <c r="AB20" s="57"/>
      <c r="AC20" s="57"/>
      <c r="AD20" s="57"/>
      <c r="AE20" s="100">
        <f t="shared" si="18"/>
        <v>2.4762282091917592E-2</v>
      </c>
      <c r="AF20" s="90"/>
      <c r="AG20" s="109">
        <f t="shared" si="19"/>
        <v>0</v>
      </c>
      <c r="AH20" s="100">
        <f t="shared" si="20"/>
        <v>2.4762282091917592E-2</v>
      </c>
      <c r="AI20" s="100">
        <f t="shared" si="21"/>
        <v>1.9809825673534072E-2</v>
      </c>
    </row>
    <row r="21" spans="1:35" s="50" customFormat="1" ht="21.75" customHeight="1" x14ac:dyDescent="0.3">
      <c r="A21" s="106"/>
      <c r="B21" s="107" t="s">
        <v>107</v>
      </c>
      <c r="C21" s="118" t="s">
        <v>762</v>
      </c>
      <c r="D21" s="323" t="s">
        <v>664</v>
      </c>
      <c r="E21" s="119" t="s">
        <v>665</v>
      </c>
      <c r="F21" s="106">
        <v>5346</v>
      </c>
      <c r="G21" s="106"/>
      <c r="H21" s="106"/>
      <c r="I21" s="106"/>
      <c r="J21" s="106"/>
      <c r="K21" s="106"/>
      <c r="L21" s="106"/>
      <c r="M21" s="106">
        <f>432+300+584+616+528+600+538+252+826+670</f>
        <v>5346</v>
      </c>
      <c r="N21" s="110">
        <f>M21-F21</f>
        <v>0</v>
      </c>
      <c r="O21" s="110"/>
      <c r="P21" s="106"/>
      <c r="Q21" s="106"/>
      <c r="R21" s="106"/>
      <c r="S21" s="106"/>
      <c r="T21" s="110">
        <f>S21-Q21</f>
        <v>0</v>
      </c>
      <c r="U21" s="59">
        <f t="shared" ref="U21" si="27">IF(Q21&gt;0,S21-W21,M21-W21)</f>
        <v>75</v>
      </c>
      <c r="V21" s="106"/>
      <c r="W21" s="106">
        <v>5271</v>
      </c>
      <c r="X21" s="110">
        <f>+W21-M21</f>
        <v>-75</v>
      </c>
      <c r="Y21" s="110"/>
      <c r="Z21" s="110"/>
      <c r="AA21" s="110"/>
      <c r="AB21" s="106"/>
      <c r="AC21" s="106"/>
      <c r="AD21" s="106"/>
      <c r="AE21" s="100">
        <f t="shared" ref="AE21" si="28">N21/F21</f>
        <v>0</v>
      </c>
      <c r="AF21" s="90"/>
      <c r="AG21" s="109">
        <f t="shared" ref="AG21" si="29">IF(N21&lt;0,N21,0)</f>
        <v>0</v>
      </c>
      <c r="AH21" s="100">
        <f t="shared" ref="AH21" si="30">(S21-F21)/F21</f>
        <v>-1</v>
      </c>
      <c r="AI21" s="100">
        <f t="shared" ref="AI21" si="31">(W21-F21)/F21</f>
        <v>-1.4029180695847363E-2</v>
      </c>
    </row>
    <row r="22" spans="1:35" s="50" customFormat="1" ht="21.75" customHeight="1" x14ac:dyDescent="0.3">
      <c r="A22" s="106"/>
      <c r="B22" s="107" t="s">
        <v>107</v>
      </c>
      <c r="C22" s="118" t="s">
        <v>762</v>
      </c>
      <c r="D22" s="325"/>
      <c r="E22" s="119" t="s">
        <v>754</v>
      </c>
      <c r="F22" s="106">
        <v>7028</v>
      </c>
      <c r="G22" s="106"/>
      <c r="H22" s="106"/>
      <c r="I22" s="106"/>
      <c r="J22" s="106"/>
      <c r="K22" s="106"/>
      <c r="L22" s="106"/>
      <c r="M22" s="106">
        <f>348+408+688+2404+1220+540+500+920</f>
        <v>7028</v>
      </c>
      <c r="N22" s="110">
        <f>M22-F22</f>
        <v>0</v>
      </c>
      <c r="O22" s="110"/>
      <c r="P22" s="106"/>
      <c r="Q22" s="106"/>
      <c r="R22" s="106"/>
      <c r="S22" s="106"/>
      <c r="T22" s="110">
        <f>S22-Q22</f>
        <v>0</v>
      </c>
      <c r="U22" s="59">
        <f t="shared" si="6"/>
        <v>200</v>
      </c>
      <c r="V22" s="106"/>
      <c r="W22" s="106">
        <f>1341+2359+3128</f>
        <v>6828</v>
      </c>
      <c r="X22" s="110">
        <f>+W22-M22</f>
        <v>-200</v>
      </c>
      <c r="Y22" s="110"/>
      <c r="Z22" s="110"/>
      <c r="AA22" s="110"/>
      <c r="AB22" s="106"/>
      <c r="AC22" s="106"/>
      <c r="AD22" s="106"/>
      <c r="AE22" s="100">
        <f t="shared" si="18"/>
        <v>0</v>
      </c>
      <c r="AF22" s="90"/>
      <c r="AG22" s="109">
        <f t="shared" si="19"/>
        <v>0</v>
      </c>
      <c r="AH22" s="100">
        <f t="shared" si="20"/>
        <v>-1</v>
      </c>
      <c r="AI22" s="100">
        <f t="shared" si="21"/>
        <v>-2.8457598178713718E-2</v>
      </c>
    </row>
    <row r="23" spans="1:35" s="43" customFormat="1" ht="17.25" customHeight="1" x14ac:dyDescent="0.3">
      <c r="A23" s="90" t="s">
        <v>46</v>
      </c>
      <c r="B23" s="90" t="s">
        <v>107</v>
      </c>
      <c r="C23" s="137"/>
      <c r="D23" s="90"/>
      <c r="E23" s="90"/>
      <c r="F23" s="136">
        <f>SUM(F21:F22)</f>
        <v>12374</v>
      </c>
      <c r="G23" s="136"/>
      <c r="H23" s="136"/>
      <c r="I23" s="136" t="s">
        <v>502</v>
      </c>
      <c r="J23" s="136" t="s">
        <v>60</v>
      </c>
      <c r="K23" s="136" t="s">
        <v>666</v>
      </c>
      <c r="L23" s="136">
        <f>SUM(L21:L22)</f>
        <v>0</v>
      </c>
      <c r="M23" s="136">
        <f t="shared" ref="M23:X23" si="32">SUM(M21:M22)</f>
        <v>12374</v>
      </c>
      <c r="N23" s="136">
        <f t="shared" si="32"/>
        <v>0</v>
      </c>
      <c r="O23" s="136"/>
      <c r="P23" s="136">
        <f t="shared" si="32"/>
        <v>0</v>
      </c>
      <c r="Q23" s="136">
        <f t="shared" si="32"/>
        <v>0</v>
      </c>
      <c r="R23" s="136">
        <f t="shared" si="32"/>
        <v>0</v>
      </c>
      <c r="S23" s="136">
        <f t="shared" si="32"/>
        <v>0</v>
      </c>
      <c r="T23" s="136">
        <f t="shared" si="32"/>
        <v>0</v>
      </c>
      <c r="U23" s="136">
        <f>SUM(U21:U22)</f>
        <v>275</v>
      </c>
      <c r="V23" s="136">
        <f t="shared" si="32"/>
        <v>0</v>
      </c>
      <c r="W23" s="136">
        <f t="shared" si="32"/>
        <v>12099</v>
      </c>
      <c r="X23" s="136">
        <f t="shared" si="32"/>
        <v>-275</v>
      </c>
      <c r="Y23" s="136"/>
      <c r="Z23" s="136"/>
      <c r="AA23" s="136"/>
      <c r="AB23" s="84"/>
      <c r="AC23" s="136"/>
      <c r="AD23" s="136"/>
      <c r="AE23" s="100">
        <f t="shared" si="18"/>
        <v>0</v>
      </c>
      <c r="AF23" s="90"/>
      <c r="AG23" s="109">
        <f t="shared" si="19"/>
        <v>0</v>
      </c>
      <c r="AH23" s="100">
        <f t="shared" si="20"/>
        <v>-1</v>
      </c>
      <c r="AI23" s="100">
        <f t="shared" si="21"/>
        <v>-2.2224018102472928E-2</v>
      </c>
    </row>
    <row r="24" spans="1:35" s="50" customFormat="1" ht="21.75" customHeight="1" x14ac:dyDescent="0.3">
      <c r="A24" s="106"/>
      <c r="B24" s="107" t="s">
        <v>751</v>
      </c>
      <c r="C24" s="118" t="s">
        <v>751</v>
      </c>
      <c r="D24" s="252"/>
      <c r="E24" s="119" t="s">
        <v>38</v>
      </c>
      <c r="F24" s="106">
        <v>408</v>
      </c>
      <c r="G24" s="106"/>
      <c r="H24" s="106"/>
      <c r="I24" s="106"/>
      <c r="J24" s="106"/>
      <c r="K24" s="106"/>
      <c r="L24" s="106"/>
      <c r="M24" s="106">
        <f>408</f>
        <v>408</v>
      </c>
      <c r="N24" s="110">
        <f>M24-F24</f>
        <v>0</v>
      </c>
      <c r="O24" s="110"/>
      <c r="P24" s="106"/>
      <c r="Q24" s="106"/>
      <c r="R24" s="106"/>
      <c r="S24" s="106"/>
      <c r="T24" s="110">
        <f>S24-Q24</f>
        <v>0</v>
      </c>
      <c r="U24" s="59">
        <f t="shared" ref="U24:U32" si="33">IF(Q24&gt;0,S24-W24,M24-W24)</f>
        <v>25</v>
      </c>
      <c r="V24" s="106"/>
      <c r="W24" s="106">
        <v>383</v>
      </c>
      <c r="X24" s="110">
        <f>+W24-M24</f>
        <v>-25</v>
      </c>
      <c r="Y24" s="110"/>
      <c r="Z24" s="110"/>
      <c r="AA24" s="110"/>
      <c r="AB24" s="106"/>
      <c r="AC24" s="106"/>
      <c r="AD24" s="106"/>
      <c r="AE24" s="100">
        <f t="shared" ref="AE24:AE32" si="34">N24/F24</f>
        <v>0</v>
      </c>
      <c r="AF24" s="90"/>
      <c r="AG24" s="109">
        <f t="shared" ref="AG24:AG32" si="35">IF(N24&lt;0,N24,0)</f>
        <v>0</v>
      </c>
      <c r="AH24" s="100">
        <f t="shared" ref="AH24:AH32" si="36">(S24-F24)/F24</f>
        <v>-1</v>
      </c>
      <c r="AI24" s="100">
        <f t="shared" ref="AI24:AI32" si="37">(W24-F24)/F24</f>
        <v>-6.1274509803921566E-2</v>
      </c>
    </row>
    <row r="25" spans="1:35" s="43" customFormat="1" ht="17.25" customHeight="1" x14ac:dyDescent="0.3">
      <c r="A25" s="90" t="s">
        <v>46</v>
      </c>
      <c r="B25" s="90" t="s">
        <v>751</v>
      </c>
      <c r="C25" s="137"/>
      <c r="D25" s="90"/>
      <c r="E25" s="90"/>
      <c r="F25" s="136">
        <f>SUM(F24:F24)</f>
        <v>408</v>
      </c>
      <c r="G25" s="136"/>
      <c r="H25" s="136"/>
      <c r="I25" s="136"/>
      <c r="J25" s="136" t="s">
        <v>60</v>
      </c>
      <c r="K25" s="136"/>
      <c r="L25" s="136">
        <f>SUM(L24:L24)</f>
        <v>0</v>
      </c>
      <c r="M25" s="136">
        <f>SUM(M24:M24)</f>
        <v>408</v>
      </c>
      <c r="N25" s="136">
        <f>SUM(N24:N24)</f>
        <v>0</v>
      </c>
      <c r="O25" s="136"/>
      <c r="P25" s="136">
        <f>SUM(P24:P24)</f>
        <v>0</v>
      </c>
      <c r="Q25" s="136">
        <f>SUM(Q24:Q24)</f>
        <v>0</v>
      </c>
      <c r="R25" s="136">
        <f>SUM(R24:R24)</f>
        <v>0</v>
      </c>
      <c r="S25" s="136">
        <f>SUM(S24:S24)</f>
        <v>0</v>
      </c>
      <c r="T25" s="136">
        <f>SUM(T24:T24)</f>
        <v>0</v>
      </c>
      <c r="U25" s="59">
        <f t="shared" si="33"/>
        <v>25</v>
      </c>
      <c r="V25" s="136">
        <f>SUM(V24:V24)</f>
        <v>0</v>
      </c>
      <c r="W25" s="136">
        <f>SUM(W24:W24)</f>
        <v>383</v>
      </c>
      <c r="X25" s="136">
        <f>SUM(X24:X24)</f>
        <v>-25</v>
      </c>
      <c r="Y25" s="136"/>
      <c r="Z25" s="136"/>
      <c r="AA25" s="136"/>
      <c r="AB25" s="84"/>
      <c r="AC25" s="136"/>
      <c r="AD25" s="136"/>
      <c r="AE25" s="100">
        <f t="shared" si="34"/>
        <v>0</v>
      </c>
      <c r="AF25" s="90"/>
      <c r="AG25" s="109">
        <f t="shared" si="35"/>
        <v>0</v>
      </c>
      <c r="AH25" s="100">
        <f t="shared" si="36"/>
        <v>-1</v>
      </c>
      <c r="AI25" s="100">
        <f t="shared" si="37"/>
        <v>-6.1274509803921566E-2</v>
      </c>
    </row>
    <row r="26" spans="1:35" s="50" customFormat="1" ht="21.75" customHeight="1" x14ac:dyDescent="0.3">
      <c r="A26" s="106"/>
      <c r="B26" s="107" t="s">
        <v>52</v>
      </c>
      <c r="C26" s="118" t="s">
        <v>360</v>
      </c>
      <c r="D26" s="323">
        <v>13238718</v>
      </c>
      <c r="E26" s="119" t="s">
        <v>937</v>
      </c>
      <c r="F26" s="106">
        <f>440+840</f>
        <v>1280</v>
      </c>
      <c r="G26" s="106"/>
      <c r="H26" s="106"/>
      <c r="I26" s="106"/>
      <c r="J26" s="106"/>
      <c r="K26" s="106"/>
      <c r="L26" s="106"/>
      <c r="M26" s="106">
        <f>440+840</f>
        <v>1280</v>
      </c>
      <c r="N26" s="110">
        <f>M26-F26</f>
        <v>0</v>
      </c>
      <c r="O26" s="110"/>
      <c r="P26" s="106"/>
      <c r="Q26" s="106">
        <f>425+821+10+11</f>
        <v>1267</v>
      </c>
      <c r="R26" s="106"/>
      <c r="S26" s="106">
        <f>1256+11</f>
        <v>1267</v>
      </c>
      <c r="T26" s="110">
        <f>S26-Q26</f>
        <v>0</v>
      </c>
      <c r="U26" s="59">
        <f t="shared" ref="U26:U27" si="38">IF(Q26&gt;0,S26-W26,M26-W26)</f>
        <v>0</v>
      </c>
      <c r="V26" s="106"/>
      <c r="W26" s="106">
        <v>1267</v>
      </c>
      <c r="X26" s="110">
        <f>+W26-M26</f>
        <v>-13</v>
      </c>
      <c r="Y26" s="110"/>
      <c r="Z26" s="110"/>
      <c r="AA26" s="110"/>
      <c r="AB26" s="106"/>
      <c r="AC26" s="106"/>
      <c r="AD26" s="106"/>
      <c r="AE26" s="100">
        <f t="shared" ref="AE26:AE27" si="39">N26/F26</f>
        <v>0</v>
      </c>
      <c r="AF26" s="90"/>
      <c r="AG26" s="109">
        <f t="shared" ref="AG26:AG27" si="40">IF(N26&lt;0,N26,0)</f>
        <v>0</v>
      </c>
      <c r="AH26" s="100">
        <f t="shared" ref="AH26:AH27" si="41">(S26-F26)/F26</f>
        <v>-1.015625E-2</v>
      </c>
      <c r="AI26" s="100">
        <f t="shared" ref="AI26:AI27" si="42">(W26-F26)/F26</f>
        <v>-1.015625E-2</v>
      </c>
    </row>
    <row r="27" spans="1:35" s="50" customFormat="1" ht="21.75" customHeight="1" x14ac:dyDescent="0.3">
      <c r="A27" s="106"/>
      <c r="B27" s="107" t="s">
        <v>52</v>
      </c>
      <c r="C27" s="118" t="s">
        <v>360</v>
      </c>
      <c r="D27" s="324"/>
      <c r="E27" s="119" t="s">
        <v>936</v>
      </c>
      <c r="F27" s="106">
        <v>2238</v>
      </c>
      <c r="G27" s="106"/>
      <c r="H27" s="106"/>
      <c r="I27" s="106"/>
      <c r="J27" s="106"/>
      <c r="K27" s="106"/>
      <c r="L27" s="106"/>
      <c r="M27" s="106">
        <f>742+1400+96</f>
        <v>2238</v>
      </c>
      <c r="N27" s="110">
        <f>M27-F27</f>
        <v>0</v>
      </c>
      <c r="O27" s="110"/>
      <c r="P27" s="106"/>
      <c r="Q27" s="106">
        <f>742+1400+96</f>
        <v>2238</v>
      </c>
      <c r="R27" s="106"/>
      <c r="S27" s="106">
        <v>2235</v>
      </c>
      <c r="T27" s="110">
        <f>S27-Q27</f>
        <v>-3</v>
      </c>
      <c r="U27" s="59">
        <f t="shared" si="38"/>
        <v>1</v>
      </c>
      <c r="V27" s="106"/>
      <c r="W27" s="106">
        <v>2234</v>
      </c>
      <c r="X27" s="110">
        <f>+W27-M27</f>
        <v>-4</v>
      </c>
      <c r="Y27" s="110"/>
      <c r="Z27" s="110"/>
      <c r="AA27" s="110"/>
      <c r="AB27" s="106"/>
      <c r="AC27" s="106"/>
      <c r="AD27" s="106"/>
      <c r="AE27" s="100">
        <f t="shared" si="39"/>
        <v>0</v>
      </c>
      <c r="AF27" s="90"/>
      <c r="AG27" s="109">
        <f t="shared" si="40"/>
        <v>0</v>
      </c>
      <c r="AH27" s="100">
        <f t="shared" si="41"/>
        <v>-1.3404825737265416E-3</v>
      </c>
      <c r="AI27" s="100">
        <f t="shared" si="42"/>
        <v>-1.7873100983020554E-3</v>
      </c>
    </row>
    <row r="28" spans="1:35" s="50" customFormat="1" ht="21.75" customHeight="1" x14ac:dyDescent="0.3">
      <c r="A28" s="106"/>
      <c r="B28" s="107" t="s">
        <v>52</v>
      </c>
      <c r="C28" s="118" t="s">
        <v>360</v>
      </c>
      <c r="D28" s="325"/>
      <c r="E28" s="119" t="s">
        <v>940</v>
      </c>
      <c r="F28" s="106">
        <v>600</v>
      </c>
      <c r="G28" s="106"/>
      <c r="H28" s="106"/>
      <c r="I28" s="106"/>
      <c r="J28" s="106"/>
      <c r="K28" s="106"/>
      <c r="L28" s="106"/>
      <c r="M28" s="106">
        <v>600</v>
      </c>
      <c r="N28" s="110">
        <f>M28-F28</f>
        <v>0</v>
      </c>
      <c r="O28" s="110"/>
      <c r="P28" s="106"/>
      <c r="Q28" s="106">
        <f>600</f>
        <v>600</v>
      </c>
      <c r="R28" s="106"/>
      <c r="S28" s="106">
        <f>583</f>
        <v>583</v>
      </c>
      <c r="T28" s="110">
        <f>S28-Q28</f>
        <v>-17</v>
      </c>
      <c r="U28" s="59">
        <f t="shared" si="33"/>
        <v>583</v>
      </c>
      <c r="V28" s="106"/>
      <c r="W28" s="106"/>
      <c r="X28" s="110">
        <f>+W28-M28</f>
        <v>-600</v>
      </c>
      <c r="Y28" s="110"/>
      <c r="Z28" s="110"/>
      <c r="AA28" s="110"/>
      <c r="AB28" s="106"/>
      <c r="AC28" s="106"/>
      <c r="AD28" s="106"/>
      <c r="AE28" s="100">
        <f t="shared" si="34"/>
        <v>0</v>
      </c>
      <c r="AF28" s="90"/>
      <c r="AG28" s="109">
        <f t="shared" si="35"/>
        <v>0</v>
      </c>
      <c r="AH28" s="100">
        <f t="shared" si="36"/>
        <v>-2.8333333333333332E-2</v>
      </c>
      <c r="AI28" s="100">
        <f t="shared" si="37"/>
        <v>-1</v>
      </c>
    </row>
    <row r="29" spans="1:35" s="43" customFormat="1" ht="17.25" customHeight="1" x14ac:dyDescent="0.3">
      <c r="A29" s="90" t="s">
        <v>46</v>
      </c>
      <c r="B29" s="90" t="s">
        <v>751</v>
      </c>
      <c r="C29" s="137"/>
      <c r="D29" s="90"/>
      <c r="E29" s="90"/>
      <c r="F29" s="136">
        <f>SUM(F26:F28)</f>
        <v>4118</v>
      </c>
      <c r="G29" s="136"/>
      <c r="H29" s="136"/>
      <c r="I29" s="136"/>
      <c r="J29" s="136" t="s">
        <v>60</v>
      </c>
      <c r="K29" s="136"/>
      <c r="L29" s="136">
        <f>SUM(L26:L28)</f>
        <v>0</v>
      </c>
      <c r="M29" s="136">
        <f t="shared" ref="M29:N29" si="43">SUM(M26:M28)</f>
        <v>4118</v>
      </c>
      <c r="N29" s="136">
        <f t="shared" si="43"/>
        <v>0</v>
      </c>
      <c r="O29" s="136" t="s">
        <v>757</v>
      </c>
      <c r="P29" s="136">
        <f t="shared" ref="P29" si="44">SUM(P26:P28)</f>
        <v>0</v>
      </c>
      <c r="Q29" s="136">
        <f t="shared" ref="Q29:R29" si="45">SUM(Q26:Q28)</f>
        <v>4105</v>
      </c>
      <c r="R29" s="136">
        <f t="shared" si="45"/>
        <v>0</v>
      </c>
      <c r="S29" s="136">
        <f t="shared" ref="S29" si="46">SUM(S26:S28)</f>
        <v>4085</v>
      </c>
      <c r="T29" s="136">
        <f t="shared" ref="T29:U29" si="47">SUM(T26:T28)</f>
        <v>-20</v>
      </c>
      <c r="U29" s="136">
        <f t="shared" si="47"/>
        <v>584</v>
      </c>
      <c r="V29" s="136">
        <f t="shared" ref="V29" si="48">SUM(V26:V28)</f>
        <v>0</v>
      </c>
      <c r="W29" s="136">
        <f t="shared" ref="W29:X29" si="49">SUM(W26:W28)</f>
        <v>3501</v>
      </c>
      <c r="X29" s="136">
        <f t="shared" si="49"/>
        <v>-617</v>
      </c>
      <c r="Y29" s="136" t="s">
        <v>47</v>
      </c>
      <c r="Z29" s="136" t="s">
        <v>45</v>
      </c>
      <c r="AA29" s="136"/>
      <c r="AB29" s="84"/>
      <c r="AC29" s="136"/>
      <c r="AD29" s="136"/>
      <c r="AE29" s="100">
        <f t="shared" si="34"/>
        <v>0</v>
      </c>
      <c r="AF29" s="90"/>
      <c r="AG29" s="109">
        <f t="shared" si="35"/>
        <v>0</v>
      </c>
      <c r="AH29" s="100">
        <f t="shared" si="36"/>
        <v>-8.0135988343856233E-3</v>
      </c>
      <c r="AI29" s="100">
        <f t="shared" si="37"/>
        <v>-0.14983001457017969</v>
      </c>
    </row>
    <row r="30" spans="1:35" s="50" customFormat="1" ht="21.75" customHeight="1" x14ac:dyDescent="0.3">
      <c r="A30" s="106"/>
      <c r="B30" s="107" t="s">
        <v>52</v>
      </c>
      <c r="C30" s="118" t="s">
        <v>426</v>
      </c>
      <c r="D30" s="323">
        <v>13239415</v>
      </c>
      <c r="E30" s="119" t="s">
        <v>938</v>
      </c>
      <c r="F30" s="106">
        <v>8434</v>
      </c>
      <c r="G30" s="106"/>
      <c r="H30" s="106"/>
      <c r="I30" s="106"/>
      <c r="J30" s="106"/>
      <c r="K30" s="106"/>
      <c r="L30" s="106"/>
      <c r="M30" s="106">
        <f>2238+976+1620+476+748+436+340+1600</f>
        <v>8434</v>
      </c>
      <c r="N30" s="110">
        <f>M30-F30</f>
        <v>0</v>
      </c>
      <c r="O30" s="110"/>
      <c r="P30" s="106"/>
      <c r="Q30" s="106">
        <f>2238+968+1610+476+1157+1585</f>
        <v>8034</v>
      </c>
      <c r="R30" s="106"/>
      <c r="S30" s="106">
        <f>2208+3048+1155+1583</f>
        <v>7994</v>
      </c>
      <c r="T30" s="110">
        <f>S30-Q30</f>
        <v>-40</v>
      </c>
      <c r="U30" s="59">
        <f t="shared" si="33"/>
        <v>2742</v>
      </c>
      <c r="V30" s="106"/>
      <c r="W30" s="106">
        <f>5252</f>
        <v>5252</v>
      </c>
      <c r="X30" s="110">
        <f>+W30-M30</f>
        <v>-3182</v>
      </c>
      <c r="Y30" s="110"/>
      <c r="Z30" s="110"/>
      <c r="AA30" s="110"/>
      <c r="AB30" s="106"/>
      <c r="AC30" s="106"/>
      <c r="AD30" s="106"/>
      <c r="AE30" s="100">
        <f t="shared" si="34"/>
        <v>0</v>
      </c>
      <c r="AF30" s="90"/>
      <c r="AG30" s="109">
        <f t="shared" si="35"/>
        <v>0</v>
      </c>
      <c r="AH30" s="100">
        <f t="shared" si="36"/>
        <v>-5.2169788949490162E-2</v>
      </c>
      <c r="AI30" s="100">
        <f t="shared" si="37"/>
        <v>-0.37728242826654018</v>
      </c>
    </row>
    <row r="31" spans="1:35" s="50" customFormat="1" ht="21.75" customHeight="1" x14ac:dyDescent="0.3">
      <c r="A31" s="106"/>
      <c r="B31" s="107" t="s">
        <v>52</v>
      </c>
      <c r="C31" s="118" t="s">
        <v>426</v>
      </c>
      <c r="D31" s="324"/>
      <c r="E31" s="119" t="s">
        <v>939</v>
      </c>
      <c r="F31" s="106">
        <v>2496</v>
      </c>
      <c r="G31" s="106"/>
      <c r="H31" s="106"/>
      <c r="I31" s="106"/>
      <c r="J31" s="106"/>
      <c r="K31" s="106"/>
      <c r="L31" s="106"/>
      <c r="M31" s="106">
        <v>2496</v>
      </c>
      <c r="N31" s="110">
        <f>M31-F31</f>
        <v>0</v>
      </c>
      <c r="O31" s="110"/>
      <c r="P31" s="106"/>
      <c r="Q31" s="106">
        <v>2454</v>
      </c>
      <c r="R31" s="106"/>
      <c r="S31" s="106">
        <v>2451</v>
      </c>
      <c r="T31" s="110">
        <f>S31-Q31</f>
        <v>-3</v>
      </c>
      <c r="U31" s="59">
        <f t="shared" si="33"/>
        <v>10</v>
      </c>
      <c r="V31" s="106"/>
      <c r="W31" s="106">
        <v>2441</v>
      </c>
      <c r="X31" s="110">
        <f>+W31-M31</f>
        <v>-55</v>
      </c>
      <c r="Y31" s="110"/>
      <c r="Z31" s="110"/>
      <c r="AA31" s="110"/>
      <c r="AB31" s="106"/>
      <c r="AC31" s="106"/>
      <c r="AD31" s="106"/>
      <c r="AE31" s="100">
        <f t="shared" si="34"/>
        <v>0</v>
      </c>
      <c r="AF31" s="90"/>
      <c r="AG31" s="109">
        <f t="shared" si="35"/>
        <v>0</v>
      </c>
      <c r="AH31" s="100">
        <f t="shared" si="36"/>
        <v>-1.8028846153846152E-2</v>
      </c>
      <c r="AI31" s="100">
        <f t="shared" si="37"/>
        <v>-2.2035256410256412E-2</v>
      </c>
    </row>
    <row r="32" spans="1:35" s="50" customFormat="1" ht="21.75" customHeight="1" x14ac:dyDescent="0.3">
      <c r="A32" s="106"/>
      <c r="B32" s="107" t="s">
        <v>52</v>
      </c>
      <c r="C32" s="118" t="s">
        <v>426</v>
      </c>
      <c r="D32" s="324"/>
      <c r="E32" s="119" t="s">
        <v>942</v>
      </c>
      <c r="F32" s="106">
        <v>816</v>
      </c>
      <c r="G32" s="106"/>
      <c r="H32" s="106"/>
      <c r="I32" s="106"/>
      <c r="J32" s="106"/>
      <c r="K32" s="106"/>
      <c r="L32" s="106"/>
      <c r="M32" s="106">
        <v>816</v>
      </c>
      <c r="N32" s="110">
        <f>M32-F32</f>
        <v>0</v>
      </c>
      <c r="O32" s="110"/>
      <c r="P32" s="106"/>
      <c r="Q32" s="106">
        <f>256+530</f>
        <v>786</v>
      </c>
      <c r="R32" s="106"/>
      <c r="S32" s="106">
        <f>256+528</f>
        <v>784</v>
      </c>
      <c r="T32" s="110">
        <f>S32-Q32</f>
        <v>-2</v>
      </c>
      <c r="U32" s="59">
        <f t="shared" si="33"/>
        <v>784</v>
      </c>
      <c r="V32" s="106"/>
      <c r="W32" s="106"/>
      <c r="X32" s="110">
        <f>+W32-M32</f>
        <v>-816</v>
      </c>
      <c r="Y32" s="110"/>
      <c r="Z32" s="110"/>
      <c r="AA32" s="110"/>
      <c r="AB32" s="106"/>
      <c r="AC32" s="106"/>
      <c r="AD32" s="106"/>
      <c r="AE32" s="100">
        <f t="shared" si="34"/>
        <v>0</v>
      </c>
      <c r="AF32" s="90"/>
      <c r="AG32" s="109">
        <f t="shared" si="35"/>
        <v>0</v>
      </c>
      <c r="AH32" s="100">
        <f t="shared" si="36"/>
        <v>-3.9215686274509803E-2</v>
      </c>
      <c r="AI32" s="100">
        <f t="shared" si="37"/>
        <v>-1</v>
      </c>
    </row>
    <row r="33" spans="1:35" s="50" customFormat="1" ht="21.75" customHeight="1" x14ac:dyDescent="0.3">
      <c r="A33" s="106"/>
      <c r="B33" s="107" t="s">
        <v>52</v>
      </c>
      <c r="C33" s="118" t="s">
        <v>426</v>
      </c>
      <c r="D33" s="325"/>
      <c r="E33" s="119" t="s">
        <v>952</v>
      </c>
      <c r="F33" s="106">
        <v>2888</v>
      </c>
      <c r="G33" s="106"/>
      <c r="H33" s="106"/>
      <c r="I33" s="106"/>
      <c r="J33" s="106"/>
      <c r="K33" s="106"/>
      <c r="L33" s="106"/>
      <c r="M33" s="106">
        <f>1576+500+812</f>
        <v>2888</v>
      </c>
      <c r="N33" s="110">
        <f>M33-F33</f>
        <v>0</v>
      </c>
      <c r="O33" s="110"/>
      <c r="P33" s="106"/>
      <c r="Q33" s="106">
        <f>1576+796+294</f>
        <v>2666</v>
      </c>
      <c r="R33" s="106"/>
      <c r="S33" s="106">
        <f>1870+796</f>
        <v>2666</v>
      </c>
      <c r="T33" s="110">
        <f>S33-Q33</f>
        <v>0</v>
      </c>
      <c r="U33" s="59">
        <f t="shared" si="6"/>
        <v>2666</v>
      </c>
      <c r="V33" s="106"/>
      <c r="W33" s="106"/>
      <c r="X33" s="110">
        <f>+W33-M33</f>
        <v>-2888</v>
      </c>
      <c r="Y33" s="110"/>
      <c r="Z33" s="110"/>
      <c r="AA33" s="110"/>
      <c r="AB33" s="106"/>
      <c r="AC33" s="106"/>
      <c r="AD33" s="106"/>
      <c r="AE33" s="100">
        <f t="shared" si="18"/>
        <v>0</v>
      </c>
      <c r="AF33" s="90"/>
      <c r="AG33" s="109">
        <f t="shared" si="19"/>
        <v>0</v>
      </c>
      <c r="AH33" s="100">
        <f t="shared" si="20"/>
        <v>-7.6869806094182827E-2</v>
      </c>
      <c r="AI33" s="100">
        <f t="shared" si="21"/>
        <v>-1</v>
      </c>
    </row>
    <row r="34" spans="1:35" s="43" customFormat="1" ht="17.25" customHeight="1" x14ac:dyDescent="0.3">
      <c r="A34" s="90" t="s">
        <v>46</v>
      </c>
      <c r="B34" s="90" t="s">
        <v>751</v>
      </c>
      <c r="C34" s="137"/>
      <c r="D34" s="90"/>
      <c r="E34" s="90"/>
      <c r="F34" s="136">
        <f>SUM(F30:F33)</f>
        <v>14634</v>
      </c>
      <c r="G34" s="136"/>
      <c r="H34" s="136"/>
      <c r="I34" s="136"/>
      <c r="J34" s="136" t="s">
        <v>60</v>
      </c>
      <c r="K34" s="136"/>
      <c r="L34" s="136">
        <f>SUM(L30:L33)</f>
        <v>0</v>
      </c>
      <c r="M34" s="136">
        <f t="shared" ref="M34:X34" si="50">SUM(M30:M33)</f>
        <v>14634</v>
      </c>
      <c r="N34" s="136">
        <f t="shared" si="50"/>
        <v>0</v>
      </c>
      <c r="O34" s="136" t="s">
        <v>758</v>
      </c>
      <c r="P34" s="136">
        <f t="shared" si="50"/>
        <v>0</v>
      </c>
      <c r="Q34" s="136">
        <f t="shared" si="50"/>
        <v>13940</v>
      </c>
      <c r="R34" s="136">
        <f t="shared" si="50"/>
        <v>0</v>
      </c>
      <c r="S34" s="136">
        <f t="shared" si="50"/>
        <v>13895</v>
      </c>
      <c r="T34" s="136">
        <f t="shared" si="50"/>
        <v>-45</v>
      </c>
      <c r="U34" s="136">
        <f>SUM(U30:U33)</f>
        <v>6202</v>
      </c>
      <c r="V34" s="136">
        <f t="shared" si="50"/>
        <v>0</v>
      </c>
      <c r="W34" s="136">
        <f t="shared" si="50"/>
        <v>7693</v>
      </c>
      <c r="X34" s="136">
        <f t="shared" si="50"/>
        <v>-6941</v>
      </c>
      <c r="Y34" s="136" t="s">
        <v>47</v>
      </c>
      <c r="Z34" s="136" t="s">
        <v>45</v>
      </c>
      <c r="AA34" s="136"/>
      <c r="AB34" s="84"/>
      <c r="AC34" s="136"/>
      <c r="AD34" s="136"/>
      <c r="AE34" s="100">
        <f t="shared" ref="AE34" si="51">N34/F34</f>
        <v>0</v>
      </c>
      <c r="AF34" s="90"/>
      <c r="AG34" s="109">
        <f t="shared" ref="AG34" si="52">IF(N34&lt;0,N34,0)</f>
        <v>0</v>
      </c>
      <c r="AH34" s="100">
        <f t="shared" ref="AH34" si="53">(S34-F34)/F34</f>
        <v>-5.0498838321716553E-2</v>
      </c>
      <c r="AI34" s="100">
        <f t="shared" ref="AI34" si="54">(W34-F34)/F34</f>
        <v>-0.47430640973076399</v>
      </c>
    </row>
    <row r="35" spans="1:35" s="51" customFormat="1" ht="21.75" customHeight="1" x14ac:dyDescent="0.3">
      <c r="A35" s="57"/>
      <c r="B35" s="73" t="s">
        <v>105</v>
      </c>
      <c r="C35" s="73"/>
      <c r="D35" s="73"/>
      <c r="E35" s="73"/>
      <c r="F35" s="53">
        <f>+F34+F23+F29+F25</f>
        <v>31534</v>
      </c>
      <c r="G35" s="53"/>
      <c r="H35" s="53"/>
      <c r="I35" s="53"/>
      <c r="J35" s="53"/>
      <c r="K35" s="53"/>
      <c r="L35" s="53">
        <f t="shared" ref="L35:X35" si="55">+L34+L23+L29+L25</f>
        <v>0</v>
      </c>
      <c r="M35" s="53">
        <f t="shared" si="55"/>
        <v>31534</v>
      </c>
      <c r="N35" s="53">
        <f t="shared" si="55"/>
        <v>0</v>
      </c>
      <c r="O35" s="53"/>
      <c r="P35" s="53">
        <f t="shared" si="55"/>
        <v>0</v>
      </c>
      <c r="Q35" s="53">
        <f t="shared" si="55"/>
        <v>18045</v>
      </c>
      <c r="R35" s="53">
        <f t="shared" si="55"/>
        <v>0</v>
      </c>
      <c r="S35" s="53">
        <f t="shared" si="55"/>
        <v>17980</v>
      </c>
      <c r="T35" s="53">
        <f t="shared" si="55"/>
        <v>-65</v>
      </c>
      <c r="U35" s="53">
        <f>+U34+U23+U29+U25</f>
        <v>7086</v>
      </c>
      <c r="V35" s="53">
        <f t="shared" si="55"/>
        <v>0</v>
      </c>
      <c r="W35" s="53">
        <f t="shared" si="55"/>
        <v>23676</v>
      </c>
      <c r="X35" s="53">
        <f t="shared" si="55"/>
        <v>-7858</v>
      </c>
      <c r="Y35" s="53"/>
      <c r="Z35" s="53"/>
      <c r="AA35" s="53"/>
      <c r="AB35" s="57"/>
      <c r="AC35" s="57"/>
      <c r="AD35" s="57"/>
      <c r="AE35" s="100">
        <f t="shared" ref="AE35:AE42" si="56">N35/F35</f>
        <v>0</v>
      </c>
      <c r="AF35" s="90"/>
      <c r="AG35" s="109">
        <f t="shared" ref="AG35:AG42" si="57">IF(N35&lt;0,N35,0)</f>
        <v>0</v>
      </c>
      <c r="AH35" s="100">
        <f t="shared" ref="AH35:AH42" si="58">(S35-F35)/F35</f>
        <v>-0.42982177966639185</v>
      </c>
      <c r="AI35" s="100">
        <f t="shared" ref="AI35:AI42" si="59">(W35-F35)/F35</f>
        <v>-0.24919134902010528</v>
      </c>
    </row>
    <row r="36" spans="1:35" s="50" customFormat="1" ht="21" customHeight="1" x14ac:dyDescent="0.3">
      <c r="A36" s="106"/>
      <c r="B36" s="107" t="s">
        <v>182</v>
      </c>
      <c r="C36" s="118">
        <v>47721</v>
      </c>
      <c r="D36" s="323" t="s">
        <v>498</v>
      </c>
      <c r="E36" s="132" t="s">
        <v>0</v>
      </c>
      <c r="F36" s="106">
        <v>635</v>
      </c>
      <c r="G36" s="106"/>
      <c r="H36" s="106"/>
      <c r="I36" s="106"/>
      <c r="J36" s="106"/>
      <c r="K36" s="106"/>
      <c r="L36" s="106"/>
      <c r="M36" s="106">
        <v>656</v>
      </c>
      <c r="N36" s="110">
        <f t="shared" ref="N36:N38" si="60">M36-F36</f>
        <v>21</v>
      </c>
      <c r="O36" s="110"/>
      <c r="P36" s="106"/>
      <c r="Q36" s="106"/>
      <c r="R36" s="106"/>
      <c r="S36" s="106"/>
      <c r="T36" s="110">
        <f t="shared" ref="T36:T38" si="61">S36-Q36</f>
        <v>0</v>
      </c>
      <c r="U36" s="59">
        <f t="shared" ref="U36:U41" si="62">IF(Q36&gt;0,S36-W36,M36-W36)</f>
        <v>9</v>
      </c>
      <c r="V36" s="106"/>
      <c r="W36" s="106">
        <v>647</v>
      </c>
      <c r="X36" s="110">
        <f t="shared" ref="X36:X38" si="63">+W36-M36</f>
        <v>-9</v>
      </c>
      <c r="Y36" s="110"/>
      <c r="Z36" s="110"/>
      <c r="AA36" s="110"/>
      <c r="AB36" s="106"/>
      <c r="AC36" s="106"/>
      <c r="AD36" s="106"/>
      <c r="AE36" s="100">
        <f t="shared" ref="AE36" si="64">N36/F36</f>
        <v>3.3070866141732283E-2</v>
      </c>
      <c r="AF36" s="90"/>
      <c r="AG36" s="109">
        <f t="shared" ref="AG36" si="65">IF(N36&lt;0,N36,0)</f>
        <v>0</v>
      </c>
      <c r="AH36" s="100">
        <f t="shared" ref="AH36" si="66">(S36-F36)/F36</f>
        <v>-1</v>
      </c>
      <c r="AI36" s="100">
        <f t="shared" ref="AI36" si="67">(W36-F36)/F36</f>
        <v>1.889763779527559E-2</v>
      </c>
    </row>
    <row r="37" spans="1:35" s="50" customFormat="1" ht="21" customHeight="1" x14ac:dyDescent="0.3">
      <c r="A37" s="106"/>
      <c r="B37" s="107" t="s">
        <v>182</v>
      </c>
      <c r="C37" s="118">
        <v>47721</v>
      </c>
      <c r="D37" s="324"/>
      <c r="E37" s="132" t="s">
        <v>181</v>
      </c>
      <c r="F37" s="106">
        <v>425</v>
      </c>
      <c r="G37" s="106"/>
      <c r="H37" s="106"/>
      <c r="I37" s="106"/>
      <c r="J37" s="106"/>
      <c r="K37" s="106"/>
      <c r="L37" s="106"/>
      <c r="M37" s="106">
        <f>366+78</f>
        <v>444</v>
      </c>
      <c r="N37" s="110">
        <f t="shared" si="60"/>
        <v>19</v>
      </c>
      <c r="O37" s="110"/>
      <c r="P37" s="106"/>
      <c r="Q37" s="106"/>
      <c r="R37" s="106"/>
      <c r="S37" s="106"/>
      <c r="T37" s="110">
        <f t="shared" si="61"/>
        <v>0</v>
      </c>
      <c r="U37" s="59">
        <f t="shared" si="62"/>
        <v>5</v>
      </c>
      <c r="V37" s="106"/>
      <c r="W37" s="106">
        <v>439</v>
      </c>
      <c r="X37" s="110">
        <f t="shared" si="63"/>
        <v>-5</v>
      </c>
      <c r="Y37" s="110"/>
      <c r="Z37" s="110"/>
      <c r="AA37" s="110"/>
      <c r="AB37" s="106"/>
      <c r="AC37" s="106"/>
      <c r="AD37" s="106"/>
      <c r="AE37" s="100">
        <f>N37/F37</f>
        <v>4.4705882352941179E-2</v>
      </c>
      <c r="AF37" s="90"/>
      <c r="AG37" s="109">
        <f>IF(N37&lt;0,N37,0)</f>
        <v>0</v>
      </c>
      <c r="AH37" s="100">
        <f>(S37-F37)/F37</f>
        <v>-1</v>
      </c>
      <c r="AI37" s="100">
        <f>(W37-F37)/F37</f>
        <v>3.2941176470588238E-2</v>
      </c>
    </row>
    <row r="38" spans="1:35" s="50" customFormat="1" ht="21" customHeight="1" x14ac:dyDescent="0.3">
      <c r="A38" s="106"/>
      <c r="B38" s="107" t="s">
        <v>182</v>
      </c>
      <c r="C38" s="118">
        <v>47721</v>
      </c>
      <c r="D38" s="324"/>
      <c r="E38" s="132" t="s">
        <v>183</v>
      </c>
      <c r="F38" s="106">
        <v>530</v>
      </c>
      <c r="G38" s="106"/>
      <c r="H38" s="106"/>
      <c r="I38" s="106"/>
      <c r="J38" s="106"/>
      <c r="K38" s="106"/>
      <c r="L38" s="106"/>
      <c r="M38" s="106">
        <f>228+228+96</f>
        <v>552</v>
      </c>
      <c r="N38" s="110">
        <f t="shared" si="60"/>
        <v>22</v>
      </c>
      <c r="O38" s="110"/>
      <c r="P38" s="106"/>
      <c r="Q38" s="106"/>
      <c r="R38" s="106"/>
      <c r="S38" s="106"/>
      <c r="T38" s="110">
        <f t="shared" si="61"/>
        <v>0</v>
      </c>
      <c r="U38" s="59">
        <f t="shared" si="62"/>
        <v>0</v>
      </c>
      <c r="V38" s="106"/>
      <c r="W38" s="106">
        <v>552</v>
      </c>
      <c r="X38" s="110">
        <f t="shared" si="63"/>
        <v>0</v>
      </c>
      <c r="Y38" s="110"/>
      <c r="Z38" s="110"/>
      <c r="AA38" s="110"/>
      <c r="AB38" s="106"/>
      <c r="AC38" s="106"/>
      <c r="AD38" s="106"/>
      <c r="AE38" s="100">
        <f>N38/F38</f>
        <v>4.1509433962264149E-2</v>
      </c>
      <c r="AF38" s="90"/>
      <c r="AG38" s="109">
        <f>IF(N38&lt;0,N38,0)</f>
        <v>0</v>
      </c>
      <c r="AH38" s="100">
        <f>(S38-F38)/F38</f>
        <v>-1</v>
      </c>
      <c r="AI38" s="100">
        <f>(W38-F38)/F38</f>
        <v>4.1509433962264149E-2</v>
      </c>
    </row>
    <row r="39" spans="1:35" s="43" customFormat="1" ht="14.25" customHeight="1" x14ac:dyDescent="0.3">
      <c r="A39" s="90" t="s">
        <v>46</v>
      </c>
      <c r="B39" s="90" t="s">
        <v>182</v>
      </c>
      <c r="C39" s="137"/>
      <c r="D39" s="90"/>
      <c r="E39" s="90"/>
      <c r="F39" s="136">
        <f>SUM(F36:F38)</f>
        <v>1590</v>
      </c>
      <c r="G39" s="136"/>
      <c r="H39" s="136"/>
      <c r="I39" s="136"/>
      <c r="J39" s="136" t="s">
        <v>59</v>
      </c>
      <c r="K39" s="136" t="s">
        <v>208</v>
      </c>
      <c r="L39" s="136">
        <f>SUM(L36:L38)</f>
        <v>0</v>
      </c>
      <c r="M39" s="136">
        <f>SUM(M36:M38)</f>
        <v>1652</v>
      </c>
      <c r="N39" s="136">
        <f>SUM(N36:N38)</f>
        <v>62</v>
      </c>
      <c r="O39" s="136"/>
      <c r="P39" s="136">
        <f>SUM(P36:P38)</f>
        <v>0</v>
      </c>
      <c r="Q39" s="136">
        <f>SUM(Q36:Q38)</f>
        <v>0</v>
      </c>
      <c r="R39" s="136">
        <f>SUM(R36:R38)</f>
        <v>0</v>
      </c>
      <c r="S39" s="136">
        <f>SUM(S36:S38)</f>
        <v>0</v>
      </c>
      <c r="T39" s="136">
        <f>SUM(T36:T38)</f>
        <v>0</v>
      </c>
      <c r="U39" s="59">
        <f t="shared" si="62"/>
        <v>14</v>
      </c>
      <c r="V39" s="136">
        <f>SUM(V36:V38)</f>
        <v>0</v>
      </c>
      <c r="W39" s="136">
        <f>SUM(W36:W38)</f>
        <v>1638</v>
      </c>
      <c r="X39" s="136">
        <f>SUM(X36:X38)</f>
        <v>-14</v>
      </c>
      <c r="Y39" s="136"/>
      <c r="Z39" s="136"/>
      <c r="AA39" s="136"/>
      <c r="AB39" s="84"/>
      <c r="AC39" s="136"/>
      <c r="AD39" s="136"/>
      <c r="AE39" s="100">
        <f t="shared" ref="AE39:AE41" si="68">N39/F39</f>
        <v>3.8993710691823898E-2</v>
      </c>
      <c r="AF39" s="90"/>
      <c r="AG39" s="109">
        <f t="shared" ref="AG39:AG41" si="69">IF(N39&lt;0,N39,0)</f>
        <v>0</v>
      </c>
      <c r="AH39" s="100">
        <f t="shared" ref="AH39:AH41" si="70">(S39-F39)/F39</f>
        <v>-1</v>
      </c>
      <c r="AI39" s="100">
        <f t="shared" ref="AI39:AI41" si="71">(W39-F39)/F39</f>
        <v>3.0188679245283019E-2</v>
      </c>
    </row>
    <row r="40" spans="1:35" s="50" customFormat="1" ht="21" customHeight="1" x14ac:dyDescent="0.3">
      <c r="A40" s="106"/>
      <c r="B40" s="107" t="s">
        <v>182</v>
      </c>
      <c r="C40" s="118">
        <v>47425</v>
      </c>
      <c r="D40" s="236">
        <v>68592</v>
      </c>
      <c r="E40" s="132" t="s">
        <v>0</v>
      </c>
      <c r="F40" s="106">
        <f>1080+528</f>
        <v>1608</v>
      </c>
      <c r="G40" s="106"/>
      <c r="H40" s="106"/>
      <c r="I40" s="106"/>
      <c r="J40" s="106"/>
      <c r="K40" s="106"/>
      <c r="L40" s="106"/>
      <c r="M40" s="106">
        <f>1080+528</f>
        <v>1608</v>
      </c>
      <c r="N40" s="110">
        <f t="shared" ref="N40" si="72">M40-F40</f>
        <v>0</v>
      </c>
      <c r="O40" s="110"/>
      <c r="P40" s="106"/>
      <c r="Q40" s="106">
        <f>1080+528</f>
        <v>1608</v>
      </c>
      <c r="R40" s="106"/>
      <c r="S40" s="106">
        <f>210+331+534+526</f>
        <v>1601</v>
      </c>
      <c r="T40" s="110">
        <f t="shared" ref="T40" si="73">S40-Q40</f>
        <v>-7</v>
      </c>
      <c r="U40" s="59">
        <f t="shared" si="62"/>
        <v>7</v>
      </c>
      <c r="V40" s="106"/>
      <c r="W40" s="106">
        <f>1075+519</f>
        <v>1594</v>
      </c>
      <c r="X40" s="110">
        <f t="shared" ref="X40" si="74">+W40-M40</f>
        <v>-14</v>
      </c>
      <c r="Y40" s="110"/>
      <c r="Z40" s="110"/>
      <c r="AA40" s="110"/>
      <c r="AB40" s="106"/>
      <c r="AC40" s="106"/>
      <c r="AD40" s="106"/>
      <c r="AE40" s="100">
        <f t="shared" si="68"/>
        <v>0</v>
      </c>
      <c r="AF40" s="90"/>
      <c r="AG40" s="109">
        <f t="shared" si="69"/>
        <v>0</v>
      </c>
      <c r="AH40" s="100">
        <f t="shared" si="70"/>
        <v>-4.3532338308457713E-3</v>
      </c>
      <c r="AI40" s="100">
        <f t="shared" si="71"/>
        <v>-8.7064676616915426E-3</v>
      </c>
    </row>
    <row r="41" spans="1:35" s="43" customFormat="1" ht="14.25" customHeight="1" x14ac:dyDescent="0.3">
      <c r="A41" s="90" t="s">
        <v>46</v>
      </c>
      <c r="B41" s="90" t="s">
        <v>182</v>
      </c>
      <c r="C41" s="137"/>
      <c r="D41" s="90"/>
      <c r="E41" s="90"/>
      <c r="F41" s="136">
        <f>SUM(F40:F40)</f>
        <v>1608</v>
      </c>
      <c r="G41" s="136"/>
      <c r="H41" s="136"/>
      <c r="I41" s="136"/>
      <c r="J41" s="136" t="s">
        <v>59</v>
      </c>
      <c r="K41" s="136" t="s">
        <v>243</v>
      </c>
      <c r="L41" s="136">
        <f>SUM(L40:L40)</f>
        <v>0</v>
      </c>
      <c r="M41" s="136">
        <f>SUM(M40:M40)</f>
        <v>1608</v>
      </c>
      <c r="N41" s="136">
        <f>SUM(N40:N40)</f>
        <v>0</v>
      </c>
      <c r="O41" s="136" t="s">
        <v>232</v>
      </c>
      <c r="P41" s="136">
        <f>SUM(P40:P40)</f>
        <v>0</v>
      </c>
      <c r="Q41" s="136">
        <f>SUM(Q40:Q40)</f>
        <v>1608</v>
      </c>
      <c r="R41" s="136">
        <f>SUM(R40:R40)</f>
        <v>0</v>
      </c>
      <c r="S41" s="136">
        <f>SUM(S40:S40)</f>
        <v>1601</v>
      </c>
      <c r="T41" s="136">
        <f>SUM(T40:T40)</f>
        <v>-7</v>
      </c>
      <c r="U41" s="59">
        <f t="shared" si="62"/>
        <v>7</v>
      </c>
      <c r="V41" s="136">
        <f>SUM(V40:V40)</f>
        <v>0</v>
      </c>
      <c r="W41" s="136">
        <f>SUM(W40:W40)</f>
        <v>1594</v>
      </c>
      <c r="X41" s="136">
        <f>SUM(X40:X40)</f>
        <v>-14</v>
      </c>
      <c r="Y41" s="136" t="s">
        <v>47</v>
      </c>
      <c r="Z41" s="136" t="s">
        <v>45</v>
      </c>
      <c r="AA41" s="136" t="s">
        <v>503</v>
      </c>
      <c r="AB41" s="84"/>
      <c r="AC41" s="136"/>
      <c r="AD41" s="136"/>
      <c r="AE41" s="100">
        <f t="shared" si="68"/>
        <v>0</v>
      </c>
      <c r="AF41" s="90"/>
      <c r="AG41" s="109">
        <f t="shared" si="69"/>
        <v>0</v>
      </c>
      <c r="AH41" s="100">
        <f t="shared" si="70"/>
        <v>-4.3532338308457713E-3</v>
      </c>
      <c r="AI41" s="100">
        <f t="shared" si="71"/>
        <v>-8.7064676616915426E-3</v>
      </c>
    </row>
    <row r="42" spans="1:35" s="50" customFormat="1" ht="21" customHeight="1" x14ac:dyDescent="0.3">
      <c r="A42" s="106"/>
      <c r="B42" s="107" t="s">
        <v>182</v>
      </c>
      <c r="C42" s="118">
        <v>47719</v>
      </c>
      <c r="D42" s="234">
        <v>686559</v>
      </c>
      <c r="E42" s="132" t="s">
        <v>183</v>
      </c>
      <c r="F42" s="106">
        <v>430</v>
      </c>
      <c r="G42" s="106"/>
      <c r="H42" s="106"/>
      <c r="I42" s="106"/>
      <c r="J42" s="106"/>
      <c r="K42" s="106"/>
      <c r="L42" s="106"/>
      <c r="M42" s="106">
        <v>448</v>
      </c>
      <c r="N42" s="110">
        <f t="shared" ref="N42" si="75">M42-F42</f>
        <v>18</v>
      </c>
      <c r="O42" s="110"/>
      <c r="P42" s="106"/>
      <c r="Q42" s="106"/>
      <c r="R42" s="106"/>
      <c r="S42" s="106"/>
      <c r="T42" s="110">
        <f t="shared" ref="T42" si="76">S42-Q42</f>
        <v>0</v>
      </c>
      <c r="U42" s="59">
        <f t="shared" si="6"/>
        <v>0</v>
      </c>
      <c r="V42" s="106"/>
      <c r="W42" s="106">
        <v>448</v>
      </c>
      <c r="X42" s="110">
        <f t="shared" ref="X42" si="77">+W42-M42</f>
        <v>0</v>
      </c>
      <c r="Y42" s="110"/>
      <c r="Z42" s="110"/>
      <c r="AA42" s="110"/>
      <c r="AB42" s="106"/>
      <c r="AC42" s="106"/>
      <c r="AD42" s="106"/>
      <c r="AE42" s="100">
        <f t="shared" si="56"/>
        <v>4.1860465116279069E-2</v>
      </c>
      <c r="AF42" s="90"/>
      <c r="AG42" s="109">
        <f t="shared" si="57"/>
        <v>0</v>
      </c>
      <c r="AH42" s="100">
        <f t="shared" si="58"/>
        <v>-1</v>
      </c>
      <c r="AI42" s="100">
        <f t="shared" si="59"/>
        <v>4.1860465116279069E-2</v>
      </c>
    </row>
    <row r="43" spans="1:35" s="43" customFormat="1" ht="14.25" customHeight="1" x14ac:dyDescent="0.3">
      <c r="A43" s="90" t="s">
        <v>46</v>
      </c>
      <c r="B43" s="90" t="s">
        <v>182</v>
      </c>
      <c r="C43" s="101"/>
      <c r="D43" s="90"/>
      <c r="E43" s="90"/>
      <c r="F43" s="63">
        <f>SUM(F42:F42)</f>
        <v>430</v>
      </c>
      <c r="G43" s="63"/>
      <c r="H43" s="63"/>
      <c r="I43" s="63"/>
      <c r="J43" s="63" t="s">
        <v>59</v>
      </c>
      <c r="K43" s="63" t="s">
        <v>243</v>
      </c>
      <c r="L43" s="63">
        <f>SUM(L42:L42)</f>
        <v>0</v>
      </c>
      <c r="M43" s="136">
        <f>SUM(M42:M42)</f>
        <v>448</v>
      </c>
      <c r="N43" s="63">
        <f>SUM(N42:N42)</f>
        <v>18</v>
      </c>
      <c r="O43" s="63"/>
      <c r="P43" s="63">
        <f>SUM(P42:P42)</f>
        <v>0</v>
      </c>
      <c r="Q43" s="63">
        <f>SUM(Q42:Q42)</f>
        <v>0</v>
      </c>
      <c r="R43" s="63">
        <f>SUM(R42:R42)</f>
        <v>0</v>
      </c>
      <c r="S43" s="63">
        <f>SUM(S42:S42)</f>
        <v>0</v>
      </c>
      <c r="T43" s="63">
        <f>SUM(T42:T42)</f>
        <v>0</v>
      </c>
      <c r="U43" s="59">
        <f t="shared" si="6"/>
        <v>0</v>
      </c>
      <c r="V43" s="63">
        <f>SUM(V42:V42)</f>
        <v>0</v>
      </c>
      <c r="W43" s="63">
        <f>SUM(W42:W42)</f>
        <v>448</v>
      </c>
      <c r="X43" s="63">
        <f>SUM(X42:X42)</f>
        <v>0</v>
      </c>
      <c r="Y43" s="63"/>
      <c r="Z43" s="63"/>
      <c r="AA43" s="63"/>
      <c r="AB43" s="84"/>
      <c r="AC43" s="63"/>
      <c r="AD43" s="63"/>
      <c r="AE43" s="100">
        <f t="shared" ref="AE43" si="78">N43/F43</f>
        <v>4.1860465116279069E-2</v>
      </c>
      <c r="AF43" s="90"/>
      <c r="AG43" s="109">
        <f t="shared" ref="AG43" si="79">IF(N43&lt;0,N43,0)</f>
        <v>0</v>
      </c>
      <c r="AH43" s="100">
        <f t="shared" ref="AH43" si="80">(S43-F43)/F43</f>
        <v>-1</v>
      </c>
      <c r="AI43" s="100">
        <f t="shared" ref="AI43" si="81">(W43-F43)/F43</f>
        <v>4.1860465116279069E-2</v>
      </c>
    </row>
    <row r="44" spans="1:35" s="51" customFormat="1" ht="21.75" customHeight="1" x14ac:dyDescent="0.3">
      <c r="A44" s="57"/>
      <c r="B44" s="73" t="s">
        <v>184</v>
      </c>
      <c r="C44" s="73"/>
      <c r="D44" s="73"/>
      <c r="E44" s="73"/>
      <c r="F44" s="53">
        <f>+F43+F39+F41</f>
        <v>3628</v>
      </c>
      <c r="G44" s="53"/>
      <c r="H44" s="53"/>
      <c r="I44" s="53"/>
      <c r="J44" s="53"/>
      <c r="K44" s="53"/>
      <c r="L44" s="53">
        <f>+L43+L39+L41</f>
        <v>0</v>
      </c>
      <c r="M44" s="53">
        <f t="shared" ref="M44:X44" si="82">+M43+M39+M41</f>
        <v>3708</v>
      </c>
      <c r="N44" s="53">
        <f t="shared" si="82"/>
        <v>80</v>
      </c>
      <c r="O44" s="53"/>
      <c r="P44" s="53">
        <f t="shared" si="82"/>
        <v>0</v>
      </c>
      <c r="Q44" s="53">
        <f t="shared" si="82"/>
        <v>1608</v>
      </c>
      <c r="R44" s="53">
        <f t="shared" si="82"/>
        <v>0</v>
      </c>
      <c r="S44" s="53">
        <f t="shared" si="82"/>
        <v>1601</v>
      </c>
      <c r="T44" s="53">
        <f t="shared" si="82"/>
        <v>-7</v>
      </c>
      <c r="U44" s="59">
        <f>U43+U41+U39</f>
        <v>21</v>
      </c>
      <c r="V44" s="53">
        <f t="shared" si="82"/>
        <v>0</v>
      </c>
      <c r="W44" s="53">
        <f t="shared" si="82"/>
        <v>3680</v>
      </c>
      <c r="X44" s="53">
        <f t="shared" si="82"/>
        <v>-28</v>
      </c>
      <c r="Y44" s="53"/>
      <c r="Z44" s="53"/>
      <c r="AA44" s="53"/>
      <c r="AB44" s="57"/>
      <c r="AC44" s="57"/>
      <c r="AD44" s="57"/>
      <c r="AE44" s="100">
        <f t="shared" ref="AE44:AE54" si="83">N44/F44</f>
        <v>2.2050716648291068E-2</v>
      </c>
      <c r="AF44" s="90"/>
      <c r="AG44" s="109">
        <f t="shared" ref="AG44:AG54" si="84">IF(N44&lt;0,N44,0)</f>
        <v>0</v>
      </c>
      <c r="AH44" s="100">
        <f t="shared" ref="AH44:AH54" si="85">(S44-F44)/F44</f>
        <v>-0.55871003307607492</v>
      </c>
      <c r="AI44" s="100">
        <f t="shared" ref="AI44:AI54" si="86">(W44-F44)/F44</f>
        <v>1.4332965821389196E-2</v>
      </c>
    </row>
    <row r="45" spans="1:35" s="50" customFormat="1" ht="21" customHeight="1" x14ac:dyDescent="0.3">
      <c r="A45" s="106"/>
      <c r="B45" s="107" t="s">
        <v>505</v>
      </c>
      <c r="C45" s="118">
        <v>47722</v>
      </c>
      <c r="D45" s="216" t="s">
        <v>506</v>
      </c>
      <c r="E45" s="124" t="s">
        <v>507</v>
      </c>
      <c r="F45" s="106">
        <v>275</v>
      </c>
      <c r="G45" s="106"/>
      <c r="H45" s="106"/>
      <c r="I45" s="106"/>
      <c r="J45" s="106"/>
      <c r="K45" s="106"/>
      <c r="L45" s="106"/>
      <c r="M45" s="106">
        <v>287</v>
      </c>
      <c r="N45" s="110">
        <f>M45-F45</f>
        <v>12</v>
      </c>
      <c r="O45" s="110"/>
      <c r="P45" s="106"/>
      <c r="Q45" s="106">
        <v>275</v>
      </c>
      <c r="R45" s="106"/>
      <c r="S45" s="106">
        <v>275</v>
      </c>
      <c r="T45" s="110">
        <f>S45-Q45</f>
        <v>0</v>
      </c>
      <c r="U45" s="59">
        <f t="shared" si="6"/>
        <v>0</v>
      </c>
      <c r="V45" s="106"/>
      <c r="W45" s="106">
        <v>275</v>
      </c>
      <c r="X45" s="110">
        <f>+W45-M45</f>
        <v>-12</v>
      </c>
      <c r="Y45" s="110"/>
      <c r="Z45" s="110"/>
      <c r="AA45" s="110"/>
      <c r="AB45" s="106"/>
      <c r="AC45" s="106"/>
      <c r="AD45" s="106"/>
      <c r="AE45" s="100">
        <f t="shared" ref="AE45:AE46" si="87">N45/F45</f>
        <v>4.363636363636364E-2</v>
      </c>
      <c r="AF45" s="90"/>
      <c r="AG45" s="109">
        <f t="shared" ref="AG45:AG46" si="88">IF(N45&lt;0,N45,0)</f>
        <v>0</v>
      </c>
      <c r="AH45" s="100">
        <f t="shared" ref="AH45:AH46" si="89">(S45-F45)/F45</f>
        <v>0</v>
      </c>
      <c r="AI45" s="100">
        <f t="shared" ref="AI45:AI46" si="90">(W45-F45)/F45</f>
        <v>0</v>
      </c>
    </row>
    <row r="46" spans="1:35" s="43" customFormat="1" ht="15.75" customHeight="1" x14ac:dyDescent="0.3">
      <c r="A46" s="90" t="s">
        <v>46</v>
      </c>
      <c r="B46" s="90" t="s">
        <v>242</v>
      </c>
      <c r="C46" s="137"/>
      <c r="D46" s="90"/>
      <c r="E46" s="90"/>
      <c r="F46" s="136">
        <f>SUM(F45:F45)</f>
        <v>275</v>
      </c>
      <c r="G46" s="136"/>
      <c r="H46" s="136"/>
      <c r="I46" s="136"/>
      <c r="J46" s="136" t="s">
        <v>59</v>
      </c>
      <c r="K46" s="64" t="s">
        <v>243</v>
      </c>
      <c r="L46" s="136">
        <f>SUM(L45:L45)</f>
        <v>0</v>
      </c>
      <c r="M46" s="136">
        <f>SUM(M45:M45)</f>
        <v>287</v>
      </c>
      <c r="N46" s="136">
        <f>SUM(N45:N45)</f>
        <v>12</v>
      </c>
      <c r="O46" s="136" t="s">
        <v>504</v>
      </c>
      <c r="P46" s="136">
        <f>SUM(P45:P45)</f>
        <v>0</v>
      </c>
      <c r="Q46" s="136">
        <f>SUM(Q45:Q45)</f>
        <v>275</v>
      </c>
      <c r="R46" s="136">
        <f>SUM(R45:R45)</f>
        <v>0</v>
      </c>
      <c r="S46" s="136">
        <f>SUM(S45:S45)</f>
        <v>275</v>
      </c>
      <c r="T46" s="136">
        <f>SUM(T45:T45)</f>
        <v>0</v>
      </c>
      <c r="U46" s="59">
        <f t="shared" si="6"/>
        <v>0</v>
      </c>
      <c r="V46" s="136">
        <f>SUM(V45:V45)</f>
        <v>0</v>
      </c>
      <c r="W46" s="136">
        <f>SUM(W45:W45)</f>
        <v>275</v>
      </c>
      <c r="X46" s="136">
        <f>SUM(X45:X45)</f>
        <v>-12</v>
      </c>
      <c r="Y46" s="136" t="s">
        <v>47</v>
      </c>
      <c r="Z46" s="136" t="s">
        <v>45</v>
      </c>
      <c r="AA46" s="136"/>
      <c r="AB46" s="84"/>
      <c r="AC46" s="136"/>
      <c r="AD46" s="136"/>
      <c r="AE46" s="100">
        <f t="shared" si="87"/>
        <v>4.363636363636364E-2</v>
      </c>
      <c r="AF46" s="90"/>
      <c r="AG46" s="109">
        <f t="shared" si="88"/>
        <v>0</v>
      </c>
      <c r="AH46" s="100">
        <f t="shared" si="89"/>
        <v>0</v>
      </c>
      <c r="AI46" s="100">
        <f t="shared" si="90"/>
        <v>0</v>
      </c>
    </row>
    <row r="47" spans="1:35" s="50" customFormat="1" ht="21" customHeight="1" x14ac:dyDescent="0.3">
      <c r="A47" s="106"/>
      <c r="B47" s="107" t="s">
        <v>284</v>
      </c>
      <c r="C47" s="118">
        <v>47241</v>
      </c>
      <c r="D47" s="323" t="s">
        <v>285</v>
      </c>
      <c r="E47" s="124" t="s">
        <v>0</v>
      </c>
      <c r="F47" s="106">
        <v>1500</v>
      </c>
      <c r="G47" s="106"/>
      <c r="H47" s="106"/>
      <c r="I47" s="106"/>
      <c r="J47" s="106"/>
      <c r="K47" s="106"/>
      <c r="L47" s="106"/>
      <c r="M47" s="106">
        <v>1541</v>
      </c>
      <c r="N47" s="110">
        <f>M47-F47</f>
        <v>41</v>
      </c>
      <c r="O47" s="110"/>
      <c r="P47" s="106"/>
      <c r="Q47" s="106"/>
      <c r="R47" s="106"/>
      <c r="S47" s="106"/>
      <c r="T47" s="110">
        <f>S47-Q47</f>
        <v>0</v>
      </c>
      <c r="U47" s="59">
        <f t="shared" si="6"/>
        <v>0</v>
      </c>
      <c r="V47" s="106"/>
      <c r="W47" s="106">
        <v>1541</v>
      </c>
      <c r="X47" s="110">
        <f>+W47-M47</f>
        <v>0</v>
      </c>
      <c r="Y47" s="110"/>
      <c r="Z47" s="110"/>
      <c r="AA47" s="110"/>
      <c r="AB47" s="106"/>
      <c r="AC47" s="106"/>
      <c r="AD47" s="106"/>
      <c r="AE47" s="100">
        <f t="shared" ref="AE47:AE49" si="91">N47/F47</f>
        <v>2.7333333333333334E-2</v>
      </c>
      <c r="AF47" s="90"/>
      <c r="AG47" s="109">
        <f t="shared" ref="AG47:AG49" si="92">IF(N47&lt;0,N47,0)</f>
        <v>0</v>
      </c>
      <c r="AH47" s="100">
        <f t="shared" ref="AH47:AH49" si="93">(S47-F47)/F47</f>
        <v>-1</v>
      </c>
      <c r="AI47" s="100">
        <f t="shared" ref="AI47:AI49" si="94">(W47-F47)/F47</f>
        <v>2.7333333333333334E-2</v>
      </c>
    </row>
    <row r="48" spans="1:35" s="50" customFormat="1" ht="21" customHeight="1" x14ac:dyDescent="0.3">
      <c r="A48" s="106"/>
      <c r="B48" s="107" t="s">
        <v>284</v>
      </c>
      <c r="C48" s="118">
        <v>47241</v>
      </c>
      <c r="D48" s="324"/>
      <c r="E48" s="124" t="s">
        <v>286</v>
      </c>
      <c r="F48" s="106">
        <v>1500</v>
      </c>
      <c r="G48" s="106"/>
      <c r="H48" s="106"/>
      <c r="I48" s="106"/>
      <c r="J48" s="106"/>
      <c r="K48" s="106"/>
      <c r="L48" s="106"/>
      <c r="M48" s="106">
        <v>1552</v>
      </c>
      <c r="N48" s="110">
        <f>M48-F48</f>
        <v>52</v>
      </c>
      <c r="O48" s="110"/>
      <c r="P48" s="106"/>
      <c r="Q48" s="106"/>
      <c r="R48" s="106"/>
      <c r="S48" s="106"/>
      <c r="T48" s="110">
        <f>S48-Q48</f>
        <v>0</v>
      </c>
      <c r="U48" s="59">
        <f t="shared" si="6"/>
        <v>0</v>
      </c>
      <c r="V48" s="106"/>
      <c r="W48" s="106">
        <v>1552</v>
      </c>
      <c r="X48" s="110">
        <f>+W48-M48</f>
        <v>0</v>
      </c>
      <c r="Y48" s="110"/>
      <c r="Z48" s="110"/>
      <c r="AA48" s="110"/>
      <c r="AB48" s="106"/>
      <c r="AC48" s="106"/>
      <c r="AD48" s="106"/>
      <c r="AE48" s="100">
        <f t="shared" si="91"/>
        <v>3.4666666666666665E-2</v>
      </c>
      <c r="AF48" s="90"/>
      <c r="AG48" s="109">
        <f t="shared" si="92"/>
        <v>0</v>
      </c>
      <c r="AH48" s="100">
        <f t="shared" si="93"/>
        <v>-1</v>
      </c>
      <c r="AI48" s="100">
        <f t="shared" si="94"/>
        <v>3.4666666666666665E-2</v>
      </c>
    </row>
    <row r="49" spans="1:35" s="43" customFormat="1" ht="15.75" customHeight="1" x14ac:dyDescent="0.3">
      <c r="A49" s="90" t="s">
        <v>46</v>
      </c>
      <c r="B49" s="90" t="s">
        <v>284</v>
      </c>
      <c r="C49" s="137"/>
      <c r="D49" s="90"/>
      <c r="E49" s="90"/>
      <c r="F49" s="136">
        <f>SUM(F47:F48)</f>
        <v>3000</v>
      </c>
      <c r="G49" s="136"/>
      <c r="H49" s="136"/>
      <c r="I49" s="136"/>
      <c r="J49" s="136" t="s">
        <v>58</v>
      </c>
      <c r="K49" s="64" t="s">
        <v>139</v>
      </c>
      <c r="L49" s="136">
        <f>SUM(L47:L48)</f>
        <v>0</v>
      </c>
      <c r="M49" s="136">
        <f>SUM(M47:M48)</f>
        <v>3093</v>
      </c>
      <c r="N49" s="136">
        <f>SUM(N47:N48)</f>
        <v>93</v>
      </c>
      <c r="O49" s="136"/>
      <c r="P49" s="136">
        <f>SUM(P47:P48)</f>
        <v>0</v>
      </c>
      <c r="Q49" s="136">
        <f>SUM(Q47:Q48)</f>
        <v>0</v>
      </c>
      <c r="R49" s="136">
        <f>SUM(R47:R48)</f>
        <v>0</v>
      </c>
      <c r="S49" s="136">
        <f>SUM(S47:S48)</f>
        <v>0</v>
      </c>
      <c r="T49" s="136">
        <f>SUM(T47:T48)</f>
        <v>0</v>
      </c>
      <c r="U49" s="59">
        <f t="shared" si="6"/>
        <v>0</v>
      </c>
      <c r="V49" s="136">
        <f>SUM(V47:V48)</f>
        <v>0</v>
      </c>
      <c r="W49" s="136">
        <f>SUM(W47:W48)</f>
        <v>3093</v>
      </c>
      <c r="X49" s="136">
        <f>SUM(X47:X48)</f>
        <v>0</v>
      </c>
      <c r="Y49" s="136"/>
      <c r="Z49" s="136"/>
      <c r="AA49" s="136"/>
      <c r="AB49" s="84"/>
      <c r="AC49" s="136"/>
      <c r="AD49" s="136"/>
      <c r="AE49" s="100">
        <f t="shared" si="91"/>
        <v>3.1E-2</v>
      </c>
      <c r="AF49" s="90"/>
      <c r="AG49" s="109">
        <f t="shared" si="92"/>
        <v>0</v>
      </c>
      <c r="AH49" s="100">
        <f t="shared" si="93"/>
        <v>-1</v>
      </c>
      <c r="AI49" s="100">
        <f t="shared" si="94"/>
        <v>3.1E-2</v>
      </c>
    </row>
    <row r="50" spans="1:35" s="51" customFormat="1" ht="21.75" customHeight="1" x14ac:dyDescent="0.3">
      <c r="A50" s="57"/>
      <c r="B50" s="73" t="s">
        <v>112</v>
      </c>
      <c r="C50" s="73"/>
      <c r="D50" s="73"/>
      <c r="E50" s="73"/>
      <c r="F50" s="53">
        <f>+F49+F46</f>
        <v>3275</v>
      </c>
      <c r="G50" s="53"/>
      <c r="H50" s="53"/>
      <c r="I50" s="53"/>
      <c r="J50" s="53"/>
      <c r="K50" s="53"/>
      <c r="L50" s="53">
        <f t="shared" ref="L50:X50" si="95">+L49+L46</f>
        <v>0</v>
      </c>
      <c r="M50" s="53">
        <f t="shared" si="95"/>
        <v>3380</v>
      </c>
      <c r="N50" s="53">
        <f t="shared" si="95"/>
        <v>105</v>
      </c>
      <c r="O50" s="53"/>
      <c r="P50" s="53">
        <f t="shared" si="95"/>
        <v>0</v>
      </c>
      <c r="Q50" s="53">
        <f t="shared" si="95"/>
        <v>275</v>
      </c>
      <c r="R50" s="53">
        <f t="shared" si="95"/>
        <v>0</v>
      </c>
      <c r="S50" s="53">
        <f t="shared" si="95"/>
        <v>275</v>
      </c>
      <c r="T50" s="53">
        <f t="shared" si="95"/>
        <v>0</v>
      </c>
      <c r="U50" s="53">
        <f>+U49+U46</f>
        <v>0</v>
      </c>
      <c r="V50" s="53">
        <f t="shared" si="95"/>
        <v>0</v>
      </c>
      <c r="W50" s="53">
        <f t="shared" si="95"/>
        <v>3368</v>
      </c>
      <c r="X50" s="53">
        <f t="shared" si="95"/>
        <v>-12</v>
      </c>
      <c r="Y50" s="53"/>
      <c r="Z50" s="53"/>
      <c r="AA50" s="53"/>
      <c r="AB50" s="57"/>
      <c r="AC50" s="57"/>
      <c r="AD50" s="57"/>
      <c r="AE50" s="100">
        <f t="shared" si="83"/>
        <v>3.2061068702290078E-2</v>
      </c>
      <c r="AF50" s="90"/>
      <c r="AG50" s="109">
        <f t="shared" si="84"/>
        <v>0</v>
      </c>
      <c r="AH50" s="100">
        <f t="shared" si="85"/>
        <v>-0.91603053435114501</v>
      </c>
      <c r="AI50" s="100">
        <f t="shared" si="86"/>
        <v>2.8396946564885495E-2</v>
      </c>
    </row>
    <row r="51" spans="1:35" s="50" customFormat="1" ht="17.25" customHeight="1" x14ac:dyDescent="0.3">
      <c r="A51" s="106"/>
      <c r="B51" s="107" t="s">
        <v>40</v>
      </c>
      <c r="C51" s="195" t="s">
        <v>299</v>
      </c>
      <c r="D51" s="313" t="s">
        <v>244</v>
      </c>
      <c r="E51" s="149" t="s">
        <v>166</v>
      </c>
      <c r="F51" s="195">
        <v>1800</v>
      </c>
      <c r="G51" s="106"/>
      <c r="H51" s="106"/>
      <c r="I51" s="106"/>
      <c r="J51" s="106"/>
      <c r="K51" s="106"/>
      <c r="L51" s="106"/>
      <c r="M51" s="106">
        <f>570+285+285+699</f>
        <v>1839</v>
      </c>
      <c r="N51" s="110">
        <f t="shared" ref="N51:N53" si="96">M51-F51</f>
        <v>39</v>
      </c>
      <c r="O51" s="110"/>
      <c r="P51" s="106"/>
      <c r="Q51" s="106"/>
      <c r="R51" s="106"/>
      <c r="S51" s="106"/>
      <c r="T51" s="110">
        <f t="shared" ref="T51:T53" si="97">S51-Q51</f>
        <v>0</v>
      </c>
      <c r="U51" s="59">
        <f t="shared" si="6"/>
        <v>1</v>
      </c>
      <c r="V51" s="106"/>
      <c r="W51" s="106">
        <v>1838</v>
      </c>
      <c r="X51" s="110">
        <f t="shared" ref="X51:X53" si="98">+W51-M51</f>
        <v>-1</v>
      </c>
      <c r="Y51" s="110"/>
      <c r="Z51" s="110"/>
      <c r="AA51" s="110"/>
      <c r="AB51" s="106"/>
      <c r="AC51" s="106"/>
      <c r="AD51" s="106"/>
      <c r="AE51" s="100">
        <f t="shared" si="83"/>
        <v>2.1666666666666667E-2</v>
      </c>
      <c r="AF51" s="90"/>
      <c r="AG51" s="109">
        <f t="shared" si="84"/>
        <v>0</v>
      </c>
      <c r="AH51" s="100">
        <f t="shared" si="85"/>
        <v>-1</v>
      </c>
      <c r="AI51" s="100">
        <f t="shared" si="86"/>
        <v>2.1111111111111112E-2</v>
      </c>
    </row>
    <row r="52" spans="1:35" s="50" customFormat="1" ht="17.25" customHeight="1" x14ac:dyDescent="0.3">
      <c r="A52" s="106"/>
      <c r="B52" s="107" t="s">
        <v>40</v>
      </c>
      <c r="C52" s="213" t="s">
        <v>299</v>
      </c>
      <c r="D52" s="314"/>
      <c r="E52" s="149" t="s">
        <v>0</v>
      </c>
      <c r="F52" s="195">
        <v>2500</v>
      </c>
      <c r="G52" s="106"/>
      <c r="H52" s="106"/>
      <c r="I52" s="106"/>
      <c r="J52" s="106"/>
      <c r="K52" s="106"/>
      <c r="L52" s="106"/>
      <c r="M52" s="106">
        <f>636+570+576+816</f>
        <v>2598</v>
      </c>
      <c r="N52" s="110">
        <f t="shared" si="96"/>
        <v>98</v>
      </c>
      <c r="O52" s="110"/>
      <c r="P52" s="106"/>
      <c r="Q52" s="106"/>
      <c r="R52" s="106"/>
      <c r="S52" s="106"/>
      <c r="T52" s="110">
        <f t="shared" si="97"/>
        <v>0</v>
      </c>
      <c r="U52" s="59">
        <f t="shared" si="6"/>
        <v>37</v>
      </c>
      <c r="V52" s="106"/>
      <c r="W52" s="106">
        <f>2561</f>
        <v>2561</v>
      </c>
      <c r="X52" s="110">
        <f t="shared" si="98"/>
        <v>-37</v>
      </c>
      <c r="Y52" s="110"/>
      <c r="Z52" s="110"/>
      <c r="AA52" s="110"/>
      <c r="AB52" s="106"/>
      <c r="AC52" s="106"/>
      <c r="AD52" s="106"/>
      <c r="AE52" s="100">
        <f t="shared" si="83"/>
        <v>3.9199999999999999E-2</v>
      </c>
      <c r="AF52" s="90"/>
      <c r="AG52" s="109">
        <f t="shared" si="84"/>
        <v>0</v>
      </c>
      <c r="AH52" s="100">
        <f t="shared" si="85"/>
        <v>-1</v>
      </c>
      <c r="AI52" s="100">
        <f t="shared" si="86"/>
        <v>2.4400000000000002E-2</v>
      </c>
    </row>
    <row r="53" spans="1:35" s="50" customFormat="1" ht="17.25" customHeight="1" x14ac:dyDescent="0.3">
      <c r="A53" s="106"/>
      <c r="B53" s="107" t="s">
        <v>40</v>
      </c>
      <c r="C53" s="213" t="s">
        <v>299</v>
      </c>
      <c r="D53" s="314"/>
      <c r="E53" s="149" t="s">
        <v>5</v>
      </c>
      <c r="F53" s="195">
        <v>2200</v>
      </c>
      <c r="G53" s="106"/>
      <c r="H53" s="106"/>
      <c r="I53" s="106"/>
      <c r="J53" s="106"/>
      <c r="K53" s="106"/>
      <c r="L53" s="106"/>
      <c r="M53" s="106">
        <f>552+222+552+660+282</f>
        <v>2268</v>
      </c>
      <c r="N53" s="110">
        <f t="shared" si="96"/>
        <v>68</v>
      </c>
      <c r="O53" s="110"/>
      <c r="P53" s="106"/>
      <c r="Q53" s="106"/>
      <c r="R53" s="106"/>
      <c r="S53" s="106"/>
      <c r="T53" s="110">
        <f t="shared" si="97"/>
        <v>0</v>
      </c>
      <c r="U53" s="59">
        <f t="shared" si="6"/>
        <v>4</v>
      </c>
      <c r="V53" s="106"/>
      <c r="W53" s="106">
        <v>2264</v>
      </c>
      <c r="X53" s="110">
        <f t="shared" si="98"/>
        <v>-4</v>
      </c>
      <c r="Y53" s="110"/>
      <c r="Z53" s="110"/>
      <c r="AA53" s="110"/>
      <c r="AB53" s="106"/>
      <c r="AC53" s="106"/>
      <c r="AD53" s="106"/>
      <c r="AE53" s="100">
        <f t="shared" si="83"/>
        <v>3.090909090909091E-2</v>
      </c>
      <c r="AF53" s="90"/>
      <c r="AG53" s="109">
        <f t="shared" si="84"/>
        <v>0</v>
      </c>
      <c r="AH53" s="100">
        <f t="shared" si="85"/>
        <v>-1</v>
      </c>
      <c r="AI53" s="100">
        <f t="shared" si="86"/>
        <v>2.9090909090909091E-2</v>
      </c>
    </row>
    <row r="54" spans="1:35" s="43" customFormat="1" ht="14.25" customHeight="1" x14ac:dyDescent="0.3">
      <c r="A54" s="90" t="s">
        <v>46</v>
      </c>
      <c r="B54" s="77" t="s">
        <v>40</v>
      </c>
      <c r="C54" s="137"/>
      <c r="D54" s="90"/>
      <c r="E54" s="90"/>
      <c r="F54" s="136">
        <f>SUM(F51:F53)</f>
        <v>6500</v>
      </c>
      <c r="G54" s="136"/>
      <c r="H54" s="136"/>
      <c r="I54" s="136"/>
      <c r="J54" s="136" t="s">
        <v>58</v>
      </c>
      <c r="K54" s="64" t="s">
        <v>298</v>
      </c>
      <c r="L54" s="136">
        <f>SUM(L51:L53)</f>
        <v>0</v>
      </c>
      <c r="M54" s="136">
        <f>SUM(M51:M53)</f>
        <v>6705</v>
      </c>
      <c r="N54" s="90">
        <f>SUMIF(N51:N53,"&lt;0")</f>
        <v>0</v>
      </c>
      <c r="O54" s="136"/>
      <c r="P54" s="136">
        <f>SUM(P51:P53)</f>
        <v>0</v>
      </c>
      <c r="Q54" s="136">
        <f>SUM(Q51:Q53)</f>
        <v>0</v>
      </c>
      <c r="R54" s="136">
        <f>SUM(R51:R53)</f>
        <v>0</v>
      </c>
      <c r="S54" s="136">
        <f>SUM(S51:S53)</f>
        <v>0</v>
      </c>
      <c r="T54" s="136">
        <f>SUM(T51:T53)</f>
        <v>0</v>
      </c>
      <c r="U54" s="59">
        <f t="shared" si="6"/>
        <v>42</v>
      </c>
      <c r="V54" s="136">
        <f>SUM(V51:V53)</f>
        <v>0</v>
      </c>
      <c r="W54" s="136">
        <f>SUM(W51:W53)</f>
        <v>6663</v>
      </c>
      <c r="X54" s="136">
        <f>SUM(X51:X53)</f>
        <v>-42</v>
      </c>
      <c r="Y54" s="136"/>
      <c r="Z54" s="136"/>
      <c r="AA54" s="136"/>
      <c r="AB54" s="84"/>
      <c r="AC54" s="136"/>
      <c r="AD54" s="136"/>
      <c r="AE54" s="100">
        <f t="shared" si="83"/>
        <v>0</v>
      </c>
      <c r="AF54" s="90"/>
      <c r="AG54" s="109">
        <f t="shared" si="84"/>
        <v>0</v>
      </c>
      <c r="AH54" s="100">
        <f t="shared" si="85"/>
        <v>-1</v>
      </c>
      <c r="AI54" s="100">
        <f t="shared" si="86"/>
        <v>2.5076923076923077E-2</v>
      </c>
    </row>
    <row r="55" spans="1:35" s="50" customFormat="1" ht="17.25" customHeight="1" x14ac:dyDescent="0.3">
      <c r="A55" s="106"/>
      <c r="B55" s="107" t="s">
        <v>40</v>
      </c>
      <c r="C55" s="140" t="s">
        <v>318</v>
      </c>
      <c r="D55" s="313" t="s">
        <v>165</v>
      </c>
      <c r="E55" s="141" t="s">
        <v>135</v>
      </c>
      <c r="F55" s="140">
        <v>2500</v>
      </c>
      <c r="G55" s="106"/>
      <c r="H55" s="106"/>
      <c r="I55" s="106"/>
      <c r="J55" s="106"/>
      <c r="K55" s="106"/>
      <c r="L55" s="106"/>
      <c r="M55" s="106">
        <f>1088+560+952</f>
        <v>2600</v>
      </c>
      <c r="N55" s="110">
        <f t="shared" ref="N55:N62" si="99">M55-F55</f>
        <v>100</v>
      </c>
      <c r="O55" s="110"/>
      <c r="P55" s="106"/>
      <c r="Q55" s="106"/>
      <c r="R55" s="106"/>
      <c r="S55" s="106"/>
      <c r="T55" s="110">
        <f t="shared" ref="T55:T61" si="100">S55-Q55</f>
        <v>0</v>
      </c>
      <c r="U55" s="59">
        <f t="shared" si="6"/>
        <v>0</v>
      </c>
      <c r="V55" s="106"/>
      <c r="W55" s="106">
        <v>2600</v>
      </c>
      <c r="X55" s="110">
        <f t="shared" ref="X55:X61" si="101">+W55-M55</f>
        <v>0</v>
      </c>
      <c r="Y55" s="110"/>
      <c r="Z55" s="110"/>
      <c r="AA55" s="110"/>
      <c r="AB55" s="106"/>
      <c r="AC55" s="106"/>
      <c r="AD55" s="106"/>
      <c r="AE55" s="100">
        <f t="shared" ref="AE55:AE61" si="102">N55/F55</f>
        <v>0.04</v>
      </c>
      <c r="AF55" s="90"/>
      <c r="AG55" s="109">
        <f t="shared" ref="AG55:AG63" si="103">IF(N55&lt;0,N55,0)</f>
        <v>0</v>
      </c>
      <c r="AH55" s="100">
        <f t="shared" ref="AH55:AH61" si="104">(S55-F55)/F55</f>
        <v>-1</v>
      </c>
      <c r="AI55" s="100">
        <f t="shared" ref="AI55:AI61" si="105">(W55-F55)/F55</f>
        <v>0.04</v>
      </c>
    </row>
    <row r="56" spans="1:35" s="50" customFormat="1" ht="17.25" customHeight="1" x14ac:dyDescent="0.3">
      <c r="A56" s="106"/>
      <c r="B56" s="107" t="s">
        <v>40</v>
      </c>
      <c r="C56" s="215" t="s">
        <v>318</v>
      </c>
      <c r="D56" s="314"/>
      <c r="E56" s="149" t="s">
        <v>158</v>
      </c>
      <c r="F56" s="215">
        <v>2000</v>
      </c>
      <c r="G56" s="106"/>
      <c r="H56" s="106"/>
      <c r="I56" s="106"/>
      <c r="J56" s="106"/>
      <c r="K56" s="106"/>
      <c r="L56" s="106"/>
      <c r="M56" s="106">
        <f>1427+648</f>
        <v>2075</v>
      </c>
      <c r="N56" s="110">
        <f t="shared" ref="N56:N57" si="106">M56-F56</f>
        <v>75</v>
      </c>
      <c r="O56" s="110"/>
      <c r="P56" s="106"/>
      <c r="Q56" s="106"/>
      <c r="R56" s="106"/>
      <c r="S56" s="106"/>
      <c r="T56" s="110">
        <f t="shared" si="100"/>
        <v>0</v>
      </c>
      <c r="U56" s="59">
        <f t="shared" ref="U56:U57" si="107">IF(Q56&gt;0,S56-W56,M56-W56)</f>
        <v>0</v>
      </c>
      <c r="V56" s="106"/>
      <c r="W56" s="106">
        <v>2075</v>
      </c>
      <c r="X56" s="110">
        <f t="shared" si="101"/>
        <v>0</v>
      </c>
      <c r="Y56" s="110"/>
      <c r="Z56" s="110"/>
      <c r="AA56" s="110"/>
      <c r="AB56" s="106"/>
      <c r="AC56" s="106"/>
      <c r="AD56" s="106"/>
      <c r="AE56" s="100">
        <f t="shared" si="102"/>
        <v>3.7499999999999999E-2</v>
      </c>
      <c r="AF56" s="90"/>
      <c r="AG56" s="109">
        <f t="shared" si="103"/>
        <v>0</v>
      </c>
      <c r="AH56" s="100">
        <f t="shared" si="104"/>
        <v>-1</v>
      </c>
      <c r="AI56" s="100">
        <f t="shared" si="105"/>
        <v>3.7499999999999999E-2</v>
      </c>
    </row>
    <row r="57" spans="1:35" s="50" customFormat="1" ht="17.25" customHeight="1" x14ac:dyDescent="0.3">
      <c r="A57" s="106"/>
      <c r="B57" s="107" t="s">
        <v>40</v>
      </c>
      <c r="C57" s="215" t="s">
        <v>318</v>
      </c>
      <c r="D57" s="314"/>
      <c r="E57" s="149" t="s">
        <v>5</v>
      </c>
      <c r="F57" s="215">
        <v>3500</v>
      </c>
      <c r="G57" s="106"/>
      <c r="H57" s="106"/>
      <c r="I57" s="106"/>
      <c r="J57" s="106"/>
      <c r="K57" s="106"/>
      <c r="L57" s="106"/>
      <c r="M57" s="106">
        <f>2025+1310+246</f>
        <v>3581</v>
      </c>
      <c r="N57" s="110">
        <f t="shared" si="106"/>
        <v>81</v>
      </c>
      <c r="O57" s="110"/>
      <c r="P57" s="106"/>
      <c r="Q57" s="106"/>
      <c r="R57" s="106"/>
      <c r="S57" s="106"/>
      <c r="T57" s="110">
        <f t="shared" si="100"/>
        <v>0</v>
      </c>
      <c r="U57" s="59">
        <f t="shared" si="107"/>
        <v>0</v>
      </c>
      <c r="V57" s="106"/>
      <c r="W57" s="106">
        <v>3581</v>
      </c>
      <c r="X57" s="110">
        <f t="shared" si="101"/>
        <v>0</v>
      </c>
      <c r="Y57" s="110"/>
      <c r="Z57" s="110"/>
      <c r="AA57" s="110"/>
      <c r="AB57" s="106"/>
      <c r="AC57" s="106"/>
      <c r="AD57" s="106"/>
      <c r="AE57" s="100">
        <f t="shared" si="102"/>
        <v>2.3142857142857142E-2</v>
      </c>
      <c r="AF57" s="90"/>
      <c r="AG57" s="109">
        <f t="shared" si="103"/>
        <v>0</v>
      </c>
      <c r="AH57" s="100">
        <f t="shared" si="104"/>
        <v>-1</v>
      </c>
      <c r="AI57" s="100">
        <f t="shared" si="105"/>
        <v>2.3142857142857142E-2</v>
      </c>
    </row>
    <row r="58" spans="1:35" s="50" customFormat="1" ht="17.25" customHeight="1" x14ac:dyDescent="0.3">
      <c r="A58" s="106"/>
      <c r="B58" s="107" t="s">
        <v>40</v>
      </c>
      <c r="C58" s="215" t="s">
        <v>318</v>
      </c>
      <c r="D58" s="314"/>
      <c r="E58" s="149" t="s">
        <v>120</v>
      </c>
      <c r="F58" s="215">
        <v>1600</v>
      </c>
      <c r="G58" s="106"/>
      <c r="H58" s="106"/>
      <c r="I58" s="106"/>
      <c r="J58" s="106"/>
      <c r="K58" s="106"/>
      <c r="L58" s="106"/>
      <c r="M58" s="106">
        <f>720+349+300+292</f>
        <v>1661</v>
      </c>
      <c r="N58" s="110">
        <f t="shared" si="99"/>
        <v>61</v>
      </c>
      <c r="O58" s="110"/>
      <c r="P58" s="106"/>
      <c r="Q58" s="106"/>
      <c r="R58" s="106"/>
      <c r="S58" s="106"/>
      <c r="T58" s="110">
        <f t="shared" ref="T58:T60" si="108">S58-Q58</f>
        <v>0</v>
      </c>
      <c r="U58" s="59">
        <f t="shared" si="6"/>
        <v>0</v>
      </c>
      <c r="V58" s="106"/>
      <c r="W58" s="106">
        <v>1661</v>
      </c>
      <c r="X58" s="110">
        <f t="shared" ref="X58:X60" si="109">+W58-M58</f>
        <v>0</v>
      </c>
      <c r="Y58" s="110"/>
      <c r="Z58" s="110"/>
      <c r="AA58" s="110"/>
      <c r="AB58" s="106"/>
      <c r="AC58" s="106"/>
      <c r="AD58" s="106"/>
      <c r="AE58" s="100">
        <f t="shared" ref="AE58:AE60" si="110">N58/F58</f>
        <v>3.8124999999999999E-2</v>
      </c>
      <c r="AF58" s="90"/>
      <c r="AG58" s="109">
        <f t="shared" ref="AG58:AG60" si="111">IF(N58&lt;0,N58,0)</f>
        <v>0</v>
      </c>
      <c r="AH58" s="100">
        <f t="shared" ref="AH58:AH60" si="112">(S58-F58)/F58</f>
        <v>-1</v>
      </c>
      <c r="AI58" s="100">
        <f t="shared" ref="AI58:AI60" si="113">(W58-F58)/F58</f>
        <v>3.8124999999999999E-2</v>
      </c>
    </row>
    <row r="59" spans="1:35" s="50" customFormat="1" ht="17.25" customHeight="1" x14ac:dyDescent="0.3">
      <c r="A59" s="106"/>
      <c r="B59" s="107" t="s">
        <v>40</v>
      </c>
      <c r="C59" s="215" t="s">
        <v>318</v>
      </c>
      <c r="D59" s="314"/>
      <c r="E59" s="149" t="s">
        <v>319</v>
      </c>
      <c r="F59" s="215">
        <v>1500</v>
      </c>
      <c r="G59" s="106"/>
      <c r="H59" s="106"/>
      <c r="I59" s="106"/>
      <c r="J59" s="106"/>
      <c r="K59" s="106"/>
      <c r="L59" s="106"/>
      <c r="M59" s="106">
        <f>664+900</f>
        <v>1564</v>
      </c>
      <c r="N59" s="110">
        <f t="shared" ref="N59:N60" si="114">M59-F59</f>
        <v>64</v>
      </c>
      <c r="O59" s="110"/>
      <c r="P59" s="106"/>
      <c r="Q59" s="106"/>
      <c r="R59" s="106"/>
      <c r="S59" s="106"/>
      <c r="T59" s="110">
        <f t="shared" si="108"/>
        <v>0</v>
      </c>
      <c r="U59" s="59">
        <f t="shared" ref="U59:U60" si="115">IF(Q59&gt;0,S59-W59,M59-W59)</f>
        <v>0</v>
      </c>
      <c r="V59" s="106"/>
      <c r="W59" s="106">
        <v>1564</v>
      </c>
      <c r="X59" s="110">
        <f t="shared" si="109"/>
        <v>0</v>
      </c>
      <c r="Y59" s="110"/>
      <c r="Z59" s="110"/>
      <c r="AA59" s="110"/>
      <c r="AB59" s="106"/>
      <c r="AC59" s="106"/>
      <c r="AD59" s="106"/>
      <c r="AE59" s="100">
        <f t="shared" si="110"/>
        <v>4.2666666666666665E-2</v>
      </c>
      <c r="AF59" s="90"/>
      <c r="AG59" s="109">
        <f t="shared" si="111"/>
        <v>0</v>
      </c>
      <c r="AH59" s="100">
        <f t="shared" si="112"/>
        <v>-1</v>
      </c>
      <c r="AI59" s="100">
        <f t="shared" si="113"/>
        <v>4.2666666666666665E-2</v>
      </c>
    </row>
    <row r="60" spans="1:35" s="50" customFormat="1" ht="17.25" customHeight="1" x14ac:dyDescent="0.3">
      <c r="A60" s="106"/>
      <c r="B60" s="107" t="s">
        <v>40</v>
      </c>
      <c r="C60" s="215" t="s">
        <v>318</v>
      </c>
      <c r="D60" s="314"/>
      <c r="E60" s="149" t="s">
        <v>129</v>
      </c>
      <c r="F60" s="215">
        <v>1500</v>
      </c>
      <c r="G60" s="106"/>
      <c r="H60" s="106"/>
      <c r="I60" s="106"/>
      <c r="J60" s="106"/>
      <c r="K60" s="106"/>
      <c r="L60" s="106"/>
      <c r="M60" s="106">
        <v>1580</v>
      </c>
      <c r="N60" s="110">
        <f t="shared" si="114"/>
        <v>80</v>
      </c>
      <c r="O60" s="110"/>
      <c r="P60" s="106"/>
      <c r="Q60" s="106"/>
      <c r="R60" s="106"/>
      <c r="S60" s="106"/>
      <c r="T60" s="110">
        <f t="shared" si="108"/>
        <v>0</v>
      </c>
      <c r="U60" s="59">
        <f t="shared" si="115"/>
        <v>0</v>
      </c>
      <c r="V60" s="106"/>
      <c r="W60" s="106">
        <v>1580</v>
      </c>
      <c r="X60" s="110">
        <f t="shared" si="109"/>
        <v>0</v>
      </c>
      <c r="Y60" s="110"/>
      <c r="Z60" s="110"/>
      <c r="AA60" s="110"/>
      <c r="AB60" s="106"/>
      <c r="AC60" s="106"/>
      <c r="AD60" s="106"/>
      <c r="AE60" s="100">
        <f t="shared" si="110"/>
        <v>5.3333333333333337E-2</v>
      </c>
      <c r="AF60" s="90"/>
      <c r="AG60" s="109">
        <f t="shared" si="111"/>
        <v>0</v>
      </c>
      <c r="AH60" s="100">
        <f t="shared" si="112"/>
        <v>-1</v>
      </c>
      <c r="AI60" s="100">
        <f t="shared" si="113"/>
        <v>5.3333333333333337E-2</v>
      </c>
    </row>
    <row r="61" spans="1:35" s="50" customFormat="1" ht="17.25" customHeight="1" x14ac:dyDescent="0.3">
      <c r="A61" s="106"/>
      <c r="B61" s="107" t="s">
        <v>40</v>
      </c>
      <c r="C61" s="215" t="s">
        <v>318</v>
      </c>
      <c r="D61" s="314"/>
      <c r="E61" s="149" t="s">
        <v>320</v>
      </c>
      <c r="F61" s="215">
        <v>2000</v>
      </c>
      <c r="G61" s="106"/>
      <c r="H61" s="106"/>
      <c r="I61" s="106"/>
      <c r="J61" s="106"/>
      <c r="K61" s="106"/>
      <c r="L61" s="106"/>
      <c r="M61" s="106">
        <f>1204+686+208</f>
        <v>2098</v>
      </c>
      <c r="N61" s="110">
        <f t="shared" ref="N61" si="116">M61-F61</f>
        <v>98</v>
      </c>
      <c r="O61" s="110"/>
      <c r="P61" s="106"/>
      <c r="Q61" s="106"/>
      <c r="R61" s="106"/>
      <c r="S61" s="106"/>
      <c r="T61" s="110">
        <f t="shared" si="100"/>
        <v>0</v>
      </c>
      <c r="U61" s="59">
        <f t="shared" ref="U61" si="117">IF(Q61&gt;0,S61-W61,M61-W61)</f>
        <v>0</v>
      </c>
      <c r="V61" s="106"/>
      <c r="W61" s="106">
        <v>2098</v>
      </c>
      <c r="X61" s="110">
        <f t="shared" si="101"/>
        <v>0</v>
      </c>
      <c r="Y61" s="110"/>
      <c r="Z61" s="110"/>
      <c r="AA61" s="110"/>
      <c r="AB61" s="106"/>
      <c r="AC61" s="106"/>
      <c r="AD61" s="106"/>
      <c r="AE61" s="100">
        <f t="shared" si="102"/>
        <v>4.9000000000000002E-2</v>
      </c>
      <c r="AF61" s="90"/>
      <c r="AG61" s="109">
        <f t="shared" si="103"/>
        <v>0</v>
      </c>
      <c r="AH61" s="100">
        <f t="shared" si="104"/>
        <v>-1</v>
      </c>
      <c r="AI61" s="100">
        <f t="shared" si="105"/>
        <v>4.9000000000000002E-2</v>
      </c>
    </row>
    <row r="62" spans="1:35" s="50" customFormat="1" ht="17.25" customHeight="1" x14ac:dyDescent="0.3">
      <c r="A62" s="106"/>
      <c r="B62" s="107" t="s">
        <v>40</v>
      </c>
      <c r="C62" s="215" t="s">
        <v>318</v>
      </c>
      <c r="D62" s="314"/>
      <c r="E62" s="149" t="s">
        <v>166</v>
      </c>
      <c r="F62" s="181">
        <v>2200</v>
      </c>
      <c r="G62" s="106"/>
      <c r="H62" s="106"/>
      <c r="I62" s="106"/>
      <c r="J62" s="106"/>
      <c r="K62" s="106"/>
      <c r="L62" s="106"/>
      <c r="M62" s="106">
        <f>664+664+736+119+22+67</f>
        <v>2272</v>
      </c>
      <c r="N62" s="110">
        <f t="shared" si="99"/>
        <v>72</v>
      </c>
      <c r="O62" s="110"/>
      <c r="P62" s="106"/>
      <c r="Q62" s="106"/>
      <c r="R62" s="106"/>
      <c r="S62" s="106"/>
      <c r="T62" s="110">
        <f t="shared" ref="T62" si="118">S62-Q62</f>
        <v>0</v>
      </c>
      <c r="U62" s="59">
        <f t="shared" si="6"/>
        <v>0</v>
      </c>
      <c r="V62" s="106"/>
      <c r="W62" s="106">
        <f>2205+67</f>
        <v>2272</v>
      </c>
      <c r="X62" s="110">
        <f t="shared" ref="X62" si="119">+W62-M62</f>
        <v>0</v>
      </c>
      <c r="Y62" s="110"/>
      <c r="Z62" s="110"/>
      <c r="AA62" s="110"/>
      <c r="AB62" s="106"/>
      <c r="AC62" s="106"/>
      <c r="AD62" s="106"/>
      <c r="AE62" s="100">
        <f t="shared" ref="AE62" si="120">N62/F62</f>
        <v>3.272727272727273E-2</v>
      </c>
      <c r="AF62" s="90"/>
      <c r="AG62" s="109">
        <f t="shared" ref="AG62" si="121">IF(N62&lt;0,N62,0)</f>
        <v>0</v>
      </c>
      <c r="AH62" s="100">
        <f t="shared" ref="AH62" si="122">(S62-F62)/F62</f>
        <v>-1</v>
      </c>
      <c r="AI62" s="100">
        <f t="shared" ref="AI62" si="123">(W62-F62)/F62</f>
        <v>3.272727272727273E-2</v>
      </c>
    </row>
    <row r="63" spans="1:35" s="43" customFormat="1" ht="14.25" customHeight="1" x14ac:dyDescent="0.3">
      <c r="A63" s="90" t="s">
        <v>46</v>
      </c>
      <c r="B63" s="77" t="s">
        <v>40</v>
      </c>
      <c r="C63" s="137"/>
      <c r="D63" s="90"/>
      <c r="E63" s="90"/>
      <c r="F63" s="136">
        <f>SUM(F55:F62)</f>
        <v>16800</v>
      </c>
      <c r="G63" s="136"/>
      <c r="H63" s="136"/>
      <c r="I63" s="136"/>
      <c r="J63" s="136" t="s">
        <v>60</v>
      </c>
      <c r="K63" s="64" t="s">
        <v>298</v>
      </c>
      <c r="L63" s="136">
        <f>SUM(L55:L62)</f>
        <v>0</v>
      </c>
      <c r="M63" s="136">
        <f>SUM(M55:M62)</f>
        <v>17431</v>
      </c>
      <c r="N63" s="90">
        <f>SUMIF(N55:N62,"&lt;0")</f>
        <v>0</v>
      </c>
      <c r="O63" s="136"/>
      <c r="P63" s="136">
        <f>SUM(P55:P62)</f>
        <v>0</v>
      </c>
      <c r="Q63" s="136">
        <f>SUM(Q55:Q62)</f>
        <v>0</v>
      </c>
      <c r="R63" s="136">
        <f>SUM(R55:R62)</f>
        <v>0</v>
      </c>
      <c r="S63" s="136">
        <f>SUM(S55:S62)</f>
        <v>0</v>
      </c>
      <c r="T63" s="136">
        <f>SUM(T55:T62)</f>
        <v>0</v>
      </c>
      <c r="U63" s="59">
        <f t="shared" si="6"/>
        <v>0</v>
      </c>
      <c r="V63" s="136">
        <f>SUM(V55:V62)</f>
        <v>0</v>
      </c>
      <c r="W63" s="136">
        <f>SUM(W55:W62)</f>
        <v>17431</v>
      </c>
      <c r="X63" s="136">
        <f>SUM(X55:X62)</f>
        <v>0</v>
      </c>
      <c r="Y63" s="136"/>
      <c r="Z63" s="136"/>
      <c r="AA63" s="136"/>
      <c r="AB63" s="84"/>
      <c r="AC63" s="136"/>
      <c r="AD63" s="136"/>
      <c r="AE63" s="100">
        <f t="shared" ref="AE63" si="124">N63/F63</f>
        <v>0</v>
      </c>
      <c r="AF63" s="90"/>
      <c r="AG63" s="109">
        <f t="shared" si="103"/>
        <v>0</v>
      </c>
      <c r="AH63" s="100">
        <f t="shared" ref="AH63" si="125">(S63-F63)/F63</f>
        <v>-1</v>
      </c>
      <c r="AI63" s="100">
        <f t="shared" ref="AI63" si="126">(W63-F63)/F63</f>
        <v>3.7559523809523807E-2</v>
      </c>
    </row>
    <row r="64" spans="1:35" s="50" customFormat="1" ht="17.25" customHeight="1" x14ac:dyDescent="0.3">
      <c r="A64" s="106"/>
      <c r="B64" s="107" t="s">
        <v>40</v>
      </c>
      <c r="C64" s="165" t="s">
        <v>399</v>
      </c>
      <c r="D64" s="312" t="s">
        <v>154</v>
      </c>
      <c r="E64" s="149" t="s">
        <v>0</v>
      </c>
      <c r="F64" s="165">
        <v>2000</v>
      </c>
      <c r="G64" s="106"/>
      <c r="H64" s="106"/>
      <c r="I64" s="106"/>
      <c r="J64" s="106"/>
      <c r="K64" s="106"/>
      <c r="L64" s="106"/>
      <c r="M64" s="106">
        <f>1401+252+448</f>
        <v>2101</v>
      </c>
      <c r="N64" s="110">
        <f>M64-F64</f>
        <v>101</v>
      </c>
      <c r="O64" s="110"/>
      <c r="P64" s="106"/>
      <c r="Q64" s="106"/>
      <c r="R64" s="106"/>
      <c r="S64" s="106"/>
      <c r="T64" s="110">
        <f>S64-Q64</f>
        <v>0</v>
      </c>
      <c r="U64" s="59">
        <f t="shared" ref="U64:U76" si="127">IF(Q64&gt;0,S64-W64,M64-W64)</f>
        <v>0</v>
      </c>
      <c r="V64" s="106"/>
      <c r="W64" s="106">
        <v>2101</v>
      </c>
      <c r="X64" s="110">
        <f>+W64-M64</f>
        <v>0</v>
      </c>
      <c r="Y64" s="110"/>
      <c r="Z64" s="110"/>
      <c r="AA64" s="110"/>
      <c r="AB64" s="106"/>
      <c r="AC64" s="106"/>
      <c r="AD64" s="106"/>
      <c r="AE64" s="100">
        <f>N64/F64</f>
        <v>5.0500000000000003E-2</v>
      </c>
      <c r="AF64" s="90"/>
      <c r="AG64" s="109">
        <f t="shared" ref="AG64:AG67" si="128">IF(N64&lt;0,N64,0)</f>
        <v>0</v>
      </c>
      <c r="AH64" s="100">
        <f>(S64-F64)/F64</f>
        <v>-1</v>
      </c>
      <c r="AI64" s="100">
        <f>(W64-F64)/F64</f>
        <v>5.0500000000000003E-2</v>
      </c>
    </row>
    <row r="65" spans="1:35" s="50" customFormat="1" ht="17.25" customHeight="1" x14ac:dyDescent="0.3">
      <c r="A65" s="106"/>
      <c r="B65" s="107" t="s">
        <v>40</v>
      </c>
      <c r="C65" s="225" t="s">
        <v>399</v>
      </c>
      <c r="D65" s="312"/>
      <c r="E65" s="149" t="s">
        <v>5</v>
      </c>
      <c r="F65" s="165">
        <v>2000</v>
      </c>
      <c r="G65" s="106"/>
      <c r="H65" s="106"/>
      <c r="I65" s="106"/>
      <c r="J65" s="106"/>
      <c r="K65" s="106"/>
      <c r="L65" s="106"/>
      <c r="M65" s="106">
        <f>35+508+300+1263</f>
        <v>2106</v>
      </c>
      <c r="N65" s="110">
        <f>M65-F65</f>
        <v>106</v>
      </c>
      <c r="O65" s="110"/>
      <c r="P65" s="106"/>
      <c r="Q65" s="106"/>
      <c r="R65" s="106"/>
      <c r="S65" s="106"/>
      <c r="T65" s="110">
        <f>S65-Q65</f>
        <v>0</v>
      </c>
      <c r="U65" s="59">
        <f t="shared" si="127"/>
        <v>40</v>
      </c>
      <c r="V65" s="106"/>
      <c r="W65" s="106">
        <f>1223+843</f>
        <v>2066</v>
      </c>
      <c r="X65" s="110">
        <f>+W65-M65</f>
        <v>-40</v>
      </c>
      <c r="Y65" s="110"/>
      <c r="Z65" s="110"/>
      <c r="AA65" s="110"/>
      <c r="AB65" s="106"/>
      <c r="AC65" s="106"/>
      <c r="AD65" s="106"/>
      <c r="AE65" s="100">
        <f>N65/F65</f>
        <v>5.2999999999999999E-2</v>
      </c>
      <c r="AF65" s="90"/>
      <c r="AG65" s="109">
        <f t="shared" si="128"/>
        <v>0</v>
      </c>
      <c r="AH65" s="100">
        <f>(S65-F65)/F65</f>
        <v>-1</v>
      </c>
      <c r="AI65" s="100">
        <f>(W65-F65)/F65</f>
        <v>3.3000000000000002E-2</v>
      </c>
    </row>
    <row r="66" spans="1:35" s="50" customFormat="1" ht="17.25" customHeight="1" x14ac:dyDescent="0.3">
      <c r="A66" s="106"/>
      <c r="B66" s="107" t="s">
        <v>40</v>
      </c>
      <c r="C66" s="225" t="s">
        <v>399</v>
      </c>
      <c r="D66" s="312"/>
      <c r="E66" s="149" t="s">
        <v>155</v>
      </c>
      <c r="F66" s="165">
        <v>2000</v>
      </c>
      <c r="G66" s="106"/>
      <c r="H66" s="106"/>
      <c r="I66" s="106"/>
      <c r="J66" s="106"/>
      <c r="K66" s="106"/>
      <c r="L66" s="106"/>
      <c r="M66" s="106">
        <f>40+637+1405</f>
        <v>2082</v>
      </c>
      <c r="N66" s="110">
        <f>M66-F66</f>
        <v>82</v>
      </c>
      <c r="O66" s="110"/>
      <c r="P66" s="106"/>
      <c r="Q66" s="106"/>
      <c r="R66" s="106"/>
      <c r="S66" s="106"/>
      <c r="T66" s="110">
        <f>S66-Q66</f>
        <v>0</v>
      </c>
      <c r="U66" s="59">
        <f t="shared" si="127"/>
        <v>0</v>
      </c>
      <c r="V66" s="106"/>
      <c r="W66" s="106">
        <v>2082</v>
      </c>
      <c r="X66" s="110">
        <f>+W66-M66</f>
        <v>0</v>
      </c>
      <c r="Y66" s="110"/>
      <c r="Z66" s="110"/>
      <c r="AA66" s="110"/>
      <c r="AB66" s="106"/>
      <c r="AC66" s="106"/>
      <c r="AD66" s="106"/>
      <c r="AE66" s="100">
        <f>N66/F66</f>
        <v>4.1000000000000002E-2</v>
      </c>
      <c r="AF66" s="90"/>
      <c r="AG66" s="109">
        <f t="shared" si="128"/>
        <v>0</v>
      </c>
      <c r="AH66" s="100">
        <f>(S66-F66)/F66</f>
        <v>-1</v>
      </c>
      <c r="AI66" s="100">
        <f>(W66-F66)/F66</f>
        <v>4.1000000000000002E-2</v>
      </c>
    </row>
    <row r="67" spans="1:35" s="43" customFormat="1" ht="15" customHeight="1" x14ac:dyDescent="0.3">
      <c r="A67" s="90" t="s">
        <v>46</v>
      </c>
      <c r="B67" s="77" t="s">
        <v>40</v>
      </c>
      <c r="C67" s="137"/>
      <c r="D67" s="90"/>
      <c r="E67" s="90"/>
      <c r="F67" s="136">
        <f>SUM(F64:F66)</f>
        <v>6000</v>
      </c>
      <c r="G67" s="136"/>
      <c r="H67" s="136"/>
      <c r="I67" s="136"/>
      <c r="J67" s="136" t="s">
        <v>59</v>
      </c>
      <c r="K67" s="64" t="s">
        <v>340</v>
      </c>
      <c r="L67" s="136">
        <f>SUM(L64:L66)</f>
        <v>0</v>
      </c>
      <c r="M67" s="136">
        <f>SUM(M64:M66)</f>
        <v>6289</v>
      </c>
      <c r="N67" s="90">
        <f>SUMIF(N64:N66,"&lt;0")</f>
        <v>0</v>
      </c>
      <c r="O67" s="136"/>
      <c r="P67" s="136">
        <f>SUM(P64:P66)</f>
        <v>0</v>
      </c>
      <c r="Q67" s="136">
        <f>SUM(Q64:Q66)</f>
        <v>0</v>
      </c>
      <c r="R67" s="136">
        <f>SUM(R64:R66)</f>
        <v>0</v>
      </c>
      <c r="S67" s="136">
        <f>SUM(S64:S66)</f>
        <v>0</v>
      </c>
      <c r="T67" s="136">
        <f>SUM(T64:T66)</f>
        <v>0</v>
      </c>
      <c r="U67" s="59">
        <f t="shared" si="127"/>
        <v>40</v>
      </c>
      <c r="V67" s="136">
        <f>SUM(V64:V66)</f>
        <v>0</v>
      </c>
      <c r="W67" s="136">
        <f>SUM(W64:W66)</f>
        <v>6249</v>
      </c>
      <c r="X67" s="136">
        <f>SUM(X64:X66)</f>
        <v>-40</v>
      </c>
      <c r="Y67" s="136"/>
      <c r="Z67" s="136"/>
      <c r="AA67" s="136"/>
      <c r="AB67" s="84"/>
      <c r="AC67" s="136"/>
      <c r="AD67" s="136"/>
      <c r="AE67" s="100">
        <f t="shared" ref="AE67" si="129">N67/F67</f>
        <v>0</v>
      </c>
      <c r="AF67" s="90"/>
      <c r="AG67" s="109">
        <f t="shared" si="128"/>
        <v>0</v>
      </c>
      <c r="AH67" s="100">
        <f t="shared" ref="AH67" si="130">(S67-F67)/F67</f>
        <v>-1</v>
      </c>
      <c r="AI67" s="100">
        <f t="shared" ref="AI67" si="131">(W67-F67)/F67</f>
        <v>4.1500000000000002E-2</v>
      </c>
    </row>
    <row r="68" spans="1:35" s="50" customFormat="1" ht="17.25" customHeight="1" x14ac:dyDescent="0.3">
      <c r="A68" s="106"/>
      <c r="B68" s="107" t="s">
        <v>40</v>
      </c>
      <c r="C68" s="178" t="s">
        <v>400</v>
      </c>
      <c r="D68" s="312" t="s">
        <v>172</v>
      </c>
      <c r="E68" s="149" t="s">
        <v>173</v>
      </c>
      <c r="F68" s="178">
        <v>800</v>
      </c>
      <c r="G68" s="106"/>
      <c r="H68" s="106"/>
      <c r="I68" s="106"/>
      <c r="J68" s="106"/>
      <c r="K68" s="106"/>
      <c r="L68" s="106"/>
      <c r="M68" s="106">
        <f>73+162+608</f>
        <v>843</v>
      </c>
      <c r="N68" s="110">
        <f t="shared" ref="N68:N70" si="132">M68-F68</f>
        <v>43</v>
      </c>
      <c r="O68" s="110"/>
      <c r="P68" s="106"/>
      <c r="Q68" s="106"/>
      <c r="R68" s="106"/>
      <c r="S68" s="106"/>
      <c r="T68" s="110">
        <f t="shared" ref="T68:T70" si="133">S68-Q68</f>
        <v>0</v>
      </c>
      <c r="U68" s="59">
        <f t="shared" si="127"/>
        <v>0</v>
      </c>
      <c r="V68" s="106"/>
      <c r="W68" s="106">
        <v>843</v>
      </c>
      <c r="X68" s="110">
        <f t="shared" ref="X68:X70" si="134">+W68-M68</f>
        <v>0</v>
      </c>
      <c r="Y68" s="110"/>
      <c r="Z68" s="110"/>
      <c r="AA68" s="110"/>
      <c r="AB68" s="106"/>
      <c r="AC68" s="106"/>
      <c r="AD68" s="106"/>
      <c r="AE68" s="100">
        <f t="shared" ref="AE68:AE70" si="135">N68/F68</f>
        <v>5.3749999999999999E-2</v>
      </c>
      <c r="AF68" s="90"/>
      <c r="AG68" s="109">
        <f t="shared" ref="AG68:AG71" si="136">IF(N68&lt;0,N68,0)</f>
        <v>0</v>
      </c>
      <c r="AH68" s="100">
        <f t="shared" ref="AH68:AH70" si="137">(S68-F68)/F68</f>
        <v>-1</v>
      </c>
      <c r="AI68" s="100">
        <f t="shared" ref="AI68:AI70" si="138">(W68-F68)/F68</f>
        <v>5.3749999999999999E-2</v>
      </c>
    </row>
    <row r="69" spans="1:35" s="50" customFormat="1" ht="17.25" customHeight="1" x14ac:dyDescent="0.3">
      <c r="A69" s="106"/>
      <c r="B69" s="107" t="s">
        <v>40</v>
      </c>
      <c r="C69" s="225" t="s">
        <v>400</v>
      </c>
      <c r="D69" s="312"/>
      <c r="E69" s="149" t="s">
        <v>174</v>
      </c>
      <c r="F69" s="178">
        <v>800</v>
      </c>
      <c r="G69" s="106"/>
      <c r="H69" s="106"/>
      <c r="I69" s="106"/>
      <c r="J69" s="106"/>
      <c r="K69" s="106"/>
      <c r="L69" s="106"/>
      <c r="M69" s="106">
        <f>73+770</f>
        <v>843</v>
      </c>
      <c r="N69" s="110">
        <f t="shared" si="132"/>
        <v>43</v>
      </c>
      <c r="O69" s="110"/>
      <c r="P69" s="106"/>
      <c r="Q69" s="106"/>
      <c r="R69" s="106"/>
      <c r="S69" s="106"/>
      <c r="T69" s="110">
        <f t="shared" si="133"/>
        <v>0</v>
      </c>
      <c r="U69" s="59">
        <f t="shared" si="127"/>
        <v>0</v>
      </c>
      <c r="V69" s="106"/>
      <c r="W69" s="106">
        <v>843</v>
      </c>
      <c r="X69" s="110">
        <f t="shared" si="134"/>
        <v>0</v>
      </c>
      <c r="Y69" s="110"/>
      <c r="Z69" s="110"/>
      <c r="AA69" s="110"/>
      <c r="AB69" s="106"/>
      <c r="AC69" s="106"/>
      <c r="AD69" s="106"/>
      <c r="AE69" s="100">
        <f t="shared" si="135"/>
        <v>5.3749999999999999E-2</v>
      </c>
      <c r="AF69" s="90"/>
      <c r="AG69" s="109">
        <f t="shared" si="136"/>
        <v>0</v>
      </c>
      <c r="AH69" s="100">
        <f t="shared" si="137"/>
        <v>-1</v>
      </c>
      <c r="AI69" s="100">
        <f t="shared" si="138"/>
        <v>5.3749999999999999E-2</v>
      </c>
    </row>
    <row r="70" spans="1:35" s="50" customFormat="1" ht="17.25" customHeight="1" x14ac:dyDescent="0.3">
      <c r="A70" s="106"/>
      <c r="B70" s="107" t="s">
        <v>40</v>
      </c>
      <c r="C70" s="225" t="s">
        <v>400</v>
      </c>
      <c r="D70" s="312"/>
      <c r="E70" s="149" t="s">
        <v>168</v>
      </c>
      <c r="F70" s="178">
        <v>800</v>
      </c>
      <c r="G70" s="106"/>
      <c r="H70" s="106"/>
      <c r="I70" s="106"/>
      <c r="J70" s="106"/>
      <c r="K70" s="106"/>
      <c r="L70" s="106"/>
      <c r="M70" s="106">
        <f>73+770</f>
        <v>843</v>
      </c>
      <c r="N70" s="110">
        <f t="shared" si="132"/>
        <v>43</v>
      </c>
      <c r="O70" s="110"/>
      <c r="P70" s="106"/>
      <c r="Q70" s="106"/>
      <c r="R70" s="106"/>
      <c r="S70" s="106"/>
      <c r="T70" s="110">
        <f t="shared" si="133"/>
        <v>0</v>
      </c>
      <c r="U70" s="59">
        <f t="shared" si="127"/>
        <v>0</v>
      </c>
      <c r="V70" s="106"/>
      <c r="W70" s="106">
        <v>843</v>
      </c>
      <c r="X70" s="110">
        <f t="shared" si="134"/>
        <v>0</v>
      </c>
      <c r="Y70" s="110"/>
      <c r="Z70" s="110"/>
      <c r="AA70" s="110"/>
      <c r="AB70" s="106"/>
      <c r="AC70" s="106"/>
      <c r="AD70" s="106"/>
      <c r="AE70" s="100">
        <f t="shared" si="135"/>
        <v>5.3749999999999999E-2</v>
      </c>
      <c r="AF70" s="90"/>
      <c r="AG70" s="109">
        <f t="shared" si="136"/>
        <v>0</v>
      </c>
      <c r="AH70" s="100">
        <f t="shared" si="137"/>
        <v>-1</v>
      </c>
      <c r="AI70" s="100">
        <f t="shared" si="138"/>
        <v>5.3749999999999999E-2</v>
      </c>
    </row>
    <row r="71" spans="1:35" s="43" customFormat="1" ht="15" customHeight="1" x14ac:dyDescent="0.3">
      <c r="A71" s="90" t="s">
        <v>46</v>
      </c>
      <c r="B71" s="77" t="s">
        <v>40</v>
      </c>
      <c r="C71" s="137"/>
      <c r="D71" s="90"/>
      <c r="E71" s="90"/>
      <c r="F71" s="136">
        <f>SUM(F68:F70)</f>
        <v>2400</v>
      </c>
      <c r="G71" s="136"/>
      <c r="H71" s="136"/>
      <c r="I71" s="136"/>
      <c r="J71" s="136" t="s">
        <v>58</v>
      </c>
      <c r="K71" s="64" t="s">
        <v>340</v>
      </c>
      <c r="L71" s="136">
        <f>SUM(L68:L70)</f>
        <v>0</v>
      </c>
      <c r="M71" s="136">
        <f>SUM(M68:M70)</f>
        <v>2529</v>
      </c>
      <c r="N71" s="90">
        <f>SUMIF(N68:N70,"&lt;0")</f>
        <v>0</v>
      </c>
      <c r="O71" s="136"/>
      <c r="P71" s="136">
        <f>SUM(P68:P70)</f>
        <v>0</v>
      </c>
      <c r="Q71" s="136">
        <f>SUM(Q68:Q70)</f>
        <v>0</v>
      </c>
      <c r="R71" s="136">
        <f>SUM(R68:R70)</f>
        <v>0</v>
      </c>
      <c r="S71" s="136">
        <f>SUM(S68:S70)</f>
        <v>0</v>
      </c>
      <c r="T71" s="136">
        <f>SUM(T68:T70)</f>
        <v>0</v>
      </c>
      <c r="U71" s="59">
        <f t="shared" si="127"/>
        <v>0</v>
      </c>
      <c r="V71" s="136">
        <f>SUM(V68:V70)</f>
        <v>0</v>
      </c>
      <c r="W71" s="136">
        <f>SUM(W68:W70)</f>
        <v>2529</v>
      </c>
      <c r="X71" s="136">
        <f>SUM(X68:X70)</f>
        <v>0</v>
      </c>
      <c r="Y71" s="136"/>
      <c r="Z71" s="136"/>
      <c r="AA71" s="136"/>
      <c r="AB71" s="84"/>
      <c r="AC71" s="136"/>
      <c r="AD71" s="136"/>
      <c r="AE71" s="100">
        <f t="shared" ref="AE71" si="139">N71/F71</f>
        <v>0</v>
      </c>
      <c r="AF71" s="90"/>
      <c r="AG71" s="109">
        <f t="shared" si="136"/>
        <v>0</v>
      </c>
      <c r="AH71" s="100">
        <f t="shared" ref="AH71" si="140">(S71-F71)/F71</f>
        <v>-1</v>
      </c>
      <c r="AI71" s="100">
        <f t="shared" ref="AI71" si="141">(W71-F71)/F71</f>
        <v>5.3749999999999999E-2</v>
      </c>
    </row>
    <row r="72" spans="1:35" s="50" customFormat="1" ht="17.25" customHeight="1" x14ac:dyDescent="0.3">
      <c r="A72" s="106"/>
      <c r="B72" s="107" t="s">
        <v>40</v>
      </c>
      <c r="C72" s="195" t="s">
        <v>382</v>
      </c>
      <c r="D72" s="195" t="s">
        <v>383</v>
      </c>
      <c r="E72" s="149" t="s">
        <v>0</v>
      </c>
      <c r="F72" s="195">
        <v>1000</v>
      </c>
      <c r="G72" s="106"/>
      <c r="H72" s="106"/>
      <c r="I72" s="106"/>
      <c r="J72" s="106"/>
      <c r="K72" s="106"/>
      <c r="L72" s="106"/>
      <c r="M72" s="106">
        <f>893+21+131</f>
        <v>1045</v>
      </c>
      <c r="N72" s="110">
        <f>M72-F72</f>
        <v>45</v>
      </c>
      <c r="O72" s="110"/>
      <c r="P72" s="106"/>
      <c r="Q72" s="106"/>
      <c r="R72" s="106"/>
      <c r="S72" s="106"/>
      <c r="T72" s="110">
        <f>S72-Q72</f>
        <v>0</v>
      </c>
      <c r="U72" s="59">
        <f t="shared" si="127"/>
        <v>4</v>
      </c>
      <c r="V72" s="106"/>
      <c r="W72" s="106">
        <f>910+131</f>
        <v>1041</v>
      </c>
      <c r="X72" s="110">
        <f>+W72-M72</f>
        <v>-4</v>
      </c>
      <c r="Y72" s="110"/>
      <c r="Z72" s="110"/>
      <c r="AA72" s="110"/>
      <c r="AB72" s="106"/>
      <c r="AC72" s="106"/>
      <c r="AD72" s="106"/>
      <c r="AE72" s="100">
        <f>N72/F72</f>
        <v>4.4999999999999998E-2</v>
      </c>
      <c r="AF72" s="90"/>
      <c r="AG72" s="109">
        <f t="shared" ref="AG72:AG79" si="142">IF(N72&lt;0,N72,0)</f>
        <v>0</v>
      </c>
      <c r="AH72" s="100">
        <f>(S72-F72)/F72</f>
        <v>-1</v>
      </c>
      <c r="AI72" s="100">
        <f>(W72-F72)/F72</f>
        <v>4.1000000000000002E-2</v>
      </c>
    </row>
    <row r="73" spans="1:35" s="43" customFormat="1" ht="15" customHeight="1" x14ac:dyDescent="0.3">
      <c r="A73" s="90" t="s">
        <v>46</v>
      </c>
      <c r="B73" s="77" t="s">
        <v>40</v>
      </c>
      <c r="C73" s="137"/>
      <c r="D73" s="90"/>
      <c r="E73" s="90"/>
      <c r="F73" s="136">
        <f>SUM(F72:F72)</f>
        <v>1000</v>
      </c>
      <c r="G73" s="136"/>
      <c r="H73" s="136"/>
      <c r="I73" s="136"/>
      <c r="J73" s="136" t="s">
        <v>59</v>
      </c>
      <c r="K73" s="64" t="s">
        <v>266</v>
      </c>
      <c r="L73" s="136">
        <f>SUM(L72:L72)</f>
        <v>0</v>
      </c>
      <c r="M73" s="136">
        <f>SUM(M72:M72)</f>
        <v>1045</v>
      </c>
      <c r="N73" s="90">
        <f>SUMIF(N72:N72,"&lt;0")</f>
        <v>0</v>
      </c>
      <c r="O73" s="136"/>
      <c r="P73" s="136">
        <f>SUM(P72:P72)</f>
        <v>0</v>
      </c>
      <c r="Q73" s="136">
        <f>SUM(Q72:Q72)</f>
        <v>0</v>
      </c>
      <c r="R73" s="136">
        <f>SUM(R72:R72)</f>
        <v>0</v>
      </c>
      <c r="S73" s="136">
        <f>SUM(S72:S72)</f>
        <v>0</v>
      </c>
      <c r="T73" s="136">
        <f>SUM(T72:T72)</f>
        <v>0</v>
      </c>
      <c r="U73" s="59">
        <f t="shared" si="127"/>
        <v>4</v>
      </c>
      <c r="V73" s="136">
        <f>SUM(V72:V72)</f>
        <v>0</v>
      </c>
      <c r="W73" s="136">
        <f>SUM(W72:W72)</f>
        <v>1041</v>
      </c>
      <c r="X73" s="136">
        <f>SUM(X72:X72)</f>
        <v>-4</v>
      </c>
      <c r="Y73" s="136"/>
      <c r="Z73" s="136"/>
      <c r="AA73" s="136"/>
      <c r="AB73" s="84"/>
      <c r="AC73" s="136"/>
      <c r="AD73" s="136"/>
      <c r="AE73" s="100">
        <f t="shared" ref="AE73" si="143">N73/F73</f>
        <v>0</v>
      </c>
      <c r="AF73" s="90"/>
      <c r="AG73" s="109">
        <f t="shared" si="142"/>
        <v>0</v>
      </c>
      <c r="AH73" s="100">
        <f t="shared" ref="AH73" si="144">(S73-F73)/F73</f>
        <v>-1</v>
      </c>
      <c r="AI73" s="100">
        <f t="shared" ref="AI73" si="145">(W73-F73)/F73</f>
        <v>4.1000000000000002E-2</v>
      </c>
    </row>
    <row r="74" spans="1:35" s="50" customFormat="1" ht="17.25" customHeight="1" x14ac:dyDescent="0.3">
      <c r="A74" s="106"/>
      <c r="B74" s="107" t="s">
        <v>40</v>
      </c>
      <c r="C74" s="205" t="s">
        <v>853</v>
      </c>
      <c r="D74" s="301" t="s">
        <v>193</v>
      </c>
      <c r="E74" s="149" t="s">
        <v>0</v>
      </c>
      <c r="F74" s="205">
        <v>1000</v>
      </c>
      <c r="G74" s="106"/>
      <c r="H74" s="106"/>
      <c r="I74" s="106"/>
      <c r="J74" s="106"/>
      <c r="K74" s="106"/>
      <c r="L74" s="106"/>
      <c r="M74" s="106">
        <f>688+354</f>
        <v>1042</v>
      </c>
      <c r="N74" s="110">
        <f>M74-F74</f>
        <v>42</v>
      </c>
      <c r="O74" s="110"/>
      <c r="P74" s="106"/>
      <c r="Q74" s="106"/>
      <c r="R74" s="106"/>
      <c r="S74" s="106"/>
      <c r="T74" s="110">
        <f>S74-Q74</f>
        <v>0</v>
      </c>
      <c r="U74" s="59">
        <f t="shared" si="127"/>
        <v>1042</v>
      </c>
      <c r="V74" s="106"/>
      <c r="W74" s="106"/>
      <c r="X74" s="110">
        <f>+W74-M74</f>
        <v>-1042</v>
      </c>
      <c r="Y74" s="110"/>
      <c r="Z74" s="110"/>
      <c r="AA74" s="110"/>
      <c r="AB74" s="106"/>
      <c r="AC74" s="106"/>
      <c r="AD74" s="106"/>
      <c r="AE74" s="100">
        <f>N74/F74</f>
        <v>4.2000000000000003E-2</v>
      </c>
      <c r="AF74" s="90"/>
      <c r="AG74" s="109">
        <f t="shared" ref="AG74:AG77" si="146">IF(N74&lt;0,N74,0)</f>
        <v>0</v>
      </c>
      <c r="AH74" s="100">
        <f>(S74-F74)/F74</f>
        <v>-1</v>
      </c>
      <c r="AI74" s="100">
        <f>(W74-F74)/F74</f>
        <v>-1</v>
      </c>
    </row>
    <row r="75" spans="1:35" s="50" customFormat="1" ht="17.25" customHeight="1" x14ac:dyDescent="0.3">
      <c r="A75" s="106"/>
      <c r="B75" s="107" t="s">
        <v>40</v>
      </c>
      <c r="C75" s="263" t="s">
        <v>853</v>
      </c>
      <c r="D75" s="302"/>
      <c r="E75" s="149" t="s">
        <v>155</v>
      </c>
      <c r="F75" s="205">
        <v>1000</v>
      </c>
      <c r="G75" s="106"/>
      <c r="H75" s="106"/>
      <c r="I75" s="106"/>
      <c r="J75" s="106"/>
      <c r="K75" s="106"/>
      <c r="L75" s="106"/>
      <c r="M75" s="106">
        <f>688+354</f>
        <v>1042</v>
      </c>
      <c r="N75" s="110">
        <f>M75-F75</f>
        <v>42</v>
      </c>
      <c r="O75" s="110"/>
      <c r="P75" s="106"/>
      <c r="Q75" s="106"/>
      <c r="R75" s="106"/>
      <c r="S75" s="106"/>
      <c r="T75" s="110">
        <f>S75-Q75</f>
        <v>0</v>
      </c>
      <c r="U75" s="59">
        <f t="shared" si="127"/>
        <v>1042</v>
      </c>
      <c r="V75" s="106"/>
      <c r="W75" s="106"/>
      <c r="X75" s="110">
        <f>+W75-M75</f>
        <v>-1042</v>
      </c>
      <c r="Y75" s="110"/>
      <c r="Z75" s="110"/>
      <c r="AA75" s="110"/>
      <c r="AB75" s="106"/>
      <c r="AC75" s="106"/>
      <c r="AD75" s="106"/>
      <c r="AE75" s="100">
        <f>N75/F75</f>
        <v>4.2000000000000003E-2</v>
      </c>
      <c r="AF75" s="90"/>
      <c r="AG75" s="109">
        <f t="shared" si="146"/>
        <v>0</v>
      </c>
      <c r="AH75" s="100">
        <f>(S75-F75)/F75</f>
        <v>-1</v>
      </c>
      <c r="AI75" s="100">
        <f>(W75-F75)/F75</f>
        <v>-1</v>
      </c>
    </row>
    <row r="76" spans="1:35" s="50" customFormat="1" ht="17.25" customHeight="1" x14ac:dyDescent="0.3">
      <c r="A76" s="106"/>
      <c r="B76" s="107" t="s">
        <v>40</v>
      </c>
      <c r="C76" s="263" t="s">
        <v>853</v>
      </c>
      <c r="D76" s="303"/>
      <c r="E76" s="149" t="s">
        <v>159</v>
      </c>
      <c r="F76" s="205">
        <v>1000</v>
      </c>
      <c r="G76" s="106"/>
      <c r="H76" s="106"/>
      <c r="I76" s="106"/>
      <c r="J76" s="106"/>
      <c r="K76" s="106"/>
      <c r="L76" s="106"/>
      <c r="M76" s="106"/>
      <c r="N76" s="110">
        <f>M76-F76</f>
        <v>-1000</v>
      </c>
      <c r="O76" s="110"/>
      <c r="P76" s="106"/>
      <c r="Q76" s="106"/>
      <c r="R76" s="106"/>
      <c r="S76" s="106"/>
      <c r="T76" s="110">
        <f>S76-Q76</f>
        <v>0</v>
      </c>
      <c r="U76" s="59">
        <f t="shared" si="127"/>
        <v>0</v>
      </c>
      <c r="V76" s="106"/>
      <c r="W76" s="106"/>
      <c r="X76" s="110">
        <f>+W76-M76</f>
        <v>0</v>
      </c>
      <c r="Y76" s="110"/>
      <c r="Z76" s="110"/>
      <c r="AA76" s="110"/>
      <c r="AB76" s="106"/>
      <c r="AC76" s="106"/>
      <c r="AD76" s="106"/>
      <c r="AE76" s="100">
        <f>N76/F76</f>
        <v>-1</v>
      </c>
      <c r="AF76" s="90"/>
      <c r="AG76" s="109">
        <f t="shared" si="146"/>
        <v>-1000</v>
      </c>
      <c r="AH76" s="100">
        <f>(S76-F76)/F76</f>
        <v>-1</v>
      </c>
      <c r="AI76" s="100">
        <f>(W76-F76)/F76</f>
        <v>-1</v>
      </c>
    </row>
    <row r="77" spans="1:35" s="43" customFormat="1" ht="15" customHeight="1" x14ac:dyDescent="0.3">
      <c r="A77" s="90" t="s">
        <v>46</v>
      </c>
      <c r="B77" s="77" t="s">
        <v>40</v>
      </c>
      <c r="C77" s="137"/>
      <c r="D77" s="90"/>
      <c r="E77" s="90"/>
      <c r="F77" s="136">
        <f>SUM(F74:F76)</f>
        <v>3000</v>
      </c>
      <c r="G77" s="136"/>
      <c r="H77" s="136"/>
      <c r="I77" s="136"/>
      <c r="J77" s="136" t="s">
        <v>59</v>
      </c>
      <c r="K77" s="64" t="s">
        <v>609</v>
      </c>
      <c r="L77" s="136">
        <f>SUM(L74:L76)</f>
        <v>0</v>
      </c>
      <c r="M77" s="136">
        <f t="shared" ref="M77:N77" si="147">SUM(M74:M76)</f>
        <v>2084</v>
      </c>
      <c r="N77" s="136">
        <f t="shared" si="147"/>
        <v>-916</v>
      </c>
      <c r="O77" s="136"/>
      <c r="P77" s="136">
        <f t="shared" ref="P77:T77" si="148">SUM(P74:P76)</f>
        <v>0</v>
      </c>
      <c r="Q77" s="136">
        <f t="shared" si="148"/>
        <v>0</v>
      </c>
      <c r="R77" s="136">
        <f t="shared" si="148"/>
        <v>0</v>
      </c>
      <c r="S77" s="136">
        <f t="shared" si="148"/>
        <v>0</v>
      </c>
      <c r="T77" s="136">
        <f t="shared" si="148"/>
        <v>0</v>
      </c>
      <c r="U77" s="59">
        <f t="shared" ref="U77:U152" si="149">IF(Q77&gt;0,S77-W77,M77-W77)</f>
        <v>2084</v>
      </c>
      <c r="V77" s="136">
        <f t="shared" ref="V77:X77" si="150">SUM(V74:V76)</f>
        <v>0</v>
      </c>
      <c r="W77" s="136">
        <f t="shared" si="150"/>
        <v>0</v>
      </c>
      <c r="X77" s="136">
        <f t="shared" si="150"/>
        <v>-2084</v>
      </c>
      <c r="Y77" s="136"/>
      <c r="Z77" s="136"/>
      <c r="AA77" s="136"/>
      <c r="AB77" s="84"/>
      <c r="AC77" s="136"/>
      <c r="AD77" s="136"/>
      <c r="AE77" s="100">
        <f t="shared" ref="AE77" si="151">N77/F77</f>
        <v>-0.30533333333333335</v>
      </c>
      <c r="AF77" s="90"/>
      <c r="AG77" s="109">
        <f t="shared" si="146"/>
        <v>-916</v>
      </c>
      <c r="AH77" s="100">
        <f t="shared" ref="AH77" si="152">(S77-F77)/F77</f>
        <v>-1</v>
      </c>
      <c r="AI77" s="100">
        <f t="shared" ref="AI77" si="153">(W77-F77)/F77</f>
        <v>-1</v>
      </c>
    </row>
    <row r="78" spans="1:35" s="50" customFormat="1" ht="17.25" customHeight="1" x14ac:dyDescent="0.3">
      <c r="A78" s="106"/>
      <c r="B78" s="107" t="s">
        <v>40</v>
      </c>
      <c r="C78" s="195" t="s">
        <v>852</v>
      </c>
      <c r="D78" s="301" t="s">
        <v>193</v>
      </c>
      <c r="E78" s="149" t="s">
        <v>0</v>
      </c>
      <c r="F78" s="195">
        <v>1200</v>
      </c>
      <c r="G78" s="106"/>
      <c r="H78" s="106"/>
      <c r="I78" s="106"/>
      <c r="J78" s="106"/>
      <c r="K78" s="106"/>
      <c r="L78" s="106"/>
      <c r="M78" s="106"/>
      <c r="N78" s="110">
        <f>M78-F78</f>
        <v>-1200</v>
      </c>
      <c r="O78" s="110"/>
      <c r="P78" s="106"/>
      <c r="Q78" s="106"/>
      <c r="R78" s="106"/>
      <c r="S78" s="106"/>
      <c r="T78" s="110">
        <f>S78-Q78</f>
        <v>0</v>
      </c>
      <c r="U78" s="59">
        <f t="shared" si="149"/>
        <v>0</v>
      </c>
      <c r="V78" s="106"/>
      <c r="W78" s="106"/>
      <c r="X78" s="110">
        <f>+W78-M78</f>
        <v>0</v>
      </c>
      <c r="Y78" s="110"/>
      <c r="Z78" s="110"/>
      <c r="AA78" s="110"/>
      <c r="AB78" s="106"/>
      <c r="AC78" s="106"/>
      <c r="AD78" s="106"/>
      <c r="AE78" s="100">
        <f>N78/F78</f>
        <v>-1</v>
      </c>
      <c r="AF78" s="90"/>
      <c r="AG78" s="109">
        <f t="shared" si="142"/>
        <v>-1200</v>
      </c>
      <c r="AH78" s="100">
        <f>(S78-F78)/F78</f>
        <v>-1</v>
      </c>
      <c r="AI78" s="100">
        <f>(W78-F78)/F78</f>
        <v>-1</v>
      </c>
    </row>
    <row r="79" spans="1:35" s="50" customFormat="1" ht="17.25" customHeight="1" x14ac:dyDescent="0.3">
      <c r="A79" s="106"/>
      <c r="B79" s="107" t="s">
        <v>40</v>
      </c>
      <c r="C79" s="263" t="s">
        <v>852</v>
      </c>
      <c r="D79" s="302"/>
      <c r="E79" s="149" t="s">
        <v>98</v>
      </c>
      <c r="F79" s="195">
        <v>1200</v>
      </c>
      <c r="G79" s="106"/>
      <c r="H79" s="106"/>
      <c r="I79" s="106"/>
      <c r="J79" s="106"/>
      <c r="K79" s="106"/>
      <c r="L79" s="106"/>
      <c r="M79" s="106"/>
      <c r="N79" s="110">
        <f>M79-F79</f>
        <v>-1200</v>
      </c>
      <c r="O79" s="110"/>
      <c r="P79" s="106"/>
      <c r="Q79" s="106"/>
      <c r="R79" s="106"/>
      <c r="S79" s="106"/>
      <c r="T79" s="110">
        <f>S79-Q79</f>
        <v>0</v>
      </c>
      <c r="U79" s="59">
        <f t="shared" si="149"/>
        <v>0</v>
      </c>
      <c r="V79" s="106"/>
      <c r="W79" s="106"/>
      <c r="X79" s="110">
        <f>+W79-M79</f>
        <v>0</v>
      </c>
      <c r="Y79" s="110"/>
      <c r="Z79" s="110"/>
      <c r="AA79" s="110"/>
      <c r="AB79" s="106"/>
      <c r="AC79" s="106"/>
      <c r="AD79" s="106"/>
      <c r="AE79" s="100">
        <f>N79/F79</f>
        <v>-1</v>
      </c>
      <c r="AF79" s="90"/>
      <c r="AG79" s="109">
        <f t="shared" si="142"/>
        <v>-1200</v>
      </c>
      <c r="AH79" s="100">
        <f>(S79-F79)/F79</f>
        <v>-1</v>
      </c>
      <c r="AI79" s="100">
        <f>(W79-F79)/F79</f>
        <v>-1</v>
      </c>
    </row>
    <row r="80" spans="1:35" s="50" customFormat="1" ht="17.25" customHeight="1" x14ac:dyDescent="0.3">
      <c r="A80" s="106"/>
      <c r="B80" s="107" t="s">
        <v>40</v>
      </c>
      <c r="C80" s="263" t="s">
        <v>852</v>
      </c>
      <c r="D80" s="303"/>
      <c r="E80" s="149" t="s">
        <v>163</v>
      </c>
      <c r="F80" s="178">
        <v>1200</v>
      </c>
      <c r="G80" s="106"/>
      <c r="H80" s="106"/>
      <c r="I80" s="106"/>
      <c r="J80" s="106"/>
      <c r="K80" s="106"/>
      <c r="L80" s="106"/>
      <c r="M80" s="106"/>
      <c r="N80" s="110">
        <f>M80-F80</f>
        <v>-1200</v>
      </c>
      <c r="O80" s="110"/>
      <c r="P80" s="106"/>
      <c r="Q80" s="106"/>
      <c r="R80" s="106"/>
      <c r="S80" s="106"/>
      <c r="T80" s="110">
        <f>S80-Q80</f>
        <v>0</v>
      </c>
      <c r="U80" s="59">
        <f t="shared" si="149"/>
        <v>0</v>
      </c>
      <c r="V80" s="106"/>
      <c r="W80" s="106"/>
      <c r="X80" s="110">
        <f>+W80-M80</f>
        <v>0</v>
      </c>
      <c r="Y80" s="110"/>
      <c r="Z80" s="110"/>
      <c r="AA80" s="110"/>
      <c r="AB80" s="106"/>
      <c r="AC80" s="106"/>
      <c r="AD80" s="106"/>
      <c r="AE80" s="100">
        <f>N80/F80</f>
        <v>-1</v>
      </c>
      <c r="AF80" s="90"/>
      <c r="AG80" s="109">
        <f t="shared" ref="AG80:AG81" si="154">IF(N80&lt;0,N80,0)</f>
        <v>-1200</v>
      </c>
      <c r="AH80" s="100">
        <f>(S80-F80)/F80</f>
        <v>-1</v>
      </c>
      <c r="AI80" s="100">
        <f>(W80-F80)/F80</f>
        <v>-1</v>
      </c>
    </row>
    <row r="81" spans="1:35" s="43" customFormat="1" ht="15" customHeight="1" x14ac:dyDescent="0.3">
      <c r="A81" s="90" t="s">
        <v>46</v>
      </c>
      <c r="B81" s="77" t="s">
        <v>40</v>
      </c>
      <c r="C81" s="137"/>
      <c r="D81" s="90"/>
      <c r="E81" s="90"/>
      <c r="F81" s="136">
        <f>SUM(F78:F80)</f>
        <v>3600</v>
      </c>
      <c r="G81" s="136"/>
      <c r="H81" s="136"/>
      <c r="I81" s="136"/>
      <c r="J81" s="136" t="s">
        <v>59</v>
      </c>
      <c r="K81" s="64" t="s">
        <v>726</v>
      </c>
      <c r="L81" s="136">
        <f>SUM(L78:L80)</f>
        <v>0</v>
      </c>
      <c r="M81" s="136">
        <f t="shared" ref="M81:X81" si="155">SUM(M78:M80)</f>
        <v>0</v>
      </c>
      <c r="N81" s="136">
        <f t="shared" si="155"/>
        <v>-3600</v>
      </c>
      <c r="O81" s="136"/>
      <c r="P81" s="136">
        <f t="shared" si="155"/>
        <v>0</v>
      </c>
      <c r="Q81" s="136">
        <f t="shared" si="155"/>
        <v>0</v>
      </c>
      <c r="R81" s="136">
        <f t="shared" si="155"/>
        <v>0</v>
      </c>
      <c r="S81" s="136">
        <f t="shared" si="155"/>
        <v>0</v>
      </c>
      <c r="T81" s="136">
        <f t="shared" si="155"/>
        <v>0</v>
      </c>
      <c r="U81" s="59">
        <f t="shared" si="149"/>
        <v>0</v>
      </c>
      <c r="V81" s="136">
        <f t="shared" si="155"/>
        <v>0</v>
      </c>
      <c r="W81" s="136">
        <f t="shared" si="155"/>
        <v>0</v>
      </c>
      <c r="X81" s="136">
        <f t="shared" si="155"/>
        <v>0</v>
      </c>
      <c r="Y81" s="136"/>
      <c r="Z81" s="136"/>
      <c r="AA81" s="136"/>
      <c r="AB81" s="84"/>
      <c r="AC81" s="136"/>
      <c r="AD81" s="136"/>
      <c r="AE81" s="100">
        <f t="shared" ref="AE81" si="156">N81/F81</f>
        <v>-1</v>
      </c>
      <c r="AF81" s="90"/>
      <c r="AG81" s="109">
        <f t="shared" si="154"/>
        <v>-3600</v>
      </c>
      <c r="AH81" s="100">
        <f t="shared" ref="AH81" si="157">(S81-F81)/F81</f>
        <v>-1</v>
      </c>
      <c r="AI81" s="100">
        <f t="shared" ref="AI81" si="158">(W81-F81)/F81</f>
        <v>-1</v>
      </c>
    </row>
    <row r="82" spans="1:35" s="50" customFormat="1" ht="17.25" customHeight="1" x14ac:dyDescent="0.3">
      <c r="A82" s="106"/>
      <c r="B82" s="107" t="s">
        <v>40</v>
      </c>
      <c r="C82" s="178" t="s">
        <v>477</v>
      </c>
      <c r="D82" s="178" t="s">
        <v>478</v>
      </c>
      <c r="E82" s="149" t="s">
        <v>0</v>
      </c>
      <c r="F82" s="178">
        <v>400</v>
      </c>
      <c r="G82" s="106"/>
      <c r="H82" s="106"/>
      <c r="I82" s="106"/>
      <c r="J82" s="106"/>
      <c r="K82" s="106"/>
      <c r="L82" s="106"/>
      <c r="M82" s="106">
        <v>424</v>
      </c>
      <c r="N82" s="110">
        <f>M82-F82</f>
        <v>24</v>
      </c>
      <c r="O82" s="110"/>
      <c r="P82" s="106"/>
      <c r="Q82" s="106"/>
      <c r="R82" s="106"/>
      <c r="S82" s="106"/>
      <c r="T82" s="110">
        <f>S82-Q82</f>
        <v>0</v>
      </c>
      <c r="U82" s="59">
        <f t="shared" si="149"/>
        <v>4</v>
      </c>
      <c r="V82" s="106"/>
      <c r="W82" s="106">
        <v>420</v>
      </c>
      <c r="X82" s="110">
        <f>+W82-M82</f>
        <v>-4</v>
      </c>
      <c r="Y82" s="110"/>
      <c r="Z82" s="110"/>
      <c r="AA82" s="110"/>
      <c r="AB82" s="106"/>
      <c r="AC82" s="106"/>
      <c r="AD82" s="106"/>
      <c r="AE82" s="100">
        <f>N82/F82</f>
        <v>0.06</v>
      </c>
      <c r="AF82" s="90"/>
      <c r="AG82" s="109">
        <f t="shared" ref="AG82:AG83" si="159">IF(N82&lt;0,N82,0)</f>
        <v>0</v>
      </c>
      <c r="AH82" s="100">
        <f>(S82-F82)/F82</f>
        <v>-1</v>
      </c>
      <c r="AI82" s="100">
        <f>(W82-F82)/F82</f>
        <v>0.05</v>
      </c>
    </row>
    <row r="83" spans="1:35" s="43" customFormat="1" ht="15" customHeight="1" x14ac:dyDescent="0.3">
      <c r="A83" s="90" t="s">
        <v>46</v>
      </c>
      <c r="B83" s="77" t="s">
        <v>40</v>
      </c>
      <c r="C83" s="137"/>
      <c r="D83" s="90"/>
      <c r="E83" s="90"/>
      <c r="F83" s="136">
        <f>SUM(F82:F82)</f>
        <v>400</v>
      </c>
      <c r="G83" s="136"/>
      <c r="H83" s="136"/>
      <c r="I83" s="136"/>
      <c r="J83" s="136" t="s">
        <v>58</v>
      </c>
      <c r="K83" s="64" t="s">
        <v>245</v>
      </c>
      <c r="L83" s="136">
        <f>SUM(L82:L82)</f>
        <v>0</v>
      </c>
      <c r="M83" s="136">
        <f>SUM(M82:M82)</f>
        <v>424</v>
      </c>
      <c r="N83" s="90">
        <f>SUMIF(N82:N82,"&lt;0")</f>
        <v>0</v>
      </c>
      <c r="O83" s="136"/>
      <c r="P83" s="136">
        <f>SUM(P82:P82)</f>
        <v>0</v>
      </c>
      <c r="Q83" s="136">
        <f>SUM(Q82:Q82)</f>
        <v>0</v>
      </c>
      <c r="R83" s="136">
        <f>SUM(R82:R82)</f>
        <v>0</v>
      </c>
      <c r="S83" s="136">
        <f>SUM(S82:S82)</f>
        <v>0</v>
      </c>
      <c r="T83" s="136">
        <f>SUM(T82:T82)</f>
        <v>0</v>
      </c>
      <c r="U83" s="59">
        <f t="shared" si="149"/>
        <v>4</v>
      </c>
      <c r="V83" s="136">
        <f>SUM(V82:V82)</f>
        <v>0</v>
      </c>
      <c r="W83" s="136">
        <f>SUM(W82:W82)</f>
        <v>420</v>
      </c>
      <c r="X83" s="136">
        <f>SUM(X82:X82)</f>
        <v>-4</v>
      </c>
      <c r="Y83" s="136"/>
      <c r="Z83" s="136"/>
      <c r="AA83" s="136"/>
      <c r="AB83" s="84"/>
      <c r="AC83" s="136"/>
      <c r="AD83" s="136"/>
      <c r="AE83" s="100">
        <f t="shared" ref="AE83" si="160">N83/F83</f>
        <v>0</v>
      </c>
      <c r="AF83" s="90"/>
      <c r="AG83" s="109">
        <f t="shared" si="159"/>
        <v>0</v>
      </c>
      <c r="AH83" s="100">
        <f t="shared" ref="AH83" si="161">(S83-F83)/F83</f>
        <v>-1</v>
      </c>
      <c r="AI83" s="100">
        <f t="shared" ref="AI83" si="162">(W83-F83)/F83</f>
        <v>0.05</v>
      </c>
    </row>
    <row r="84" spans="1:35" s="50" customFormat="1" ht="17.25" customHeight="1" x14ac:dyDescent="0.3">
      <c r="A84" s="106"/>
      <c r="B84" s="107" t="s">
        <v>40</v>
      </c>
      <c r="C84" s="195" t="s">
        <v>499</v>
      </c>
      <c r="D84" s="195" t="s">
        <v>328</v>
      </c>
      <c r="E84" s="149" t="s">
        <v>0</v>
      </c>
      <c r="F84" s="195">
        <v>2500</v>
      </c>
      <c r="G84" s="106"/>
      <c r="H84" s="106"/>
      <c r="I84" s="106"/>
      <c r="J84" s="106"/>
      <c r="K84" s="106"/>
      <c r="L84" s="106"/>
      <c r="M84" s="106">
        <f>1200+1342</f>
        <v>2542</v>
      </c>
      <c r="N84" s="110">
        <f>M84-F84</f>
        <v>42</v>
      </c>
      <c r="O84" s="110"/>
      <c r="P84" s="106"/>
      <c r="Q84" s="106"/>
      <c r="R84" s="106"/>
      <c r="S84" s="106"/>
      <c r="T84" s="110">
        <f>S84-Q84</f>
        <v>0</v>
      </c>
      <c r="U84" s="59">
        <f t="shared" si="149"/>
        <v>0</v>
      </c>
      <c r="V84" s="106"/>
      <c r="W84" s="106">
        <v>2542</v>
      </c>
      <c r="X84" s="110">
        <f>+W84-M84</f>
        <v>0</v>
      </c>
      <c r="Y84" s="110"/>
      <c r="Z84" s="110"/>
      <c r="AA84" s="110"/>
      <c r="AB84" s="106"/>
      <c r="AC84" s="106"/>
      <c r="AD84" s="106"/>
      <c r="AE84" s="100">
        <f>N84/F84</f>
        <v>1.6799999999999999E-2</v>
      </c>
      <c r="AF84" s="90"/>
      <c r="AG84" s="109">
        <f t="shared" ref="AG84:AG85" si="163">IF(N84&lt;0,N84,0)</f>
        <v>0</v>
      </c>
      <c r="AH84" s="100">
        <f>(S84-F84)/F84</f>
        <v>-1</v>
      </c>
      <c r="AI84" s="100">
        <f>(W84-F84)/F84</f>
        <v>1.6799999999999999E-2</v>
      </c>
    </row>
    <row r="85" spans="1:35" s="43" customFormat="1" ht="15" customHeight="1" x14ac:dyDescent="0.3">
      <c r="A85" s="90" t="s">
        <v>46</v>
      </c>
      <c r="B85" s="77" t="s">
        <v>40</v>
      </c>
      <c r="C85" s="137"/>
      <c r="D85" s="90"/>
      <c r="E85" s="90"/>
      <c r="F85" s="136">
        <f>SUM(F84:F84)</f>
        <v>2500</v>
      </c>
      <c r="G85" s="136"/>
      <c r="H85" s="136"/>
      <c r="I85" s="136"/>
      <c r="J85" s="136" t="s">
        <v>60</v>
      </c>
      <c r="K85" s="64" t="s">
        <v>479</v>
      </c>
      <c r="L85" s="136">
        <f>SUM(L84:L84)</f>
        <v>0</v>
      </c>
      <c r="M85" s="136">
        <f>SUM(M84:M84)</f>
        <v>2542</v>
      </c>
      <c r="N85" s="90">
        <f>SUMIF(N84:N84,"&lt;0")</f>
        <v>0</v>
      </c>
      <c r="O85" s="136"/>
      <c r="P85" s="136">
        <f>SUM(P84:P84)</f>
        <v>0</v>
      </c>
      <c r="Q85" s="136">
        <f>SUM(Q84:Q84)</f>
        <v>0</v>
      </c>
      <c r="R85" s="136">
        <f>SUM(R84:R84)</f>
        <v>0</v>
      </c>
      <c r="S85" s="136">
        <f>SUM(S84:S84)</f>
        <v>0</v>
      </c>
      <c r="T85" s="136">
        <f>SUM(T84:T84)</f>
        <v>0</v>
      </c>
      <c r="U85" s="59">
        <f t="shared" si="149"/>
        <v>0</v>
      </c>
      <c r="V85" s="136">
        <f>SUM(V84:V84)</f>
        <v>0</v>
      </c>
      <c r="W85" s="136">
        <f>SUM(W84:W84)</f>
        <v>2542</v>
      </c>
      <c r="X85" s="136">
        <f>SUM(X84:X84)</f>
        <v>0</v>
      </c>
      <c r="Y85" s="136"/>
      <c r="Z85" s="136"/>
      <c r="AA85" s="136"/>
      <c r="AB85" s="84"/>
      <c r="AC85" s="136"/>
      <c r="AD85" s="136"/>
      <c r="AE85" s="100">
        <f t="shared" ref="AE85" si="164">N85/F85</f>
        <v>0</v>
      </c>
      <c r="AF85" s="90"/>
      <c r="AG85" s="109">
        <f t="shared" si="163"/>
        <v>0</v>
      </c>
      <c r="AH85" s="100">
        <f t="shared" ref="AH85" si="165">(S85-F85)/F85</f>
        <v>-1</v>
      </c>
      <c r="AI85" s="100">
        <f t="shared" ref="AI85" si="166">(W85-F85)/F85</f>
        <v>1.6799999999999999E-2</v>
      </c>
    </row>
    <row r="86" spans="1:35" s="50" customFormat="1" ht="17.25" customHeight="1" x14ac:dyDescent="0.3">
      <c r="A86" s="106"/>
      <c r="B86" s="107" t="s">
        <v>40</v>
      </c>
      <c r="C86" s="169" t="s">
        <v>345</v>
      </c>
      <c r="D86" s="193" t="s">
        <v>346</v>
      </c>
      <c r="E86" s="149" t="s">
        <v>347</v>
      </c>
      <c r="F86" s="169">
        <v>1000</v>
      </c>
      <c r="G86" s="106"/>
      <c r="H86" s="106"/>
      <c r="I86" s="106"/>
      <c r="J86" s="106"/>
      <c r="K86" s="106"/>
      <c r="L86" s="106"/>
      <c r="M86" s="106">
        <f>269+781</f>
        <v>1050</v>
      </c>
      <c r="N86" s="110">
        <f>M86-F86</f>
        <v>50</v>
      </c>
      <c r="O86" s="110"/>
      <c r="P86" s="106"/>
      <c r="Q86" s="106"/>
      <c r="R86" s="106"/>
      <c r="S86" s="106"/>
      <c r="T86" s="110">
        <f>S86-Q86</f>
        <v>0</v>
      </c>
      <c r="U86" s="59">
        <f t="shared" si="149"/>
        <v>0</v>
      </c>
      <c r="V86" s="106"/>
      <c r="W86" s="106">
        <v>1050</v>
      </c>
      <c r="X86" s="110">
        <f>+W86-M86</f>
        <v>0</v>
      </c>
      <c r="Y86" s="110"/>
      <c r="Z86" s="110"/>
      <c r="AA86" s="110"/>
      <c r="AB86" s="106"/>
      <c r="AC86" s="106"/>
      <c r="AD86" s="106"/>
      <c r="AE86" s="100">
        <f>N86/F86</f>
        <v>0.05</v>
      </c>
      <c r="AF86" s="90"/>
      <c r="AG86" s="109">
        <f t="shared" ref="AG86:AG92" si="167">IF(N86&lt;0,N86,0)</f>
        <v>0</v>
      </c>
      <c r="AH86" s="100">
        <f>(S86-F86)/F86</f>
        <v>-1</v>
      </c>
      <c r="AI86" s="100">
        <f>(W86-F86)/F86</f>
        <v>0.05</v>
      </c>
    </row>
    <row r="87" spans="1:35" s="43" customFormat="1" ht="15" customHeight="1" x14ac:dyDescent="0.3">
      <c r="A87" s="90" t="s">
        <v>46</v>
      </c>
      <c r="B87" s="77" t="s">
        <v>40</v>
      </c>
      <c r="C87" s="137"/>
      <c r="D87" s="90"/>
      <c r="E87" s="90"/>
      <c r="F87" s="136">
        <f>SUM(F86:F86)</f>
        <v>1000</v>
      </c>
      <c r="G87" s="136"/>
      <c r="H87" s="136"/>
      <c r="I87" s="136"/>
      <c r="J87" s="136" t="s">
        <v>60</v>
      </c>
      <c r="K87" s="64" t="s">
        <v>266</v>
      </c>
      <c r="L87" s="136">
        <f>SUM(L86:L86)</f>
        <v>0</v>
      </c>
      <c r="M87" s="136">
        <f>SUM(M86:M86)</f>
        <v>1050</v>
      </c>
      <c r="N87" s="90">
        <f>SUMIF(N86:N86,"&lt;0")</f>
        <v>0</v>
      </c>
      <c r="O87" s="136"/>
      <c r="P87" s="136">
        <f>SUM(P86:P86)</f>
        <v>0</v>
      </c>
      <c r="Q87" s="136">
        <f>SUM(Q86:Q86)</f>
        <v>0</v>
      </c>
      <c r="R87" s="136">
        <f>SUM(R86:R86)</f>
        <v>0</v>
      </c>
      <c r="S87" s="136">
        <f>SUM(S86:S86)</f>
        <v>0</v>
      </c>
      <c r="T87" s="136">
        <f>SUM(T86:T86)</f>
        <v>0</v>
      </c>
      <c r="U87" s="59">
        <f t="shared" si="149"/>
        <v>0</v>
      </c>
      <c r="V87" s="136">
        <f>SUM(V86:V86)</f>
        <v>0</v>
      </c>
      <c r="W87" s="136">
        <f>SUM(W86:W86)</f>
        <v>1050</v>
      </c>
      <c r="X87" s="136">
        <f>SUM(X86:X86)</f>
        <v>0</v>
      </c>
      <c r="Y87" s="136"/>
      <c r="Z87" s="136"/>
      <c r="AA87" s="136"/>
      <c r="AB87" s="84"/>
      <c r="AC87" s="136"/>
      <c r="AD87" s="136"/>
      <c r="AE87" s="100">
        <f t="shared" ref="AE87" si="168">N87/F87</f>
        <v>0</v>
      </c>
      <c r="AF87" s="90"/>
      <c r="AG87" s="109">
        <f t="shared" si="167"/>
        <v>0</v>
      </c>
      <c r="AH87" s="100">
        <f t="shared" ref="AH87" si="169">(S87-F87)/F87</f>
        <v>-1</v>
      </c>
      <c r="AI87" s="100">
        <f t="shared" ref="AI87" si="170">(W87-F87)/F87</f>
        <v>0.05</v>
      </c>
    </row>
    <row r="88" spans="1:35" s="50" customFormat="1" ht="17.25" customHeight="1" x14ac:dyDescent="0.3">
      <c r="A88" s="106"/>
      <c r="B88" s="107" t="s">
        <v>40</v>
      </c>
      <c r="C88" s="226" t="s">
        <v>404</v>
      </c>
      <c r="D88" s="226" t="s">
        <v>405</v>
      </c>
      <c r="E88" s="149" t="s">
        <v>5</v>
      </c>
      <c r="F88" s="226">
        <v>800</v>
      </c>
      <c r="G88" s="106"/>
      <c r="H88" s="106"/>
      <c r="I88" s="106"/>
      <c r="J88" s="106"/>
      <c r="K88" s="106"/>
      <c r="L88" s="106"/>
      <c r="M88" s="106">
        <f>818+32</f>
        <v>850</v>
      </c>
      <c r="N88" s="110">
        <f>M88-F88</f>
        <v>50</v>
      </c>
      <c r="O88" s="110"/>
      <c r="P88" s="106"/>
      <c r="Q88" s="106"/>
      <c r="R88" s="106"/>
      <c r="S88" s="106"/>
      <c r="T88" s="110">
        <f>S88-Q88</f>
        <v>0</v>
      </c>
      <c r="U88" s="59">
        <f t="shared" ref="U88:U90" si="171">IF(Q88&gt;0,S88-W88,M88-W88)</f>
        <v>0</v>
      </c>
      <c r="V88" s="106"/>
      <c r="W88" s="106">
        <v>850</v>
      </c>
      <c r="X88" s="110">
        <f>+W88-M88</f>
        <v>0</v>
      </c>
      <c r="Y88" s="110"/>
      <c r="Z88" s="110"/>
      <c r="AA88" s="110"/>
      <c r="AB88" s="106"/>
      <c r="AC88" s="106"/>
      <c r="AD88" s="106"/>
      <c r="AE88" s="100">
        <f>N88/F88</f>
        <v>6.25E-2</v>
      </c>
      <c r="AF88" s="90"/>
      <c r="AG88" s="109">
        <f t="shared" ref="AG88:AG90" si="172">IF(N88&lt;0,N88,0)</f>
        <v>0</v>
      </c>
      <c r="AH88" s="100">
        <f>(S88-F88)/F88</f>
        <v>-1</v>
      </c>
      <c r="AI88" s="100">
        <f>(W88-F88)/F88</f>
        <v>6.25E-2</v>
      </c>
    </row>
    <row r="89" spans="1:35" s="43" customFormat="1" ht="15" customHeight="1" x14ac:dyDescent="0.3">
      <c r="A89" s="90" t="s">
        <v>46</v>
      </c>
      <c r="B89" s="77" t="s">
        <v>40</v>
      </c>
      <c r="C89" s="137"/>
      <c r="D89" s="90"/>
      <c r="E89" s="90"/>
      <c r="F89" s="136">
        <f>SUM(F88:F88)</f>
        <v>800</v>
      </c>
      <c r="G89" s="136"/>
      <c r="H89" s="136"/>
      <c r="I89" s="136"/>
      <c r="J89" s="136" t="s">
        <v>58</v>
      </c>
      <c r="K89" s="64" t="s">
        <v>266</v>
      </c>
      <c r="L89" s="136">
        <f>SUM(L88:L88)</f>
        <v>0</v>
      </c>
      <c r="M89" s="136">
        <f>SUM(M88:M88)</f>
        <v>850</v>
      </c>
      <c r="N89" s="90">
        <f>SUMIF(N88:N88,"&lt;0")</f>
        <v>0</v>
      </c>
      <c r="O89" s="136"/>
      <c r="P89" s="136">
        <f>SUM(P88:P88)</f>
        <v>0</v>
      </c>
      <c r="Q89" s="136">
        <f>SUM(Q88:Q88)</f>
        <v>0</v>
      </c>
      <c r="R89" s="136">
        <f>SUM(R88:R88)</f>
        <v>0</v>
      </c>
      <c r="S89" s="136">
        <f>SUM(S88:S88)</f>
        <v>0</v>
      </c>
      <c r="T89" s="136">
        <f>SUM(T88:T88)</f>
        <v>0</v>
      </c>
      <c r="U89" s="59">
        <f t="shared" si="171"/>
        <v>0</v>
      </c>
      <c r="V89" s="136">
        <f>SUM(V88:V88)</f>
        <v>0</v>
      </c>
      <c r="W89" s="136">
        <f>SUM(W88:W88)</f>
        <v>850</v>
      </c>
      <c r="X89" s="136">
        <f>SUM(X88:X88)</f>
        <v>0</v>
      </c>
      <c r="Y89" s="136"/>
      <c r="Z89" s="136"/>
      <c r="AA89" s="136"/>
      <c r="AB89" s="84"/>
      <c r="AC89" s="136"/>
      <c r="AD89" s="136"/>
      <c r="AE89" s="100">
        <f t="shared" ref="AE89" si="173">N89/F89</f>
        <v>0</v>
      </c>
      <c r="AF89" s="90"/>
      <c r="AG89" s="109">
        <f t="shared" si="172"/>
        <v>0</v>
      </c>
      <c r="AH89" s="100">
        <f t="shared" ref="AH89" si="174">(S89-F89)/F89</f>
        <v>-1</v>
      </c>
      <c r="AI89" s="100">
        <f t="shared" ref="AI89" si="175">(W89-F89)/F89</f>
        <v>6.25E-2</v>
      </c>
    </row>
    <row r="90" spans="1:35" s="50" customFormat="1" ht="17.25" customHeight="1" x14ac:dyDescent="0.3">
      <c r="A90" s="106"/>
      <c r="B90" s="107" t="s">
        <v>40</v>
      </c>
      <c r="C90" s="226" t="s">
        <v>406</v>
      </c>
      <c r="D90" s="301" t="s">
        <v>405</v>
      </c>
      <c r="E90" s="149" t="s">
        <v>0</v>
      </c>
      <c r="F90" s="226">
        <v>1000</v>
      </c>
      <c r="G90" s="106"/>
      <c r="H90" s="106"/>
      <c r="I90" s="106"/>
      <c r="J90" s="106"/>
      <c r="K90" s="106"/>
      <c r="L90" s="106"/>
      <c r="M90" s="106">
        <v>1031</v>
      </c>
      <c r="N90" s="110">
        <f>M90-F90</f>
        <v>31</v>
      </c>
      <c r="O90" s="110"/>
      <c r="P90" s="106"/>
      <c r="Q90" s="106"/>
      <c r="R90" s="106"/>
      <c r="S90" s="106"/>
      <c r="T90" s="110">
        <f>S90-Q90</f>
        <v>0</v>
      </c>
      <c r="U90" s="59">
        <f t="shared" si="171"/>
        <v>0</v>
      </c>
      <c r="V90" s="106"/>
      <c r="W90" s="106">
        <v>1031</v>
      </c>
      <c r="X90" s="110">
        <f>+W90-M90</f>
        <v>0</v>
      </c>
      <c r="Y90" s="110"/>
      <c r="Z90" s="110"/>
      <c r="AA90" s="110"/>
      <c r="AB90" s="106"/>
      <c r="AC90" s="106"/>
      <c r="AD90" s="106"/>
      <c r="AE90" s="100">
        <f>N90/F90</f>
        <v>3.1E-2</v>
      </c>
      <c r="AF90" s="90"/>
      <c r="AG90" s="109">
        <f t="shared" si="172"/>
        <v>0</v>
      </c>
      <c r="AH90" s="100">
        <f>(S90-F90)/F90</f>
        <v>-1</v>
      </c>
      <c r="AI90" s="100">
        <f>(W90-F90)/F90</f>
        <v>3.1E-2</v>
      </c>
    </row>
    <row r="91" spans="1:35" s="50" customFormat="1" ht="17.25" customHeight="1" x14ac:dyDescent="0.3">
      <c r="A91" s="106"/>
      <c r="B91" s="107" t="s">
        <v>40</v>
      </c>
      <c r="C91" s="193" t="s">
        <v>406</v>
      </c>
      <c r="D91" s="303"/>
      <c r="E91" s="149" t="s">
        <v>5</v>
      </c>
      <c r="F91" s="193">
        <v>2000</v>
      </c>
      <c r="G91" s="106"/>
      <c r="H91" s="106"/>
      <c r="I91" s="106"/>
      <c r="J91" s="106"/>
      <c r="K91" s="106"/>
      <c r="L91" s="106"/>
      <c r="M91" s="106">
        <f>945+1092</f>
        <v>2037</v>
      </c>
      <c r="N91" s="110">
        <f>M91-F91</f>
        <v>37</v>
      </c>
      <c r="O91" s="110"/>
      <c r="P91" s="106"/>
      <c r="Q91" s="106"/>
      <c r="R91" s="106"/>
      <c r="S91" s="106"/>
      <c r="T91" s="110">
        <f>S91-Q91</f>
        <v>0</v>
      </c>
      <c r="U91" s="59">
        <f t="shared" si="149"/>
        <v>0</v>
      </c>
      <c r="V91" s="106"/>
      <c r="W91" s="106">
        <v>2037</v>
      </c>
      <c r="X91" s="110">
        <f>+W91-M91</f>
        <v>0</v>
      </c>
      <c r="Y91" s="110"/>
      <c r="Z91" s="110"/>
      <c r="AA91" s="110"/>
      <c r="AB91" s="106"/>
      <c r="AC91" s="106"/>
      <c r="AD91" s="106"/>
      <c r="AE91" s="100">
        <f>N91/F91</f>
        <v>1.8499999999999999E-2</v>
      </c>
      <c r="AF91" s="90"/>
      <c r="AG91" s="109">
        <f t="shared" si="167"/>
        <v>0</v>
      </c>
      <c r="AH91" s="100">
        <f>(S91-F91)/F91</f>
        <v>-1</v>
      </c>
      <c r="AI91" s="100">
        <f>(W91-F91)/F91</f>
        <v>1.8499999999999999E-2</v>
      </c>
    </row>
    <row r="92" spans="1:35" s="43" customFormat="1" ht="15" customHeight="1" x14ac:dyDescent="0.3">
      <c r="A92" s="90" t="s">
        <v>46</v>
      </c>
      <c r="B92" s="77" t="s">
        <v>40</v>
      </c>
      <c r="C92" s="137"/>
      <c r="D92" s="90"/>
      <c r="E92" s="90"/>
      <c r="F92" s="136">
        <f>SUM(F90:F91)</f>
        <v>3000</v>
      </c>
      <c r="G92" s="136"/>
      <c r="H92" s="136"/>
      <c r="I92" s="136"/>
      <c r="J92" s="136" t="s">
        <v>58</v>
      </c>
      <c r="K92" s="64" t="s">
        <v>340</v>
      </c>
      <c r="L92" s="136">
        <f>SUM(L90:L91)</f>
        <v>0</v>
      </c>
      <c r="M92" s="136">
        <f t="shared" ref="M92:X92" si="176">SUM(M90:M91)</f>
        <v>3068</v>
      </c>
      <c r="N92" s="136">
        <f t="shared" si="176"/>
        <v>68</v>
      </c>
      <c r="O92" s="136"/>
      <c r="P92" s="136">
        <f t="shared" si="176"/>
        <v>0</v>
      </c>
      <c r="Q92" s="136">
        <f t="shared" si="176"/>
        <v>0</v>
      </c>
      <c r="R92" s="136">
        <f t="shared" si="176"/>
        <v>0</v>
      </c>
      <c r="S92" s="136">
        <f t="shared" si="176"/>
        <v>0</v>
      </c>
      <c r="T92" s="136">
        <f t="shared" si="176"/>
        <v>0</v>
      </c>
      <c r="U92" s="59">
        <f t="shared" si="149"/>
        <v>0</v>
      </c>
      <c r="V92" s="136">
        <f t="shared" si="176"/>
        <v>0</v>
      </c>
      <c r="W92" s="136">
        <f t="shared" si="176"/>
        <v>3068</v>
      </c>
      <c r="X92" s="136">
        <f t="shared" si="176"/>
        <v>0</v>
      </c>
      <c r="Y92" s="136"/>
      <c r="Z92" s="136"/>
      <c r="AA92" s="136"/>
      <c r="AB92" s="84"/>
      <c r="AC92" s="136"/>
      <c r="AD92" s="136"/>
      <c r="AE92" s="100">
        <f t="shared" ref="AE92" si="177">N92/F92</f>
        <v>2.2666666666666668E-2</v>
      </c>
      <c r="AF92" s="90"/>
      <c r="AG92" s="109">
        <f t="shared" si="167"/>
        <v>0</v>
      </c>
      <c r="AH92" s="100">
        <f t="shared" ref="AH92" si="178">(S92-F92)/F92</f>
        <v>-1</v>
      </c>
      <c r="AI92" s="100">
        <f t="shared" ref="AI92" si="179">(W92-F92)/F92</f>
        <v>2.2666666666666668E-2</v>
      </c>
    </row>
    <row r="93" spans="1:35" s="50" customFormat="1" ht="17.25" customHeight="1" x14ac:dyDescent="0.3">
      <c r="A93" s="106"/>
      <c r="B93" s="107" t="s">
        <v>40</v>
      </c>
      <c r="C93" s="178">
        <v>47887</v>
      </c>
      <c r="D93" s="178" t="s">
        <v>314</v>
      </c>
      <c r="E93" s="149" t="s">
        <v>315</v>
      </c>
      <c r="F93" s="178">
        <v>600</v>
      </c>
      <c r="G93" s="106"/>
      <c r="H93" s="106"/>
      <c r="I93" s="106"/>
      <c r="J93" s="106"/>
      <c r="K93" s="106"/>
      <c r="L93" s="106"/>
      <c r="M93" s="106">
        <v>640</v>
      </c>
      <c r="N93" s="110">
        <f>M93-F93</f>
        <v>40</v>
      </c>
      <c r="O93" s="110"/>
      <c r="P93" s="106"/>
      <c r="Q93" s="106"/>
      <c r="R93" s="106"/>
      <c r="S93" s="106"/>
      <c r="T93" s="110">
        <f>S93-Q93</f>
        <v>0</v>
      </c>
      <c r="U93" s="59">
        <f t="shared" si="149"/>
        <v>3</v>
      </c>
      <c r="V93" s="106"/>
      <c r="W93" s="106">
        <v>637</v>
      </c>
      <c r="X93" s="110">
        <f>+W93-M93</f>
        <v>-3</v>
      </c>
      <c r="Y93" s="110"/>
      <c r="Z93" s="110"/>
      <c r="AA93" s="110"/>
      <c r="AB93" s="106"/>
      <c r="AC93" s="106"/>
      <c r="AD93" s="106"/>
      <c r="AE93" s="100">
        <f>N93/F93</f>
        <v>6.6666666666666666E-2</v>
      </c>
      <c r="AF93" s="90"/>
      <c r="AG93" s="109">
        <f t="shared" ref="AG93:AG94" si="180">IF(N93&lt;0,N93,0)</f>
        <v>0</v>
      </c>
      <c r="AH93" s="100">
        <f>(S93-F93)/F93</f>
        <v>-1</v>
      </c>
      <c r="AI93" s="100">
        <f>(W93-F93)/F93</f>
        <v>6.1666666666666668E-2</v>
      </c>
    </row>
    <row r="94" spans="1:35" s="43" customFormat="1" ht="15" customHeight="1" x14ac:dyDescent="0.3">
      <c r="A94" s="90" t="s">
        <v>46</v>
      </c>
      <c r="B94" s="77" t="s">
        <v>40</v>
      </c>
      <c r="C94" s="137"/>
      <c r="D94" s="90"/>
      <c r="E94" s="90"/>
      <c r="F94" s="136">
        <f>SUM(F93:F93)</f>
        <v>600</v>
      </c>
      <c r="G94" s="136"/>
      <c r="H94" s="136"/>
      <c r="I94" s="136"/>
      <c r="J94" s="136" t="s">
        <v>59</v>
      </c>
      <c r="K94" s="64" t="s">
        <v>245</v>
      </c>
      <c r="L94" s="136">
        <f>SUM(L93:L93)</f>
        <v>0</v>
      </c>
      <c r="M94" s="136">
        <f>SUM(M93:M93)</f>
        <v>640</v>
      </c>
      <c r="N94" s="90">
        <f>SUMIF(N93:N93,"&lt;0")</f>
        <v>0</v>
      </c>
      <c r="O94" s="136"/>
      <c r="P94" s="136">
        <f>SUM(P93:P93)</f>
        <v>0</v>
      </c>
      <c r="Q94" s="136">
        <f>SUM(Q93:Q93)</f>
        <v>0</v>
      </c>
      <c r="R94" s="136">
        <f>SUM(R93:R93)</f>
        <v>0</v>
      </c>
      <c r="S94" s="136">
        <f>SUM(S93:S93)</f>
        <v>0</v>
      </c>
      <c r="T94" s="136">
        <f>SUM(T93:T93)</f>
        <v>0</v>
      </c>
      <c r="U94" s="59">
        <f t="shared" si="149"/>
        <v>3</v>
      </c>
      <c r="V94" s="136">
        <f>SUM(V93:V93)</f>
        <v>0</v>
      </c>
      <c r="W94" s="136">
        <f>SUM(W93:W93)</f>
        <v>637</v>
      </c>
      <c r="X94" s="136">
        <f>SUM(X93:X93)</f>
        <v>-3</v>
      </c>
      <c r="Y94" s="136"/>
      <c r="Z94" s="136"/>
      <c r="AA94" s="136"/>
      <c r="AB94" s="84"/>
      <c r="AC94" s="136"/>
      <c r="AD94" s="136"/>
      <c r="AE94" s="100">
        <f t="shared" ref="AE94" si="181">N94/F94</f>
        <v>0</v>
      </c>
      <c r="AF94" s="90"/>
      <c r="AG94" s="109">
        <f t="shared" si="180"/>
        <v>0</v>
      </c>
      <c r="AH94" s="100">
        <f t="shared" ref="AH94" si="182">(S94-F94)/F94</f>
        <v>-1</v>
      </c>
      <c r="AI94" s="100">
        <f t="shared" ref="AI94" si="183">(W94-F94)/F94</f>
        <v>6.1666666666666668E-2</v>
      </c>
    </row>
    <row r="95" spans="1:35" s="50" customFormat="1" ht="17.25" customHeight="1" x14ac:dyDescent="0.3">
      <c r="A95" s="106"/>
      <c r="B95" s="107" t="s">
        <v>40</v>
      </c>
      <c r="C95" s="195" t="s">
        <v>908</v>
      </c>
      <c r="D95" s="313" t="s">
        <v>263</v>
      </c>
      <c r="E95" s="149" t="s">
        <v>810</v>
      </c>
      <c r="F95" s="195">
        <v>2500</v>
      </c>
      <c r="G95" s="106"/>
      <c r="H95" s="106"/>
      <c r="I95" s="106"/>
      <c r="J95" s="106"/>
      <c r="K95" s="106"/>
      <c r="L95" s="106"/>
      <c r="M95" s="106"/>
      <c r="N95" s="110">
        <f>M95-F95</f>
        <v>-2500</v>
      </c>
      <c r="O95" s="110"/>
      <c r="P95" s="106"/>
      <c r="Q95" s="106"/>
      <c r="R95" s="106"/>
      <c r="S95" s="106"/>
      <c r="T95" s="110">
        <f>S95-Q95</f>
        <v>0</v>
      </c>
      <c r="U95" s="59">
        <f t="shared" si="149"/>
        <v>0</v>
      </c>
      <c r="V95" s="106"/>
      <c r="W95" s="106"/>
      <c r="X95" s="110">
        <f>+W95-M95</f>
        <v>0</v>
      </c>
      <c r="Y95" s="110"/>
      <c r="Z95" s="110"/>
      <c r="AA95" s="110"/>
      <c r="AB95" s="106"/>
      <c r="AC95" s="106"/>
      <c r="AD95" s="106"/>
      <c r="AE95" s="100">
        <f>N95/F95</f>
        <v>-1</v>
      </c>
      <c r="AF95" s="90"/>
      <c r="AG95" s="109">
        <f t="shared" ref="AG95:AG97" si="184">IF(N95&lt;0,N95,0)</f>
        <v>-2500</v>
      </c>
      <c r="AH95" s="100">
        <f>(S95-F95)/F95</f>
        <v>-1</v>
      </c>
      <c r="AI95" s="100">
        <f>(W95-F95)/F95</f>
        <v>-1</v>
      </c>
    </row>
    <row r="96" spans="1:35" s="50" customFormat="1" ht="17.25" customHeight="1" x14ac:dyDescent="0.3">
      <c r="A96" s="106"/>
      <c r="B96" s="107" t="s">
        <v>40</v>
      </c>
      <c r="C96" s="266" t="s">
        <v>908</v>
      </c>
      <c r="D96" s="314"/>
      <c r="E96" s="149" t="s">
        <v>249</v>
      </c>
      <c r="F96" s="195">
        <v>800</v>
      </c>
      <c r="G96" s="106"/>
      <c r="H96" s="106"/>
      <c r="I96" s="106"/>
      <c r="J96" s="106"/>
      <c r="K96" s="106"/>
      <c r="L96" s="106"/>
      <c r="M96" s="106"/>
      <c r="N96" s="110">
        <f>M96-F96</f>
        <v>-800</v>
      </c>
      <c r="O96" s="110"/>
      <c r="P96" s="106"/>
      <c r="Q96" s="106"/>
      <c r="R96" s="106"/>
      <c r="S96" s="106"/>
      <c r="T96" s="110">
        <f>S96-Q96</f>
        <v>0</v>
      </c>
      <c r="U96" s="59">
        <f t="shared" si="149"/>
        <v>0</v>
      </c>
      <c r="V96" s="106"/>
      <c r="W96" s="106"/>
      <c r="X96" s="110">
        <f>+W96-M96</f>
        <v>0</v>
      </c>
      <c r="Y96" s="110"/>
      <c r="Z96" s="110"/>
      <c r="AA96" s="110"/>
      <c r="AB96" s="106"/>
      <c r="AC96" s="106"/>
      <c r="AD96" s="106"/>
      <c r="AE96" s="100">
        <f>N96/F96</f>
        <v>-1</v>
      </c>
      <c r="AF96" s="90"/>
      <c r="AG96" s="109">
        <f t="shared" ref="AG96" si="185">IF(N96&lt;0,N96,0)</f>
        <v>-800</v>
      </c>
      <c r="AH96" s="100">
        <f>(S96-F96)/F96</f>
        <v>-1</v>
      </c>
      <c r="AI96" s="100">
        <f>(W96-F96)/F96</f>
        <v>-1</v>
      </c>
    </row>
    <row r="97" spans="1:35" s="43" customFormat="1" ht="15" customHeight="1" x14ac:dyDescent="0.3">
      <c r="A97" s="90" t="s">
        <v>46</v>
      </c>
      <c r="B97" s="77" t="s">
        <v>40</v>
      </c>
      <c r="C97" s="137"/>
      <c r="D97" s="90"/>
      <c r="E97" s="90"/>
      <c r="F97" s="136">
        <f>SUM(F95:F96)</f>
        <v>3300</v>
      </c>
      <c r="G97" s="136"/>
      <c r="H97" s="136"/>
      <c r="I97" s="136"/>
      <c r="J97" s="136" t="s">
        <v>58</v>
      </c>
      <c r="K97" s="64" t="s">
        <v>482</v>
      </c>
      <c r="L97" s="136">
        <f>SUM(L95:L96)</f>
        <v>0</v>
      </c>
      <c r="M97" s="136">
        <f>SUM(M95:M96)</f>
        <v>0</v>
      </c>
      <c r="N97" s="90">
        <f>SUMIF(N95:N96,"&lt;0")</f>
        <v>-3300</v>
      </c>
      <c r="O97" s="136"/>
      <c r="P97" s="136">
        <f>SUM(P95:P96)</f>
        <v>0</v>
      </c>
      <c r="Q97" s="136">
        <f>SUM(Q95:Q96)</f>
        <v>0</v>
      </c>
      <c r="R97" s="136">
        <f>SUM(R95:R96)</f>
        <v>0</v>
      </c>
      <c r="S97" s="136">
        <f>SUM(S95:S96)</f>
        <v>0</v>
      </c>
      <c r="T97" s="136">
        <f>SUM(T95:T96)</f>
        <v>0</v>
      </c>
      <c r="U97" s="59">
        <f t="shared" si="149"/>
        <v>0</v>
      </c>
      <c r="V97" s="136">
        <f>SUM(V95:V96)</f>
        <v>0</v>
      </c>
      <c r="W97" s="136">
        <f>SUM(W95:W96)</f>
        <v>0</v>
      </c>
      <c r="X97" s="136">
        <f>SUM(X95:X96)</f>
        <v>0</v>
      </c>
      <c r="Y97" s="136"/>
      <c r="Z97" s="136"/>
      <c r="AA97" s="136"/>
      <c r="AB97" s="84"/>
      <c r="AC97" s="136"/>
      <c r="AD97" s="136"/>
      <c r="AE97" s="100">
        <f t="shared" ref="AE97" si="186">N97/F97</f>
        <v>-1</v>
      </c>
      <c r="AF97" s="90"/>
      <c r="AG97" s="109">
        <f t="shared" si="184"/>
        <v>-3300</v>
      </c>
      <c r="AH97" s="100">
        <f t="shared" ref="AH97" si="187">(S97-F97)/F97</f>
        <v>-1</v>
      </c>
      <c r="AI97" s="100">
        <f t="shared" ref="AI97" si="188">(W97-F97)/F97</f>
        <v>-1</v>
      </c>
    </row>
    <row r="98" spans="1:35" s="50" customFormat="1" ht="17.25" customHeight="1" x14ac:dyDescent="0.3">
      <c r="A98" s="106"/>
      <c r="B98" s="107" t="s">
        <v>40</v>
      </c>
      <c r="C98" s="266" t="s">
        <v>910</v>
      </c>
      <c r="D98" s="313" t="s">
        <v>263</v>
      </c>
      <c r="E98" s="149" t="s">
        <v>810</v>
      </c>
      <c r="F98" s="205">
        <v>4500</v>
      </c>
      <c r="G98" s="106"/>
      <c r="H98" s="106"/>
      <c r="I98" s="106"/>
      <c r="J98" s="106"/>
      <c r="K98" s="106"/>
      <c r="L98" s="106"/>
      <c r="M98" s="106"/>
      <c r="N98" s="110">
        <f>M98-F98</f>
        <v>-4500</v>
      </c>
      <c r="O98" s="110"/>
      <c r="P98" s="106"/>
      <c r="Q98" s="106"/>
      <c r="R98" s="106"/>
      <c r="S98" s="106"/>
      <c r="T98" s="110">
        <f>S98-Q98</f>
        <v>0</v>
      </c>
      <c r="U98" s="59">
        <f t="shared" si="149"/>
        <v>0</v>
      </c>
      <c r="V98" s="106"/>
      <c r="W98" s="106"/>
      <c r="X98" s="110">
        <f>+W98-M98</f>
        <v>0</v>
      </c>
      <c r="Y98" s="110"/>
      <c r="Z98" s="110"/>
      <c r="AA98" s="110"/>
      <c r="AB98" s="106"/>
      <c r="AC98" s="106"/>
      <c r="AD98" s="106"/>
      <c r="AE98" s="100">
        <f>N98/F98</f>
        <v>-1</v>
      </c>
      <c r="AF98" s="90"/>
      <c r="AG98" s="109">
        <f t="shared" ref="AG98:AG122" si="189">IF(N98&lt;0,N98,0)</f>
        <v>-4500</v>
      </c>
      <c r="AH98" s="100">
        <f>(S98-F98)/F98</f>
        <v>-1</v>
      </c>
      <c r="AI98" s="100">
        <f>(W98-F98)/F98</f>
        <v>-1</v>
      </c>
    </row>
    <row r="99" spans="1:35" s="50" customFormat="1" ht="17.25" customHeight="1" x14ac:dyDescent="0.3">
      <c r="A99" s="106"/>
      <c r="B99" s="107" t="s">
        <v>40</v>
      </c>
      <c r="C99" s="266" t="s">
        <v>910</v>
      </c>
      <c r="D99" s="314"/>
      <c r="E99" s="149" t="s">
        <v>0</v>
      </c>
      <c r="F99" s="205">
        <v>2500</v>
      </c>
      <c r="G99" s="106"/>
      <c r="H99" s="106"/>
      <c r="I99" s="106"/>
      <c r="J99" s="106"/>
      <c r="K99" s="106"/>
      <c r="L99" s="106"/>
      <c r="M99" s="106"/>
      <c r="N99" s="110">
        <f>M99-F99</f>
        <v>-2500</v>
      </c>
      <c r="O99" s="110"/>
      <c r="P99" s="106"/>
      <c r="Q99" s="106"/>
      <c r="R99" s="106"/>
      <c r="S99" s="106"/>
      <c r="T99" s="110">
        <f>S99-Q99</f>
        <v>0</v>
      </c>
      <c r="U99" s="59">
        <f t="shared" si="149"/>
        <v>0</v>
      </c>
      <c r="V99" s="106"/>
      <c r="W99" s="106"/>
      <c r="X99" s="110">
        <f>+W99-M99</f>
        <v>0</v>
      </c>
      <c r="Y99" s="110"/>
      <c r="Z99" s="110"/>
      <c r="AA99" s="110"/>
      <c r="AB99" s="106"/>
      <c r="AC99" s="106"/>
      <c r="AD99" s="106"/>
      <c r="AE99" s="100">
        <f>N99/F99</f>
        <v>-1</v>
      </c>
      <c r="AF99" s="90"/>
      <c r="AG99" s="109">
        <f t="shared" si="189"/>
        <v>-2500</v>
      </c>
      <c r="AH99" s="100">
        <f>(S99-F99)/F99</f>
        <v>-1</v>
      </c>
      <c r="AI99" s="100">
        <f>(W99-F99)/F99</f>
        <v>-1</v>
      </c>
    </row>
    <row r="100" spans="1:35" s="43" customFormat="1" ht="15" customHeight="1" x14ac:dyDescent="0.3">
      <c r="A100" s="90" t="s">
        <v>46</v>
      </c>
      <c r="B100" s="77" t="s">
        <v>40</v>
      </c>
      <c r="C100" s="137"/>
      <c r="D100" s="90"/>
      <c r="E100" s="90"/>
      <c r="F100" s="136">
        <f>SUM(F98:F99)</f>
        <v>7000</v>
      </c>
      <c r="G100" s="136"/>
      <c r="H100" s="136"/>
      <c r="I100" s="136"/>
      <c r="J100" s="136" t="s">
        <v>58</v>
      </c>
      <c r="K100" s="64" t="s">
        <v>909</v>
      </c>
      <c r="L100" s="136">
        <f>SUM(L98:L99)</f>
        <v>0</v>
      </c>
      <c r="M100" s="136">
        <f>SUM(M98:M99)</f>
        <v>0</v>
      </c>
      <c r="N100" s="90">
        <f>SUMIF(N98:N99,"&lt;0")</f>
        <v>-7000</v>
      </c>
      <c r="O100" s="136"/>
      <c r="P100" s="136">
        <f>SUM(P98:P99)</f>
        <v>0</v>
      </c>
      <c r="Q100" s="136">
        <f>SUM(Q98:Q99)</f>
        <v>0</v>
      </c>
      <c r="R100" s="136">
        <f>SUM(R98:R99)</f>
        <v>0</v>
      </c>
      <c r="S100" s="136">
        <f>SUM(S98:S99)</f>
        <v>0</v>
      </c>
      <c r="T100" s="136">
        <f>SUM(T98:T99)</f>
        <v>0</v>
      </c>
      <c r="U100" s="59">
        <f t="shared" si="149"/>
        <v>0</v>
      </c>
      <c r="V100" s="136">
        <f>SUM(V98:V99)</f>
        <v>0</v>
      </c>
      <c r="W100" s="136">
        <f>SUM(W98:W99)</f>
        <v>0</v>
      </c>
      <c r="X100" s="136">
        <f>SUM(X98:X99)</f>
        <v>0</v>
      </c>
      <c r="Y100" s="136"/>
      <c r="Z100" s="136"/>
      <c r="AA100" s="136"/>
      <c r="AB100" s="84"/>
      <c r="AC100" s="136"/>
      <c r="AD100" s="136"/>
      <c r="AE100" s="100">
        <f t="shared" ref="AE100" si="190">N100/F100</f>
        <v>-1</v>
      </c>
      <c r="AF100" s="90"/>
      <c r="AG100" s="109">
        <f t="shared" si="189"/>
        <v>-7000</v>
      </c>
      <c r="AH100" s="100">
        <f t="shared" ref="AH100" si="191">(S100-F100)/F100</f>
        <v>-1</v>
      </c>
      <c r="AI100" s="100">
        <f t="shared" ref="AI100" si="192">(W100-F100)/F100</f>
        <v>-1</v>
      </c>
    </row>
    <row r="101" spans="1:35" s="50" customFormat="1" ht="17.25" customHeight="1" x14ac:dyDescent="0.3">
      <c r="A101" s="106"/>
      <c r="B101" s="107" t="s">
        <v>40</v>
      </c>
      <c r="C101" s="195" t="s">
        <v>384</v>
      </c>
      <c r="D101" s="313" t="s">
        <v>177</v>
      </c>
      <c r="E101" s="149" t="s">
        <v>0</v>
      </c>
      <c r="F101" s="195">
        <v>700</v>
      </c>
      <c r="G101" s="106"/>
      <c r="H101" s="106"/>
      <c r="I101" s="106"/>
      <c r="J101" s="106"/>
      <c r="K101" s="106"/>
      <c r="L101" s="106"/>
      <c r="M101" s="106"/>
      <c r="N101" s="110">
        <f>M101-F101</f>
        <v>-700</v>
      </c>
      <c r="O101" s="110"/>
      <c r="P101" s="106"/>
      <c r="Q101" s="106"/>
      <c r="R101" s="106"/>
      <c r="S101" s="106"/>
      <c r="T101" s="110">
        <f>S101-Q101</f>
        <v>0</v>
      </c>
      <c r="U101" s="59">
        <f t="shared" si="149"/>
        <v>0</v>
      </c>
      <c r="V101" s="106"/>
      <c r="W101" s="106"/>
      <c r="X101" s="110">
        <f>+W101-M101</f>
        <v>0</v>
      </c>
      <c r="Y101" s="110"/>
      <c r="Z101" s="110"/>
      <c r="AA101" s="110"/>
      <c r="AB101" s="106"/>
      <c r="AC101" s="106"/>
      <c r="AD101" s="106"/>
      <c r="AE101" s="100">
        <f>N101/F101</f>
        <v>-1</v>
      </c>
      <c r="AF101" s="90"/>
      <c r="AG101" s="109">
        <f t="shared" ref="AG101:AG116" si="193">IF(N101&lt;0,N101,0)</f>
        <v>-700</v>
      </c>
      <c r="AH101" s="100">
        <f>(S101-F101)/F101</f>
        <v>-1</v>
      </c>
      <c r="AI101" s="100">
        <f>(W101-F101)/F101</f>
        <v>-1</v>
      </c>
    </row>
    <row r="102" spans="1:35" s="50" customFormat="1" ht="17.25" customHeight="1" x14ac:dyDescent="0.3">
      <c r="A102" s="106"/>
      <c r="B102" s="107" t="s">
        <v>40</v>
      </c>
      <c r="C102" s="222" t="s">
        <v>384</v>
      </c>
      <c r="D102" s="314"/>
      <c r="E102" s="149" t="s">
        <v>385</v>
      </c>
      <c r="F102" s="195">
        <v>700</v>
      </c>
      <c r="G102" s="106"/>
      <c r="H102" s="106"/>
      <c r="I102" s="106"/>
      <c r="J102" s="106"/>
      <c r="K102" s="106"/>
      <c r="L102" s="106"/>
      <c r="M102" s="106"/>
      <c r="N102" s="110">
        <f>M102-F102</f>
        <v>-700</v>
      </c>
      <c r="O102" s="110"/>
      <c r="P102" s="106"/>
      <c r="Q102" s="106"/>
      <c r="R102" s="106"/>
      <c r="S102" s="106"/>
      <c r="T102" s="110">
        <f>S102-Q102</f>
        <v>0</v>
      </c>
      <c r="U102" s="59">
        <f t="shared" si="149"/>
        <v>0</v>
      </c>
      <c r="V102" s="106"/>
      <c r="W102" s="106"/>
      <c r="X102" s="110">
        <f>+W102-M102</f>
        <v>0</v>
      </c>
      <c r="Y102" s="110"/>
      <c r="Z102" s="110"/>
      <c r="AA102" s="110"/>
      <c r="AB102" s="106"/>
      <c r="AC102" s="106"/>
      <c r="AD102" s="106"/>
      <c r="AE102" s="100">
        <f>N102/F102</f>
        <v>-1</v>
      </c>
      <c r="AF102" s="90"/>
      <c r="AG102" s="109">
        <f t="shared" si="193"/>
        <v>-700</v>
      </c>
      <c r="AH102" s="100">
        <f>(S102-F102)/F102</f>
        <v>-1</v>
      </c>
      <c r="AI102" s="100">
        <f>(W102-F102)/F102</f>
        <v>-1</v>
      </c>
    </row>
    <row r="103" spans="1:35" s="43" customFormat="1" ht="15" customHeight="1" x14ac:dyDescent="0.3">
      <c r="A103" s="90" t="s">
        <v>46</v>
      </c>
      <c r="B103" s="77" t="s">
        <v>40</v>
      </c>
      <c r="C103" s="137"/>
      <c r="D103" s="90"/>
      <c r="E103" s="90"/>
      <c r="F103" s="136">
        <f>SUM(F101:F102)</f>
        <v>1400</v>
      </c>
      <c r="G103" s="136"/>
      <c r="H103" s="136"/>
      <c r="I103" s="136"/>
      <c r="J103" s="136" t="s">
        <v>60</v>
      </c>
      <c r="K103" s="64" t="s">
        <v>687</v>
      </c>
      <c r="L103" s="136">
        <f>SUM(L101:L102)</f>
        <v>0</v>
      </c>
      <c r="M103" s="136">
        <f>SUM(M101:M102)</f>
        <v>0</v>
      </c>
      <c r="N103" s="90">
        <f>SUMIF(N101:N102,"&lt;0")</f>
        <v>-1400</v>
      </c>
      <c r="O103" s="136"/>
      <c r="P103" s="136">
        <f>SUM(P101:P102)</f>
        <v>0</v>
      </c>
      <c r="Q103" s="136">
        <f>SUM(Q101:Q102)</f>
        <v>0</v>
      </c>
      <c r="R103" s="136">
        <f>SUM(R101:R102)</f>
        <v>0</v>
      </c>
      <c r="S103" s="136">
        <f>SUM(S101:S102)</f>
        <v>0</v>
      </c>
      <c r="T103" s="136">
        <f>SUM(T101:T102)</f>
        <v>0</v>
      </c>
      <c r="U103" s="59">
        <f t="shared" si="149"/>
        <v>0</v>
      </c>
      <c r="V103" s="136">
        <f>SUM(V101:V102)</f>
        <v>0</v>
      </c>
      <c r="W103" s="136">
        <f>SUM(W101:W102)</f>
        <v>0</v>
      </c>
      <c r="X103" s="136">
        <f>SUM(X101:X102)</f>
        <v>0</v>
      </c>
      <c r="Y103" s="136"/>
      <c r="Z103" s="136"/>
      <c r="AA103" s="136"/>
      <c r="AB103" s="84"/>
      <c r="AC103" s="136"/>
      <c r="AD103" s="136"/>
      <c r="AE103" s="100">
        <f t="shared" ref="AE103" si="194">N103/F103</f>
        <v>-1</v>
      </c>
      <c r="AF103" s="90"/>
      <c r="AG103" s="109">
        <f t="shared" si="193"/>
        <v>-1400</v>
      </c>
      <c r="AH103" s="100">
        <f t="shared" ref="AH103" si="195">(S103-F103)/F103</f>
        <v>-1</v>
      </c>
      <c r="AI103" s="100">
        <f t="shared" ref="AI103" si="196">(W103-F103)/F103</f>
        <v>-1</v>
      </c>
    </row>
    <row r="104" spans="1:35" s="50" customFormat="1" ht="17.25" customHeight="1" x14ac:dyDescent="0.3">
      <c r="A104" s="106"/>
      <c r="B104" s="107" t="s">
        <v>40</v>
      </c>
      <c r="C104" s="225" t="s">
        <v>1049</v>
      </c>
      <c r="D104" s="275" t="s">
        <v>1050</v>
      </c>
      <c r="E104" s="149" t="s">
        <v>5</v>
      </c>
      <c r="F104" s="225">
        <v>5000</v>
      </c>
      <c r="G104" s="106"/>
      <c r="H104" s="106"/>
      <c r="I104" s="106"/>
      <c r="J104" s="106"/>
      <c r="K104" s="106"/>
      <c r="L104" s="106"/>
      <c r="M104" s="106"/>
      <c r="N104" s="110">
        <f>M104-F104</f>
        <v>-5000</v>
      </c>
      <c r="O104" s="110"/>
      <c r="P104" s="106"/>
      <c r="Q104" s="106"/>
      <c r="R104" s="106"/>
      <c r="S104" s="106"/>
      <c r="T104" s="110">
        <f>S104-Q104</f>
        <v>0</v>
      </c>
      <c r="U104" s="59">
        <f t="shared" ref="U104:U116" si="197">IF(Q104&gt;0,S104-W104,M104-W104)</f>
        <v>0</v>
      </c>
      <c r="V104" s="106"/>
      <c r="W104" s="106"/>
      <c r="X104" s="110">
        <f>+W104-M104</f>
        <v>0</v>
      </c>
      <c r="Y104" s="110"/>
      <c r="Z104" s="110"/>
      <c r="AA104" s="110"/>
      <c r="AB104" s="106"/>
      <c r="AC104" s="106"/>
      <c r="AD104" s="106"/>
      <c r="AE104" s="100">
        <f>N104/F104</f>
        <v>-1</v>
      </c>
      <c r="AF104" s="90"/>
      <c r="AG104" s="109">
        <f t="shared" si="193"/>
        <v>-5000</v>
      </c>
      <c r="AH104" s="100">
        <f>(S104-F104)/F104</f>
        <v>-1</v>
      </c>
      <c r="AI104" s="100">
        <f>(W104-F104)/F104</f>
        <v>-1</v>
      </c>
    </row>
    <row r="105" spans="1:35" s="43" customFormat="1" ht="15" customHeight="1" x14ac:dyDescent="0.3">
      <c r="A105" s="90" t="s">
        <v>46</v>
      </c>
      <c r="B105" s="77" t="s">
        <v>40</v>
      </c>
      <c r="C105" s="137"/>
      <c r="D105" s="90"/>
      <c r="E105" s="90"/>
      <c r="F105" s="136">
        <f>SUM(F104:F104)</f>
        <v>5000</v>
      </c>
      <c r="G105" s="136"/>
      <c r="H105" s="136"/>
      <c r="I105" s="136"/>
      <c r="J105" s="136" t="s">
        <v>58</v>
      </c>
      <c r="K105" s="64" t="s">
        <v>687</v>
      </c>
      <c r="L105" s="136">
        <f>SUM(L104:L104)</f>
        <v>0</v>
      </c>
      <c r="M105" s="136">
        <f>SUM(M104:M104)</f>
        <v>0</v>
      </c>
      <c r="N105" s="90">
        <f>SUMIF(N104:N104,"&lt;0")</f>
        <v>-5000</v>
      </c>
      <c r="O105" s="136"/>
      <c r="P105" s="136">
        <f>SUM(P104:P104)</f>
        <v>0</v>
      </c>
      <c r="Q105" s="136">
        <f>SUM(Q104:Q104)</f>
        <v>0</v>
      </c>
      <c r="R105" s="136">
        <f>SUM(R104:R104)</f>
        <v>0</v>
      </c>
      <c r="S105" s="136">
        <f>SUM(S104:S104)</f>
        <v>0</v>
      </c>
      <c r="T105" s="136">
        <f>SUM(T104:T104)</f>
        <v>0</v>
      </c>
      <c r="U105" s="59">
        <f t="shared" si="197"/>
        <v>0</v>
      </c>
      <c r="V105" s="136">
        <f>SUM(V104:V104)</f>
        <v>0</v>
      </c>
      <c r="W105" s="136">
        <f>SUM(W104:W104)</f>
        <v>0</v>
      </c>
      <c r="X105" s="136">
        <f>SUM(X104:X104)</f>
        <v>0</v>
      </c>
      <c r="Y105" s="136"/>
      <c r="Z105" s="136"/>
      <c r="AA105" s="136"/>
      <c r="AB105" s="84"/>
      <c r="AC105" s="136"/>
      <c r="AD105" s="136"/>
      <c r="AE105" s="100">
        <f t="shared" ref="AE105" si="198">N105/F105</f>
        <v>-1</v>
      </c>
      <c r="AF105" s="90"/>
      <c r="AG105" s="109">
        <f t="shared" si="193"/>
        <v>-5000</v>
      </c>
      <c r="AH105" s="100">
        <f t="shared" ref="AH105" si="199">(S105-F105)/F105</f>
        <v>-1</v>
      </c>
      <c r="AI105" s="100">
        <f t="shared" ref="AI105" si="200">(W105-F105)/F105</f>
        <v>-1</v>
      </c>
    </row>
    <row r="106" spans="1:35" s="50" customFormat="1" ht="17.25" customHeight="1" x14ac:dyDescent="0.3">
      <c r="A106" s="106"/>
      <c r="B106" s="107" t="s">
        <v>40</v>
      </c>
      <c r="C106" s="225" t="s">
        <v>1048</v>
      </c>
      <c r="D106" s="313" t="s">
        <v>172</v>
      </c>
      <c r="E106" s="149" t="s">
        <v>148</v>
      </c>
      <c r="F106" s="225">
        <v>1000</v>
      </c>
      <c r="G106" s="106"/>
      <c r="H106" s="106"/>
      <c r="I106" s="106"/>
      <c r="J106" s="106"/>
      <c r="K106" s="106"/>
      <c r="L106" s="106"/>
      <c r="M106" s="106"/>
      <c r="N106" s="110">
        <f>M106-F106</f>
        <v>-1000</v>
      </c>
      <c r="O106" s="110"/>
      <c r="P106" s="106"/>
      <c r="Q106" s="106"/>
      <c r="R106" s="106"/>
      <c r="S106" s="106"/>
      <c r="T106" s="110">
        <f>S106-Q106</f>
        <v>0</v>
      </c>
      <c r="U106" s="59">
        <f t="shared" ref="U106:U109" si="201">IF(Q106&gt;0,S106-W106,M106-W106)</f>
        <v>0</v>
      </c>
      <c r="V106" s="106"/>
      <c r="W106" s="106"/>
      <c r="X106" s="110">
        <f>+W106-M106</f>
        <v>0</v>
      </c>
      <c r="Y106" s="110"/>
      <c r="Z106" s="110"/>
      <c r="AA106" s="110"/>
      <c r="AB106" s="106"/>
      <c r="AC106" s="106"/>
      <c r="AD106" s="106"/>
      <c r="AE106" s="100">
        <f>N106/F106</f>
        <v>-1</v>
      </c>
      <c r="AF106" s="90"/>
      <c r="AG106" s="109">
        <f t="shared" ref="AG106:AG109" si="202">IF(N106&lt;0,N106,0)</f>
        <v>-1000</v>
      </c>
      <c r="AH106" s="100">
        <f>(S106-F106)/F106</f>
        <v>-1</v>
      </c>
      <c r="AI106" s="100">
        <f>(W106-F106)/F106</f>
        <v>-1</v>
      </c>
    </row>
    <row r="107" spans="1:35" s="50" customFormat="1" ht="17.25" customHeight="1" x14ac:dyDescent="0.3">
      <c r="A107" s="106"/>
      <c r="B107" s="107" t="s">
        <v>40</v>
      </c>
      <c r="C107" s="276" t="s">
        <v>1048</v>
      </c>
      <c r="D107" s="314"/>
      <c r="E107" s="149" t="s">
        <v>114</v>
      </c>
      <c r="F107" s="276">
        <v>1000</v>
      </c>
      <c r="G107" s="106"/>
      <c r="H107" s="106"/>
      <c r="I107" s="106"/>
      <c r="J107" s="106"/>
      <c r="K107" s="106"/>
      <c r="L107" s="106"/>
      <c r="M107" s="106"/>
      <c r="N107" s="110">
        <f>M107-F107</f>
        <v>-1000</v>
      </c>
      <c r="O107" s="110"/>
      <c r="P107" s="106"/>
      <c r="Q107" s="106"/>
      <c r="R107" s="106"/>
      <c r="S107" s="106"/>
      <c r="T107" s="110">
        <f>S107-Q107</f>
        <v>0</v>
      </c>
      <c r="U107" s="59">
        <f t="shared" ref="U107" si="203">IF(Q107&gt;0,S107-W107,M107-W107)</f>
        <v>0</v>
      </c>
      <c r="V107" s="106"/>
      <c r="W107" s="106"/>
      <c r="X107" s="110">
        <f>+W107-M107</f>
        <v>0</v>
      </c>
      <c r="Y107" s="110"/>
      <c r="Z107" s="110"/>
      <c r="AA107" s="110"/>
      <c r="AB107" s="106"/>
      <c r="AC107" s="106"/>
      <c r="AD107" s="106"/>
      <c r="AE107" s="100">
        <f>N107/F107</f>
        <v>-1</v>
      </c>
      <c r="AF107" s="90"/>
      <c r="AG107" s="109">
        <f t="shared" ref="AG107" si="204">IF(N107&lt;0,N107,0)</f>
        <v>-1000</v>
      </c>
      <c r="AH107" s="100">
        <f>(S107-F107)/F107</f>
        <v>-1</v>
      </c>
      <c r="AI107" s="100">
        <f>(W107-F107)/F107</f>
        <v>-1</v>
      </c>
    </row>
    <row r="108" spans="1:35" s="50" customFormat="1" ht="17.25" customHeight="1" x14ac:dyDescent="0.3">
      <c r="A108" s="106"/>
      <c r="B108" s="107" t="s">
        <v>40</v>
      </c>
      <c r="C108" s="276" t="s">
        <v>1048</v>
      </c>
      <c r="D108" s="314"/>
      <c r="E108" s="149" t="s">
        <v>41</v>
      </c>
      <c r="F108" s="225">
        <v>1000</v>
      </c>
      <c r="G108" s="106"/>
      <c r="H108" s="106"/>
      <c r="I108" s="106"/>
      <c r="J108" s="106"/>
      <c r="K108" s="106"/>
      <c r="L108" s="106"/>
      <c r="M108" s="106"/>
      <c r="N108" s="110">
        <f>M108-F108</f>
        <v>-1000</v>
      </c>
      <c r="O108" s="110"/>
      <c r="P108" s="106"/>
      <c r="Q108" s="106"/>
      <c r="R108" s="106"/>
      <c r="S108" s="106"/>
      <c r="T108" s="110">
        <f>S108-Q108</f>
        <v>0</v>
      </c>
      <c r="U108" s="59">
        <f t="shared" si="201"/>
        <v>0</v>
      </c>
      <c r="V108" s="106"/>
      <c r="W108" s="106"/>
      <c r="X108" s="110">
        <f>+W108-M108</f>
        <v>0</v>
      </c>
      <c r="Y108" s="110"/>
      <c r="Z108" s="110"/>
      <c r="AA108" s="110"/>
      <c r="AB108" s="106"/>
      <c r="AC108" s="106"/>
      <c r="AD108" s="106"/>
      <c r="AE108" s="100">
        <f>N108/F108</f>
        <v>-1</v>
      </c>
      <c r="AF108" s="90"/>
      <c r="AG108" s="109">
        <f t="shared" si="202"/>
        <v>-1000</v>
      </c>
      <c r="AH108" s="100">
        <f>(S108-F108)/F108</f>
        <v>-1</v>
      </c>
      <c r="AI108" s="100">
        <f>(W108-F108)/F108</f>
        <v>-1</v>
      </c>
    </row>
    <row r="109" spans="1:35" s="43" customFormat="1" ht="15" customHeight="1" x14ac:dyDescent="0.3">
      <c r="A109" s="90" t="s">
        <v>46</v>
      </c>
      <c r="B109" s="77" t="s">
        <v>40</v>
      </c>
      <c r="C109" s="137"/>
      <c r="D109" s="90"/>
      <c r="E109" s="90"/>
      <c r="F109" s="136">
        <f>SUM(F106:F108)</f>
        <v>3000</v>
      </c>
      <c r="G109" s="136"/>
      <c r="H109" s="136"/>
      <c r="I109" s="136"/>
      <c r="J109" s="136" t="s">
        <v>58</v>
      </c>
      <c r="K109" s="64" t="s">
        <v>609</v>
      </c>
      <c r="L109" s="136">
        <f>SUM(L106:L108)</f>
        <v>0</v>
      </c>
      <c r="M109" s="136">
        <f>SUM(M106:M108)</f>
        <v>0</v>
      </c>
      <c r="N109" s="90">
        <f>SUMIF(N106:N108,"&lt;0")</f>
        <v>-3000</v>
      </c>
      <c r="O109" s="136"/>
      <c r="P109" s="136">
        <f>SUM(P106:P108)</f>
        <v>0</v>
      </c>
      <c r="Q109" s="136">
        <f>SUM(Q106:Q108)</f>
        <v>0</v>
      </c>
      <c r="R109" s="136">
        <f>SUM(R106:R108)</f>
        <v>0</v>
      </c>
      <c r="S109" s="136">
        <f>SUM(S106:S108)</f>
        <v>0</v>
      </c>
      <c r="T109" s="136">
        <f>SUM(T106:T108)</f>
        <v>0</v>
      </c>
      <c r="U109" s="59">
        <f t="shared" si="201"/>
        <v>0</v>
      </c>
      <c r="V109" s="136">
        <f>SUM(V106:V108)</f>
        <v>0</v>
      </c>
      <c r="W109" s="136">
        <f>SUM(W106:W108)</f>
        <v>0</v>
      </c>
      <c r="X109" s="136">
        <f>SUM(X106:X108)</f>
        <v>0</v>
      </c>
      <c r="Y109" s="136"/>
      <c r="Z109" s="136"/>
      <c r="AA109" s="136"/>
      <c r="AB109" s="84"/>
      <c r="AC109" s="136"/>
      <c r="AD109" s="136"/>
      <c r="AE109" s="100">
        <f t="shared" ref="AE109" si="205">N109/F109</f>
        <v>-1</v>
      </c>
      <c r="AF109" s="90"/>
      <c r="AG109" s="109">
        <f t="shared" si="202"/>
        <v>-3000</v>
      </c>
      <c r="AH109" s="100">
        <f t="shared" ref="AH109" si="206">(S109-F109)/F109</f>
        <v>-1</v>
      </c>
      <c r="AI109" s="100">
        <f t="shared" ref="AI109" si="207">(W109-F109)/F109</f>
        <v>-1</v>
      </c>
    </row>
    <row r="110" spans="1:35" s="50" customFormat="1" ht="17.25" customHeight="1" x14ac:dyDescent="0.3">
      <c r="A110" s="106"/>
      <c r="B110" s="107" t="s">
        <v>40</v>
      </c>
      <c r="C110" s="225" t="s">
        <v>396</v>
      </c>
      <c r="D110" s="313" t="s">
        <v>194</v>
      </c>
      <c r="E110" s="149" t="s">
        <v>114</v>
      </c>
      <c r="F110" s="225">
        <f>1200+1000</f>
        <v>2200</v>
      </c>
      <c r="G110" s="106"/>
      <c r="H110" s="106"/>
      <c r="I110" s="106"/>
      <c r="J110" s="106"/>
      <c r="K110" s="106"/>
      <c r="L110" s="106"/>
      <c r="M110" s="106">
        <f>1461+792</f>
        <v>2253</v>
      </c>
      <c r="N110" s="110">
        <f t="shared" ref="N110:N115" si="208">M110-F110</f>
        <v>53</v>
      </c>
      <c r="O110" s="110"/>
      <c r="P110" s="106"/>
      <c r="Q110" s="106"/>
      <c r="R110" s="106"/>
      <c r="S110" s="106"/>
      <c r="T110" s="110">
        <f t="shared" ref="T110:T115" si="209">S110-Q110</f>
        <v>0</v>
      </c>
      <c r="U110" s="59">
        <f t="shared" si="197"/>
        <v>0</v>
      </c>
      <c r="V110" s="106"/>
      <c r="W110" s="106">
        <v>2253</v>
      </c>
      <c r="X110" s="110">
        <f t="shared" ref="X110:X115" si="210">+W110-M110</f>
        <v>0</v>
      </c>
      <c r="Y110" s="110"/>
      <c r="Z110" s="110"/>
      <c r="AA110" s="110"/>
      <c r="AB110" s="106"/>
      <c r="AC110" s="106"/>
      <c r="AD110" s="106"/>
      <c r="AE110" s="100">
        <f t="shared" ref="AE110:AE115" si="211">N110/F110</f>
        <v>2.409090909090909E-2</v>
      </c>
      <c r="AF110" s="90"/>
      <c r="AG110" s="109">
        <f t="shared" si="193"/>
        <v>0</v>
      </c>
      <c r="AH110" s="100">
        <f t="shared" ref="AH110:AH115" si="212">(S110-F110)/F110</f>
        <v>-1</v>
      </c>
      <c r="AI110" s="100">
        <f t="shared" ref="AI110:AI115" si="213">(W110-F110)/F110</f>
        <v>2.409090909090909E-2</v>
      </c>
    </row>
    <row r="111" spans="1:35" s="50" customFormat="1" ht="17.25" customHeight="1" x14ac:dyDescent="0.3">
      <c r="A111" s="106"/>
      <c r="B111" s="107" t="s">
        <v>40</v>
      </c>
      <c r="C111" s="225" t="s">
        <v>396</v>
      </c>
      <c r="D111" s="314"/>
      <c r="E111" s="149" t="s">
        <v>322</v>
      </c>
      <c r="F111" s="225">
        <v>1200</v>
      </c>
      <c r="G111" s="106"/>
      <c r="H111" s="106"/>
      <c r="I111" s="106"/>
      <c r="J111" s="106"/>
      <c r="K111" s="106"/>
      <c r="L111" s="106"/>
      <c r="M111" s="106">
        <f>896+371</f>
        <v>1267</v>
      </c>
      <c r="N111" s="110">
        <f t="shared" si="208"/>
        <v>67</v>
      </c>
      <c r="O111" s="110"/>
      <c r="P111" s="106"/>
      <c r="Q111" s="106"/>
      <c r="R111" s="106"/>
      <c r="S111" s="106"/>
      <c r="T111" s="110">
        <f t="shared" si="209"/>
        <v>0</v>
      </c>
      <c r="U111" s="59">
        <f t="shared" si="197"/>
        <v>0</v>
      </c>
      <c r="V111" s="106"/>
      <c r="W111" s="106">
        <v>1267</v>
      </c>
      <c r="X111" s="110">
        <f t="shared" si="210"/>
        <v>0</v>
      </c>
      <c r="Y111" s="110"/>
      <c r="Z111" s="110"/>
      <c r="AA111" s="110"/>
      <c r="AB111" s="106"/>
      <c r="AC111" s="106"/>
      <c r="AD111" s="106"/>
      <c r="AE111" s="100">
        <f t="shared" si="211"/>
        <v>5.5833333333333332E-2</v>
      </c>
      <c r="AF111" s="90"/>
      <c r="AG111" s="109">
        <f t="shared" si="193"/>
        <v>0</v>
      </c>
      <c r="AH111" s="100">
        <f t="shared" si="212"/>
        <v>-1</v>
      </c>
      <c r="AI111" s="100">
        <f t="shared" si="213"/>
        <v>5.5833333333333332E-2</v>
      </c>
    </row>
    <row r="112" spans="1:35" s="50" customFormat="1" ht="17.25" customHeight="1" x14ac:dyDescent="0.3">
      <c r="A112" s="106"/>
      <c r="B112" s="107" t="s">
        <v>40</v>
      </c>
      <c r="C112" s="225" t="s">
        <v>396</v>
      </c>
      <c r="D112" s="314"/>
      <c r="E112" s="149" t="s">
        <v>124</v>
      </c>
      <c r="F112" s="225">
        <v>1000</v>
      </c>
      <c r="G112" s="106"/>
      <c r="H112" s="106"/>
      <c r="I112" s="106"/>
      <c r="J112" s="106"/>
      <c r="K112" s="106"/>
      <c r="L112" s="106"/>
      <c r="M112" s="106">
        <v>1064</v>
      </c>
      <c r="N112" s="110">
        <f t="shared" si="208"/>
        <v>64</v>
      </c>
      <c r="O112" s="110"/>
      <c r="P112" s="106"/>
      <c r="Q112" s="106"/>
      <c r="R112" s="106"/>
      <c r="S112" s="106"/>
      <c r="T112" s="110">
        <f t="shared" si="209"/>
        <v>0</v>
      </c>
      <c r="U112" s="59">
        <f t="shared" ref="U112:U114" si="214">IF(Q112&gt;0,S112-W112,M112-W112)</f>
        <v>0</v>
      </c>
      <c r="V112" s="106"/>
      <c r="W112" s="106">
        <v>1064</v>
      </c>
      <c r="X112" s="110">
        <f t="shared" si="210"/>
        <v>0</v>
      </c>
      <c r="Y112" s="110"/>
      <c r="Z112" s="110"/>
      <c r="AA112" s="110"/>
      <c r="AB112" s="106"/>
      <c r="AC112" s="106"/>
      <c r="AD112" s="106"/>
      <c r="AE112" s="100">
        <f t="shared" si="211"/>
        <v>6.4000000000000001E-2</v>
      </c>
      <c r="AF112" s="90"/>
      <c r="AG112" s="109">
        <f t="shared" ref="AG112:AG114" si="215">IF(N112&lt;0,N112,0)</f>
        <v>0</v>
      </c>
      <c r="AH112" s="100">
        <f t="shared" si="212"/>
        <v>-1</v>
      </c>
      <c r="AI112" s="100">
        <f t="shared" si="213"/>
        <v>6.4000000000000001E-2</v>
      </c>
    </row>
    <row r="113" spans="1:35" s="50" customFormat="1" ht="17.25" customHeight="1" x14ac:dyDescent="0.3">
      <c r="A113" s="106"/>
      <c r="B113" s="107" t="s">
        <v>40</v>
      </c>
      <c r="C113" s="225" t="s">
        <v>396</v>
      </c>
      <c r="D113" s="314"/>
      <c r="E113" s="149" t="s">
        <v>395</v>
      </c>
      <c r="F113" s="225">
        <v>1000</v>
      </c>
      <c r="G113" s="106"/>
      <c r="H113" s="106"/>
      <c r="I113" s="106"/>
      <c r="J113" s="106"/>
      <c r="K113" s="106"/>
      <c r="L113" s="106"/>
      <c r="M113" s="106">
        <v>1059</v>
      </c>
      <c r="N113" s="110">
        <f t="shared" si="208"/>
        <v>59</v>
      </c>
      <c r="O113" s="110"/>
      <c r="P113" s="106"/>
      <c r="Q113" s="106"/>
      <c r="R113" s="106"/>
      <c r="S113" s="106"/>
      <c r="T113" s="110">
        <f t="shared" si="209"/>
        <v>0</v>
      </c>
      <c r="U113" s="59">
        <f t="shared" si="214"/>
        <v>0</v>
      </c>
      <c r="V113" s="106"/>
      <c r="W113" s="106">
        <v>1059</v>
      </c>
      <c r="X113" s="110">
        <f t="shared" si="210"/>
        <v>0</v>
      </c>
      <c r="Y113" s="110"/>
      <c r="Z113" s="110"/>
      <c r="AA113" s="110"/>
      <c r="AB113" s="106"/>
      <c r="AC113" s="106"/>
      <c r="AD113" s="106"/>
      <c r="AE113" s="100">
        <f t="shared" si="211"/>
        <v>5.8999999999999997E-2</v>
      </c>
      <c r="AF113" s="90"/>
      <c r="AG113" s="109">
        <f t="shared" si="215"/>
        <v>0</v>
      </c>
      <c r="AH113" s="100">
        <f t="shared" si="212"/>
        <v>-1</v>
      </c>
      <c r="AI113" s="100">
        <f t="shared" si="213"/>
        <v>5.8999999999999997E-2</v>
      </c>
    </row>
    <row r="114" spans="1:35" s="50" customFormat="1" ht="17.25" customHeight="1" x14ac:dyDescent="0.3">
      <c r="A114" s="106"/>
      <c r="B114" s="107" t="s">
        <v>40</v>
      </c>
      <c r="C114" s="225" t="s">
        <v>396</v>
      </c>
      <c r="D114" s="314"/>
      <c r="E114" s="149" t="s">
        <v>398</v>
      </c>
      <c r="F114" s="225">
        <v>1000</v>
      </c>
      <c r="G114" s="106"/>
      <c r="H114" s="106"/>
      <c r="I114" s="106"/>
      <c r="J114" s="106"/>
      <c r="K114" s="106"/>
      <c r="L114" s="106"/>
      <c r="M114" s="106">
        <v>1059</v>
      </c>
      <c r="N114" s="110">
        <f t="shared" si="208"/>
        <v>59</v>
      </c>
      <c r="O114" s="110"/>
      <c r="P114" s="106"/>
      <c r="Q114" s="106"/>
      <c r="R114" s="106"/>
      <c r="S114" s="106"/>
      <c r="T114" s="110">
        <f t="shared" si="209"/>
        <v>0</v>
      </c>
      <c r="U114" s="59">
        <f t="shared" si="214"/>
        <v>0</v>
      </c>
      <c r="V114" s="106"/>
      <c r="W114" s="106">
        <v>1059</v>
      </c>
      <c r="X114" s="110">
        <f t="shared" si="210"/>
        <v>0</v>
      </c>
      <c r="Y114" s="110"/>
      <c r="Z114" s="110"/>
      <c r="AA114" s="110"/>
      <c r="AB114" s="106"/>
      <c r="AC114" s="106"/>
      <c r="AD114" s="106"/>
      <c r="AE114" s="100">
        <f t="shared" si="211"/>
        <v>5.8999999999999997E-2</v>
      </c>
      <c r="AF114" s="90"/>
      <c r="AG114" s="109">
        <f t="shared" si="215"/>
        <v>0</v>
      </c>
      <c r="AH114" s="100">
        <f t="shared" si="212"/>
        <v>-1</v>
      </c>
      <c r="AI114" s="100">
        <f t="shared" si="213"/>
        <v>5.8999999999999997E-2</v>
      </c>
    </row>
    <row r="115" spans="1:35" s="50" customFormat="1" ht="17.25" customHeight="1" x14ac:dyDescent="0.3">
      <c r="A115" s="106"/>
      <c r="B115" s="107" t="s">
        <v>40</v>
      </c>
      <c r="C115" s="225" t="s">
        <v>396</v>
      </c>
      <c r="D115" s="314"/>
      <c r="E115" s="149" t="s">
        <v>159</v>
      </c>
      <c r="F115" s="225">
        <v>1000</v>
      </c>
      <c r="G115" s="106"/>
      <c r="H115" s="106"/>
      <c r="I115" s="106"/>
      <c r="J115" s="106"/>
      <c r="K115" s="106"/>
      <c r="L115" s="106"/>
      <c r="M115" s="106">
        <v>1064</v>
      </c>
      <c r="N115" s="110">
        <f t="shared" si="208"/>
        <v>64</v>
      </c>
      <c r="O115" s="110"/>
      <c r="P115" s="106"/>
      <c r="Q115" s="106"/>
      <c r="R115" s="106"/>
      <c r="S115" s="106"/>
      <c r="T115" s="110">
        <f t="shared" si="209"/>
        <v>0</v>
      </c>
      <c r="U115" s="59">
        <f t="shared" ref="U115" si="216">IF(Q115&gt;0,S115-W115,M115-W115)</f>
        <v>6</v>
      </c>
      <c r="V115" s="106"/>
      <c r="W115" s="106">
        <v>1058</v>
      </c>
      <c r="X115" s="110">
        <f t="shared" si="210"/>
        <v>-6</v>
      </c>
      <c r="Y115" s="110"/>
      <c r="Z115" s="110"/>
      <c r="AA115" s="110"/>
      <c r="AB115" s="106"/>
      <c r="AC115" s="106"/>
      <c r="AD115" s="106"/>
      <c r="AE115" s="100">
        <f t="shared" si="211"/>
        <v>6.4000000000000001E-2</v>
      </c>
      <c r="AF115" s="90"/>
      <c r="AG115" s="109">
        <f t="shared" ref="AG115" si="217">IF(N115&lt;0,N115,0)</f>
        <v>0</v>
      </c>
      <c r="AH115" s="100">
        <f t="shared" si="212"/>
        <v>-1</v>
      </c>
      <c r="AI115" s="100">
        <f t="shared" si="213"/>
        <v>5.8000000000000003E-2</v>
      </c>
    </row>
    <row r="116" spans="1:35" s="43" customFormat="1" ht="15" customHeight="1" x14ac:dyDescent="0.3">
      <c r="A116" s="90" t="s">
        <v>46</v>
      </c>
      <c r="B116" s="77" t="s">
        <v>40</v>
      </c>
      <c r="C116" s="137"/>
      <c r="D116" s="90"/>
      <c r="E116" s="90"/>
      <c r="F116" s="136">
        <f>SUM(F110:F115)</f>
        <v>7400</v>
      </c>
      <c r="G116" s="136"/>
      <c r="H116" s="136"/>
      <c r="I116" s="136"/>
      <c r="J116" s="136" t="s">
        <v>58</v>
      </c>
      <c r="K116" s="64" t="s">
        <v>245</v>
      </c>
      <c r="L116" s="136">
        <f>SUM(L110:L115)</f>
        <v>0</v>
      </c>
      <c r="M116" s="136">
        <f>SUM(M110:M115)</f>
        <v>7766</v>
      </c>
      <c r="N116" s="90">
        <f>SUMIF(N110:N115,"&lt;0")</f>
        <v>0</v>
      </c>
      <c r="O116" s="136"/>
      <c r="P116" s="136">
        <f>SUM(P110:P115)</f>
        <v>0</v>
      </c>
      <c r="Q116" s="136">
        <f>SUM(Q110:Q115)</f>
        <v>0</v>
      </c>
      <c r="R116" s="136">
        <f>SUM(R110:R115)</f>
        <v>0</v>
      </c>
      <c r="S116" s="136">
        <f>SUM(S110:S115)</f>
        <v>0</v>
      </c>
      <c r="T116" s="136">
        <f>SUM(T110:T115)</f>
        <v>0</v>
      </c>
      <c r="U116" s="59">
        <f t="shared" si="197"/>
        <v>6</v>
      </c>
      <c r="V116" s="136">
        <f>SUM(V110:V115)</f>
        <v>0</v>
      </c>
      <c r="W116" s="136">
        <f>SUM(W110:W115)</f>
        <v>7760</v>
      </c>
      <c r="X116" s="136">
        <f>SUM(X110:X115)</f>
        <v>-6</v>
      </c>
      <c r="Y116" s="136"/>
      <c r="Z116" s="136"/>
      <c r="AA116" s="136"/>
      <c r="AB116" s="84"/>
      <c r="AC116" s="136"/>
      <c r="AD116" s="136"/>
      <c r="AE116" s="100">
        <f t="shared" ref="AE116" si="218">N116/F116</f>
        <v>0</v>
      </c>
      <c r="AF116" s="90"/>
      <c r="AG116" s="109">
        <f t="shared" si="193"/>
        <v>0</v>
      </c>
      <c r="AH116" s="100">
        <f t="shared" ref="AH116" si="219">(S116-F116)/F116</f>
        <v>-1</v>
      </c>
      <c r="AI116" s="100">
        <f t="shared" ref="AI116" si="220">(W116-F116)/F116</f>
        <v>4.8648648648648651E-2</v>
      </c>
    </row>
    <row r="117" spans="1:35" s="50" customFormat="1" ht="17.25" customHeight="1" x14ac:dyDescent="0.3">
      <c r="A117" s="106"/>
      <c r="B117" s="107" t="s">
        <v>40</v>
      </c>
      <c r="C117" s="195" t="s">
        <v>397</v>
      </c>
      <c r="D117" s="313" t="s">
        <v>194</v>
      </c>
      <c r="E117" s="149" t="s">
        <v>0</v>
      </c>
      <c r="F117" s="195">
        <v>7000</v>
      </c>
      <c r="G117" s="106"/>
      <c r="H117" s="106"/>
      <c r="I117" s="106"/>
      <c r="J117" s="106"/>
      <c r="K117" s="106"/>
      <c r="L117" s="106"/>
      <c r="M117" s="106">
        <f>1800+594+1320+624+640+1261+196+1021</f>
        <v>7456</v>
      </c>
      <c r="N117" s="110">
        <f>M117-F117</f>
        <v>456</v>
      </c>
      <c r="O117" s="110"/>
      <c r="P117" s="106"/>
      <c r="Q117" s="106"/>
      <c r="R117" s="106"/>
      <c r="S117" s="106"/>
      <c r="T117" s="110">
        <f>S117-Q117</f>
        <v>0</v>
      </c>
      <c r="U117" s="59">
        <f t="shared" si="149"/>
        <v>0</v>
      </c>
      <c r="V117" s="106"/>
      <c r="W117" s="106">
        <v>7456</v>
      </c>
      <c r="X117" s="110">
        <f>+W117-M117</f>
        <v>0</v>
      </c>
      <c r="Y117" s="110"/>
      <c r="Z117" s="110"/>
      <c r="AA117" s="110"/>
      <c r="AB117" s="106"/>
      <c r="AC117" s="106"/>
      <c r="AD117" s="106"/>
      <c r="AE117" s="100">
        <f>N117/F117</f>
        <v>6.5142857142857141E-2</v>
      </c>
      <c r="AF117" s="90"/>
      <c r="AG117" s="109">
        <f t="shared" si="189"/>
        <v>0</v>
      </c>
      <c r="AH117" s="100">
        <f>(S117-F117)/F117</f>
        <v>-1</v>
      </c>
      <c r="AI117" s="100">
        <f>(W117-F117)/F117</f>
        <v>6.5142857142857141E-2</v>
      </c>
    </row>
    <row r="118" spans="1:35" s="50" customFormat="1" ht="17.25" customHeight="1" x14ac:dyDescent="0.3">
      <c r="A118" s="106"/>
      <c r="B118" s="107" t="s">
        <v>40</v>
      </c>
      <c r="C118" s="225" t="s">
        <v>397</v>
      </c>
      <c r="D118" s="314"/>
      <c r="E118" s="149" t="s">
        <v>5</v>
      </c>
      <c r="F118" s="195">
        <v>2000</v>
      </c>
      <c r="G118" s="106"/>
      <c r="H118" s="106"/>
      <c r="I118" s="106"/>
      <c r="J118" s="106"/>
      <c r="K118" s="106"/>
      <c r="L118" s="106"/>
      <c r="M118" s="106">
        <f>650+1150+267+9</f>
        <v>2076</v>
      </c>
      <c r="N118" s="110">
        <f>M118-F118</f>
        <v>76</v>
      </c>
      <c r="O118" s="110"/>
      <c r="P118" s="106"/>
      <c r="Q118" s="106"/>
      <c r="R118" s="106"/>
      <c r="S118" s="106"/>
      <c r="T118" s="110">
        <f>S118-Q118</f>
        <v>0</v>
      </c>
      <c r="U118" s="59">
        <f t="shared" si="149"/>
        <v>0</v>
      </c>
      <c r="V118" s="106"/>
      <c r="W118" s="106">
        <v>2076</v>
      </c>
      <c r="X118" s="110">
        <f>+W118-M118</f>
        <v>0</v>
      </c>
      <c r="Y118" s="110"/>
      <c r="Z118" s="110"/>
      <c r="AA118" s="110"/>
      <c r="AB118" s="106"/>
      <c r="AC118" s="106"/>
      <c r="AD118" s="106"/>
      <c r="AE118" s="100">
        <f>N118/F118</f>
        <v>3.7999999999999999E-2</v>
      </c>
      <c r="AF118" s="90"/>
      <c r="AG118" s="109">
        <f t="shared" si="189"/>
        <v>0</v>
      </c>
      <c r="AH118" s="100">
        <f>(S118-F118)/F118</f>
        <v>-1</v>
      </c>
      <c r="AI118" s="100">
        <f>(W118-F118)/F118</f>
        <v>3.7999999999999999E-2</v>
      </c>
    </row>
    <row r="119" spans="1:35" s="43" customFormat="1" ht="15" customHeight="1" x14ac:dyDescent="0.3">
      <c r="A119" s="90" t="s">
        <v>46</v>
      </c>
      <c r="B119" s="77" t="s">
        <v>40</v>
      </c>
      <c r="C119" s="137"/>
      <c r="D119" s="90"/>
      <c r="E119" s="90"/>
      <c r="F119" s="136">
        <f>SUM(F117:F118)</f>
        <v>9000</v>
      </c>
      <c r="G119" s="136"/>
      <c r="H119" s="136"/>
      <c r="I119" s="136"/>
      <c r="J119" s="136" t="s">
        <v>58</v>
      </c>
      <c r="K119" s="64" t="s">
        <v>340</v>
      </c>
      <c r="L119" s="136">
        <f>SUM(L117:L118)</f>
        <v>0</v>
      </c>
      <c r="M119" s="136">
        <f>SUM(M117:M118)</f>
        <v>9532</v>
      </c>
      <c r="N119" s="90">
        <f>SUMIF(N117:N118,"&lt;0")</f>
        <v>0</v>
      </c>
      <c r="O119" s="136"/>
      <c r="P119" s="136">
        <f>SUM(P117:P118)</f>
        <v>0</v>
      </c>
      <c r="Q119" s="136">
        <f>SUM(Q117:Q118)</f>
        <v>0</v>
      </c>
      <c r="R119" s="136">
        <f>SUM(R117:R118)</f>
        <v>0</v>
      </c>
      <c r="S119" s="136">
        <f>SUM(S117:S118)</f>
        <v>0</v>
      </c>
      <c r="T119" s="136">
        <f>SUM(T117:T118)</f>
        <v>0</v>
      </c>
      <c r="U119" s="59">
        <f t="shared" si="149"/>
        <v>0</v>
      </c>
      <c r="V119" s="136">
        <f>SUM(V117:V118)</f>
        <v>0</v>
      </c>
      <c r="W119" s="136">
        <f>SUM(W117:W118)</f>
        <v>9532</v>
      </c>
      <c r="X119" s="136">
        <f>SUM(X117:X118)</f>
        <v>0</v>
      </c>
      <c r="Y119" s="136"/>
      <c r="Z119" s="136"/>
      <c r="AA119" s="136"/>
      <c r="AB119" s="84"/>
      <c r="AC119" s="136"/>
      <c r="AD119" s="136"/>
      <c r="AE119" s="100">
        <f t="shared" ref="AE119" si="221">N119/F119</f>
        <v>0</v>
      </c>
      <c r="AF119" s="90"/>
      <c r="AG119" s="109">
        <f t="shared" si="189"/>
        <v>0</v>
      </c>
      <c r="AH119" s="100">
        <f t="shared" ref="AH119" si="222">(S119-F119)/F119</f>
        <v>-1</v>
      </c>
      <c r="AI119" s="100">
        <f t="shared" ref="AI119" si="223">(W119-F119)/F119</f>
        <v>5.9111111111111114E-2</v>
      </c>
    </row>
    <row r="120" spans="1:35" s="50" customFormat="1" ht="17.25" customHeight="1" x14ac:dyDescent="0.3">
      <c r="A120" s="106"/>
      <c r="B120" s="107" t="s">
        <v>40</v>
      </c>
      <c r="C120" s="195" t="s">
        <v>1015</v>
      </c>
      <c r="D120" s="313" t="s">
        <v>329</v>
      </c>
      <c r="E120" s="149" t="s">
        <v>1016</v>
      </c>
      <c r="F120" s="195">
        <v>1000</v>
      </c>
      <c r="G120" s="106"/>
      <c r="H120" s="106"/>
      <c r="I120" s="106"/>
      <c r="J120" s="106"/>
      <c r="K120" s="106"/>
      <c r="L120" s="106"/>
      <c r="M120" s="106"/>
      <c r="N120" s="110">
        <f>M120-F120</f>
        <v>-1000</v>
      </c>
      <c r="O120" s="110"/>
      <c r="P120" s="106"/>
      <c r="Q120" s="106"/>
      <c r="R120" s="106"/>
      <c r="S120" s="106"/>
      <c r="T120" s="110">
        <f>S120-Q120</f>
        <v>0</v>
      </c>
      <c r="U120" s="59">
        <f t="shared" si="149"/>
        <v>0</v>
      </c>
      <c r="V120" s="106"/>
      <c r="W120" s="106"/>
      <c r="X120" s="110">
        <f>+W120-M120</f>
        <v>0</v>
      </c>
      <c r="Y120" s="110"/>
      <c r="Z120" s="110"/>
      <c r="AA120" s="110"/>
      <c r="AB120" s="106"/>
      <c r="AC120" s="106"/>
      <c r="AD120" s="106"/>
      <c r="AE120" s="100">
        <f>N120/F120</f>
        <v>-1</v>
      </c>
      <c r="AF120" s="90"/>
      <c r="AG120" s="109">
        <f t="shared" si="189"/>
        <v>-1000</v>
      </c>
      <c r="AH120" s="100">
        <f>(S120-F120)/F120</f>
        <v>-1</v>
      </c>
      <c r="AI120" s="100">
        <f>(W120-F120)/F120</f>
        <v>-1</v>
      </c>
    </row>
    <row r="121" spans="1:35" s="50" customFormat="1" ht="17.25" customHeight="1" x14ac:dyDescent="0.3">
      <c r="A121" s="106"/>
      <c r="B121" s="107" t="s">
        <v>40</v>
      </c>
      <c r="C121" s="272" t="s">
        <v>1015</v>
      </c>
      <c r="D121" s="314"/>
      <c r="E121" s="149" t="s">
        <v>0</v>
      </c>
      <c r="F121" s="195">
        <v>1200</v>
      </c>
      <c r="G121" s="106"/>
      <c r="H121" s="106"/>
      <c r="I121" s="106"/>
      <c r="J121" s="106"/>
      <c r="K121" s="106"/>
      <c r="L121" s="106"/>
      <c r="M121" s="106"/>
      <c r="N121" s="110">
        <f>M121-F121</f>
        <v>-1200</v>
      </c>
      <c r="O121" s="110"/>
      <c r="P121" s="106"/>
      <c r="Q121" s="106"/>
      <c r="R121" s="106"/>
      <c r="S121" s="106"/>
      <c r="T121" s="110">
        <f>S121-Q121</f>
        <v>0</v>
      </c>
      <c r="U121" s="59">
        <f t="shared" si="149"/>
        <v>0</v>
      </c>
      <c r="V121" s="106"/>
      <c r="W121" s="106"/>
      <c r="X121" s="110">
        <f>+W121-M121</f>
        <v>0</v>
      </c>
      <c r="Y121" s="110"/>
      <c r="Z121" s="110"/>
      <c r="AA121" s="110"/>
      <c r="AB121" s="106"/>
      <c r="AC121" s="106"/>
      <c r="AD121" s="106"/>
      <c r="AE121" s="100">
        <f>N121/F121</f>
        <v>-1</v>
      </c>
      <c r="AF121" s="90"/>
      <c r="AG121" s="109">
        <f t="shared" si="189"/>
        <v>-1200</v>
      </c>
      <c r="AH121" s="100">
        <f>(S121-F121)/F121</f>
        <v>-1</v>
      </c>
      <c r="AI121" s="100">
        <f>(W121-F121)/F121</f>
        <v>-1</v>
      </c>
    </row>
    <row r="122" spans="1:35" s="43" customFormat="1" ht="15" customHeight="1" x14ac:dyDescent="0.3">
      <c r="A122" s="90" t="s">
        <v>46</v>
      </c>
      <c r="B122" s="77" t="s">
        <v>40</v>
      </c>
      <c r="C122" s="137"/>
      <c r="D122" s="90"/>
      <c r="E122" s="90"/>
      <c r="F122" s="136">
        <f>SUM(F120:F121)</f>
        <v>2200</v>
      </c>
      <c r="G122" s="136"/>
      <c r="H122" s="136"/>
      <c r="I122" s="136"/>
      <c r="J122" s="136" t="s">
        <v>59</v>
      </c>
      <c r="K122" s="64" t="s">
        <v>594</v>
      </c>
      <c r="L122" s="136">
        <f>SUM(L120:L121)</f>
        <v>0</v>
      </c>
      <c r="M122" s="136">
        <f>SUM(M120:M121)</f>
        <v>0</v>
      </c>
      <c r="N122" s="90">
        <f>SUMIF(N120:N121,"&lt;0")</f>
        <v>-2200</v>
      </c>
      <c r="O122" s="136"/>
      <c r="P122" s="136">
        <f>SUM(P120:P121)</f>
        <v>0</v>
      </c>
      <c r="Q122" s="136">
        <f>SUM(Q120:Q121)</f>
        <v>0</v>
      </c>
      <c r="R122" s="136">
        <f>SUM(R120:R121)</f>
        <v>0</v>
      </c>
      <c r="S122" s="136">
        <f>SUM(S120:S121)</f>
        <v>0</v>
      </c>
      <c r="T122" s="136">
        <f>SUM(T120:T121)</f>
        <v>0</v>
      </c>
      <c r="U122" s="59">
        <f t="shared" si="149"/>
        <v>0</v>
      </c>
      <c r="V122" s="136">
        <f>SUM(V120:V121)</f>
        <v>0</v>
      </c>
      <c r="W122" s="136">
        <f>SUM(W120:W121)</f>
        <v>0</v>
      </c>
      <c r="X122" s="136">
        <f>SUM(X120:X121)</f>
        <v>0</v>
      </c>
      <c r="Y122" s="136"/>
      <c r="Z122" s="136"/>
      <c r="AA122" s="136"/>
      <c r="AB122" s="84"/>
      <c r="AC122" s="136"/>
      <c r="AD122" s="136"/>
      <c r="AE122" s="100">
        <f t="shared" ref="AE122" si="224">N122/F122</f>
        <v>-1</v>
      </c>
      <c r="AF122" s="90"/>
      <c r="AG122" s="109">
        <f t="shared" si="189"/>
        <v>-2200</v>
      </c>
      <c r="AH122" s="100">
        <f t="shared" ref="AH122" si="225">(S122-F122)/F122</f>
        <v>-1</v>
      </c>
      <c r="AI122" s="100">
        <f t="shared" ref="AI122" si="226">(W122-F122)/F122</f>
        <v>-1</v>
      </c>
    </row>
    <row r="123" spans="1:35" s="50" customFormat="1" ht="17.25" customHeight="1" x14ac:dyDescent="0.3">
      <c r="A123" s="106"/>
      <c r="B123" s="107" t="s">
        <v>40</v>
      </c>
      <c r="C123" s="195" t="s">
        <v>706</v>
      </c>
      <c r="D123" s="313" t="s">
        <v>707</v>
      </c>
      <c r="E123" s="149" t="s">
        <v>0</v>
      </c>
      <c r="F123" s="195">
        <v>2000</v>
      </c>
      <c r="G123" s="106"/>
      <c r="H123" s="106"/>
      <c r="I123" s="106"/>
      <c r="J123" s="106"/>
      <c r="K123" s="106"/>
      <c r="L123" s="106"/>
      <c r="M123" s="106">
        <f>954+1098</f>
        <v>2052</v>
      </c>
      <c r="N123" s="110">
        <f>M123-F123</f>
        <v>52</v>
      </c>
      <c r="O123" s="110"/>
      <c r="P123" s="106"/>
      <c r="Q123" s="106"/>
      <c r="R123" s="106"/>
      <c r="S123" s="106"/>
      <c r="T123" s="110">
        <f>S123-Q123</f>
        <v>0</v>
      </c>
      <c r="U123" s="59">
        <f t="shared" si="149"/>
        <v>13</v>
      </c>
      <c r="V123" s="106"/>
      <c r="W123" s="106">
        <v>2039</v>
      </c>
      <c r="X123" s="110">
        <f>+W123-M123</f>
        <v>-13</v>
      </c>
      <c r="Y123" s="110"/>
      <c r="Z123" s="110"/>
      <c r="AA123" s="110"/>
      <c r="AB123" s="106"/>
      <c r="AC123" s="106"/>
      <c r="AD123" s="106"/>
      <c r="AE123" s="100">
        <f>N123/F123</f>
        <v>2.5999999999999999E-2</v>
      </c>
      <c r="AF123" s="90"/>
      <c r="AG123" s="109">
        <f t="shared" ref="AG123:AG190" si="227">IF(N123&lt;0,N123,0)</f>
        <v>0</v>
      </c>
      <c r="AH123" s="100">
        <f>(S123-F123)/F123</f>
        <v>-1</v>
      </c>
      <c r="AI123" s="100">
        <f>(W123-F123)/F123</f>
        <v>1.95E-2</v>
      </c>
    </row>
    <row r="124" spans="1:35" s="50" customFormat="1" ht="17.25" customHeight="1" x14ac:dyDescent="0.3">
      <c r="A124" s="106"/>
      <c r="B124" s="107" t="s">
        <v>40</v>
      </c>
      <c r="C124" s="243" t="s">
        <v>706</v>
      </c>
      <c r="D124" s="314"/>
      <c r="E124" s="149" t="s">
        <v>708</v>
      </c>
      <c r="F124" s="195">
        <v>2000</v>
      </c>
      <c r="G124" s="106"/>
      <c r="H124" s="106"/>
      <c r="I124" s="106"/>
      <c r="J124" s="106"/>
      <c r="K124" s="106"/>
      <c r="L124" s="106"/>
      <c r="M124" s="106">
        <f>1083+1017</f>
        <v>2100</v>
      </c>
      <c r="N124" s="110">
        <f>M124-F124</f>
        <v>100</v>
      </c>
      <c r="O124" s="110"/>
      <c r="P124" s="106"/>
      <c r="Q124" s="106"/>
      <c r="R124" s="106"/>
      <c r="S124" s="106"/>
      <c r="T124" s="110">
        <f>S124-Q124</f>
        <v>0</v>
      </c>
      <c r="U124" s="59">
        <f t="shared" si="149"/>
        <v>48</v>
      </c>
      <c r="V124" s="106"/>
      <c r="W124" s="106">
        <f>1049+1003</f>
        <v>2052</v>
      </c>
      <c r="X124" s="110">
        <f>+W124-M124</f>
        <v>-48</v>
      </c>
      <c r="Y124" s="110"/>
      <c r="Z124" s="110"/>
      <c r="AA124" s="110"/>
      <c r="AB124" s="106"/>
      <c r="AC124" s="106"/>
      <c r="AD124" s="106"/>
      <c r="AE124" s="100">
        <f>N124/F124</f>
        <v>0.05</v>
      </c>
      <c r="AF124" s="90"/>
      <c r="AG124" s="109">
        <f t="shared" si="227"/>
        <v>0</v>
      </c>
      <c r="AH124" s="100">
        <f>(S124-F124)/F124</f>
        <v>-1</v>
      </c>
      <c r="AI124" s="100">
        <f>(W124-F124)/F124</f>
        <v>2.5999999999999999E-2</v>
      </c>
    </row>
    <row r="125" spans="1:35" s="43" customFormat="1" ht="15" customHeight="1" x14ac:dyDescent="0.3">
      <c r="A125" s="90" t="s">
        <v>46</v>
      </c>
      <c r="B125" s="77" t="s">
        <v>40</v>
      </c>
      <c r="C125" s="137"/>
      <c r="D125" s="90"/>
      <c r="E125" s="90"/>
      <c r="F125" s="136">
        <f>SUM(F123:F124)</f>
        <v>4000</v>
      </c>
      <c r="G125" s="136"/>
      <c r="H125" s="136"/>
      <c r="I125" s="136"/>
      <c r="J125" s="136" t="s">
        <v>60</v>
      </c>
      <c r="K125" s="64" t="s">
        <v>340</v>
      </c>
      <c r="L125" s="136">
        <f>SUM(L123:L124)</f>
        <v>0</v>
      </c>
      <c r="M125" s="136">
        <f>SUM(M123:M124)</f>
        <v>4152</v>
      </c>
      <c r="N125" s="90">
        <f>SUMIF(N123:N124,"&lt;0")</f>
        <v>0</v>
      </c>
      <c r="O125" s="136"/>
      <c r="P125" s="136">
        <f>SUM(P123:P124)</f>
        <v>0</v>
      </c>
      <c r="Q125" s="136">
        <f>SUM(Q123:Q124)</f>
        <v>0</v>
      </c>
      <c r="R125" s="136">
        <f>SUM(R123:R124)</f>
        <v>0</v>
      </c>
      <c r="S125" s="136">
        <f>SUM(S123:S124)</f>
        <v>0</v>
      </c>
      <c r="T125" s="136">
        <f>SUM(T123:T124)</f>
        <v>0</v>
      </c>
      <c r="U125" s="59">
        <f t="shared" si="149"/>
        <v>61</v>
      </c>
      <c r="V125" s="136">
        <f>SUM(V123:V124)</f>
        <v>0</v>
      </c>
      <c r="W125" s="136">
        <f>SUM(W123:W124)</f>
        <v>4091</v>
      </c>
      <c r="X125" s="136">
        <f>SUM(X123:X124)</f>
        <v>-61</v>
      </c>
      <c r="Y125" s="136"/>
      <c r="Z125" s="136"/>
      <c r="AA125" s="136"/>
      <c r="AB125" s="84"/>
      <c r="AC125" s="136"/>
      <c r="AD125" s="136"/>
      <c r="AE125" s="100">
        <f t="shared" ref="AE125:AE190" si="228">N125/F125</f>
        <v>0</v>
      </c>
      <c r="AF125" s="90"/>
      <c r="AG125" s="109">
        <f t="shared" si="227"/>
        <v>0</v>
      </c>
      <c r="AH125" s="100">
        <f t="shared" ref="AH125:AH190" si="229">(S125-F125)/F125</f>
        <v>-1</v>
      </c>
      <c r="AI125" s="100">
        <f t="shared" ref="AI125:AI190" si="230">(W125-F125)/F125</f>
        <v>2.2749999999999999E-2</v>
      </c>
    </row>
    <row r="126" spans="1:35" s="50" customFormat="1" ht="17.25" customHeight="1" x14ac:dyDescent="0.3">
      <c r="A126" s="106"/>
      <c r="B126" s="107" t="s">
        <v>40</v>
      </c>
      <c r="C126" s="197" t="s">
        <v>374</v>
      </c>
      <c r="D126" s="313" t="s">
        <v>375</v>
      </c>
      <c r="E126" s="149" t="s">
        <v>376</v>
      </c>
      <c r="F126" s="197">
        <v>1000</v>
      </c>
      <c r="G126" s="106"/>
      <c r="H126" s="106"/>
      <c r="I126" s="106"/>
      <c r="J126" s="106"/>
      <c r="K126" s="106"/>
      <c r="L126" s="106"/>
      <c r="M126" s="106">
        <v>1054</v>
      </c>
      <c r="N126" s="110">
        <f t="shared" ref="N126:N130" si="231">M126-F126</f>
        <v>54</v>
      </c>
      <c r="O126" s="110"/>
      <c r="P126" s="106"/>
      <c r="Q126" s="106"/>
      <c r="R126" s="106"/>
      <c r="S126" s="106"/>
      <c r="T126" s="110">
        <f t="shared" ref="T126:T130" si="232">S126-Q126</f>
        <v>0</v>
      </c>
      <c r="U126" s="59">
        <f t="shared" si="149"/>
        <v>12</v>
      </c>
      <c r="V126" s="106"/>
      <c r="W126" s="106">
        <v>1042</v>
      </c>
      <c r="X126" s="110">
        <f t="shared" ref="X126:X130" si="233">+W126-M126</f>
        <v>-12</v>
      </c>
      <c r="Y126" s="110"/>
      <c r="Z126" s="110"/>
      <c r="AA126" s="110"/>
      <c r="AB126" s="106"/>
      <c r="AC126" s="106"/>
      <c r="AD126" s="106"/>
      <c r="AE126" s="100">
        <f t="shared" si="228"/>
        <v>5.3999999999999999E-2</v>
      </c>
      <c r="AF126" s="90"/>
      <c r="AG126" s="109">
        <f t="shared" si="227"/>
        <v>0</v>
      </c>
      <c r="AH126" s="100">
        <f t="shared" si="229"/>
        <v>-1</v>
      </c>
      <c r="AI126" s="100">
        <f t="shared" si="230"/>
        <v>4.2000000000000003E-2</v>
      </c>
    </row>
    <row r="127" spans="1:35" s="50" customFormat="1" ht="17.25" customHeight="1" x14ac:dyDescent="0.3">
      <c r="A127" s="106"/>
      <c r="B127" s="107" t="s">
        <v>40</v>
      </c>
      <c r="C127" s="222" t="s">
        <v>374</v>
      </c>
      <c r="D127" s="314"/>
      <c r="E127" s="149" t="s">
        <v>114</v>
      </c>
      <c r="F127" s="222">
        <v>1000</v>
      </c>
      <c r="G127" s="106"/>
      <c r="H127" s="106"/>
      <c r="I127" s="106"/>
      <c r="J127" s="106"/>
      <c r="K127" s="106"/>
      <c r="L127" s="106"/>
      <c r="M127" s="106">
        <f>711+324</f>
        <v>1035</v>
      </c>
      <c r="N127" s="110">
        <f t="shared" ref="N127:N128" si="234">M127-F127</f>
        <v>35</v>
      </c>
      <c r="O127" s="110"/>
      <c r="P127" s="106"/>
      <c r="Q127" s="106"/>
      <c r="R127" s="106"/>
      <c r="S127" s="106"/>
      <c r="T127" s="110">
        <f t="shared" ref="T127:T128" si="235">S127-Q127</f>
        <v>0</v>
      </c>
      <c r="U127" s="59">
        <f t="shared" ref="U127:U128" si="236">IF(Q127&gt;0,S127-W127,M127-W127)</f>
        <v>0</v>
      </c>
      <c r="V127" s="106"/>
      <c r="W127" s="106">
        <v>1035</v>
      </c>
      <c r="X127" s="110">
        <f t="shared" ref="X127:X128" si="237">+W127-M127</f>
        <v>0</v>
      </c>
      <c r="Y127" s="110"/>
      <c r="Z127" s="110"/>
      <c r="AA127" s="110"/>
      <c r="AB127" s="106"/>
      <c r="AC127" s="106"/>
      <c r="AD127" s="106"/>
      <c r="AE127" s="100">
        <f t="shared" ref="AE127:AE128" si="238">N127/F127</f>
        <v>3.5000000000000003E-2</v>
      </c>
      <c r="AF127" s="90"/>
      <c r="AG127" s="109">
        <f t="shared" ref="AG127:AG128" si="239">IF(N127&lt;0,N127,0)</f>
        <v>0</v>
      </c>
      <c r="AH127" s="100">
        <f t="shared" ref="AH127:AH128" si="240">(S127-F127)/F127</f>
        <v>-1</v>
      </c>
      <c r="AI127" s="100">
        <f t="shared" ref="AI127:AI128" si="241">(W127-F127)/F127</f>
        <v>3.5000000000000003E-2</v>
      </c>
    </row>
    <row r="128" spans="1:35" s="50" customFormat="1" ht="17.25" customHeight="1" x14ac:dyDescent="0.3">
      <c r="A128" s="106"/>
      <c r="B128" s="107" t="s">
        <v>40</v>
      </c>
      <c r="C128" s="222" t="s">
        <v>374</v>
      </c>
      <c r="D128" s="314"/>
      <c r="E128" s="149" t="s">
        <v>251</v>
      </c>
      <c r="F128" s="222">
        <v>1000</v>
      </c>
      <c r="G128" s="106"/>
      <c r="H128" s="106"/>
      <c r="I128" s="106"/>
      <c r="J128" s="106"/>
      <c r="K128" s="106"/>
      <c r="L128" s="106"/>
      <c r="M128" s="106">
        <v>1061</v>
      </c>
      <c r="N128" s="110">
        <f t="shared" si="234"/>
        <v>61</v>
      </c>
      <c r="O128" s="110"/>
      <c r="P128" s="106"/>
      <c r="Q128" s="106"/>
      <c r="R128" s="106"/>
      <c r="S128" s="106"/>
      <c r="T128" s="110">
        <f t="shared" si="235"/>
        <v>0</v>
      </c>
      <c r="U128" s="59">
        <f t="shared" si="236"/>
        <v>10</v>
      </c>
      <c r="V128" s="106"/>
      <c r="W128" s="106">
        <v>1051</v>
      </c>
      <c r="X128" s="110">
        <f t="shared" si="237"/>
        <v>-10</v>
      </c>
      <c r="Y128" s="110"/>
      <c r="Z128" s="110"/>
      <c r="AA128" s="110"/>
      <c r="AB128" s="106"/>
      <c r="AC128" s="106"/>
      <c r="AD128" s="106"/>
      <c r="AE128" s="100">
        <f t="shared" si="238"/>
        <v>6.0999999999999999E-2</v>
      </c>
      <c r="AF128" s="90"/>
      <c r="AG128" s="109">
        <f t="shared" si="239"/>
        <v>0</v>
      </c>
      <c r="AH128" s="100">
        <f t="shared" si="240"/>
        <v>-1</v>
      </c>
      <c r="AI128" s="100">
        <f t="shared" si="241"/>
        <v>5.0999999999999997E-2</v>
      </c>
    </row>
    <row r="129" spans="1:35" s="50" customFormat="1" ht="17.25" customHeight="1" x14ac:dyDescent="0.3">
      <c r="A129" s="106"/>
      <c r="B129" s="107" t="s">
        <v>40</v>
      </c>
      <c r="C129" s="222" t="s">
        <v>374</v>
      </c>
      <c r="D129" s="314"/>
      <c r="E129" s="149" t="s">
        <v>149</v>
      </c>
      <c r="F129" s="197">
        <v>2000</v>
      </c>
      <c r="G129" s="106"/>
      <c r="H129" s="106"/>
      <c r="I129" s="106"/>
      <c r="J129" s="106"/>
      <c r="K129" s="106"/>
      <c r="L129" s="106"/>
      <c r="M129" s="106">
        <v>2069</v>
      </c>
      <c r="N129" s="110">
        <f t="shared" si="231"/>
        <v>69</v>
      </c>
      <c r="O129" s="110"/>
      <c r="P129" s="106"/>
      <c r="Q129" s="106"/>
      <c r="R129" s="106"/>
      <c r="S129" s="106"/>
      <c r="T129" s="110">
        <f t="shared" si="232"/>
        <v>0</v>
      </c>
      <c r="U129" s="59">
        <f t="shared" si="149"/>
        <v>0</v>
      </c>
      <c r="V129" s="106"/>
      <c r="W129" s="106">
        <v>2069</v>
      </c>
      <c r="X129" s="110">
        <f t="shared" si="233"/>
        <v>0</v>
      </c>
      <c r="Y129" s="110"/>
      <c r="Z129" s="110"/>
      <c r="AA129" s="110"/>
      <c r="AB129" s="106"/>
      <c r="AC129" s="106"/>
      <c r="AD129" s="106"/>
      <c r="AE129" s="100">
        <f t="shared" si="228"/>
        <v>3.4500000000000003E-2</v>
      </c>
      <c r="AF129" s="90"/>
      <c r="AG129" s="109">
        <f t="shared" si="227"/>
        <v>0</v>
      </c>
      <c r="AH129" s="100">
        <f t="shared" si="229"/>
        <v>-1</v>
      </c>
      <c r="AI129" s="100">
        <f t="shared" si="230"/>
        <v>3.4500000000000003E-2</v>
      </c>
    </row>
    <row r="130" spans="1:35" s="50" customFormat="1" ht="17.25" customHeight="1" x14ac:dyDescent="0.3">
      <c r="A130" s="106"/>
      <c r="B130" s="107" t="s">
        <v>40</v>
      </c>
      <c r="C130" s="222" t="s">
        <v>374</v>
      </c>
      <c r="D130" s="314"/>
      <c r="E130" s="149" t="s">
        <v>41</v>
      </c>
      <c r="F130" s="197">
        <v>2000</v>
      </c>
      <c r="G130" s="106"/>
      <c r="H130" s="106"/>
      <c r="I130" s="106"/>
      <c r="J130" s="106"/>
      <c r="K130" s="106"/>
      <c r="L130" s="106"/>
      <c r="M130" s="106">
        <f>233+1836</f>
        <v>2069</v>
      </c>
      <c r="N130" s="110">
        <f t="shared" si="231"/>
        <v>69</v>
      </c>
      <c r="O130" s="110"/>
      <c r="P130" s="106"/>
      <c r="Q130" s="106"/>
      <c r="R130" s="106"/>
      <c r="S130" s="106"/>
      <c r="T130" s="110">
        <f t="shared" si="232"/>
        <v>0</v>
      </c>
      <c r="U130" s="59">
        <f t="shared" si="149"/>
        <v>0</v>
      </c>
      <c r="V130" s="106"/>
      <c r="W130" s="106">
        <v>2069</v>
      </c>
      <c r="X130" s="110">
        <f t="shared" si="233"/>
        <v>0</v>
      </c>
      <c r="Y130" s="110"/>
      <c r="Z130" s="110"/>
      <c r="AA130" s="110"/>
      <c r="AB130" s="106"/>
      <c r="AC130" s="106"/>
      <c r="AD130" s="106"/>
      <c r="AE130" s="100">
        <f t="shared" si="228"/>
        <v>3.4500000000000003E-2</v>
      </c>
      <c r="AF130" s="90"/>
      <c r="AG130" s="109">
        <f t="shared" si="227"/>
        <v>0</v>
      </c>
      <c r="AH130" s="100">
        <f t="shared" si="229"/>
        <v>-1</v>
      </c>
      <c r="AI130" s="100">
        <f t="shared" si="230"/>
        <v>3.4500000000000003E-2</v>
      </c>
    </row>
    <row r="131" spans="1:35" s="43" customFormat="1" ht="15" customHeight="1" x14ac:dyDescent="0.3">
      <c r="A131" s="90" t="s">
        <v>46</v>
      </c>
      <c r="B131" s="77" t="s">
        <v>40</v>
      </c>
      <c r="C131" s="137"/>
      <c r="D131" s="90"/>
      <c r="E131" s="90"/>
      <c r="F131" s="136">
        <f>SUM(F126:F130)</f>
        <v>7000</v>
      </c>
      <c r="G131" s="136"/>
      <c r="H131" s="136"/>
      <c r="I131" s="136"/>
      <c r="J131" s="136" t="s">
        <v>59</v>
      </c>
      <c r="K131" s="64" t="s">
        <v>245</v>
      </c>
      <c r="L131" s="136">
        <f>SUM(L126:L130)</f>
        <v>0</v>
      </c>
      <c r="M131" s="136">
        <f>SUM(M126:M130)</f>
        <v>7288</v>
      </c>
      <c r="N131" s="90">
        <f>SUMIF(N126:N130,"&lt;0")</f>
        <v>0</v>
      </c>
      <c r="O131" s="136"/>
      <c r="P131" s="136">
        <f>SUM(P126:P130)</f>
        <v>0</v>
      </c>
      <c r="Q131" s="136">
        <f>SUM(Q126:Q130)</f>
        <v>0</v>
      </c>
      <c r="R131" s="136">
        <f>SUM(R126:R130)</f>
        <v>0</v>
      </c>
      <c r="S131" s="136">
        <f>SUM(S126:S130)</f>
        <v>0</v>
      </c>
      <c r="T131" s="136">
        <f>SUM(T126:T130)</f>
        <v>0</v>
      </c>
      <c r="U131" s="59">
        <f t="shared" si="149"/>
        <v>22</v>
      </c>
      <c r="V131" s="136">
        <f>SUM(V126:V130)</f>
        <v>0</v>
      </c>
      <c r="W131" s="136">
        <f>SUM(W126:W130)</f>
        <v>7266</v>
      </c>
      <c r="X131" s="136">
        <f>SUM(X126:X130)</f>
        <v>-22</v>
      </c>
      <c r="Y131" s="136"/>
      <c r="Z131" s="136"/>
      <c r="AA131" s="136"/>
      <c r="AB131" s="84"/>
      <c r="AC131" s="136"/>
      <c r="AD131" s="136"/>
      <c r="AE131" s="100">
        <f t="shared" si="228"/>
        <v>0</v>
      </c>
      <c r="AF131" s="90"/>
      <c r="AG131" s="109">
        <f t="shared" si="227"/>
        <v>0</v>
      </c>
      <c r="AH131" s="100">
        <f t="shared" si="229"/>
        <v>-1</v>
      </c>
      <c r="AI131" s="100">
        <f t="shared" si="230"/>
        <v>3.7999999999999999E-2</v>
      </c>
    </row>
    <row r="132" spans="1:35" s="50" customFormat="1" ht="17.25" customHeight="1" x14ac:dyDescent="0.3">
      <c r="A132" s="106"/>
      <c r="B132" s="107" t="s">
        <v>40</v>
      </c>
      <c r="C132" s="205" t="s">
        <v>703</v>
      </c>
      <c r="D132" s="313" t="s">
        <v>704</v>
      </c>
      <c r="E132" s="149" t="s">
        <v>0</v>
      </c>
      <c r="F132" s="205">
        <v>2000</v>
      </c>
      <c r="G132" s="106"/>
      <c r="H132" s="106"/>
      <c r="I132" s="106"/>
      <c r="J132" s="106"/>
      <c r="K132" s="106"/>
      <c r="L132" s="106"/>
      <c r="M132" s="106">
        <f>1250+210+248</f>
        <v>1708</v>
      </c>
      <c r="N132" s="110">
        <f t="shared" ref="N132" si="242">M132-F132</f>
        <v>-292</v>
      </c>
      <c r="O132" s="110"/>
      <c r="P132" s="106"/>
      <c r="Q132" s="106"/>
      <c r="R132" s="106"/>
      <c r="S132" s="106"/>
      <c r="T132" s="110">
        <f t="shared" ref="T132" si="243">S132-Q132</f>
        <v>0</v>
      </c>
      <c r="U132" s="59">
        <f t="shared" si="149"/>
        <v>5</v>
      </c>
      <c r="V132" s="106"/>
      <c r="W132" s="106">
        <f>1703</f>
        <v>1703</v>
      </c>
      <c r="X132" s="110">
        <f t="shared" ref="X132" si="244">+W132-M132</f>
        <v>-5</v>
      </c>
      <c r="Y132" s="110"/>
      <c r="Z132" s="110"/>
      <c r="AA132" s="110"/>
      <c r="AB132" s="106"/>
      <c r="AC132" s="106"/>
      <c r="AD132" s="106"/>
      <c r="AE132" s="100">
        <f t="shared" ref="AE132:AE135" si="245">N132/F132</f>
        <v>-0.14599999999999999</v>
      </c>
      <c r="AF132" s="90"/>
      <c r="AG132" s="109">
        <f t="shared" ref="AG132:AG135" si="246">IF(N132&lt;0,N132,0)</f>
        <v>-292</v>
      </c>
      <c r="AH132" s="100">
        <f t="shared" ref="AH132:AH135" si="247">(S132-F132)/F132</f>
        <v>-1</v>
      </c>
      <c r="AI132" s="100">
        <f t="shared" ref="AI132:AI135" si="248">(W132-F132)/F132</f>
        <v>-0.14849999999999999</v>
      </c>
    </row>
    <row r="133" spans="1:35" s="50" customFormat="1" ht="17.25" customHeight="1" x14ac:dyDescent="0.3">
      <c r="A133" s="106"/>
      <c r="B133" s="107" t="s">
        <v>40</v>
      </c>
      <c r="C133" s="243" t="s">
        <v>703</v>
      </c>
      <c r="D133" s="314"/>
      <c r="E133" s="149" t="s">
        <v>5</v>
      </c>
      <c r="F133" s="205">
        <v>2000</v>
      </c>
      <c r="G133" s="106"/>
      <c r="H133" s="106"/>
      <c r="I133" s="106"/>
      <c r="J133" s="106"/>
      <c r="K133" s="106"/>
      <c r="L133" s="106">
        <f>333+135</f>
        <v>468</v>
      </c>
      <c r="M133" s="106">
        <f>1260+100+233+333+135</f>
        <v>2061</v>
      </c>
      <c r="N133" s="110">
        <f t="shared" ref="N133" si="249">M133-F133</f>
        <v>61</v>
      </c>
      <c r="O133" s="110"/>
      <c r="P133" s="106"/>
      <c r="Q133" s="106"/>
      <c r="R133" s="106"/>
      <c r="S133" s="106"/>
      <c r="T133" s="110">
        <f t="shared" ref="T133" si="250">S133-Q133</f>
        <v>0</v>
      </c>
      <c r="U133" s="59">
        <f t="shared" si="149"/>
        <v>468</v>
      </c>
      <c r="V133" s="106">
        <v>333</v>
      </c>
      <c r="W133" s="106">
        <f>1260+333</f>
        <v>1593</v>
      </c>
      <c r="X133" s="110">
        <f t="shared" ref="X133" si="251">+W133-M133</f>
        <v>-468</v>
      </c>
      <c r="Y133" s="110"/>
      <c r="Z133" s="110"/>
      <c r="AA133" s="110"/>
      <c r="AB133" s="106"/>
      <c r="AC133" s="106"/>
      <c r="AD133" s="106"/>
      <c r="AE133" s="100">
        <f t="shared" ref="AE133" si="252">N133/F133</f>
        <v>3.0499999999999999E-2</v>
      </c>
      <c r="AF133" s="90"/>
      <c r="AG133" s="109">
        <f t="shared" ref="AG133" si="253">IF(N133&lt;0,N133,0)</f>
        <v>0</v>
      </c>
      <c r="AH133" s="100">
        <f t="shared" ref="AH133" si="254">(S133-F133)/F133</f>
        <v>-1</v>
      </c>
      <c r="AI133" s="100">
        <f t="shared" ref="AI133" si="255">(W133-F133)/F133</f>
        <v>-0.20349999999999999</v>
      </c>
    </row>
    <row r="134" spans="1:35" s="50" customFormat="1" ht="17.25" customHeight="1" x14ac:dyDescent="0.3">
      <c r="A134" s="106"/>
      <c r="B134" s="107" t="s">
        <v>40</v>
      </c>
      <c r="C134" s="243" t="s">
        <v>703</v>
      </c>
      <c r="D134" s="314"/>
      <c r="E134" s="149" t="s">
        <v>705</v>
      </c>
      <c r="F134" s="205">
        <v>2000</v>
      </c>
      <c r="G134" s="106"/>
      <c r="H134" s="106"/>
      <c r="I134" s="106"/>
      <c r="J134" s="106"/>
      <c r="K134" s="106"/>
      <c r="L134" s="106"/>
      <c r="M134" s="106">
        <f>1260+801</f>
        <v>2061</v>
      </c>
      <c r="N134" s="110">
        <f t="shared" ref="N134" si="256">M134-F134</f>
        <v>61</v>
      </c>
      <c r="O134" s="110"/>
      <c r="P134" s="106"/>
      <c r="Q134" s="106"/>
      <c r="R134" s="106"/>
      <c r="S134" s="106"/>
      <c r="T134" s="110">
        <f t="shared" ref="T134" si="257">S134-Q134</f>
        <v>0</v>
      </c>
      <c r="U134" s="59">
        <f t="shared" si="149"/>
        <v>0</v>
      </c>
      <c r="V134" s="106">
        <v>801</v>
      </c>
      <c r="W134" s="106">
        <f>1260+801</f>
        <v>2061</v>
      </c>
      <c r="X134" s="110">
        <f t="shared" ref="X134" si="258">+W134-M134</f>
        <v>0</v>
      </c>
      <c r="Y134" s="110"/>
      <c r="Z134" s="110"/>
      <c r="AA134" s="110"/>
      <c r="AB134" s="106"/>
      <c r="AC134" s="106"/>
      <c r="AD134" s="106"/>
      <c r="AE134" s="100">
        <f t="shared" ref="AE134" si="259">N134/F134</f>
        <v>3.0499999999999999E-2</v>
      </c>
      <c r="AF134" s="90"/>
      <c r="AG134" s="109">
        <f t="shared" ref="AG134" si="260">IF(N134&lt;0,N134,0)</f>
        <v>0</v>
      </c>
      <c r="AH134" s="100">
        <f t="shared" ref="AH134" si="261">(S134-F134)/F134</f>
        <v>-1</v>
      </c>
      <c r="AI134" s="100">
        <f t="shared" ref="AI134" si="262">(W134-F134)/F134</f>
        <v>3.0499999999999999E-2</v>
      </c>
    </row>
    <row r="135" spans="1:35" s="43" customFormat="1" ht="15" customHeight="1" x14ac:dyDescent="0.3">
      <c r="A135" s="90" t="s">
        <v>46</v>
      </c>
      <c r="B135" s="77" t="s">
        <v>40</v>
      </c>
      <c r="C135" s="137"/>
      <c r="D135" s="90"/>
      <c r="E135" s="90"/>
      <c r="F135" s="136">
        <f>SUM(F132:F134)</f>
        <v>6000</v>
      </c>
      <c r="G135" s="136"/>
      <c r="H135" s="136"/>
      <c r="I135" s="136"/>
      <c r="J135" s="136" t="s">
        <v>59</v>
      </c>
      <c r="K135" s="64" t="s">
        <v>340</v>
      </c>
      <c r="L135" s="136">
        <f>SUM(L132:L134)</f>
        <v>468</v>
      </c>
      <c r="M135" s="136">
        <f>SUM(M132:M134)</f>
        <v>5830</v>
      </c>
      <c r="N135" s="90">
        <f>SUMIF(N132:N134,"&lt;0")</f>
        <v>-292</v>
      </c>
      <c r="O135" s="136"/>
      <c r="P135" s="136">
        <f>SUM(P132:P134)</f>
        <v>0</v>
      </c>
      <c r="Q135" s="136">
        <f>SUM(Q132:Q134)</f>
        <v>0</v>
      </c>
      <c r="R135" s="136">
        <f>SUM(R132:R134)</f>
        <v>0</v>
      </c>
      <c r="S135" s="136">
        <f>SUM(S132:S134)</f>
        <v>0</v>
      </c>
      <c r="T135" s="136">
        <f>SUM(T132:T134)</f>
        <v>0</v>
      </c>
      <c r="U135" s="59">
        <f t="shared" si="149"/>
        <v>473</v>
      </c>
      <c r="V135" s="136">
        <f>SUM(V132:V134)</f>
        <v>1134</v>
      </c>
      <c r="W135" s="136">
        <f>SUM(W132:W134)</f>
        <v>5357</v>
      </c>
      <c r="X135" s="136">
        <f>SUM(X132:X134)</f>
        <v>-473</v>
      </c>
      <c r="Y135" s="136"/>
      <c r="Z135" s="136"/>
      <c r="AA135" s="136"/>
      <c r="AB135" s="84"/>
      <c r="AC135" s="136"/>
      <c r="AD135" s="136"/>
      <c r="AE135" s="100">
        <f t="shared" si="245"/>
        <v>-4.8666666666666664E-2</v>
      </c>
      <c r="AF135" s="90"/>
      <c r="AG135" s="109">
        <f t="shared" si="246"/>
        <v>-292</v>
      </c>
      <c r="AH135" s="100">
        <f t="shared" si="247"/>
        <v>-1</v>
      </c>
      <c r="AI135" s="100">
        <f t="shared" si="248"/>
        <v>-0.10716666666666666</v>
      </c>
    </row>
    <row r="136" spans="1:35" s="50" customFormat="1" ht="17.25" customHeight="1" x14ac:dyDescent="0.3">
      <c r="A136" s="106"/>
      <c r="B136" s="107" t="s">
        <v>40</v>
      </c>
      <c r="C136" s="205" t="s">
        <v>1034</v>
      </c>
      <c r="D136" s="313" t="s">
        <v>246</v>
      </c>
      <c r="E136" s="149" t="s">
        <v>0</v>
      </c>
      <c r="F136" s="205">
        <v>3200</v>
      </c>
      <c r="G136" s="106"/>
      <c r="H136" s="106"/>
      <c r="I136" s="106"/>
      <c r="J136" s="106"/>
      <c r="K136" s="106"/>
      <c r="L136" s="106"/>
      <c r="M136" s="106"/>
      <c r="N136" s="110">
        <f t="shared" ref="N136:N144" si="263">M136-F136</f>
        <v>-3200</v>
      </c>
      <c r="O136" s="110"/>
      <c r="P136" s="106"/>
      <c r="Q136" s="106"/>
      <c r="R136" s="106"/>
      <c r="S136" s="106"/>
      <c r="T136" s="110">
        <f t="shared" ref="T136:T144" si="264">S136-Q136</f>
        <v>0</v>
      </c>
      <c r="U136" s="59">
        <f t="shared" si="149"/>
        <v>0</v>
      </c>
      <c r="V136" s="106"/>
      <c r="W136" s="106"/>
      <c r="X136" s="110">
        <f t="shared" ref="X136:X144" si="265">+W136-M136</f>
        <v>0</v>
      </c>
      <c r="Y136" s="110"/>
      <c r="Z136" s="110"/>
      <c r="AA136" s="110"/>
      <c r="AB136" s="106"/>
      <c r="AC136" s="106"/>
      <c r="AD136" s="106"/>
      <c r="AE136" s="100">
        <f t="shared" si="228"/>
        <v>-1</v>
      </c>
      <c r="AF136" s="90"/>
      <c r="AG136" s="109">
        <f t="shared" si="227"/>
        <v>-3200</v>
      </c>
      <c r="AH136" s="100">
        <f t="shared" si="229"/>
        <v>-1</v>
      </c>
      <c r="AI136" s="100">
        <f t="shared" si="230"/>
        <v>-1</v>
      </c>
    </row>
    <row r="137" spans="1:35" s="50" customFormat="1" ht="17.25" customHeight="1" x14ac:dyDescent="0.3">
      <c r="A137" s="106"/>
      <c r="B137" s="107" t="s">
        <v>40</v>
      </c>
      <c r="C137" s="276" t="s">
        <v>1034</v>
      </c>
      <c r="D137" s="314"/>
      <c r="E137" s="149" t="s">
        <v>5</v>
      </c>
      <c r="F137" s="276">
        <v>3200</v>
      </c>
      <c r="G137" s="106"/>
      <c r="H137" s="106"/>
      <c r="I137" s="106"/>
      <c r="J137" s="106"/>
      <c r="K137" s="106"/>
      <c r="L137" s="106"/>
      <c r="M137" s="106"/>
      <c r="N137" s="110">
        <f t="shared" si="263"/>
        <v>-3200</v>
      </c>
      <c r="O137" s="110"/>
      <c r="P137" s="106"/>
      <c r="Q137" s="106"/>
      <c r="R137" s="106"/>
      <c r="S137" s="106"/>
      <c r="T137" s="110">
        <f t="shared" si="264"/>
        <v>0</v>
      </c>
      <c r="U137" s="59">
        <f t="shared" si="149"/>
        <v>0</v>
      </c>
      <c r="V137" s="106"/>
      <c r="W137" s="106"/>
      <c r="X137" s="110">
        <f t="shared" si="265"/>
        <v>0</v>
      </c>
      <c r="Y137" s="110"/>
      <c r="Z137" s="110"/>
      <c r="AA137" s="110"/>
      <c r="AB137" s="106"/>
      <c r="AC137" s="106"/>
      <c r="AD137" s="106"/>
      <c r="AE137" s="100">
        <f t="shared" si="228"/>
        <v>-1</v>
      </c>
      <c r="AF137" s="90"/>
      <c r="AG137" s="109">
        <f t="shared" si="227"/>
        <v>-3200</v>
      </c>
      <c r="AH137" s="100">
        <f t="shared" si="229"/>
        <v>-1</v>
      </c>
      <c r="AI137" s="100">
        <f t="shared" si="230"/>
        <v>-1</v>
      </c>
    </row>
    <row r="138" spans="1:35" s="50" customFormat="1" ht="17.25" customHeight="1" x14ac:dyDescent="0.3">
      <c r="A138" s="106"/>
      <c r="B138" s="107" t="s">
        <v>40</v>
      </c>
      <c r="C138" s="276" t="s">
        <v>1034</v>
      </c>
      <c r="D138" s="314"/>
      <c r="E138" s="149" t="s">
        <v>41</v>
      </c>
      <c r="F138" s="276">
        <v>3200</v>
      </c>
      <c r="G138" s="106"/>
      <c r="H138" s="106"/>
      <c r="I138" s="106"/>
      <c r="J138" s="106"/>
      <c r="K138" s="106"/>
      <c r="L138" s="106"/>
      <c r="M138" s="106"/>
      <c r="N138" s="110">
        <f t="shared" si="263"/>
        <v>-3200</v>
      </c>
      <c r="O138" s="110"/>
      <c r="P138" s="106"/>
      <c r="Q138" s="106"/>
      <c r="R138" s="106"/>
      <c r="S138" s="106"/>
      <c r="T138" s="110">
        <f t="shared" si="264"/>
        <v>0</v>
      </c>
      <c r="U138" s="59">
        <f t="shared" si="149"/>
        <v>0</v>
      </c>
      <c r="V138" s="106"/>
      <c r="W138" s="106"/>
      <c r="X138" s="110">
        <f t="shared" si="265"/>
        <v>0</v>
      </c>
      <c r="Y138" s="110"/>
      <c r="Z138" s="110"/>
      <c r="AA138" s="110"/>
      <c r="AB138" s="106"/>
      <c r="AC138" s="106"/>
      <c r="AD138" s="106"/>
      <c r="AE138" s="100">
        <f t="shared" si="228"/>
        <v>-1</v>
      </c>
      <c r="AF138" s="90"/>
      <c r="AG138" s="109">
        <f t="shared" si="227"/>
        <v>-3200</v>
      </c>
      <c r="AH138" s="100">
        <f t="shared" si="229"/>
        <v>-1</v>
      </c>
      <c r="AI138" s="100">
        <f t="shared" si="230"/>
        <v>-1</v>
      </c>
    </row>
    <row r="139" spans="1:35" s="50" customFormat="1" ht="17.25" customHeight="1" x14ac:dyDescent="0.3">
      <c r="A139" s="106"/>
      <c r="B139" s="107" t="s">
        <v>40</v>
      </c>
      <c r="C139" s="276" t="s">
        <v>1034</v>
      </c>
      <c r="D139" s="314"/>
      <c r="E139" s="149" t="s">
        <v>302</v>
      </c>
      <c r="F139" s="276">
        <v>1000</v>
      </c>
      <c r="G139" s="106"/>
      <c r="H139" s="106"/>
      <c r="I139" s="106"/>
      <c r="J139" s="106"/>
      <c r="K139" s="106"/>
      <c r="L139" s="106"/>
      <c r="M139" s="106"/>
      <c r="N139" s="110">
        <f t="shared" si="263"/>
        <v>-1000</v>
      </c>
      <c r="O139" s="110"/>
      <c r="P139" s="106"/>
      <c r="Q139" s="106"/>
      <c r="R139" s="106"/>
      <c r="S139" s="106"/>
      <c r="T139" s="110">
        <f t="shared" si="264"/>
        <v>0</v>
      </c>
      <c r="U139" s="59">
        <f t="shared" si="149"/>
        <v>0</v>
      </c>
      <c r="V139" s="106"/>
      <c r="W139" s="106"/>
      <c r="X139" s="110">
        <f t="shared" si="265"/>
        <v>0</v>
      </c>
      <c r="Y139" s="110"/>
      <c r="Z139" s="110"/>
      <c r="AA139" s="110"/>
      <c r="AB139" s="106"/>
      <c r="AC139" s="106"/>
      <c r="AD139" s="106"/>
      <c r="AE139" s="100">
        <f t="shared" si="228"/>
        <v>-1</v>
      </c>
      <c r="AF139" s="90"/>
      <c r="AG139" s="109">
        <f t="shared" si="227"/>
        <v>-1000</v>
      </c>
      <c r="AH139" s="100">
        <f t="shared" si="229"/>
        <v>-1</v>
      </c>
      <c r="AI139" s="100">
        <f t="shared" si="230"/>
        <v>-1</v>
      </c>
    </row>
    <row r="140" spans="1:35" s="50" customFormat="1" ht="17.25" customHeight="1" x14ac:dyDescent="0.3">
      <c r="A140" s="106"/>
      <c r="B140" s="107" t="s">
        <v>40</v>
      </c>
      <c r="C140" s="276" t="s">
        <v>1034</v>
      </c>
      <c r="D140" s="314"/>
      <c r="E140" s="149" t="s">
        <v>1035</v>
      </c>
      <c r="F140" s="276">
        <v>1000</v>
      </c>
      <c r="G140" s="106"/>
      <c r="H140" s="106"/>
      <c r="I140" s="106"/>
      <c r="J140" s="106"/>
      <c r="K140" s="106"/>
      <c r="L140" s="106"/>
      <c r="M140" s="106"/>
      <c r="N140" s="110">
        <f t="shared" ref="N140:N141" si="266">M140-F140</f>
        <v>-1000</v>
      </c>
      <c r="O140" s="110"/>
      <c r="P140" s="106"/>
      <c r="Q140" s="106"/>
      <c r="R140" s="106"/>
      <c r="S140" s="106"/>
      <c r="T140" s="110">
        <f t="shared" ref="T140:T141" si="267">S140-Q140</f>
        <v>0</v>
      </c>
      <c r="U140" s="59">
        <f t="shared" ref="U140:U141" si="268">IF(Q140&gt;0,S140-W140,M140-W140)</f>
        <v>0</v>
      </c>
      <c r="V140" s="106"/>
      <c r="W140" s="106"/>
      <c r="X140" s="110">
        <f t="shared" ref="X140:X141" si="269">+W140-M140</f>
        <v>0</v>
      </c>
      <c r="Y140" s="110"/>
      <c r="Z140" s="110"/>
      <c r="AA140" s="110"/>
      <c r="AB140" s="106"/>
      <c r="AC140" s="106"/>
      <c r="AD140" s="106"/>
      <c r="AE140" s="100">
        <f t="shared" ref="AE140:AE141" si="270">N140/F140</f>
        <v>-1</v>
      </c>
      <c r="AF140" s="90"/>
      <c r="AG140" s="109">
        <f t="shared" ref="AG140:AG141" si="271">IF(N140&lt;0,N140,0)</f>
        <v>-1000</v>
      </c>
      <c r="AH140" s="100">
        <f t="shared" ref="AH140:AH141" si="272">(S140-F140)/F140</f>
        <v>-1</v>
      </c>
      <c r="AI140" s="100">
        <f t="shared" ref="AI140:AI141" si="273">(W140-F140)/F140</f>
        <v>-1</v>
      </c>
    </row>
    <row r="141" spans="1:35" s="50" customFormat="1" ht="17.25" customHeight="1" x14ac:dyDescent="0.3">
      <c r="A141" s="106"/>
      <c r="B141" s="107" t="s">
        <v>40</v>
      </c>
      <c r="C141" s="276" t="s">
        <v>1034</v>
      </c>
      <c r="D141" s="314"/>
      <c r="E141" s="149" t="s">
        <v>398</v>
      </c>
      <c r="F141" s="276">
        <v>1000</v>
      </c>
      <c r="G141" s="106"/>
      <c r="H141" s="106"/>
      <c r="I141" s="106"/>
      <c r="J141" s="106"/>
      <c r="K141" s="106"/>
      <c r="L141" s="106"/>
      <c r="M141" s="106"/>
      <c r="N141" s="110">
        <f t="shared" si="266"/>
        <v>-1000</v>
      </c>
      <c r="O141" s="110"/>
      <c r="P141" s="106"/>
      <c r="Q141" s="106"/>
      <c r="R141" s="106"/>
      <c r="S141" s="106"/>
      <c r="T141" s="110">
        <f t="shared" si="267"/>
        <v>0</v>
      </c>
      <c r="U141" s="59">
        <f t="shared" si="268"/>
        <v>0</v>
      </c>
      <c r="V141" s="106"/>
      <c r="W141" s="106"/>
      <c r="X141" s="110">
        <f t="shared" si="269"/>
        <v>0</v>
      </c>
      <c r="Y141" s="110"/>
      <c r="Z141" s="110"/>
      <c r="AA141" s="110"/>
      <c r="AB141" s="106"/>
      <c r="AC141" s="106"/>
      <c r="AD141" s="106"/>
      <c r="AE141" s="100">
        <f t="shared" si="270"/>
        <v>-1</v>
      </c>
      <c r="AF141" s="90"/>
      <c r="AG141" s="109">
        <f t="shared" si="271"/>
        <v>-1000</v>
      </c>
      <c r="AH141" s="100">
        <f t="shared" si="272"/>
        <v>-1</v>
      </c>
      <c r="AI141" s="100">
        <f t="shared" si="273"/>
        <v>-1</v>
      </c>
    </row>
    <row r="142" spans="1:35" s="50" customFormat="1" ht="17.25" customHeight="1" x14ac:dyDescent="0.3">
      <c r="A142" s="106"/>
      <c r="B142" s="107" t="s">
        <v>40</v>
      </c>
      <c r="C142" s="276" t="s">
        <v>1034</v>
      </c>
      <c r="D142" s="314"/>
      <c r="E142" s="149" t="s">
        <v>148</v>
      </c>
      <c r="F142" s="276">
        <v>1000</v>
      </c>
      <c r="G142" s="106"/>
      <c r="H142" s="106"/>
      <c r="I142" s="106"/>
      <c r="J142" s="106"/>
      <c r="K142" s="106"/>
      <c r="L142" s="106"/>
      <c r="M142" s="106"/>
      <c r="N142" s="110">
        <f t="shared" ref="N142:N143" si="274">M142-F142</f>
        <v>-1000</v>
      </c>
      <c r="O142" s="110"/>
      <c r="P142" s="106"/>
      <c r="Q142" s="106"/>
      <c r="R142" s="106"/>
      <c r="S142" s="106"/>
      <c r="T142" s="110">
        <f t="shared" ref="T142:T143" si="275">S142-Q142</f>
        <v>0</v>
      </c>
      <c r="U142" s="59">
        <f t="shared" ref="U142:U143" si="276">IF(Q142&gt;0,S142-W142,M142-W142)</f>
        <v>0</v>
      </c>
      <c r="V142" s="106"/>
      <c r="W142" s="106"/>
      <c r="X142" s="110">
        <f t="shared" ref="X142:X143" si="277">+W142-M142</f>
        <v>0</v>
      </c>
      <c r="Y142" s="110"/>
      <c r="Z142" s="110"/>
      <c r="AA142" s="110"/>
      <c r="AB142" s="106"/>
      <c r="AC142" s="106"/>
      <c r="AD142" s="106"/>
      <c r="AE142" s="100">
        <f t="shared" ref="AE142:AE143" si="278">N142/F142</f>
        <v>-1</v>
      </c>
      <c r="AF142" s="90"/>
      <c r="AG142" s="109">
        <f t="shared" ref="AG142:AG143" si="279">IF(N142&lt;0,N142,0)</f>
        <v>-1000</v>
      </c>
      <c r="AH142" s="100">
        <f t="shared" ref="AH142:AH143" si="280">(S142-F142)/F142</f>
        <v>-1</v>
      </c>
      <c r="AI142" s="100">
        <f t="shared" ref="AI142:AI143" si="281">(W142-F142)/F142</f>
        <v>-1</v>
      </c>
    </row>
    <row r="143" spans="1:35" s="50" customFormat="1" ht="17.25" customHeight="1" x14ac:dyDescent="0.3">
      <c r="A143" s="106"/>
      <c r="B143" s="107" t="s">
        <v>40</v>
      </c>
      <c r="C143" s="276" t="s">
        <v>1034</v>
      </c>
      <c r="D143" s="314"/>
      <c r="E143" s="149" t="s">
        <v>114</v>
      </c>
      <c r="F143" s="276">
        <v>1000</v>
      </c>
      <c r="G143" s="106"/>
      <c r="H143" s="106"/>
      <c r="I143" s="106"/>
      <c r="J143" s="106"/>
      <c r="K143" s="106"/>
      <c r="L143" s="106"/>
      <c r="M143" s="106"/>
      <c r="N143" s="110">
        <f t="shared" si="274"/>
        <v>-1000</v>
      </c>
      <c r="O143" s="110"/>
      <c r="P143" s="106"/>
      <c r="Q143" s="106"/>
      <c r="R143" s="106"/>
      <c r="S143" s="106"/>
      <c r="T143" s="110">
        <f t="shared" si="275"/>
        <v>0</v>
      </c>
      <c r="U143" s="59">
        <f t="shared" si="276"/>
        <v>0</v>
      </c>
      <c r="V143" s="106"/>
      <c r="W143" s="106"/>
      <c r="X143" s="110">
        <f t="shared" si="277"/>
        <v>0</v>
      </c>
      <c r="Y143" s="110"/>
      <c r="Z143" s="110"/>
      <c r="AA143" s="110"/>
      <c r="AB143" s="106"/>
      <c r="AC143" s="106"/>
      <c r="AD143" s="106"/>
      <c r="AE143" s="100">
        <f t="shared" si="278"/>
        <v>-1</v>
      </c>
      <c r="AF143" s="90"/>
      <c r="AG143" s="109">
        <f t="shared" si="279"/>
        <v>-1000</v>
      </c>
      <c r="AH143" s="100">
        <f t="shared" si="280"/>
        <v>-1</v>
      </c>
      <c r="AI143" s="100">
        <f t="shared" si="281"/>
        <v>-1</v>
      </c>
    </row>
    <row r="144" spans="1:35" s="50" customFormat="1" ht="17.25" customHeight="1" x14ac:dyDescent="0.3">
      <c r="A144" s="106"/>
      <c r="B144" s="107" t="s">
        <v>40</v>
      </c>
      <c r="C144" s="276" t="s">
        <v>1034</v>
      </c>
      <c r="D144" s="314"/>
      <c r="E144" s="149" t="s">
        <v>159</v>
      </c>
      <c r="F144" s="205">
        <v>1000</v>
      </c>
      <c r="G144" s="106"/>
      <c r="H144" s="106"/>
      <c r="I144" s="106"/>
      <c r="J144" s="106"/>
      <c r="K144" s="106"/>
      <c r="L144" s="106"/>
      <c r="M144" s="106"/>
      <c r="N144" s="110">
        <f t="shared" si="263"/>
        <v>-1000</v>
      </c>
      <c r="O144" s="110"/>
      <c r="P144" s="106"/>
      <c r="Q144" s="106"/>
      <c r="R144" s="106"/>
      <c r="S144" s="106"/>
      <c r="T144" s="110">
        <f t="shared" si="264"/>
        <v>0</v>
      </c>
      <c r="U144" s="59">
        <f t="shared" si="149"/>
        <v>0</v>
      </c>
      <c r="V144" s="106"/>
      <c r="W144" s="106"/>
      <c r="X144" s="110">
        <f t="shared" si="265"/>
        <v>0</v>
      </c>
      <c r="Y144" s="110"/>
      <c r="Z144" s="110"/>
      <c r="AA144" s="110"/>
      <c r="AB144" s="106"/>
      <c r="AC144" s="106"/>
      <c r="AD144" s="106"/>
      <c r="AE144" s="100">
        <f t="shared" si="228"/>
        <v>-1</v>
      </c>
      <c r="AF144" s="90"/>
      <c r="AG144" s="109">
        <f t="shared" si="227"/>
        <v>-1000</v>
      </c>
      <c r="AH144" s="100">
        <f t="shared" si="229"/>
        <v>-1</v>
      </c>
      <c r="AI144" s="100">
        <f t="shared" si="230"/>
        <v>-1</v>
      </c>
    </row>
    <row r="145" spans="1:35" s="43" customFormat="1" ht="15" customHeight="1" x14ac:dyDescent="0.3">
      <c r="A145" s="90" t="s">
        <v>46</v>
      </c>
      <c r="B145" s="77" t="s">
        <v>40</v>
      </c>
      <c r="C145" s="137"/>
      <c r="D145" s="90"/>
      <c r="E145" s="90"/>
      <c r="F145" s="136">
        <f>SUM(F136:F144)</f>
        <v>15600</v>
      </c>
      <c r="G145" s="136"/>
      <c r="H145" s="136"/>
      <c r="I145" s="136"/>
      <c r="J145" s="136" t="s">
        <v>58</v>
      </c>
      <c r="K145" s="64" t="s">
        <v>609</v>
      </c>
      <c r="L145" s="136">
        <f>SUM(L136:L144)</f>
        <v>0</v>
      </c>
      <c r="M145" s="136">
        <f>SUM(M136:M144)</f>
        <v>0</v>
      </c>
      <c r="N145" s="90">
        <f>SUMIF(N136:N144,"&lt;0")</f>
        <v>-15600</v>
      </c>
      <c r="O145" s="136"/>
      <c r="P145" s="136">
        <f>SUM(P136:P144)</f>
        <v>0</v>
      </c>
      <c r="Q145" s="136">
        <f>SUM(Q136:Q144)</f>
        <v>0</v>
      </c>
      <c r="R145" s="136">
        <f>SUM(R136:R144)</f>
        <v>0</v>
      </c>
      <c r="S145" s="136">
        <f>SUM(S136:S144)</f>
        <v>0</v>
      </c>
      <c r="T145" s="136">
        <f>SUM(T136:T144)</f>
        <v>0</v>
      </c>
      <c r="U145" s="59">
        <f t="shared" si="149"/>
        <v>0</v>
      </c>
      <c r="V145" s="136">
        <f>SUM(V136:V144)</f>
        <v>0</v>
      </c>
      <c r="W145" s="136">
        <f>SUM(W136:W144)</f>
        <v>0</v>
      </c>
      <c r="X145" s="136">
        <f>SUM(X136:X144)</f>
        <v>0</v>
      </c>
      <c r="Y145" s="136"/>
      <c r="Z145" s="136"/>
      <c r="AA145" s="136"/>
      <c r="AB145" s="84"/>
      <c r="AC145" s="136"/>
      <c r="AD145" s="136"/>
      <c r="AE145" s="100">
        <f t="shared" si="228"/>
        <v>-1</v>
      </c>
      <c r="AF145" s="90"/>
      <c r="AG145" s="109">
        <f t="shared" si="227"/>
        <v>-15600</v>
      </c>
      <c r="AH145" s="100">
        <f t="shared" si="229"/>
        <v>-1</v>
      </c>
      <c r="AI145" s="100">
        <f t="shared" si="230"/>
        <v>-1</v>
      </c>
    </row>
    <row r="146" spans="1:35" s="50" customFormat="1" ht="17.25" customHeight="1" x14ac:dyDescent="0.3">
      <c r="A146" s="106"/>
      <c r="B146" s="107" t="s">
        <v>40</v>
      </c>
      <c r="C146" s="276" t="s">
        <v>1036</v>
      </c>
      <c r="D146" s="313" t="s">
        <v>246</v>
      </c>
      <c r="E146" s="149" t="s">
        <v>114</v>
      </c>
      <c r="F146" s="276">
        <v>900</v>
      </c>
      <c r="G146" s="106"/>
      <c r="H146" s="106"/>
      <c r="I146" s="106"/>
      <c r="J146" s="106"/>
      <c r="K146" s="106"/>
      <c r="L146" s="106"/>
      <c r="M146" s="106"/>
      <c r="N146" s="110">
        <f t="shared" ref="N146:N148" si="282">M146-F146</f>
        <v>-900</v>
      </c>
      <c r="O146" s="110"/>
      <c r="P146" s="106"/>
      <c r="Q146" s="106"/>
      <c r="R146" s="106"/>
      <c r="S146" s="106"/>
      <c r="T146" s="110">
        <f t="shared" ref="T146:T148" si="283">S146-Q146</f>
        <v>0</v>
      </c>
      <c r="U146" s="59">
        <f t="shared" ref="U146:U149" si="284">IF(Q146&gt;0,S146-W146,M146-W146)</f>
        <v>0</v>
      </c>
      <c r="V146" s="106"/>
      <c r="W146" s="106"/>
      <c r="X146" s="110">
        <f t="shared" ref="X146:X148" si="285">+W146-M146</f>
        <v>0</v>
      </c>
      <c r="Y146" s="110"/>
      <c r="Z146" s="110"/>
      <c r="AA146" s="110"/>
      <c r="AB146" s="106"/>
      <c r="AC146" s="106"/>
      <c r="AD146" s="106"/>
      <c r="AE146" s="100">
        <f t="shared" si="228"/>
        <v>-1</v>
      </c>
      <c r="AF146" s="90"/>
      <c r="AG146" s="109">
        <f t="shared" si="227"/>
        <v>-900</v>
      </c>
      <c r="AH146" s="100">
        <f t="shared" si="229"/>
        <v>-1</v>
      </c>
      <c r="AI146" s="100">
        <f t="shared" si="230"/>
        <v>-1</v>
      </c>
    </row>
    <row r="147" spans="1:35" s="50" customFormat="1" ht="17.25" customHeight="1" x14ac:dyDescent="0.3">
      <c r="A147" s="106"/>
      <c r="B147" s="107" t="s">
        <v>40</v>
      </c>
      <c r="C147" s="276" t="s">
        <v>1036</v>
      </c>
      <c r="D147" s="314"/>
      <c r="E147" s="149" t="s">
        <v>1037</v>
      </c>
      <c r="F147" s="276">
        <v>900</v>
      </c>
      <c r="G147" s="106"/>
      <c r="H147" s="106"/>
      <c r="I147" s="106"/>
      <c r="J147" s="106"/>
      <c r="K147" s="106"/>
      <c r="L147" s="106"/>
      <c r="M147" s="106"/>
      <c r="N147" s="110">
        <f t="shared" ref="N147" si="286">M147-F147</f>
        <v>-900</v>
      </c>
      <c r="O147" s="110"/>
      <c r="P147" s="106"/>
      <c r="Q147" s="106"/>
      <c r="R147" s="106"/>
      <c r="S147" s="106"/>
      <c r="T147" s="110">
        <f t="shared" ref="T147" si="287">S147-Q147</f>
        <v>0</v>
      </c>
      <c r="U147" s="59">
        <f t="shared" ref="U147" si="288">IF(Q147&gt;0,S147-W147,M147-W147)</f>
        <v>0</v>
      </c>
      <c r="V147" s="106"/>
      <c r="W147" s="106"/>
      <c r="X147" s="110">
        <f t="shared" ref="X147" si="289">+W147-M147</f>
        <v>0</v>
      </c>
      <c r="Y147" s="110"/>
      <c r="Z147" s="110"/>
      <c r="AA147" s="110"/>
      <c r="AB147" s="106"/>
      <c r="AC147" s="106"/>
      <c r="AD147" s="106"/>
      <c r="AE147" s="100">
        <f t="shared" ref="AE147" si="290">N147/F147</f>
        <v>-1</v>
      </c>
      <c r="AF147" s="90"/>
      <c r="AG147" s="109">
        <f t="shared" ref="AG147" si="291">IF(N147&lt;0,N147,0)</f>
        <v>-900</v>
      </c>
      <c r="AH147" s="100">
        <f t="shared" ref="AH147" si="292">(S147-F147)/F147</f>
        <v>-1</v>
      </c>
      <c r="AI147" s="100">
        <f t="shared" ref="AI147" si="293">(W147-F147)/F147</f>
        <v>-1</v>
      </c>
    </row>
    <row r="148" spans="1:35" s="50" customFormat="1" ht="17.25" customHeight="1" x14ac:dyDescent="0.3">
      <c r="A148" s="106"/>
      <c r="B148" s="107" t="s">
        <v>40</v>
      </c>
      <c r="C148" s="276" t="s">
        <v>1036</v>
      </c>
      <c r="D148" s="314"/>
      <c r="E148" s="149" t="s">
        <v>1038</v>
      </c>
      <c r="F148" s="276">
        <v>900</v>
      </c>
      <c r="G148" s="106"/>
      <c r="H148" s="106"/>
      <c r="I148" s="106"/>
      <c r="J148" s="106"/>
      <c r="K148" s="106"/>
      <c r="L148" s="106"/>
      <c r="M148" s="106"/>
      <c r="N148" s="110">
        <f t="shared" si="282"/>
        <v>-900</v>
      </c>
      <c r="O148" s="110"/>
      <c r="P148" s="106"/>
      <c r="Q148" s="106"/>
      <c r="R148" s="106"/>
      <c r="S148" s="106"/>
      <c r="T148" s="110">
        <f t="shared" si="283"/>
        <v>0</v>
      </c>
      <c r="U148" s="59">
        <f t="shared" si="284"/>
        <v>0</v>
      </c>
      <c r="V148" s="106"/>
      <c r="W148" s="106"/>
      <c r="X148" s="110">
        <f t="shared" si="285"/>
        <v>0</v>
      </c>
      <c r="Y148" s="110"/>
      <c r="Z148" s="110"/>
      <c r="AA148" s="110"/>
      <c r="AB148" s="106"/>
      <c r="AC148" s="106"/>
      <c r="AD148" s="106"/>
      <c r="AE148" s="100">
        <f t="shared" si="228"/>
        <v>-1</v>
      </c>
      <c r="AF148" s="90"/>
      <c r="AG148" s="109">
        <f t="shared" si="227"/>
        <v>-900</v>
      </c>
      <c r="AH148" s="100">
        <f t="shared" si="229"/>
        <v>-1</v>
      </c>
      <c r="AI148" s="100">
        <f t="shared" si="230"/>
        <v>-1</v>
      </c>
    </row>
    <row r="149" spans="1:35" s="43" customFormat="1" ht="15" customHeight="1" x14ac:dyDescent="0.3">
      <c r="A149" s="90" t="s">
        <v>46</v>
      </c>
      <c r="B149" s="77" t="s">
        <v>40</v>
      </c>
      <c r="C149" s="137"/>
      <c r="D149" s="90"/>
      <c r="E149" s="90"/>
      <c r="F149" s="136">
        <f>SUM(F146:F148)</f>
        <v>2700</v>
      </c>
      <c r="G149" s="136"/>
      <c r="H149" s="136"/>
      <c r="I149" s="136"/>
      <c r="J149" s="136" t="s">
        <v>58</v>
      </c>
      <c r="K149" s="64" t="s">
        <v>687</v>
      </c>
      <c r="L149" s="136">
        <f>SUM(L146:L148)</f>
        <v>0</v>
      </c>
      <c r="M149" s="136">
        <f>SUM(M146:M148)</f>
        <v>0</v>
      </c>
      <c r="N149" s="90">
        <f>SUMIF(N146:N148,"&lt;0")</f>
        <v>-2700</v>
      </c>
      <c r="O149" s="136"/>
      <c r="P149" s="136">
        <f>SUM(P146:P148)</f>
        <v>0</v>
      </c>
      <c r="Q149" s="136">
        <f>SUM(Q146:Q148)</f>
        <v>0</v>
      </c>
      <c r="R149" s="136">
        <f>SUM(R146:R148)</f>
        <v>0</v>
      </c>
      <c r="S149" s="136">
        <f>SUM(S146:S148)</f>
        <v>0</v>
      </c>
      <c r="T149" s="136">
        <f>SUM(T146:T148)</f>
        <v>0</v>
      </c>
      <c r="U149" s="59">
        <f t="shared" si="284"/>
        <v>0</v>
      </c>
      <c r="V149" s="136">
        <f>SUM(V146:V148)</f>
        <v>0</v>
      </c>
      <c r="W149" s="136">
        <f>SUM(W146:W148)</f>
        <v>0</v>
      </c>
      <c r="X149" s="136">
        <f>SUM(X146:X148)</f>
        <v>0</v>
      </c>
      <c r="Y149" s="136"/>
      <c r="Z149" s="136"/>
      <c r="AA149" s="136"/>
      <c r="AB149" s="84"/>
      <c r="AC149" s="136"/>
      <c r="AD149" s="136"/>
      <c r="AE149" s="100">
        <f t="shared" si="228"/>
        <v>-1</v>
      </c>
      <c r="AF149" s="90"/>
      <c r="AG149" s="109">
        <f t="shared" si="227"/>
        <v>-2700</v>
      </c>
      <c r="AH149" s="100">
        <f t="shared" si="229"/>
        <v>-1</v>
      </c>
      <c r="AI149" s="100">
        <f t="shared" si="230"/>
        <v>-1</v>
      </c>
    </row>
    <row r="150" spans="1:35" s="50" customFormat="1" ht="17.25" customHeight="1" x14ac:dyDescent="0.3">
      <c r="A150" s="106"/>
      <c r="B150" s="107" t="s">
        <v>40</v>
      </c>
      <c r="C150" s="205" t="s">
        <v>702</v>
      </c>
      <c r="D150" s="313" t="s">
        <v>476</v>
      </c>
      <c r="E150" s="149" t="s">
        <v>0</v>
      </c>
      <c r="F150" s="205">
        <v>2000</v>
      </c>
      <c r="G150" s="106"/>
      <c r="H150" s="106"/>
      <c r="I150" s="106"/>
      <c r="J150" s="106"/>
      <c r="K150" s="106"/>
      <c r="L150" s="106"/>
      <c r="M150" s="106">
        <f>27+909+666+450+23</f>
        <v>2075</v>
      </c>
      <c r="N150" s="110">
        <f t="shared" ref="N150:N151" si="294">M150-F150</f>
        <v>75</v>
      </c>
      <c r="O150" s="110"/>
      <c r="P150" s="106"/>
      <c r="Q150" s="106"/>
      <c r="R150" s="106"/>
      <c r="S150" s="106"/>
      <c r="T150" s="110">
        <f t="shared" ref="T150:T151" si="295">S150-Q150</f>
        <v>0</v>
      </c>
      <c r="U150" s="59">
        <f t="shared" si="149"/>
        <v>0</v>
      </c>
      <c r="V150" s="106"/>
      <c r="W150" s="106">
        <f>2009+66</f>
        <v>2075</v>
      </c>
      <c r="X150" s="110">
        <f t="shared" ref="X150:X151" si="296">+W150-M150</f>
        <v>0</v>
      </c>
      <c r="Y150" s="110"/>
      <c r="Z150" s="110"/>
      <c r="AA150" s="110"/>
      <c r="AB150" s="106"/>
      <c r="AC150" s="106"/>
      <c r="AD150" s="106"/>
      <c r="AE150" s="100">
        <f t="shared" ref="AE150:AE152" si="297">N150/F150</f>
        <v>3.7499999999999999E-2</v>
      </c>
      <c r="AF150" s="90"/>
      <c r="AG150" s="109">
        <f t="shared" ref="AG150:AG152" si="298">IF(N150&lt;0,N150,0)</f>
        <v>0</v>
      </c>
      <c r="AH150" s="100">
        <f t="shared" ref="AH150:AH152" si="299">(S150-F150)/F150</f>
        <v>-1</v>
      </c>
      <c r="AI150" s="100">
        <f t="shared" ref="AI150:AI152" si="300">(W150-F150)/F150</f>
        <v>3.7499999999999999E-2</v>
      </c>
    </row>
    <row r="151" spans="1:35" s="50" customFormat="1" ht="17.25" customHeight="1" x14ac:dyDescent="0.3">
      <c r="A151" s="106"/>
      <c r="B151" s="107" t="s">
        <v>40</v>
      </c>
      <c r="C151" s="243" t="s">
        <v>702</v>
      </c>
      <c r="D151" s="314"/>
      <c r="E151" s="149" t="s">
        <v>153</v>
      </c>
      <c r="F151" s="205">
        <v>2000</v>
      </c>
      <c r="G151" s="106"/>
      <c r="H151" s="106"/>
      <c r="I151" s="106"/>
      <c r="J151" s="106"/>
      <c r="K151" s="106"/>
      <c r="L151" s="106"/>
      <c r="M151" s="106">
        <f>954+1116+27</f>
        <v>2097</v>
      </c>
      <c r="N151" s="110">
        <f t="shared" si="294"/>
        <v>97</v>
      </c>
      <c r="O151" s="110"/>
      <c r="P151" s="106"/>
      <c r="Q151" s="106"/>
      <c r="R151" s="106"/>
      <c r="S151" s="106"/>
      <c r="T151" s="110">
        <f t="shared" si="295"/>
        <v>0</v>
      </c>
      <c r="U151" s="59">
        <f t="shared" si="149"/>
        <v>1</v>
      </c>
      <c r="V151" s="106"/>
      <c r="W151" s="106">
        <v>2096</v>
      </c>
      <c r="X151" s="110">
        <f t="shared" si="296"/>
        <v>-1</v>
      </c>
      <c r="Y151" s="110"/>
      <c r="Z151" s="110"/>
      <c r="AA151" s="110"/>
      <c r="AB151" s="106"/>
      <c r="AC151" s="106"/>
      <c r="AD151" s="106"/>
      <c r="AE151" s="100">
        <f t="shared" si="297"/>
        <v>4.8500000000000001E-2</v>
      </c>
      <c r="AF151" s="90"/>
      <c r="AG151" s="109">
        <f t="shared" si="298"/>
        <v>0</v>
      </c>
      <c r="AH151" s="100">
        <f t="shared" si="299"/>
        <v>-1</v>
      </c>
      <c r="AI151" s="100">
        <f t="shared" si="300"/>
        <v>4.8000000000000001E-2</v>
      </c>
    </row>
    <row r="152" spans="1:35" s="43" customFormat="1" ht="15" customHeight="1" x14ac:dyDescent="0.3">
      <c r="A152" s="90" t="s">
        <v>46</v>
      </c>
      <c r="B152" s="77" t="s">
        <v>40</v>
      </c>
      <c r="C152" s="137"/>
      <c r="D152" s="90"/>
      <c r="E152" s="90"/>
      <c r="F152" s="136">
        <f>SUM(F150:F151)</f>
        <v>4000</v>
      </c>
      <c r="G152" s="136"/>
      <c r="H152" s="136"/>
      <c r="I152" s="136"/>
      <c r="J152" s="136" t="s">
        <v>60</v>
      </c>
      <c r="K152" s="64" t="s">
        <v>340</v>
      </c>
      <c r="L152" s="136">
        <f>SUM(L150:L151)</f>
        <v>0</v>
      </c>
      <c r="M152" s="136">
        <f>SUM(M150:M151)</f>
        <v>4172</v>
      </c>
      <c r="N152" s="90">
        <f>SUMIF(N150:N151,"&lt;0")</f>
        <v>0</v>
      </c>
      <c r="O152" s="136"/>
      <c r="P152" s="136">
        <f>SUM(P150:P151)</f>
        <v>0</v>
      </c>
      <c r="Q152" s="136">
        <f>SUM(Q150:Q151)</f>
        <v>0</v>
      </c>
      <c r="R152" s="136">
        <f>SUM(R150:R151)</f>
        <v>0</v>
      </c>
      <c r="S152" s="136">
        <f>SUM(S150:S151)</f>
        <v>0</v>
      </c>
      <c r="T152" s="136">
        <f>SUM(T150:T151)</f>
        <v>0</v>
      </c>
      <c r="U152" s="59">
        <f t="shared" si="149"/>
        <v>1</v>
      </c>
      <c r="V152" s="136">
        <f>SUM(V150:V151)</f>
        <v>0</v>
      </c>
      <c r="W152" s="136">
        <f>SUM(W150:W151)</f>
        <v>4171</v>
      </c>
      <c r="X152" s="136">
        <f>SUM(X150:X151)</f>
        <v>-1</v>
      </c>
      <c r="Y152" s="136"/>
      <c r="Z152" s="136"/>
      <c r="AA152" s="136"/>
      <c r="AB152" s="84"/>
      <c r="AC152" s="136"/>
      <c r="AD152" s="136"/>
      <c r="AE152" s="100">
        <f t="shared" si="297"/>
        <v>0</v>
      </c>
      <c r="AF152" s="90"/>
      <c r="AG152" s="109">
        <f t="shared" si="298"/>
        <v>0</v>
      </c>
      <c r="AH152" s="100">
        <f t="shared" si="299"/>
        <v>-1</v>
      </c>
      <c r="AI152" s="100">
        <f t="shared" si="300"/>
        <v>4.2750000000000003E-2</v>
      </c>
    </row>
    <row r="153" spans="1:35" s="50" customFormat="1" ht="17.25" customHeight="1" x14ac:dyDescent="0.3">
      <c r="A153" s="106"/>
      <c r="B153" s="107" t="s">
        <v>40</v>
      </c>
      <c r="C153" s="205" t="s">
        <v>1045</v>
      </c>
      <c r="D153" s="313" t="s">
        <v>255</v>
      </c>
      <c r="E153" s="149" t="s">
        <v>0</v>
      </c>
      <c r="F153" s="205">
        <v>3000</v>
      </c>
      <c r="G153" s="106"/>
      <c r="H153" s="106"/>
      <c r="I153" s="106"/>
      <c r="J153" s="106"/>
      <c r="K153" s="106"/>
      <c r="L153" s="106"/>
      <c r="M153" s="106"/>
      <c r="N153" s="110">
        <f t="shared" ref="N153:N154" si="301">M153-F153</f>
        <v>-3000</v>
      </c>
      <c r="O153" s="110"/>
      <c r="P153" s="106"/>
      <c r="Q153" s="106"/>
      <c r="R153" s="106"/>
      <c r="S153" s="106"/>
      <c r="T153" s="110">
        <f t="shared" ref="T153:T154" si="302">S153-Q153</f>
        <v>0</v>
      </c>
      <c r="U153" s="59">
        <f t="shared" ref="U153:U261" si="303">IF(Q153&gt;0,S153-W153,M153-W153)</f>
        <v>0</v>
      </c>
      <c r="V153" s="106"/>
      <c r="W153" s="106"/>
      <c r="X153" s="110">
        <f t="shared" ref="X153:X154" si="304">+W153-M153</f>
        <v>0</v>
      </c>
      <c r="Y153" s="110"/>
      <c r="Z153" s="110"/>
      <c r="AA153" s="110"/>
      <c r="AB153" s="106"/>
      <c r="AC153" s="106"/>
      <c r="AD153" s="106"/>
      <c r="AE153" s="100">
        <f t="shared" ref="AE153:AE186" si="305">N153/F153</f>
        <v>-1</v>
      </c>
      <c r="AF153" s="90"/>
      <c r="AG153" s="109">
        <f t="shared" ref="AG153:AG186" si="306">IF(N153&lt;0,N153,0)</f>
        <v>-3000</v>
      </c>
      <c r="AH153" s="100">
        <f t="shared" ref="AH153:AH186" si="307">(S153-F153)/F153</f>
        <v>-1</v>
      </c>
      <c r="AI153" s="100">
        <f t="shared" ref="AI153:AI186" si="308">(W153-F153)/F153</f>
        <v>-1</v>
      </c>
    </row>
    <row r="154" spans="1:35" s="50" customFormat="1" ht="17.25" customHeight="1" x14ac:dyDescent="0.3">
      <c r="A154" s="106"/>
      <c r="B154" s="107" t="s">
        <v>40</v>
      </c>
      <c r="C154" s="276" t="s">
        <v>1045</v>
      </c>
      <c r="D154" s="314"/>
      <c r="E154" s="149" t="s">
        <v>5</v>
      </c>
      <c r="F154" s="205">
        <v>3000</v>
      </c>
      <c r="G154" s="106"/>
      <c r="H154" s="106"/>
      <c r="I154" s="106"/>
      <c r="J154" s="106"/>
      <c r="K154" s="106"/>
      <c r="L154" s="106"/>
      <c r="M154" s="106"/>
      <c r="N154" s="110">
        <f t="shared" si="301"/>
        <v>-3000</v>
      </c>
      <c r="O154" s="110"/>
      <c r="P154" s="106"/>
      <c r="Q154" s="106"/>
      <c r="R154" s="106"/>
      <c r="S154" s="106"/>
      <c r="T154" s="110">
        <f t="shared" si="302"/>
        <v>0</v>
      </c>
      <c r="U154" s="59">
        <f t="shared" si="303"/>
        <v>0</v>
      </c>
      <c r="V154" s="106"/>
      <c r="W154" s="106"/>
      <c r="X154" s="110">
        <f t="shared" si="304"/>
        <v>0</v>
      </c>
      <c r="Y154" s="110"/>
      <c r="Z154" s="110"/>
      <c r="AA154" s="110"/>
      <c r="AB154" s="106"/>
      <c r="AC154" s="106"/>
      <c r="AD154" s="106"/>
      <c r="AE154" s="100">
        <f t="shared" si="305"/>
        <v>-1</v>
      </c>
      <c r="AF154" s="90"/>
      <c r="AG154" s="109">
        <f t="shared" si="306"/>
        <v>-3000</v>
      </c>
      <c r="AH154" s="100">
        <f t="shared" si="307"/>
        <v>-1</v>
      </c>
      <c r="AI154" s="100">
        <f t="shared" si="308"/>
        <v>-1</v>
      </c>
    </row>
    <row r="155" spans="1:35" s="43" customFormat="1" ht="15" customHeight="1" x14ac:dyDescent="0.3">
      <c r="A155" s="90" t="s">
        <v>46</v>
      </c>
      <c r="B155" s="77" t="s">
        <v>40</v>
      </c>
      <c r="C155" s="137"/>
      <c r="D155" s="90"/>
      <c r="E155" s="90"/>
      <c r="F155" s="136">
        <f>SUM(F153:F154)</f>
        <v>6000</v>
      </c>
      <c r="G155" s="136"/>
      <c r="H155" s="136"/>
      <c r="I155" s="136"/>
      <c r="J155" s="136" t="s">
        <v>58</v>
      </c>
      <c r="K155" s="64" t="s">
        <v>609</v>
      </c>
      <c r="L155" s="136">
        <f>SUM(L153:L154)</f>
        <v>0</v>
      </c>
      <c r="M155" s="136">
        <f>SUM(M153:M154)</f>
        <v>0</v>
      </c>
      <c r="N155" s="90">
        <f>SUMIF(N153:N154,"&lt;0")</f>
        <v>-6000</v>
      </c>
      <c r="O155" s="136"/>
      <c r="P155" s="136">
        <f>SUM(P153:P154)</f>
        <v>0</v>
      </c>
      <c r="Q155" s="136">
        <f>SUM(Q153:Q154)</f>
        <v>0</v>
      </c>
      <c r="R155" s="136">
        <f>SUM(R153:R154)</f>
        <v>0</v>
      </c>
      <c r="S155" s="136">
        <f>SUM(S153:S154)</f>
        <v>0</v>
      </c>
      <c r="T155" s="136">
        <f>SUM(T153:T154)</f>
        <v>0</v>
      </c>
      <c r="U155" s="59">
        <f t="shared" si="303"/>
        <v>0</v>
      </c>
      <c r="V155" s="136">
        <f>SUM(V153:V154)</f>
        <v>0</v>
      </c>
      <c r="W155" s="136">
        <f>SUM(W153:W154)</f>
        <v>0</v>
      </c>
      <c r="X155" s="136">
        <f>SUM(X153:X154)</f>
        <v>0</v>
      </c>
      <c r="Y155" s="136"/>
      <c r="Z155" s="136"/>
      <c r="AA155" s="136"/>
      <c r="AB155" s="84"/>
      <c r="AC155" s="136"/>
      <c r="AD155" s="136"/>
      <c r="AE155" s="100">
        <f t="shared" si="305"/>
        <v>-1</v>
      </c>
      <c r="AF155" s="90"/>
      <c r="AG155" s="109">
        <f t="shared" si="306"/>
        <v>-6000</v>
      </c>
      <c r="AH155" s="100">
        <f t="shared" si="307"/>
        <v>-1</v>
      </c>
      <c r="AI155" s="100">
        <f t="shared" si="308"/>
        <v>-1</v>
      </c>
    </row>
    <row r="156" spans="1:35" s="50" customFormat="1" ht="17.25" customHeight="1" x14ac:dyDescent="0.3">
      <c r="A156" s="106"/>
      <c r="B156" s="107" t="s">
        <v>40</v>
      </c>
      <c r="C156" s="205">
        <v>48541</v>
      </c>
      <c r="D156" s="313" t="s">
        <v>1047</v>
      </c>
      <c r="E156" s="149" t="s">
        <v>0</v>
      </c>
      <c r="F156" s="205">
        <v>800</v>
      </c>
      <c r="G156" s="106"/>
      <c r="H156" s="106"/>
      <c r="I156" s="106"/>
      <c r="J156" s="106"/>
      <c r="K156" s="106"/>
      <c r="L156" s="106"/>
      <c r="M156" s="106"/>
      <c r="N156" s="110">
        <f t="shared" ref="N156:N158" si="309">M156-F156</f>
        <v>-800</v>
      </c>
      <c r="O156" s="110"/>
      <c r="P156" s="106"/>
      <c r="Q156" s="106"/>
      <c r="R156" s="106"/>
      <c r="S156" s="106"/>
      <c r="T156" s="110">
        <f t="shared" ref="T156:T158" si="310">S156-Q156</f>
        <v>0</v>
      </c>
      <c r="U156" s="59">
        <f t="shared" si="303"/>
        <v>0</v>
      </c>
      <c r="V156" s="106"/>
      <c r="W156" s="106"/>
      <c r="X156" s="110">
        <f t="shared" ref="X156:X158" si="311">+W156-M156</f>
        <v>0</v>
      </c>
      <c r="Y156" s="110"/>
      <c r="Z156" s="110"/>
      <c r="AA156" s="110"/>
      <c r="AB156" s="106"/>
      <c r="AC156" s="106"/>
      <c r="AD156" s="106"/>
      <c r="AE156" s="100">
        <f t="shared" si="305"/>
        <v>-1</v>
      </c>
      <c r="AF156" s="90"/>
      <c r="AG156" s="109">
        <f t="shared" si="306"/>
        <v>-800</v>
      </c>
      <c r="AH156" s="100">
        <f t="shared" si="307"/>
        <v>-1</v>
      </c>
      <c r="AI156" s="100">
        <f t="shared" si="308"/>
        <v>-1</v>
      </c>
    </row>
    <row r="157" spans="1:35" s="50" customFormat="1" ht="17.25" customHeight="1" x14ac:dyDescent="0.3">
      <c r="A157" s="106"/>
      <c r="B157" s="107" t="s">
        <v>40</v>
      </c>
      <c r="C157" s="276">
        <v>48541</v>
      </c>
      <c r="D157" s="314"/>
      <c r="E157" s="149" t="s">
        <v>114</v>
      </c>
      <c r="F157" s="276">
        <v>800</v>
      </c>
      <c r="G157" s="106"/>
      <c r="H157" s="106"/>
      <c r="I157" s="106"/>
      <c r="J157" s="106"/>
      <c r="K157" s="106"/>
      <c r="L157" s="106"/>
      <c r="M157" s="106"/>
      <c r="N157" s="110">
        <f t="shared" ref="N157" si="312">M157-F157</f>
        <v>-800</v>
      </c>
      <c r="O157" s="110"/>
      <c r="P157" s="106"/>
      <c r="Q157" s="106"/>
      <c r="R157" s="106"/>
      <c r="S157" s="106"/>
      <c r="T157" s="110">
        <f t="shared" ref="T157" si="313">S157-Q157</f>
        <v>0</v>
      </c>
      <c r="U157" s="59">
        <f t="shared" ref="U157" si="314">IF(Q157&gt;0,S157-W157,M157-W157)</f>
        <v>0</v>
      </c>
      <c r="V157" s="106"/>
      <c r="W157" s="106"/>
      <c r="X157" s="110">
        <f t="shared" ref="X157" si="315">+W157-M157</f>
        <v>0</v>
      </c>
      <c r="Y157" s="110"/>
      <c r="Z157" s="110"/>
      <c r="AA157" s="110"/>
      <c r="AB157" s="106"/>
      <c r="AC157" s="106"/>
      <c r="AD157" s="106"/>
      <c r="AE157" s="100">
        <f t="shared" ref="AE157" si="316">N157/F157</f>
        <v>-1</v>
      </c>
      <c r="AF157" s="90"/>
      <c r="AG157" s="109">
        <f t="shared" ref="AG157" si="317">IF(N157&lt;0,N157,0)</f>
        <v>-800</v>
      </c>
      <c r="AH157" s="100">
        <f t="shared" ref="AH157" si="318">(S157-F157)/F157</f>
        <v>-1</v>
      </c>
      <c r="AI157" s="100">
        <f t="shared" ref="AI157" si="319">(W157-F157)/F157</f>
        <v>-1</v>
      </c>
    </row>
    <row r="158" spans="1:35" s="50" customFormat="1" ht="17.25" customHeight="1" x14ac:dyDescent="0.3">
      <c r="A158" s="106"/>
      <c r="B158" s="107" t="s">
        <v>40</v>
      </c>
      <c r="C158" s="205">
        <v>48541</v>
      </c>
      <c r="D158" s="314"/>
      <c r="E158" s="149" t="s">
        <v>247</v>
      </c>
      <c r="F158" s="205">
        <v>800</v>
      </c>
      <c r="G158" s="106"/>
      <c r="H158" s="106"/>
      <c r="I158" s="106"/>
      <c r="J158" s="106"/>
      <c r="K158" s="106"/>
      <c r="L158" s="106"/>
      <c r="M158" s="106"/>
      <c r="N158" s="110">
        <f t="shared" si="309"/>
        <v>-800</v>
      </c>
      <c r="O158" s="110"/>
      <c r="P158" s="106"/>
      <c r="Q158" s="106"/>
      <c r="R158" s="106"/>
      <c r="S158" s="106"/>
      <c r="T158" s="110">
        <f t="shared" si="310"/>
        <v>0</v>
      </c>
      <c r="U158" s="59">
        <f t="shared" si="303"/>
        <v>0</v>
      </c>
      <c r="V158" s="106"/>
      <c r="W158" s="106"/>
      <c r="X158" s="110">
        <f t="shared" si="311"/>
        <v>0</v>
      </c>
      <c r="Y158" s="110"/>
      <c r="Z158" s="110"/>
      <c r="AA158" s="110"/>
      <c r="AB158" s="106"/>
      <c r="AC158" s="106"/>
      <c r="AD158" s="106"/>
      <c r="AE158" s="100">
        <f t="shared" si="305"/>
        <v>-1</v>
      </c>
      <c r="AF158" s="90"/>
      <c r="AG158" s="109">
        <f t="shared" si="306"/>
        <v>-800</v>
      </c>
      <c r="AH158" s="100">
        <f t="shared" si="307"/>
        <v>-1</v>
      </c>
      <c r="AI158" s="100">
        <f t="shared" si="308"/>
        <v>-1</v>
      </c>
    </row>
    <row r="159" spans="1:35" s="43" customFormat="1" ht="15" customHeight="1" x14ac:dyDescent="0.3">
      <c r="A159" s="90" t="s">
        <v>46</v>
      </c>
      <c r="B159" s="77" t="s">
        <v>40</v>
      </c>
      <c r="C159" s="137"/>
      <c r="D159" s="90"/>
      <c r="E159" s="90"/>
      <c r="F159" s="136">
        <f>SUM(F156:F158)</f>
        <v>2400</v>
      </c>
      <c r="G159" s="136"/>
      <c r="H159" s="136"/>
      <c r="I159" s="136"/>
      <c r="J159" s="136"/>
      <c r="K159" s="64" t="s">
        <v>1046</v>
      </c>
      <c r="L159" s="136">
        <f>SUM(L156:L158)</f>
        <v>0</v>
      </c>
      <c r="M159" s="136">
        <f>SUM(M156:M158)</f>
        <v>0</v>
      </c>
      <c r="N159" s="90">
        <f>SUMIF(N156:N158,"&lt;0")</f>
        <v>-2400</v>
      </c>
      <c r="O159" s="136"/>
      <c r="P159" s="136">
        <f>SUM(P156:P158)</f>
        <v>0</v>
      </c>
      <c r="Q159" s="136">
        <f>SUM(Q156:Q158)</f>
        <v>0</v>
      </c>
      <c r="R159" s="136">
        <f>SUM(R156:R158)</f>
        <v>0</v>
      </c>
      <c r="S159" s="136">
        <f>SUM(S156:S158)</f>
        <v>0</v>
      </c>
      <c r="T159" s="136">
        <f>SUM(T156:T158)</f>
        <v>0</v>
      </c>
      <c r="U159" s="59">
        <f t="shared" si="303"/>
        <v>0</v>
      </c>
      <c r="V159" s="136">
        <f>SUM(V156:V158)</f>
        <v>0</v>
      </c>
      <c r="W159" s="136">
        <f>SUM(W156:W158)</f>
        <v>0</v>
      </c>
      <c r="X159" s="136">
        <f>SUM(X156:X158)</f>
        <v>0</v>
      </c>
      <c r="Y159" s="136"/>
      <c r="Z159" s="136"/>
      <c r="AA159" s="136"/>
      <c r="AB159" s="84"/>
      <c r="AC159" s="136"/>
      <c r="AD159" s="136"/>
      <c r="AE159" s="100">
        <f t="shared" si="305"/>
        <v>-1</v>
      </c>
      <c r="AF159" s="90"/>
      <c r="AG159" s="109">
        <f t="shared" si="306"/>
        <v>-2400</v>
      </c>
      <c r="AH159" s="100">
        <f t="shared" si="307"/>
        <v>-1</v>
      </c>
      <c r="AI159" s="100">
        <f t="shared" si="308"/>
        <v>-1</v>
      </c>
    </row>
    <row r="160" spans="1:35" s="50" customFormat="1" ht="17.25" customHeight="1" x14ac:dyDescent="0.3">
      <c r="A160" s="106"/>
      <c r="B160" s="107" t="s">
        <v>40</v>
      </c>
      <c r="C160" s="243" t="s">
        <v>691</v>
      </c>
      <c r="D160" s="313" t="s">
        <v>250</v>
      </c>
      <c r="E160" s="149" t="s">
        <v>0</v>
      </c>
      <c r="F160" s="243">
        <v>2000</v>
      </c>
      <c r="G160" s="106"/>
      <c r="H160" s="106"/>
      <c r="I160" s="106"/>
      <c r="J160" s="106"/>
      <c r="K160" s="106"/>
      <c r="L160" s="106"/>
      <c r="M160" s="106">
        <f>1752+192+100</f>
        <v>2044</v>
      </c>
      <c r="N160" s="110">
        <f t="shared" ref="N160:N163" si="320">M160-F160</f>
        <v>44</v>
      </c>
      <c r="O160" s="110"/>
      <c r="P160" s="106"/>
      <c r="Q160" s="106"/>
      <c r="R160" s="106"/>
      <c r="S160" s="106"/>
      <c r="T160" s="110">
        <f t="shared" ref="T160:T163" si="321">S160-Q160</f>
        <v>0</v>
      </c>
      <c r="U160" s="59">
        <f t="shared" si="303"/>
        <v>0</v>
      </c>
      <c r="V160" s="106"/>
      <c r="W160" s="106">
        <v>2044</v>
      </c>
      <c r="X160" s="110">
        <f t="shared" ref="X160:X163" si="322">+W160-M160</f>
        <v>0</v>
      </c>
      <c r="Y160" s="110"/>
      <c r="Z160" s="110"/>
      <c r="AA160" s="110"/>
      <c r="AB160" s="106"/>
      <c r="AC160" s="106"/>
      <c r="AD160" s="106"/>
      <c r="AE160" s="100">
        <f t="shared" si="305"/>
        <v>2.1999999999999999E-2</v>
      </c>
      <c r="AF160" s="90"/>
      <c r="AG160" s="109">
        <f t="shared" si="306"/>
        <v>0</v>
      </c>
      <c r="AH160" s="100">
        <f t="shared" si="307"/>
        <v>-1</v>
      </c>
      <c r="AI160" s="100">
        <f t="shared" si="308"/>
        <v>2.1999999999999999E-2</v>
      </c>
    </row>
    <row r="161" spans="1:35" s="50" customFormat="1" ht="17.25" customHeight="1" x14ac:dyDescent="0.3">
      <c r="A161" s="106"/>
      <c r="B161" s="107" t="s">
        <v>40</v>
      </c>
      <c r="C161" s="243" t="s">
        <v>691</v>
      </c>
      <c r="D161" s="314"/>
      <c r="E161" s="149" t="s">
        <v>251</v>
      </c>
      <c r="F161" s="243">
        <v>2000</v>
      </c>
      <c r="G161" s="106"/>
      <c r="H161" s="106"/>
      <c r="I161" s="106"/>
      <c r="J161" s="106"/>
      <c r="K161" s="106"/>
      <c r="L161" s="106"/>
      <c r="M161" s="106">
        <f>726+1359</f>
        <v>2085</v>
      </c>
      <c r="N161" s="110">
        <f t="shared" si="320"/>
        <v>85</v>
      </c>
      <c r="O161" s="110"/>
      <c r="P161" s="106"/>
      <c r="Q161" s="106"/>
      <c r="R161" s="106"/>
      <c r="S161" s="106"/>
      <c r="T161" s="110">
        <f t="shared" si="321"/>
        <v>0</v>
      </c>
      <c r="U161" s="59">
        <f t="shared" si="303"/>
        <v>18</v>
      </c>
      <c r="V161" s="106"/>
      <c r="W161" s="106">
        <v>2067</v>
      </c>
      <c r="X161" s="110">
        <f t="shared" si="322"/>
        <v>-18</v>
      </c>
      <c r="Y161" s="110"/>
      <c r="Z161" s="110"/>
      <c r="AA161" s="110"/>
      <c r="AB161" s="106"/>
      <c r="AC161" s="106"/>
      <c r="AD161" s="106"/>
      <c r="AE161" s="100">
        <f t="shared" si="305"/>
        <v>4.2500000000000003E-2</v>
      </c>
      <c r="AF161" s="90"/>
      <c r="AG161" s="109">
        <f t="shared" si="306"/>
        <v>0</v>
      </c>
      <c r="AH161" s="100">
        <f t="shared" si="307"/>
        <v>-1</v>
      </c>
      <c r="AI161" s="100">
        <f t="shared" si="308"/>
        <v>3.3500000000000002E-2</v>
      </c>
    </row>
    <row r="162" spans="1:35" s="50" customFormat="1" ht="17.25" customHeight="1" x14ac:dyDescent="0.3">
      <c r="A162" s="106"/>
      <c r="B162" s="107" t="s">
        <v>40</v>
      </c>
      <c r="C162" s="243" t="s">
        <v>691</v>
      </c>
      <c r="D162" s="314"/>
      <c r="E162" s="149" t="s">
        <v>148</v>
      </c>
      <c r="F162" s="243">
        <v>299</v>
      </c>
      <c r="G162" s="106"/>
      <c r="H162" s="106"/>
      <c r="I162" s="106"/>
      <c r="J162" s="106"/>
      <c r="K162" s="106"/>
      <c r="L162" s="106"/>
      <c r="M162" s="106">
        <v>312</v>
      </c>
      <c r="N162" s="110">
        <f t="shared" ref="N162" si="323">M162-F162</f>
        <v>13</v>
      </c>
      <c r="O162" s="110"/>
      <c r="P162" s="106"/>
      <c r="Q162" s="106"/>
      <c r="R162" s="106"/>
      <c r="S162" s="106"/>
      <c r="T162" s="110">
        <f t="shared" ref="T162" si="324">S162-Q162</f>
        <v>0</v>
      </c>
      <c r="U162" s="59">
        <f t="shared" ref="U162" si="325">IF(Q162&gt;0,S162-W162,M162-W162)</f>
        <v>0</v>
      </c>
      <c r="V162" s="106"/>
      <c r="W162" s="106">
        <v>312</v>
      </c>
      <c r="X162" s="110">
        <f t="shared" ref="X162" si="326">+W162-M162</f>
        <v>0</v>
      </c>
      <c r="Y162" s="110"/>
      <c r="Z162" s="110"/>
      <c r="AA162" s="110"/>
      <c r="AB162" s="106"/>
      <c r="AC162" s="106"/>
      <c r="AD162" s="106"/>
      <c r="AE162" s="100">
        <f t="shared" ref="AE162" si="327">N162/F162</f>
        <v>4.3478260869565216E-2</v>
      </c>
      <c r="AF162" s="90"/>
      <c r="AG162" s="109">
        <f t="shared" ref="AG162" si="328">IF(N162&lt;0,N162,0)</f>
        <v>0</v>
      </c>
      <c r="AH162" s="100">
        <f t="shared" ref="AH162" si="329">(S162-F162)/F162</f>
        <v>-1</v>
      </c>
      <c r="AI162" s="100">
        <f t="shared" ref="AI162" si="330">(W162-F162)/F162</f>
        <v>4.3478260869565216E-2</v>
      </c>
    </row>
    <row r="163" spans="1:35" s="50" customFormat="1" ht="17.25" customHeight="1" x14ac:dyDescent="0.3">
      <c r="A163" s="106"/>
      <c r="B163" s="107" t="s">
        <v>40</v>
      </c>
      <c r="C163" s="243" t="s">
        <v>691</v>
      </c>
      <c r="D163" s="314"/>
      <c r="E163" s="149" t="s">
        <v>252</v>
      </c>
      <c r="F163" s="243">
        <v>1500</v>
      </c>
      <c r="G163" s="106"/>
      <c r="H163" s="106"/>
      <c r="I163" s="106"/>
      <c r="J163" s="106"/>
      <c r="K163" s="106"/>
      <c r="L163" s="106"/>
      <c r="M163" s="106">
        <f>810+758</f>
        <v>1568</v>
      </c>
      <c r="N163" s="110">
        <f t="shared" si="320"/>
        <v>68</v>
      </c>
      <c r="O163" s="110"/>
      <c r="P163" s="106"/>
      <c r="Q163" s="106"/>
      <c r="R163" s="106"/>
      <c r="S163" s="106"/>
      <c r="T163" s="110">
        <f t="shared" si="321"/>
        <v>0</v>
      </c>
      <c r="U163" s="59">
        <f t="shared" si="303"/>
        <v>56</v>
      </c>
      <c r="V163" s="106"/>
      <c r="W163" s="106">
        <v>1512</v>
      </c>
      <c r="X163" s="110">
        <f t="shared" si="322"/>
        <v>-56</v>
      </c>
      <c r="Y163" s="110"/>
      <c r="Z163" s="110"/>
      <c r="AA163" s="110"/>
      <c r="AB163" s="106"/>
      <c r="AC163" s="106"/>
      <c r="AD163" s="106"/>
      <c r="AE163" s="100">
        <f t="shared" si="305"/>
        <v>4.5333333333333337E-2</v>
      </c>
      <c r="AF163" s="90"/>
      <c r="AG163" s="109">
        <f t="shared" si="306"/>
        <v>0</v>
      </c>
      <c r="AH163" s="100">
        <f t="shared" si="307"/>
        <v>-1</v>
      </c>
      <c r="AI163" s="100">
        <f t="shared" si="308"/>
        <v>8.0000000000000002E-3</v>
      </c>
    </row>
    <row r="164" spans="1:35" s="43" customFormat="1" ht="15" customHeight="1" x14ac:dyDescent="0.3">
      <c r="A164" s="90" t="s">
        <v>46</v>
      </c>
      <c r="B164" s="77" t="s">
        <v>40</v>
      </c>
      <c r="C164" s="137"/>
      <c r="D164" s="90"/>
      <c r="E164" s="90"/>
      <c r="F164" s="136">
        <f>SUM(F160:F163)</f>
        <v>5799</v>
      </c>
      <c r="G164" s="136"/>
      <c r="H164" s="136"/>
      <c r="I164" s="136"/>
      <c r="J164" s="136" t="s">
        <v>59</v>
      </c>
      <c r="K164" s="64" t="s">
        <v>340</v>
      </c>
      <c r="L164" s="136">
        <f>SUM(L160:L163)</f>
        <v>0</v>
      </c>
      <c r="M164" s="136">
        <f>SUM(M160:M163)</f>
        <v>6009</v>
      </c>
      <c r="N164" s="90">
        <f>SUMIF(N160:N163,"&lt;0")</f>
        <v>0</v>
      </c>
      <c r="O164" s="136"/>
      <c r="P164" s="136">
        <f>SUM(P160:P163)</f>
        <v>0</v>
      </c>
      <c r="Q164" s="136">
        <f>SUM(Q160:Q163)</f>
        <v>0</v>
      </c>
      <c r="R164" s="136">
        <f>SUM(R160:R163)</f>
        <v>0</v>
      </c>
      <c r="S164" s="136">
        <f>SUM(S160:S163)</f>
        <v>0</v>
      </c>
      <c r="T164" s="136">
        <f>SUM(T160:T163)</f>
        <v>0</v>
      </c>
      <c r="U164" s="59">
        <f t="shared" si="303"/>
        <v>74</v>
      </c>
      <c r="V164" s="136">
        <f>SUM(V160:V163)</f>
        <v>0</v>
      </c>
      <c r="W164" s="136">
        <f>SUM(W160:W163)</f>
        <v>5935</v>
      </c>
      <c r="X164" s="136">
        <f>SUM(X160:X163)</f>
        <v>-74</v>
      </c>
      <c r="Y164" s="136"/>
      <c r="Z164" s="136"/>
      <c r="AA164" s="136"/>
      <c r="AB164" s="84"/>
      <c r="AC164" s="136"/>
      <c r="AD164" s="136"/>
      <c r="AE164" s="100">
        <f t="shared" si="305"/>
        <v>0</v>
      </c>
      <c r="AF164" s="90"/>
      <c r="AG164" s="109">
        <f t="shared" si="306"/>
        <v>0</v>
      </c>
      <c r="AH164" s="100">
        <f t="shared" si="307"/>
        <v>-1</v>
      </c>
      <c r="AI164" s="100">
        <f t="shared" si="308"/>
        <v>2.3452319365407828E-2</v>
      </c>
    </row>
    <row r="165" spans="1:35" s="50" customFormat="1" ht="17.25" customHeight="1" x14ac:dyDescent="0.3">
      <c r="A165" s="106"/>
      <c r="B165" s="107" t="s">
        <v>40</v>
      </c>
      <c r="C165" s="243" t="s">
        <v>690</v>
      </c>
      <c r="D165" s="313" t="s">
        <v>250</v>
      </c>
      <c r="E165" s="149" t="s">
        <v>253</v>
      </c>
      <c r="F165" s="243">
        <v>1000</v>
      </c>
      <c r="G165" s="106"/>
      <c r="H165" s="106"/>
      <c r="I165" s="106"/>
      <c r="J165" s="106"/>
      <c r="K165" s="106"/>
      <c r="L165" s="106"/>
      <c r="M165" s="106"/>
      <c r="N165" s="110">
        <f t="shared" ref="N165:N166" si="331">M165-F165</f>
        <v>-1000</v>
      </c>
      <c r="O165" s="110"/>
      <c r="P165" s="106"/>
      <c r="Q165" s="106"/>
      <c r="R165" s="106"/>
      <c r="S165" s="106"/>
      <c r="T165" s="110">
        <f t="shared" ref="T165:T166" si="332">S165-Q165</f>
        <v>0</v>
      </c>
      <c r="U165" s="59">
        <f t="shared" ref="U165:U167" si="333">IF(Q165&gt;0,S165-W165,M165-W165)</f>
        <v>0</v>
      </c>
      <c r="V165" s="106"/>
      <c r="W165" s="106"/>
      <c r="X165" s="110">
        <f t="shared" ref="X165:X166" si="334">+W165-M165</f>
        <v>0</v>
      </c>
      <c r="Y165" s="110"/>
      <c r="Z165" s="110"/>
      <c r="AA165" s="110"/>
      <c r="AB165" s="106"/>
      <c r="AC165" s="106"/>
      <c r="AD165" s="106"/>
      <c r="AE165" s="100">
        <f t="shared" ref="AE165:AE167" si="335">N165/F165</f>
        <v>-1</v>
      </c>
      <c r="AF165" s="90"/>
      <c r="AG165" s="109">
        <f t="shared" ref="AG165:AG167" si="336">IF(N165&lt;0,N165,0)</f>
        <v>-1000</v>
      </c>
      <c r="AH165" s="100">
        <f t="shared" ref="AH165:AH167" si="337">(S165-F165)/F165</f>
        <v>-1</v>
      </c>
      <c r="AI165" s="100">
        <f t="shared" ref="AI165:AI167" si="338">(W165-F165)/F165</f>
        <v>-1</v>
      </c>
    </row>
    <row r="166" spans="1:35" s="50" customFormat="1" ht="17.25" customHeight="1" x14ac:dyDescent="0.3">
      <c r="A166" s="106"/>
      <c r="B166" s="107" t="s">
        <v>40</v>
      </c>
      <c r="C166" s="243" t="s">
        <v>690</v>
      </c>
      <c r="D166" s="314"/>
      <c r="E166" s="149" t="s">
        <v>254</v>
      </c>
      <c r="F166" s="243">
        <v>1000</v>
      </c>
      <c r="G166" s="106"/>
      <c r="H166" s="106"/>
      <c r="I166" s="106"/>
      <c r="J166" s="106"/>
      <c r="K166" s="106"/>
      <c r="L166" s="106"/>
      <c r="M166" s="106"/>
      <c r="N166" s="110">
        <f t="shared" si="331"/>
        <v>-1000</v>
      </c>
      <c r="O166" s="110"/>
      <c r="P166" s="106"/>
      <c r="Q166" s="106"/>
      <c r="R166" s="106"/>
      <c r="S166" s="106"/>
      <c r="T166" s="110">
        <f t="shared" si="332"/>
        <v>0</v>
      </c>
      <c r="U166" s="59">
        <f t="shared" si="333"/>
        <v>0</v>
      </c>
      <c r="V166" s="106"/>
      <c r="W166" s="106"/>
      <c r="X166" s="110">
        <f t="shared" si="334"/>
        <v>0</v>
      </c>
      <c r="Y166" s="110"/>
      <c r="Z166" s="110"/>
      <c r="AA166" s="110"/>
      <c r="AB166" s="106"/>
      <c r="AC166" s="106"/>
      <c r="AD166" s="106"/>
      <c r="AE166" s="100">
        <f t="shared" si="335"/>
        <v>-1</v>
      </c>
      <c r="AF166" s="90"/>
      <c r="AG166" s="109">
        <f t="shared" si="336"/>
        <v>-1000</v>
      </c>
      <c r="AH166" s="100">
        <f t="shared" si="337"/>
        <v>-1</v>
      </c>
      <c r="AI166" s="100">
        <f t="shared" si="338"/>
        <v>-1</v>
      </c>
    </row>
    <row r="167" spans="1:35" s="43" customFormat="1" ht="15" customHeight="1" x14ac:dyDescent="0.3">
      <c r="A167" s="90" t="s">
        <v>46</v>
      </c>
      <c r="B167" s="77" t="s">
        <v>40</v>
      </c>
      <c r="C167" s="137"/>
      <c r="D167" s="90"/>
      <c r="E167" s="90"/>
      <c r="F167" s="136">
        <f>SUM(F165:F166)</f>
        <v>2000</v>
      </c>
      <c r="G167" s="136"/>
      <c r="H167" s="136"/>
      <c r="I167" s="136"/>
      <c r="J167" s="136" t="s">
        <v>59</v>
      </c>
      <c r="K167" s="64" t="s">
        <v>609</v>
      </c>
      <c r="L167" s="136">
        <f>SUM(L165:L166)</f>
        <v>0</v>
      </c>
      <c r="M167" s="136">
        <f>SUM(M165:M166)</f>
        <v>0</v>
      </c>
      <c r="N167" s="90">
        <f>SUMIF(N165:N166,"&lt;0")</f>
        <v>-2000</v>
      </c>
      <c r="O167" s="136"/>
      <c r="P167" s="136">
        <f>SUM(P165:P166)</f>
        <v>0</v>
      </c>
      <c r="Q167" s="136">
        <f>SUM(Q165:Q166)</f>
        <v>0</v>
      </c>
      <c r="R167" s="136">
        <f>SUM(R165:R166)</f>
        <v>0</v>
      </c>
      <c r="S167" s="136">
        <f>SUM(S165:S166)</f>
        <v>0</v>
      </c>
      <c r="T167" s="136">
        <f>SUM(T165:T166)</f>
        <v>0</v>
      </c>
      <c r="U167" s="59">
        <f t="shared" si="333"/>
        <v>0</v>
      </c>
      <c r="V167" s="136">
        <f>SUM(V165:V166)</f>
        <v>0</v>
      </c>
      <c r="W167" s="136">
        <f>SUM(W165:W166)</f>
        <v>0</v>
      </c>
      <c r="X167" s="136">
        <f>SUM(X165:X166)</f>
        <v>0</v>
      </c>
      <c r="Y167" s="136"/>
      <c r="Z167" s="136"/>
      <c r="AA167" s="136"/>
      <c r="AB167" s="84"/>
      <c r="AC167" s="136"/>
      <c r="AD167" s="136"/>
      <c r="AE167" s="100">
        <f t="shared" si="335"/>
        <v>-1</v>
      </c>
      <c r="AF167" s="90"/>
      <c r="AG167" s="109">
        <f t="shared" si="336"/>
        <v>-2000</v>
      </c>
      <c r="AH167" s="100">
        <f t="shared" si="337"/>
        <v>-1</v>
      </c>
      <c r="AI167" s="100">
        <f t="shared" si="338"/>
        <v>-1</v>
      </c>
    </row>
    <row r="168" spans="1:35" s="50" customFormat="1" ht="17.25" customHeight="1" x14ac:dyDescent="0.3">
      <c r="A168" s="106"/>
      <c r="B168" s="107" t="s">
        <v>40</v>
      </c>
      <c r="C168" s="243" t="s">
        <v>688</v>
      </c>
      <c r="D168" s="313" t="s">
        <v>250</v>
      </c>
      <c r="E168" s="149" t="s">
        <v>0</v>
      </c>
      <c r="F168" s="243">
        <v>1200</v>
      </c>
      <c r="G168" s="106"/>
      <c r="H168" s="106"/>
      <c r="I168" s="106"/>
      <c r="J168" s="106"/>
      <c r="K168" s="106"/>
      <c r="L168" s="106"/>
      <c r="M168" s="106">
        <f>1242</f>
        <v>1242</v>
      </c>
      <c r="N168" s="110">
        <f t="shared" ref="N168:N169" si="339">M168-F168</f>
        <v>42</v>
      </c>
      <c r="O168" s="110"/>
      <c r="P168" s="106"/>
      <c r="Q168" s="106"/>
      <c r="R168" s="106"/>
      <c r="S168" s="106"/>
      <c r="T168" s="110">
        <f t="shared" ref="T168:T169" si="340">S168-Q168</f>
        <v>0</v>
      </c>
      <c r="U168" s="59">
        <f t="shared" si="303"/>
        <v>1242</v>
      </c>
      <c r="V168" s="106"/>
      <c r="W168" s="106"/>
      <c r="X168" s="110">
        <f t="shared" ref="X168:X169" si="341">+W168-M168</f>
        <v>-1242</v>
      </c>
      <c r="Y168" s="110"/>
      <c r="Z168" s="110"/>
      <c r="AA168" s="110"/>
      <c r="AB168" s="106"/>
      <c r="AC168" s="106"/>
      <c r="AD168" s="106"/>
      <c r="AE168" s="100">
        <f t="shared" si="305"/>
        <v>3.5000000000000003E-2</v>
      </c>
      <c r="AF168" s="90"/>
      <c r="AG168" s="109">
        <f t="shared" si="306"/>
        <v>0</v>
      </c>
      <c r="AH168" s="100">
        <f t="shared" si="307"/>
        <v>-1</v>
      </c>
      <c r="AI168" s="100">
        <f t="shared" si="308"/>
        <v>-1</v>
      </c>
    </row>
    <row r="169" spans="1:35" s="50" customFormat="1" ht="17.25" customHeight="1" x14ac:dyDescent="0.3">
      <c r="A169" s="106"/>
      <c r="B169" s="107" t="s">
        <v>40</v>
      </c>
      <c r="C169" s="243" t="s">
        <v>688</v>
      </c>
      <c r="D169" s="314"/>
      <c r="E169" s="149" t="s">
        <v>689</v>
      </c>
      <c r="F169" s="243">
        <v>1200</v>
      </c>
      <c r="G169" s="106"/>
      <c r="H169" s="106"/>
      <c r="I169" s="106"/>
      <c r="J169" s="106"/>
      <c r="K169" s="106"/>
      <c r="L169" s="106"/>
      <c r="M169" s="106"/>
      <c r="N169" s="110">
        <f t="shared" si="339"/>
        <v>-1200</v>
      </c>
      <c r="O169" s="110"/>
      <c r="P169" s="106"/>
      <c r="Q169" s="106"/>
      <c r="R169" s="106"/>
      <c r="S169" s="106"/>
      <c r="T169" s="110">
        <f t="shared" si="340"/>
        <v>0</v>
      </c>
      <c r="U169" s="59">
        <f t="shared" si="303"/>
        <v>0</v>
      </c>
      <c r="V169" s="106"/>
      <c r="W169" s="106"/>
      <c r="X169" s="110">
        <f t="shared" si="341"/>
        <v>0</v>
      </c>
      <c r="Y169" s="110"/>
      <c r="Z169" s="110"/>
      <c r="AA169" s="110"/>
      <c r="AB169" s="106"/>
      <c r="AC169" s="106"/>
      <c r="AD169" s="106"/>
      <c r="AE169" s="100">
        <f t="shared" si="305"/>
        <v>-1</v>
      </c>
      <c r="AF169" s="90"/>
      <c r="AG169" s="109">
        <f t="shared" si="306"/>
        <v>-1200</v>
      </c>
      <c r="AH169" s="100">
        <f t="shared" si="307"/>
        <v>-1</v>
      </c>
      <c r="AI169" s="100">
        <f t="shared" si="308"/>
        <v>-1</v>
      </c>
    </row>
    <row r="170" spans="1:35" s="43" customFormat="1" ht="15" customHeight="1" x14ac:dyDescent="0.3">
      <c r="A170" s="90" t="s">
        <v>46</v>
      </c>
      <c r="B170" s="77" t="s">
        <v>40</v>
      </c>
      <c r="C170" s="137"/>
      <c r="D170" s="90"/>
      <c r="E170" s="90"/>
      <c r="F170" s="136">
        <f>SUM(F168:F169)</f>
        <v>2400</v>
      </c>
      <c r="G170" s="136"/>
      <c r="H170" s="136"/>
      <c r="I170" s="136"/>
      <c r="J170" s="136" t="s">
        <v>59</v>
      </c>
      <c r="K170" s="64" t="s">
        <v>687</v>
      </c>
      <c r="L170" s="136">
        <f>SUM(L168:L169)</f>
        <v>0</v>
      </c>
      <c r="M170" s="136">
        <f>SUM(M168:M169)</f>
        <v>1242</v>
      </c>
      <c r="N170" s="90">
        <f>SUMIF(N168:N169,"&lt;0")</f>
        <v>-1200</v>
      </c>
      <c r="O170" s="136"/>
      <c r="P170" s="136">
        <f>SUM(P168:P169)</f>
        <v>0</v>
      </c>
      <c r="Q170" s="136">
        <f>SUM(Q168:Q169)</f>
        <v>0</v>
      </c>
      <c r="R170" s="136">
        <f>SUM(R168:R169)</f>
        <v>0</v>
      </c>
      <c r="S170" s="136">
        <f>SUM(S168:S169)</f>
        <v>0</v>
      </c>
      <c r="T170" s="136">
        <f>SUM(T168:T169)</f>
        <v>0</v>
      </c>
      <c r="U170" s="59">
        <f t="shared" si="303"/>
        <v>1242</v>
      </c>
      <c r="V170" s="136">
        <f>SUM(V168:V169)</f>
        <v>0</v>
      </c>
      <c r="W170" s="136">
        <f>SUM(W168:W169)</f>
        <v>0</v>
      </c>
      <c r="X170" s="136">
        <f>SUM(X168:X169)</f>
        <v>-1242</v>
      </c>
      <c r="Y170" s="136"/>
      <c r="Z170" s="136"/>
      <c r="AA170" s="136"/>
      <c r="AB170" s="84"/>
      <c r="AC170" s="136"/>
      <c r="AD170" s="136"/>
      <c r="AE170" s="100">
        <f t="shared" si="305"/>
        <v>-0.5</v>
      </c>
      <c r="AF170" s="90"/>
      <c r="AG170" s="109">
        <f t="shared" si="306"/>
        <v>-1200</v>
      </c>
      <c r="AH170" s="100">
        <f t="shared" si="307"/>
        <v>-1</v>
      </c>
      <c r="AI170" s="100">
        <f t="shared" si="308"/>
        <v>-1</v>
      </c>
    </row>
    <row r="171" spans="1:35" s="50" customFormat="1" ht="17.25" customHeight="1" x14ac:dyDescent="0.3">
      <c r="A171" s="106"/>
      <c r="B171" s="107" t="s">
        <v>40</v>
      </c>
      <c r="C171" s="217" t="s">
        <v>485</v>
      </c>
      <c r="D171" s="313" t="s">
        <v>486</v>
      </c>
      <c r="E171" s="149" t="s">
        <v>0</v>
      </c>
      <c r="F171" s="217">
        <v>500</v>
      </c>
      <c r="G171" s="106"/>
      <c r="H171" s="106"/>
      <c r="I171" s="106"/>
      <c r="J171" s="106"/>
      <c r="K171" s="106"/>
      <c r="L171" s="106"/>
      <c r="M171" s="106">
        <f>526</f>
        <v>526</v>
      </c>
      <c r="N171" s="110">
        <f t="shared" ref="N171:N172" si="342">M171-F171</f>
        <v>26</v>
      </c>
      <c r="O171" s="110"/>
      <c r="P171" s="106"/>
      <c r="Q171" s="106"/>
      <c r="R171" s="106"/>
      <c r="S171" s="106"/>
      <c r="T171" s="110">
        <f t="shared" ref="T171:T172" si="343">S171-Q171</f>
        <v>0</v>
      </c>
      <c r="U171" s="59">
        <f t="shared" ref="U171:U179" si="344">IF(Q171&gt;0,S171-W171,M171-W171)</f>
        <v>0</v>
      </c>
      <c r="V171" s="106"/>
      <c r="W171" s="106">
        <v>526</v>
      </c>
      <c r="X171" s="110">
        <f t="shared" ref="X171:X172" si="345">+W171-M171</f>
        <v>0</v>
      </c>
      <c r="Y171" s="110"/>
      <c r="Z171" s="110"/>
      <c r="AA171" s="110"/>
      <c r="AB171" s="106"/>
      <c r="AC171" s="106"/>
      <c r="AD171" s="106"/>
      <c r="AE171" s="100">
        <f t="shared" ref="AE171:AE179" si="346">N171/F171</f>
        <v>5.1999999999999998E-2</v>
      </c>
      <c r="AF171" s="90"/>
      <c r="AG171" s="109">
        <f t="shared" ref="AG171:AG179" si="347">IF(N171&lt;0,N171,0)</f>
        <v>0</v>
      </c>
      <c r="AH171" s="100">
        <f t="shared" ref="AH171:AH179" si="348">(S171-F171)/F171</f>
        <v>-1</v>
      </c>
      <c r="AI171" s="100">
        <f t="shared" ref="AI171:AI179" si="349">(W171-F171)/F171</f>
        <v>5.1999999999999998E-2</v>
      </c>
    </row>
    <row r="172" spans="1:35" s="50" customFormat="1" ht="17.25" customHeight="1" x14ac:dyDescent="0.3">
      <c r="A172" s="106"/>
      <c r="B172" s="107" t="s">
        <v>40</v>
      </c>
      <c r="C172" s="233" t="s">
        <v>485</v>
      </c>
      <c r="D172" s="314"/>
      <c r="E172" s="149" t="s">
        <v>317</v>
      </c>
      <c r="F172" s="217">
        <v>500</v>
      </c>
      <c r="G172" s="106"/>
      <c r="H172" s="106"/>
      <c r="I172" s="106"/>
      <c r="J172" s="106"/>
      <c r="K172" s="106"/>
      <c r="L172" s="106"/>
      <c r="M172" s="106">
        <f>30+496</f>
        <v>526</v>
      </c>
      <c r="N172" s="110">
        <f t="shared" si="342"/>
        <v>26</v>
      </c>
      <c r="O172" s="110"/>
      <c r="P172" s="106"/>
      <c r="Q172" s="106"/>
      <c r="R172" s="106"/>
      <c r="S172" s="106"/>
      <c r="T172" s="110">
        <f t="shared" si="343"/>
        <v>0</v>
      </c>
      <c r="U172" s="59">
        <f t="shared" si="344"/>
        <v>0</v>
      </c>
      <c r="V172" s="106"/>
      <c r="W172" s="106">
        <v>526</v>
      </c>
      <c r="X172" s="110">
        <f t="shared" si="345"/>
        <v>0</v>
      </c>
      <c r="Y172" s="110"/>
      <c r="Z172" s="110"/>
      <c r="AA172" s="110"/>
      <c r="AB172" s="106"/>
      <c r="AC172" s="106"/>
      <c r="AD172" s="106"/>
      <c r="AE172" s="100">
        <f t="shared" si="346"/>
        <v>5.1999999999999998E-2</v>
      </c>
      <c r="AF172" s="90"/>
      <c r="AG172" s="109">
        <f t="shared" si="347"/>
        <v>0</v>
      </c>
      <c r="AH172" s="100">
        <f t="shared" si="348"/>
        <v>-1</v>
      </c>
      <c r="AI172" s="100">
        <f t="shared" si="349"/>
        <v>5.1999999999999998E-2</v>
      </c>
    </row>
    <row r="173" spans="1:35" s="43" customFormat="1" ht="15" customHeight="1" x14ac:dyDescent="0.3">
      <c r="A173" s="90" t="s">
        <v>46</v>
      </c>
      <c r="B173" s="77" t="s">
        <v>40</v>
      </c>
      <c r="C173" s="137"/>
      <c r="D173" s="90"/>
      <c r="E173" s="90"/>
      <c r="F173" s="136">
        <f>SUM(F171:F172)</f>
        <v>1000</v>
      </c>
      <c r="G173" s="136"/>
      <c r="H173" s="136"/>
      <c r="I173" s="136"/>
      <c r="J173" s="136" t="s">
        <v>58</v>
      </c>
      <c r="K173" s="64" t="s">
        <v>340</v>
      </c>
      <c r="L173" s="136">
        <f>SUM(L171:L172)</f>
        <v>0</v>
      </c>
      <c r="M173" s="136">
        <f>SUM(M171:M172)</f>
        <v>1052</v>
      </c>
      <c r="N173" s="90">
        <f>SUMIF(N171:N172,"&lt;0")</f>
        <v>0</v>
      </c>
      <c r="O173" s="136"/>
      <c r="P173" s="136">
        <f>SUM(P171:P172)</f>
        <v>0</v>
      </c>
      <c r="Q173" s="136">
        <f>SUM(Q171:Q172)</f>
        <v>0</v>
      </c>
      <c r="R173" s="136">
        <f>SUM(R171:R172)</f>
        <v>0</v>
      </c>
      <c r="S173" s="136">
        <f>SUM(S171:S172)</f>
        <v>0</v>
      </c>
      <c r="T173" s="136">
        <f>SUM(T171:T172)</f>
        <v>0</v>
      </c>
      <c r="U173" s="59">
        <f t="shared" si="344"/>
        <v>0</v>
      </c>
      <c r="V173" s="136">
        <f>SUM(V171:V172)</f>
        <v>0</v>
      </c>
      <c r="W173" s="136">
        <f>SUM(W171:W172)</f>
        <v>1052</v>
      </c>
      <c r="X173" s="136">
        <f>SUM(X171:X172)</f>
        <v>0</v>
      </c>
      <c r="Y173" s="136"/>
      <c r="Z173" s="136"/>
      <c r="AA173" s="136"/>
      <c r="AB173" s="84"/>
      <c r="AC173" s="136"/>
      <c r="AD173" s="136"/>
      <c r="AE173" s="100">
        <f t="shared" si="346"/>
        <v>0</v>
      </c>
      <c r="AF173" s="90"/>
      <c r="AG173" s="109">
        <f t="shared" si="347"/>
        <v>0</v>
      </c>
      <c r="AH173" s="100">
        <f t="shared" si="348"/>
        <v>-1</v>
      </c>
      <c r="AI173" s="100">
        <f t="shared" si="349"/>
        <v>5.1999999999999998E-2</v>
      </c>
    </row>
    <row r="174" spans="1:35" s="50" customFormat="1" ht="17.25" customHeight="1" x14ac:dyDescent="0.3">
      <c r="A174" s="106"/>
      <c r="B174" s="107" t="s">
        <v>40</v>
      </c>
      <c r="C174" s="217" t="s">
        <v>326</v>
      </c>
      <c r="D174" s="313" t="s">
        <v>256</v>
      </c>
      <c r="E174" s="149" t="s">
        <v>125</v>
      </c>
      <c r="F174" s="217">
        <v>700</v>
      </c>
      <c r="G174" s="106"/>
      <c r="H174" s="106"/>
      <c r="I174" s="106"/>
      <c r="J174" s="106"/>
      <c r="K174" s="106"/>
      <c r="L174" s="106"/>
      <c r="M174" s="106">
        <f>732+6</f>
        <v>738</v>
      </c>
      <c r="N174" s="110">
        <f t="shared" ref="N174:N175" si="350">M174-F174</f>
        <v>38</v>
      </c>
      <c r="O174" s="110"/>
      <c r="P174" s="106"/>
      <c r="Q174" s="106"/>
      <c r="R174" s="106"/>
      <c r="S174" s="106"/>
      <c r="T174" s="110">
        <f t="shared" ref="T174:T175" si="351">S174-Q174</f>
        <v>0</v>
      </c>
      <c r="U174" s="59">
        <f t="shared" si="344"/>
        <v>21</v>
      </c>
      <c r="V174" s="106"/>
      <c r="W174" s="106">
        <v>717</v>
      </c>
      <c r="X174" s="110">
        <f t="shared" ref="X174:X175" si="352">+W174-M174</f>
        <v>-21</v>
      </c>
      <c r="Y174" s="110"/>
      <c r="Z174" s="110"/>
      <c r="AA174" s="110"/>
      <c r="AB174" s="106"/>
      <c r="AC174" s="106"/>
      <c r="AD174" s="106"/>
      <c r="AE174" s="100">
        <f t="shared" si="346"/>
        <v>5.4285714285714284E-2</v>
      </c>
      <c r="AF174" s="90"/>
      <c r="AG174" s="109">
        <f t="shared" si="347"/>
        <v>0</v>
      </c>
      <c r="AH174" s="100">
        <f t="shared" si="348"/>
        <v>-1</v>
      </c>
      <c r="AI174" s="100">
        <f t="shared" si="349"/>
        <v>2.4285714285714285E-2</v>
      </c>
    </row>
    <row r="175" spans="1:35" s="50" customFormat="1" ht="17.25" customHeight="1" x14ac:dyDescent="0.3">
      <c r="A175" s="106"/>
      <c r="B175" s="107" t="s">
        <v>40</v>
      </c>
      <c r="C175" s="217" t="s">
        <v>326</v>
      </c>
      <c r="D175" s="314"/>
      <c r="E175" s="149" t="s">
        <v>49</v>
      </c>
      <c r="F175" s="217">
        <v>700</v>
      </c>
      <c r="G175" s="106"/>
      <c r="H175" s="106"/>
      <c r="I175" s="106"/>
      <c r="J175" s="106"/>
      <c r="K175" s="106"/>
      <c r="L175" s="106"/>
      <c r="M175" s="106">
        <v>732</v>
      </c>
      <c r="N175" s="110">
        <f t="shared" si="350"/>
        <v>32</v>
      </c>
      <c r="O175" s="110"/>
      <c r="P175" s="106"/>
      <c r="Q175" s="106"/>
      <c r="R175" s="106"/>
      <c r="S175" s="106"/>
      <c r="T175" s="110">
        <f t="shared" si="351"/>
        <v>0</v>
      </c>
      <c r="U175" s="59">
        <f t="shared" si="344"/>
        <v>10</v>
      </c>
      <c r="V175" s="106"/>
      <c r="W175" s="106">
        <v>722</v>
      </c>
      <c r="X175" s="110">
        <f t="shared" si="352"/>
        <v>-10</v>
      </c>
      <c r="Y175" s="110"/>
      <c r="Z175" s="110"/>
      <c r="AA175" s="110"/>
      <c r="AB175" s="106"/>
      <c r="AC175" s="106"/>
      <c r="AD175" s="106"/>
      <c r="AE175" s="100">
        <f t="shared" si="346"/>
        <v>4.5714285714285714E-2</v>
      </c>
      <c r="AF175" s="90"/>
      <c r="AG175" s="109">
        <f t="shared" si="347"/>
        <v>0</v>
      </c>
      <c r="AH175" s="100">
        <f t="shared" si="348"/>
        <v>-1</v>
      </c>
      <c r="AI175" s="100">
        <f t="shared" si="349"/>
        <v>3.1428571428571431E-2</v>
      </c>
    </row>
    <row r="176" spans="1:35" s="43" customFormat="1" ht="15" customHeight="1" x14ac:dyDescent="0.3">
      <c r="A176" s="90" t="s">
        <v>46</v>
      </c>
      <c r="B176" s="77" t="s">
        <v>40</v>
      </c>
      <c r="C176" s="137"/>
      <c r="D176" s="90"/>
      <c r="E176" s="90"/>
      <c r="F176" s="136">
        <f>SUM(F174:F175)</f>
        <v>1400</v>
      </c>
      <c r="G176" s="136"/>
      <c r="H176" s="136"/>
      <c r="I176" s="136"/>
      <c r="J176" s="136" t="s">
        <v>59</v>
      </c>
      <c r="K176" s="64" t="s">
        <v>266</v>
      </c>
      <c r="L176" s="136">
        <f>SUM(L174:L175)</f>
        <v>0</v>
      </c>
      <c r="M176" s="136">
        <f>SUM(M174:M175)</f>
        <v>1470</v>
      </c>
      <c r="N176" s="90">
        <f>SUMIF(N174:N175,"&lt;0")</f>
        <v>0</v>
      </c>
      <c r="O176" s="136"/>
      <c r="P176" s="136">
        <f>SUM(P174:P175)</f>
        <v>0</v>
      </c>
      <c r="Q176" s="136">
        <f>SUM(Q174:Q175)</f>
        <v>0</v>
      </c>
      <c r="R176" s="136">
        <f>SUM(R174:R175)</f>
        <v>0</v>
      </c>
      <c r="S176" s="136">
        <f>SUM(S174:S175)</f>
        <v>0</v>
      </c>
      <c r="T176" s="136">
        <f>SUM(T174:T175)</f>
        <v>0</v>
      </c>
      <c r="U176" s="59">
        <f t="shared" si="344"/>
        <v>31</v>
      </c>
      <c r="V176" s="136">
        <f>SUM(V174:V175)</f>
        <v>0</v>
      </c>
      <c r="W176" s="136">
        <f>SUM(W174:W175)</f>
        <v>1439</v>
      </c>
      <c r="X176" s="136">
        <f>SUM(X174:X175)</f>
        <v>-31</v>
      </c>
      <c r="Y176" s="136"/>
      <c r="Z176" s="136"/>
      <c r="AA176" s="136"/>
      <c r="AB176" s="84"/>
      <c r="AC176" s="136"/>
      <c r="AD176" s="136"/>
      <c r="AE176" s="100">
        <f t="shared" si="346"/>
        <v>0</v>
      </c>
      <c r="AF176" s="90"/>
      <c r="AG176" s="109">
        <f t="shared" si="347"/>
        <v>0</v>
      </c>
      <c r="AH176" s="100">
        <f t="shared" si="348"/>
        <v>-1</v>
      </c>
      <c r="AI176" s="100">
        <f t="shared" si="349"/>
        <v>2.7857142857142858E-2</v>
      </c>
    </row>
    <row r="177" spans="1:35" s="50" customFormat="1" ht="17.25" customHeight="1" x14ac:dyDescent="0.3">
      <c r="A177" s="106"/>
      <c r="B177" s="107" t="s">
        <v>40</v>
      </c>
      <c r="C177" s="217" t="s">
        <v>327</v>
      </c>
      <c r="D177" s="313" t="s">
        <v>256</v>
      </c>
      <c r="E177" s="149" t="s">
        <v>321</v>
      </c>
      <c r="F177" s="217">
        <v>800</v>
      </c>
      <c r="G177" s="106"/>
      <c r="H177" s="106"/>
      <c r="I177" s="106"/>
      <c r="J177" s="106"/>
      <c r="K177" s="106"/>
      <c r="L177" s="106"/>
      <c r="M177" s="106">
        <f>600+242</f>
        <v>842</v>
      </c>
      <c r="N177" s="110">
        <f t="shared" ref="N177:N178" si="353">M177-F177</f>
        <v>42</v>
      </c>
      <c r="O177" s="110"/>
      <c r="P177" s="106"/>
      <c r="Q177" s="106"/>
      <c r="R177" s="106"/>
      <c r="S177" s="106"/>
      <c r="T177" s="110">
        <f t="shared" ref="T177:T178" si="354">S177-Q177</f>
        <v>0</v>
      </c>
      <c r="U177" s="59">
        <f t="shared" si="344"/>
        <v>0</v>
      </c>
      <c r="V177" s="106"/>
      <c r="W177" s="106">
        <v>842</v>
      </c>
      <c r="X177" s="110">
        <f t="shared" ref="X177:X178" si="355">+W177-M177</f>
        <v>0</v>
      </c>
      <c r="Y177" s="110"/>
      <c r="Z177" s="110"/>
      <c r="AA177" s="110"/>
      <c r="AB177" s="106"/>
      <c r="AC177" s="106"/>
      <c r="AD177" s="106"/>
      <c r="AE177" s="100">
        <f t="shared" si="346"/>
        <v>5.2499999999999998E-2</v>
      </c>
      <c r="AF177" s="90"/>
      <c r="AG177" s="109">
        <f t="shared" si="347"/>
        <v>0</v>
      </c>
      <c r="AH177" s="100">
        <f t="shared" si="348"/>
        <v>-1</v>
      </c>
      <c r="AI177" s="100">
        <f t="shared" si="349"/>
        <v>5.2499999999999998E-2</v>
      </c>
    </row>
    <row r="178" spans="1:35" s="50" customFormat="1" ht="17.25" customHeight="1" x14ac:dyDescent="0.3">
      <c r="A178" s="106"/>
      <c r="B178" s="107" t="s">
        <v>40</v>
      </c>
      <c r="C178" s="217" t="s">
        <v>327</v>
      </c>
      <c r="D178" s="314"/>
      <c r="E178" s="149" t="s">
        <v>322</v>
      </c>
      <c r="F178" s="217">
        <v>800</v>
      </c>
      <c r="G178" s="106"/>
      <c r="H178" s="106"/>
      <c r="I178" s="106"/>
      <c r="J178" s="106"/>
      <c r="K178" s="106"/>
      <c r="L178" s="106"/>
      <c r="M178" s="106">
        <v>841</v>
      </c>
      <c r="N178" s="110">
        <f t="shared" si="353"/>
        <v>41</v>
      </c>
      <c r="O178" s="110"/>
      <c r="P178" s="106"/>
      <c r="Q178" s="106"/>
      <c r="R178" s="106"/>
      <c r="S178" s="106"/>
      <c r="T178" s="110">
        <f t="shared" si="354"/>
        <v>0</v>
      </c>
      <c r="U178" s="59">
        <f t="shared" si="344"/>
        <v>0</v>
      </c>
      <c r="V178" s="106"/>
      <c r="W178" s="106">
        <v>841</v>
      </c>
      <c r="X178" s="110">
        <f t="shared" si="355"/>
        <v>0</v>
      </c>
      <c r="Y178" s="110"/>
      <c r="Z178" s="110"/>
      <c r="AA178" s="110"/>
      <c r="AB178" s="106"/>
      <c r="AC178" s="106"/>
      <c r="AD178" s="106"/>
      <c r="AE178" s="100">
        <f t="shared" si="346"/>
        <v>5.1249999999999997E-2</v>
      </c>
      <c r="AF178" s="90"/>
      <c r="AG178" s="109">
        <f t="shared" si="347"/>
        <v>0</v>
      </c>
      <c r="AH178" s="100">
        <f t="shared" si="348"/>
        <v>-1</v>
      </c>
      <c r="AI178" s="100">
        <f t="shared" si="349"/>
        <v>5.1249999999999997E-2</v>
      </c>
    </row>
    <row r="179" spans="1:35" s="43" customFormat="1" ht="15" customHeight="1" x14ac:dyDescent="0.3">
      <c r="A179" s="90" t="s">
        <v>46</v>
      </c>
      <c r="B179" s="77" t="s">
        <v>40</v>
      </c>
      <c r="C179" s="137"/>
      <c r="D179" s="90"/>
      <c r="E179" s="90"/>
      <c r="F179" s="136">
        <f>SUM(F177:F178)</f>
        <v>1600</v>
      </c>
      <c r="G179" s="136"/>
      <c r="H179" s="136"/>
      <c r="I179" s="136"/>
      <c r="J179" s="136" t="s">
        <v>58</v>
      </c>
      <c r="K179" s="64" t="s">
        <v>266</v>
      </c>
      <c r="L179" s="136">
        <f>SUM(L177:L178)</f>
        <v>0</v>
      </c>
      <c r="M179" s="136">
        <f>SUM(M177:M178)</f>
        <v>1683</v>
      </c>
      <c r="N179" s="90">
        <f>SUMIF(N177:N178,"&lt;0")</f>
        <v>0</v>
      </c>
      <c r="O179" s="136"/>
      <c r="P179" s="136">
        <f>SUM(P177:P178)</f>
        <v>0</v>
      </c>
      <c r="Q179" s="136">
        <f>SUM(Q177:Q178)</f>
        <v>0</v>
      </c>
      <c r="R179" s="136">
        <f>SUM(R177:R178)</f>
        <v>0</v>
      </c>
      <c r="S179" s="136">
        <f>SUM(S177:S178)</f>
        <v>0</v>
      </c>
      <c r="T179" s="136">
        <f>SUM(T177:T178)</f>
        <v>0</v>
      </c>
      <c r="U179" s="59">
        <f t="shared" si="344"/>
        <v>0</v>
      </c>
      <c r="V179" s="136">
        <f>SUM(V177:V178)</f>
        <v>0</v>
      </c>
      <c r="W179" s="136">
        <f>SUM(W177:W178)</f>
        <v>1683</v>
      </c>
      <c r="X179" s="136">
        <f>SUM(X177:X178)</f>
        <v>0</v>
      </c>
      <c r="Y179" s="136"/>
      <c r="Z179" s="136"/>
      <c r="AA179" s="136"/>
      <c r="AB179" s="84"/>
      <c r="AC179" s="136"/>
      <c r="AD179" s="136"/>
      <c r="AE179" s="100">
        <f t="shared" si="346"/>
        <v>0</v>
      </c>
      <c r="AF179" s="90"/>
      <c r="AG179" s="109">
        <f t="shared" si="347"/>
        <v>0</v>
      </c>
      <c r="AH179" s="100">
        <f t="shared" si="348"/>
        <v>-1</v>
      </c>
      <c r="AI179" s="100">
        <f t="shared" si="349"/>
        <v>5.1874999999999998E-2</v>
      </c>
    </row>
    <row r="180" spans="1:35" s="50" customFormat="1" ht="17.25" customHeight="1" x14ac:dyDescent="0.3">
      <c r="A180" s="106"/>
      <c r="B180" s="107" t="s">
        <v>40</v>
      </c>
      <c r="C180" s="205" t="s">
        <v>325</v>
      </c>
      <c r="D180" s="313" t="s">
        <v>256</v>
      </c>
      <c r="E180" s="149" t="s">
        <v>0</v>
      </c>
      <c r="F180" s="205">
        <v>3000</v>
      </c>
      <c r="G180" s="106"/>
      <c r="H180" s="106"/>
      <c r="I180" s="106"/>
      <c r="J180" s="106"/>
      <c r="K180" s="106"/>
      <c r="L180" s="106"/>
      <c r="M180" s="106">
        <f>1730+186+250+900</f>
        <v>3066</v>
      </c>
      <c r="N180" s="110">
        <f t="shared" ref="N180:N181" si="356">M180-F180</f>
        <v>66</v>
      </c>
      <c r="O180" s="110"/>
      <c r="P180" s="106"/>
      <c r="Q180" s="106"/>
      <c r="R180" s="106"/>
      <c r="S180" s="106"/>
      <c r="T180" s="110">
        <f t="shared" ref="T180:T181" si="357">S180-Q180</f>
        <v>0</v>
      </c>
      <c r="U180" s="59">
        <f t="shared" si="303"/>
        <v>0</v>
      </c>
      <c r="V180" s="106"/>
      <c r="W180" s="106">
        <v>3066</v>
      </c>
      <c r="X180" s="110">
        <f t="shared" ref="X180:X181" si="358">+W180-M180</f>
        <v>0</v>
      </c>
      <c r="Y180" s="110"/>
      <c r="Z180" s="110"/>
      <c r="AA180" s="110"/>
      <c r="AB180" s="106"/>
      <c r="AC180" s="106"/>
      <c r="AD180" s="106"/>
      <c r="AE180" s="100">
        <f t="shared" si="305"/>
        <v>2.1999999999999999E-2</v>
      </c>
      <c r="AF180" s="90"/>
      <c r="AG180" s="109">
        <f t="shared" si="306"/>
        <v>0</v>
      </c>
      <c r="AH180" s="100">
        <f t="shared" si="307"/>
        <v>-1</v>
      </c>
      <c r="AI180" s="100">
        <f t="shared" si="308"/>
        <v>2.1999999999999999E-2</v>
      </c>
    </row>
    <row r="181" spans="1:35" s="50" customFormat="1" ht="17.25" customHeight="1" x14ac:dyDescent="0.3">
      <c r="A181" s="106"/>
      <c r="B181" s="107" t="s">
        <v>40</v>
      </c>
      <c r="C181" s="217" t="s">
        <v>325</v>
      </c>
      <c r="D181" s="314"/>
      <c r="E181" s="149" t="s">
        <v>114</v>
      </c>
      <c r="F181" s="205">
        <v>3000</v>
      </c>
      <c r="G181" s="106"/>
      <c r="H181" s="106"/>
      <c r="I181" s="106"/>
      <c r="J181" s="106"/>
      <c r="K181" s="106"/>
      <c r="L181" s="106"/>
      <c r="M181" s="106">
        <f>1980+356+729</f>
        <v>3065</v>
      </c>
      <c r="N181" s="110">
        <f t="shared" si="356"/>
        <v>65</v>
      </c>
      <c r="O181" s="110"/>
      <c r="P181" s="106"/>
      <c r="Q181" s="106"/>
      <c r="R181" s="106"/>
      <c r="S181" s="106"/>
      <c r="T181" s="110">
        <f t="shared" si="357"/>
        <v>0</v>
      </c>
      <c r="U181" s="59">
        <f t="shared" si="303"/>
        <v>0</v>
      </c>
      <c r="V181" s="106"/>
      <c r="W181" s="106">
        <f>971+1008+1086</f>
        <v>3065</v>
      </c>
      <c r="X181" s="110">
        <f t="shared" si="358"/>
        <v>0</v>
      </c>
      <c r="Y181" s="110"/>
      <c r="Z181" s="110"/>
      <c r="AA181" s="110"/>
      <c r="AB181" s="106"/>
      <c r="AC181" s="106"/>
      <c r="AD181" s="106"/>
      <c r="AE181" s="100">
        <f t="shared" si="305"/>
        <v>2.1666666666666667E-2</v>
      </c>
      <c r="AF181" s="90"/>
      <c r="AG181" s="109">
        <f t="shared" si="306"/>
        <v>0</v>
      </c>
      <c r="AH181" s="100">
        <f t="shared" si="307"/>
        <v>-1</v>
      </c>
      <c r="AI181" s="100">
        <f t="shared" si="308"/>
        <v>2.1666666666666667E-2</v>
      </c>
    </row>
    <row r="182" spans="1:35" s="43" customFormat="1" ht="15" customHeight="1" x14ac:dyDescent="0.3">
      <c r="A182" s="90" t="s">
        <v>46</v>
      </c>
      <c r="B182" s="77" t="s">
        <v>40</v>
      </c>
      <c r="C182" s="137"/>
      <c r="D182" s="90"/>
      <c r="E182" s="90"/>
      <c r="F182" s="136">
        <f>SUM(F180:F181)</f>
        <v>6000</v>
      </c>
      <c r="G182" s="136"/>
      <c r="H182" s="136"/>
      <c r="I182" s="136"/>
      <c r="J182" s="136" t="s">
        <v>58</v>
      </c>
      <c r="K182" s="64" t="s">
        <v>298</v>
      </c>
      <c r="L182" s="136">
        <f>SUM(L180:L181)</f>
        <v>0</v>
      </c>
      <c r="M182" s="136">
        <f>SUM(M180:M181)</f>
        <v>6131</v>
      </c>
      <c r="N182" s="90">
        <f>SUMIF(N180:N181,"&lt;0")</f>
        <v>0</v>
      </c>
      <c r="O182" s="136"/>
      <c r="P182" s="136">
        <f>SUM(P180:P181)</f>
        <v>0</v>
      </c>
      <c r="Q182" s="136">
        <f>SUM(Q180:Q181)</f>
        <v>0</v>
      </c>
      <c r="R182" s="136">
        <f>SUM(R180:R181)</f>
        <v>0</v>
      </c>
      <c r="S182" s="136">
        <f>SUM(S180:S181)</f>
        <v>0</v>
      </c>
      <c r="T182" s="136">
        <f>SUM(T180:T181)</f>
        <v>0</v>
      </c>
      <c r="U182" s="59">
        <f t="shared" si="303"/>
        <v>0</v>
      </c>
      <c r="V182" s="136">
        <f>SUM(V180:V181)</f>
        <v>0</v>
      </c>
      <c r="W182" s="136">
        <f>SUM(W180:W181)</f>
        <v>6131</v>
      </c>
      <c r="X182" s="136">
        <f>SUM(X180:X181)</f>
        <v>0</v>
      </c>
      <c r="Y182" s="136"/>
      <c r="Z182" s="136"/>
      <c r="AA182" s="136"/>
      <c r="AB182" s="84"/>
      <c r="AC182" s="136"/>
      <c r="AD182" s="136"/>
      <c r="AE182" s="100">
        <f t="shared" si="305"/>
        <v>0</v>
      </c>
      <c r="AF182" s="90"/>
      <c r="AG182" s="109">
        <f t="shared" si="306"/>
        <v>0</v>
      </c>
      <c r="AH182" s="100">
        <f t="shared" si="307"/>
        <v>-1</v>
      </c>
      <c r="AI182" s="100">
        <f t="shared" si="308"/>
        <v>2.1833333333333333E-2</v>
      </c>
    </row>
    <row r="183" spans="1:35" s="50" customFormat="1" ht="17.25" customHeight="1" x14ac:dyDescent="0.3">
      <c r="A183" s="106"/>
      <c r="B183" s="107" t="s">
        <v>40</v>
      </c>
      <c r="C183" s="205" t="s">
        <v>698</v>
      </c>
      <c r="D183" s="313" t="s">
        <v>699</v>
      </c>
      <c r="E183" s="149" t="s">
        <v>700</v>
      </c>
      <c r="F183" s="205">
        <v>800</v>
      </c>
      <c r="G183" s="106"/>
      <c r="H183" s="106"/>
      <c r="I183" s="106"/>
      <c r="J183" s="106"/>
      <c r="K183" s="106"/>
      <c r="L183" s="106">
        <v>797</v>
      </c>
      <c r="M183" s="106">
        <f>32+797</f>
        <v>829</v>
      </c>
      <c r="N183" s="110">
        <f t="shared" ref="N183:N185" si="359">M183-F183</f>
        <v>29</v>
      </c>
      <c r="O183" s="110"/>
      <c r="P183" s="106"/>
      <c r="Q183" s="106"/>
      <c r="R183" s="106"/>
      <c r="S183" s="106"/>
      <c r="T183" s="110">
        <f t="shared" ref="T183:T185" si="360">S183-Q183</f>
        <v>0</v>
      </c>
      <c r="U183" s="59">
        <f t="shared" si="303"/>
        <v>829</v>
      </c>
      <c r="V183" s="106"/>
      <c r="W183" s="106"/>
      <c r="X183" s="110">
        <f t="shared" ref="X183:X185" si="361">+W183-M183</f>
        <v>-829</v>
      </c>
      <c r="Y183" s="110"/>
      <c r="Z183" s="110"/>
      <c r="AA183" s="110"/>
      <c r="AB183" s="106"/>
      <c r="AC183" s="106"/>
      <c r="AD183" s="106"/>
      <c r="AE183" s="100">
        <f t="shared" si="305"/>
        <v>3.6249999999999998E-2</v>
      </c>
      <c r="AF183" s="90"/>
      <c r="AG183" s="109">
        <f t="shared" si="306"/>
        <v>0</v>
      </c>
      <c r="AH183" s="100">
        <f t="shared" si="307"/>
        <v>-1</v>
      </c>
      <c r="AI183" s="100">
        <f t="shared" si="308"/>
        <v>-1</v>
      </c>
    </row>
    <row r="184" spans="1:35" s="50" customFormat="1" ht="17.25" customHeight="1" x14ac:dyDescent="0.3">
      <c r="A184" s="106"/>
      <c r="B184" s="107" t="s">
        <v>40</v>
      </c>
      <c r="C184" s="243" t="s">
        <v>698</v>
      </c>
      <c r="D184" s="314"/>
      <c r="E184" s="149" t="s">
        <v>701</v>
      </c>
      <c r="F184" s="243">
        <v>800</v>
      </c>
      <c r="G184" s="106"/>
      <c r="H184" s="106"/>
      <c r="I184" s="106"/>
      <c r="J184" s="106"/>
      <c r="K184" s="106"/>
      <c r="L184" s="106"/>
      <c r="M184" s="106">
        <f>648+175</f>
        <v>823</v>
      </c>
      <c r="N184" s="110">
        <f t="shared" ref="N184" si="362">M184-F184</f>
        <v>23</v>
      </c>
      <c r="O184" s="110"/>
      <c r="P184" s="106"/>
      <c r="Q184" s="106"/>
      <c r="R184" s="106"/>
      <c r="S184" s="106"/>
      <c r="T184" s="110">
        <f t="shared" ref="T184" si="363">S184-Q184</f>
        <v>0</v>
      </c>
      <c r="U184" s="59">
        <f t="shared" ref="U184" si="364">IF(Q184&gt;0,S184-W184,M184-W184)</f>
        <v>0</v>
      </c>
      <c r="V184" s="106">
        <v>823</v>
      </c>
      <c r="W184" s="106">
        <v>823</v>
      </c>
      <c r="X184" s="110">
        <f t="shared" ref="X184" si="365">+W184-M184</f>
        <v>0</v>
      </c>
      <c r="Y184" s="110"/>
      <c r="Z184" s="110"/>
      <c r="AA184" s="110"/>
      <c r="AB184" s="106"/>
      <c r="AC184" s="106"/>
      <c r="AD184" s="106"/>
      <c r="AE184" s="100">
        <f t="shared" ref="AE184" si="366">N184/F184</f>
        <v>2.8750000000000001E-2</v>
      </c>
      <c r="AF184" s="90"/>
      <c r="AG184" s="109">
        <f t="shared" ref="AG184" si="367">IF(N184&lt;0,N184,0)</f>
        <v>0</v>
      </c>
      <c r="AH184" s="100">
        <f t="shared" ref="AH184" si="368">(S184-F184)/F184</f>
        <v>-1</v>
      </c>
      <c r="AI184" s="100">
        <f t="shared" ref="AI184" si="369">(W184-F184)/F184</f>
        <v>2.8750000000000001E-2</v>
      </c>
    </row>
    <row r="185" spans="1:35" s="50" customFormat="1" ht="17.25" customHeight="1" x14ac:dyDescent="0.3">
      <c r="A185" s="106"/>
      <c r="B185" s="107" t="s">
        <v>40</v>
      </c>
      <c r="C185" s="243" t="s">
        <v>698</v>
      </c>
      <c r="D185" s="314"/>
      <c r="E185" s="149" t="s">
        <v>0</v>
      </c>
      <c r="F185" s="205">
        <v>800</v>
      </c>
      <c r="G185" s="106"/>
      <c r="H185" s="106"/>
      <c r="I185" s="106"/>
      <c r="J185" s="106"/>
      <c r="K185" s="106"/>
      <c r="L185" s="106">
        <f>40+781</f>
        <v>821</v>
      </c>
      <c r="M185" s="106">
        <f>40+781</f>
        <v>821</v>
      </c>
      <c r="N185" s="110">
        <f t="shared" si="359"/>
        <v>21</v>
      </c>
      <c r="O185" s="110"/>
      <c r="P185" s="106"/>
      <c r="Q185" s="106"/>
      <c r="R185" s="106"/>
      <c r="S185" s="106"/>
      <c r="T185" s="110">
        <f t="shared" si="360"/>
        <v>0</v>
      </c>
      <c r="U185" s="59">
        <f t="shared" si="303"/>
        <v>821</v>
      </c>
      <c r="V185" s="106"/>
      <c r="W185" s="106"/>
      <c r="X185" s="110">
        <f t="shared" si="361"/>
        <v>-821</v>
      </c>
      <c r="Y185" s="110"/>
      <c r="Z185" s="110"/>
      <c r="AA185" s="110"/>
      <c r="AB185" s="106"/>
      <c r="AC185" s="106"/>
      <c r="AD185" s="106"/>
      <c r="AE185" s="100">
        <f t="shared" si="305"/>
        <v>2.6249999999999999E-2</v>
      </c>
      <c r="AF185" s="90"/>
      <c r="AG185" s="109">
        <f t="shared" si="306"/>
        <v>0</v>
      </c>
      <c r="AH185" s="100">
        <f t="shared" si="307"/>
        <v>-1</v>
      </c>
      <c r="AI185" s="100">
        <f t="shared" si="308"/>
        <v>-1</v>
      </c>
    </row>
    <row r="186" spans="1:35" s="43" customFormat="1" ht="15" customHeight="1" x14ac:dyDescent="0.3">
      <c r="A186" s="90" t="s">
        <v>46</v>
      </c>
      <c r="B186" s="77" t="s">
        <v>40</v>
      </c>
      <c r="C186" s="137"/>
      <c r="D186" s="90"/>
      <c r="E186" s="90"/>
      <c r="F186" s="136">
        <f>SUM(F183:F185)</f>
        <v>2400</v>
      </c>
      <c r="G186" s="136"/>
      <c r="H186" s="136"/>
      <c r="I186" s="136"/>
      <c r="J186" s="136" t="s">
        <v>60</v>
      </c>
      <c r="K186" s="64" t="s">
        <v>340</v>
      </c>
      <c r="L186" s="136">
        <f>SUM(L183:L185)</f>
        <v>1618</v>
      </c>
      <c r="M186" s="136">
        <f>SUM(M183:M185)</f>
        <v>2473</v>
      </c>
      <c r="N186" s="90">
        <f>SUMIF(N183:N185,"&lt;0")</f>
        <v>0</v>
      </c>
      <c r="O186" s="136"/>
      <c r="P186" s="136">
        <f>SUM(P183:P185)</f>
        <v>0</v>
      </c>
      <c r="Q186" s="136">
        <f>SUM(Q183:Q185)</f>
        <v>0</v>
      </c>
      <c r="R186" s="136">
        <f>SUM(R183:R185)</f>
        <v>0</v>
      </c>
      <c r="S186" s="136">
        <f>SUM(S183:S185)</f>
        <v>0</v>
      </c>
      <c r="T186" s="136">
        <f>SUM(T183:T185)</f>
        <v>0</v>
      </c>
      <c r="U186" s="59">
        <f t="shared" si="303"/>
        <v>1650</v>
      </c>
      <c r="V186" s="136">
        <f>SUM(V183:V185)</f>
        <v>823</v>
      </c>
      <c r="W186" s="136">
        <f>SUM(W183:W185)</f>
        <v>823</v>
      </c>
      <c r="X186" s="136">
        <f>SUM(X183:X185)</f>
        <v>-1650</v>
      </c>
      <c r="Y186" s="136"/>
      <c r="Z186" s="136"/>
      <c r="AA186" s="136"/>
      <c r="AB186" s="84"/>
      <c r="AC186" s="136"/>
      <c r="AD186" s="136"/>
      <c r="AE186" s="100">
        <f t="shared" si="305"/>
        <v>0</v>
      </c>
      <c r="AF186" s="90"/>
      <c r="AG186" s="109">
        <f t="shared" si="306"/>
        <v>0</v>
      </c>
      <c r="AH186" s="100">
        <f t="shared" si="307"/>
        <v>-1</v>
      </c>
      <c r="AI186" s="100">
        <f t="shared" si="308"/>
        <v>-0.65708333333333335</v>
      </c>
    </row>
    <row r="187" spans="1:35" s="50" customFormat="1" ht="17.25" customHeight="1" x14ac:dyDescent="0.3">
      <c r="A187" s="106"/>
      <c r="B187" s="107" t="s">
        <v>40</v>
      </c>
      <c r="C187" s="210" t="s">
        <v>694</v>
      </c>
      <c r="D187" s="313" t="s">
        <v>695</v>
      </c>
      <c r="E187" s="149" t="s">
        <v>114</v>
      </c>
      <c r="F187" s="210">
        <v>1000</v>
      </c>
      <c r="G187" s="106"/>
      <c r="H187" s="106"/>
      <c r="I187" s="106"/>
      <c r="J187" s="106"/>
      <c r="K187" s="106"/>
      <c r="L187" s="106"/>
      <c r="M187" s="106">
        <f>48+968+22</f>
        <v>1038</v>
      </c>
      <c r="N187" s="110">
        <f t="shared" ref="N187:N189" si="370">M187-F187</f>
        <v>38</v>
      </c>
      <c r="O187" s="110"/>
      <c r="P187" s="106"/>
      <c r="Q187" s="106"/>
      <c r="R187" s="106"/>
      <c r="S187" s="106"/>
      <c r="T187" s="110">
        <f t="shared" ref="T187:T189" si="371">S187-Q187</f>
        <v>0</v>
      </c>
      <c r="U187" s="59">
        <f t="shared" si="303"/>
        <v>0</v>
      </c>
      <c r="V187" s="106"/>
      <c r="W187" s="106">
        <v>1038</v>
      </c>
      <c r="X187" s="110">
        <f t="shared" ref="X187:X189" si="372">+W187-M187</f>
        <v>0</v>
      </c>
      <c r="Y187" s="110"/>
      <c r="Z187" s="110"/>
      <c r="AA187" s="110"/>
      <c r="AB187" s="106"/>
      <c r="AC187" s="106"/>
      <c r="AD187" s="106"/>
      <c r="AE187" s="100">
        <f t="shared" si="228"/>
        <v>3.7999999999999999E-2</v>
      </c>
      <c r="AF187" s="90"/>
      <c r="AG187" s="109">
        <f t="shared" si="227"/>
        <v>0</v>
      </c>
      <c r="AH187" s="100">
        <f t="shared" si="229"/>
        <v>-1</v>
      </c>
      <c r="AI187" s="100">
        <f t="shared" si="230"/>
        <v>3.7999999999999999E-2</v>
      </c>
    </row>
    <row r="188" spans="1:35" s="50" customFormat="1" ht="17.25" customHeight="1" x14ac:dyDescent="0.3">
      <c r="A188" s="106"/>
      <c r="B188" s="107" t="s">
        <v>40</v>
      </c>
      <c r="C188" s="243" t="s">
        <v>694</v>
      </c>
      <c r="D188" s="314"/>
      <c r="E188" s="149" t="s">
        <v>696</v>
      </c>
      <c r="F188" s="210">
        <v>1000</v>
      </c>
      <c r="G188" s="106"/>
      <c r="H188" s="106"/>
      <c r="I188" s="106"/>
      <c r="J188" s="106"/>
      <c r="K188" s="106"/>
      <c r="L188" s="106"/>
      <c r="M188" s="106">
        <f>320+718</f>
        <v>1038</v>
      </c>
      <c r="N188" s="110">
        <f t="shared" si="370"/>
        <v>38</v>
      </c>
      <c r="O188" s="110"/>
      <c r="P188" s="106"/>
      <c r="Q188" s="106"/>
      <c r="R188" s="106"/>
      <c r="S188" s="106"/>
      <c r="T188" s="110">
        <f t="shared" si="371"/>
        <v>0</v>
      </c>
      <c r="U188" s="59">
        <f t="shared" si="303"/>
        <v>0</v>
      </c>
      <c r="V188" s="106"/>
      <c r="W188" s="106">
        <v>1038</v>
      </c>
      <c r="X188" s="110">
        <f t="shared" si="372"/>
        <v>0</v>
      </c>
      <c r="Y188" s="110"/>
      <c r="Z188" s="110"/>
      <c r="AA188" s="110"/>
      <c r="AB188" s="106"/>
      <c r="AC188" s="106"/>
      <c r="AD188" s="106"/>
      <c r="AE188" s="100">
        <f t="shared" si="228"/>
        <v>3.7999999999999999E-2</v>
      </c>
      <c r="AF188" s="90"/>
      <c r="AG188" s="109">
        <f t="shared" si="227"/>
        <v>0</v>
      </c>
      <c r="AH188" s="100">
        <f t="shared" si="229"/>
        <v>-1</v>
      </c>
      <c r="AI188" s="100">
        <f t="shared" si="230"/>
        <v>3.7999999999999999E-2</v>
      </c>
    </row>
    <row r="189" spans="1:35" s="50" customFormat="1" ht="17.25" customHeight="1" x14ac:dyDescent="0.3">
      <c r="A189" s="106"/>
      <c r="B189" s="107" t="s">
        <v>40</v>
      </c>
      <c r="C189" s="243" t="s">
        <v>694</v>
      </c>
      <c r="D189" s="314"/>
      <c r="E189" s="149" t="s">
        <v>697</v>
      </c>
      <c r="F189" s="210">
        <v>1000</v>
      </c>
      <c r="G189" s="106"/>
      <c r="H189" s="106"/>
      <c r="I189" s="106"/>
      <c r="J189" s="106"/>
      <c r="K189" s="106"/>
      <c r="L189" s="106"/>
      <c r="M189" s="106">
        <v>1053</v>
      </c>
      <c r="N189" s="110">
        <f t="shared" si="370"/>
        <v>53</v>
      </c>
      <c r="O189" s="110"/>
      <c r="P189" s="106"/>
      <c r="Q189" s="106"/>
      <c r="R189" s="106"/>
      <c r="S189" s="106"/>
      <c r="T189" s="110">
        <f t="shared" si="371"/>
        <v>0</v>
      </c>
      <c r="U189" s="59">
        <f t="shared" si="303"/>
        <v>10</v>
      </c>
      <c r="V189" s="106"/>
      <c r="W189" s="106">
        <v>1043</v>
      </c>
      <c r="X189" s="110">
        <f t="shared" si="372"/>
        <v>-10</v>
      </c>
      <c r="Y189" s="110"/>
      <c r="Z189" s="110"/>
      <c r="AA189" s="110"/>
      <c r="AB189" s="106"/>
      <c r="AC189" s="106"/>
      <c r="AD189" s="106"/>
      <c r="AE189" s="100">
        <f t="shared" si="228"/>
        <v>5.2999999999999999E-2</v>
      </c>
      <c r="AF189" s="90"/>
      <c r="AG189" s="109">
        <f t="shared" si="227"/>
        <v>0</v>
      </c>
      <c r="AH189" s="100">
        <f t="shared" si="229"/>
        <v>-1</v>
      </c>
      <c r="AI189" s="100">
        <f t="shared" si="230"/>
        <v>4.2999999999999997E-2</v>
      </c>
    </row>
    <row r="190" spans="1:35" s="43" customFormat="1" ht="15" customHeight="1" x14ac:dyDescent="0.3">
      <c r="A190" s="90" t="s">
        <v>46</v>
      </c>
      <c r="B190" s="77" t="s">
        <v>40</v>
      </c>
      <c r="C190" s="137"/>
      <c r="D190" s="90"/>
      <c r="E190" s="90"/>
      <c r="F190" s="136">
        <f>SUM(F187:F189)</f>
        <v>3000</v>
      </c>
      <c r="G190" s="136"/>
      <c r="H190" s="136"/>
      <c r="I190" s="136"/>
      <c r="J190" s="136" t="s">
        <v>59</v>
      </c>
      <c r="K190" s="64" t="s">
        <v>340</v>
      </c>
      <c r="L190" s="136">
        <f>SUM(L187:L189)</f>
        <v>0</v>
      </c>
      <c r="M190" s="136">
        <f>SUM(M187:M189)</f>
        <v>3129</v>
      </c>
      <c r="N190" s="90">
        <f>SUMIF(N187:N189,"&lt;0")</f>
        <v>0</v>
      </c>
      <c r="O190" s="136"/>
      <c r="P190" s="136">
        <f>SUM(P187:P189)</f>
        <v>0</v>
      </c>
      <c r="Q190" s="136">
        <f>SUM(Q187:Q189)</f>
        <v>0</v>
      </c>
      <c r="R190" s="136">
        <f>SUM(R187:R189)</f>
        <v>0</v>
      </c>
      <c r="S190" s="136">
        <f>SUM(S187:S189)</f>
        <v>0</v>
      </c>
      <c r="T190" s="136">
        <f>SUM(T187:T189)</f>
        <v>0</v>
      </c>
      <c r="U190" s="59">
        <f t="shared" si="303"/>
        <v>10</v>
      </c>
      <c r="V190" s="136">
        <f>SUM(V187:V189)</f>
        <v>0</v>
      </c>
      <c r="W190" s="136">
        <f>SUM(W187:W189)</f>
        <v>3119</v>
      </c>
      <c r="X190" s="136">
        <f>SUM(X187:X189)</f>
        <v>-10</v>
      </c>
      <c r="Y190" s="136"/>
      <c r="Z190" s="136"/>
      <c r="AA190" s="136"/>
      <c r="AB190" s="84"/>
      <c r="AC190" s="136"/>
      <c r="AD190" s="136"/>
      <c r="AE190" s="100">
        <f t="shared" si="228"/>
        <v>0</v>
      </c>
      <c r="AF190" s="90"/>
      <c r="AG190" s="109">
        <f t="shared" si="227"/>
        <v>0</v>
      </c>
      <c r="AH190" s="100">
        <f t="shared" si="229"/>
        <v>-1</v>
      </c>
      <c r="AI190" s="100">
        <f t="shared" si="230"/>
        <v>3.966666666666667E-2</v>
      </c>
    </row>
    <row r="191" spans="1:35" s="50" customFormat="1" ht="17.25" customHeight="1" x14ac:dyDescent="0.3">
      <c r="A191" s="106"/>
      <c r="B191" s="107" t="s">
        <v>40</v>
      </c>
      <c r="C191" s="219" t="s">
        <v>344</v>
      </c>
      <c r="D191" s="313" t="s">
        <v>178</v>
      </c>
      <c r="E191" s="149" t="s">
        <v>179</v>
      </c>
      <c r="F191" s="219">
        <v>2500</v>
      </c>
      <c r="G191" s="106"/>
      <c r="H191" s="106"/>
      <c r="I191" s="106"/>
      <c r="J191" s="106"/>
      <c r="K191" s="106"/>
      <c r="L191" s="106"/>
      <c r="M191" s="106">
        <f>264+968+1392</f>
        <v>2624</v>
      </c>
      <c r="N191" s="110">
        <f t="shared" ref="N191:N192" si="373">M191-F191</f>
        <v>124</v>
      </c>
      <c r="O191" s="110"/>
      <c r="P191" s="106"/>
      <c r="Q191" s="106"/>
      <c r="R191" s="106"/>
      <c r="S191" s="106"/>
      <c r="T191" s="110">
        <f t="shared" ref="T191:T192" si="374">S191-Q191</f>
        <v>0</v>
      </c>
      <c r="U191" s="59">
        <f t="shared" si="303"/>
        <v>0</v>
      </c>
      <c r="V191" s="106"/>
      <c r="W191" s="106">
        <v>2624</v>
      </c>
      <c r="X191" s="110">
        <f t="shared" ref="X191:X192" si="375">+W191-M191</f>
        <v>0</v>
      </c>
      <c r="Y191" s="110"/>
      <c r="Z191" s="110"/>
      <c r="AA191" s="110"/>
      <c r="AB191" s="106"/>
      <c r="AC191" s="106"/>
      <c r="AD191" s="106"/>
      <c r="AE191" s="100">
        <f t="shared" ref="AE191:AE193" si="376">N191/F191</f>
        <v>4.9599999999999998E-2</v>
      </c>
      <c r="AF191" s="90"/>
      <c r="AG191" s="109">
        <f t="shared" ref="AG191:AG193" si="377">IF(N191&lt;0,N191,0)</f>
        <v>0</v>
      </c>
      <c r="AH191" s="100">
        <f t="shared" ref="AH191:AH193" si="378">(S191-F191)/F191</f>
        <v>-1</v>
      </c>
      <c r="AI191" s="100">
        <f t="shared" ref="AI191:AI193" si="379">(W191-F191)/F191</f>
        <v>4.9599999999999998E-2</v>
      </c>
    </row>
    <row r="192" spans="1:35" s="50" customFormat="1" ht="17.25" customHeight="1" x14ac:dyDescent="0.3">
      <c r="A192" s="106"/>
      <c r="B192" s="107" t="s">
        <v>40</v>
      </c>
      <c r="C192" s="219" t="s">
        <v>344</v>
      </c>
      <c r="D192" s="314"/>
      <c r="E192" s="149" t="s">
        <v>0</v>
      </c>
      <c r="F192" s="219">
        <v>3000</v>
      </c>
      <c r="G192" s="106"/>
      <c r="H192" s="106"/>
      <c r="I192" s="106"/>
      <c r="J192" s="106"/>
      <c r="K192" s="106"/>
      <c r="L192" s="106"/>
      <c r="M192" s="106">
        <f>504+1050+1452+135</f>
        <v>3141</v>
      </c>
      <c r="N192" s="110">
        <f t="shared" si="373"/>
        <v>141</v>
      </c>
      <c r="O192" s="110"/>
      <c r="P192" s="106"/>
      <c r="Q192" s="106"/>
      <c r="R192" s="106"/>
      <c r="S192" s="106"/>
      <c r="T192" s="110">
        <f t="shared" si="374"/>
        <v>0</v>
      </c>
      <c r="U192" s="59">
        <f t="shared" si="303"/>
        <v>10</v>
      </c>
      <c r="V192" s="106"/>
      <c r="W192" s="106">
        <v>3131</v>
      </c>
      <c r="X192" s="110">
        <f t="shared" si="375"/>
        <v>-10</v>
      </c>
      <c r="Y192" s="110"/>
      <c r="Z192" s="110"/>
      <c r="AA192" s="110"/>
      <c r="AB192" s="106"/>
      <c r="AC192" s="106"/>
      <c r="AD192" s="106"/>
      <c r="AE192" s="100">
        <f t="shared" si="376"/>
        <v>4.7E-2</v>
      </c>
      <c r="AF192" s="90"/>
      <c r="AG192" s="109">
        <f t="shared" si="377"/>
        <v>0</v>
      </c>
      <c r="AH192" s="100">
        <f t="shared" si="378"/>
        <v>-1</v>
      </c>
      <c r="AI192" s="100">
        <f t="shared" si="379"/>
        <v>4.3666666666666666E-2</v>
      </c>
    </row>
    <row r="193" spans="1:35" s="43" customFormat="1" ht="15" customHeight="1" x14ac:dyDescent="0.3">
      <c r="A193" s="90" t="s">
        <v>46</v>
      </c>
      <c r="B193" s="77" t="s">
        <v>40</v>
      </c>
      <c r="C193" s="137"/>
      <c r="D193" s="90"/>
      <c r="E193" s="90"/>
      <c r="F193" s="136">
        <f>SUM(F191:F192)</f>
        <v>5500</v>
      </c>
      <c r="G193" s="136"/>
      <c r="H193" s="136"/>
      <c r="I193" s="136"/>
      <c r="J193" s="136" t="s">
        <v>58</v>
      </c>
      <c r="K193" s="64" t="s">
        <v>298</v>
      </c>
      <c r="L193" s="136">
        <f>SUM(L191:L192)</f>
        <v>0</v>
      </c>
      <c r="M193" s="136">
        <f>SUM(M191:M192)</f>
        <v>5765</v>
      </c>
      <c r="N193" s="90">
        <f>SUMIF(N191:N192,"&lt;0")</f>
        <v>0</v>
      </c>
      <c r="O193" s="136"/>
      <c r="P193" s="136">
        <f>SUM(P191:P192)</f>
        <v>0</v>
      </c>
      <c r="Q193" s="136">
        <f>SUM(Q191:Q192)</f>
        <v>0</v>
      </c>
      <c r="R193" s="136">
        <f>SUM(R191:R192)</f>
        <v>0</v>
      </c>
      <c r="S193" s="136">
        <f>SUM(S191:S192)</f>
        <v>0</v>
      </c>
      <c r="T193" s="136">
        <f>SUM(T191:T192)</f>
        <v>0</v>
      </c>
      <c r="U193" s="59">
        <f t="shared" si="303"/>
        <v>10</v>
      </c>
      <c r="V193" s="136">
        <f>SUM(V191:V192)</f>
        <v>0</v>
      </c>
      <c r="W193" s="136">
        <f>SUM(W191:W192)</f>
        <v>5755</v>
      </c>
      <c r="X193" s="136">
        <f>SUM(X191:X192)</f>
        <v>-10</v>
      </c>
      <c r="Y193" s="136"/>
      <c r="Z193" s="136"/>
      <c r="AA193" s="136"/>
      <c r="AB193" s="84"/>
      <c r="AC193" s="136"/>
      <c r="AD193" s="136"/>
      <c r="AE193" s="100">
        <f t="shared" si="376"/>
        <v>0</v>
      </c>
      <c r="AF193" s="90"/>
      <c r="AG193" s="109">
        <f t="shared" si="377"/>
        <v>0</v>
      </c>
      <c r="AH193" s="100">
        <f t="shared" si="378"/>
        <v>-1</v>
      </c>
      <c r="AI193" s="100">
        <f t="shared" si="379"/>
        <v>4.6363636363636364E-2</v>
      </c>
    </row>
    <row r="194" spans="1:35" s="50" customFormat="1" ht="17.25" customHeight="1" x14ac:dyDescent="0.3">
      <c r="A194" s="106"/>
      <c r="B194" s="107" t="s">
        <v>40</v>
      </c>
      <c r="C194" s="219" t="s">
        <v>349</v>
      </c>
      <c r="D194" s="313" t="s">
        <v>348</v>
      </c>
      <c r="E194" s="149" t="s">
        <v>0</v>
      </c>
      <c r="F194" s="219">
        <f>1000+3500+2000</f>
        <v>6500</v>
      </c>
      <c r="G194" s="106"/>
      <c r="H194" s="106"/>
      <c r="I194" s="106"/>
      <c r="J194" s="106"/>
      <c r="K194" s="106"/>
      <c r="L194" s="106"/>
      <c r="M194" s="106">
        <f>720+720+432+1698+1650+248+436+675+120</f>
        <v>6699</v>
      </c>
      <c r="N194" s="110">
        <f t="shared" ref="N194:N199" si="380">M194-F194</f>
        <v>199</v>
      </c>
      <c r="O194" s="110"/>
      <c r="P194" s="106"/>
      <c r="Q194" s="106"/>
      <c r="R194" s="106"/>
      <c r="S194" s="106"/>
      <c r="T194" s="110">
        <f t="shared" ref="T194:T199" si="381">S194-Q194</f>
        <v>0</v>
      </c>
      <c r="U194" s="59">
        <f t="shared" ref="U194:U233" si="382">IF(Q194&gt;0,S194-W194,M194-W194)</f>
        <v>0</v>
      </c>
      <c r="V194" s="106"/>
      <c r="W194" s="106">
        <f>6024+675</f>
        <v>6699</v>
      </c>
      <c r="X194" s="110">
        <f t="shared" ref="X194:X199" si="383">+W194-M194</f>
        <v>0</v>
      </c>
      <c r="Y194" s="110"/>
      <c r="Z194" s="110"/>
      <c r="AA194" s="110"/>
      <c r="AB194" s="106"/>
      <c r="AC194" s="106"/>
      <c r="AD194" s="106"/>
      <c r="AE194" s="100">
        <f t="shared" ref="AE194:AE199" si="384">N194/F194</f>
        <v>3.0615384615384614E-2</v>
      </c>
      <c r="AF194" s="90"/>
      <c r="AG194" s="109">
        <f t="shared" ref="AG194:AG233" si="385">IF(N194&lt;0,N194,0)</f>
        <v>0</v>
      </c>
      <c r="AH194" s="100">
        <f t="shared" ref="AH194:AH199" si="386">(S194-F194)/F194</f>
        <v>-1</v>
      </c>
      <c r="AI194" s="100">
        <f t="shared" ref="AI194:AI199" si="387">(W194-F194)/F194</f>
        <v>3.0615384615384614E-2</v>
      </c>
    </row>
    <row r="195" spans="1:35" s="50" customFormat="1" ht="17.25" customHeight="1" x14ac:dyDescent="0.3">
      <c r="A195" s="106"/>
      <c r="B195" s="107" t="s">
        <v>40</v>
      </c>
      <c r="C195" s="219" t="s">
        <v>349</v>
      </c>
      <c r="D195" s="314"/>
      <c r="E195" s="149" t="s">
        <v>350</v>
      </c>
      <c r="F195" s="219">
        <v>1000</v>
      </c>
      <c r="G195" s="106"/>
      <c r="H195" s="106"/>
      <c r="I195" s="106"/>
      <c r="J195" s="106"/>
      <c r="K195" s="106"/>
      <c r="L195" s="106"/>
      <c r="M195" s="106">
        <f>666+349+12</f>
        <v>1027</v>
      </c>
      <c r="N195" s="110">
        <f t="shared" si="380"/>
        <v>27</v>
      </c>
      <c r="O195" s="110"/>
      <c r="P195" s="106"/>
      <c r="Q195" s="106"/>
      <c r="R195" s="106"/>
      <c r="S195" s="106"/>
      <c r="T195" s="110">
        <f t="shared" si="381"/>
        <v>0</v>
      </c>
      <c r="U195" s="59">
        <f t="shared" si="382"/>
        <v>0</v>
      </c>
      <c r="V195" s="106"/>
      <c r="W195" s="106">
        <f>349+678</f>
        <v>1027</v>
      </c>
      <c r="X195" s="110">
        <f t="shared" si="383"/>
        <v>0</v>
      </c>
      <c r="Y195" s="110"/>
      <c r="Z195" s="110"/>
      <c r="AA195" s="110"/>
      <c r="AB195" s="106"/>
      <c r="AC195" s="106"/>
      <c r="AD195" s="106"/>
      <c r="AE195" s="100">
        <f t="shared" si="384"/>
        <v>2.7E-2</v>
      </c>
      <c r="AF195" s="90"/>
      <c r="AG195" s="109">
        <f t="shared" si="385"/>
        <v>0</v>
      </c>
      <c r="AH195" s="100">
        <f t="shared" si="386"/>
        <v>-1</v>
      </c>
      <c r="AI195" s="100">
        <f t="shared" si="387"/>
        <v>2.7E-2</v>
      </c>
    </row>
    <row r="196" spans="1:35" s="50" customFormat="1" ht="17.25" customHeight="1" x14ac:dyDescent="0.3">
      <c r="A196" s="106"/>
      <c r="B196" s="107" t="s">
        <v>40</v>
      </c>
      <c r="C196" s="219" t="s">
        <v>349</v>
      </c>
      <c r="D196" s="314"/>
      <c r="E196" s="149" t="s">
        <v>351</v>
      </c>
      <c r="F196" s="219">
        <v>1000</v>
      </c>
      <c r="G196" s="106"/>
      <c r="H196" s="106"/>
      <c r="I196" s="106"/>
      <c r="J196" s="106"/>
      <c r="K196" s="106"/>
      <c r="L196" s="106"/>
      <c r="M196" s="106">
        <f>1020+12</f>
        <v>1032</v>
      </c>
      <c r="N196" s="110">
        <f t="shared" si="380"/>
        <v>32</v>
      </c>
      <c r="O196" s="110"/>
      <c r="P196" s="106"/>
      <c r="Q196" s="106"/>
      <c r="R196" s="106"/>
      <c r="S196" s="106"/>
      <c r="T196" s="110">
        <f t="shared" si="381"/>
        <v>0</v>
      </c>
      <c r="U196" s="59">
        <f t="shared" ref="U196:U199" si="388">IF(Q196&gt;0,S196-W196,M196-W196)</f>
        <v>0</v>
      </c>
      <c r="V196" s="106"/>
      <c r="W196" s="106">
        <v>1032</v>
      </c>
      <c r="X196" s="110">
        <f t="shared" si="383"/>
        <v>0</v>
      </c>
      <c r="Y196" s="110"/>
      <c r="Z196" s="110"/>
      <c r="AA196" s="110"/>
      <c r="AB196" s="106"/>
      <c r="AC196" s="106"/>
      <c r="AD196" s="106"/>
      <c r="AE196" s="100">
        <f t="shared" si="384"/>
        <v>3.2000000000000001E-2</v>
      </c>
      <c r="AF196" s="90"/>
      <c r="AG196" s="109">
        <f t="shared" ref="AG196:AG199" si="389">IF(N196&lt;0,N196,0)</f>
        <v>0</v>
      </c>
      <c r="AH196" s="100">
        <f t="shared" si="386"/>
        <v>-1</v>
      </c>
      <c r="AI196" s="100">
        <f t="shared" si="387"/>
        <v>3.2000000000000001E-2</v>
      </c>
    </row>
    <row r="197" spans="1:35" s="50" customFormat="1" ht="17.25" customHeight="1" x14ac:dyDescent="0.3">
      <c r="A197" s="106"/>
      <c r="B197" s="107" t="s">
        <v>40</v>
      </c>
      <c r="C197" s="219" t="s">
        <v>349</v>
      </c>
      <c r="D197" s="314"/>
      <c r="E197" s="149" t="s">
        <v>41</v>
      </c>
      <c r="F197" s="219">
        <v>1000</v>
      </c>
      <c r="G197" s="106"/>
      <c r="H197" s="106"/>
      <c r="I197" s="106"/>
      <c r="J197" s="106"/>
      <c r="K197" s="106"/>
      <c r="L197" s="106"/>
      <c r="M197" s="106">
        <f>469+561</f>
        <v>1030</v>
      </c>
      <c r="N197" s="110">
        <f t="shared" si="380"/>
        <v>30</v>
      </c>
      <c r="O197" s="110"/>
      <c r="P197" s="106"/>
      <c r="Q197" s="106"/>
      <c r="R197" s="106"/>
      <c r="S197" s="106"/>
      <c r="T197" s="110">
        <f t="shared" si="381"/>
        <v>0</v>
      </c>
      <c r="U197" s="59">
        <f t="shared" ref="U197:U198" si="390">IF(Q197&gt;0,S197-W197,M197-W197)</f>
        <v>0</v>
      </c>
      <c r="V197" s="106"/>
      <c r="W197" s="106">
        <v>1030</v>
      </c>
      <c r="X197" s="110">
        <f t="shared" si="383"/>
        <v>0</v>
      </c>
      <c r="Y197" s="110"/>
      <c r="Z197" s="110"/>
      <c r="AA197" s="110"/>
      <c r="AB197" s="106"/>
      <c r="AC197" s="106"/>
      <c r="AD197" s="106"/>
      <c r="AE197" s="100">
        <f t="shared" si="384"/>
        <v>0.03</v>
      </c>
      <c r="AF197" s="90"/>
      <c r="AG197" s="109">
        <f t="shared" ref="AG197:AG198" si="391">IF(N197&lt;0,N197,0)</f>
        <v>0</v>
      </c>
      <c r="AH197" s="100">
        <f t="shared" si="386"/>
        <v>-1</v>
      </c>
      <c r="AI197" s="100">
        <f t="shared" si="387"/>
        <v>0.03</v>
      </c>
    </row>
    <row r="198" spans="1:35" s="50" customFormat="1" ht="17.25" customHeight="1" x14ac:dyDescent="0.3">
      <c r="A198" s="106"/>
      <c r="B198" s="107" t="s">
        <v>40</v>
      </c>
      <c r="C198" s="219" t="s">
        <v>349</v>
      </c>
      <c r="D198" s="314"/>
      <c r="E198" s="149" t="s">
        <v>5</v>
      </c>
      <c r="F198" s="219">
        <v>3500</v>
      </c>
      <c r="G198" s="106"/>
      <c r="H198" s="106"/>
      <c r="I198" s="106"/>
      <c r="J198" s="106"/>
      <c r="K198" s="106"/>
      <c r="L198" s="106"/>
      <c r="M198" s="106">
        <f>780+1330+312+200+948+27</f>
        <v>3597</v>
      </c>
      <c r="N198" s="110">
        <f t="shared" si="380"/>
        <v>97</v>
      </c>
      <c r="O198" s="110"/>
      <c r="P198" s="106"/>
      <c r="Q198" s="106"/>
      <c r="R198" s="106"/>
      <c r="S198" s="106"/>
      <c r="T198" s="110">
        <f t="shared" si="381"/>
        <v>0</v>
      </c>
      <c r="U198" s="59">
        <f t="shared" si="390"/>
        <v>0</v>
      </c>
      <c r="V198" s="106"/>
      <c r="W198" s="106">
        <f>1310+1112+1175</f>
        <v>3597</v>
      </c>
      <c r="X198" s="110">
        <f t="shared" si="383"/>
        <v>0</v>
      </c>
      <c r="Y198" s="110"/>
      <c r="Z198" s="110"/>
      <c r="AA198" s="110"/>
      <c r="AB198" s="106"/>
      <c r="AC198" s="106"/>
      <c r="AD198" s="106"/>
      <c r="AE198" s="100">
        <f t="shared" si="384"/>
        <v>2.7714285714285716E-2</v>
      </c>
      <c r="AF198" s="90"/>
      <c r="AG198" s="109">
        <f t="shared" si="391"/>
        <v>0</v>
      </c>
      <c r="AH198" s="100">
        <f t="shared" si="386"/>
        <v>-1</v>
      </c>
      <c r="AI198" s="100">
        <f t="shared" si="387"/>
        <v>2.7714285714285716E-2</v>
      </c>
    </row>
    <row r="199" spans="1:35" s="50" customFormat="1" ht="17.25" customHeight="1" x14ac:dyDescent="0.3">
      <c r="A199" s="106"/>
      <c r="B199" s="107" t="s">
        <v>40</v>
      </c>
      <c r="C199" s="219" t="s">
        <v>349</v>
      </c>
      <c r="D199" s="314"/>
      <c r="E199" s="149" t="s">
        <v>352</v>
      </c>
      <c r="F199" s="219">
        <v>2000</v>
      </c>
      <c r="G199" s="106"/>
      <c r="H199" s="106"/>
      <c r="I199" s="106"/>
      <c r="J199" s="106"/>
      <c r="K199" s="106"/>
      <c r="L199" s="106"/>
      <c r="M199" s="106">
        <f>860+1232</f>
        <v>2092</v>
      </c>
      <c r="N199" s="110">
        <f t="shared" si="380"/>
        <v>92</v>
      </c>
      <c r="O199" s="110"/>
      <c r="P199" s="106"/>
      <c r="Q199" s="106"/>
      <c r="R199" s="106"/>
      <c r="S199" s="106"/>
      <c r="T199" s="110">
        <f t="shared" si="381"/>
        <v>0</v>
      </c>
      <c r="U199" s="59">
        <f t="shared" si="388"/>
        <v>1</v>
      </c>
      <c r="V199" s="106"/>
      <c r="W199" s="106">
        <v>2091</v>
      </c>
      <c r="X199" s="110">
        <f t="shared" si="383"/>
        <v>-1</v>
      </c>
      <c r="Y199" s="110"/>
      <c r="Z199" s="110"/>
      <c r="AA199" s="110"/>
      <c r="AB199" s="106"/>
      <c r="AC199" s="106"/>
      <c r="AD199" s="106"/>
      <c r="AE199" s="100">
        <f t="shared" si="384"/>
        <v>4.5999999999999999E-2</v>
      </c>
      <c r="AF199" s="90"/>
      <c r="AG199" s="109">
        <f t="shared" si="389"/>
        <v>0</v>
      </c>
      <c r="AH199" s="100">
        <f t="shared" si="386"/>
        <v>-1</v>
      </c>
      <c r="AI199" s="100">
        <f t="shared" si="387"/>
        <v>4.5499999999999999E-2</v>
      </c>
    </row>
    <row r="200" spans="1:35" s="43" customFormat="1" ht="15" customHeight="1" x14ac:dyDescent="0.3">
      <c r="A200" s="90" t="s">
        <v>46</v>
      </c>
      <c r="B200" s="77" t="s">
        <v>40</v>
      </c>
      <c r="C200" s="137"/>
      <c r="D200" s="90"/>
      <c r="E200" s="90"/>
      <c r="F200" s="136">
        <f>SUM(F194:F199)</f>
        <v>15000</v>
      </c>
      <c r="G200" s="136"/>
      <c r="H200" s="136"/>
      <c r="I200" s="136"/>
      <c r="J200" s="136" t="s">
        <v>59</v>
      </c>
      <c r="K200" s="64" t="s">
        <v>298</v>
      </c>
      <c r="L200" s="136">
        <f>SUM(L194:L199)</f>
        <v>0</v>
      </c>
      <c r="M200" s="136">
        <f>SUM(M194:M199)</f>
        <v>15477</v>
      </c>
      <c r="N200" s="90">
        <f>SUMIF(N194:N199,"&lt;0")</f>
        <v>0</v>
      </c>
      <c r="O200" s="136"/>
      <c r="P200" s="136">
        <f>SUM(P194:P199)</f>
        <v>0</v>
      </c>
      <c r="Q200" s="136">
        <f>SUM(Q194:Q199)</f>
        <v>0</v>
      </c>
      <c r="R200" s="136">
        <f>SUM(R194:R199)</f>
        <v>0</v>
      </c>
      <c r="S200" s="136">
        <f>SUM(S194:S199)</f>
        <v>0</v>
      </c>
      <c r="T200" s="136">
        <f>SUM(T194:T199)</f>
        <v>0</v>
      </c>
      <c r="U200" s="59">
        <f t="shared" si="382"/>
        <v>1</v>
      </c>
      <c r="V200" s="136">
        <f>SUM(V194:V199)</f>
        <v>0</v>
      </c>
      <c r="W200" s="136">
        <f>SUM(W194:W199)</f>
        <v>15476</v>
      </c>
      <c r="X200" s="136">
        <f>SUM(X194:X199)</f>
        <v>-1</v>
      </c>
      <c r="Y200" s="136"/>
      <c r="Z200" s="136"/>
      <c r="AA200" s="136"/>
      <c r="AB200" s="84"/>
      <c r="AC200" s="136"/>
      <c r="AD200" s="136"/>
      <c r="AE200" s="100">
        <f t="shared" ref="AE200" si="392">N200/F200</f>
        <v>0</v>
      </c>
      <c r="AF200" s="90"/>
      <c r="AG200" s="109">
        <f t="shared" si="385"/>
        <v>0</v>
      </c>
      <c r="AH200" s="100">
        <f t="shared" ref="AH200" si="393">(S200-F200)/F200</f>
        <v>-1</v>
      </c>
      <c r="AI200" s="100">
        <f t="shared" ref="AI200" si="394">(W200-F200)/F200</f>
        <v>3.1733333333333336E-2</v>
      </c>
    </row>
    <row r="201" spans="1:35" s="50" customFormat="1" ht="17.25" customHeight="1" x14ac:dyDescent="0.3">
      <c r="A201" s="106"/>
      <c r="B201" s="107" t="s">
        <v>40</v>
      </c>
      <c r="C201" s="269" t="s">
        <v>976</v>
      </c>
      <c r="D201" s="313" t="s">
        <v>348</v>
      </c>
      <c r="E201" s="149" t="s">
        <v>0</v>
      </c>
      <c r="F201" s="225">
        <v>2000</v>
      </c>
      <c r="G201" s="106"/>
      <c r="H201" s="106"/>
      <c r="I201" s="106"/>
      <c r="J201" s="106"/>
      <c r="K201" s="106"/>
      <c r="L201" s="106"/>
      <c r="M201" s="106"/>
      <c r="N201" s="110">
        <f>M201-F201</f>
        <v>-2000</v>
      </c>
      <c r="O201" s="110"/>
      <c r="P201" s="106"/>
      <c r="Q201" s="106"/>
      <c r="R201" s="106"/>
      <c r="S201" s="106"/>
      <c r="T201" s="110">
        <f>S201-Q201</f>
        <v>0</v>
      </c>
      <c r="U201" s="59">
        <f t="shared" ref="U201:U220" si="395">IF(Q201&gt;0,S201-W201,M201-W201)</f>
        <v>0</v>
      </c>
      <c r="V201" s="106"/>
      <c r="W201" s="106"/>
      <c r="X201" s="110">
        <f>+W201-M201</f>
        <v>0</v>
      </c>
      <c r="Y201" s="110"/>
      <c r="Z201" s="110"/>
      <c r="AA201" s="110"/>
      <c r="AB201" s="106"/>
      <c r="AC201" s="106"/>
      <c r="AD201" s="106"/>
      <c r="AE201" s="100">
        <f>N201/F201</f>
        <v>-1</v>
      </c>
      <c r="AF201" s="90"/>
      <c r="AG201" s="109">
        <f t="shared" ref="AG201:AG220" si="396">IF(N201&lt;0,N201,0)</f>
        <v>-2000</v>
      </c>
      <c r="AH201" s="100">
        <f>(S201-F201)/F201</f>
        <v>-1</v>
      </c>
      <c r="AI201" s="100">
        <f>(W201-F201)/F201</f>
        <v>-1</v>
      </c>
    </row>
    <row r="202" spans="1:35" s="50" customFormat="1" ht="17.25" customHeight="1" x14ac:dyDescent="0.3">
      <c r="A202" s="106"/>
      <c r="B202" s="107" t="s">
        <v>40</v>
      </c>
      <c r="C202" s="269" t="s">
        <v>976</v>
      </c>
      <c r="D202" s="314"/>
      <c r="E202" s="149" t="s">
        <v>179</v>
      </c>
      <c r="F202" s="225">
        <v>2000</v>
      </c>
      <c r="G202" s="106"/>
      <c r="H202" s="106"/>
      <c r="I202" s="106"/>
      <c r="J202" s="106"/>
      <c r="K202" s="106"/>
      <c r="L202" s="106"/>
      <c r="M202" s="106"/>
      <c r="N202" s="110">
        <f>M202-F202</f>
        <v>-2000</v>
      </c>
      <c r="O202" s="110"/>
      <c r="P202" s="106"/>
      <c r="Q202" s="106"/>
      <c r="R202" s="106"/>
      <c r="S202" s="106"/>
      <c r="T202" s="110">
        <f>S202-Q202</f>
        <v>0</v>
      </c>
      <c r="U202" s="59">
        <f t="shared" si="395"/>
        <v>0</v>
      </c>
      <c r="V202" s="106"/>
      <c r="W202" s="106"/>
      <c r="X202" s="110">
        <f>+W202-M202</f>
        <v>0</v>
      </c>
      <c r="Y202" s="110"/>
      <c r="Z202" s="110"/>
      <c r="AA202" s="110"/>
      <c r="AB202" s="106"/>
      <c r="AC202" s="106"/>
      <c r="AD202" s="106"/>
      <c r="AE202" s="100">
        <f>N202/F202</f>
        <v>-1</v>
      </c>
      <c r="AF202" s="90"/>
      <c r="AG202" s="109">
        <f t="shared" si="396"/>
        <v>-2000</v>
      </c>
      <c r="AH202" s="100">
        <f>(S202-F202)/F202</f>
        <v>-1</v>
      </c>
      <c r="AI202" s="100">
        <f>(W202-F202)/F202</f>
        <v>-1</v>
      </c>
    </row>
    <row r="203" spans="1:35" s="50" customFormat="1" ht="17.25" customHeight="1" x14ac:dyDescent="0.3">
      <c r="A203" s="106"/>
      <c r="B203" s="107" t="s">
        <v>40</v>
      </c>
      <c r="C203" s="269" t="s">
        <v>976</v>
      </c>
      <c r="D203" s="314"/>
      <c r="E203" s="149"/>
      <c r="F203" s="225"/>
      <c r="G203" s="106"/>
      <c r="H203" s="106"/>
      <c r="I203" s="106"/>
      <c r="J203" s="106"/>
      <c r="K203" s="106"/>
      <c r="L203" s="106"/>
      <c r="M203" s="106"/>
      <c r="N203" s="110">
        <f>M203-F203</f>
        <v>0</v>
      </c>
      <c r="O203" s="110"/>
      <c r="P203" s="106"/>
      <c r="Q203" s="106"/>
      <c r="R203" s="106"/>
      <c r="S203" s="106"/>
      <c r="T203" s="110">
        <f>S203-Q203</f>
        <v>0</v>
      </c>
      <c r="U203" s="59">
        <f t="shared" si="395"/>
        <v>0</v>
      </c>
      <c r="V203" s="106"/>
      <c r="W203" s="106"/>
      <c r="X203" s="110">
        <f>+W203-M203</f>
        <v>0</v>
      </c>
      <c r="Y203" s="110"/>
      <c r="Z203" s="110"/>
      <c r="AA203" s="110"/>
      <c r="AB203" s="106"/>
      <c r="AC203" s="106"/>
      <c r="AD203" s="106"/>
      <c r="AE203" s="100" t="e">
        <f>N203/F203</f>
        <v>#DIV/0!</v>
      </c>
      <c r="AF203" s="90"/>
      <c r="AG203" s="109">
        <f t="shared" si="396"/>
        <v>0</v>
      </c>
      <c r="AH203" s="100" t="e">
        <f>(S203-F203)/F203</f>
        <v>#DIV/0!</v>
      </c>
      <c r="AI203" s="100" t="e">
        <f>(W203-F203)/F203</f>
        <v>#DIV/0!</v>
      </c>
    </row>
    <row r="204" spans="1:35" s="50" customFormat="1" ht="17.25" customHeight="1" x14ac:dyDescent="0.3">
      <c r="A204" s="106"/>
      <c r="B204" s="107" t="s">
        <v>40</v>
      </c>
      <c r="C204" s="269" t="s">
        <v>976</v>
      </c>
      <c r="D204" s="314"/>
      <c r="E204" s="149"/>
      <c r="F204" s="225"/>
      <c r="G204" s="106"/>
      <c r="H204" s="106"/>
      <c r="I204" s="106"/>
      <c r="J204" s="106"/>
      <c r="K204" s="106"/>
      <c r="L204" s="106"/>
      <c r="M204" s="106"/>
      <c r="N204" s="110">
        <f>M204-F204</f>
        <v>0</v>
      </c>
      <c r="O204" s="110"/>
      <c r="P204" s="106"/>
      <c r="Q204" s="106"/>
      <c r="R204" s="106"/>
      <c r="S204" s="106"/>
      <c r="T204" s="110">
        <f>S204-Q204</f>
        <v>0</v>
      </c>
      <c r="U204" s="59">
        <f t="shared" ref="U204" si="397">IF(Q204&gt;0,S204-W204,M204-W204)</f>
        <v>0</v>
      </c>
      <c r="V204" s="106"/>
      <c r="W204" s="106"/>
      <c r="X204" s="110">
        <f>+W204-M204</f>
        <v>0</v>
      </c>
      <c r="Y204" s="110"/>
      <c r="Z204" s="110"/>
      <c r="AA204" s="110"/>
      <c r="AB204" s="106"/>
      <c r="AC204" s="106"/>
      <c r="AD204" s="106"/>
      <c r="AE204" s="100" t="e">
        <f>N204/F204</f>
        <v>#DIV/0!</v>
      </c>
      <c r="AF204" s="90"/>
      <c r="AG204" s="109">
        <f t="shared" ref="AG204" si="398">IF(N204&lt;0,N204,0)</f>
        <v>0</v>
      </c>
      <c r="AH204" s="100" t="e">
        <f>(S204-F204)/F204</f>
        <v>#DIV/0!</v>
      </c>
      <c r="AI204" s="100" t="e">
        <f>(W204-F204)/F204</f>
        <v>#DIV/0!</v>
      </c>
    </row>
    <row r="205" spans="1:35" s="50" customFormat="1" ht="17.25" customHeight="1" x14ac:dyDescent="0.3">
      <c r="A205" s="106"/>
      <c r="B205" s="107" t="s">
        <v>40</v>
      </c>
      <c r="C205" s="269" t="s">
        <v>976</v>
      </c>
      <c r="D205" s="314"/>
      <c r="E205" s="149"/>
      <c r="F205" s="225"/>
      <c r="G205" s="106"/>
      <c r="H205" s="106"/>
      <c r="I205" s="106"/>
      <c r="J205" s="106"/>
      <c r="K205" s="106"/>
      <c r="L205" s="106"/>
      <c r="M205" s="106"/>
      <c r="N205" s="110">
        <f>M205-F205</f>
        <v>0</v>
      </c>
      <c r="O205" s="110"/>
      <c r="P205" s="106"/>
      <c r="Q205" s="106"/>
      <c r="R205" s="106"/>
      <c r="S205" s="106"/>
      <c r="T205" s="110">
        <f>S205-Q205</f>
        <v>0</v>
      </c>
      <c r="U205" s="59">
        <f t="shared" si="395"/>
        <v>0</v>
      </c>
      <c r="V205" s="106"/>
      <c r="W205" s="106"/>
      <c r="X205" s="110">
        <f>+W205-M205</f>
        <v>0</v>
      </c>
      <c r="Y205" s="110"/>
      <c r="Z205" s="110"/>
      <c r="AA205" s="110"/>
      <c r="AB205" s="106"/>
      <c r="AC205" s="106"/>
      <c r="AD205" s="106"/>
      <c r="AE205" s="100" t="e">
        <f>N205/F205</f>
        <v>#DIV/0!</v>
      </c>
      <c r="AF205" s="90"/>
      <c r="AG205" s="109">
        <f t="shared" si="396"/>
        <v>0</v>
      </c>
      <c r="AH205" s="100" t="e">
        <f>(S205-F205)/F205</f>
        <v>#DIV/0!</v>
      </c>
      <c r="AI205" s="100" t="e">
        <f>(W205-F205)/F205</f>
        <v>#DIV/0!</v>
      </c>
    </row>
    <row r="206" spans="1:35" s="43" customFormat="1" ht="15" customHeight="1" x14ac:dyDescent="0.3">
      <c r="A206" s="90" t="s">
        <v>46</v>
      </c>
      <c r="B206" s="77" t="s">
        <v>40</v>
      </c>
      <c r="C206" s="137"/>
      <c r="D206" s="90"/>
      <c r="E206" s="90"/>
      <c r="F206" s="136">
        <f>SUM(F201:F205)</f>
        <v>4000</v>
      </c>
      <c r="G206" s="136"/>
      <c r="H206" s="136"/>
      <c r="I206" s="136"/>
      <c r="J206" s="136" t="s">
        <v>59</v>
      </c>
      <c r="K206" s="64" t="s">
        <v>768</v>
      </c>
      <c r="L206" s="136">
        <f>SUM(L201:L205)</f>
        <v>0</v>
      </c>
      <c r="M206" s="136">
        <f>SUM(M201:M205)</f>
        <v>0</v>
      </c>
      <c r="N206" s="90">
        <f>SUMIF(N201:N205,"&lt;0")</f>
        <v>-4000</v>
      </c>
      <c r="O206" s="136"/>
      <c r="P206" s="136">
        <f>SUM(P201:P205)</f>
        <v>0</v>
      </c>
      <c r="Q206" s="136">
        <f>SUM(Q201:Q205)</f>
        <v>0</v>
      </c>
      <c r="R206" s="136">
        <f>SUM(R201:R205)</f>
        <v>0</v>
      </c>
      <c r="S206" s="136">
        <f>SUM(S201:S205)</f>
        <v>0</v>
      </c>
      <c r="T206" s="136">
        <f>SUM(T201:T205)</f>
        <v>0</v>
      </c>
      <c r="U206" s="59">
        <f t="shared" si="395"/>
        <v>0</v>
      </c>
      <c r="V206" s="136">
        <f>SUM(V201:V205)</f>
        <v>0</v>
      </c>
      <c r="W206" s="136">
        <f>SUM(W201:W205)</f>
        <v>0</v>
      </c>
      <c r="X206" s="136">
        <f>SUM(X201:X205)</f>
        <v>0</v>
      </c>
      <c r="Y206" s="136"/>
      <c r="Z206" s="136"/>
      <c r="AA206" s="136"/>
      <c r="AB206" s="84"/>
      <c r="AC206" s="136"/>
      <c r="AD206" s="136"/>
      <c r="AE206" s="100">
        <f t="shared" ref="AE206" si="399">N206/F206</f>
        <v>-1</v>
      </c>
      <c r="AF206" s="90"/>
      <c r="AG206" s="109">
        <f t="shared" si="396"/>
        <v>-4000</v>
      </c>
      <c r="AH206" s="100">
        <f t="shared" ref="AH206" si="400">(S206-F206)/F206</f>
        <v>-1</v>
      </c>
      <c r="AI206" s="100">
        <f t="shared" ref="AI206" si="401">(W206-F206)/F206</f>
        <v>-1</v>
      </c>
    </row>
    <row r="207" spans="1:35" s="50" customFormat="1" ht="17.25" customHeight="1" x14ac:dyDescent="0.3">
      <c r="A207" s="106"/>
      <c r="B207" s="107" t="s">
        <v>40</v>
      </c>
      <c r="C207" s="227" t="s">
        <v>413</v>
      </c>
      <c r="D207" s="313" t="s">
        <v>414</v>
      </c>
      <c r="E207" s="149" t="s">
        <v>49</v>
      </c>
      <c r="F207" s="227">
        <v>1500</v>
      </c>
      <c r="G207" s="106"/>
      <c r="H207" s="106"/>
      <c r="I207" s="106"/>
      <c r="J207" s="106"/>
      <c r="K207" s="106"/>
      <c r="L207" s="106"/>
      <c r="M207" s="106">
        <f>696+850</f>
        <v>1546</v>
      </c>
      <c r="N207" s="110">
        <f>M207-F207</f>
        <v>46</v>
      </c>
      <c r="O207" s="110"/>
      <c r="P207" s="106"/>
      <c r="Q207" s="106"/>
      <c r="R207" s="106"/>
      <c r="S207" s="106"/>
      <c r="T207" s="110">
        <f>S207-Q207</f>
        <v>0</v>
      </c>
      <c r="U207" s="59">
        <f t="shared" si="395"/>
        <v>21</v>
      </c>
      <c r="V207" s="106"/>
      <c r="W207" s="106">
        <v>1525</v>
      </c>
      <c r="X207" s="110">
        <f>+W207-M207</f>
        <v>-21</v>
      </c>
      <c r="Y207" s="110"/>
      <c r="Z207" s="110"/>
      <c r="AA207" s="110"/>
      <c r="AB207" s="106"/>
      <c r="AC207" s="106"/>
      <c r="AD207" s="106"/>
      <c r="AE207" s="100">
        <f>N207/F207</f>
        <v>3.0666666666666665E-2</v>
      </c>
      <c r="AF207" s="90"/>
      <c r="AG207" s="109">
        <f t="shared" si="396"/>
        <v>0</v>
      </c>
      <c r="AH207" s="100">
        <f>(S207-F207)/F207</f>
        <v>-1</v>
      </c>
      <c r="AI207" s="100">
        <f>(W207-F207)/F207</f>
        <v>1.6666666666666666E-2</v>
      </c>
    </row>
    <row r="208" spans="1:35" s="50" customFormat="1" ht="17.25" customHeight="1" x14ac:dyDescent="0.3">
      <c r="A208" s="106"/>
      <c r="B208" s="107" t="s">
        <v>40</v>
      </c>
      <c r="C208" s="227" t="s">
        <v>413</v>
      </c>
      <c r="D208" s="314"/>
      <c r="E208" s="149" t="s">
        <v>0</v>
      </c>
      <c r="F208" s="227">
        <v>900</v>
      </c>
      <c r="G208" s="106"/>
      <c r="H208" s="106"/>
      <c r="I208" s="106"/>
      <c r="J208" s="106"/>
      <c r="K208" s="106"/>
      <c r="L208" s="106"/>
      <c r="M208" s="106">
        <v>936</v>
      </c>
      <c r="N208" s="110">
        <f>M208-F208</f>
        <v>36</v>
      </c>
      <c r="O208" s="110"/>
      <c r="P208" s="106"/>
      <c r="Q208" s="106"/>
      <c r="R208" s="106"/>
      <c r="S208" s="106"/>
      <c r="T208" s="110">
        <f>S208-Q208</f>
        <v>0</v>
      </c>
      <c r="U208" s="59">
        <f t="shared" si="395"/>
        <v>0</v>
      </c>
      <c r="V208" s="106"/>
      <c r="W208" s="106">
        <v>936</v>
      </c>
      <c r="X208" s="110">
        <f>+W208-M208</f>
        <v>0</v>
      </c>
      <c r="Y208" s="110"/>
      <c r="Z208" s="110"/>
      <c r="AA208" s="110"/>
      <c r="AB208" s="106"/>
      <c r="AC208" s="106"/>
      <c r="AD208" s="106"/>
      <c r="AE208" s="100">
        <f>N208/F208</f>
        <v>0.04</v>
      </c>
      <c r="AF208" s="90"/>
      <c r="AG208" s="109">
        <f t="shared" si="396"/>
        <v>0</v>
      </c>
      <c r="AH208" s="100">
        <f>(S208-F208)/F208</f>
        <v>-1</v>
      </c>
      <c r="AI208" s="100">
        <f>(W208-F208)/F208</f>
        <v>0.04</v>
      </c>
    </row>
    <row r="209" spans="1:35" s="43" customFormat="1" ht="15" customHeight="1" x14ac:dyDescent="0.3">
      <c r="A209" s="90" t="s">
        <v>46</v>
      </c>
      <c r="B209" s="77" t="s">
        <v>40</v>
      </c>
      <c r="C209" s="137"/>
      <c r="D209" s="90"/>
      <c r="E209" s="90"/>
      <c r="F209" s="136">
        <f>SUM(F207:F208)</f>
        <v>2400</v>
      </c>
      <c r="G209" s="136"/>
      <c r="H209" s="136"/>
      <c r="I209" s="136"/>
      <c r="J209" s="136" t="s">
        <v>58</v>
      </c>
      <c r="K209" s="64" t="s">
        <v>245</v>
      </c>
      <c r="L209" s="136">
        <f>SUM(L207:L208)</f>
        <v>0</v>
      </c>
      <c r="M209" s="136">
        <f>SUM(M207:M208)</f>
        <v>2482</v>
      </c>
      <c r="N209" s="90">
        <f>SUMIF(N207:N208,"&lt;0")</f>
        <v>0</v>
      </c>
      <c r="O209" s="136"/>
      <c r="P209" s="136">
        <f>SUM(P207:P208)</f>
        <v>0</v>
      </c>
      <c r="Q209" s="136">
        <f>SUM(Q207:Q208)</f>
        <v>0</v>
      </c>
      <c r="R209" s="136">
        <f>SUM(R207:R208)</f>
        <v>0</v>
      </c>
      <c r="S209" s="136">
        <f>SUM(S207:S208)</f>
        <v>0</v>
      </c>
      <c r="T209" s="136">
        <f>SUM(T207:T208)</f>
        <v>0</v>
      </c>
      <c r="U209" s="59">
        <f t="shared" si="395"/>
        <v>21</v>
      </c>
      <c r="V209" s="136">
        <f>SUM(V207:V208)</f>
        <v>0</v>
      </c>
      <c r="W209" s="136">
        <f>SUM(W207:W208)</f>
        <v>2461</v>
      </c>
      <c r="X209" s="136">
        <f>SUM(X207:X208)</f>
        <v>-21</v>
      </c>
      <c r="Y209" s="136"/>
      <c r="Z209" s="136"/>
      <c r="AA209" s="136"/>
      <c r="AB209" s="84"/>
      <c r="AC209" s="136"/>
      <c r="AD209" s="136"/>
      <c r="AE209" s="100">
        <f t="shared" ref="AE209" si="402">N209/F209</f>
        <v>0</v>
      </c>
      <c r="AF209" s="90"/>
      <c r="AG209" s="109">
        <f t="shared" si="396"/>
        <v>0</v>
      </c>
      <c r="AH209" s="100">
        <f t="shared" ref="AH209" si="403">(S209-F209)/F209</f>
        <v>-1</v>
      </c>
      <c r="AI209" s="100">
        <f t="shared" ref="AI209" si="404">(W209-F209)/F209</f>
        <v>2.5416666666666667E-2</v>
      </c>
    </row>
    <row r="210" spans="1:35" s="50" customFormat="1" ht="17.25" customHeight="1" x14ac:dyDescent="0.3">
      <c r="A210" s="106"/>
      <c r="B210" s="107" t="s">
        <v>40</v>
      </c>
      <c r="C210" s="228">
        <v>47932</v>
      </c>
      <c r="D210" s="313" t="s">
        <v>432</v>
      </c>
      <c r="E210" s="149" t="s">
        <v>114</v>
      </c>
      <c r="F210" s="228">
        <v>1000</v>
      </c>
      <c r="G210" s="106"/>
      <c r="H210" s="106"/>
      <c r="I210" s="106"/>
      <c r="J210" s="106"/>
      <c r="K210" s="106"/>
      <c r="L210" s="106"/>
      <c r="M210" s="106">
        <f>910+112</f>
        <v>1022</v>
      </c>
      <c r="N210" s="110">
        <f>M210-F210</f>
        <v>22</v>
      </c>
      <c r="O210" s="110"/>
      <c r="P210" s="106"/>
      <c r="Q210" s="106"/>
      <c r="R210" s="106"/>
      <c r="S210" s="106"/>
      <c r="T210" s="110">
        <f>S210-Q210</f>
        <v>0</v>
      </c>
      <c r="U210" s="59">
        <f t="shared" ref="U210:U217" si="405">IF(Q210&gt;0,S210-W210,M210-W210)</f>
        <v>0</v>
      </c>
      <c r="V210" s="106"/>
      <c r="W210" s="106">
        <v>1022</v>
      </c>
      <c r="X210" s="110">
        <f>+W210-M210</f>
        <v>0</v>
      </c>
      <c r="Y210" s="110"/>
      <c r="Z210" s="110"/>
      <c r="AA210" s="110"/>
      <c r="AB210" s="106"/>
      <c r="AC210" s="106"/>
      <c r="AD210" s="106"/>
      <c r="AE210" s="100">
        <f>N210/F210</f>
        <v>2.1999999999999999E-2</v>
      </c>
      <c r="AF210" s="90"/>
      <c r="AG210" s="109">
        <f t="shared" ref="AG210:AG217" si="406">IF(N210&lt;0,N210,0)</f>
        <v>0</v>
      </c>
      <c r="AH210" s="100">
        <f>(S210-F210)/F210</f>
        <v>-1</v>
      </c>
      <c r="AI210" s="100">
        <f>(W210-F210)/F210</f>
        <v>2.1999999999999999E-2</v>
      </c>
    </row>
    <row r="211" spans="1:35" s="50" customFormat="1" ht="17.25" customHeight="1" x14ac:dyDescent="0.3">
      <c r="A211" s="106"/>
      <c r="B211" s="107" t="s">
        <v>40</v>
      </c>
      <c r="C211" s="228">
        <v>47932</v>
      </c>
      <c r="D211" s="314"/>
      <c r="E211" s="149" t="s">
        <v>171</v>
      </c>
      <c r="F211" s="228">
        <v>1000</v>
      </c>
      <c r="G211" s="106"/>
      <c r="H211" s="106"/>
      <c r="I211" s="106"/>
      <c r="J211" s="106"/>
      <c r="K211" s="106"/>
      <c r="L211" s="106"/>
      <c r="M211" s="106">
        <f>50+112+860</f>
        <v>1022</v>
      </c>
      <c r="N211" s="110">
        <f>M211-F211</f>
        <v>22</v>
      </c>
      <c r="O211" s="110"/>
      <c r="P211" s="106"/>
      <c r="Q211" s="106"/>
      <c r="R211" s="106"/>
      <c r="S211" s="106"/>
      <c r="T211" s="110">
        <f>S211-Q211</f>
        <v>0</v>
      </c>
      <c r="U211" s="59">
        <f t="shared" si="405"/>
        <v>0</v>
      </c>
      <c r="V211" s="106"/>
      <c r="W211" s="106">
        <v>1022</v>
      </c>
      <c r="X211" s="110">
        <f>+W211-M211</f>
        <v>0</v>
      </c>
      <c r="Y211" s="110"/>
      <c r="Z211" s="110"/>
      <c r="AA211" s="110"/>
      <c r="AB211" s="106"/>
      <c r="AC211" s="106"/>
      <c r="AD211" s="106"/>
      <c r="AE211" s="100">
        <f>N211/F211</f>
        <v>2.1999999999999999E-2</v>
      </c>
      <c r="AF211" s="90"/>
      <c r="AG211" s="109">
        <f t="shared" si="406"/>
        <v>0</v>
      </c>
      <c r="AH211" s="100">
        <f>(S211-F211)/F211</f>
        <v>-1</v>
      </c>
      <c r="AI211" s="100">
        <f>(W211-F211)/F211</f>
        <v>2.1999999999999999E-2</v>
      </c>
    </row>
    <row r="212" spans="1:35" s="50" customFormat="1" ht="17.25" customHeight="1" x14ac:dyDescent="0.3">
      <c r="A212" s="106"/>
      <c r="B212" s="107" t="s">
        <v>40</v>
      </c>
      <c r="C212" s="228">
        <v>47932</v>
      </c>
      <c r="D212" s="314"/>
      <c r="E212" s="149" t="s">
        <v>433</v>
      </c>
      <c r="F212" s="228">
        <v>1000</v>
      </c>
      <c r="G212" s="106"/>
      <c r="H212" s="106"/>
      <c r="I212" s="106"/>
      <c r="J212" s="106"/>
      <c r="K212" s="106"/>
      <c r="L212" s="106"/>
      <c r="M212" s="106">
        <f>50+790+186</f>
        <v>1026</v>
      </c>
      <c r="N212" s="110">
        <f>M212-F212</f>
        <v>26</v>
      </c>
      <c r="O212" s="110"/>
      <c r="P212" s="106"/>
      <c r="Q212" s="106"/>
      <c r="R212" s="106"/>
      <c r="S212" s="106"/>
      <c r="T212" s="110">
        <f>S212-Q212</f>
        <v>0</v>
      </c>
      <c r="U212" s="59">
        <f t="shared" si="405"/>
        <v>4</v>
      </c>
      <c r="V212" s="106"/>
      <c r="W212" s="106">
        <v>1022</v>
      </c>
      <c r="X212" s="110">
        <f>+W212-M212</f>
        <v>-4</v>
      </c>
      <c r="Y212" s="110"/>
      <c r="Z212" s="110"/>
      <c r="AA212" s="110"/>
      <c r="AB212" s="106"/>
      <c r="AC212" s="106"/>
      <c r="AD212" s="106"/>
      <c r="AE212" s="100">
        <f>N212/F212</f>
        <v>2.5999999999999999E-2</v>
      </c>
      <c r="AF212" s="90"/>
      <c r="AG212" s="109">
        <f t="shared" si="406"/>
        <v>0</v>
      </c>
      <c r="AH212" s="100">
        <f>(S212-F212)/F212</f>
        <v>-1</v>
      </c>
      <c r="AI212" s="100">
        <f>(W212-F212)/F212</f>
        <v>2.1999999999999999E-2</v>
      </c>
    </row>
    <row r="213" spans="1:35" s="43" customFormat="1" ht="15" customHeight="1" x14ac:dyDescent="0.3">
      <c r="A213" s="90" t="s">
        <v>46</v>
      </c>
      <c r="B213" s="77" t="s">
        <v>40</v>
      </c>
      <c r="C213" s="137"/>
      <c r="D213" s="90"/>
      <c r="E213" s="90"/>
      <c r="F213" s="136">
        <f>SUM(F210:F212)</f>
        <v>3000</v>
      </c>
      <c r="G213" s="136"/>
      <c r="H213" s="136"/>
      <c r="I213" s="136"/>
      <c r="J213" s="136" t="s">
        <v>58</v>
      </c>
      <c r="K213" s="64" t="s">
        <v>245</v>
      </c>
      <c r="L213" s="136">
        <f>SUM(L210:L212)</f>
        <v>0</v>
      </c>
      <c r="M213" s="136">
        <f>SUM(M210:M212)</f>
        <v>3070</v>
      </c>
      <c r="N213" s="90">
        <f>SUMIF(N210:N212,"&lt;0")</f>
        <v>0</v>
      </c>
      <c r="O213" s="136"/>
      <c r="P213" s="136">
        <f>SUM(P210:P212)</f>
        <v>0</v>
      </c>
      <c r="Q213" s="136">
        <f>SUM(Q210:Q212)</f>
        <v>0</v>
      </c>
      <c r="R213" s="136">
        <f>SUM(R210:R212)</f>
        <v>0</v>
      </c>
      <c r="S213" s="136">
        <f>SUM(S210:S212)</f>
        <v>0</v>
      </c>
      <c r="T213" s="136">
        <f>SUM(T210:T212)</f>
        <v>0</v>
      </c>
      <c r="U213" s="59">
        <f t="shared" si="405"/>
        <v>4</v>
      </c>
      <c r="V213" s="136">
        <f>SUM(V210:V212)</f>
        <v>0</v>
      </c>
      <c r="W213" s="136">
        <f>SUM(W210:W212)</f>
        <v>3066</v>
      </c>
      <c r="X213" s="136">
        <f>SUM(X210:X212)</f>
        <v>-4</v>
      </c>
      <c r="Y213" s="136"/>
      <c r="Z213" s="136"/>
      <c r="AA213" s="136"/>
      <c r="AB213" s="84"/>
      <c r="AC213" s="136"/>
      <c r="AD213" s="136"/>
      <c r="AE213" s="100">
        <f t="shared" ref="AE213" si="407">N213/F213</f>
        <v>0</v>
      </c>
      <c r="AF213" s="90"/>
      <c r="AG213" s="109">
        <f t="shared" si="406"/>
        <v>0</v>
      </c>
      <c r="AH213" s="100">
        <f t="shared" ref="AH213" si="408">(S213-F213)/F213</f>
        <v>-1</v>
      </c>
      <c r="AI213" s="100">
        <f t="shared" ref="AI213" si="409">(W213-F213)/F213</f>
        <v>2.1999999999999999E-2</v>
      </c>
    </row>
    <row r="214" spans="1:35" s="50" customFormat="1" ht="17.25" customHeight="1" x14ac:dyDescent="0.3">
      <c r="A214" s="106"/>
      <c r="B214" s="107" t="s">
        <v>40</v>
      </c>
      <c r="C214" s="232" t="s">
        <v>977</v>
      </c>
      <c r="D214" s="231" t="s">
        <v>978</v>
      </c>
      <c r="E214" s="149" t="s">
        <v>979</v>
      </c>
      <c r="F214" s="232">
        <v>1400</v>
      </c>
      <c r="G214" s="106"/>
      <c r="H214" s="106"/>
      <c r="I214" s="106"/>
      <c r="J214" s="106"/>
      <c r="K214" s="106"/>
      <c r="L214" s="106"/>
      <c r="M214" s="106"/>
      <c r="N214" s="110">
        <f>M214-F214</f>
        <v>-1400</v>
      </c>
      <c r="O214" s="110"/>
      <c r="P214" s="106"/>
      <c r="Q214" s="106"/>
      <c r="R214" s="106"/>
      <c r="S214" s="106"/>
      <c r="T214" s="110">
        <f>S214-Q214</f>
        <v>0</v>
      </c>
      <c r="U214" s="59">
        <f t="shared" ref="U214:U215" si="410">IF(Q214&gt;0,S214-W214,M214-W214)</f>
        <v>0</v>
      </c>
      <c r="V214" s="106"/>
      <c r="W214" s="106"/>
      <c r="X214" s="110">
        <f>+W214-M214</f>
        <v>0</v>
      </c>
      <c r="Y214" s="110"/>
      <c r="Z214" s="110"/>
      <c r="AA214" s="110"/>
      <c r="AB214" s="106"/>
      <c r="AC214" s="106"/>
      <c r="AD214" s="106"/>
      <c r="AE214" s="100">
        <f>N214/F214</f>
        <v>-1</v>
      </c>
      <c r="AF214" s="90"/>
      <c r="AG214" s="109">
        <f t="shared" ref="AG214:AG215" si="411">IF(N214&lt;0,N214,0)</f>
        <v>-1400</v>
      </c>
      <c r="AH214" s="100">
        <f>(S214-F214)/F214</f>
        <v>-1</v>
      </c>
      <c r="AI214" s="100">
        <f>(W214-F214)/F214</f>
        <v>-1</v>
      </c>
    </row>
    <row r="215" spans="1:35" s="43" customFormat="1" ht="15" customHeight="1" x14ac:dyDescent="0.3">
      <c r="A215" s="90" t="s">
        <v>46</v>
      </c>
      <c r="B215" s="77" t="s">
        <v>40</v>
      </c>
      <c r="C215" s="137"/>
      <c r="D215" s="90"/>
      <c r="E215" s="90"/>
      <c r="F215" s="136">
        <f>SUM(F214:F214)</f>
        <v>1400</v>
      </c>
      <c r="G215" s="136"/>
      <c r="H215" s="136"/>
      <c r="I215" s="136"/>
      <c r="J215" s="136" t="s">
        <v>59</v>
      </c>
      <c r="K215" s="64" t="s">
        <v>768</v>
      </c>
      <c r="L215" s="136">
        <f>SUM(L214:L214)</f>
        <v>0</v>
      </c>
      <c r="M215" s="136">
        <f>SUM(M214:M214)</f>
        <v>0</v>
      </c>
      <c r="N215" s="90">
        <f>SUMIF(N214:N214,"&lt;0")</f>
        <v>-1400</v>
      </c>
      <c r="O215" s="136"/>
      <c r="P215" s="136">
        <f>SUM(P214:P214)</f>
        <v>0</v>
      </c>
      <c r="Q215" s="136">
        <f>SUM(Q214:Q214)</f>
        <v>0</v>
      </c>
      <c r="R215" s="136">
        <f>SUM(R214:R214)</f>
        <v>0</v>
      </c>
      <c r="S215" s="136">
        <f>SUM(S214:S214)</f>
        <v>0</v>
      </c>
      <c r="T215" s="136">
        <f>SUM(T214:T214)</f>
        <v>0</v>
      </c>
      <c r="U215" s="59">
        <f t="shared" si="410"/>
        <v>0</v>
      </c>
      <c r="V215" s="136">
        <f>SUM(V214:V214)</f>
        <v>0</v>
      </c>
      <c r="W215" s="136">
        <f>SUM(W214:W214)</f>
        <v>0</v>
      </c>
      <c r="X215" s="136">
        <f>SUM(X214:X214)</f>
        <v>0</v>
      </c>
      <c r="Y215" s="136"/>
      <c r="Z215" s="136"/>
      <c r="AA215" s="136"/>
      <c r="AB215" s="84"/>
      <c r="AC215" s="136"/>
      <c r="AD215" s="136"/>
      <c r="AE215" s="100">
        <f t="shared" ref="AE215" si="412">N215/F215</f>
        <v>-1</v>
      </c>
      <c r="AF215" s="90"/>
      <c r="AG215" s="109">
        <f t="shared" si="411"/>
        <v>-1400</v>
      </c>
      <c r="AH215" s="100">
        <f t="shared" ref="AH215" si="413">(S215-F215)/F215</f>
        <v>-1</v>
      </c>
      <c r="AI215" s="100">
        <f t="shared" ref="AI215" si="414">(W215-F215)/F215</f>
        <v>-1</v>
      </c>
    </row>
    <row r="216" spans="1:35" s="50" customFormat="1" ht="17.25" customHeight="1" x14ac:dyDescent="0.3">
      <c r="A216" s="106"/>
      <c r="B216" s="107" t="s">
        <v>40</v>
      </c>
      <c r="C216" s="232" t="s">
        <v>481</v>
      </c>
      <c r="D216" s="231" t="s">
        <v>480</v>
      </c>
      <c r="E216" s="149" t="s">
        <v>0</v>
      </c>
      <c r="F216" s="232">
        <v>2000</v>
      </c>
      <c r="G216" s="106"/>
      <c r="H216" s="106"/>
      <c r="I216" s="106"/>
      <c r="J216" s="106"/>
      <c r="K216" s="106"/>
      <c r="L216" s="106"/>
      <c r="M216" s="106"/>
      <c r="N216" s="110">
        <f>M216-F216</f>
        <v>-2000</v>
      </c>
      <c r="O216" s="110"/>
      <c r="P216" s="106"/>
      <c r="Q216" s="106"/>
      <c r="R216" s="106"/>
      <c r="S216" s="106"/>
      <c r="T216" s="110">
        <f>S216-Q216</f>
        <v>0</v>
      </c>
      <c r="U216" s="59">
        <f t="shared" si="405"/>
        <v>0</v>
      </c>
      <c r="V216" s="106"/>
      <c r="W216" s="106"/>
      <c r="X216" s="110">
        <f>+W216-M216</f>
        <v>0</v>
      </c>
      <c r="Y216" s="110"/>
      <c r="Z216" s="110"/>
      <c r="AA216" s="110"/>
      <c r="AB216" s="106"/>
      <c r="AC216" s="106"/>
      <c r="AD216" s="106"/>
      <c r="AE216" s="100">
        <f>N216/F216</f>
        <v>-1</v>
      </c>
      <c r="AF216" s="90"/>
      <c r="AG216" s="109">
        <f t="shared" si="406"/>
        <v>-2000</v>
      </c>
      <c r="AH216" s="100">
        <f>(S216-F216)/F216</f>
        <v>-1</v>
      </c>
      <c r="AI216" s="100">
        <f>(W216-F216)/F216</f>
        <v>-1</v>
      </c>
    </row>
    <row r="217" spans="1:35" s="43" customFormat="1" ht="15" customHeight="1" x14ac:dyDescent="0.3">
      <c r="A217" s="90" t="s">
        <v>46</v>
      </c>
      <c r="B217" s="77" t="s">
        <v>40</v>
      </c>
      <c r="C217" s="137"/>
      <c r="D217" s="90"/>
      <c r="E217" s="90"/>
      <c r="F217" s="136">
        <f>SUM(F216:F216)</f>
        <v>2000</v>
      </c>
      <c r="G217" s="136"/>
      <c r="H217" s="136"/>
      <c r="I217" s="136"/>
      <c r="J217" s="136" t="s">
        <v>58</v>
      </c>
      <c r="K217" s="64" t="s">
        <v>482</v>
      </c>
      <c r="L217" s="136">
        <f>SUM(L216:L216)</f>
        <v>0</v>
      </c>
      <c r="M217" s="136">
        <f>SUM(M216:M216)</f>
        <v>0</v>
      </c>
      <c r="N217" s="90">
        <f>SUMIF(N216:N216,"&lt;0")</f>
        <v>-2000</v>
      </c>
      <c r="O217" s="136"/>
      <c r="P217" s="136">
        <f>SUM(P216:P216)</f>
        <v>0</v>
      </c>
      <c r="Q217" s="136">
        <f>SUM(Q216:Q216)</f>
        <v>0</v>
      </c>
      <c r="R217" s="136">
        <f>SUM(R216:R216)</f>
        <v>0</v>
      </c>
      <c r="S217" s="136">
        <f>SUM(S216:S216)</f>
        <v>0</v>
      </c>
      <c r="T217" s="136">
        <f>SUM(T216:T216)</f>
        <v>0</v>
      </c>
      <c r="U217" s="59">
        <f t="shared" si="405"/>
        <v>0</v>
      </c>
      <c r="V217" s="136">
        <f>SUM(V216:V216)</f>
        <v>0</v>
      </c>
      <c r="W217" s="136">
        <f>SUM(W216:W216)</f>
        <v>0</v>
      </c>
      <c r="X217" s="136">
        <f>SUM(X216:X216)</f>
        <v>0</v>
      </c>
      <c r="Y217" s="136"/>
      <c r="Z217" s="136"/>
      <c r="AA217" s="136"/>
      <c r="AB217" s="84"/>
      <c r="AC217" s="136"/>
      <c r="AD217" s="136"/>
      <c r="AE217" s="100">
        <f t="shared" ref="AE217" si="415">N217/F217</f>
        <v>-1</v>
      </c>
      <c r="AF217" s="90"/>
      <c r="AG217" s="109">
        <f t="shared" si="406"/>
        <v>-2000</v>
      </c>
      <c r="AH217" s="100">
        <f t="shared" ref="AH217" si="416">(S217-F217)/F217</f>
        <v>-1</v>
      </c>
      <c r="AI217" s="100">
        <f t="shared" ref="AI217" si="417">(W217-F217)/F217</f>
        <v>-1</v>
      </c>
    </row>
    <row r="218" spans="1:35" s="50" customFormat="1" ht="17.25" customHeight="1" x14ac:dyDescent="0.3">
      <c r="A218" s="106"/>
      <c r="B218" s="107" t="s">
        <v>40</v>
      </c>
      <c r="C218" s="228">
        <v>47933</v>
      </c>
      <c r="D218" s="313" t="s">
        <v>434</v>
      </c>
      <c r="E218" s="149" t="s">
        <v>0</v>
      </c>
      <c r="F218" s="228">
        <v>900</v>
      </c>
      <c r="G218" s="106"/>
      <c r="H218" s="106"/>
      <c r="I218" s="106"/>
      <c r="J218" s="106"/>
      <c r="K218" s="106"/>
      <c r="L218" s="106"/>
      <c r="M218" s="106">
        <f>45+881</f>
        <v>926</v>
      </c>
      <c r="N218" s="110">
        <f>M218-F218</f>
        <v>26</v>
      </c>
      <c r="O218" s="110"/>
      <c r="P218" s="106"/>
      <c r="Q218" s="106"/>
      <c r="R218" s="106"/>
      <c r="S218" s="106"/>
      <c r="T218" s="110">
        <f>S218-Q218</f>
        <v>0</v>
      </c>
      <c r="U218" s="59">
        <f t="shared" si="395"/>
        <v>1</v>
      </c>
      <c r="V218" s="106"/>
      <c r="W218" s="106">
        <v>925</v>
      </c>
      <c r="X218" s="110">
        <f>+W218-M218</f>
        <v>-1</v>
      </c>
      <c r="Y218" s="110"/>
      <c r="Z218" s="110"/>
      <c r="AA218" s="110"/>
      <c r="AB218" s="106"/>
      <c r="AC218" s="106"/>
      <c r="AD218" s="106"/>
      <c r="AE218" s="100">
        <f>N218/F218</f>
        <v>2.8888888888888888E-2</v>
      </c>
      <c r="AF218" s="90"/>
      <c r="AG218" s="109">
        <f t="shared" si="396"/>
        <v>0</v>
      </c>
      <c r="AH218" s="100">
        <f>(S218-F218)/F218</f>
        <v>-1</v>
      </c>
      <c r="AI218" s="100">
        <f>(W218-F218)/F218</f>
        <v>2.7777777777777776E-2</v>
      </c>
    </row>
    <row r="219" spans="1:35" s="50" customFormat="1" ht="17.25" customHeight="1" x14ac:dyDescent="0.3">
      <c r="A219" s="106"/>
      <c r="B219" s="107" t="s">
        <v>40</v>
      </c>
      <c r="C219" s="228">
        <v>47933</v>
      </c>
      <c r="D219" s="314"/>
      <c r="E219" s="149" t="s">
        <v>114</v>
      </c>
      <c r="F219" s="228">
        <v>900</v>
      </c>
      <c r="G219" s="106"/>
      <c r="H219" s="106"/>
      <c r="I219" s="106"/>
      <c r="J219" s="106"/>
      <c r="K219" s="106"/>
      <c r="L219" s="106"/>
      <c r="M219" s="106">
        <v>925</v>
      </c>
      <c r="N219" s="110">
        <f>M219-F219</f>
        <v>25</v>
      </c>
      <c r="O219" s="110"/>
      <c r="P219" s="106"/>
      <c r="Q219" s="106"/>
      <c r="R219" s="106"/>
      <c r="S219" s="106"/>
      <c r="T219" s="110">
        <f>S219-Q219</f>
        <v>0</v>
      </c>
      <c r="U219" s="59">
        <f t="shared" si="395"/>
        <v>0</v>
      </c>
      <c r="V219" s="106"/>
      <c r="W219" s="106">
        <v>925</v>
      </c>
      <c r="X219" s="110">
        <f>+W219-M219</f>
        <v>0</v>
      </c>
      <c r="Y219" s="110"/>
      <c r="Z219" s="110"/>
      <c r="AA219" s="110"/>
      <c r="AB219" s="106"/>
      <c r="AC219" s="106"/>
      <c r="AD219" s="106"/>
      <c r="AE219" s="100">
        <f>N219/F219</f>
        <v>2.7777777777777776E-2</v>
      </c>
      <c r="AF219" s="90"/>
      <c r="AG219" s="109">
        <f t="shared" si="396"/>
        <v>0</v>
      </c>
      <c r="AH219" s="100">
        <f>(S219-F219)/F219</f>
        <v>-1</v>
      </c>
      <c r="AI219" s="100">
        <f>(W219-F219)/F219</f>
        <v>2.7777777777777776E-2</v>
      </c>
    </row>
    <row r="220" spans="1:35" s="43" customFormat="1" ht="15" customHeight="1" x14ac:dyDescent="0.3">
      <c r="A220" s="90" t="s">
        <v>46</v>
      </c>
      <c r="B220" s="77" t="s">
        <v>40</v>
      </c>
      <c r="C220" s="137"/>
      <c r="D220" s="90"/>
      <c r="E220" s="90"/>
      <c r="F220" s="136">
        <f>SUM(F218:F219)</f>
        <v>1800</v>
      </c>
      <c r="G220" s="136"/>
      <c r="H220" s="136"/>
      <c r="I220" s="136"/>
      <c r="J220" s="136" t="s">
        <v>58</v>
      </c>
      <c r="K220" s="64" t="s">
        <v>245</v>
      </c>
      <c r="L220" s="136">
        <f>SUM(L218:L219)</f>
        <v>0</v>
      </c>
      <c r="M220" s="136">
        <f>SUM(M218:M219)</f>
        <v>1851</v>
      </c>
      <c r="N220" s="90">
        <f>SUMIF(N218:N219,"&lt;0")</f>
        <v>0</v>
      </c>
      <c r="O220" s="136"/>
      <c r="P220" s="136">
        <f>SUM(P218:P219)</f>
        <v>0</v>
      </c>
      <c r="Q220" s="136">
        <f>SUM(Q218:Q219)</f>
        <v>0</v>
      </c>
      <c r="R220" s="136">
        <f>SUM(R218:R219)</f>
        <v>0</v>
      </c>
      <c r="S220" s="136">
        <f>SUM(S218:S219)</f>
        <v>0</v>
      </c>
      <c r="T220" s="136">
        <f>SUM(T218:T219)</f>
        <v>0</v>
      </c>
      <c r="U220" s="59">
        <f t="shared" si="395"/>
        <v>1</v>
      </c>
      <c r="V220" s="136">
        <f>SUM(V218:V219)</f>
        <v>0</v>
      </c>
      <c r="W220" s="136">
        <f>SUM(W218:W219)</f>
        <v>1850</v>
      </c>
      <c r="X220" s="136">
        <f>SUM(X218:X219)</f>
        <v>-1</v>
      </c>
      <c r="Y220" s="136"/>
      <c r="Z220" s="136"/>
      <c r="AA220" s="136"/>
      <c r="AB220" s="84"/>
      <c r="AC220" s="136"/>
      <c r="AD220" s="136"/>
      <c r="AE220" s="100">
        <f t="shared" ref="AE220" si="418">N220/F220</f>
        <v>0</v>
      </c>
      <c r="AF220" s="90"/>
      <c r="AG220" s="109">
        <f t="shared" si="396"/>
        <v>0</v>
      </c>
      <c r="AH220" s="100">
        <f t="shared" ref="AH220" si="419">(S220-F220)/F220</f>
        <v>-1</v>
      </c>
      <c r="AI220" s="100">
        <f t="shared" ref="AI220" si="420">(W220-F220)/F220</f>
        <v>2.7777777777777776E-2</v>
      </c>
    </row>
    <row r="221" spans="1:35" s="50" customFormat="1" ht="17.25" customHeight="1" x14ac:dyDescent="0.3">
      <c r="A221" s="106"/>
      <c r="B221" s="107" t="s">
        <v>40</v>
      </c>
      <c r="C221" s="225" t="s">
        <v>1039</v>
      </c>
      <c r="D221" s="313" t="s">
        <v>1040</v>
      </c>
      <c r="E221" s="149" t="s">
        <v>0</v>
      </c>
      <c r="F221" s="225">
        <f>1500+1400</f>
        <v>2900</v>
      </c>
      <c r="G221" s="106"/>
      <c r="H221" s="106"/>
      <c r="I221" s="106"/>
      <c r="J221" s="106"/>
      <c r="K221" s="106"/>
      <c r="L221" s="106"/>
      <c r="M221" s="106"/>
      <c r="N221" s="110">
        <f t="shared" ref="N221:N232" si="421">M221-F221</f>
        <v>-2900</v>
      </c>
      <c r="O221" s="110"/>
      <c r="P221" s="106"/>
      <c r="Q221" s="106"/>
      <c r="R221" s="106"/>
      <c r="S221" s="106"/>
      <c r="T221" s="110">
        <f t="shared" ref="T221:T232" si="422">S221-Q221</f>
        <v>0</v>
      </c>
      <c r="U221" s="59">
        <f t="shared" si="382"/>
        <v>0</v>
      </c>
      <c r="V221" s="106"/>
      <c r="W221" s="106"/>
      <c r="X221" s="110">
        <f t="shared" ref="X221:X232" si="423">+W221-M221</f>
        <v>0</v>
      </c>
      <c r="Y221" s="110"/>
      <c r="Z221" s="110"/>
      <c r="AA221" s="110"/>
      <c r="AB221" s="106"/>
      <c r="AC221" s="106"/>
      <c r="AD221" s="106"/>
      <c r="AE221" s="100">
        <f t="shared" ref="AE221:AE232" si="424">N221/F221</f>
        <v>-1</v>
      </c>
      <c r="AF221" s="90"/>
      <c r="AG221" s="109">
        <f t="shared" si="385"/>
        <v>-2900</v>
      </c>
      <c r="AH221" s="100">
        <f t="shared" ref="AH221:AH232" si="425">(S221-F221)/F221</f>
        <v>-1</v>
      </c>
      <c r="AI221" s="100">
        <f t="shared" ref="AI221:AI232" si="426">(W221-F221)/F221</f>
        <v>-1</v>
      </c>
    </row>
    <row r="222" spans="1:35" s="50" customFormat="1" ht="17.25" customHeight="1" x14ac:dyDescent="0.3">
      <c r="A222" s="106"/>
      <c r="B222" s="107" t="s">
        <v>40</v>
      </c>
      <c r="C222" s="276" t="s">
        <v>1039</v>
      </c>
      <c r="D222" s="314"/>
      <c r="E222" s="149" t="s">
        <v>5</v>
      </c>
      <c r="F222" s="276">
        <f>1500</f>
        <v>1500</v>
      </c>
      <c r="G222" s="106"/>
      <c r="H222" s="106"/>
      <c r="I222" s="106"/>
      <c r="J222" s="106"/>
      <c r="K222" s="106"/>
      <c r="L222" s="106"/>
      <c r="M222" s="106"/>
      <c r="N222" s="110">
        <f t="shared" si="421"/>
        <v>-1500</v>
      </c>
      <c r="O222" s="110"/>
      <c r="P222" s="106"/>
      <c r="Q222" s="106"/>
      <c r="R222" s="106"/>
      <c r="S222" s="106"/>
      <c r="T222" s="110">
        <f t="shared" si="422"/>
        <v>0</v>
      </c>
      <c r="U222" s="59">
        <f t="shared" si="382"/>
        <v>0</v>
      </c>
      <c r="V222" s="106"/>
      <c r="W222" s="106"/>
      <c r="X222" s="110">
        <f t="shared" si="423"/>
        <v>0</v>
      </c>
      <c r="Y222" s="110"/>
      <c r="Z222" s="110"/>
      <c r="AA222" s="110"/>
      <c r="AB222" s="106"/>
      <c r="AC222" s="106"/>
      <c r="AD222" s="106"/>
      <c r="AE222" s="100">
        <f t="shared" si="424"/>
        <v>-1</v>
      </c>
      <c r="AF222" s="90"/>
      <c r="AG222" s="109">
        <f t="shared" si="385"/>
        <v>-1500</v>
      </c>
      <c r="AH222" s="100">
        <f t="shared" si="425"/>
        <v>-1</v>
      </c>
      <c r="AI222" s="100">
        <f t="shared" si="426"/>
        <v>-1</v>
      </c>
    </row>
    <row r="223" spans="1:35" s="50" customFormat="1" ht="17.25" customHeight="1" x14ac:dyDescent="0.3">
      <c r="A223" s="106"/>
      <c r="B223" s="107" t="s">
        <v>40</v>
      </c>
      <c r="C223" s="276" t="s">
        <v>1039</v>
      </c>
      <c r="D223" s="314"/>
      <c r="E223" s="149" t="s">
        <v>1041</v>
      </c>
      <c r="F223" s="276">
        <v>1500</v>
      </c>
      <c r="G223" s="106"/>
      <c r="H223" s="106"/>
      <c r="I223" s="106"/>
      <c r="J223" s="106"/>
      <c r="K223" s="106"/>
      <c r="L223" s="106"/>
      <c r="M223" s="106"/>
      <c r="N223" s="110">
        <f t="shared" si="421"/>
        <v>-1500</v>
      </c>
      <c r="O223" s="110"/>
      <c r="P223" s="106"/>
      <c r="Q223" s="106"/>
      <c r="R223" s="106"/>
      <c r="S223" s="106"/>
      <c r="T223" s="110">
        <f t="shared" si="422"/>
        <v>0</v>
      </c>
      <c r="U223" s="59">
        <f t="shared" si="382"/>
        <v>0</v>
      </c>
      <c r="V223" s="106"/>
      <c r="W223" s="106"/>
      <c r="X223" s="110">
        <f t="shared" si="423"/>
        <v>0</v>
      </c>
      <c r="Y223" s="110"/>
      <c r="Z223" s="110"/>
      <c r="AA223" s="110"/>
      <c r="AB223" s="106"/>
      <c r="AC223" s="106"/>
      <c r="AD223" s="106"/>
      <c r="AE223" s="100">
        <f t="shared" si="424"/>
        <v>-1</v>
      </c>
      <c r="AF223" s="90"/>
      <c r="AG223" s="109">
        <f t="shared" si="385"/>
        <v>-1500</v>
      </c>
      <c r="AH223" s="100">
        <f t="shared" si="425"/>
        <v>-1</v>
      </c>
      <c r="AI223" s="100">
        <f t="shared" si="426"/>
        <v>-1</v>
      </c>
    </row>
    <row r="224" spans="1:35" s="50" customFormat="1" ht="17.25" customHeight="1" x14ac:dyDescent="0.3">
      <c r="A224" s="106"/>
      <c r="B224" s="107" t="s">
        <v>40</v>
      </c>
      <c r="C224" s="276" t="s">
        <v>1039</v>
      </c>
      <c r="D224" s="314"/>
      <c r="E224" s="149" t="s">
        <v>1042</v>
      </c>
      <c r="F224" s="276">
        <v>2000</v>
      </c>
      <c r="G224" s="106"/>
      <c r="H224" s="106"/>
      <c r="I224" s="106"/>
      <c r="J224" s="106"/>
      <c r="K224" s="106"/>
      <c r="L224" s="106"/>
      <c r="M224" s="106"/>
      <c r="N224" s="110">
        <f t="shared" si="421"/>
        <v>-2000</v>
      </c>
      <c r="O224" s="110"/>
      <c r="P224" s="106"/>
      <c r="Q224" s="106"/>
      <c r="R224" s="106"/>
      <c r="S224" s="106"/>
      <c r="T224" s="110">
        <f t="shared" si="422"/>
        <v>0</v>
      </c>
      <c r="U224" s="59">
        <f t="shared" si="382"/>
        <v>0</v>
      </c>
      <c r="V224" s="106"/>
      <c r="W224" s="106"/>
      <c r="X224" s="110">
        <f t="shared" si="423"/>
        <v>0</v>
      </c>
      <c r="Y224" s="110"/>
      <c r="Z224" s="110"/>
      <c r="AA224" s="110"/>
      <c r="AB224" s="106"/>
      <c r="AC224" s="106"/>
      <c r="AD224" s="106"/>
      <c r="AE224" s="100">
        <f t="shared" si="424"/>
        <v>-1</v>
      </c>
      <c r="AF224" s="90"/>
      <c r="AG224" s="109">
        <f t="shared" si="385"/>
        <v>-2000</v>
      </c>
      <c r="AH224" s="100">
        <f t="shared" si="425"/>
        <v>-1</v>
      </c>
      <c r="AI224" s="100">
        <f t="shared" si="426"/>
        <v>-1</v>
      </c>
    </row>
    <row r="225" spans="1:35" s="50" customFormat="1" ht="17.25" customHeight="1" x14ac:dyDescent="0.3">
      <c r="A225" s="106"/>
      <c r="B225" s="107" t="s">
        <v>40</v>
      </c>
      <c r="C225" s="276" t="s">
        <v>1039</v>
      </c>
      <c r="D225" s="314"/>
      <c r="E225" s="149" t="s">
        <v>1043</v>
      </c>
      <c r="F225" s="276">
        <v>2000</v>
      </c>
      <c r="G225" s="106"/>
      <c r="H225" s="106"/>
      <c r="I225" s="106"/>
      <c r="J225" s="106"/>
      <c r="K225" s="106"/>
      <c r="L225" s="106"/>
      <c r="M225" s="106"/>
      <c r="N225" s="110">
        <f t="shared" si="421"/>
        <v>-2000</v>
      </c>
      <c r="O225" s="110"/>
      <c r="P225" s="106"/>
      <c r="Q225" s="106"/>
      <c r="R225" s="106"/>
      <c r="S225" s="106"/>
      <c r="T225" s="110">
        <f t="shared" si="422"/>
        <v>0</v>
      </c>
      <c r="U225" s="59">
        <f t="shared" ref="U225:U227" si="427">IF(Q225&gt;0,S225-W225,M225-W225)</f>
        <v>0</v>
      </c>
      <c r="V225" s="106"/>
      <c r="W225" s="106"/>
      <c r="X225" s="110">
        <f t="shared" si="423"/>
        <v>0</v>
      </c>
      <c r="Y225" s="110"/>
      <c r="Z225" s="110"/>
      <c r="AA225" s="110"/>
      <c r="AB225" s="106"/>
      <c r="AC225" s="106"/>
      <c r="AD225" s="106"/>
      <c r="AE225" s="100">
        <f t="shared" si="424"/>
        <v>-1</v>
      </c>
      <c r="AF225" s="90"/>
      <c r="AG225" s="109">
        <f t="shared" ref="AG225:AG227" si="428">IF(N225&lt;0,N225,0)</f>
        <v>-2000</v>
      </c>
      <c r="AH225" s="100">
        <f t="shared" si="425"/>
        <v>-1</v>
      </c>
      <c r="AI225" s="100">
        <f t="shared" si="426"/>
        <v>-1</v>
      </c>
    </row>
    <row r="226" spans="1:35" s="50" customFormat="1" ht="17.25" customHeight="1" x14ac:dyDescent="0.3">
      <c r="A226" s="106"/>
      <c r="B226" s="107" t="s">
        <v>40</v>
      </c>
      <c r="C226" s="276" t="s">
        <v>1039</v>
      </c>
      <c r="D226" s="314"/>
      <c r="E226" s="149" t="s">
        <v>49</v>
      </c>
      <c r="F226" s="276">
        <f>2000+1400</f>
        <v>3400</v>
      </c>
      <c r="G226" s="106"/>
      <c r="H226" s="106"/>
      <c r="I226" s="106"/>
      <c r="J226" s="106"/>
      <c r="K226" s="106"/>
      <c r="L226" s="106"/>
      <c r="M226" s="106"/>
      <c r="N226" s="110">
        <f t="shared" si="421"/>
        <v>-3400</v>
      </c>
      <c r="O226" s="110"/>
      <c r="P226" s="106"/>
      <c r="Q226" s="106"/>
      <c r="R226" s="106"/>
      <c r="S226" s="106"/>
      <c r="T226" s="110">
        <f t="shared" si="422"/>
        <v>0</v>
      </c>
      <c r="U226" s="59">
        <f t="shared" si="427"/>
        <v>0</v>
      </c>
      <c r="V226" s="106"/>
      <c r="W226" s="106"/>
      <c r="X226" s="110">
        <f t="shared" si="423"/>
        <v>0</v>
      </c>
      <c r="Y226" s="110"/>
      <c r="Z226" s="110"/>
      <c r="AA226" s="110"/>
      <c r="AB226" s="106"/>
      <c r="AC226" s="106"/>
      <c r="AD226" s="106"/>
      <c r="AE226" s="100">
        <f t="shared" si="424"/>
        <v>-1</v>
      </c>
      <c r="AF226" s="90"/>
      <c r="AG226" s="109">
        <f t="shared" si="428"/>
        <v>-3400</v>
      </c>
      <c r="AH226" s="100">
        <f t="shared" si="425"/>
        <v>-1</v>
      </c>
      <c r="AI226" s="100">
        <f t="shared" si="426"/>
        <v>-1</v>
      </c>
    </row>
    <row r="227" spans="1:35" s="50" customFormat="1" ht="17.25" customHeight="1" x14ac:dyDescent="0.3">
      <c r="A227" s="106"/>
      <c r="B227" s="107" t="s">
        <v>40</v>
      </c>
      <c r="C227" s="276" t="s">
        <v>1039</v>
      </c>
      <c r="D227" s="314"/>
      <c r="E227" s="149" t="s">
        <v>1044</v>
      </c>
      <c r="F227" s="276">
        <v>1800</v>
      </c>
      <c r="G227" s="106"/>
      <c r="H227" s="106"/>
      <c r="I227" s="106"/>
      <c r="J227" s="106"/>
      <c r="K227" s="106"/>
      <c r="L227" s="106"/>
      <c r="M227" s="106"/>
      <c r="N227" s="110">
        <f t="shared" si="421"/>
        <v>-1800</v>
      </c>
      <c r="O227" s="110"/>
      <c r="P227" s="106"/>
      <c r="Q227" s="106"/>
      <c r="R227" s="106"/>
      <c r="S227" s="106"/>
      <c r="T227" s="110">
        <f t="shared" si="422"/>
        <v>0</v>
      </c>
      <c r="U227" s="59">
        <f t="shared" si="427"/>
        <v>0</v>
      </c>
      <c r="V227" s="106"/>
      <c r="W227" s="106"/>
      <c r="X227" s="110">
        <f t="shared" si="423"/>
        <v>0</v>
      </c>
      <c r="Y227" s="110"/>
      <c r="Z227" s="110"/>
      <c r="AA227" s="110"/>
      <c r="AB227" s="106"/>
      <c r="AC227" s="106"/>
      <c r="AD227" s="106"/>
      <c r="AE227" s="100">
        <f t="shared" si="424"/>
        <v>-1</v>
      </c>
      <c r="AF227" s="90"/>
      <c r="AG227" s="109">
        <f t="shared" si="428"/>
        <v>-1800</v>
      </c>
      <c r="AH227" s="100">
        <f t="shared" si="425"/>
        <v>-1</v>
      </c>
      <c r="AI227" s="100">
        <f t="shared" si="426"/>
        <v>-1</v>
      </c>
    </row>
    <row r="228" spans="1:35" s="50" customFormat="1" ht="17.25" customHeight="1" x14ac:dyDescent="0.3">
      <c r="A228" s="106"/>
      <c r="B228" s="107" t="s">
        <v>40</v>
      </c>
      <c r="C228" s="276" t="s">
        <v>1039</v>
      </c>
      <c r="D228" s="314"/>
      <c r="E228" s="149" t="s">
        <v>610</v>
      </c>
      <c r="F228" s="276">
        <v>1800</v>
      </c>
      <c r="G228" s="106"/>
      <c r="H228" s="106"/>
      <c r="I228" s="106"/>
      <c r="J228" s="106"/>
      <c r="K228" s="106"/>
      <c r="L228" s="106"/>
      <c r="M228" s="106"/>
      <c r="N228" s="110">
        <f t="shared" si="421"/>
        <v>-1800</v>
      </c>
      <c r="O228" s="110"/>
      <c r="P228" s="106"/>
      <c r="Q228" s="106"/>
      <c r="R228" s="106"/>
      <c r="S228" s="106"/>
      <c r="T228" s="110">
        <f t="shared" si="422"/>
        <v>0</v>
      </c>
      <c r="U228" s="59">
        <f t="shared" ref="U228:U230" si="429">IF(Q228&gt;0,S228-W228,M228-W228)</f>
        <v>0</v>
      </c>
      <c r="V228" s="106"/>
      <c r="W228" s="106"/>
      <c r="X228" s="110">
        <f t="shared" si="423"/>
        <v>0</v>
      </c>
      <c r="Y228" s="110"/>
      <c r="Z228" s="110"/>
      <c r="AA228" s="110"/>
      <c r="AB228" s="106"/>
      <c r="AC228" s="106"/>
      <c r="AD228" s="106"/>
      <c r="AE228" s="100">
        <f t="shared" si="424"/>
        <v>-1</v>
      </c>
      <c r="AF228" s="90"/>
      <c r="AG228" s="109">
        <f t="shared" ref="AG228:AG230" si="430">IF(N228&lt;0,N228,0)</f>
        <v>-1800</v>
      </c>
      <c r="AH228" s="100">
        <f t="shared" si="425"/>
        <v>-1</v>
      </c>
      <c r="AI228" s="100">
        <f t="shared" si="426"/>
        <v>-1</v>
      </c>
    </row>
    <row r="229" spans="1:35" s="50" customFormat="1" ht="17.25" customHeight="1" x14ac:dyDescent="0.3">
      <c r="A229" s="106"/>
      <c r="B229" s="107" t="s">
        <v>40</v>
      </c>
      <c r="C229" s="276" t="s">
        <v>1039</v>
      </c>
      <c r="D229" s="314"/>
      <c r="E229" s="149" t="s">
        <v>141</v>
      </c>
      <c r="F229" s="276">
        <v>1800</v>
      </c>
      <c r="G229" s="106"/>
      <c r="H229" s="106"/>
      <c r="I229" s="106"/>
      <c r="J229" s="106"/>
      <c r="K229" s="106"/>
      <c r="L229" s="106"/>
      <c r="M229" s="106"/>
      <c r="N229" s="110">
        <f t="shared" si="421"/>
        <v>-1800</v>
      </c>
      <c r="O229" s="110"/>
      <c r="P229" s="106"/>
      <c r="Q229" s="106"/>
      <c r="R229" s="106"/>
      <c r="S229" s="106"/>
      <c r="T229" s="110">
        <f t="shared" si="422"/>
        <v>0</v>
      </c>
      <c r="U229" s="59">
        <f t="shared" si="429"/>
        <v>0</v>
      </c>
      <c r="V229" s="106"/>
      <c r="W229" s="106"/>
      <c r="X229" s="110">
        <f t="shared" si="423"/>
        <v>0</v>
      </c>
      <c r="Y229" s="110"/>
      <c r="Z229" s="110"/>
      <c r="AA229" s="110"/>
      <c r="AB229" s="106"/>
      <c r="AC229" s="106"/>
      <c r="AD229" s="106"/>
      <c r="AE229" s="100">
        <f t="shared" si="424"/>
        <v>-1</v>
      </c>
      <c r="AF229" s="90"/>
      <c r="AG229" s="109">
        <f t="shared" si="430"/>
        <v>-1800</v>
      </c>
      <c r="AH229" s="100">
        <f t="shared" si="425"/>
        <v>-1</v>
      </c>
      <c r="AI229" s="100">
        <f t="shared" si="426"/>
        <v>-1</v>
      </c>
    </row>
    <row r="230" spans="1:35" s="50" customFormat="1" ht="17.25" customHeight="1" x14ac:dyDescent="0.3">
      <c r="A230" s="106"/>
      <c r="B230" s="107" t="s">
        <v>40</v>
      </c>
      <c r="C230" s="276" t="s">
        <v>1039</v>
      </c>
      <c r="D230" s="314"/>
      <c r="E230" s="149" t="s">
        <v>171</v>
      </c>
      <c r="F230" s="276">
        <v>1400</v>
      </c>
      <c r="G230" s="106"/>
      <c r="H230" s="106"/>
      <c r="I230" s="106"/>
      <c r="J230" s="106"/>
      <c r="K230" s="106"/>
      <c r="L230" s="106"/>
      <c r="M230" s="106"/>
      <c r="N230" s="110">
        <f t="shared" si="421"/>
        <v>-1400</v>
      </c>
      <c r="O230" s="110"/>
      <c r="P230" s="106"/>
      <c r="Q230" s="106"/>
      <c r="R230" s="106"/>
      <c r="S230" s="106"/>
      <c r="T230" s="110">
        <f t="shared" si="422"/>
        <v>0</v>
      </c>
      <c r="U230" s="59">
        <f t="shared" si="429"/>
        <v>0</v>
      </c>
      <c r="V230" s="106"/>
      <c r="W230" s="106"/>
      <c r="X230" s="110">
        <f t="shared" si="423"/>
        <v>0</v>
      </c>
      <c r="Y230" s="110"/>
      <c r="Z230" s="110"/>
      <c r="AA230" s="110"/>
      <c r="AB230" s="106"/>
      <c r="AC230" s="106"/>
      <c r="AD230" s="106"/>
      <c r="AE230" s="100">
        <f t="shared" si="424"/>
        <v>-1</v>
      </c>
      <c r="AF230" s="90"/>
      <c r="AG230" s="109">
        <f t="shared" si="430"/>
        <v>-1400</v>
      </c>
      <c r="AH230" s="100">
        <f t="shared" si="425"/>
        <v>-1</v>
      </c>
      <c r="AI230" s="100">
        <f t="shared" si="426"/>
        <v>-1</v>
      </c>
    </row>
    <row r="231" spans="1:35" s="50" customFormat="1" ht="17.25" customHeight="1" x14ac:dyDescent="0.3">
      <c r="A231" s="106"/>
      <c r="B231" s="107" t="s">
        <v>40</v>
      </c>
      <c r="C231" s="276" t="s">
        <v>1039</v>
      </c>
      <c r="D231" s="314"/>
      <c r="E231" s="149" t="s">
        <v>41</v>
      </c>
      <c r="F231" s="225">
        <v>1400</v>
      </c>
      <c r="G231" s="106"/>
      <c r="H231" s="106"/>
      <c r="I231" s="106"/>
      <c r="J231" s="106"/>
      <c r="K231" s="106"/>
      <c r="L231" s="106"/>
      <c r="M231" s="106"/>
      <c r="N231" s="110">
        <f t="shared" si="421"/>
        <v>-1400</v>
      </c>
      <c r="O231" s="110"/>
      <c r="P231" s="106"/>
      <c r="Q231" s="106"/>
      <c r="R231" s="106"/>
      <c r="S231" s="106"/>
      <c r="T231" s="110">
        <f t="shared" si="422"/>
        <v>0</v>
      </c>
      <c r="U231" s="59">
        <f t="shared" si="382"/>
        <v>0</v>
      </c>
      <c r="V231" s="106"/>
      <c r="W231" s="106"/>
      <c r="X231" s="110">
        <f t="shared" si="423"/>
        <v>0</v>
      </c>
      <c r="Y231" s="110"/>
      <c r="Z231" s="110"/>
      <c r="AA231" s="110"/>
      <c r="AB231" s="106"/>
      <c r="AC231" s="106"/>
      <c r="AD231" s="106"/>
      <c r="AE231" s="100">
        <f t="shared" si="424"/>
        <v>-1</v>
      </c>
      <c r="AF231" s="90"/>
      <c r="AG231" s="109">
        <f t="shared" si="385"/>
        <v>-1400</v>
      </c>
      <c r="AH231" s="100">
        <f t="shared" si="425"/>
        <v>-1</v>
      </c>
      <c r="AI231" s="100">
        <f t="shared" si="426"/>
        <v>-1</v>
      </c>
    </row>
    <row r="232" spans="1:35" s="50" customFormat="1" ht="17.25" customHeight="1" x14ac:dyDescent="0.3">
      <c r="A232" s="106"/>
      <c r="B232" s="107" t="s">
        <v>40</v>
      </c>
      <c r="C232" s="276" t="s">
        <v>1039</v>
      </c>
      <c r="D232" s="314"/>
      <c r="E232" s="149" t="s">
        <v>880</v>
      </c>
      <c r="F232" s="225">
        <v>1400</v>
      </c>
      <c r="G232" s="106"/>
      <c r="H232" s="106"/>
      <c r="I232" s="106"/>
      <c r="J232" s="106"/>
      <c r="K232" s="106"/>
      <c r="L232" s="106"/>
      <c r="M232" s="106"/>
      <c r="N232" s="110">
        <f t="shared" si="421"/>
        <v>-1400</v>
      </c>
      <c r="O232" s="110"/>
      <c r="P232" s="106"/>
      <c r="Q232" s="106"/>
      <c r="R232" s="106"/>
      <c r="S232" s="106"/>
      <c r="T232" s="110">
        <f t="shared" si="422"/>
        <v>0</v>
      </c>
      <c r="U232" s="59">
        <f t="shared" si="382"/>
        <v>0</v>
      </c>
      <c r="V232" s="106"/>
      <c r="W232" s="106"/>
      <c r="X232" s="110">
        <f t="shared" si="423"/>
        <v>0</v>
      </c>
      <c r="Y232" s="110"/>
      <c r="Z232" s="110"/>
      <c r="AA232" s="110"/>
      <c r="AB232" s="106"/>
      <c r="AC232" s="106"/>
      <c r="AD232" s="106"/>
      <c r="AE232" s="100">
        <f t="shared" si="424"/>
        <v>-1</v>
      </c>
      <c r="AF232" s="90"/>
      <c r="AG232" s="109">
        <f t="shared" si="385"/>
        <v>-1400</v>
      </c>
      <c r="AH232" s="100">
        <f t="shared" si="425"/>
        <v>-1</v>
      </c>
      <c r="AI232" s="100">
        <f t="shared" si="426"/>
        <v>-1</v>
      </c>
    </row>
    <row r="233" spans="1:35" s="43" customFormat="1" ht="15" customHeight="1" x14ac:dyDescent="0.3">
      <c r="A233" s="90" t="s">
        <v>46</v>
      </c>
      <c r="B233" s="77" t="s">
        <v>40</v>
      </c>
      <c r="C233" s="137"/>
      <c r="D233" s="90"/>
      <c r="E233" s="90"/>
      <c r="F233" s="136">
        <f>SUM(F221:F232)</f>
        <v>22900</v>
      </c>
      <c r="G233" s="136"/>
      <c r="H233" s="136"/>
      <c r="I233" s="136"/>
      <c r="J233" s="136" t="s">
        <v>58</v>
      </c>
      <c r="K233" s="64" t="s">
        <v>687</v>
      </c>
      <c r="L233" s="136">
        <f>SUM(L221:L232)</f>
        <v>0</v>
      </c>
      <c r="M233" s="136">
        <f>SUM(M221:M232)</f>
        <v>0</v>
      </c>
      <c r="N233" s="90">
        <f>SUMIF(N221:N232,"&lt;0")</f>
        <v>-22900</v>
      </c>
      <c r="O233" s="136"/>
      <c r="P233" s="136">
        <f>SUM(P221:P232)</f>
        <v>0</v>
      </c>
      <c r="Q233" s="136">
        <f>SUM(Q221:Q232)</f>
        <v>0</v>
      </c>
      <c r="R233" s="136">
        <f>SUM(R221:R232)</f>
        <v>0</v>
      </c>
      <c r="S233" s="136">
        <f>SUM(S221:S232)</f>
        <v>0</v>
      </c>
      <c r="T233" s="136">
        <f>SUM(T221:T232)</f>
        <v>0</v>
      </c>
      <c r="U233" s="59">
        <f t="shared" si="382"/>
        <v>0</v>
      </c>
      <c r="V233" s="136">
        <f>SUM(V221:V232)</f>
        <v>0</v>
      </c>
      <c r="W233" s="136">
        <f>SUM(W221:W232)</f>
        <v>0</v>
      </c>
      <c r="X233" s="136">
        <f>SUM(X221:X232)</f>
        <v>0</v>
      </c>
      <c r="Y233" s="136"/>
      <c r="Z233" s="136"/>
      <c r="AA233" s="136"/>
      <c r="AB233" s="84"/>
      <c r="AC233" s="136"/>
      <c r="AD233" s="136"/>
      <c r="AE233" s="100">
        <f t="shared" ref="AE233" si="431">N233/F233</f>
        <v>-1</v>
      </c>
      <c r="AF233" s="90"/>
      <c r="AG233" s="109">
        <f t="shared" si="385"/>
        <v>-22900</v>
      </c>
      <c r="AH233" s="100">
        <f t="shared" ref="AH233" si="432">(S233-F233)/F233</f>
        <v>-1</v>
      </c>
      <c r="AI233" s="100">
        <f t="shared" ref="AI233" si="433">(W233-F233)/F233</f>
        <v>-1</v>
      </c>
    </row>
    <row r="234" spans="1:35" s="50" customFormat="1" ht="17.25" customHeight="1" x14ac:dyDescent="0.3">
      <c r="A234" s="106"/>
      <c r="B234" s="107" t="s">
        <v>40</v>
      </c>
      <c r="C234" s="142" t="s">
        <v>692</v>
      </c>
      <c r="D234" s="313" t="s">
        <v>693</v>
      </c>
      <c r="E234" s="143" t="s">
        <v>0</v>
      </c>
      <c r="F234" s="142">
        <v>1500</v>
      </c>
      <c r="G234" s="106"/>
      <c r="H234" s="106"/>
      <c r="I234" s="106"/>
      <c r="J234" s="106"/>
      <c r="K234" s="106"/>
      <c r="L234" s="106"/>
      <c r="M234" s="106">
        <f>1008+406+107+7</f>
        <v>1528</v>
      </c>
      <c r="N234" s="110">
        <f>M234-F234</f>
        <v>28</v>
      </c>
      <c r="O234" s="110"/>
      <c r="P234" s="106"/>
      <c r="Q234" s="106"/>
      <c r="R234" s="106"/>
      <c r="S234" s="106"/>
      <c r="T234" s="110">
        <f>S234-Q234</f>
        <v>0</v>
      </c>
      <c r="U234" s="59">
        <f t="shared" si="303"/>
        <v>0</v>
      </c>
      <c r="V234" s="106"/>
      <c r="W234" s="106">
        <v>1528</v>
      </c>
      <c r="X234" s="110">
        <f>+W234-M234</f>
        <v>0</v>
      </c>
      <c r="Y234" s="110"/>
      <c r="Z234" s="110"/>
      <c r="AA234" s="110"/>
      <c r="AB234" s="106"/>
      <c r="AC234" s="106"/>
      <c r="AD234" s="106"/>
      <c r="AE234" s="100">
        <f>N234/F234</f>
        <v>1.8666666666666668E-2</v>
      </c>
      <c r="AF234" s="90"/>
      <c r="AG234" s="109">
        <f t="shared" ref="AG234:AG237" si="434">IF(N234&lt;0,N234,0)</f>
        <v>0</v>
      </c>
      <c r="AH234" s="100">
        <f>(S234-F234)/F234</f>
        <v>-1</v>
      </c>
      <c r="AI234" s="100">
        <f>(W234-F234)/F234</f>
        <v>1.8666666666666668E-2</v>
      </c>
    </row>
    <row r="235" spans="1:35" s="50" customFormat="1" ht="17.25" customHeight="1" x14ac:dyDescent="0.3">
      <c r="A235" s="106"/>
      <c r="B235" s="107" t="s">
        <v>40</v>
      </c>
      <c r="C235" s="243" t="s">
        <v>692</v>
      </c>
      <c r="D235" s="314"/>
      <c r="E235" s="149" t="s">
        <v>5</v>
      </c>
      <c r="F235" s="179">
        <v>1500</v>
      </c>
      <c r="G235" s="106"/>
      <c r="H235" s="106"/>
      <c r="I235" s="106"/>
      <c r="J235" s="106"/>
      <c r="K235" s="106"/>
      <c r="L235" s="106"/>
      <c r="M235" s="106">
        <f>549+986</f>
        <v>1535</v>
      </c>
      <c r="N235" s="110">
        <f>M235-F235</f>
        <v>35</v>
      </c>
      <c r="O235" s="110"/>
      <c r="P235" s="106"/>
      <c r="Q235" s="106"/>
      <c r="R235" s="106"/>
      <c r="S235" s="106"/>
      <c r="T235" s="110">
        <f>S235-Q235</f>
        <v>0</v>
      </c>
      <c r="U235" s="59">
        <f t="shared" si="303"/>
        <v>7</v>
      </c>
      <c r="V235" s="106"/>
      <c r="W235" s="106">
        <v>1528</v>
      </c>
      <c r="X235" s="110">
        <f>+W235-M235</f>
        <v>-7</v>
      </c>
      <c r="Y235" s="110"/>
      <c r="Z235" s="110"/>
      <c r="AA235" s="110"/>
      <c r="AB235" s="106"/>
      <c r="AC235" s="106"/>
      <c r="AD235" s="106"/>
      <c r="AE235" s="100">
        <f>N235/F235</f>
        <v>2.3333333333333334E-2</v>
      </c>
      <c r="AF235" s="90"/>
      <c r="AG235" s="109">
        <f t="shared" si="434"/>
        <v>0</v>
      </c>
      <c r="AH235" s="100">
        <f>(S235-F235)/F235</f>
        <v>-1</v>
      </c>
      <c r="AI235" s="100">
        <f>(W235-F235)/F235</f>
        <v>1.8666666666666668E-2</v>
      </c>
    </row>
    <row r="236" spans="1:35" s="50" customFormat="1" ht="17.25" customHeight="1" x14ac:dyDescent="0.3">
      <c r="A236" s="106"/>
      <c r="B236" s="107" t="s">
        <v>40</v>
      </c>
      <c r="C236" s="243" t="s">
        <v>692</v>
      </c>
      <c r="D236" s="314"/>
      <c r="E236" s="149" t="s">
        <v>149</v>
      </c>
      <c r="F236" s="179">
        <v>1500</v>
      </c>
      <c r="G236" s="106"/>
      <c r="H236" s="106"/>
      <c r="I236" s="106"/>
      <c r="J236" s="106"/>
      <c r="K236" s="106"/>
      <c r="L236" s="106"/>
      <c r="M236" s="106">
        <f>35+1008+485</f>
        <v>1528</v>
      </c>
      <c r="N236" s="110">
        <f>M236-F236</f>
        <v>28</v>
      </c>
      <c r="O236" s="110"/>
      <c r="P236" s="106"/>
      <c r="Q236" s="106"/>
      <c r="R236" s="106"/>
      <c r="S236" s="106"/>
      <c r="T236" s="110">
        <f>S236-Q236</f>
        <v>0</v>
      </c>
      <c r="U236" s="59">
        <f t="shared" si="303"/>
        <v>0</v>
      </c>
      <c r="V236" s="106"/>
      <c r="W236" s="106">
        <v>1528</v>
      </c>
      <c r="X236" s="110">
        <f>+W236-M236</f>
        <v>0</v>
      </c>
      <c r="Y236" s="110"/>
      <c r="Z236" s="110"/>
      <c r="AA236" s="110"/>
      <c r="AB236" s="106"/>
      <c r="AC236" s="106"/>
      <c r="AD236" s="106"/>
      <c r="AE236" s="100">
        <f>N236/F236</f>
        <v>1.8666666666666668E-2</v>
      </c>
      <c r="AF236" s="90"/>
      <c r="AG236" s="109">
        <f t="shared" ref="AG236" si="435">IF(N236&lt;0,N236,0)</f>
        <v>0</v>
      </c>
      <c r="AH236" s="100">
        <f>(S236-F236)/F236</f>
        <v>-1</v>
      </c>
      <c r="AI236" s="100">
        <f>(W236-F236)/F236</f>
        <v>1.8666666666666668E-2</v>
      </c>
    </row>
    <row r="237" spans="1:35" s="43" customFormat="1" ht="15" customHeight="1" x14ac:dyDescent="0.3">
      <c r="A237" s="90" t="s">
        <v>46</v>
      </c>
      <c r="B237" s="77" t="s">
        <v>40</v>
      </c>
      <c r="C237" s="137"/>
      <c r="D237" s="90"/>
      <c r="E237" s="90"/>
      <c r="F237" s="136">
        <f>SUM(F234:F236)</f>
        <v>4500</v>
      </c>
      <c r="G237" s="136"/>
      <c r="H237" s="136"/>
      <c r="I237" s="136"/>
      <c r="J237" s="136" t="s">
        <v>59</v>
      </c>
      <c r="K237" s="64" t="s">
        <v>340</v>
      </c>
      <c r="L237" s="136">
        <f>SUM(L234:L236)</f>
        <v>0</v>
      </c>
      <c r="M237" s="136">
        <f>SUM(M234:M236)</f>
        <v>4591</v>
      </c>
      <c r="N237" s="90">
        <f>SUMIF(N234:N236,"&lt;0")</f>
        <v>0</v>
      </c>
      <c r="O237" s="136"/>
      <c r="P237" s="136">
        <f>SUM(P234:P236)</f>
        <v>0</v>
      </c>
      <c r="Q237" s="136">
        <f>SUM(Q234:Q236)</f>
        <v>0</v>
      </c>
      <c r="R237" s="136">
        <f>SUM(R234:R236)</f>
        <v>0</v>
      </c>
      <c r="S237" s="136">
        <f>SUM(S234:S236)</f>
        <v>0</v>
      </c>
      <c r="T237" s="136">
        <f>SUM(T234:T236)</f>
        <v>0</v>
      </c>
      <c r="U237" s="59">
        <f t="shared" si="303"/>
        <v>7</v>
      </c>
      <c r="V237" s="136">
        <f>SUM(V234:V236)</f>
        <v>0</v>
      </c>
      <c r="W237" s="136">
        <f>SUM(W234:W236)</f>
        <v>4584</v>
      </c>
      <c r="X237" s="136">
        <f>SUM(X234:X236)</f>
        <v>-7</v>
      </c>
      <c r="Y237" s="136"/>
      <c r="Z237" s="136"/>
      <c r="AA237" s="136"/>
      <c r="AB237" s="84"/>
      <c r="AC237" s="136"/>
      <c r="AD237" s="136"/>
      <c r="AE237" s="100">
        <f t="shared" ref="AE237" si="436">N237/F237</f>
        <v>0</v>
      </c>
      <c r="AF237" s="90"/>
      <c r="AG237" s="109">
        <f t="shared" si="434"/>
        <v>0</v>
      </c>
      <c r="AH237" s="100">
        <f t="shared" ref="AH237" si="437">(S237-F237)/F237</f>
        <v>-1</v>
      </c>
      <c r="AI237" s="100">
        <f t="shared" ref="AI237" si="438">(W237-F237)/F237</f>
        <v>1.8666666666666668E-2</v>
      </c>
    </row>
    <row r="238" spans="1:35" s="51" customFormat="1" ht="25.5" customHeight="1" x14ac:dyDescent="0.3">
      <c r="A238" s="57"/>
      <c r="B238" s="73" t="s">
        <v>23</v>
      </c>
      <c r="C238" s="73"/>
      <c r="D238" s="73"/>
      <c r="E238" s="73"/>
      <c r="F238" s="53">
        <f>+F63+F237+F67+F87+F94+F83+F81+F71+F92+F54+F131+F125+F122+F119+F103+F97+F85+F73+F186+F182+F159+F155+F152+F145+F135+F77++F100+F190+F179+F176+F173+F200+F193+F233+F206+F116+F109+F105+F209+F220+F213+F217+F215+F170+F167+F164+F89</f>
        <v>218999</v>
      </c>
      <c r="G238" s="53"/>
      <c r="H238" s="53"/>
      <c r="I238" s="53"/>
      <c r="J238" s="53"/>
      <c r="K238" s="53"/>
      <c r="L238" s="53">
        <f>+L63+L237+L67+L87+L94+L83+L81+L71+L92+L54+L131+L125+L122+L119+L103+L97+L85+L73+L186+L182+L159+L155+L152+L145+L135+L77++L100+L190+L179+L176+L173+L200+L193+L233+L206+L116+L109+L105+L209+L220+L213+L217+L215+L170+L167+L164+L89</f>
        <v>2086</v>
      </c>
      <c r="M238" s="53">
        <f>+M63+M237+M67+M87+M94+M83+M81+M71+M92+M54+M131+M125+M122+M119+M103+M97+M85+M73+M186+M182+M159+M155+M152+M145+M135+M77++M100+M190+M179+M176+M173+M200+M193+M233+M206+M116+M109+M105+M209+M220+M213+M217+M215+M170+M167+M164+M89</f>
        <v>139822</v>
      </c>
      <c r="N238" s="53">
        <f>+N63+N237+N67+N87+N94+N83+N81+N71+N92+N54+N131+N125+N122+N119+N103+N97+N85+N73+N186+N182+N159+N155+N152+N145+N135+N77++N100+N190+N179+N176+N173+N200+N193+N233+N206+N116+N109+N105+N209+N220+N213+N217+N215+N170+N167+N164+N89</f>
        <v>-84140</v>
      </c>
      <c r="O238" s="53"/>
      <c r="P238" s="53">
        <f t="shared" ref="P238:X238" si="439">+P63+P237+P67+P87+P94+P83+P81+P71+P92+P54+P131+P125+P122+P119+P103+P97+P85+P73+P186+P182+P159+P155+P152+P145+P135+P77++P100+P190+P179+P176+P173+P200+P193+P233+P206+P116+P109+P105+P209+P220+P213+P217+P215+P170+P167+P164+P89</f>
        <v>0</v>
      </c>
      <c r="Q238" s="53">
        <f t="shared" si="439"/>
        <v>0</v>
      </c>
      <c r="R238" s="53">
        <f t="shared" si="439"/>
        <v>0</v>
      </c>
      <c r="S238" s="53">
        <f t="shared" si="439"/>
        <v>0</v>
      </c>
      <c r="T238" s="53">
        <f t="shared" si="439"/>
        <v>0</v>
      </c>
      <c r="U238" s="53">
        <f t="shared" si="439"/>
        <v>5791</v>
      </c>
      <c r="V238" s="53">
        <f t="shared" si="439"/>
        <v>1957</v>
      </c>
      <c r="W238" s="53">
        <f t="shared" si="439"/>
        <v>134031</v>
      </c>
      <c r="X238" s="53">
        <f t="shared" si="439"/>
        <v>-5791</v>
      </c>
      <c r="Y238" s="53"/>
      <c r="Z238" s="53"/>
      <c r="AA238" s="53"/>
      <c r="AB238" s="57"/>
      <c r="AC238" s="57"/>
      <c r="AD238" s="57"/>
      <c r="AE238" s="100">
        <f>N238/F238</f>
        <v>-0.38420266759208949</v>
      </c>
      <c r="AF238" s="90"/>
      <c r="AG238" s="109">
        <f t="shared" ref="AG238" si="440">IF(N238&lt;0,N238,0)</f>
        <v>-84140</v>
      </c>
      <c r="AH238" s="100">
        <f>(S238-F238)/F238</f>
        <v>-1</v>
      </c>
      <c r="AI238" s="100">
        <f>(W238-F238)/F238</f>
        <v>-0.38798350677400356</v>
      </c>
    </row>
    <row r="239" spans="1:35" s="45" customFormat="1" ht="23.25" customHeight="1" x14ac:dyDescent="0.3">
      <c r="A239" s="113"/>
      <c r="B239" s="106" t="s">
        <v>1</v>
      </c>
      <c r="C239" s="117">
        <v>47805</v>
      </c>
      <c r="D239" s="206" t="s">
        <v>634</v>
      </c>
      <c r="E239" s="131" t="s">
        <v>528</v>
      </c>
      <c r="F239" s="106">
        <v>1930</v>
      </c>
      <c r="G239" s="106"/>
      <c r="H239" s="106"/>
      <c r="I239" s="106"/>
      <c r="J239" s="106"/>
      <c r="K239" s="116"/>
      <c r="L239" s="106"/>
      <c r="M239" s="106">
        <f>320+348+400+436+394+54</f>
        <v>1952</v>
      </c>
      <c r="N239" s="110">
        <f t="shared" ref="N239" si="441">M239-F239</f>
        <v>22</v>
      </c>
      <c r="O239" s="110"/>
      <c r="P239" s="106"/>
      <c r="Q239" s="106"/>
      <c r="R239" s="106"/>
      <c r="S239" s="106"/>
      <c r="T239" s="110">
        <f t="shared" ref="T239" si="442">S239-Q239</f>
        <v>0</v>
      </c>
      <c r="U239" s="59">
        <f t="shared" si="303"/>
        <v>1952</v>
      </c>
      <c r="V239" s="106"/>
      <c r="W239" s="106"/>
      <c r="X239" s="110">
        <f t="shared" ref="X239" si="443">+W239-M239</f>
        <v>-1952</v>
      </c>
      <c r="Y239" s="110"/>
      <c r="Z239" s="110"/>
      <c r="AA239" s="110"/>
      <c r="AB239" s="106"/>
      <c r="AC239" s="106"/>
      <c r="AD239" s="106"/>
      <c r="AE239" s="100">
        <f t="shared" ref="AE239:AE240" si="444">N239/F239</f>
        <v>1.1398963730569948E-2</v>
      </c>
      <c r="AF239" s="90"/>
      <c r="AG239" s="109">
        <f t="shared" ref="AG239:AG240" si="445">IF(N239&lt;0,N239,0)</f>
        <v>0</v>
      </c>
      <c r="AH239" s="100">
        <f t="shared" ref="AH239:AH240" si="446">(S239-F239)/F239</f>
        <v>-1</v>
      </c>
      <c r="AI239" s="100">
        <f t="shared" ref="AI239:AI240" si="447">(W239-F239)/F239</f>
        <v>-1</v>
      </c>
    </row>
    <row r="240" spans="1:35" s="43" customFormat="1" ht="16.5" customHeight="1" x14ac:dyDescent="0.3">
      <c r="A240" s="90" t="s">
        <v>46</v>
      </c>
      <c r="B240" s="136" t="s">
        <v>1</v>
      </c>
      <c r="C240" s="137"/>
      <c r="D240" s="136"/>
      <c r="E240" s="90"/>
      <c r="F240" s="136">
        <f>SUM(F239:F239)</f>
        <v>1930</v>
      </c>
      <c r="G240" s="136"/>
      <c r="H240" s="136"/>
      <c r="I240" s="136"/>
      <c r="J240" s="136" t="s">
        <v>58</v>
      </c>
      <c r="K240" s="64" t="s">
        <v>436</v>
      </c>
      <c r="L240" s="136">
        <f>SUM(L239:L239)</f>
        <v>0</v>
      </c>
      <c r="M240" s="136">
        <f>SUM(M239:M239)</f>
        <v>1952</v>
      </c>
      <c r="N240" s="136">
        <f>SUM(N239:N239)</f>
        <v>22</v>
      </c>
      <c r="O240" s="136"/>
      <c r="P240" s="136">
        <f>SUM(P239:P239)</f>
        <v>0</v>
      </c>
      <c r="Q240" s="136">
        <f>SUM(Q239:Q239)</f>
        <v>0</v>
      </c>
      <c r="R240" s="136">
        <f>SUM(R239:R239)</f>
        <v>0</v>
      </c>
      <c r="S240" s="136">
        <f>SUM(S239:S239)</f>
        <v>0</v>
      </c>
      <c r="T240" s="136">
        <f>SUM(T239:T239)</f>
        <v>0</v>
      </c>
      <c r="U240" s="59">
        <f t="shared" si="303"/>
        <v>1952</v>
      </c>
      <c r="V240" s="136">
        <f>SUM(V239:V239)</f>
        <v>0</v>
      </c>
      <c r="W240" s="136">
        <f>SUM(W239:W239)</f>
        <v>0</v>
      </c>
      <c r="X240" s="136">
        <f>SUM(X239:X239)</f>
        <v>-1952</v>
      </c>
      <c r="Y240" s="136"/>
      <c r="Z240" s="136"/>
      <c r="AA240" s="136"/>
      <c r="AB240" s="84"/>
      <c r="AC240" s="136"/>
      <c r="AD240" s="136"/>
      <c r="AE240" s="100">
        <f t="shared" si="444"/>
        <v>1.1398963730569948E-2</v>
      </c>
      <c r="AF240" s="90"/>
      <c r="AG240" s="109">
        <f t="shared" si="445"/>
        <v>0</v>
      </c>
      <c r="AH240" s="100">
        <f t="shared" si="446"/>
        <v>-1</v>
      </c>
      <c r="AI240" s="100">
        <f t="shared" si="447"/>
        <v>-1</v>
      </c>
    </row>
    <row r="241" spans="1:35" s="45" customFormat="1" ht="19.5" customHeight="1" x14ac:dyDescent="0.3">
      <c r="A241" s="113"/>
      <c r="B241" s="106" t="s">
        <v>1</v>
      </c>
      <c r="C241" s="117">
        <v>47745</v>
      </c>
      <c r="D241" s="315" t="s">
        <v>588</v>
      </c>
      <c r="E241" s="131" t="s">
        <v>0</v>
      </c>
      <c r="F241" s="106">
        <v>3053</v>
      </c>
      <c r="G241" s="106"/>
      <c r="H241" s="106"/>
      <c r="I241" s="106"/>
      <c r="J241" s="106"/>
      <c r="K241" s="116"/>
      <c r="L241" s="106"/>
      <c r="M241" s="106">
        <f>1619+1312+160</f>
        <v>3091</v>
      </c>
      <c r="N241" s="110">
        <f>M241-F241</f>
        <v>38</v>
      </c>
      <c r="O241" s="110"/>
      <c r="P241" s="106"/>
      <c r="Q241" s="106"/>
      <c r="R241" s="106"/>
      <c r="S241" s="106"/>
      <c r="T241" s="110">
        <f>S241-Q241</f>
        <v>0</v>
      </c>
      <c r="U241" s="59">
        <f t="shared" si="303"/>
        <v>0</v>
      </c>
      <c r="V241" s="106"/>
      <c r="W241" s="106">
        <v>3091</v>
      </c>
      <c r="X241" s="110">
        <f>+W241-M241</f>
        <v>0</v>
      </c>
      <c r="Y241" s="110"/>
      <c r="Z241" s="110"/>
      <c r="AA241" s="110"/>
      <c r="AB241" s="106"/>
      <c r="AC241" s="106"/>
      <c r="AD241" s="106"/>
      <c r="AE241" s="100">
        <f t="shared" ref="AE241:AE270" si="448">N241/F241</f>
        <v>1.2446773665247298E-2</v>
      </c>
      <c r="AF241" s="90"/>
      <c r="AG241" s="109">
        <f t="shared" ref="AG241:AG270" si="449">IF(N241&lt;0,N241,0)</f>
        <v>0</v>
      </c>
      <c r="AH241" s="100">
        <f t="shared" ref="AH241:AH270" si="450">(S241-F241)/F241</f>
        <v>-1</v>
      </c>
      <c r="AI241" s="100">
        <f t="shared" ref="AI241:AI270" si="451">(W241-F241)/F241</f>
        <v>1.2446773665247298E-2</v>
      </c>
    </row>
    <row r="242" spans="1:35" s="45" customFormat="1" ht="19.5" customHeight="1" x14ac:dyDescent="0.3">
      <c r="A242" s="113"/>
      <c r="B242" s="106" t="s">
        <v>1</v>
      </c>
      <c r="C242" s="117">
        <v>47745</v>
      </c>
      <c r="D242" s="316"/>
      <c r="E242" s="131" t="s">
        <v>98</v>
      </c>
      <c r="F242" s="106">
        <v>3053</v>
      </c>
      <c r="G242" s="106"/>
      <c r="H242" s="106"/>
      <c r="I242" s="106"/>
      <c r="J242" s="106"/>
      <c r="K242" s="116"/>
      <c r="L242" s="106"/>
      <c r="M242" s="106">
        <f>432+800+1608+32+110+112</f>
        <v>3094</v>
      </c>
      <c r="N242" s="110">
        <f>M242-F242</f>
        <v>41</v>
      </c>
      <c r="O242" s="110"/>
      <c r="P242" s="106"/>
      <c r="Q242" s="106"/>
      <c r="R242" s="106"/>
      <c r="S242" s="106"/>
      <c r="T242" s="110">
        <f>S242-Q242</f>
        <v>0</v>
      </c>
      <c r="U242" s="59">
        <f t="shared" si="303"/>
        <v>6</v>
      </c>
      <c r="V242" s="106"/>
      <c r="W242" s="106">
        <v>3088</v>
      </c>
      <c r="X242" s="110">
        <f>+W242-M242</f>
        <v>-6</v>
      </c>
      <c r="Y242" s="110"/>
      <c r="Z242" s="110"/>
      <c r="AA242" s="110"/>
      <c r="AB242" s="106"/>
      <c r="AC242" s="106"/>
      <c r="AD242" s="106"/>
      <c r="AE242" s="100">
        <f t="shared" ref="AE242" si="452">N242/F242</f>
        <v>1.3429413691451031E-2</v>
      </c>
      <c r="AF242" s="90"/>
      <c r="AG242" s="109">
        <f t="shared" ref="AG242" si="453">IF(N242&lt;0,N242,0)</f>
        <v>0</v>
      </c>
      <c r="AH242" s="100">
        <f t="shared" ref="AH242" si="454">(S242-F242)/F242</f>
        <v>-1</v>
      </c>
      <c r="AI242" s="100">
        <f t="shared" ref="AI242" si="455">(W242-F242)/F242</f>
        <v>1.1464133639043564E-2</v>
      </c>
    </row>
    <row r="243" spans="1:35" s="45" customFormat="1" ht="19.5" customHeight="1" x14ac:dyDescent="0.3">
      <c r="A243" s="113"/>
      <c r="B243" s="106" t="s">
        <v>1</v>
      </c>
      <c r="C243" s="117">
        <v>47745</v>
      </c>
      <c r="D243" s="316"/>
      <c r="E243" s="131" t="s">
        <v>589</v>
      </c>
      <c r="F243" s="106">
        <v>2213</v>
      </c>
      <c r="G243" s="106"/>
      <c r="H243" s="106"/>
      <c r="I243" s="106"/>
      <c r="J243" s="106"/>
      <c r="K243" s="116"/>
      <c r="L243" s="106"/>
      <c r="M243" s="106">
        <f>648+928+640+19</f>
        <v>2235</v>
      </c>
      <c r="N243" s="110">
        <f>M243-F243</f>
        <v>22</v>
      </c>
      <c r="O243" s="110"/>
      <c r="P243" s="106"/>
      <c r="Q243" s="106"/>
      <c r="R243" s="106"/>
      <c r="S243" s="106"/>
      <c r="T243" s="110">
        <f>S243-Q243</f>
        <v>0</v>
      </c>
      <c r="U243" s="59">
        <f t="shared" ref="U243" si="456">IF(Q243&gt;0,S243-W243,M243-W243)</f>
        <v>0</v>
      </c>
      <c r="V243" s="106"/>
      <c r="W243" s="106">
        <v>2235</v>
      </c>
      <c r="X243" s="110">
        <f>+W243-M243</f>
        <v>0</v>
      </c>
      <c r="Y243" s="110"/>
      <c r="Z243" s="110"/>
      <c r="AA243" s="110"/>
      <c r="AB243" s="106"/>
      <c r="AC243" s="106"/>
      <c r="AD243" s="106"/>
      <c r="AE243" s="100">
        <f t="shared" si="448"/>
        <v>9.9412562132851334E-3</v>
      </c>
      <c r="AF243" s="90"/>
      <c r="AG243" s="109">
        <f t="shared" si="449"/>
        <v>0</v>
      </c>
      <c r="AH243" s="100">
        <f t="shared" si="450"/>
        <v>-1</v>
      </c>
      <c r="AI243" s="100">
        <f t="shared" si="451"/>
        <v>9.9412562132851334E-3</v>
      </c>
    </row>
    <row r="244" spans="1:35" s="45" customFormat="1" ht="19.5" customHeight="1" x14ac:dyDescent="0.3">
      <c r="A244" s="113"/>
      <c r="B244" s="106" t="s">
        <v>1</v>
      </c>
      <c r="C244" s="117">
        <v>47745</v>
      </c>
      <c r="D244" s="316"/>
      <c r="E244" s="131" t="s">
        <v>590</v>
      </c>
      <c r="F244" s="106">
        <v>1517</v>
      </c>
      <c r="G244" s="106"/>
      <c r="H244" s="106"/>
      <c r="I244" s="106"/>
      <c r="J244" s="106"/>
      <c r="K244" s="116"/>
      <c r="L244" s="106"/>
      <c r="M244" s="106">
        <f>800+752</f>
        <v>1552</v>
      </c>
      <c r="N244" s="110">
        <f>M244-F244</f>
        <v>35</v>
      </c>
      <c r="O244" s="110"/>
      <c r="P244" s="106"/>
      <c r="Q244" s="106"/>
      <c r="R244" s="106"/>
      <c r="S244" s="106"/>
      <c r="T244" s="110">
        <f>S244-Q244</f>
        <v>0</v>
      </c>
      <c r="U244" s="59">
        <f t="shared" si="303"/>
        <v>9</v>
      </c>
      <c r="V244" s="106"/>
      <c r="W244" s="106">
        <f>1543</f>
        <v>1543</v>
      </c>
      <c r="X244" s="110">
        <f>+W244-M244</f>
        <v>-9</v>
      </c>
      <c r="Y244" s="110"/>
      <c r="Z244" s="110"/>
      <c r="AA244" s="110"/>
      <c r="AB244" s="106"/>
      <c r="AC244" s="106"/>
      <c r="AD244" s="106"/>
      <c r="AE244" s="100">
        <f t="shared" ref="AE244" si="457">N244/F244</f>
        <v>2.3071852340145024E-2</v>
      </c>
      <c r="AF244" s="90"/>
      <c r="AG244" s="109">
        <f t="shared" ref="AG244" si="458">IF(N244&lt;0,N244,0)</f>
        <v>0</v>
      </c>
      <c r="AH244" s="100">
        <f t="shared" ref="AH244" si="459">(S244-F244)/F244</f>
        <v>-1</v>
      </c>
      <c r="AI244" s="100">
        <f t="shared" ref="AI244" si="460">(W244-F244)/F244</f>
        <v>1.7139090309822018E-2</v>
      </c>
    </row>
    <row r="245" spans="1:35" s="43" customFormat="1" ht="16.5" customHeight="1" x14ac:dyDescent="0.3">
      <c r="A245" s="90" t="s">
        <v>46</v>
      </c>
      <c r="B245" s="136" t="s">
        <v>1</v>
      </c>
      <c r="C245" s="137"/>
      <c r="D245" s="136"/>
      <c r="E245" s="90"/>
      <c r="F245" s="136">
        <f>SUM(F241:F244)</f>
        <v>9836</v>
      </c>
      <c r="G245" s="136"/>
      <c r="H245" s="136"/>
      <c r="I245" s="136"/>
      <c r="J245" s="136" t="s">
        <v>58</v>
      </c>
      <c r="K245" s="64" t="s">
        <v>210</v>
      </c>
      <c r="L245" s="136">
        <f>SUM(L241:L244)</f>
        <v>0</v>
      </c>
      <c r="M245" s="136">
        <f>SUM(M241:M244)</f>
        <v>9972</v>
      </c>
      <c r="N245" s="136">
        <f>SUM(N241:N244)</f>
        <v>136</v>
      </c>
      <c r="O245" s="136"/>
      <c r="P245" s="136">
        <f t="shared" ref="P245:X245" si="461">SUM(P241:P244)</f>
        <v>0</v>
      </c>
      <c r="Q245" s="136">
        <f t="shared" si="461"/>
        <v>0</v>
      </c>
      <c r="R245" s="136">
        <f t="shared" si="461"/>
        <v>0</v>
      </c>
      <c r="S245" s="136">
        <f t="shared" si="461"/>
        <v>0</v>
      </c>
      <c r="T245" s="136">
        <f t="shared" si="461"/>
        <v>0</v>
      </c>
      <c r="U245" s="59">
        <f t="shared" si="461"/>
        <v>15</v>
      </c>
      <c r="V245" s="136">
        <f t="shared" si="461"/>
        <v>0</v>
      </c>
      <c r="W245" s="136">
        <f t="shared" si="461"/>
        <v>9957</v>
      </c>
      <c r="X245" s="136">
        <f t="shared" si="461"/>
        <v>-15</v>
      </c>
      <c r="Y245" s="136"/>
      <c r="Z245" s="136"/>
      <c r="AA245" s="136"/>
      <c r="AB245" s="84"/>
      <c r="AC245" s="136"/>
      <c r="AD245" s="136"/>
      <c r="AE245" s="100">
        <f t="shared" si="448"/>
        <v>1.3826758845058967E-2</v>
      </c>
      <c r="AF245" s="90"/>
      <c r="AG245" s="109">
        <f t="shared" si="449"/>
        <v>0</v>
      </c>
      <c r="AH245" s="100">
        <f t="shared" si="450"/>
        <v>-1</v>
      </c>
      <c r="AI245" s="100">
        <f t="shared" si="451"/>
        <v>1.2301748678324523E-2</v>
      </c>
    </row>
    <row r="246" spans="1:35" s="45" customFormat="1" ht="19.5" customHeight="1" x14ac:dyDescent="0.3">
      <c r="A246" s="113"/>
      <c r="B246" s="106" t="s">
        <v>1</v>
      </c>
      <c r="C246" s="117">
        <v>47746</v>
      </c>
      <c r="D246" s="315" t="s">
        <v>591</v>
      </c>
      <c r="E246" s="131" t="s">
        <v>592</v>
      </c>
      <c r="F246" s="106">
        <v>3053</v>
      </c>
      <c r="G246" s="106"/>
      <c r="H246" s="106"/>
      <c r="I246" s="106"/>
      <c r="J246" s="106"/>
      <c r="K246" s="116"/>
      <c r="L246" s="106"/>
      <c r="M246" s="106">
        <f>421+467+451+688+154+417+556</f>
        <v>3154</v>
      </c>
      <c r="N246" s="110">
        <f>M246-F246</f>
        <v>101</v>
      </c>
      <c r="O246" s="110"/>
      <c r="P246" s="106"/>
      <c r="Q246" s="106"/>
      <c r="R246" s="106"/>
      <c r="S246" s="106"/>
      <c r="T246" s="110">
        <f>S246-Q246</f>
        <v>0</v>
      </c>
      <c r="U246" s="59">
        <f t="shared" si="303"/>
        <v>46</v>
      </c>
      <c r="V246" s="106"/>
      <c r="W246" s="106">
        <v>3108</v>
      </c>
      <c r="X246" s="110">
        <f>+W246-M246</f>
        <v>-46</v>
      </c>
      <c r="Y246" s="110"/>
      <c r="Z246" s="110"/>
      <c r="AA246" s="110"/>
      <c r="AB246" s="106"/>
      <c r="AC246" s="106"/>
      <c r="AD246" s="106"/>
      <c r="AE246" s="100">
        <f t="shared" ref="AE246:AE248" si="462">N246/F246</f>
        <v>3.3082214215525714E-2</v>
      </c>
      <c r="AF246" s="90"/>
      <c r="AG246" s="109">
        <f t="shared" ref="AG246:AG248" si="463">IF(N246&lt;0,N246,0)</f>
        <v>0</v>
      </c>
      <c r="AH246" s="100">
        <f t="shared" ref="AH246:AH248" si="464">(S246-F246)/F246</f>
        <v>-1</v>
      </c>
      <c r="AI246" s="100">
        <f t="shared" ref="AI246:AI248" si="465">(W246-F246)/F246</f>
        <v>1.8015067147068457E-2</v>
      </c>
    </row>
    <row r="247" spans="1:35" s="45" customFormat="1" ht="19.5" customHeight="1" x14ac:dyDescent="0.3">
      <c r="A247" s="113"/>
      <c r="B247" s="106" t="s">
        <v>1</v>
      </c>
      <c r="C247" s="117">
        <v>47746</v>
      </c>
      <c r="D247" s="316"/>
      <c r="E247" s="131" t="s">
        <v>593</v>
      </c>
      <c r="F247" s="106">
        <v>2215</v>
      </c>
      <c r="G247" s="106"/>
      <c r="H247" s="106"/>
      <c r="I247" s="106"/>
      <c r="J247" s="106"/>
      <c r="K247" s="116"/>
      <c r="L247" s="106"/>
      <c r="M247" s="106">
        <f>584+1288+417</f>
        <v>2289</v>
      </c>
      <c r="N247" s="110">
        <f>M247-F247</f>
        <v>74</v>
      </c>
      <c r="O247" s="110"/>
      <c r="P247" s="106"/>
      <c r="Q247" s="106"/>
      <c r="R247" s="106"/>
      <c r="S247" s="106"/>
      <c r="T247" s="110">
        <f>S247-Q247</f>
        <v>0</v>
      </c>
      <c r="U247" s="59">
        <f t="shared" si="303"/>
        <v>12</v>
      </c>
      <c r="V247" s="106"/>
      <c r="W247" s="106">
        <v>2277</v>
      </c>
      <c r="X247" s="110">
        <f>+W247-M247</f>
        <v>-12</v>
      </c>
      <c r="Y247" s="110"/>
      <c r="Z247" s="110"/>
      <c r="AA247" s="110"/>
      <c r="AB247" s="106"/>
      <c r="AC247" s="106"/>
      <c r="AD247" s="106"/>
      <c r="AE247" s="100">
        <f t="shared" si="462"/>
        <v>3.3408577878103835E-2</v>
      </c>
      <c r="AF247" s="90"/>
      <c r="AG247" s="109">
        <f t="shared" si="463"/>
        <v>0</v>
      </c>
      <c r="AH247" s="100">
        <f t="shared" si="464"/>
        <v>-1</v>
      </c>
      <c r="AI247" s="100">
        <f t="shared" si="465"/>
        <v>2.799097065462754E-2</v>
      </c>
    </row>
    <row r="248" spans="1:35" s="43" customFormat="1" ht="16.5" customHeight="1" x14ac:dyDescent="0.3">
      <c r="A248" s="90" t="s">
        <v>46</v>
      </c>
      <c r="B248" s="136" t="s">
        <v>1</v>
      </c>
      <c r="C248" s="137"/>
      <c r="D248" s="136"/>
      <c r="E248" s="90"/>
      <c r="F248" s="136">
        <f>SUM(F246:F247)</f>
        <v>5268</v>
      </c>
      <c r="G248" s="136"/>
      <c r="H248" s="136"/>
      <c r="I248" s="136"/>
      <c r="J248" s="136" t="s">
        <v>58</v>
      </c>
      <c r="K248" s="64" t="s">
        <v>210</v>
      </c>
      <c r="L248" s="136">
        <f>SUM(L246:L247)</f>
        <v>0</v>
      </c>
      <c r="M248" s="136">
        <f>SUM(M246:M247)</f>
        <v>5443</v>
      </c>
      <c r="N248" s="136">
        <f>SUM(N246:N247)</f>
        <v>175</v>
      </c>
      <c r="O248" s="136"/>
      <c r="P248" s="136">
        <f>SUM(P246:P247)</f>
        <v>0</v>
      </c>
      <c r="Q248" s="136">
        <f>SUM(Q246:Q247)</f>
        <v>0</v>
      </c>
      <c r="R248" s="136">
        <f>SUM(R246:R247)</f>
        <v>0</v>
      </c>
      <c r="S248" s="136">
        <f>SUM(S246:S247)</f>
        <v>0</v>
      </c>
      <c r="T248" s="136">
        <f>SUM(T246:T247)</f>
        <v>0</v>
      </c>
      <c r="U248" s="59">
        <f t="shared" si="303"/>
        <v>58</v>
      </c>
      <c r="V248" s="136">
        <f>SUM(V246:V247)</f>
        <v>0</v>
      </c>
      <c r="W248" s="136">
        <f>SUM(W246:W247)</f>
        <v>5385</v>
      </c>
      <c r="X248" s="136">
        <f>SUM(X246:X247)</f>
        <v>-58</v>
      </c>
      <c r="Y248" s="136"/>
      <c r="Z248" s="136"/>
      <c r="AA248" s="136"/>
      <c r="AB248" s="84"/>
      <c r="AC248" s="136"/>
      <c r="AD248" s="136"/>
      <c r="AE248" s="100">
        <f t="shared" si="462"/>
        <v>3.3219438116932419E-2</v>
      </c>
      <c r="AF248" s="90"/>
      <c r="AG248" s="109">
        <f t="shared" si="463"/>
        <v>0</v>
      </c>
      <c r="AH248" s="100">
        <f t="shared" si="464"/>
        <v>-1</v>
      </c>
      <c r="AI248" s="100">
        <f t="shared" si="465"/>
        <v>2.2209567198177675E-2</v>
      </c>
    </row>
    <row r="249" spans="1:35" s="45" customFormat="1" ht="19.5" customHeight="1" x14ac:dyDescent="0.3">
      <c r="A249" s="113"/>
      <c r="B249" s="106" t="s">
        <v>1</v>
      </c>
      <c r="C249" s="117">
        <v>47730</v>
      </c>
      <c r="D249" s="315" t="s">
        <v>809</v>
      </c>
      <c r="E249" s="131" t="s">
        <v>810</v>
      </c>
      <c r="F249" s="106">
        <v>3013</v>
      </c>
      <c r="G249" s="106"/>
      <c r="H249" s="106"/>
      <c r="I249" s="106"/>
      <c r="J249" s="106"/>
      <c r="K249" s="116"/>
      <c r="L249" s="106"/>
      <c r="M249" s="106">
        <f>488+100+1456</f>
        <v>2044</v>
      </c>
      <c r="N249" s="110">
        <f>M249-F249</f>
        <v>-969</v>
      </c>
      <c r="O249" s="110"/>
      <c r="P249" s="106"/>
      <c r="Q249" s="106"/>
      <c r="R249" s="106"/>
      <c r="S249" s="106"/>
      <c r="T249" s="110">
        <f>S249-Q249</f>
        <v>0</v>
      </c>
      <c r="U249" s="59">
        <f t="shared" si="303"/>
        <v>2044</v>
      </c>
      <c r="V249" s="106"/>
      <c r="W249" s="106"/>
      <c r="X249" s="110">
        <f>+W249-M249</f>
        <v>-2044</v>
      </c>
      <c r="Y249" s="110"/>
      <c r="Z249" s="110"/>
      <c r="AA249" s="110"/>
      <c r="AB249" s="106"/>
      <c r="AC249" s="106"/>
      <c r="AD249" s="106"/>
      <c r="AE249" s="100">
        <f t="shared" si="448"/>
        <v>-0.32160637238632594</v>
      </c>
      <c r="AF249" s="90"/>
      <c r="AG249" s="109">
        <f t="shared" si="449"/>
        <v>-969</v>
      </c>
      <c r="AH249" s="100">
        <f t="shared" si="450"/>
        <v>-1</v>
      </c>
      <c r="AI249" s="100">
        <f t="shared" si="451"/>
        <v>-1</v>
      </c>
    </row>
    <row r="250" spans="1:35" s="45" customFormat="1" ht="19.5" customHeight="1" x14ac:dyDescent="0.3">
      <c r="A250" s="113"/>
      <c r="B250" s="106" t="s">
        <v>1</v>
      </c>
      <c r="C250" s="117">
        <v>47730</v>
      </c>
      <c r="D250" s="316"/>
      <c r="E250" s="131" t="s">
        <v>811</v>
      </c>
      <c r="F250" s="106">
        <v>2613</v>
      </c>
      <c r="G250" s="106"/>
      <c r="H250" s="106"/>
      <c r="I250" s="106"/>
      <c r="J250" s="106"/>
      <c r="K250" s="116"/>
      <c r="L250" s="106"/>
      <c r="M250" s="106">
        <f>623+777+798</f>
        <v>2198</v>
      </c>
      <c r="N250" s="110">
        <f>M250-F250</f>
        <v>-415</v>
      </c>
      <c r="O250" s="110"/>
      <c r="P250" s="106"/>
      <c r="Q250" s="106"/>
      <c r="R250" s="106"/>
      <c r="S250" s="106"/>
      <c r="T250" s="110">
        <f>S250-Q250</f>
        <v>0</v>
      </c>
      <c r="U250" s="59">
        <f t="shared" si="303"/>
        <v>2198</v>
      </c>
      <c r="V250" s="106"/>
      <c r="W250" s="106"/>
      <c r="X250" s="110">
        <f>+W250-M250</f>
        <v>-2198</v>
      </c>
      <c r="Y250" s="110"/>
      <c r="Z250" s="110"/>
      <c r="AA250" s="110"/>
      <c r="AB250" s="106"/>
      <c r="AC250" s="106"/>
      <c r="AD250" s="106"/>
      <c r="AE250" s="100">
        <f t="shared" si="448"/>
        <v>-0.15882127822426331</v>
      </c>
      <c r="AF250" s="90"/>
      <c r="AG250" s="109">
        <f t="shared" si="449"/>
        <v>-415</v>
      </c>
      <c r="AH250" s="100">
        <f t="shared" si="450"/>
        <v>-1</v>
      </c>
      <c r="AI250" s="100">
        <f t="shared" si="451"/>
        <v>-1</v>
      </c>
    </row>
    <row r="251" spans="1:35" s="45" customFormat="1" ht="19.5" customHeight="1" x14ac:dyDescent="0.3">
      <c r="A251" s="113"/>
      <c r="B251" s="106" t="s">
        <v>1</v>
      </c>
      <c r="C251" s="117">
        <v>47730</v>
      </c>
      <c r="D251" s="316"/>
      <c r="E251" s="131" t="s">
        <v>777</v>
      </c>
      <c r="F251" s="106">
        <v>1913</v>
      </c>
      <c r="G251" s="106"/>
      <c r="H251" s="106"/>
      <c r="I251" s="106"/>
      <c r="J251" s="106"/>
      <c r="K251" s="116"/>
      <c r="L251" s="106"/>
      <c r="M251" s="106"/>
      <c r="N251" s="110">
        <f>M251-F251</f>
        <v>-1913</v>
      </c>
      <c r="O251" s="110"/>
      <c r="P251" s="106"/>
      <c r="Q251" s="106"/>
      <c r="R251" s="106"/>
      <c r="S251" s="106"/>
      <c r="T251" s="110">
        <f>S251-Q251</f>
        <v>0</v>
      </c>
      <c r="U251" s="59">
        <f t="shared" si="303"/>
        <v>0</v>
      </c>
      <c r="V251" s="106"/>
      <c r="W251" s="106"/>
      <c r="X251" s="110">
        <f>+W251-M251</f>
        <v>0</v>
      </c>
      <c r="Y251" s="110"/>
      <c r="Z251" s="110"/>
      <c r="AA251" s="110"/>
      <c r="AB251" s="106"/>
      <c r="AC251" s="106"/>
      <c r="AD251" s="106"/>
      <c r="AE251" s="100">
        <f t="shared" ref="AE251" si="466">N251/F251</f>
        <v>-1</v>
      </c>
      <c r="AF251" s="90"/>
      <c r="AG251" s="109">
        <f t="shared" ref="AG251" si="467">IF(N251&lt;0,N251,0)</f>
        <v>-1913</v>
      </c>
      <c r="AH251" s="100">
        <f t="shared" ref="AH251" si="468">(S251-F251)/F251</f>
        <v>-1</v>
      </c>
      <c r="AI251" s="100">
        <f t="shared" ref="AI251" si="469">(W251-F251)/F251</f>
        <v>-1</v>
      </c>
    </row>
    <row r="252" spans="1:35" s="43" customFormat="1" ht="16.5" customHeight="1" x14ac:dyDescent="0.3">
      <c r="A252" s="90" t="s">
        <v>46</v>
      </c>
      <c r="B252" s="136" t="s">
        <v>1</v>
      </c>
      <c r="C252" s="137"/>
      <c r="D252" s="136"/>
      <c r="E252" s="90"/>
      <c r="F252" s="136">
        <f>SUM(F249:F251)</f>
        <v>7539</v>
      </c>
      <c r="G252" s="136"/>
      <c r="H252" s="136"/>
      <c r="I252" s="136"/>
      <c r="J252" s="136" t="s">
        <v>58</v>
      </c>
      <c r="K252" s="64" t="s">
        <v>726</v>
      </c>
      <c r="L252" s="136">
        <f>SUM(L249:L251)</f>
        <v>0</v>
      </c>
      <c r="M252" s="136">
        <f>SUM(M249:M251)</f>
        <v>4242</v>
      </c>
      <c r="N252" s="136">
        <f>SUM(N249:N251)</f>
        <v>-3297</v>
      </c>
      <c r="O252" s="136"/>
      <c r="P252" s="136">
        <f>SUM(P249:P251)</f>
        <v>0</v>
      </c>
      <c r="Q252" s="136">
        <f>SUM(Q249:Q251)</f>
        <v>0</v>
      </c>
      <c r="R252" s="136">
        <f>SUM(R249:R251)</f>
        <v>0</v>
      </c>
      <c r="S252" s="136">
        <f>SUM(S249:S251)</f>
        <v>0</v>
      </c>
      <c r="T252" s="136">
        <f>SUM(T249:T251)</f>
        <v>0</v>
      </c>
      <c r="U252" s="59">
        <f t="shared" si="303"/>
        <v>4242</v>
      </c>
      <c r="V252" s="136">
        <f>SUM(V249:V251)</f>
        <v>0</v>
      </c>
      <c r="W252" s="136">
        <f>SUM(W249:W251)</f>
        <v>0</v>
      </c>
      <c r="X252" s="136">
        <f>SUM(X249:X251)</f>
        <v>-4242</v>
      </c>
      <c r="Y252" s="136"/>
      <c r="Z252" s="136"/>
      <c r="AA252" s="136"/>
      <c r="AB252" s="84"/>
      <c r="AC252" s="136"/>
      <c r="AD252" s="136"/>
      <c r="AE252" s="100">
        <f t="shared" si="448"/>
        <v>-0.43732590529247911</v>
      </c>
      <c r="AF252" s="90"/>
      <c r="AG252" s="109">
        <f t="shared" si="449"/>
        <v>-3297</v>
      </c>
      <c r="AH252" s="100">
        <f t="shared" si="450"/>
        <v>-1</v>
      </c>
      <c r="AI252" s="100">
        <f t="shared" si="451"/>
        <v>-1</v>
      </c>
    </row>
    <row r="253" spans="1:35" s="45" customFormat="1" ht="19.5" customHeight="1" x14ac:dyDescent="0.3">
      <c r="A253" s="113"/>
      <c r="B253" s="106" t="s">
        <v>1</v>
      </c>
      <c r="C253" s="117">
        <v>47729</v>
      </c>
      <c r="D253" s="315" t="s">
        <v>833</v>
      </c>
      <c r="E253" s="131" t="s">
        <v>810</v>
      </c>
      <c r="F253" s="106">
        <v>3013</v>
      </c>
      <c r="G253" s="106"/>
      <c r="H253" s="106"/>
      <c r="I253" s="106"/>
      <c r="J253" s="106"/>
      <c r="K253" s="116"/>
      <c r="L253" s="106">
        <f>500+509</f>
        <v>1009</v>
      </c>
      <c r="M253" s="106">
        <f>500+500+1045+500+509</f>
        <v>3054</v>
      </c>
      <c r="N253" s="110">
        <f>M253-F253</f>
        <v>41</v>
      </c>
      <c r="O253" s="110"/>
      <c r="P253" s="106"/>
      <c r="Q253" s="106"/>
      <c r="R253" s="106"/>
      <c r="S253" s="106"/>
      <c r="T253" s="110">
        <f>S253-Q253</f>
        <v>0</v>
      </c>
      <c r="U253" s="59">
        <f t="shared" si="303"/>
        <v>3054</v>
      </c>
      <c r="V253" s="106"/>
      <c r="W253" s="106"/>
      <c r="X253" s="110">
        <f>+W253-M253</f>
        <v>-3054</v>
      </c>
      <c r="Y253" s="110"/>
      <c r="Z253" s="110"/>
      <c r="AA253" s="110"/>
      <c r="AB253" s="106"/>
      <c r="AC253" s="106"/>
      <c r="AD253" s="106"/>
      <c r="AE253" s="100">
        <f t="shared" ref="AE253:AE256" si="470">N253/F253</f>
        <v>1.3607699966810488E-2</v>
      </c>
      <c r="AF253" s="90"/>
      <c r="AG253" s="109">
        <f t="shared" ref="AG253:AG256" si="471">IF(N253&lt;0,N253,0)</f>
        <v>0</v>
      </c>
      <c r="AH253" s="100">
        <f t="shared" ref="AH253:AH256" si="472">(S253-F253)/F253</f>
        <v>-1</v>
      </c>
      <c r="AI253" s="100">
        <f t="shared" ref="AI253:AI256" si="473">(W253-F253)/F253</f>
        <v>-1</v>
      </c>
    </row>
    <row r="254" spans="1:35" s="45" customFormat="1" ht="19.5" customHeight="1" x14ac:dyDescent="0.3">
      <c r="A254" s="113"/>
      <c r="B254" s="106" t="s">
        <v>1</v>
      </c>
      <c r="C254" s="117">
        <v>47729</v>
      </c>
      <c r="D254" s="316"/>
      <c r="E254" s="131" t="s">
        <v>811</v>
      </c>
      <c r="F254" s="106">
        <v>2613</v>
      </c>
      <c r="G254" s="106"/>
      <c r="H254" s="106"/>
      <c r="I254" s="106"/>
      <c r="J254" s="106"/>
      <c r="K254" s="116"/>
      <c r="L254" s="106"/>
      <c r="M254" s="106">
        <f>545+1095+550+400</f>
        <v>2590</v>
      </c>
      <c r="N254" s="110">
        <f>M254-F254</f>
        <v>-23</v>
      </c>
      <c r="O254" s="110"/>
      <c r="P254" s="106"/>
      <c r="Q254" s="106"/>
      <c r="R254" s="106"/>
      <c r="S254" s="106"/>
      <c r="T254" s="110">
        <f>S254-Q254</f>
        <v>0</v>
      </c>
      <c r="U254" s="59">
        <f t="shared" si="303"/>
        <v>2590</v>
      </c>
      <c r="V254" s="106"/>
      <c r="W254" s="106"/>
      <c r="X254" s="110">
        <f>+W254-M254</f>
        <v>-2590</v>
      </c>
      <c r="Y254" s="110"/>
      <c r="Z254" s="110"/>
      <c r="AA254" s="110"/>
      <c r="AB254" s="106"/>
      <c r="AC254" s="106"/>
      <c r="AD254" s="106"/>
      <c r="AE254" s="100">
        <f t="shared" ref="AE254:AE255" si="474">N254/F254</f>
        <v>-8.802143130501339E-3</v>
      </c>
      <c r="AF254" s="90"/>
      <c r="AG254" s="109">
        <f t="shared" ref="AG254:AG255" si="475">IF(N254&lt;0,N254,0)</f>
        <v>-23</v>
      </c>
      <c r="AH254" s="100">
        <f t="shared" ref="AH254:AH255" si="476">(S254-F254)/F254</f>
        <v>-1</v>
      </c>
      <c r="AI254" s="100">
        <f t="shared" ref="AI254:AI255" si="477">(W254-F254)/F254</f>
        <v>-1</v>
      </c>
    </row>
    <row r="255" spans="1:35" s="45" customFormat="1" ht="19.5" customHeight="1" x14ac:dyDescent="0.3">
      <c r="A255" s="113"/>
      <c r="B255" s="106" t="s">
        <v>1</v>
      </c>
      <c r="C255" s="117">
        <v>47729</v>
      </c>
      <c r="D255" s="316"/>
      <c r="E255" s="131" t="s">
        <v>777</v>
      </c>
      <c r="F255" s="106">
        <v>1913</v>
      </c>
      <c r="G255" s="106"/>
      <c r="H255" s="106"/>
      <c r="I255" s="106"/>
      <c r="J255" s="106"/>
      <c r="K255" s="116"/>
      <c r="L255" s="106"/>
      <c r="M255" s="106">
        <f>1085+853</f>
        <v>1938</v>
      </c>
      <c r="N255" s="110">
        <f>M255-F255</f>
        <v>25</v>
      </c>
      <c r="O255" s="110"/>
      <c r="P255" s="106"/>
      <c r="Q255" s="106"/>
      <c r="R255" s="106"/>
      <c r="S255" s="106"/>
      <c r="T255" s="110">
        <f>S255-Q255</f>
        <v>0</v>
      </c>
      <c r="U255" s="59">
        <f t="shared" ref="U255" si="478">IF(Q255&gt;0,S255-W255,M255-W255)</f>
        <v>1938</v>
      </c>
      <c r="V255" s="106"/>
      <c r="W255" s="106"/>
      <c r="X255" s="110">
        <f>+W255-M255</f>
        <v>-1938</v>
      </c>
      <c r="Y255" s="110"/>
      <c r="Z255" s="110"/>
      <c r="AA255" s="110"/>
      <c r="AB255" s="106"/>
      <c r="AC255" s="106"/>
      <c r="AD255" s="106"/>
      <c r="AE255" s="100">
        <f t="shared" si="474"/>
        <v>1.3068478829064296E-2</v>
      </c>
      <c r="AF255" s="90"/>
      <c r="AG255" s="109">
        <f t="shared" si="475"/>
        <v>0</v>
      </c>
      <c r="AH255" s="100">
        <f t="shared" si="476"/>
        <v>-1</v>
      </c>
      <c r="AI255" s="100">
        <f t="shared" si="477"/>
        <v>-1</v>
      </c>
    </row>
    <row r="256" spans="1:35" s="43" customFormat="1" ht="16.5" customHeight="1" x14ac:dyDescent="0.3">
      <c r="A256" s="90" t="s">
        <v>46</v>
      </c>
      <c r="B256" s="136" t="s">
        <v>1</v>
      </c>
      <c r="C256" s="137"/>
      <c r="D256" s="136"/>
      <c r="E256" s="90"/>
      <c r="F256" s="136">
        <f>SUM(F253:F255)</f>
        <v>7539</v>
      </c>
      <c r="G256" s="136"/>
      <c r="H256" s="136"/>
      <c r="I256" s="136"/>
      <c r="J256" s="136" t="s">
        <v>58</v>
      </c>
      <c r="K256" s="64" t="s">
        <v>726</v>
      </c>
      <c r="L256" s="136">
        <f>SUM(L253:L255)</f>
        <v>1009</v>
      </c>
      <c r="M256" s="136">
        <f>SUM(M253:M255)</f>
        <v>7582</v>
      </c>
      <c r="N256" s="136">
        <f>SUM(N253:N255)</f>
        <v>43</v>
      </c>
      <c r="O256" s="136"/>
      <c r="P256" s="136">
        <f>SUM(P253:P255)</f>
        <v>0</v>
      </c>
      <c r="Q256" s="136">
        <f>SUM(Q253:Q255)</f>
        <v>0</v>
      </c>
      <c r="R256" s="136">
        <f>SUM(R253:R255)</f>
        <v>0</v>
      </c>
      <c r="S256" s="136">
        <f>SUM(S253:S255)</f>
        <v>0</v>
      </c>
      <c r="T256" s="136">
        <f>SUM(T253:T255)</f>
        <v>0</v>
      </c>
      <c r="U256" s="59">
        <f t="shared" si="303"/>
        <v>7582</v>
      </c>
      <c r="V256" s="136">
        <f>SUM(V253:V255)</f>
        <v>0</v>
      </c>
      <c r="W256" s="136">
        <f>SUM(W253:W255)</f>
        <v>0</v>
      </c>
      <c r="X256" s="136">
        <f>SUM(X253:X255)</f>
        <v>-7582</v>
      </c>
      <c r="Y256" s="136"/>
      <c r="Z256" s="136"/>
      <c r="AA256" s="136"/>
      <c r="AB256" s="84"/>
      <c r="AC256" s="136"/>
      <c r="AD256" s="136"/>
      <c r="AE256" s="100">
        <f t="shared" si="470"/>
        <v>5.7036742273511073E-3</v>
      </c>
      <c r="AF256" s="90"/>
      <c r="AG256" s="109">
        <f t="shared" si="471"/>
        <v>0</v>
      </c>
      <c r="AH256" s="100">
        <f t="shared" si="472"/>
        <v>-1</v>
      </c>
      <c r="AI256" s="100">
        <f t="shared" si="473"/>
        <v>-1</v>
      </c>
    </row>
    <row r="257" spans="1:35" s="45" customFormat="1" ht="19.5" customHeight="1" x14ac:dyDescent="0.3">
      <c r="A257" s="113"/>
      <c r="B257" s="106" t="s">
        <v>1</v>
      </c>
      <c r="C257" s="117">
        <v>47779</v>
      </c>
      <c r="D257" s="208" t="s">
        <v>603</v>
      </c>
      <c r="E257" s="131" t="s">
        <v>41</v>
      </c>
      <c r="F257" s="106">
        <v>2994</v>
      </c>
      <c r="G257" s="106"/>
      <c r="H257" s="106"/>
      <c r="I257" s="106"/>
      <c r="J257" s="106"/>
      <c r="K257" s="116"/>
      <c r="L257" s="106"/>
      <c r="M257" s="106">
        <f>480+486+300+450+486+234+384+156+24+102+18</f>
        <v>3120</v>
      </c>
      <c r="N257" s="110">
        <f>M257-F257</f>
        <v>126</v>
      </c>
      <c r="O257" s="110"/>
      <c r="P257" s="106"/>
      <c r="Q257" s="106"/>
      <c r="R257" s="106"/>
      <c r="S257" s="106"/>
      <c r="T257" s="110">
        <f>S257-Q257</f>
        <v>0</v>
      </c>
      <c r="U257" s="59">
        <f t="shared" si="303"/>
        <v>0</v>
      </c>
      <c r="V257" s="106"/>
      <c r="W257" s="106">
        <v>3120</v>
      </c>
      <c r="X257" s="110">
        <f>+W257-M257</f>
        <v>0</v>
      </c>
      <c r="Y257" s="110"/>
      <c r="Z257" s="110"/>
      <c r="AA257" s="110"/>
      <c r="AB257" s="106"/>
      <c r="AC257" s="106"/>
      <c r="AD257" s="106"/>
      <c r="AE257" s="100">
        <f t="shared" ref="AE257:AE258" si="479">N257/F257</f>
        <v>4.2084168336673347E-2</v>
      </c>
      <c r="AF257" s="90"/>
      <c r="AG257" s="109">
        <f t="shared" ref="AG257:AG258" si="480">IF(N257&lt;0,N257,0)</f>
        <v>0</v>
      </c>
      <c r="AH257" s="100">
        <f t="shared" ref="AH257:AH258" si="481">(S257-F257)/F257</f>
        <v>-1</v>
      </c>
      <c r="AI257" s="100">
        <f t="shared" ref="AI257:AI258" si="482">(W257-F257)/F257</f>
        <v>4.2084168336673347E-2</v>
      </c>
    </row>
    <row r="258" spans="1:35" s="43" customFormat="1" ht="16.5" customHeight="1" x14ac:dyDescent="0.3">
      <c r="A258" s="90" t="s">
        <v>46</v>
      </c>
      <c r="B258" s="136" t="s">
        <v>1</v>
      </c>
      <c r="C258" s="137"/>
      <c r="D258" s="136"/>
      <c r="E258" s="90"/>
      <c r="F258" s="136">
        <f>SUM(F257:F257)</f>
        <v>2994</v>
      </c>
      <c r="G258" s="136"/>
      <c r="H258" s="136"/>
      <c r="I258" s="136"/>
      <c r="J258" s="136" t="s">
        <v>58</v>
      </c>
      <c r="K258" s="64" t="s">
        <v>210</v>
      </c>
      <c r="L258" s="136">
        <f>SUM(L257:L257)</f>
        <v>0</v>
      </c>
      <c r="M258" s="136">
        <f>SUM(M257:M257)</f>
        <v>3120</v>
      </c>
      <c r="N258" s="136">
        <f>SUM(N257:N257)</f>
        <v>126</v>
      </c>
      <c r="O258" s="136"/>
      <c r="P258" s="136">
        <f>SUM(P257:P257)</f>
        <v>0</v>
      </c>
      <c r="Q258" s="136">
        <f>SUM(Q257:Q257)</f>
        <v>0</v>
      </c>
      <c r="R258" s="136">
        <f>SUM(R257:R257)</f>
        <v>0</v>
      </c>
      <c r="S258" s="136">
        <f>SUM(S257:S257)</f>
        <v>0</v>
      </c>
      <c r="T258" s="136">
        <f>SUM(T257:T257)</f>
        <v>0</v>
      </c>
      <c r="U258" s="59">
        <f t="shared" si="303"/>
        <v>0</v>
      </c>
      <c r="V258" s="136">
        <f>SUM(V257:V257)</f>
        <v>0</v>
      </c>
      <c r="W258" s="136">
        <f>SUM(W257:W257)</f>
        <v>3120</v>
      </c>
      <c r="X258" s="136">
        <f>SUM(X257:X257)</f>
        <v>0</v>
      </c>
      <c r="Y258" s="136" t="s">
        <v>47</v>
      </c>
      <c r="Z258" s="136" t="s">
        <v>45</v>
      </c>
      <c r="AA258" s="136"/>
      <c r="AB258" s="84"/>
      <c r="AC258" s="136"/>
      <c r="AD258" s="136"/>
      <c r="AE258" s="100">
        <f t="shared" si="479"/>
        <v>4.2084168336673347E-2</v>
      </c>
      <c r="AF258" s="90"/>
      <c r="AG258" s="109">
        <f t="shared" si="480"/>
        <v>0</v>
      </c>
      <c r="AH258" s="100">
        <f t="shared" si="481"/>
        <v>-1</v>
      </c>
      <c r="AI258" s="100">
        <f t="shared" si="482"/>
        <v>4.2084168336673347E-2</v>
      </c>
    </row>
    <row r="259" spans="1:35" s="45" customFormat="1" ht="19.5" customHeight="1" x14ac:dyDescent="0.3">
      <c r="A259" s="113"/>
      <c r="B259" s="106" t="s">
        <v>1</v>
      </c>
      <c r="C259" s="117">
        <v>47814</v>
      </c>
      <c r="D259" s="315" t="s">
        <v>629</v>
      </c>
      <c r="E259" s="131" t="s">
        <v>39</v>
      </c>
      <c r="F259" s="106">
        <v>3984</v>
      </c>
      <c r="G259" s="106"/>
      <c r="H259" s="106"/>
      <c r="I259" s="106"/>
      <c r="J259" s="106"/>
      <c r="K259" s="116"/>
      <c r="L259" s="106"/>
      <c r="M259" s="106"/>
      <c r="N259" s="110">
        <f>M259-F259</f>
        <v>-3984</v>
      </c>
      <c r="O259" s="110"/>
      <c r="P259" s="106"/>
      <c r="Q259" s="106"/>
      <c r="R259" s="106"/>
      <c r="S259" s="106"/>
      <c r="T259" s="110">
        <f>S259-Q259</f>
        <v>0</v>
      </c>
      <c r="U259" s="59">
        <f t="shared" si="303"/>
        <v>0</v>
      </c>
      <c r="V259" s="106"/>
      <c r="W259" s="106"/>
      <c r="X259" s="110">
        <f>+W259-M259</f>
        <v>0</v>
      </c>
      <c r="Y259" s="110"/>
      <c r="Z259" s="110"/>
      <c r="AA259" s="110"/>
      <c r="AB259" s="106"/>
      <c r="AC259" s="106"/>
      <c r="AD259" s="106"/>
      <c r="AE259" s="100">
        <f t="shared" si="448"/>
        <v>-1</v>
      </c>
      <c r="AF259" s="90"/>
      <c r="AG259" s="109">
        <f t="shared" si="449"/>
        <v>-3984</v>
      </c>
      <c r="AH259" s="100">
        <f t="shared" si="450"/>
        <v>-1</v>
      </c>
      <c r="AI259" s="100">
        <f t="shared" si="451"/>
        <v>-1</v>
      </c>
    </row>
    <row r="260" spans="1:35" s="45" customFormat="1" ht="19.5" customHeight="1" x14ac:dyDescent="0.3">
      <c r="A260" s="113"/>
      <c r="B260" s="106" t="s">
        <v>1</v>
      </c>
      <c r="C260" s="117">
        <v>47814</v>
      </c>
      <c r="D260" s="316"/>
      <c r="E260" s="131" t="s">
        <v>104</v>
      </c>
      <c r="F260" s="106">
        <v>3980</v>
      </c>
      <c r="G260" s="106"/>
      <c r="H260" s="106"/>
      <c r="I260" s="106"/>
      <c r="J260" s="106"/>
      <c r="K260" s="116"/>
      <c r="L260" s="106"/>
      <c r="M260" s="106"/>
      <c r="N260" s="110">
        <f>M260-F260</f>
        <v>-3980</v>
      </c>
      <c r="O260" s="110"/>
      <c r="P260" s="106"/>
      <c r="Q260" s="106"/>
      <c r="R260" s="106"/>
      <c r="S260" s="106"/>
      <c r="T260" s="110">
        <f>S260-Q260</f>
        <v>0</v>
      </c>
      <c r="U260" s="59">
        <f t="shared" ref="U260" si="483">IF(Q260&gt;0,S260-W260,M260-W260)</f>
        <v>0</v>
      </c>
      <c r="V260" s="106"/>
      <c r="W260" s="106"/>
      <c r="X260" s="110">
        <f>+W260-M260</f>
        <v>0</v>
      </c>
      <c r="Y260" s="110"/>
      <c r="Z260" s="110"/>
      <c r="AA260" s="110"/>
      <c r="AB260" s="106"/>
      <c r="AC260" s="106"/>
      <c r="AD260" s="106"/>
      <c r="AE260" s="100">
        <f t="shared" ref="AE260" si="484">N260/F260</f>
        <v>-1</v>
      </c>
      <c r="AF260" s="90"/>
      <c r="AG260" s="109">
        <f t="shared" ref="AG260" si="485">IF(N260&lt;0,N260,0)</f>
        <v>-3980</v>
      </c>
      <c r="AH260" s="100">
        <f t="shared" ref="AH260" si="486">(S260-F260)/F260</f>
        <v>-1</v>
      </c>
      <c r="AI260" s="100">
        <f t="shared" ref="AI260" si="487">(W260-F260)/F260</f>
        <v>-1</v>
      </c>
    </row>
    <row r="261" spans="1:35" s="45" customFormat="1" ht="19.5" customHeight="1" x14ac:dyDescent="0.3">
      <c r="A261" s="113"/>
      <c r="B261" s="106" t="s">
        <v>1</v>
      </c>
      <c r="C261" s="117">
        <v>47814</v>
      </c>
      <c r="D261" s="316"/>
      <c r="E261" s="131" t="s">
        <v>630</v>
      </c>
      <c r="F261" s="106">
        <v>3816</v>
      </c>
      <c r="G261" s="106"/>
      <c r="H261" s="106"/>
      <c r="I261" s="106"/>
      <c r="J261" s="106"/>
      <c r="K261" s="116"/>
      <c r="L261" s="106"/>
      <c r="M261" s="106"/>
      <c r="N261" s="110">
        <f>M261-F261</f>
        <v>-3816</v>
      </c>
      <c r="O261" s="110"/>
      <c r="P261" s="106"/>
      <c r="Q261" s="106"/>
      <c r="R261" s="106"/>
      <c r="S261" s="106"/>
      <c r="T261" s="110">
        <f>S261-Q261</f>
        <v>0</v>
      </c>
      <c r="U261" s="59">
        <f t="shared" si="303"/>
        <v>0</v>
      </c>
      <c r="V261" s="106"/>
      <c r="W261" s="106"/>
      <c r="X261" s="110">
        <f>+W261-M261</f>
        <v>0</v>
      </c>
      <c r="Y261" s="110"/>
      <c r="Z261" s="110"/>
      <c r="AA261" s="110"/>
      <c r="AB261" s="106"/>
      <c r="AC261" s="106"/>
      <c r="AD261" s="106"/>
      <c r="AE261" s="100">
        <f t="shared" si="448"/>
        <v>-1</v>
      </c>
      <c r="AF261" s="90"/>
      <c r="AG261" s="109">
        <f t="shared" si="449"/>
        <v>-3816</v>
      </c>
      <c r="AH261" s="100">
        <f t="shared" si="450"/>
        <v>-1</v>
      </c>
      <c r="AI261" s="100">
        <f t="shared" si="451"/>
        <v>-1</v>
      </c>
    </row>
    <row r="262" spans="1:35" s="43" customFormat="1" ht="16.5" customHeight="1" x14ac:dyDescent="0.3">
      <c r="A262" s="90" t="s">
        <v>46</v>
      </c>
      <c r="B262" s="136" t="s">
        <v>1</v>
      </c>
      <c r="C262" s="137"/>
      <c r="D262" s="136"/>
      <c r="E262" s="90"/>
      <c r="F262" s="136">
        <f>SUM(F259:F261)</f>
        <v>11780</v>
      </c>
      <c r="G262" s="136"/>
      <c r="H262" s="136"/>
      <c r="I262" s="136"/>
      <c r="J262" s="136"/>
      <c r="K262" s="64" t="s">
        <v>436</v>
      </c>
      <c r="L262" s="136">
        <f>SUM(L259:L261)</f>
        <v>0</v>
      </c>
      <c r="M262" s="136">
        <f>SUM(M259:M261)</f>
        <v>0</v>
      </c>
      <c r="N262" s="136">
        <f>SUM(N259:N261)</f>
        <v>-11780</v>
      </c>
      <c r="O262" s="136"/>
      <c r="P262" s="136">
        <f t="shared" ref="P262:X262" si="488">SUM(P259:P261)</f>
        <v>0</v>
      </c>
      <c r="Q262" s="136">
        <f t="shared" si="488"/>
        <v>0</v>
      </c>
      <c r="R262" s="136">
        <f t="shared" si="488"/>
        <v>0</v>
      </c>
      <c r="S262" s="136">
        <f t="shared" si="488"/>
        <v>0</v>
      </c>
      <c r="T262" s="136">
        <f t="shared" si="488"/>
        <v>0</v>
      </c>
      <c r="U262" s="59">
        <f t="shared" si="488"/>
        <v>0</v>
      </c>
      <c r="V262" s="136">
        <f t="shared" si="488"/>
        <v>0</v>
      </c>
      <c r="W262" s="136">
        <f t="shared" si="488"/>
        <v>0</v>
      </c>
      <c r="X262" s="136">
        <f t="shared" si="488"/>
        <v>0</v>
      </c>
      <c r="Y262" s="136" t="s">
        <v>47</v>
      </c>
      <c r="Z262" s="136" t="s">
        <v>45</v>
      </c>
      <c r="AA262" s="136"/>
      <c r="AB262" s="84"/>
      <c r="AC262" s="136"/>
      <c r="AD262" s="136"/>
      <c r="AE262" s="100">
        <f t="shared" si="448"/>
        <v>-1</v>
      </c>
      <c r="AF262" s="90"/>
      <c r="AG262" s="109">
        <f t="shared" si="449"/>
        <v>-11780</v>
      </c>
      <c r="AH262" s="100">
        <f t="shared" si="450"/>
        <v>-1</v>
      </c>
      <c r="AI262" s="100">
        <f t="shared" si="451"/>
        <v>-1</v>
      </c>
    </row>
    <row r="263" spans="1:35" s="45" customFormat="1" ht="19.5" customHeight="1" x14ac:dyDescent="0.3">
      <c r="A263" s="113"/>
      <c r="B263" s="106" t="s">
        <v>1</v>
      </c>
      <c r="C263" s="117">
        <v>47831</v>
      </c>
      <c r="D263" s="315" t="s">
        <v>950</v>
      </c>
      <c r="E263" s="131" t="s">
        <v>796</v>
      </c>
      <c r="F263" s="106">
        <v>4614</v>
      </c>
      <c r="G263" s="106"/>
      <c r="H263" s="106"/>
      <c r="I263" s="106"/>
      <c r="J263" s="106"/>
      <c r="K263" s="116"/>
      <c r="L263" s="106"/>
      <c r="M263" s="106"/>
      <c r="N263" s="110">
        <f t="shared" ref="N263:N264" si="489">M263-F263</f>
        <v>-4614</v>
      </c>
      <c r="O263" s="110"/>
      <c r="P263" s="106"/>
      <c r="Q263" s="106"/>
      <c r="R263" s="106"/>
      <c r="S263" s="106"/>
      <c r="T263" s="110">
        <f t="shared" ref="T263:T264" si="490">S263-Q263</f>
        <v>0</v>
      </c>
      <c r="U263" s="59">
        <f t="shared" ref="U263:U302" si="491">IF(Q263&gt;0,S263-W263,M263-W263)</f>
        <v>0</v>
      </c>
      <c r="V263" s="106"/>
      <c r="W263" s="106"/>
      <c r="X263" s="110">
        <f t="shared" ref="X263:X264" si="492">+W263-M263</f>
        <v>0</v>
      </c>
      <c r="Y263" s="110"/>
      <c r="Z263" s="110"/>
      <c r="AA263" s="110"/>
      <c r="AB263" s="106"/>
      <c r="AC263" s="106"/>
      <c r="AD263" s="106"/>
      <c r="AE263" s="100">
        <f t="shared" ref="AE263" si="493">N263/F263</f>
        <v>-1</v>
      </c>
      <c r="AF263" s="90"/>
      <c r="AG263" s="109">
        <f t="shared" ref="AG263" si="494">IF(N263&lt;0,N263,0)</f>
        <v>-4614</v>
      </c>
      <c r="AH263" s="100">
        <f t="shared" ref="AH263" si="495">(S263-F263)/F263</f>
        <v>-1</v>
      </c>
      <c r="AI263" s="100">
        <f t="shared" ref="AI263" si="496">(W263-F263)/F263</f>
        <v>-1</v>
      </c>
    </row>
    <row r="264" spans="1:35" s="45" customFormat="1" ht="19.5" customHeight="1" x14ac:dyDescent="0.3">
      <c r="A264" s="113"/>
      <c r="B264" s="106" t="s">
        <v>1</v>
      </c>
      <c r="C264" s="117">
        <v>47831</v>
      </c>
      <c r="D264" s="316"/>
      <c r="E264" s="131" t="s">
        <v>951</v>
      </c>
      <c r="F264" s="106">
        <v>4614</v>
      </c>
      <c r="G264" s="106"/>
      <c r="H264" s="106"/>
      <c r="I264" s="106"/>
      <c r="J264" s="106"/>
      <c r="K264" s="116"/>
      <c r="L264" s="106"/>
      <c r="M264" s="106"/>
      <c r="N264" s="110">
        <f t="shared" si="489"/>
        <v>-4614</v>
      </c>
      <c r="O264" s="110"/>
      <c r="P264" s="106"/>
      <c r="Q264" s="106"/>
      <c r="R264" s="106"/>
      <c r="S264" s="106"/>
      <c r="T264" s="110">
        <f t="shared" si="490"/>
        <v>0</v>
      </c>
      <c r="U264" s="59">
        <f t="shared" ref="U264" si="497">IF(Q264&gt;0,S264-W264,M264-W264)</f>
        <v>0</v>
      </c>
      <c r="V264" s="106"/>
      <c r="W264" s="106"/>
      <c r="X264" s="110">
        <f t="shared" si="492"/>
        <v>0</v>
      </c>
      <c r="Y264" s="110"/>
      <c r="Z264" s="110"/>
      <c r="AA264" s="110"/>
      <c r="AB264" s="106"/>
      <c r="AC264" s="106"/>
      <c r="AD264" s="106"/>
      <c r="AE264" s="100">
        <f t="shared" ref="AE264" si="498">N264/F264</f>
        <v>-1</v>
      </c>
      <c r="AF264" s="90"/>
      <c r="AG264" s="109">
        <f t="shared" ref="AG264" si="499">IF(N264&lt;0,N264,0)</f>
        <v>-4614</v>
      </c>
      <c r="AH264" s="100">
        <f t="shared" ref="AH264" si="500">(S264-F264)/F264</f>
        <v>-1</v>
      </c>
      <c r="AI264" s="100">
        <f t="shared" ref="AI264" si="501">(W264-F264)/F264</f>
        <v>-1</v>
      </c>
    </row>
    <row r="265" spans="1:35" s="43" customFormat="1" ht="16.5" customHeight="1" x14ac:dyDescent="0.3">
      <c r="A265" s="90" t="s">
        <v>46</v>
      </c>
      <c r="B265" s="136" t="s">
        <v>1</v>
      </c>
      <c r="C265" s="137"/>
      <c r="D265" s="136"/>
      <c r="E265" s="90"/>
      <c r="F265" s="136">
        <f>SUM(F263:F264)</f>
        <v>9228</v>
      </c>
      <c r="G265" s="136"/>
      <c r="H265" s="136"/>
      <c r="I265" s="136"/>
      <c r="J265" s="136" t="s">
        <v>58</v>
      </c>
      <c r="K265" s="64" t="s">
        <v>401</v>
      </c>
      <c r="L265" s="136">
        <f>SUM(L263:L264)</f>
        <v>0</v>
      </c>
      <c r="M265" s="136">
        <f>SUM(M263:M264)</f>
        <v>0</v>
      </c>
      <c r="N265" s="136">
        <f>SUM(N263:N264)</f>
        <v>-9228</v>
      </c>
      <c r="O265" s="136"/>
      <c r="P265" s="136">
        <f t="shared" ref="P265:X265" si="502">SUM(P263:P264)</f>
        <v>0</v>
      </c>
      <c r="Q265" s="136">
        <f t="shared" si="502"/>
        <v>0</v>
      </c>
      <c r="R265" s="136">
        <f t="shared" si="502"/>
        <v>0</v>
      </c>
      <c r="S265" s="136">
        <f t="shared" si="502"/>
        <v>0</v>
      </c>
      <c r="T265" s="136">
        <f t="shared" si="502"/>
        <v>0</v>
      </c>
      <c r="U265" s="59">
        <f t="shared" si="502"/>
        <v>0</v>
      </c>
      <c r="V265" s="136">
        <f t="shared" si="502"/>
        <v>0</v>
      </c>
      <c r="W265" s="136">
        <f t="shared" si="502"/>
        <v>0</v>
      </c>
      <c r="X265" s="136">
        <f t="shared" si="502"/>
        <v>0</v>
      </c>
      <c r="Y265" s="136"/>
      <c r="Z265" s="136"/>
      <c r="AA265" s="136"/>
      <c r="AB265" s="84"/>
      <c r="AC265" s="136"/>
      <c r="AD265" s="136"/>
      <c r="AE265" s="100">
        <f t="shared" si="448"/>
        <v>-1</v>
      </c>
      <c r="AF265" s="90"/>
      <c r="AG265" s="109">
        <f t="shared" si="449"/>
        <v>-9228</v>
      </c>
      <c r="AH265" s="100">
        <f t="shared" si="450"/>
        <v>-1</v>
      </c>
      <c r="AI265" s="100">
        <f t="shared" si="451"/>
        <v>-1</v>
      </c>
    </row>
    <row r="266" spans="1:35" s="45" customFormat="1" ht="19.5" customHeight="1" x14ac:dyDescent="0.3">
      <c r="A266" s="113"/>
      <c r="B266" s="106" t="s">
        <v>1</v>
      </c>
      <c r="C266" s="117">
        <v>48138</v>
      </c>
      <c r="D266" s="260" t="s">
        <v>826</v>
      </c>
      <c r="E266" s="131" t="s">
        <v>827</v>
      </c>
      <c r="F266" s="106">
        <v>4572</v>
      </c>
      <c r="G266" s="106"/>
      <c r="H266" s="106"/>
      <c r="I266" s="106"/>
      <c r="J266" s="106"/>
      <c r="K266" s="116"/>
      <c r="L266" s="106">
        <v>576</v>
      </c>
      <c r="M266" s="106">
        <f>700+918+548+1200+654+576</f>
        <v>4596</v>
      </c>
      <c r="N266" s="110">
        <f>M266-F266</f>
        <v>24</v>
      </c>
      <c r="O266" s="110"/>
      <c r="P266" s="106">
        <v>576</v>
      </c>
      <c r="Q266" s="106">
        <f>1248+948+1854+576</f>
        <v>4626</v>
      </c>
      <c r="R266" s="106"/>
      <c r="S266" s="106"/>
      <c r="T266" s="110">
        <f>S266-Q266</f>
        <v>-4626</v>
      </c>
      <c r="U266" s="59">
        <f t="shared" si="491"/>
        <v>0</v>
      </c>
      <c r="V266" s="106"/>
      <c r="W266" s="106"/>
      <c r="X266" s="110">
        <f>+W266-M266</f>
        <v>-4596</v>
      </c>
      <c r="Y266" s="110"/>
      <c r="Z266" s="110"/>
      <c r="AA266" s="110"/>
      <c r="AB266" s="106"/>
      <c r="AC266" s="106"/>
      <c r="AD266" s="106"/>
      <c r="AE266" s="100">
        <f t="shared" si="448"/>
        <v>5.2493438320209973E-3</v>
      </c>
      <c r="AF266" s="90"/>
      <c r="AG266" s="109">
        <f t="shared" si="449"/>
        <v>0</v>
      </c>
      <c r="AH266" s="100">
        <f t="shared" si="450"/>
        <v>-1</v>
      </c>
      <c r="AI266" s="100">
        <f t="shared" si="451"/>
        <v>-1</v>
      </c>
    </row>
    <row r="267" spans="1:35" s="43" customFormat="1" ht="16.5" customHeight="1" x14ac:dyDescent="0.3">
      <c r="A267" s="90" t="s">
        <v>46</v>
      </c>
      <c r="B267" s="136" t="s">
        <v>1</v>
      </c>
      <c r="C267" s="137"/>
      <c r="D267" s="136"/>
      <c r="E267" s="90"/>
      <c r="F267" s="136">
        <f>SUM(F266:F266)</f>
        <v>4572</v>
      </c>
      <c r="G267" s="136"/>
      <c r="H267" s="136"/>
      <c r="I267" s="136"/>
      <c r="J267" s="136" t="s">
        <v>58</v>
      </c>
      <c r="K267" s="64" t="s">
        <v>377</v>
      </c>
      <c r="L267" s="136">
        <f>SUM(L266:L266)</f>
        <v>576</v>
      </c>
      <c r="M267" s="136">
        <f>SUM(M266:M266)</f>
        <v>4596</v>
      </c>
      <c r="N267" s="136">
        <f>SUM(N266:N266)</f>
        <v>24</v>
      </c>
      <c r="O267" s="136"/>
      <c r="P267" s="136">
        <f>SUM(P266:P266)</f>
        <v>576</v>
      </c>
      <c r="Q267" s="136">
        <f>SUM(Q266:Q266)</f>
        <v>4626</v>
      </c>
      <c r="R267" s="136">
        <f>SUM(R266:R266)</f>
        <v>0</v>
      </c>
      <c r="S267" s="136">
        <f>SUM(S266:S266)</f>
        <v>0</v>
      </c>
      <c r="T267" s="136">
        <f>SUM(T266:T266)</f>
        <v>-4626</v>
      </c>
      <c r="U267" s="59">
        <f t="shared" si="491"/>
        <v>0</v>
      </c>
      <c r="V267" s="136">
        <f>SUM(V266:V266)</f>
        <v>0</v>
      </c>
      <c r="W267" s="136">
        <f>SUM(W266:W266)</f>
        <v>0</v>
      </c>
      <c r="X267" s="204">
        <f>SUM(X266:X266)</f>
        <v>-4596</v>
      </c>
      <c r="Y267" s="136" t="s">
        <v>47</v>
      </c>
      <c r="Z267" s="136" t="s">
        <v>45</v>
      </c>
      <c r="AA267" s="136"/>
      <c r="AB267" s="84"/>
      <c r="AC267" s="136"/>
      <c r="AD267" s="136"/>
      <c r="AE267" s="100">
        <f t="shared" si="448"/>
        <v>5.2493438320209973E-3</v>
      </c>
      <c r="AF267" s="90"/>
      <c r="AG267" s="109">
        <f t="shared" si="449"/>
        <v>0</v>
      </c>
      <c r="AH267" s="100">
        <f t="shared" si="450"/>
        <v>-1</v>
      </c>
      <c r="AI267" s="100">
        <f t="shared" si="451"/>
        <v>-1</v>
      </c>
    </row>
    <row r="268" spans="1:35" s="45" customFormat="1" ht="19.5" customHeight="1" x14ac:dyDescent="0.3">
      <c r="A268" s="113"/>
      <c r="B268" s="106" t="s">
        <v>1</v>
      </c>
      <c r="C268" s="117">
        <v>48249</v>
      </c>
      <c r="D268" s="315" t="s">
        <v>1009</v>
      </c>
      <c r="E268" s="131" t="s">
        <v>1010</v>
      </c>
      <c r="F268" s="106">
        <v>4828</v>
      </c>
      <c r="G268" s="106"/>
      <c r="H268" s="106"/>
      <c r="I268" s="106"/>
      <c r="J268" s="106"/>
      <c r="K268" s="116"/>
      <c r="L268" s="106"/>
      <c r="M268" s="106"/>
      <c r="N268" s="110">
        <f>M268-F268</f>
        <v>-4828</v>
      </c>
      <c r="O268" s="110"/>
      <c r="P268" s="106"/>
      <c r="Q268" s="106"/>
      <c r="R268" s="106"/>
      <c r="S268" s="106"/>
      <c r="T268" s="110">
        <f>S268-Q268</f>
        <v>0</v>
      </c>
      <c r="U268" s="59">
        <f t="shared" si="491"/>
        <v>0</v>
      </c>
      <c r="V268" s="106"/>
      <c r="W268" s="106"/>
      <c r="X268" s="110">
        <f>+W268-M268</f>
        <v>0</v>
      </c>
      <c r="Y268" s="110"/>
      <c r="Z268" s="110"/>
      <c r="AA268" s="110"/>
      <c r="AB268" s="106"/>
      <c r="AC268" s="106"/>
      <c r="AD268" s="106"/>
      <c r="AE268" s="100">
        <f t="shared" si="448"/>
        <v>-1</v>
      </c>
      <c r="AF268" s="90"/>
      <c r="AG268" s="109">
        <f t="shared" si="449"/>
        <v>-4828</v>
      </c>
      <c r="AH268" s="100">
        <f t="shared" si="450"/>
        <v>-1</v>
      </c>
      <c r="AI268" s="100">
        <f t="shared" si="451"/>
        <v>-1</v>
      </c>
    </row>
    <row r="269" spans="1:35" s="45" customFormat="1" ht="19.5" customHeight="1" x14ac:dyDescent="0.3">
      <c r="A269" s="113"/>
      <c r="B269" s="106" t="s">
        <v>1</v>
      </c>
      <c r="C269" s="117">
        <v>48249</v>
      </c>
      <c r="D269" s="316"/>
      <c r="E269" s="131" t="s">
        <v>1011</v>
      </c>
      <c r="F269" s="106">
        <v>3288</v>
      </c>
      <c r="G269" s="106"/>
      <c r="H269" s="106"/>
      <c r="I269" s="106"/>
      <c r="J269" s="106"/>
      <c r="K269" s="116"/>
      <c r="L269" s="106"/>
      <c r="M269" s="106"/>
      <c r="N269" s="110">
        <f>M269-F269</f>
        <v>-3288</v>
      </c>
      <c r="O269" s="110"/>
      <c r="P269" s="106"/>
      <c r="Q269" s="106"/>
      <c r="R269" s="106"/>
      <c r="S269" s="106"/>
      <c r="T269" s="110">
        <f>S269-Q269</f>
        <v>0</v>
      </c>
      <c r="U269" s="59">
        <f t="shared" ref="U269" si="503">IF(Q269&gt;0,S269-W269,M269-W269)</f>
        <v>0</v>
      </c>
      <c r="V269" s="106"/>
      <c r="W269" s="106"/>
      <c r="X269" s="110">
        <f>+W269-M269</f>
        <v>0</v>
      </c>
      <c r="Y269" s="110"/>
      <c r="Z269" s="110"/>
      <c r="AA269" s="110"/>
      <c r="AB269" s="106"/>
      <c r="AC269" s="106"/>
      <c r="AD269" s="106"/>
      <c r="AE269" s="100">
        <f t="shared" si="448"/>
        <v>-1</v>
      </c>
      <c r="AF269" s="90"/>
      <c r="AG269" s="109">
        <f t="shared" si="449"/>
        <v>-3288</v>
      </c>
      <c r="AH269" s="100">
        <f t="shared" si="450"/>
        <v>-1</v>
      </c>
      <c r="AI269" s="100">
        <f t="shared" si="451"/>
        <v>-1</v>
      </c>
    </row>
    <row r="270" spans="1:35" s="43" customFormat="1" ht="16.5" customHeight="1" x14ac:dyDescent="0.3">
      <c r="A270" s="90" t="s">
        <v>46</v>
      </c>
      <c r="B270" s="136" t="s">
        <v>1</v>
      </c>
      <c r="C270" s="137"/>
      <c r="D270" s="136"/>
      <c r="E270" s="90"/>
      <c r="F270" s="136">
        <f>SUM(F268:F269)</f>
        <v>8116</v>
      </c>
      <c r="G270" s="136"/>
      <c r="H270" s="136"/>
      <c r="I270" s="136"/>
      <c r="J270" s="136" t="s">
        <v>59</v>
      </c>
      <c r="K270" s="64" t="s">
        <v>594</v>
      </c>
      <c r="L270" s="136">
        <f>SUM(L268:L269)</f>
        <v>0</v>
      </c>
      <c r="M270" s="136">
        <f>SUM(M268:M269)</f>
        <v>0</v>
      </c>
      <c r="N270" s="136">
        <f>SUM(N268:N269)</f>
        <v>-8116</v>
      </c>
      <c r="O270" s="136"/>
      <c r="P270" s="136">
        <f>SUM(P268:P269)</f>
        <v>0</v>
      </c>
      <c r="Q270" s="136">
        <f>SUM(Q268:Q269)</f>
        <v>0</v>
      </c>
      <c r="R270" s="136">
        <f>SUM(R268:R269)</f>
        <v>0</v>
      </c>
      <c r="S270" s="136">
        <f>SUM(S268:S269)</f>
        <v>0</v>
      </c>
      <c r="T270" s="136">
        <f>SUM(T268:T269)</f>
        <v>0</v>
      </c>
      <c r="U270" s="59">
        <f t="shared" si="491"/>
        <v>0</v>
      </c>
      <c r="V270" s="136">
        <f>SUM(V268:V269)</f>
        <v>0</v>
      </c>
      <c r="W270" s="136">
        <f>SUM(W268:W269)</f>
        <v>0</v>
      </c>
      <c r="X270" s="136">
        <f>SUM(X268:X269)</f>
        <v>0</v>
      </c>
      <c r="Y270" s="136" t="s">
        <v>47</v>
      </c>
      <c r="Z270" s="136" t="s">
        <v>45</v>
      </c>
      <c r="AA270" s="136"/>
      <c r="AB270" s="84"/>
      <c r="AC270" s="136"/>
      <c r="AD270" s="136"/>
      <c r="AE270" s="100">
        <f t="shared" si="448"/>
        <v>-1</v>
      </c>
      <c r="AF270" s="90"/>
      <c r="AG270" s="109">
        <f t="shared" si="449"/>
        <v>-8116</v>
      </c>
      <c r="AH270" s="100">
        <f t="shared" si="450"/>
        <v>-1</v>
      </c>
      <c r="AI270" s="100">
        <f t="shared" si="451"/>
        <v>-1</v>
      </c>
    </row>
    <row r="271" spans="1:35" s="45" customFormat="1" ht="19.5" customHeight="1" x14ac:dyDescent="0.3">
      <c r="A271" s="113"/>
      <c r="B271" s="106" t="s">
        <v>1</v>
      </c>
      <c r="C271" s="117">
        <v>47833</v>
      </c>
      <c r="D271" s="218" t="s">
        <v>635</v>
      </c>
      <c r="E271" s="131" t="s">
        <v>636</v>
      </c>
      <c r="F271" s="106">
        <v>2075</v>
      </c>
      <c r="G271" s="106"/>
      <c r="H271" s="106"/>
      <c r="I271" s="106"/>
      <c r="J271" s="106"/>
      <c r="K271" s="116"/>
      <c r="L271" s="106"/>
      <c r="M271" s="106"/>
      <c r="N271" s="110">
        <f>M271-F271</f>
        <v>-2075</v>
      </c>
      <c r="O271" s="110"/>
      <c r="P271" s="106"/>
      <c r="Q271" s="106"/>
      <c r="R271" s="106"/>
      <c r="S271" s="106"/>
      <c r="T271" s="110">
        <f>S271-Q271</f>
        <v>0</v>
      </c>
      <c r="U271" s="59">
        <f t="shared" si="491"/>
        <v>0</v>
      </c>
      <c r="V271" s="106"/>
      <c r="W271" s="106"/>
      <c r="X271" s="110">
        <f>+W271-M271</f>
        <v>0</v>
      </c>
      <c r="Y271" s="110"/>
      <c r="Z271" s="110"/>
      <c r="AA271" s="110"/>
      <c r="AB271" s="106"/>
      <c r="AC271" s="106"/>
      <c r="AD271" s="106"/>
      <c r="AE271" s="100">
        <f t="shared" ref="AE271:AE289" si="504">N271/F271</f>
        <v>-1</v>
      </c>
      <c r="AF271" s="90"/>
      <c r="AG271" s="109">
        <f t="shared" ref="AG271:AG289" si="505">IF(N271&lt;0,N271,0)</f>
        <v>-2075</v>
      </c>
      <c r="AH271" s="100">
        <f t="shared" ref="AH271:AH289" si="506">(S271-F271)/F271</f>
        <v>-1</v>
      </c>
      <c r="AI271" s="100">
        <f t="shared" ref="AI271:AI289" si="507">(W271-F271)/F271</f>
        <v>-1</v>
      </c>
    </row>
    <row r="272" spans="1:35" s="43" customFormat="1" ht="16.5" customHeight="1" x14ac:dyDescent="0.3">
      <c r="A272" s="90" t="s">
        <v>46</v>
      </c>
      <c r="B272" s="136" t="s">
        <v>1</v>
      </c>
      <c r="C272" s="137"/>
      <c r="D272" s="136"/>
      <c r="E272" s="90"/>
      <c r="F272" s="136">
        <f>SUM(F271:F271)</f>
        <v>2075</v>
      </c>
      <c r="G272" s="136"/>
      <c r="H272" s="136"/>
      <c r="I272" s="136"/>
      <c r="J272" s="136"/>
      <c r="K272" s="64" t="s">
        <v>377</v>
      </c>
      <c r="L272" s="136">
        <f>SUM(L271:L271)</f>
        <v>0</v>
      </c>
      <c r="M272" s="136">
        <f>SUM(M271:M271)</f>
        <v>0</v>
      </c>
      <c r="N272" s="136">
        <f>SUM(N271:N271)</f>
        <v>-2075</v>
      </c>
      <c r="O272" s="136"/>
      <c r="P272" s="136">
        <f>SUM(P271:P271)</f>
        <v>0</v>
      </c>
      <c r="Q272" s="136">
        <f>SUM(Q271:Q271)</f>
        <v>0</v>
      </c>
      <c r="R272" s="136">
        <f>SUM(R271:R271)</f>
        <v>0</v>
      </c>
      <c r="S272" s="136">
        <f>SUM(S271:S271)</f>
        <v>0</v>
      </c>
      <c r="T272" s="136">
        <f>SUM(T271:T271)</f>
        <v>0</v>
      </c>
      <c r="U272" s="59">
        <f t="shared" si="491"/>
        <v>0</v>
      </c>
      <c r="V272" s="136">
        <f>SUM(V271:V271)</f>
        <v>0</v>
      </c>
      <c r="W272" s="136">
        <f>SUM(W271:W271)</f>
        <v>0</v>
      </c>
      <c r="X272" s="136">
        <f>SUM(X271:X271)</f>
        <v>0</v>
      </c>
      <c r="Y272" s="136" t="s">
        <v>48</v>
      </c>
      <c r="Z272" s="136" t="s">
        <v>45</v>
      </c>
      <c r="AA272" s="136"/>
      <c r="AB272" s="84"/>
      <c r="AC272" s="136"/>
      <c r="AD272" s="136"/>
      <c r="AE272" s="100">
        <f t="shared" si="504"/>
        <v>-1</v>
      </c>
      <c r="AF272" s="90"/>
      <c r="AG272" s="109">
        <f t="shared" si="505"/>
        <v>-2075</v>
      </c>
      <c r="AH272" s="100">
        <f t="shared" si="506"/>
        <v>-1</v>
      </c>
      <c r="AI272" s="100">
        <f t="shared" si="507"/>
        <v>-1</v>
      </c>
    </row>
    <row r="273" spans="1:35" s="45" customFormat="1" ht="20.25" customHeight="1" x14ac:dyDescent="0.3">
      <c r="A273" s="113"/>
      <c r="B273" s="106" t="s">
        <v>1</v>
      </c>
      <c r="C273" s="117">
        <v>47731</v>
      </c>
      <c r="D273" s="315" t="s">
        <v>834</v>
      </c>
      <c r="E273" s="223" t="s">
        <v>528</v>
      </c>
      <c r="F273" s="224">
        <v>3213</v>
      </c>
      <c r="G273" s="224"/>
      <c r="H273" s="106"/>
      <c r="I273" s="106"/>
      <c r="J273" s="106"/>
      <c r="K273" s="116"/>
      <c r="L273" s="106">
        <f>600+600+418</f>
        <v>1618</v>
      </c>
      <c r="M273" s="106">
        <f>1050+600+600+418+158</f>
        <v>2826</v>
      </c>
      <c r="N273" s="110">
        <f>M273-F273</f>
        <v>-387</v>
      </c>
      <c r="O273" s="110"/>
      <c r="P273" s="106"/>
      <c r="Q273" s="106"/>
      <c r="R273" s="106"/>
      <c r="S273" s="106"/>
      <c r="T273" s="110">
        <f>S273-Q273</f>
        <v>0</v>
      </c>
      <c r="U273" s="59">
        <f t="shared" si="491"/>
        <v>0</v>
      </c>
      <c r="V273" s="106">
        <v>1776</v>
      </c>
      <c r="W273" s="106">
        <v>2826</v>
      </c>
      <c r="X273" s="110">
        <f>+W273-M273</f>
        <v>0</v>
      </c>
      <c r="Y273" s="110"/>
      <c r="Z273" s="110"/>
      <c r="AA273" s="110"/>
      <c r="AB273" s="106"/>
      <c r="AC273" s="106"/>
      <c r="AD273" s="106"/>
      <c r="AE273" s="100">
        <f t="shared" si="504"/>
        <v>-0.12044817927170869</v>
      </c>
      <c r="AF273" s="90"/>
      <c r="AG273" s="109">
        <f t="shared" si="505"/>
        <v>-387</v>
      </c>
      <c r="AH273" s="100">
        <f t="shared" si="506"/>
        <v>-1</v>
      </c>
      <c r="AI273" s="100">
        <f t="shared" si="507"/>
        <v>-0.12044817927170869</v>
      </c>
    </row>
    <row r="274" spans="1:35" s="45" customFormat="1" ht="20.25" customHeight="1" x14ac:dyDescent="0.3">
      <c r="A274" s="113"/>
      <c r="B274" s="106" t="s">
        <v>1</v>
      </c>
      <c r="C274" s="117">
        <v>47731</v>
      </c>
      <c r="D274" s="316"/>
      <c r="E274" s="223" t="s">
        <v>777</v>
      </c>
      <c r="F274" s="224">
        <v>2013</v>
      </c>
      <c r="G274" s="224"/>
      <c r="H274" s="106"/>
      <c r="I274" s="106"/>
      <c r="J274" s="106"/>
      <c r="K274" s="116"/>
      <c r="L274" s="106"/>
      <c r="M274" s="106">
        <f>1182+855</f>
        <v>2037</v>
      </c>
      <c r="N274" s="110">
        <f>M274-F274</f>
        <v>24</v>
      </c>
      <c r="O274" s="110"/>
      <c r="P274" s="106"/>
      <c r="Q274" s="106"/>
      <c r="R274" s="106"/>
      <c r="S274" s="106"/>
      <c r="T274" s="110">
        <f>S274-Q274</f>
        <v>0</v>
      </c>
      <c r="U274" s="59">
        <f t="shared" si="491"/>
        <v>0</v>
      </c>
      <c r="V274" s="106"/>
      <c r="W274" s="106">
        <v>2037</v>
      </c>
      <c r="X274" s="110">
        <f>+W274-M274</f>
        <v>0</v>
      </c>
      <c r="Y274" s="110"/>
      <c r="Z274" s="110"/>
      <c r="AA274" s="110"/>
      <c r="AB274" s="106"/>
      <c r="AC274" s="106"/>
      <c r="AD274" s="106"/>
      <c r="AE274" s="100">
        <f t="shared" si="504"/>
        <v>1.1922503725782414E-2</v>
      </c>
      <c r="AF274" s="90"/>
      <c r="AG274" s="109">
        <f t="shared" si="505"/>
        <v>0</v>
      </c>
      <c r="AH274" s="100">
        <f t="shared" si="506"/>
        <v>-1</v>
      </c>
      <c r="AI274" s="100">
        <f t="shared" si="507"/>
        <v>1.1922503725782414E-2</v>
      </c>
    </row>
    <row r="275" spans="1:35" s="43" customFormat="1" ht="16.5" customHeight="1" x14ac:dyDescent="0.3">
      <c r="A275" s="90" t="s">
        <v>46</v>
      </c>
      <c r="B275" s="136" t="s">
        <v>1</v>
      </c>
      <c r="C275" s="137"/>
      <c r="D275" s="136"/>
      <c r="E275" s="90"/>
      <c r="F275" s="136">
        <f>SUM(F273:F274)</f>
        <v>5226</v>
      </c>
      <c r="G275" s="136"/>
      <c r="H275" s="136"/>
      <c r="I275" s="136"/>
      <c r="J275" s="136" t="s">
        <v>58</v>
      </c>
      <c r="K275" s="64" t="s">
        <v>726</v>
      </c>
      <c r="L275" s="136">
        <f>SUM(L273:L274)</f>
        <v>1618</v>
      </c>
      <c r="M275" s="136">
        <f>SUM(M273:M274)</f>
        <v>4863</v>
      </c>
      <c r="N275" s="136">
        <f>SUM(N273:N274)</f>
        <v>-363</v>
      </c>
      <c r="O275" s="136"/>
      <c r="P275" s="136">
        <f t="shared" ref="P275:X275" si="508">SUM(P273:P274)</f>
        <v>0</v>
      </c>
      <c r="Q275" s="136">
        <f t="shared" si="508"/>
        <v>0</v>
      </c>
      <c r="R275" s="136">
        <f t="shared" si="508"/>
        <v>0</v>
      </c>
      <c r="S275" s="136">
        <f t="shared" si="508"/>
        <v>0</v>
      </c>
      <c r="T275" s="136">
        <f t="shared" si="508"/>
        <v>0</v>
      </c>
      <c r="U275" s="59">
        <f t="shared" si="508"/>
        <v>0</v>
      </c>
      <c r="V275" s="136">
        <f t="shared" si="508"/>
        <v>1776</v>
      </c>
      <c r="W275" s="136">
        <f t="shared" si="508"/>
        <v>4863</v>
      </c>
      <c r="X275" s="136">
        <f t="shared" si="508"/>
        <v>0</v>
      </c>
      <c r="Y275" s="136"/>
      <c r="Z275" s="136"/>
      <c r="AA275" s="136"/>
      <c r="AB275" s="84"/>
      <c r="AC275" s="136"/>
      <c r="AD275" s="136"/>
      <c r="AE275" s="100">
        <f t="shared" si="504"/>
        <v>-6.9460390355912741E-2</v>
      </c>
      <c r="AF275" s="90"/>
      <c r="AG275" s="109">
        <f t="shared" si="505"/>
        <v>-363</v>
      </c>
      <c r="AH275" s="100">
        <f t="shared" si="506"/>
        <v>-1</v>
      </c>
      <c r="AI275" s="100">
        <f t="shared" si="507"/>
        <v>-6.9460390355912741E-2</v>
      </c>
    </row>
    <row r="276" spans="1:35" s="45" customFormat="1" ht="20.25" customHeight="1" x14ac:dyDescent="0.3">
      <c r="A276" s="113"/>
      <c r="B276" s="106" t="s">
        <v>1</v>
      </c>
      <c r="C276" s="117">
        <v>47728</v>
      </c>
      <c r="D276" s="206" t="s">
        <v>637</v>
      </c>
      <c r="E276" s="126" t="s">
        <v>638</v>
      </c>
      <c r="F276" s="106">
        <v>2275</v>
      </c>
      <c r="G276" s="106"/>
      <c r="H276" s="106"/>
      <c r="I276" s="106"/>
      <c r="J276" s="106"/>
      <c r="K276" s="116"/>
      <c r="L276" s="106"/>
      <c r="M276" s="106">
        <f>2348</f>
        <v>2348</v>
      </c>
      <c r="N276" s="110">
        <f>M276-F276</f>
        <v>73</v>
      </c>
      <c r="O276" s="110"/>
      <c r="P276" s="106"/>
      <c r="Q276" s="106">
        <v>2348</v>
      </c>
      <c r="R276" s="106"/>
      <c r="S276" s="106">
        <f>1398+950</f>
        <v>2348</v>
      </c>
      <c r="T276" s="110">
        <f>S276-Q276</f>
        <v>0</v>
      </c>
      <c r="U276" s="59">
        <f t="shared" si="491"/>
        <v>20</v>
      </c>
      <c r="V276" s="106"/>
      <c r="W276" s="106">
        <v>2328</v>
      </c>
      <c r="X276" s="110">
        <f>+W276-M276</f>
        <v>-20</v>
      </c>
      <c r="Y276" s="110"/>
      <c r="Z276" s="110"/>
      <c r="AA276" s="110"/>
      <c r="AB276" s="106"/>
      <c r="AC276" s="106"/>
      <c r="AD276" s="106"/>
      <c r="AE276" s="100">
        <f t="shared" si="504"/>
        <v>3.208791208791209E-2</v>
      </c>
      <c r="AF276" s="90"/>
      <c r="AG276" s="109">
        <f t="shared" si="505"/>
        <v>0</v>
      </c>
      <c r="AH276" s="100">
        <f t="shared" si="506"/>
        <v>3.208791208791209E-2</v>
      </c>
      <c r="AI276" s="100">
        <f t="shared" si="507"/>
        <v>2.3296703296703296E-2</v>
      </c>
    </row>
    <row r="277" spans="1:35" s="43" customFormat="1" ht="16.5" customHeight="1" x14ac:dyDescent="0.3">
      <c r="A277" s="90" t="s">
        <v>46</v>
      </c>
      <c r="B277" s="136" t="s">
        <v>1</v>
      </c>
      <c r="C277" s="137"/>
      <c r="D277" s="136"/>
      <c r="E277" s="90"/>
      <c r="F277" s="136">
        <f>SUM(F276:F276)</f>
        <v>2275</v>
      </c>
      <c r="G277" s="136"/>
      <c r="H277" s="136"/>
      <c r="I277" s="136"/>
      <c r="J277" s="136" t="s">
        <v>58</v>
      </c>
      <c r="K277" s="64" t="s">
        <v>290</v>
      </c>
      <c r="L277" s="136">
        <f>SUM(L276:L276)</f>
        <v>0</v>
      </c>
      <c r="M277" s="136">
        <f>SUM(M276:M276)</f>
        <v>2348</v>
      </c>
      <c r="N277" s="136">
        <f>SUM(N276:N276)</f>
        <v>73</v>
      </c>
      <c r="O277" s="136" t="s">
        <v>851</v>
      </c>
      <c r="P277" s="136">
        <f>SUM(P276:P276)</f>
        <v>0</v>
      </c>
      <c r="Q277" s="136">
        <f>SUM(Q276:Q276)</f>
        <v>2348</v>
      </c>
      <c r="R277" s="136">
        <f>SUM(R276:R276)</f>
        <v>0</v>
      </c>
      <c r="S277" s="136">
        <f>SUM(S276:S276)</f>
        <v>2348</v>
      </c>
      <c r="T277" s="136">
        <f>SUM(T276:T276)</f>
        <v>0</v>
      </c>
      <c r="U277" s="59">
        <f t="shared" si="491"/>
        <v>20</v>
      </c>
      <c r="V277" s="136">
        <f>SUM(V276:V276)</f>
        <v>0</v>
      </c>
      <c r="W277" s="136">
        <f>SUM(W276:W276)</f>
        <v>2328</v>
      </c>
      <c r="X277" s="136">
        <f>SUM(X276:X276)</f>
        <v>-20</v>
      </c>
      <c r="Y277" s="136" t="s">
        <v>48</v>
      </c>
      <c r="Z277" s="136" t="s">
        <v>45</v>
      </c>
      <c r="AA277" s="136"/>
      <c r="AB277" s="84"/>
      <c r="AC277" s="136"/>
      <c r="AD277" s="136"/>
      <c r="AE277" s="100">
        <f t="shared" si="504"/>
        <v>3.208791208791209E-2</v>
      </c>
      <c r="AF277" s="90"/>
      <c r="AG277" s="109">
        <f t="shared" si="505"/>
        <v>0</v>
      </c>
      <c r="AH277" s="100">
        <f t="shared" si="506"/>
        <v>3.208791208791209E-2</v>
      </c>
      <c r="AI277" s="100">
        <f t="shared" si="507"/>
        <v>2.3296703296703296E-2</v>
      </c>
    </row>
    <row r="278" spans="1:35" s="45" customFormat="1" ht="20.25" customHeight="1" x14ac:dyDescent="0.3">
      <c r="A278" s="113"/>
      <c r="B278" s="106" t="s">
        <v>1</v>
      </c>
      <c r="C278" s="117">
        <v>47945</v>
      </c>
      <c r="D278" s="262" t="s">
        <v>843</v>
      </c>
      <c r="E278" s="126" t="s">
        <v>171</v>
      </c>
      <c r="F278" s="106">
        <v>3337</v>
      </c>
      <c r="G278" s="106"/>
      <c r="H278" s="106"/>
      <c r="I278" s="106"/>
      <c r="J278" s="106"/>
      <c r="K278" s="116"/>
      <c r="L278" s="106"/>
      <c r="M278" s="106"/>
      <c r="N278" s="110">
        <f>M278-F278</f>
        <v>-3337</v>
      </c>
      <c r="O278" s="110"/>
      <c r="P278" s="106"/>
      <c r="Q278" s="106"/>
      <c r="R278" s="106"/>
      <c r="S278" s="106"/>
      <c r="T278" s="110">
        <f>S278-Q278</f>
        <v>0</v>
      </c>
      <c r="U278" s="59">
        <f t="shared" si="491"/>
        <v>0</v>
      </c>
      <c r="V278" s="106"/>
      <c r="W278" s="106"/>
      <c r="X278" s="110">
        <f>+W278-M278</f>
        <v>0</v>
      </c>
      <c r="Y278" s="110"/>
      <c r="Z278" s="110"/>
      <c r="AA278" s="110"/>
      <c r="AB278" s="106"/>
      <c r="AC278" s="106"/>
      <c r="AD278" s="106"/>
      <c r="AE278" s="100">
        <f t="shared" ref="AE278:AE279" si="509">N278/F278</f>
        <v>-1</v>
      </c>
      <c r="AF278" s="90"/>
      <c r="AG278" s="109">
        <f t="shared" ref="AG278:AG279" si="510">IF(N278&lt;0,N278,0)</f>
        <v>-3337</v>
      </c>
      <c r="AH278" s="100">
        <f t="shared" ref="AH278:AH279" si="511">(S278-F278)/F278</f>
        <v>-1</v>
      </c>
      <c r="AI278" s="100">
        <f t="shared" ref="AI278:AI279" si="512">(W278-F278)/F278</f>
        <v>-1</v>
      </c>
    </row>
    <row r="279" spans="1:35" s="43" customFormat="1" ht="16.5" customHeight="1" x14ac:dyDescent="0.3">
      <c r="A279" s="90" t="s">
        <v>46</v>
      </c>
      <c r="B279" s="136" t="s">
        <v>1</v>
      </c>
      <c r="C279" s="137"/>
      <c r="D279" s="136"/>
      <c r="E279" s="90"/>
      <c r="F279" s="136">
        <f>SUM(F278:F278)</f>
        <v>3337</v>
      </c>
      <c r="G279" s="136"/>
      <c r="H279" s="136"/>
      <c r="I279" s="136"/>
      <c r="J279" s="136"/>
      <c r="K279" s="64" t="s">
        <v>436</v>
      </c>
      <c r="L279" s="136">
        <f>SUM(L278:L278)</f>
        <v>0</v>
      </c>
      <c r="M279" s="136">
        <f>SUM(M278:M278)</f>
        <v>0</v>
      </c>
      <c r="N279" s="136">
        <f>SUM(N278:N278)</f>
        <v>-3337</v>
      </c>
      <c r="O279" s="136"/>
      <c r="P279" s="136">
        <f>SUM(P278:P278)</f>
        <v>0</v>
      </c>
      <c r="Q279" s="136">
        <f>SUM(Q278:Q278)</f>
        <v>0</v>
      </c>
      <c r="R279" s="136">
        <f>SUM(R278:R278)</f>
        <v>0</v>
      </c>
      <c r="S279" s="136">
        <f>SUM(S278:S278)</f>
        <v>0</v>
      </c>
      <c r="T279" s="136">
        <f>SUM(T278:T278)</f>
        <v>0</v>
      </c>
      <c r="U279" s="59">
        <f t="shared" si="491"/>
        <v>0</v>
      </c>
      <c r="V279" s="136">
        <f>SUM(V278:V278)</f>
        <v>0</v>
      </c>
      <c r="W279" s="136">
        <f>SUM(W278:W278)</f>
        <v>0</v>
      </c>
      <c r="X279" s="136">
        <f>SUM(X278:X278)</f>
        <v>0</v>
      </c>
      <c r="Y279" s="136"/>
      <c r="Z279" s="136"/>
      <c r="AA279" s="136"/>
      <c r="AB279" s="84"/>
      <c r="AC279" s="136"/>
      <c r="AD279" s="136"/>
      <c r="AE279" s="100">
        <f t="shared" si="509"/>
        <v>-1</v>
      </c>
      <c r="AF279" s="90"/>
      <c r="AG279" s="109">
        <f t="shared" si="510"/>
        <v>-3337</v>
      </c>
      <c r="AH279" s="100">
        <f t="shared" si="511"/>
        <v>-1</v>
      </c>
      <c r="AI279" s="100">
        <f t="shared" si="512"/>
        <v>-1</v>
      </c>
    </row>
    <row r="280" spans="1:35" s="45" customFormat="1" ht="20.25" customHeight="1" x14ac:dyDescent="0.3">
      <c r="A280" s="113"/>
      <c r="B280" s="106" t="s">
        <v>1</v>
      </c>
      <c r="C280" s="117">
        <v>47820</v>
      </c>
      <c r="D280" s="315" t="s">
        <v>799</v>
      </c>
      <c r="E280" s="126" t="s">
        <v>800</v>
      </c>
      <c r="F280" s="106">
        <v>5155</v>
      </c>
      <c r="G280" s="106"/>
      <c r="H280" s="106"/>
      <c r="I280" s="106"/>
      <c r="J280" s="106"/>
      <c r="K280" s="116"/>
      <c r="L280" s="106"/>
      <c r="M280" s="106">
        <f>1400+868+1576+540+414+414</f>
        <v>5212</v>
      </c>
      <c r="N280" s="110">
        <f>M280-F280</f>
        <v>57</v>
      </c>
      <c r="O280" s="110"/>
      <c r="P280" s="106"/>
      <c r="Q280" s="106"/>
      <c r="R280" s="106"/>
      <c r="S280" s="106"/>
      <c r="T280" s="110">
        <f>S280-Q280</f>
        <v>0</v>
      </c>
      <c r="U280" s="59">
        <f t="shared" si="491"/>
        <v>5212</v>
      </c>
      <c r="V280" s="106"/>
      <c r="W280" s="106"/>
      <c r="X280" s="110">
        <f>+W280-M280</f>
        <v>-5212</v>
      </c>
      <c r="Y280" s="110"/>
      <c r="Z280" s="110"/>
      <c r="AA280" s="110"/>
      <c r="AB280" s="106"/>
      <c r="AC280" s="106"/>
      <c r="AD280" s="106"/>
      <c r="AE280" s="100">
        <f t="shared" si="504"/>
        <v>1.1057225994180407E-2</v>
      </c>
      <c r="AF280" s="90"/>
      <c r="AG280" s="109">
        <f t="shared" si="505"/>
        <v>0</v>
      </c>
      <c r="AH280" s="100">
        <f t="shared" si="506"/>
        <v>-1</v>
      </c>
      <c r="AI280" s="100">
        <f t="shared" si="507"/>
        <v>-1</v>
      </c>
    </row>
    <row r="281" spans="1:35" s="45" customFormat="1" ht="20.25" customHeight="1" x14ac:dyDescent="0.3">
      <c r="A281" s="113"/>
      <c r="B281" s="106" t="s">
        <v>1</v>
      </c>
      <c r="C281" s="117">
        <v>47820</v>
      </c>
      <c r="D281" s="316"/>
      <c r="E281" s="126" t="s">
        <v>801</v>
      </c>
      <c r="F281" s="106">
        <v>5155</v>
      </c>
      <c r="G281" s="106"/>
      <c r="H281" s="106"/>
      <c r="I281" s="106"/>
      <c r="J281" s="106"/>
      <c r="K281" s="116"/>
      <c r="L281" s="106"/>
      <c r="M281" s="106">
        <f>1400+868+1576+540+414+414</f>
        <v>5212</v>
      </c>
      <c r="N281" s="110">
        <f>M281-F281</f>
        <v>57</v>
      </c>
      <c r="O281" s="110"/>
      <c r="P281" s="106"/>
      <c r="Q281" s="106"/>
      <c r="R281" s="106"/>
      <c r="S281" s="106"/>
      <c r="T281" s="110">
        <f>S281-Q281</f>
        <v>0</v>
      </c>
      <c r="U281" s="59">
        <f t="shared" si="491"/>
        <v>5212</v>
      </c>
      <c r="V281" s="106"/>
      <c r="W281" s="106"/>
      <c r="X281" s="110">
        <f>+W281-M281</f>
        <v>-5212</v>
      </c>
      <c r="Y281" s="110"/>
      <c r="Z281" s="110"/>
      <c r="AA281" s="110"/>
      <c r="AB281" s="106"/>
      <c r="AC281" s="106"/>
      <c r="AD281" s="106"/>
      <c r="AE281" s="100">
        <f t="shared" ref="AE281" si="513">N281/F281</f>
        <v>1.1057225994180407E-2</v>
      </c>
      <c r="AF281" s="90"/>
      <c r="AG281" s="109">
        <f t="shared" ref="AG281" si="514">IF(N281&lt;0,N281,0)</f>
        <v>0</v>
      </c>
      <c r="AH281" s="100">
        <f t="shared" ref="AH281" si="515">(S281-F281)/F281</f>
        <v>-1</v>
      </c>
      <c r="AI281" s="100">
        <f t="shared" ref="AI281" si="516">(W281-F281)/F281</f>
        <v>-1</v>
      </c>
    </row>
    <row r="282" spans="1:35" s="43" customFormat="1" ht="16.5" customHeight="1" x14ac:dyDescent="0.3">
      <c r="A282" s="90" t="s">
        <v>46</v>
      </c>
      <c r="B282" s="136" t="s">
        <v>1</v>
      </c>
      <c r="C282" s="137"/>
      <c r="D282" s="136"/>
      <c r="E282" s="90"/>
      <c r="F282" s="136">
        <f>SUM(F280:F281)</f>
        <v>10310</v>
      </c>
      <c r="G282" s="136"/>
      <c r="H282" s="136"/>
      <c r="I282" s="136"/>
      <c r="J282" s="136" t="s">
        <v>59</v>
      </c>
      <c r="K282" s="64" t="s">
        <v>226</v>
      </c>
      <c r="L282" s="136">
        <f>SUM(L280:L281)</f>
        <v>0</v>
      </c>
      <c r="M282" s="136">
        <f>SUM(M280:M281)</f>
        <v>10424</v>
      </c>
      <c r="N282" s="136">
        <f>SUM(N280:N281)</f>
        <v>114</v>
      </c>
      <c r="O282" s="136"/>
      <c r="P282" s="136">
        <f>SUM(P280:P281)</f>
        <v>0</v>
      </c>
      <c r="Q282" s="136">
        <f>SUM(Q280:Q281)</f>
        <v>0</v>
      </c>
      <c r="R282" s="136">
        <f>SUM(R280:R281)</f>
        <v>0</v>
      </c>
      <c r="S282" s="136">
        <f>SUM(S280:S281)</f>
        <v>0</v>
      </c>
      <c r="T282" s="136">
        <f>SUM(T280:T281)</f>
        <v>0</v>
      </c>
      <c r="U282" s="59">
        <f t="shared" si="491"/>
        <v>10424</v>
      </c>
      <c r="V282" s="136">
        <f>SUM(V280:V281)</f>
        <v>0</v>
      </c>
      <c r="W282" s="136">
        <f>SUM(W280:W281)</f>
        <v>0</v>
      </c>
      <c r="X282" s="136">
        <f>SUM(X280:X281)</f>
        <v>-10424</v>
      </c>
      <c r="Y282" s="136"/>
      <c r="Z282" s="136"/>
      <c r="AA282" s="136"/>
      <c r="AB282" s="84"/>
      <c r="AC282" s="136"/>
      <c r="AD282" s="136"/>
      <c r="AE282" s="100">
        <f t="shared" si="504"/>
        <v>1.1057225994180407E-2</v>
      </c>
      <c r="AF282" s="90"/>
      <c r="AG282" s="109">
        <f t="shared" si="505"/>
        <v>0</v>
      </c>
      <c r="AH282" s="100">
        <f t="shared" si="506"/>
        <v>-1</v>
      </c>
      <c r="AI282" s="100">
        <f t="shared" si="507"/>
        <v>-1</v>
      </c>
    </row>
    <row r="283" spans="1:35" s="45" customFormat="1" ht="20.25" customHeight="1" x14ac:dyDescent="0.3">
      <c r="A283" s="113"/>
      <c r="B283" s="106" t="s">
        <v>1</v>
      </c>
      <c r="C283" s="117">
        <v>47727</v>
      </c>
      <c r="D283" s="164" t="s">
        <v>639</v>
      </c>
      <c r="E283" s="126" t="s">
        <v>640</v>
      </c>
      <c r="F283" s="106">
        <v>4440</v>
      </c>
      <c r="G283" s="106"/>
      <c r="H283" s="106"/>
      <c r="I283" s="106"/>
      <c r="J283" s="106"/>
      <c r="K283" s="116"/>
      <c r="L283" s="106"/>
      <c r="M283" s="106">
        <f>1602+810+810+1116+180</f>
        <v>4518</v>
      </c>
      <c r="N283" s="110">
        <f>M283-F283</f>
        <v>78</v>
      </c>
      <c r="O283" s="110"/>
      <c r="P283" s="106"/>
      <c r="Q283" s="106">
        <f>3222+1116+180</f>
        <v>4518</v>
      </c>
      <c r="R283" s="106"/>
      <c r="S283" s="106">
        <f>3278+1240</f>
        <v>4518</v>
      </c>
      <c r="T283" s="110">
        <f>S283-Q283</f>
        <v>0</v>
      </c>
      <c r="U283" s="59">
        <f t="shared" si="491"/>
        <v>0</v>
      </c>
      <c r="V283" s="106"/>
      <c r="W283" s="106">
        <v>4518</v>
      </c>
      <c r="X283" s="110">
        <f>+W283-M283</f>
        <v>0</v>
      </c>
      <c r="Y283" s="110"/>
      <c r="Z283" s="110"/>
      <c r="AA283" s="110"/>
      <c r="AB283" s="106"/>
      <c r="AC283" s="106"/>
      <c r="AD283" s="106"/>
      <c r="AE283" s="100">
        <f t="shared" ref="AE283:AE284" si="517">N283/F283</f>
        <v>1.7567567567567569E-2</v>
      </c>
      <c r="AF283" s="90"/>
      <c r="AG283" s="109">
        <f t="shared" ref="AG283:AG284" si="518">IF(N283&lt;0,N283,0)</f>
        <v>0</v>
      </c>
      <c r="AH283" s="100">
        <f t="shared" ref="AH283:AH284" si="519">(S283-F283)/F283</f>
        <v>1.7567567567567569E-2</v>
      </c>
      <c r="AI283" s="100">
        <f t="shared" ref="AI283:AI284" si="520">(W283-F283)/F283</f>
        <v>1.7567567567567569E-2</v>
      </c>
    </row>
    <row r="284" spans="1:35" s="43" customFormat="1" ht="16.5" customHeight="1" x14ac:dyDescent="0.3">
      <c r="A284" s="90" t="s">
        <v>46</v>
      </c>
      <c r="B284" s="136" t="s">
        <v>1</v>
      </c>
      <c r="C284" s="137"/>
      <c r="D284" s="136"/>
      <c r="E284" s="90"/>
      <c r="F284" s="136">
        <f>SUM(F283:F283)</f>
        <v>4440</v>
      </c>
      <c r="G284" s="136"/>
      <c r="H284" s="136"/>
      <c r="I284" s="136"/>
      <c r="J284" s="136" t="s">
        <v>58</v>
      </c>
      <c r="K284" s="64" t="s">
        <v>290</v>
      </c>
      <c r="L284" s="136">
        <f>SUM(L283:L283)</f>
        <v>0</v>
      </c>
      <c r="M284" s="136">
        <f>SUM(M283:M283)</f>
        <v>4518</v>
      </c>
      <c r="N284" s="136">
        <f>SUM(N283:N283)</f>
        <v>78</v>
      </c>
      <c r="O284" s="136" t="s">
        <v>666</v>
      </c>
      <c r="P284" s="136">
        <f>SUM(P283:P283)</f>
        <v>0</v>
      </c>
      <c r="Q284" s="136">
        <f>SUM(Q283:Q283)</f>
        <v>4518</v>
      </c>
      <c r="R284" s="136">
        <f>SUM(R283:R283)</f>
        <v>0</v>
      </c>
      <c r="S284" s="136">
        <f>SUM(S283:S283)</f>
        <v>4518</v>
      </c>
      <c r="T284" s="136">
        <f>SUM(T283:T283)</f>
        <v>0</v>
      </c>
      <c r="U284" s="59">
        <f t="shared" si="491"/>
        <v>0</v>
      </c>
      <c r="V284" s="136">
        <f>SUM(V283:V283)</f>
        <v>0</v>
      </c>
      <c r="W284" s="136">
        <f>SUM(W283:W283)</f>
        <v>4518</v>
      </c>
      <c r="X284" s="136">
        <f>SUM(X283:X283)</f>
        <v>0</v>
      </c>
      <c r="Y284" s="136" t="s">
        <v>48</v>
      </c>
      <c r="Z284" s="136" t="s">
        <v>45</v>
      </c>
      <c r="AA284" s="136"/>
      <c r="AB284" s="84"/>
      <c r="AC284" s="136"/>
      <c r="AD284" s="136"/>
      <c r="AE284" s="100">
        <f t="shared" si="517"/>
        <v>1.7567567567567569E-2</v>
      </c>
      <c r="AF284" s="90"/>
      <c r="AG284" s="109">
        <f t="shared" si="518"/>
        <v>0</v>
      </c>
      <c r="AH284" s="100">
        <f t="shared" si="519"/>
        <v>1.7567567567567569E-2</v>
      </c>
      <c r="AI284" s="100">
        <f t="shared" si="520"/>
        <v>1.7567567567567569E-2</v>
      </c>
    </row>
    <row r="285" spans="1:35" s="45" customFormat="1" ht="20.25" customHeight="1" x14ac:dyDescent="0.3">
      <c r="A285" s="113"/>
      <c r="B285" s="106" t="s">
        <v>1</v>
      </c>
      <c r="C285" s="117">
        <v>47836</v>
      </c>
      <c r="D285" s="164" t="s">
        <v>632</v>
      </c>
      <c r="E285" s="126" t="s">
        <v>633</v>
      </c>
      <c r="F285" s="106">
        <v>3750</v>
      </c>
      <c r="G285" s="106"/>
      <c r="H285" s="106"/>
      <c r="I285" s="106"/>
      <c r="J285" s="106"/>
      <c r="K285" s="116"/>
      <c r="L285" s="106"/>
      <c r="M285" s="106"/>
      <c r="N285" s="110">
        <f>M285-F285</f>
        <v>-3750</v>
      </c>
      <c r="O285" s="110"/>
      <c r="P285" s="106"/>
      <c r="Q285" s="106"/>
      <c r="R285" s="106"/>
      <c r="S285" s="106"/>
      <c r="T285" s="110">
        <f>S285-Q285</f>
        <v>0</v>
      </c>
      <c r="U285" s="59">
        <f t="shared" si="491"/>
        <v>0</v>
      </c>
      <c r="V285" s="106"/>
      <c r="W285" s="106"/>
      <c r="X285" s="110">
        <f>+W285-M285</f>
        <v>0</v>
      </c>
      <c r="Y285" s="110"/>
      <c r="Z285" s="110"/>
      <c r="AA285" s="110"/>
      <c r="AB285" s="106"/>
      <c r="AC285" s="106"/>
      <c r="AD285" s="106"/>
      <c r="AE285" s="100">
        <f t="shared" si="504"/>
        <v>-1</v>
      </c>
      <c r="AF285" s="90"/>
      <c r="AG285" s="109">
        <f t="shared" si="505"/>
        <v>-3750</v>
      </c>
      <c r="AH285" s="100">
        <f t="shared" si="506"/>
        <v>-1</v>
      </c>
      <c r="AI285" s="100">
        <f t="shared" si="507"/>
        <v>-1</v>
      </c>
    </row>
    <row r="286" spans="1:35" s="43" customFormat="1" ht="16.5" customHeight="1" x14ac:dyDescent="0.3">
      <c r="A286" s="90" t="s">
        <v>46</v>
      </c>
      <c r="B286" s="136" t="s">
        <v>1</v>
      </c>
      <c r="C286" s="137"/>
      <c r="D286" s="136"/>
      <c r="E286" s="90"/>
      <c r="F286" s="136">
        <f>SUM(F285:F285)</f>
        <v>3750</v>
      </c>
      <c r="G286" s="136"/>
      <c r="H286" s="136"/>
      <c r="I286" s="136"/>
      <c r="J286" s="136"/>
      <c r="K286" s="64" t="s">
        <v>617</v>
      </c>
      <c r="L286" s="136">
        <f>SUM(L285:L285)</f>
        <v>0</v>
      </c>
      <c r="M286" s="136">
        <f>SUM(M285:M285)</f>
        <v>0</v>
      </c>
      <c r="N286" s="136">
        <f>SUM(N285:N285)</f>
        <v>-3750</v>
      </c>
      <c r="O286" s="136"/>
      <c r="P286" s="136">
        <f>SUM(P285:P285)</f>
        <v>0</v>
      </c>
      <c r="Q286" s="136">
        <f>SUM(Q285:Q285)</f>
        <v>0</v>
      </c>
      <c r="R286" s="136">
        <f>SUM(R285:R285)</f>
        <v>0</v>
      </c>
      <c r="S286" s="136">
        <f>SUM(S285:S285)</f>
        <v>0</v>
      </c>
      <c r="T286" s="136">
        <f>SUM(T285:T285)</f>
        <v>0</v>
      </c>
      <c r="U286" s="59">
        <f t="shared" si="491"/>
        <v>0</v>
      </c>
      <c r="V286" s="136">
        <f>SUM(V285:V285)</f>
        <v>0</v>
      </c>
      <c r="W286" s="136">
        <f>SUM(W285:W285)</f>
        <v>0</v>
      </c>
      <c r="X286" s="136">
        <f>SUM(X285:X285)</f>
        <v>0</v>
      </c>
      <c r="Y286" s="136" t="s">
        <v>48</v>
      </c>
      <c r="Z286" s="136" t="s">
        <v>45</v>
      </c>
      <c r="AA286" s="136"/>
      <c r="AB286" s="84"/>
      <c r="AC286" s="136"/>
      <c r="AD286" s="136"/>
      <c r="AE286" s="100">
        <f t="shared" si="504"/>
        <v>-1</v>
      </c>
      <c r="AF286" s="90"/>
      <c r="AG286" s="109">
        <f t="shared" si="505"/>
        <v>-3750</v>
      </c>
      <c r="AH286" s="100">
        <f t="shared" si="506"/>
        <v>-1</v>
      </c>
      <c r="AI286" s="100">
        <f t="shared" si="507"/>
        <v>-1</v>
      </c>
    </row>
    <row r="287" spans="1:35" s="45" customFormat="1" ht="20.25" customHeight="1" x14ac:dyDescent="0.3">
      <c r="A287" s="113"/>
      <c r="B287" s="106" t="s">
        <v>1</v>
      </c>
      <c r="C287" s="117">
        <v>48144</v>
      </c>
      <c r="D287" s="315" t="s">
        <v>898</v>
      </c>
      <c r="E287" s="126" t="s">
        <v>0</v>
      </c>
      <c r="F287" s="106">
        <v>1813</v>
      </c>
      <c r="G287" s="106"/>
      <c r="H287" s="106"/>
      <c r="I287" s="106"/>
      <c r="J287" s="106"/>
      <c r="K287" s="116"/>
      <c r="L287" s="106"/>
      <c r="M287" s="106"/>
      <c r="N287" s="110">
        <f>M287-F287</f>
        <v>-1813</v>
      </c>
      <c r="O287" s="110"/>
      <c r="P287" s="106"/>
      <c r="Q287" s="106"/>
      <c r="R287" s="106"/>
      <c r="S287" s="106"/>
      <c r="T287" s="110">
        <f>S287-Q287</f>
        <v>0</v>
      </c>
      <c r="U287" s="59">
        <f t="shared" si="491"/>
        <v>0</v>
      </c>
      <c r="V287" s="106"/>
      <c r="W287" s="106"/>
      <c r="X287" s="110">
        <f>+W287-M287</f>
        <v>0</v>
      </c>
      <c r="Y287" s="110"/>
      <c r="Z287" s="110"/>
      <c r="AA287" s="110"/>
      <c r="AB287" s="106"/>
      <c r="AC287" s="106"/>
      <c r="AD287" s="106"/>
      <c r="AE287" s="100">
        <f t="shared" si="504"/>
        <v>-1</v>
      </c>
      <c r="AF287" s="90"/>
      <c r="AG287" s="109">
        <f t="shared" si="505"/>
        <v>-1813</v>
      </c>
      <c r="AH287" s="100">
        <f t="shared" si="506"/>
        <v>-1</v>
      </c>
      <c r="AI287" s="100">
        <f t="shared" si="507"/>
        <v>-1</v>
      </c>
    </row>
    <row r="288" spans="1:35" s="45" customFormat="1" ht="20.25" customHeight="1" x14ac:dyDescent="0.3">
      <c r="A288" s="113"/>
      <c r="B288" s="106" t="s">
        <v>1</v>
      </c>
      <c r="C288" s="117">
        <v>48144</v>
      </c>
      <c r="D288" s="316"/>
      <c r="E288" s="126" t="s">
        <v>41</v>
      </c>
      <c r="F288" s="106">
        <v>1813</v>
      </c>
      <c r="G288" s="106"/>
      <c r="H288" s="106"/>
      <c r="I288" s="106"/>
      <c r="J288" s="106"/>
      <c r="K288" s="116"/>
      <c r="L288" s="106"/>
      <c r="M288" s="106"/>
      <c r="N288" s="110">
        <f>M288-F288</f>
        <v>-1813</v>
      </c>
      <c r="O288" s="110"/>
      <c r="P288" s="106"/>
      <c r="Q288" s="106"/>
      <c r="R288" s="106"/>
      <c r="S288" s="106"/>
      <c r="T288" s="110">
        <f>S288-Q288</f>
        <v>0</v>
      </c>
      <c r="U288" s="59">
        <f t="shared" ref="U288" si="521">IF(Q288&gt;0,S288-W288,M288-W288)</f>
        <v>0</v>
      </c>
      <c r="V288" s="106"/>
      <c r="W288" s="106"/>
      <c r="X288" s="110">
        <f>+W288-M288</f>
        <v>0</v>
      </c>
      <c r="Y288" s="110"/>
      <c r="Z288" s="110"/>
      <c r="AA288" s="110"/>
      <c r="AB288" s="106"/>
      <c r="AC288" s="106"/>
      <c r="AD288" s="106"/>
      <c r="AE288" s="100">
        <f t="shared" ref="AE288" si="522">N288/F288</f>
        <v>-1</v>
      </c>
      <c r="AF288" s="90"/>
      <c r="AG288" s="109">
        <f t="shared" ref="AG288" si="523">IF(N288&lt;0,N288,0)</f>
        <v>-1813</v>
      </c>
      <c r="AH288" s="100">
        <f t="shared" ref="AH288" si="524">(S288-F288)/F288</f>
        <v>-1</v>
      </c>
      <c r="AI288" s="100">
        <f t="shared" ref="AI288" si="525">(W288-F288)/F288</f>
        <v>-1</v>
      </c>
    </row>
    <row r="289" spans="1:35" s="43" customFormat="1" ht="16.5" customHeight="1" x14ac:dyDescent="0.3">
      <c r="A289" s="90" t="s">
        <v>46</v>
      </c>
      <c r="B289" s="136" t="s">
        <v>1</v>
      </c>
      <c r="C289" s="137"/>
      <c r="D289" s="136"/>
      <c r="E289" s="90"/>
      <c r="F289" s="136">
        <f>SUM(F287:F288)</f>
        <v>3626</v>
      </c>
      <c r="G289" s="136"/>
      <c r="H289" s="136"/>
      <c r="I289" s="136"/>
      <c r="J289" s="136"/>
      <c r="K289" s="64" t="s">
        <v>897</v>
      </c>
      <c r="L289" s="136">
        <f>SUM(L287:L288)</f>
        <v>0</v>
      </c>
      <c r="M289" s="136">
        <f>SUM(M287:M288)</f>
        <v>0</v>
      </c>
      <c r="N289" s="136">
        <f>SUM(N287:N288)</f>
        <v>-3626</v>
      </c>
      <c r="O289" s="136"/>
      <c r="P289" s="136">
        <f>SUM(P287:P288)</f>
        <v>0</v>
      </c>
      <c r="Q289" s="136">
        <f>SUM(Q287:Q288)</f>
        <v>0</v>
      </c>
      <c r="R289" s="136">
        <f>SUM(R287:R288)</f>
        <v>0</v>
      </c>
      <c r="S289" s="136">
        <f>SUM(S287:S288)</f>
        <v>0</v>
      </c>
      <c r="T289" s="136">
        <f>SUM(T287:T288)</f>
        <v>0</v>
      </c>
      <c r="U289" s="59">
        <f t="shared" si="491"/>
        <v>0</v>
      </c>
      <c r="V289" s="136">
        <f>SUM(V287:V288)</f>
        <v>0</v>
      </c>
      <c r="W289" s="136">
        <f>SUM(W287:W288)</f>
        <v>0</v>
      </c>
      <c r="X289" s="136">
        <f>SUM(X287:X288)</f>
        <v>0</v>
      </c>
      <c r="Y289" s="136"/>
      <c r="Z289" s="136"/>
      <c r="AA289" s="136"/>
      <c r="AB289" s="84"/>
      <c r="AC289" s="136"/>
      <c r="AD289" s="136"/>
      <c r="AE289" s="100">
        <f t="shared" si="504"/>
        <v>-1</v>
      </c>
      <c r="AF289" s="90"/>
      <c r="AG289" s="109">
        <f t="shared" si="505"/>
        <v>-3626</v>
      </c>
      <c r="AH289" s="100">
        <f t="shared" si="506"/>
        <v>-1</v>
      </c>
      <c r="AI289" s="100">
        <f t="shared" si="507"/>
        <v>-1</v>
      </c>
    </row>
    <row r="290" spans="1:35" s="45" customFormat="1" ht="20.25" customHeight="1" x14ac:dyDescent="0.3">
      <c r="A290" s="113"/>
      <c r="B290" s="106" t="s">
        <v>1</v>
      </c>
      <c r="C290" s="117">
        <v>48130</v>
      </c>
      <c r="D290" s="262" t="s">
        <v>844</v>
      </c>
      <c r="E290" s="126" t="s">
        <v>845</v>
      </c>
      <c r="F290" s="106">
        <v>5832</v>
      </c>
      <c r="G290" s="106"/>
      <c r="H290" s="106"/>
      <c r="I290" s="106"/>
      <c r="J290" s="106"/>
      <c r="K290" s="116"/>
      <c r="L290" s="106"/>
      <c r="M290" s="106"/>
      <c r="N290" s="110">
        <f>M290-F290</f>
        <v>-5832</v>
      </c>
      <c r="O290" s="110"/>
      <c r="P290" s="106"/>
      <c r="Q290" s="106"/>
      <c r="R290" s="106"/>
      <c r="S290" s="106"/>
      <c r="T290" s="110">
        <f>S290-Q290</f>
        <v>0</v>
      </c>
      <c r="U290" s="59">
        <f t="shared" si="491"/>
        <v>0</v>
      </c>
      <c r="V290" s="106"/>
      <c r="W290" s="106"/>
      <c r="X290" s="110">
        <f>+W290-M290</f>
        <v>0</v>
      </c>
      <c r="Y290" s="110"/>
      <c r="Z290" s="110"/>
      <c r="AA290" s="110"/>
      <c r="AB290" s="106"/>
      <c r="AC290" s="106"/>
      <c r="AD290" s="106"/>
      <c r="AE290" s="100">
        <f t="shared" ref="AE290:AE375" si="526">N290/F290</f>
        <v>-1</v>
      </c>
      <c r="AF290" s="90"/>
      <c r="AG290" s="109">
        <f t="shared" ref="AG290:AG375" si="527">IF(N290&lt;0,N290,0)</f>
        <v>-5832</v>
      </c>
      <c r="AH290" s="100">
        <f t="shared" ref="AH290:AH375" si="528">(S290-F290)/F290</f>
        <v>-1</v>
      </c>
      <c r="AI290" s="100">
        <f t="shared" ref="AI290:AI375" si="529">(W290-F290)/F290</f>
        <v>-1</v>
      </c>
    </row>
    <row r="291" spans="1:35" s="43" customFormat="1" ht="16.5" customHeight="1" x14ac:dyDescent="0.3">
      <c r="A291" s="90" t="s">
        <v>46</v>
      </c>
      <c r="B291" s="136" t="s">
        <v>1</v>
      </c>
      <c r="C291" s="137"/>
      <c r="D291" s="136"/>
      <c r="E291" s="90"/>
      <c r="F291" s="136">
        <f>SUM(F290:F290)</f>
        <v>5832</v>
      </c>
      <c r="G291" s="136"/>
      <c r="H291" s="136"/>
      <c r="I291" s="136"/>
      <c r="J291" s="136"/>
      <c r="K291" s="64" t="s">
        <v>436</v>
      </c>
      <c r="L291" s="136">
        <f>SUM(L290:L290)</f>
        <v>0</v>
      </c>
      <c r="M291" s="136">
        <f>SUM(M290:M290)</f>
        <v>0</v>
      </c>
      <c r="N291" s="136">
        <f>SUM(N290:N290)</f>
        <v>-5832</v>
      </c>
      <c r="O291" s="136"/>
      <c r="P291" s="136">
        <f t="shared" ref="P291:X291" si="530">SUM(P290:P290)</f>
        <v>0</v>
      </c>
      <c r="Q291" s="136">
        <f t="shared" si="530"/>
        <v>0</v>
      </c>
      <c r="R291" s="136">
        <f t="shared" si="530"/>
        <v>0</v>
      </c>
      <c r="S291" s="136">
        <f t="shared" si="530"/>
        <v>0</v>
      </c>
      <c r="T291" s="136">
        <f t="shared" si="530"/>
        <v>0</v>
      </c>
      <c r="U291" s="59">
        <f t="shared" si="530"/>
        <v>0</v>
      </c>
      <c r="V291" s="136">
        <f t="shared" si="530"/>
        <v>0</v>
      </c>
      <c r="W291" s="136">
        <f t="shared" si="530"/>
        <v>0</v>
      </c>
      <c r="X291" s="136">
        <f t="shared" si="530"/>
        <v>0</v>
      </c>
      <c r="Y291" s="136" t="s">
        <v>48</v>
      </c>
      <c r="Z291" s="136" t="s">
        <v>45</v>
      </c>
      <c r="AA291" s="136"/>
      <c r="AB291" s="84"/>
      <c r="AC291" s="136"/>
      <c r="AD291" s="136"/>
      <c r="AE291" s="100">
        <f t="shared" si="526"/>
        <v>-1</v>
      </c>
      <c r="AF291" s="90"/>
      <c r="AG291" s="109">
        <f t="shared" si="527"/>
        <v>-5832</v>
      </c>
      <c r="AH291" s="100">
        <f t="shared" si="528"/>
        <v>-1</v>
      </c>
      <c r="AI291" s="100">
        <f t="shared" si="529"/>
        <v>-1</v>
      </c>
    </row>
    <row r="292" spans="1:35" s="45" customFormat="1" ht="20.25" customHeight="1" x14ac:dyDescent="0.3">
      <c r="A292" s="113"/>
      <c r="B292" s="106" t="s">
        <v>1</v>
      </c>
      <c r="C292" s="117">
        <v>47813</v>
      </c>
      <c r="D292" s="315" t="s">
        <v>631</v>
      </c>
      <c r="E292" s="126" t="s">
        <v>39</v>
      </c>
      <c r="F292" s="106">
        <v>4598</v>
      </c>
      <c r="G292" s="106"/>
      <c r="H292" s="106"/>
      <c r="I292" s="106"/>
      <c r="J292" s="106"/>
      <c r="K292" s="116"/>
      <c r="L292" s="106"/>
      <c r="M292" s="106"/>
      <c r="N292" s="110">
        <f>M292-F292</f>
        <v>-4598</v>
      </c>
      <c r="O292" s="110"/>
      <c r="P292" s="106"/>
      <c r="Q292" s="106"/>
      <c r="R292" s="106"/>
      <c r="S292" s="106"/>
      <c r="T292" s="110">
        <f>S292-Q292</f>
        <v>0</v>
      </c>
      <c r="U292" s="59">
        <f t="shared" si="491"/>
        <v>0</v>
      </c>
      <c r="V292" s="106"/>
      <c r="W292" s="106"/>
      <c r="X292" s="110">
        <f>+W292-M292</f>
        <v>0</v>
      </c>
      <c r="Y292" s="110"/>
      <c r="Z292" s="110"/>
      <c r="AA292" s="110"/>
      <c r="AB292" s="106"/>
      <c r="AC292" s="106"/>
      <c r="AD292" s="106"/>
      <c r="AE292" s="100">
        <f t="shared" ref="AE292:AE295" si="531">N292/F292</f>
        <v>-1</v>
      </c>
      <c r="AF292" s="90"/>
      <c r="AG292" s="109">
        <f t="shared" ref="AG292:AG295" si="532">IF(N292&lt;0,N292,0)</f>
        <v>-4598</v>
      </c>
      <c r="AH292" s="100">
        <f t="shared" ref="AH292:AH295" si="533">(S292-F292)/F292</f>
        <v>-1</v>
      </c>
      <c r="AI292" s="100">
        <f t="shared" ref="AI292:AI295" si="534">(W292-F292)/F292</f>
        <v>-1</v>
      </c>
    </row>
    <row r="293" spans="1:35" s="45" customFormat="1" ht="20.25" customHeight="1" x14ac:dyDescent="0.3">
      <c r="A293" s="113"/>
      <c r="B293" s="106" t="s">
        <v>1</v>
      </c>
      <c r="C293" s="117">
        <v>47813</v>
      </c>
      <c r="D293" s="316"/>
      <c r="E293" s="126" t="s">
        <v>104</v>
      </c>
      <c r="F293" s="106">
        <v>4598</v>
      </c>
      <c r="G293" s="106"/>
      <c r="H293" s="106"/>
      <c r="I293" s="106"/>
      <c r="J293" s="106"/>
      <c r="K293" s="116"/>
      <c r="L293" s="106"/>
      <c r="M293" s="106"/>
      <c r="N293" s="110">
        <f>M293-F293</f>
        <v>-4598</v>
      </c>
      <c r="O293" s="110"/>
      <c r="P293" s="106"/>
      <c r="Q293" s="106"/>
      <c r="R293" s="106"/>
      <c r="S293" s="106"/>
      <c r="T293" s="110">
        <f>S293-Q293</f>
        <v>0</v>
      </c>
      <c r="U293" s="59">
        <f t="shared" ref="U293" si="535">IF(Q293&gt;0,S293-W293,M293-W293)</f>
        <v>0</v>
      </c>
      <c r="V293" s="106"/>
      <c r="W293" s="106"/>
      <c r="X293" s="110">
        <f>+W293-M293</f>
        <v>0</v>
      </c>
      <c r="Y293" s="110"/>
      <c r="Z293" s="110"/>
      <c r="AA293" s="110"/>
      <c r="AB293" s="106"/>
      <c r="AC293" s="106"/>
      <c r="AD293" s="106"/>
      <c r="AE293" s="100">
        <f t="shared" ref="AE293" si="536">N293/F293</f>
        <v>-1</v>
      </c>
      <c r="AF293" s="90"/>
      <c r="AG293" s="109">
        <f t="shared" ref="AG293" si="537">IF(N293&lt;0,N293,0)</f>
        <v>-4598</v>
      </c>
      <c r="AH293" s="100">
        <f t="shared" ref="AH293" si="538">(S293-F293)/F293</f>
        <v>-1</v>
      </c>
      <c r="AI293" s="100">
        <f t="shared" ref="AI293" si="539">(W293-F293)/F293</f>
        <v>-1</v>
      </c>
    </row>
    <row r="294" spans="1:35" s="45" customFormat="1" ht="20.25" customHeight="1" x14ac:dyDescent="0.3">
      <c r="A294" s="113"/>
      <c r="B294" s="106" t="s">
        <v>1</v>
      </c>
      <c r="C294" s="117">
        <v>47813</v>
      </c>
      <c r="D294" s="316"/>
      <c r="E294" s="126" t="s">
        <v>630</v>
      </c>
      <c r="F294" s="106">
        <v>3084</v>
      </c>
      <c r="G294" s="106"/>
      <c r="H294" s="106"/>
      <c r="I294" s="106"/>
      <c r="J294" s="106"/>
      <c r="K294" s="116"/>
      <c r="L294" s="106"/>
      <c r="M294" s="106"/>
      <c r="N294" s="110">
        <f>M294-F294</f>
        <v>-3084</v>
      </c>
      <c r="O294" s="110"/>
      <c r="P294" s="106"/>
      <c r="Q294" s="106"/>
      <c r="R294" s="106"/>
      <c r="S294" s="106"/>
      <c r="T294" s="110">
        <f>S294-Q294</f>
        <v>0</v>
      </c>
      <c r="U294" s="59">
        <f t="shared" si="491"/>
        <v>0</v>
      </c>
      <c r="V294" s="106"/>
      <c r="W294" s="106"/>
      <c r="X294" s="110">
        <f>+W294-M294</f>
        <v>0</v>
      </c>
      <c r="Y294" s="110"/>
      <c r="Z294" s="110"/>
      <c r="AA294" s="110"/>
      <c r="AB294" s="106"/>
      <c r="AC294" s="106"/>
      <c r="AD294" s="106"/>
      <c r="AE294" s="100">
        <f t="shared" si="531"/>
        <v>-1</v>
      </c>
      <c r="AF294" s="90"/>
      <c r="AG294" s="109">
        <f t="shared" si="532"/>
        <v>-3084</v>
      </c>
      <c r="AH294" s="100">
        <f t="shared" si="533"/>
        <v>-1</v>
      </c>
      <c r="AI294" s="100">
        <f t="shared" si="534"/>
        <v>-1</v>
      </c>
    </row>
    <row r="295" spans="1:35" s="43" customFormat="1" ht="16.5" customHeight="1" x14ac:dyDescent="0.3">
      <c r="A295" s="90" t="s">
        <v>46</v>
      </c>
      <c r="B295" s="136" t="s">
        <v>1</v>
      </c>
      <c r="C295" s="137"/>
      <c r="D295" s="136"/>
      <c r="E295" s="90"/>
      <c r="F295" s="136">
        <f>SUM(F292:F294)</f>
        <v>12280</v>
      </c>
      <c r="G295" s="136"/>
      <c r="H295" s="136"/>
      <c r="I295" s="136"/>
      <c r="J295" s="136"/>
      <c r="K295" s="64" t="s">
        <v>436</v>
      </c>
      <c r="L295" s="136">
        <f>SUM(L292:L294)</f>
        <v>0</v>
      </c>
      <c r="M295" s="136">
        <f>SUM(M292:M294)</f>
        <v>0</v>
      </c>
      <c r="N295" s="136">
        <f>SUM(N292:N294)</f>
        <v>-12280</v>
      </c>
      <c r="O295" s="136"/>
      <c r="P295" s="136">
        <f t="shared" ref="P295:X295" si="540">SUM(P292:P294)</f>
        <v>0</v>
      </c>
      <c r="Q295" s="136">
        <f t="shared" si="540"/>
        <v>0</v>
      </c>
      <c r="R295" s="136">
        <f t="shared" si="540"/>
        <v>0</v>
      </c>
      <c r="S295" s="136">
        <f t="shared" si="540"/>
        <v>0</v>
      </c>
      <c r="T295" s="136">
        <f t="shared" si="540"/>
        <v>0</v>
      </c>
      <c r="U295" s="59">
        <f t="shared" si="540"/>
        <v>0</v>
      </c>
      <c r="V295" s="136">
        <f t="shared" si="540"/>
        <v>0</v>
      </c>
      <c r="W295" s="136">
        <f t="shared" si="540"/>
        <v>0</v>
      </c>
      <c r="X295" s="136">
        <f t="shared" si="540"/>
        <v>0</v>
      </c>
      <c r="Y295" s="136" t="s">
        <v>47</v>
      </c>
      <c r="Z295" s="136" t="s">
        <v>45</v>
      </c>
      <c r="AA295" s="136"/>
      <c r="AB295" s="84"/>
      <c r="AC295" s="136"/>
      <c r="AD295" s="136"/>
      <c r="AE295" s="100">
        <f t="shared" si="531"/>
        <v>-1</v>
      </c>
      <c r="AF295" s="90"/>
      <c r="AG295" s="109">
        <f t="shared" si="532"/>
        <v>-12280</v>
      </c>
      <c r="AH295" s="100">
        <f t="shared" si="533"/>
        <v>-1</v>
      </c>
      <c r="AI295" s="100">
        <f t="shared" si="534"/>
        <v>-1</v>
      </c>
    </row>
    <row r="296" spans="1:35" s="45" customFormat="1" ht="20.25" customHeight="1" x14ac:dyDescent="0.3">
      <c r="A296" s="113"/>
      <c r="B296" s="106" t="s">
        <v>1</v>
      </c>
      <c r="C296" s="117">
        <v>47835</v>
      </c>
      <c r="D296" s="258" t="s">
        <v>792</v>
      </c>
      <c r="E296" s="126" t="s">
        <v>793</v>
      </c>
      <c r="F296" s="106">
        <v>3200</v>
      </c>
      <c r="G296" s="106"/>
      <c r="H296" s="106"/>
      <c r="I296" s="106"/>
      <c r="J296" s="106"/>
      <c r="K296" s="116"/>
      <c r="L296" s="106"/>
      <c r="M296" s="106"/>
      <c r="N296" s="110">
        <f>M296-F296</f>
        <v>-3200</v>
      </c>
      <c r="O296" s="110"/>
      <c r="P296" s="106"/>
      <c r="Q296" s="106"/>
      <c r="R296" s="106"/>
      <c r="S296" s="106"/>
      <c r="T296" s="110">
        <f>S296-Q296</f>
        <v>0</v>
      </c>
      <c r="U296" s="59">
        <f t="shared" si="491"/>
        <v>0</v>
      </c>
      <c r="V296" s="106"/>
      <c r="W296" s="106"/>
      <c r="X296" s="110">
        <f>+W296-M296</f>
        <v>0</v>
      </c>
      <c r="Y296" s="110"/>
      <c r="Z296" s="110"/>
      <c r="AA296" s="110"/>
      <c r="AB296" s="106"/>
      <c r="AC296" s="106"/>
      <c r="AD296" s="106"/>
      <c r="AE296" s="100">
        <f t="shared" si="526"/>
        <v>-1</v>
      </c>
      <c r="AF296" s="90"/>
      <c r="AG296" s="109">
        <f t="shared" si="527"/>
        <v>-3200</v>
      </c>
      <c r="AH296" s="100">
        <f t="shared" si="528"/>
        <v>-1</v>
      </c>
      <c r="AI296" s="100">
        <f t="shared" si="529"/>
        <v>-1</v>
      </c>
    </row>
    <row r="297" spans="1:35" s="43" customFormat="1" ht="16.5" customHeight="1" x14ac:dyDescent="0.3">
      <c r="A297" s="90" t="s">
        <v>46</v>
      </c>
      <c r="B297" s="136" t="s">
        <v>1</v>
      </c>
      <c r="C297" s="137"/>
      <c r="D297" s="136"/>
      <c r="E297" s="90"/>
      <c r="F297" s="136">
        <f>SUM(F296:F296)</f>
        <v>3200</v>
      </c>
      <c r="G297" s="136"/>
      <c r="H297" s="136"/>
      <c r="I297" s="136"/>
      <c r="J297" s="136"/>
      <c r="K297" s="64" t="s">
        <v>410</v>
      </c>
      <c r="L297" s="136">
        <f>SUM(L296:L296)</f>
        <v>0</v>
      </c>
      <c r="M297" s="136">
        <f>SUM(M296:M296)</f>
        <v>0</v>
      </c>
      <c r="N297" s="136">
        <f>SUM(N296:N296)</f>
        <v>-3200</v>
      </c>
      <c r="O297" s="136"/>
      <c r="P297" s="136">
        <f>SUM(P296:P296)</f>
        <v>0</v>
      </c>
      <c r="Q297" s="136">
        <f>SUM(Q296:Q296)</f>
        <v>0</v>
      </c>
      <c r="R297" s="136">
        <f>SUM(R296:R296)</f>
        <v>0</v>
      </c>
      <c r="S297" s="136">
        <f>SUM(S296:S296)</f>
        <v>0</v>
      </c>
      <c r="T297" s="136">
        <f>SUM(T296:T296)</f>
        <v>0</v>
      </c>
      <c r="U297" s="59">
        <f t="shared" si="491"/>
        <v>0</v>
      </c>
      <c r="V297" s="136">
        <f>SUM(V296:V296)</f>
        <v>0</v>
      </c>
      <c r="W297" s="136">
        <f>SUM(W296:W296)</f>
        <v>0</v>
      </c>
      <c r="X297" s="136">
        <f>SUM(X296:X296)</f>
        <v>0</v>
      </c>
      <c r="Y297" s="136" t="s">
        <v>48</v>
      </c>
      <c r="Z297" s="136" t="s">
        <v>45</v>
      </c>
      <c r="AA297" s="136"/>
      <c r="AB297" s="84"/>
      <c r="AC297" s="136"/>
      <c r="AD297" s="136"/>
      <c r="AE297" s="100">
        <f t="shared" si="526"/>
        <v>-1</v>
      </c>
      <c r="AF297" s="90"/>
      <c r="AG297" s="109">
        <f t="shared" si="527"/>
        <v>-3200</v>
      </c>
      <c r="AH297" s="100">
        <f t="shared" si="528"/>
        <v>-1</v>
      </c>
      <c r="AI297" s="100">
        <f t="shared" si="529"/>
        <v>-1</v>
      </c>
    </row>
    <row r="298" spans="1:35" s="45" customFormat="1" ht="20.25" customHeight="1" x14ac:dyDescent="0.3">
      <c r="A298" s="113"/>
      <c r="B298" s="106" t="s">
        <v>1</v>
      </c>
      <c r="C298" s="117">
        <v>47866</v>
      </c>
      <c r="D298" s="170" t="s">
        <v>727</v>
      </c>
      <c r="E298" s="126" t="s">
        <v>98</v>
      </c>
      <c r="F298" s="106">
        <v>8099</v>
      </c>
      <c r="G298" s="106"/>
      <c r="H298" s="106"/>
      <c r="I298" s="106"/>
      <c r="J298" s="106"/>
      <c r="K298" s="116"/>
      <c r="L298" s="106"/>
      <c r="M298" s="106">
        <f>1400+500+900+1420+4008</f>
        <v>8228</v>
      </c>
      <c r="N298" s="110">
        <f>M298-F298</f>
        <v>129</v>
      </c>
      <c r="O298" s="110"/>
      <c r="P298" s="106"/>
      <c r="Q298" s="106">
        <f>2800+1400+2800+1208+20</f>
        <v>8228</v>
      </c>
      <c r="R298" s="106"/>
      <c r="S298" s="106">
        <f>2800+2807+2+2619</f>
        <v>8228</v>
      </c>
      <c r="T298" s="110">
        <f>S298-Q298</f>
        <v>0</v>
      </c>
      <c r="U298" s="59">
        <f t="shared" si="491"/>
        <v>8228</v>
      </c>
      <c r="V298" s="106"/>
      <c r="W298" s="106"/>
      <c r="X298" s="110">
        <f>+W298-M298</f>
        <v>-8228</v>
      </c>
      <c r="Y298" s="110"/>
      <c r="Z298" s="110"/>
      <c r="AA298" s="110"/>
      <c r="AB298" s="106"/>
      <c r="AC298" s="106"/>
      <c r="AD298" s="106"/>
      <c r="AE298" s="100">
        <f t="shared" ref="AE298:AE299" si="541">N298/F298</f>
        <v>1.5927892332386714E-2</v>
      </c>
      <c r="AF298" s="90"/>
      <c r="AG298" s="109">
        <f t="shared" ref="AG298:AG299" si="542">IF(N298&lt;0,N298,0)</f>
        <v>0</v>
      </c>
      <c r="AH298" s="100">
        <f t="shared" ref="AH298:AH299" si="543">(S298-F298)/F298</f>
        <v>1.5927892332386714E-2</v>
      </c>
      <c r="AI298" s="100">
        <f t="shared" ref="AI298:AI299" si="544">(W298-F298)/F298</f>
        <v>-1</v>
      </c>
    </row>
    <row r="299" spans="1:35" s="43" customFormat="1" ht="16.5" customHeight="1" x14ac:dyDescent="0.3">
      <c r="A299" s="90" t="s">
        <v>46</v>
      </c>
      <c r="B299" s="136" t="s">
        <v>1</v>
      </c>
      <c r="C299" s="137"/>
      <c r="D299" s="136"/>
      <c r="E299" s="90"/>
      <c r="F299" s="136">
        <f>SUM(F298:F298)</f>
        <v>8099</v>
      </c>
      <c r="G299" s="136"/>
      <c r="H299" s="136"/>
      <c r="I299" s="136"/>
      <c r="J299" s="136" t="s">
        <v>58</v>
      </c>
      <c r="K299" s="64" t="s">
        <v>377</v>
      </c>
      <c r="L299" s="136">
        <f>SUM(L298:L298)</f>
        <v>0</v>
      </c>
      <c r="M299" s="136">
        <f>SUM(M298:M298)</f>
        <v>8228</v>
      </c>
      <c r="N299" s="136">
        <f>SUM(N298:N298)</f>
        <v>129</v>
      </c>
      <c r="O299" s="136" t="s">
        <v>821</v>
      </c>
      <c r="P299" s="136">
        <f>SUM(P298:P298)</f>
        <v>0</v>
      </c>
      <c r="Q299" s="136">
        <f>SUM(Q298:Q298)</f>
        <v>8228</v>
      </c>
      <c r="R299" s="136">
        <f>SUM(R298:R298)</f>
        <v>0</v>
      </c>
      <c r="S299" s="136">
        <f>SUM(S298:S298)</f>
        <v>8228</v>
      </c>
      <c r="T299" s="136">
        <f>SUM(T298:T298)</f>
        <v>0</v>
      </c>
      <c r="U299" s="59">
        <f t="shared" si="491"/>
        <v>8228</v>
      </c>
      <c r="V299" s="136">
        <f>SUM(V298:V298)</f>
        <v>0</v>
      </c>
      <c r="W299" s="136">
        <f>SUM(W298:W298)</f>
        <v>0</v>
      </c>
      <c r="X299" s="136">
        <f>SUM(X298:X298)</f>
        <v>-8228</v>
      </c>
      <c r="Y299" s="136" t="s">
        <v>48</v>
      </c>
      <c r="Z299" s="136" t="s">
        <v>45</v>
      </c>
      <c r="AA299" s="136"/>
      <c r="AB299" s="84"/>
      <c r="AC299" s="136"/>
      <c r="AD299" s="136"/>
      <c r="AE299" s="100">
        <f t="shared" si="541"/>
        <v>1.5927892332386714E-2</v>
      </c>
      <c r="AF299" s="90"/>
      <c r="AG299" s="109">
        <f t="shared" si="542"/>
        <v>0</v>
      </c>
      <c r="AH299" s="100">
        <f t="shared" si="543"/>
        <v>1.5927892332386714E-2</v>
      </c>
      <c r="AI299" s="100">
        <f t="shared" si="544"/>
        <v>-1</v>
      </c>
    </row>
    <row r="300" spans="1:35" s="45" customFormat="1" ht="20.25" customHeight="1" x14ac:dyDescent="0.3">
      <c r="A300" s="113"/>
      <c r="B300" s="106" t="s">
        <v>1</v>
      </c>
      <c r="C300" s="117">
        <v>47832</v>
      </c>
      <c r="D300" s="258" t="s">
        <v>794</v>
      </c>
      <c r="E300" s="126" t="s">
        <v>49</v>
      </c>
      <c r="F300" s="106">
        <v>4428</v>
      </c>
      <c r="G300" s="106"/>
      <c r="H300" s="106"/>
      <c r="I300" s="106"/>
      <c r="J300" s="106"/>
      <c r="K300" s="116"/>
      <c r="L300" s="106"/>
      <c r="M300" s="106">
        <f>1800+2514</f>
        <v>4314</v>
      </c>
      <c r="N300" s="110">
        <f>M300-F300</f>
        <v>-114</v>
      </c>
      <c r="O300" s="110"/>
      <c r="P300" s="106"/>
      <c r="Q300" s="106">
        <f>1800+2514</f>
        <v>4314</v>
      </c>
      <c r="R300" s="106"/>
      <c r="S300" s="106"/>
      <c r="T300" s="110">
        <f>S300-Q300</f>
        <v>-4314</v>
      </c>
      <c r="U300" s="59">
        <f t="shared" si="491"/>
        <v>0</v>
      </c>
      <c r="V300" s="106"/>
      <c r="W300" s="106"/>
      <c r="X300" s="110">
        <f>+W300-M300</f>
        <v>-4314</v>
      </c>
      <c r="Y300" s="110"/>
      <c r="Z300" s="110"/>
      <c r="AA300" s="110"/>
      <c r="AB300" s="106"/>
      <c r="AC300" s="106"/>
      <c r="AD300" s="106"/>
      <c r="AE300" s="100">
        <f t="shared" si="526"/>
        <v>-2.5745257452574527E-2</v>
      </c>
      <c r="AF300" s="90"/>
      <c r="AG300" s="109">
        <f t="shared" si="527"/>
        <v>-114</v>
      </c>
      <c r="AH300" s="100">
        <f t="shared" si="528"/>
        <v>-1</v>
      </c>
      <c r="AI300" s="100">
        <f t="shared" si="529"/>
        <v>-1</v>
      </c>
    </row>
    <row r="301" spans="1:35" s="43" customFormat="1" ht="16.5" customHeight="1" x14ac:dyDescent="0.3">
      <c r="A301" s="90" t="s">
        <v>46</v>
      </c>
      <c r="B301" s="136" t="s">
        <v>1</v>
      </c>
      <c r="C301" s="137"/>
      <c r="D301" s="136"/>
      <c r="E301" s="90"/>
      <c r="F301" s="136">
        <f>SUM(F300:F300)</f>
        <v>4428</v>
      </c>
      <c r="G301" s="136"/>
      <c r="H301" s="136"/>
      <c r="I301" s="136"/>
      <c r="J301" s="136" t="s">
        <v>58</v>
      </c>
      <c r="K301" s="64" t="s">
        <v>617</v>
      </c>
      <c r="L301" s="136">
        <f>SUM(L300:L300)</f>
        <v>0</v>
      </c>
      <c r="M301" s="136">
        <f>SUM(M300:M300)</f>
        <v>4314</v>
      </c>
      <c r="N301" s="136">
        <f>SUM(N300:N300)</f>
        <v>-114</v>
      </c>
      <c r="O301" s="136" t="s">
        <v>290</v>
      </c>
      <c r="P301" s="136">
        <f t="shared" ref="P301:X301" si="545">SUM(P300:P300)</f>
        <v>0</v>
      </c>
      <c r="Q301" s="136">
        <f t="shared" si="545"/>
        <v>4314</v>
      </c>
      <c r="R301" s="136">
        <f t="shared" si="545"/>
        <v>0</v>
      </c>
      <c r="S301" s="136">
        <f t="shared" si="545"/>
        <v>0</v>
      </c>
      <c r="T301" s="136">
        <f t="shared" si="545"/>
        <v>-4314</v>
      </c>
      <c r="U301" s="59">
        <f t="shared" si="545"/>
        <v>0</v>
      </c>
      <c r="V301" s="136">
        <f t="shared" si="545"/>
        <v>0</v>
      </c>
      <c r="W301" s="136">
        <f t="shared" si="545"/>
        <v>0</v>
      </c>
      <c r="X301" s="136">
        <f t="shared" si="545"/>
        <v>-4314</v>
      </c>
      <c r="Y301" s="136" t="s">
        <v>48</v>
      </c>
      <c r="Z301" s="136" t="s">
        <v>45</v>
      </c>
      <c r="AA301" s="136"/>
      <c r="AB301" s="84"/>
      <c r="AC301" s="136"/>
      <c r="AD301" s="136"/>
      <c r="AE301" s="100">
        <f t="shared" si="526"/>
        <v>-2.5745257452574527E-2</v>
      </c>
      <c r="AF301" s="90"/>
      <c r="AG301" s="109">
        <f t="shared" si="527"/>
        <v>-114</v>
      </c>
      <c r="AH301" s="100">
        <f t="shared" si="528"/>
        <v>-1</v>
      </c>
      <c r="AI301" s="100">
        <f t="shared" si="529"/>
        <v>-1</v>
      </c>
    </row>
    <row r="302" spans="1:35" s="45" customFormat="1" ht="20.25" customHeight="1" x14ac:dyDescent="0.3">
      <c r="A302" s="113"/>
      <c r="B302" s="106" t="s">
        <v>1</v>
      </c>
      <c r="C302" s="117">
        <v>47867</v>
      </c>
      <c r="D302" s="255" t="s">
        <v>767</v>
      </c>
      <c r="E302" s="126" t="s">
        <v>633</v>
      </c>
      <c r="F302" s="106">
        <v>6412</v>
      </c>
      <c r="G302" s="106"/>
      <c r="H302" s="106"/>
      <c r="I302" s="106"/>
      <c r="J302" s="106"/>
      <c r="K302" s="116"/>
      <c r="L302" s="106">
        <f>948+632+2100+2060+145+672</f>
        <v>6557</v>
      </c>
      <c r="M302" s="106">
        <f>948+632+2100+2060+145+672</f>
        <v>6557</v>
      </c>
      <c r="N302" s="110">
        <f>M302-F302</f>
        <v>145</v>
      </c>
      <c r="O302" s="110"/>
      <c r="P302" s="106">
        <f>1580+2000</f>
        <v>3580</v>
      </c>
      <c r="Q302" s="106">
        <f>1580+2000</f>
        <v>3580</v>
      </c>
      <c r="R302" s="106"/>
      <c r="S302" s="106"/>
      <c r="T302" s="110">
        <f>S302-Q302</f>
        <v>-3580</v>
      </c>
      <c r="U302" s="59">
        <f t="shared" si="491"/>
        <v>0</v>
      </c>
      <c r="V302" s="106"/>
      <c r="W302" s="106"/>
      <c r="X302" s="110">
        <f>+W302-M302</f>
        <v>-6557</v>
      </c>
      <c r="Y302" s="110"/>
      <c r="Z302" s="110"/>
      <c r="AA302" s="110"/>
      <c r="AB302" s="106"/>
      <c r="AC302" s="106"/>
      <c r="AD302" s="106"/>
      <c r="AE302" s="100">
        <f t="shared" ref="AE302:AE303" si="546">N302/F302</f>
        <v>2.2613849033063006E-2</v>
      </c>
      <c r="AF302" s="90"/>
      <c r="AG302" s="109">
        <f t="shared" ref="AG302:AG303" si="547">IF(N302&lt;0,N302,0)</f>
        <v>0</v>
      </c>
      <c r="AH302" s="100">
        <f t="shared" ref="AH302:AH303" si="548">(S302-F302)/F302</f>
        <v>-1</v>
      </c>
      <c r="AI302" s="100">
        <f t="shared" ref="AI302:AI303" si="549">(W302-F302)/F302</f>
        <v>-1</v>
      </c>
    </row>
    <row r="303" spans="1:35" s="43" customFormat="1" ht="16.5" customHeight="1" x14ac:dyDescent="0.3">
      <c r="A303" s="90" t="s">
        <v>46</v>
      </c>
      <c r="B303" s="136" t="s">
        <v>1</v>
      </c>
      <c r="C303" s="137"/>
      <c r="D303" s="136"/>
      <c r="E303" s="90"/>
      <c r="F303" s="136">
        <f>SUM(F302:F302)</f>
        <v>6412</v>
      </c>
      <c r="G303" s="136"/>
      <c r="H303" s="136"/>
      <c r="I303" s="136"/>
      <c r="J303" s="136" t="s">
        <v>58</v>
      </c>
      <c r="K303" s="64" t="s">
        <v>377</v>
      </c>
      <c r="L303" s="136">
        <f>SUM(L302:L302)</f>
        <v>6557</v>
      </c>
      <c r="M303" s="136">
        <f>SUM(M302:M302)</f>
        <v>6557</v>
      </c>
      <c r="N303" s="136">
        <f>SUM(N302:N302)</f>
        <v>145</v>
      </c>
      <c r="O303" s="136" t="s">
        <v>1029</v>
      </c>
      <c r="P303" s="136">
        <f>SUM(P302:P302)</f>
        <v>3580</v>
      </c>
      <c r="Q303" s="136">
        <f>SUM(Q302:Q302)</f>
        <v>3580</v>
      </c>
      <c r="R303" s="136">
        <f>SUM(R302:R302)</f>
        <v>0</v>
      </c>
      <c r="S303" s="136">
        <f>SUM(S302:S302)</f>
        <v>0</v>
      </c>
      <c r="T303" s="136">
        <f>SUM(T302:T302)</f>
        <v>-3580</v>
      </c>
      <c r="U303" s="59">
        <f t="shared" ref="U303:U406" si="550">IF(Q303&gt;0,S303-W303,M303-W303)</f>
        <v>0</v>
      </c>
      <c r="V303" s="136">
        <f>SUM(V302:V302)</f>
        <v>0</v>
      </c>
      <c r="W303" s="136">
        <f>SUM(W302:W302)</f>
        <v>0</v>
      </c>
      <c r="X303" s="136">
        <f>SUM(X302:X302)</f>
        <v>-6557</v>
      </c>
      <c r="Y303" s="136"/>
      <c r="Z303" s="136"/>
      <c r="AA303" s="136"/>
      <c r="AB303" s="84"/>
      <c r="AC303" s="136"/>
      <c r="AD303" s="136"/>
      <c r="AE303" s="100">
        <f t="shared" si="546"/>
        <v>2.2613849033063006E-2</v>
      </c>
      <c r="AF303" s="90"/>
      <c r="AG303" s="109">
        <f t="shared" si="547"/>
        <v>0</v>
      </c>
      <c r="AH303" s="100">
        <f t="shared" si="548"/>
        <v>-1</v>
      </c>
      <c r="AI303" s="100">
        <f t="shared" si="549"/>
        <v>-1</v>
      </c>
    </row>
    <row r="304" spans="1:35" s="45" customFormat="1" ht="20.25" customHeight="1" x14ac:dyDescent="0.3">
      <c r="A304" s="113"/>
      <c r="B304" s="106" t="s">
        <v>1</v>
      </c>
      <c r="C304" s="117">
        <v>47821</v>
      </c>
      <c r="D304" s="315" t="s">
        <v>873</v>
      </c>
      <c r="E304" s="126" t="s">
        <v>874</v>
      </c>
      <c r="F304" s="106">
        <v>5260</v>
      </c>
      <c r="G304" s="106"/>
      <c r="H304" s="106"/>
      <c r="I304" s="106"/>
      <c r="J304" s="106"/>
      <c r="K304" s="116"/>
      <c r="L304" s="106"/>
      <c r="M304" s="106">
        <f>1860+600+2857</f>
        <v>5317</v>
      </c>
      <c r="N304" s="110">
        <f>M304-F304</f>
        <v>57</v>
      </c>
      <c r="O304" s="110"/>
      <c r="P304" s="106"/>
      <c r="Q304" s="106"/>
      <c r="R304" s="106"/>
      <c r="S304" s="106"/>
      <c r="T304" s="110">
        <f>S304-Q304</f>
        <v>0</v>
      </c>
      <c r="U304" s="59">
        <f t="shared" si="550"/>
        <v>5317</v>
      </c>
      <c r="V304" s="106"/>
      <c r="W304" s="106"/>
      <c r="X304" s="110">
        <f>+W304-M304</f>
        <v>-5317</v>
      </c>
      <c r="Y304" s="110"/>
      <c r="Z304" s="110"/>
      <c r="AA304" s="110"/>
      <c r="AB304" s="106"/>
      <c r="AC304" s="106"/>
      <c r="AD304" s="106"/>
      <c r="AE304" s="100">
        <f t="shared" si="526"/>
        <v>1.0836501901140685E-2</v>
      </c>
      <c r="AF304" s="90"/>
      <c r="AG304" s="109">
        <f t="shared" si="527"/>
        <v>0</v>
      </c>
      <c r="AH304" s="100">
        <f t="shared" si="528"/>
        <v>-1</v>
      </c>
      <c r="AI304" s="100">
        <f t="shared" si="529"/>
        <v>-1</v>
      </c>
    </row>
    <row r="305" spans="1:35" s="45" customFormat="1" ht="20.25" customHeight="1" x14ac:dyDescent="0.3">
      <c r="A305" s="113"/>
      <c r="B305" s="106" t="s">
        <v>1</v>
      </c>
      <c r="C305" s="117">
        <v>47821</v>
      </c>
      <c r="D305" s="316"/>
      <c r="E305" s="126" t="s">
        <v>875</v>
      </c>
      <c r="F305" s="106">
        <v>5260</v>
      </c>
      <c r="G305" s="106"/>
      <c r="H305" s="106"/>
      <c r="I305" s="106"/>
      <c r="J305" s="106"/>
      <c r="K305" s="116"/>
      <c r="L305" s="106"/>
      <c r="M305" s="106">
        <f>1860+600+2857</f>
        <v>5317</v>
      </c>
      <c r="N305" s="110">
        <f>M305-F305</f>
        <v>57</v>
      </c>
      <c r="O305" s="110"/>
      <c r="P305" s="106"/>
      <c r="Q305" s="106"/>
      <c r="R305" s="106"/>
      <c r="S305" s="106"/>
      <c r="T305" s="110">
        <f>S305-Q305</f>
        <v>0</v>
      </c>
      <c r="U305" s="59">
        <f>IF(Q305&gt;0,S305-W305,M305-W305)</f>
        <v>5317</v>
      </c>
      <c r="V305" s="106"/>
      <c r="W305" s="106"/>
      <c r="X305" s="110">
        <f>+W305-M305</f>
        <v>-5317</v>
      </c>
      <c r="Y305" s="110"/>
      <c r="Z305" s="110"/>
      <c r="AA305" s="110"/>
      <c r="AB305" s="106"/>
      <c r="AC305" s="106"/>
      <c r="AD305" s="106"/>
      <c r="AE305" s="100">
        <f t="shared" ref="AE305" si="551">N305/F305</f>
        <v>1.0836501901140685E-2</v>
      </c>
      <c r="AF305" s="90"/>
      <c r="AG305" s="109">
        <f t="shared" ref="AG305" si="552">IF(N305&lt;0,N305,0)</f>
        <v>0</v>
      </c>
      <c r="AH305" s="100">
        <f t="shared" ref="AH305" si="553">(S305-F305)/F305</f>
        <v>-1</v>
      </c>
      <c r="AI305" s="100">
        <f t="shared" ref="AI305" si="554">(W305-F305)/F305</f>
        <v>-1</v>
      </c>
    </row>
    <row r="306" spans="1:35" s="43" customFormat="1" ht="16.5" customHeight="1" x14ac:dyDescent="0.3">
      <c r="A306" s="90" t="s">
        <v>46</v>
      </c>
      <c r="B306" s="136" t="s">
        <v>1</v>
      </c>
      <c r="C306" s="137"/>
      <c r="D306" s="136"/>
      <c r="E306" s="90"/>
      <c r="F306" s="136">
        <f>SUM(F304:F305)</f>
        <v>10520</v>
      </c>
      <c r="G306" s="136"/>
      <c r="H306" s="136"/>
      <c r="I306" s="136"/>
      <c r="J306" s="136" t="s">
        <v>58</v>
      </c>
      <c r="K306" s="64" t="s">
        <v>226</v>
      </c>
      <c r="L306" s="136">
        <f>SUM(L304:L305)</f>
        <v>0</v>
      </c>
      <c r="M306" s="136">
        <f>SUM(M304:M305)</f>
        <v>10634</v>
      </c>
      <c r="N306" s="136">
        <f>SUM(N304:N305)</f>
        <v>114</v>
      </c>
      <c r="O306" s="136"/>
      <c r="P306" s="136">
        <f>SUM(P304:P305)</f>
        <v>0</v>
      </c>
      <c r="Q306" s="136">
        <f>SUM(Q304:Q305)</f>
        <v>0</v>
      </c>
      <c r="R306" s="136">
        <f>SUM(R304:R305)</f>
        <v>0</v>
      </c>
      <c r="S306" s="136">
        <f>SUM(S304:S305)</f>
        <v>0</v>
      </c>
      <c r="T306" s="136">
        <f>SUM(T304:T305)</f>
        <v>0</v>
      </c>
      <c r="U306" s="59">
        <f t="shared" si="550"/>
        <v>10634</v>
      </c>
      <c r="V306" s="136">
        <f>SUM(V304:V305)</f>
        <v>0</v>
      </c>
      <c r="W306" s="136">
        <f>SUM(W304:W305)</f>
        <v>0</v>
      </c>
      <c r="X306" s="136">
        <f>SUM(X304:X305)</f>
        <v>-10634</v>
      </c>
      <c r="Y306" s="136"/>
      <c r="Z306" s="136"/>
      <c r="AA306" s="136"/>
      <c r="AB306" s="84"/>
      <c r="AC306" s="136"/>
      <c r="AD306" s="136"/>
      <c r="AE306" s="100">
        <f t="shared" si="526"/>
        <v>1.0836501901140685E-2</v>
      </c>
      <c r="AF306" s="90"/>
      <c r="AG306" s="109">
        <f t="shared" si="527"/>
        <v>0</v>
      </c>
      <c r="AH306" s="100">
        <f t="shared" si="528"/>
        <v>-1</v>
      </c>
      <c r="AI306" s="100">
        <f t="shared" si="529"/>
        <v>-1</v>
      </c>
    </row>
    <row r="307" spans="1:35" s="45" customFormat="1" ht="20.25" customHeight="1" x14ac:dyDescent="0.3">
      <c r="A307" s="113"/>
      <c r="B307" s="106" t="s">
        <v>1</v>
      </c>
      <c r="C307" s="117">
        <v>48150</v>
      </c>
      <c r="D307" s="180" t="s">
        <v>724</v>
      </c>
      <c r="E307" s="126" t="s">
        <v>725</v>
      </c>
      <c r="F307" s="106">
        <v>5094</v>
      </c>
      <c r="G307" s="106"/>
      <c r="H307" s="106"/>
      <c r="I307" s="106"/>
      <c r="J307" s="106"/>
      <c r="K307" s="116"/>
      <c r="L307" s="106"/>
      <c r="M307" s="106">
        <f>2508+1452+300+660+228</f>
        <v>5148</v>
      </c>
      <c r="N307" s="110">
        <f>M307-F307</f>
        <v>54</v>
      </c>
      <c r="O307" s="110"/>
      <c r="P307" s="106"/>
      <c r="Q307" s="106"/>
      <c r="R307" s="106"/>
      <c r="S307" s="106"/>
      <c r="T307" s="110">
        <f>S307-Q307</f>
        <v>0</v>
      </c>
      <c r="U307" s="59">
        <f t="shared" si="550"/>
        <v>0</v>
      </c>
      <c r="V307" s="106"/>
      <c r="W307" s="106">
        <v>5148</v>
      </c>
      <c r="X307" s="110">
        <f>+W307-M307</f>
        <v>0</v>
      </c>
      <c r="Y307" s="110"/>
      <c r="Z307" s="110"/>
      <c r="AA307" s="110"/>
      <c r="AB307" s="106"/>
      <c r="AC307" s="106"/>
      <c r="AD307" s="106"/>
      <c r="AE307" s="100">
        <f t="shared" ref="AE307:AE371" si="555">N307/F307</f>
        <v>1.0600706713780919E-2</v>
      </c>
      <c r="AF307" s="90"/>
      <c r="AG307" s="109">
        <f t="shared" ref="AG307:AG371" si="556">IF(N307&lt;0,N307,0)</f>
        <v>0</v>
      </c>
      <c r="AH307" s="100">
        <f t="shared" ref="AH307:AH371" si="557">(S307-F307)/F307</f>
        <v>-1</v>
      </c>
      <c r="AI307" s="100">
        <f t="shared" ref="AI307:AI371" si="558">(W307-F307)/F307</f>
        <v>1.0600706713780919E-2</v>
      </c>
    </row>
    <row r="308" spans="1:35" s="43" customFormat="1" ht="16.5" customHeight="1" x14ac:dyDescent="0.3">
      <c r="A308" s="90" t="s">
        <v>46</v>
      </c>
      <c r="B308" s="136" t="s">
        <v>1</v>
      </c>
      <c r="C308" s="137"/>
      <c r="D308" s="136"/>
      <c r="E308" s="90"/>
      <c r="F308" s="136">
        <f>SUM(F307:F307)</f>
        <v>5094</v>
      </c>
      <c r="G308" s="136"/>
      <c r="H308" s="136"/>
      <c r="I308" s="136"/>
      <c r="J308" s="136" t="s">
        <v>58</v>
      </c>
      <c r="K308" s="64" t="s">
        <v>726</v>
      </c>
      <c r="L308" s="136">
        <f>SUM(L307:L307)</f>
        <v>0</v>
      </c>
      <c r="M308" s="136">
        <f>SUM(M307:M307)</f>
        <v>5148</v>
      </c>
      <c r="N308" s="136">
        <f>SUM(N307:N307)</f>
        <v>54</v>
      </c>
      <c r="O308" s="136"/>
      <c r="P308" s="136">
        <f>SUM(P307:P307)</f>
        <v>0</v>
      </c>
      <c r="Q308" s="136">
        <f>SUM(Q307:Q307)</f>
        <v>0</v>
      </c>
      <c r="R308" s="136">
        <f>SUM(R307:R307)</f>
        <v>0</v>
      </c>
      <c r="S308" s="136">
        <f>SUM(S307:S307)</f>
        <v>0</v>
      </c>
      <c r="T308" s="136">
        <f>SUM(T307:T307)</f>
        <v>0</v>
      </c>
      <c r="U308" s="59">
        <f t="shared" si="550"/>
        <v>0</v>
      </c>
      <c r="V308" s="136">
        <f>SUM(V307:V307)</f>
        <v>0</v>
      </c>
      <c r="W308" s="136">
        <f>SUM(W307:W307)</f>
        <v>5148</v>
      </c>
      <c r="X308" s="136">
        <f>SUM(X307:X307)</f>
        <v>0</v>
      </c>
      <c r="Y308" s="136"/>
      <c r="Z308" s="136"/>
      <c r="AA308" s="136"/>
      <c r="AB308" s="84"/>
      <c r="AC308" s="136"/>
      <c r="AD308" s="136"/>
      <c r="AE308" s="100">
        <f t="shared" si="555"/>
        <v>1.0600706713780919E-2</v>
      </c>
      <c r="AF308" s="90"/>
      <c r="AG308" s="109">
        <f t="shared" si="556"/>
        <v>0</v>
      </c>
      <c r="AH308" s="100">
        <f t="shared" si="557"/>
        <v>-1</v>
      </c>
      <c r="AI308" s="100">
        <f t="shared" si="558"/>
        <v>1.0600706713780919E-2</v>
      </c>
    </row>
    <row r="309" spans="1:35" s="45" customFormat="1" ht="20.25" customHeight="1" x14ac:dyDescent="0.3">
      <c r="A309" s="113"/>
      <c r="B309" s="106" t="s">
        <v>1</v>
      </c>
      <c r="C309" s="117">
        <v>47736</v>
      </c>
      <c r="D309" s="315" t="s">
        <v>797</v>
      </c>
      <c r="E309" s="126" t="s">
        <v>943</v>
      </c>
      <c r="F309" s="106">
        <v>3213</v>
      </c>
      <c r="G309" s="106"/>
      <c r="H309" s="106"/>
      <c r="I309" s="106"/>
      <c r="J309" s="106"/>
      <c r="K309" s="116"/>
      <c r="L309" s="106">
        <f>245+245+521</f>
        <v>1011</v>
      </c>
      <c r="M309" s="106">
        <f>350+500+315+400+500+180+245+245+521</f>
        <v>3256</v>
      </c>
      <c r="N309" s="110">
        <f t="shared" ref="N309:N314" si="559">M309-F309</f>
        <v>43</v>
      </c>
      <c r="O309" s="110"/>
      <c r="P309" s="106"/>
      <c r="Q309" s="106"/>
      <c r="R309" s="106"/>
      <c r="S309" s="106"/>
      <c r="T309" s="110">
        <f t="shared" ref="T309:T314" si="560">S309-Q309</f>
        <v>0</v>
      </c>
      <c r="U309" s="59">
        <f t="shared" si="550"/>
        <v>1011</v>
      </c>
      <c r="V309" s="106"/>
      <c r="W309" s="106">
        <v>2245</v>
      </c>
      <c r="X309" s="110">
        <f t="shared" ref="X309:X314" si="561">+W309-M309</f>
        <v>-1011</v>
      </c>
      <c r="Y309" s="110"/>
      <c r="Z309" s="110"/>
      <c r="AA309" s="110"/>
      <c r="AB309" s="106"/>
      <c r="AC309" s="106"/>
      <c r="AD309" s="106"/>
      <c r="AE309" s="100">
        <f t="shared" si="555"/>
        <v>1.3383131030189854E-2</v>
      </c>
      <c r="AF309" s="90"/>
      <c r="AG309" s="109">
        <f t="shared" si="556"/>
        <v>0</v>
      </c>
      <c r="AH309" s="100">
        <f t="shared" si="557"/>
        <v>-1</v>
      </c>
      <c r="AI309" s="100">
        <f t="shared" si="558"/>
        <v>-0.30127606598194834</v>
      </c>
    </row>
    <row r="310" spans="1:35" s="45" customFormat="1" ht="20.25" customHeight="1" x14ac:dyDescent="0.3">
      <c r="A310" s="113"/>
      <c r="B310" s="106" t="s">
        <v>1</v>
      </c>
      <c r="C310" s="117">
        <v>47736</v>
      </c>
      <c r="D310" s="316"/>
      <c r="E310" s="126" t="s">
        <v>944</v>
      </c>
      <c r="F310" s="106">
        <v>3213</v>
      </c>
      <c r="G310" s="106"/>
      <c r="H310" s="106"/>
      <c r="I310" s="106"/>
      <c r="J310" s="106"/>
      <c r="K310" s="116"/>
      <c r="L310" s="106">
        <f>245+245+310</f>
        <v>800</v>
      </c>
      <c r="M310" s="106">
        <f>350+500+315+400+500+180+245+245+310</f>
        <v>3045</v>
      </c>
      <c r="N310" s="110">
        <f t="shared" ref="N310" si="562">M310-F310</f>
        <v>-168</v>
      </c>
      <c r="O310" s="110"/>
      <c r="P310" s="106"/>
      <c r="Q310" s="106"/>
      <c r="R310" s="106"/>
      <c r="S310" s="106"/>
      <c r="T310" s="110">
        <f t="shared" ref="T310" si="563">S310-Q310</f>
        <v>0</v>
      </c>
      <c r="U310" s="59">
        <f t="shared" ref="U310" si="564">IF(Q310&gt;0,S310-W310,M310-W310)</f>
        <v>800</v>
      </c>
      <c r="V310" s="106"/>
      <c r="W310" s="106">
        <v>2245</v>
      </c>
      <c r="X310" s="110">
        <f t="shared" ref="X310" si="565">+W310-M310</f>
        <v>-800</v>
      </c>
      <c r="Y310" s="110"/>
      <c r="Z310" s="110"/>
      <c r="AA310" s="110"/>
      <c r="AB310" s="106"/>
      <c r="AC310" s="106"/>
      <c r="AD310" s="106"/>
      <c r="AE310" s="100">
        <f t="shared" si="555"/>
        <v>-5.2287581699346407E-2</v>
      </c>
      <c r="AF310" s="90"/>
      <c r="AG310" s="109">
        <f t="shared" si="556"/>
        <v>-168</v>
      </c>
      <c r="AH310" s="100">
        <f t="shared" si="557"/>
        <v>-1</v>
      </c>
      <c r="AI310" s="100">
        <f t="shared" si="558"/>
        <v>-0.30127606598194834</v>
      </c>
    </row>
    <row r="311" spans="1:35" s="45" customFormat="1" ht="20.25" customHeight="1" x14ac:dyDescent="0.3">
      <c r="A311" s="113"/>
      <c r="B311" s="106" t="s">
        <v>1</v>
      </c>
      <c r="C311" s="117">
        <v>47736</v>
      </c>
      <c r="D311" s="316"/>
      <c r="E311" s="126" t="s">
        <v>946</v>
      </c>
      <c r="F311" s="106">
        <v>2813</v>
      </c>
      <c r="G311" s="106"/>
      <c r="H311" s="106"/>
      <c r="I311" s="106"/>
      <c r="J311" s="106"/>
      <c r="K311" s="116"/>
      <c r="L311" s="106">
        <f>275+95+816</f>
        <v>1186</v>
      </c>
      <c r="M311" s="106">
        <f>920+525+295+275+95+816</f>
        <v>2926</v>
      </c>
      <c r="N311" s="110">
        <f t="shared" si="559"/>
        <v>113</v>
      </c>
      <c r="O311" s="110"/>
      <c r="P311" s="106"/>
      <c r="Q311" s="106"/>
      <c r="R311" s="106"/>
      <c r="S311" s="106"/>
      <c r="T311" s="110">
        <f t="shared" si="560"/>
        <v>0</v>
      </c>
      <c r="U311" s="59">
        <f t="shared" si="550"/>
        <v>605</v>
      </c>
      <c r="V311" s="106">
        <v>940</v>
      </c>
      <c r="W311" s="106">
        <v>2321</v>
      </c>
      <c r="X311" s="110">
        <f t="shared" si="561"/>
        <v>-605</v>
      </c>
      <c r="Y311" s="110"/>
      <c r="Z311" s="110"/>
      <c r="AA311" s="110"/>
      <c r="AB311" s="106"/>
      <c r="AC311" s="106"/>
      <c r="AD311" s="106"/>
      <c r="AE311" s="100">
        <f t="shared" ref="AE311" si="566">N311/F311</f>
        <v>4.0170636331318878E-2</v>
      </c>
      <c r="AF311" s="90"/>
      <c r="AG311" s="109">
        <f t="shared" ref="AG311" si="567">IF(N311&lt;0,N311,0)</f>
        <v>0</v>
      </c>
      <c r="AH311" s="100">
        <f t="shared" ref="AH311" si="568">(S311-F311)/F311</f>
        <v>-1</v>
      </c>
      <c r="AI311" s="100">
        <f t="shared" ref="AI311" si="569">(W311-F311)/F311</f>
        <v>-0.17490223960184856</v>
      </c>
    </row>
    <row r="312" spans="1:35" s="45" customFormat="1" ht="20.25" customHeight="1" x14ac:dyDescent="0.3">
      <c r="A312" s="113"/>
      <c r="B312" s="106" t="s">
        <v>1</v>
      </c>
      <c r="C312" s="117">
        <v>47736</v>
      </c>
      <c r="D312" s="316"/>
      <c r="E312" s="126" t="s">
        <v>947</v>
      </c>
      <c r="F312" s="106">
        <v>2813</v>
      </c>
      <c r="G312" s="106"/>
      <c r="H312" s="106"/>
      <c r="I312" s="106"/>
      <c r="J312" s="106"/>
      <c r="K312" s="116"/>
      <c r="L312" s="106">
        <f>275+95+816</f>
        <v>1186</v>
      </c>
      <c r="M312" s="106">
        <f>920+525+295+275+95+816</f>
        <v>2926</v>
      </c>
      <c r="N312" s="110">
        <f t="shared" ref="N312:N313" si="570">M312-F312</f>
        <v>113</v>
      </c>
      <c r="O312" s="110"/>
      <c r="P312" s="106"/>
      <c r="Q312" s="106"/>
      <c r="R312" s="106"/>
      <c r="S312" s="106"/>
      <c r="T312" s="110">
        <f t="shared" ref="T312:T313" si="571">S312-Q312</f>
        <v>0</v>
      </c>
      <c r="U312" s="59">
        <f t="shared" ref="U312:U313" si="572">IF(Q312&gt;0,S312-W312,M312-W312)</f>
        <v>68</v>
      </c>
      <c r="V312" s="106">
        <v>1481</v>
      </c>
      <c r="W312" s="106">
        <v>2858</v>
      </c>
      <c r="X312" s="110">
        <f t="shared" ref="X312:X313" si="573">+W312-M312</f>
        <v>-68</v>
      </c>
      <c r="Y312" s="110"/>
      <c r="Z312" s="110"/>
      <c r="AA312" s="110"/>
      <c r="AB312" s="106"/>
      <c r="AC312" s="106"/>
      <c r="AD312" s="106"/>
      <c r="AE312" s="100">
        <f t="shared" si="555"/>
        <v>4.0170636331318878E-2</v>
      </c>
      <c r="AF312" s="90"/>
      <c r="AG312" s="109">
        <f t="shared" si="556"/>
        <v>0</v>
      </c>
      <c r="AH312" s="100">
        <f t="shared" si="557"/>
        <v>-1</v>
      </c>
      <c r="AI312" s="100">
        <f t="shared" si="558"/>
        <v>1.5997156061144685E-2</v>
      </c>
    </row>
    <row r="313" spans="1:35" s="45" customFormat="1" ht="20.25" customHeight="1" x14ac:dyDescent="0.3">
      <c r="A313" s="113"/>
      <c r="B313" s="106" t="s">
        <v>1</v>
      </c>
      <c r="C313" s="117">
        <v>47736</v>
      </c>
      <c r="D313" s="316"/>
      <c r="E313" s="126" t="s">
        <v>846</v>
      </c>
      <c r="F313" s="106">
        <v>2113</v>
      </c>
      <c r="G313" s="106"/>
      <c r="H313" s="106"/>
      <c r="I313" s="106"/>
      <c r="J313" s="106"/>
      <c r="K313" s="116"/>
      <c r="L313" s="106">
        <v>735</v>
      </c>
      <c r="M313" s="106">
        <f>500+525+188+735</f>
        <v>1948</v>
      </c>
      <c r="N313" s="110">
        <f t="shared" si="570"/>
        <v>-165</v>
      </c>
      <c r="O313" s="110"/>
      <c r="P313" s="106"/>
      <c r="Q313" s="106"/>
      <c r="R313" s="106"/>
      <c r="S313" s="106"/>
      <c r="T313" s="110">
        <f t="shared" si="571"/>
        <v>0</v>
      </c>
      <c r="U313" s="59">
        <f t="shared" si="572"/>
        <v>547</v>
      </c>
      <c r="V313" s="106">
        <v>1025</v>
      </c>
      <c r="W313" s="106">
        <v>1401</v>
      </c>
      <c r="X313" s="110">
        <f t="shared" si="573"/>
        <v>-547</v>
      </c>
      <c r="Y313" s="110"/>
      <c r="Z313" s="110"/>
      <c r="AA313" s="110"/>
      <c r="AB313" s="106"/>
      <c r="AC313" s="106"/>
      <c r="AD313" s="106"/>
      <c r="AE313" s="100">
        <f t="shared" si="555"/>
        <v>-7.8088026502602936E-2</v>
      </c>
      <c r="AF313" s="90"/>
      <c r="AG313" s="109">
        <f t="shared" si="556"/>
        <v>-165</v>
      </c>
      <c r="AH313" s="100">
        <f t="shared" si="557"/>
        <v>-1</v>
      </c>
      <c r="AI313" s="100">
        <f t="shared" si="558"/>
        <v>-0.33696166587789872</v>
      </c>
    </row>
    <row r="314" spans="1:35" s="45" customFormat="1" ht="20.25" customHeight="1" x14ac:dyDescent="0.3">
      <c r="A314" s="113"/>
      <c r="B314" s="106" t="s">
        <v>1</v>
      </c>
      <c r="C314" s="117">
        <v>47736</v>
      </c>
      <c r="D314" s="316"/>
      <c r="E314" s="126" t="s">
        <v>945</v>
      </c>
      <c r="F314" s="106">
        <v>2113</v>
      </c>
      <c r="G314" s="106"/>
      <c r="H314" s="106"/>
      <c r="I314" s="106"/>
      <c r="J314" s="106"/>
      <c r="K314" s="116"/>
      <c r="L314" s="106">
        <v>735</v>
      </c>
      <c r="M314" s="106">
        <f>500+525+188+735</f>
        <v>1948</v>
      </c>
      <c r="N314" s="110">
        <f t="shared" si="559"/>
        <v>-165</v>
      </c>
      <c r="O314" s="110"/>
      <c r="P314" s="106"/>
      <c r="Q314" s="106"/>
      <c r="R314" s="106"/>
      <c r="S314" s="106"/>
      <c r="T314" s="110">
        <f t="shared" si="560"/>
        <v>0</v>
      </c>
      <c r="U314" s="59">
        <f t="shared" si="550"/>
        <v>547</v>
      </c>
      <c r="V314" s="106">
        <v>525</v>
      </c>
      <c r="W314" s="106">
        <v>1401</v>
      </c>
      <c r="X314" s="110">
        <f t="shared" si="561"/>
        <v>-547</v>
      </c>
      <c r="Y314" s="110"/>
      <c r="Z314" s="110"/>
      <c r="AA314" s="110"/>
      <c r="AB314" s="106"/>
      <c r="AC314" s="106"/>
      <c r="AD314" s="106"/>
      <c r="AE314" s="100">
        <f t="shared" ref="AE314" si="574">N314/F314</f>
        <v>-7.8088026502602936E-2</v>
      </c>
      <c r="AF314" s="90"/>
      <c r="AG314" s="109">
        <f t="shared" ref="AG314" si="575">IF(N314&lt;0,N314,0)</f>
        <v>-165</v>
      </c>
      <c r="AH314" s="100">
        <f t="shared" ref="AH314" si="576">(S314-F314)/F314</f>
        <v>-1</v>
      </c>
      <c r="AI314" s="100">
        <f t="shared" ref="AI314" si="577">(W314-F314)/F314</f>
        <v>-0.33696166587789872</v>
      </c>
    </row>
    <row r="315" spans="1:35" s="43" customFormat="1" ht="16.5" customHeight="1" x14ac:dyDescent="0.3">
      <c r="A315" s="90" t="s">
        <v>46</v>
      </c>
      <c r="B315" s="136" t="s">
        <v>1</v>
      </c>
      <c r="C315" s="137"/>
      <c r="D315" s="136"/>
      <c r="E315" s="90"/>
      <c r="F315" s="136">
        <f>SUM(F309:F314)</f>
        <v>16278</v>
      </c>
      <c r="G315" s="136"/>
      <c r="H315" s="136"/>
      <c r="I315" s="136"/>
      <c r="J315" s="136" t="s">
        <v>58</v>
      </c>
      <c r="K315" s="64" t="s">
        <v>726</v>
      </c>
      <c r="L315" s="136">
        <f>SUM(L309:L314)</f>
        <v>5653</v>
      </c>
      <c r="M315" s="136">
        <f>SUM(M309:M314)</f>
        <v>16049</v>
      </c>
      <c r="N315" s="136">
        <f>SUM(N309:N314)</f>
        <v>-229</v>
      </c>
      <c r="O315" s="136"/>
      <c r="P315" s="136">
        <f t="shared" ref="P315:X315" si="578">SUM(P309:P314)</f>
        <v>0</v>
      </c>
      <c r="Q315" s="136">
        <f t="shared" si="578"/>
        <v>0</v>
      </c>
      <c r="R315" s="136">
        <f t="shared" si="578"/>
        <v>0</v>
      </c>
      <c r="S315" s="136">
        <f t="shared" si="578"/>
        <v>0</v>
      </c>
      <c r="T315" s="136">
        <f t="shared" si="578"/>
        <v>0</v>
      </c>
      <c r="U315" s="59">
        <f t="shared" si="578"/>
        <v>3578</v>
      </c>
      <c r="V315" s="136">
        <f t="shared" si="578"/>
        <v>3971</v>
      </c>
      <c r="W315" s="136">
        <f t="shared" si="578"/>
        <v>12471</v>
      </c>
      <c r="X315" s="136">
        <f t="shared" si="578"/>
        <v>-3578</v>
      </c>
      <c r="Y315" s="136"/>
      <c r="Z315" s="136"/>
      <c r="AA315" s="136"/>
      <c r="AB315" s="84"/>
      <c r="AC315" s="136"/>
      <c r="AD315" s="136"/>
      <c r="AE315" s="100">
        <f t="shared" si="555"/>
        <v>-1.4068067330138838E-2</v>
      </c>
      <c r="AF315" s="90"/>
      <c r="AG315" s="109">
        <f t="shared" si="556"/>
        <v>-229</v>
      </c>
      <c r="AH315" s="100">
        <f t="shared" si="557"/>
        <v>-1</v>
      </c>
      <c r="AI315" s="100">
        <f t="shared" si="558"/>
        <v>-0.23387394028750461</v>
      </c>
    </row>
    <row r="316" spans="1:35" s="45" customFormat="1" ht="20.25" customHeight="1" x14ac:dyDescent="0.3">
      <c r="A316" s="113"/>
      <c r="B316" s="106" t="s">
        <v>1</v>
      </c>
      <c r="C316" s="117">
        <v>48241</v>
      </c>
      <c r="D316" s="315" t="s">
        <v>671</v>
      </c>
      <c r="E316" s="126" t="s">
        <v>0</v>
      </c>
      <c r="F316" s="247">
        <v>3213</v>
      </c>
      <c r="G316" s="106"/>
      <c r="H316" s="106"/>
      <c r="I316" s="106"/>
      <c r="J316" s="106"/>
      <c r="K316" s="116"/>
      <c r="L316" s="106"/>
      <c r="M316" s="106">
        <f>700+700+1519+252+77</f>
        <v>3248</v>
      </c>
      <c r="N316" s="110">
        <f>M316-F316</f>
        <v>35</v>
      </c>
      <c r="O316" s="110"/>
      <c r="P316" s="106"/>
      <c r="Q316" s="106"/>
      <c r="R316" s="106"/>
      <c r="S316" s="106"/>
      <c r="T316" s="110">
        <f t="shared" ref="T316:T320" si="579">S316-Q316</f>
        <v>0</v>
      </c>
      <c r="U316" s="59">
        <f t="shared" si="550"/>
        <v>0</v>
      </c>
      <c r="V316" s="106"/>
      <c r="W316" s="106">
        <v>3248</v>
      </c>
      <c r="X316" s="110">
        <f t="shared" ref="X316:X320" si="580">+W316-M316</f>
        <v>0</v>
      </c>
      <c r="Y316" s="110"/>
      <c r="Z316" s="110"/>
      <c r="AA316" s="110"/>
      <c r="AB316" s="106"/>
      <c r="AC316" s="106"/>
      <c r="AD316" s="106"/>
      <c r="AE316" s="100">
        <f t="shared" si="555"/>
        <v>1.0893246187363835E-2</v>
      </c>
      <c r="AF316" s="90"/>
      <c r="AG316" s="109">
        <f t="shared" si="556"/>
        <v>0</v>
      </c>
      <c r="AH316" s="100">
        <f t="shared" si="557"/>
        <v>-1</v>
      </c>
      <c r="AI316" s="100">
        <f t="shared" si="558"/>
        <v>1.0893246187363835E-2</v>
      </c>
    </row>
    <row r="317" spans="1:35" s="45" customFormat="1" ht="20.25" customHeight="1" x14ac:dyDescent="0.3">
      <c r="A317" s="113"/>
      <c r="B317" s="106" t="s">
        <v>1</v>
      </c>
      <c r="C317" s="117">
        <v>48241</v>
      </c>
      <c r="D317" s="316"/>
      <c r="E317" s="126" t="s">
        <v>672</v>
      </c>
      <c r="F317" s="247">
        <v>3213</v>
      </c>
      <c r="G317" s="106"/>
      <c r="H317" s="106"/>
      <c r="I317" s="106"/>
      <c r="J317" s="106"/>
      <c r="K317" s="116"/>
      <c r="L317" s="106"/>
      <c r="M317" s="106">
        <f>700+763+756+900+78+77</f>
        <v>3274</v>
      </c>
      <c r="N317" s="110">
        <f t="shared" ref="N317:N320" si="581">M317-F317</f>
        <v>61</v>
      </c>
      <c r="O317" s="110"/>
      <c r="P317" s="106"/>
      <c r="Q317" s="106"/>
      <c r="R317" s="106"/>
      <c r="S317" s="106"/>
      <c r="T317" s="110">
        <f t="shared" si="579"/>
        <v>0</v>
      </c>
      <c r="U317" s="59">
        <f t="shared" si="550"/>
        <v>0</v>
      </c>
      <c r="V317" s="106"/>
      <c r="W317" s="106">
        <v>3274</v>
      </c>
      <c r="X317" s="110">
        <f t="shared" si="580"/>
        <v>0</v>
      </c>
      <c r="Y317" s="110"/>
      <c r="Z317" s="110"/>
      <c r="AA317" s="110"/>
      <c r="AB317" s="106"/>
      <c r="AC317" s="106"/>
      <c r="AD317" s="106"/>
      <c r="AE317" s="100">
        <f t="shared" si="555"/>
        <v>1.8985371926548398E-2</v>
      </c>
      <c r="AF317" s="90"/>
      <c r="AG317" s="109">
        <f t="shared" si="556"/>
        <v>0</v>
      </c>
      <c r="AH317" s="100">
        <f t="shared" si="557"/>
        <v>-1</v>
      </c>
      <c r="AI317" s="100">
        <f t="shared" si="558"/>
        <v>1.8985371926548398E-2</v>
      </c>
    </row>
    <row r="318" spans="1:35" s="45" customFormat="1" ht="20.25" customHeight="1" x14ac:dyDescent="0.3">
      <c r="A318" s="113"/>
      <c r="B318" s="106" t="s">
        <v>1</v>
      </c>
      <c r="C318" s="117">
        <v>48241</v>
      </c>
      <c r="D318" s="316"/>
      <c r="E318" s="126" t="s">
        <v>610</v>
      </c>
      <c r="F318" s="247">
        <v>1813</v>
      </c>
      <c r="G318" s="106"/>
      <c r="H318" s="106"/>
      <c r="I318" s="106"/>
      <c r="J318" s="106"/>
      <c r="K318" s="116"/>
      <c r="L318" s="106"/>
      <c r="M318" s="106">
        <f>560+560+657+56+8</f>
        <v>1841</v>
      </c>
      <c r="N318" s="110">
        <f t="shared" si="581"/>
        <v>28</v>
      </c>
      <c r="O318" s="110"/>
      <c r="P318" s="106"/>
      <c r="Q318" s="106"/>
      <c r="R318" s="106"/>
      <c r="S318" s="106"/>
      <c r="T318" s="110">
        <f t="shared" si="579"/>
        <v>0</v>
      </c>
      <c r="U318" s="59">
        <f t="shared" si="550"/>
        <v>0</v>
      </c>
      <c r="V318" s="106"/>
      <c r="W318" s="106">
        <v>1841</v>
      </c>
      <c r="X318" s="110">
        <f t="shared" si="580"/>
        <v>0</v>
      </c>
      <c r="Y318" s="110"/>
      <c r="Z318" s="110"/>
      <c r="AA318" s="110"/>
      <c r="AB318" s="106"/>
      <c r="AC318" s="106"/>
      <c r="AD318" s="106"/>
      <c r="AE318" s="100">
        <f t="shared" si="555"/>
        <v>1.5444015444015444E-2</v>
      </c>
      <c r="AF318" s="90"/>
      <c r="AG318" s="109">
        <f t="shared" si="556"/>
        <v>0</v>
      </c>
      <c r="AH318" s="100">
        <f t="shared" si="557"/>
        <v>-1</v>
      </c>
      <c r="AI318" s="100">
        <f t="shared" si="558"/>
        <v>1.5444015444015444E-2</v>
      </c>
    </row>
    <row r="319" spans="1:35" s="45" customFormat="1" ht="20.25" customHeight="1" x14ac:dyDescent="0.3">
      <c r="A319" s="113"/>
      <c r="B319" s="106" t="s">
        <v>1</v>
      </c>
      <c r="C319" s="117">
        <v>48241</v>
      </c>
      <c r="D319" s="316"/>
      <c r="E319" s="126" t="s">
        <v>673</v>
      </c>
      <c r="F319" s="247">
        <v>1513</v>
      </c>
      <c r="G319" s="106"/>
      <c r="H319" s="106"/>
      <c r="I319" s="106"/>
      <c r="J319" s="106"/>
      <c r="K319" s="116"/>
      <c r="L319" s="106"/>
      <c r="M319" s="106">
        <f>147+1225+108+56</f>
        <v>1536</v>
      </c>
      <c r="N319" s="110">
        <f t="shared" si="581"/>
        <v>23</v>
      </c>
      <c r="O319" s="110"/>
      <c r="P319" s="106"/>
      <c r="Q319" s="106"/>
      <c r="R319" s="106"/>
      <c r="S319" s="106"/>
      <c r="T319" s="110">
        <f t="shared" si="579"/>
        <v>0</v>
      </c>
      <c r="U319" s="59">
        <f t="shared" si="550"/>
        <v>0</v>
      </c>
      <c r="V319" s="106"/>
      <c r="W319" s="106">
        <v>1536</v>
      </c>
      <c r="X319" s="110">
        <f t="shared" si="580"/>
        <v>0</v>
      </c>
      <c r="Y319" s="110"/>
      <c r="Z319" s="110"/>
      <c r="AA319" s="110"/>
      <c r="AB319" s="106"/>
      <c r="AC319" s="106"/>
      <c r="AD319" s="106"/>
      <c r="AE319" s="100">
        <f t="shared" ref="AE319" si="582">N319/F319</f>
        <v>1.520158625247852E-2</v>
      </c>
      <c r="AF319" s="90"/>
      <c r="AG319" s="109">
        <f t="shared" ref="AG319" si="583">IF(N319&lt;0,N319,0)</f>
        <v>0</v>
      </c>
      <c r="AH319" s="100">
        <f t="shared" ref="AH319" si="584">(S319-F319)/F319</f>
        <v>-1</v>
      </c>
      <c r="AI319" s="100">
        <f t="shared" ref="AI319" si="585">(W319-F319)/F319</f>
        <v>1.520158625247852E-2</v>
      </c>
    </row>
    <row r="320" spans="1:35" s="45" customFormat="1" ht="20.25" customHeight="1" x14ac:dyDescent="0.3">
      <c r="A320" s="113"/>
      <c r="B320" s="106" t="s">
        <v>1</v>
      </c>
      <c r="C320" s="117">
        <v>48241</v>
      </c>
      <c r="D320" s="316"/>
      <c r="E320" s="126" t="s">
        <v>674</v>
      </c>
      <c r="F320" s="247">
        <v>1213</v>
      </c>
      <c r="G320" s="106"/>
      <c r="H320" s="106"/>
      <c r="I320" s="106"/>
      <c r="J320" s="106"/>
      <c r="K320" s="116"/>
      <c r="L320" s="106"/>
      <c r="M320" s="106">
        <f>392+795+56</f>
        <v>1243</v>
      </c>
      <c r="N320" s="110">
        <f t="shared" si="581"/>
        <v>30</v>
      </c>
      <c r="O320" s="110"/>
      <c r="P320" s="106"/>
      <c r="Q320" s="106"/>
      <c r="R320" s="106"/>
      <c r="S320" s="106"/>
      <c r="T320" s="110">
        <f t="shared" si="579"/>
        <v>0</v>
      </c>
      <c r="U320" s="59">
        <f t="shared" si="550"/>
        <v>6</v>
      </c>
      <c r="V320" s="106"/>
      <c r="W320" s="106">
        <v>1237</v>
      </c>
      <c r="X320" s="110">
        <f t="shared" si="580"/>
        <v>-6</v>
      </c>
      <c r="Y320" s="110"/>
      <c r="Z320" s="110"/>
      <c r="AA320" s="110"/>
      <c r="AB320" s="106"/>
      <c r="AC320" s="106"/>
      <c r="AD320" s="106"/>
      <c r="AE320" s="100">
        <f t="shared" ref="AE320" si="586">N320/F320</f>
        <v>2.47320692497939E-2</v>
      </c>
      <c r="AF320" s="90"/>
      <c r="AG320" s="109">
        <f t="shared" ref="AG320" si="587">IF(N320&lt;0,N320,0)</f>
        <v>0</v>
      </c>
      <c r="AH320" s="100">
        <f t="shared" ref="AH320" si="588">(S320-F320)/F320</f>
        <v>-1</v>
      </c>
      <c r="AI320" s="100">
        <f t="shared" ref="AI320" si="589">(W320-F320)/F320</f>
        <v>1.9785655399835119E-2</v>
      </c>
    </row>
    <row r="321" spans="1:35" s="43" customFormat="1" ht="16.5" customHeight="1" x14ac:dyDescent="0.3">
      <c r="A321" s="90" t="s">
        <v>46</v>
      </c>
      <c r="B321" s="136" t="s">
        <v>1</v>
      </c>
      <c r="C321" s="137"/>
      <c r="D321" s="136"/>
      <c r="E321" s="90"/>
      <c r="F321" s="136">
        <f>SUM(F316:F320)</f>
        <v>10965</v>
      </c>
      <c r="G321" s="136"/>
      <c r="H321" s="136"/>
      <c r="I321" s="136"/>
      <c r="J321" s="136" t="s">
        <v>58</v>
      </c>
      <c r="K321" s="64" t="s">
        <v>670</v>
      </c>
      <c r="L321" s="136">
        <f>SUM(L316:L320)</f>
        <v>0</v>
      </c>
      <c r="M321" s="136">
        <f>SUM(M316:M320)</f>
        <v>11142</v>
      </c>
      <c r="N321" s="136">
        <f>SUM(N316:N320)</f>
        <v>177</v>
      </c>
      <c r="O321" s="136"/>
      <c r="P321" s="136">
        <f t="shared" ref="P321:X321" si="590">SUM(P316:P320)</f>
        <v>0</v>
      </c>
      <c r="Q321" s="136">
        <f t="shared" si="590"/>
        <v>0</v>
      </c>
      <c r="R321" s="136">
        <f t="shared" si="590"/>
        <v>0</v>
      </c>
      <c r="S321" s="136">
        <f t="shared" si="590"/>
        <v>0</v>
      </c>
      <c r="T321" s="136">
        <f t="shared" si="590"/>
        <v>0</v>
      </c>
      <c r="U321" s="59">
        <f t="shared" si="590"/>
        <v>6</v>
      </c>
      <c r="V321" s="136">
        <f t="shared" si="590"/>
        <v>0</v>
      </c>
      <c r="W321" s="136">
        <f t="shared" si="590"/>
        <v>11136</v>
      </c>
      <c r="X321" s="136">
        <f t="shared" si="590"/>
        <v>-6</v>
      </c>
      <c r="Y321" s="136"/>
      <c r="Z321" s="136"/>
      <c r="AA321" s="136"/>
      <c r="AB321" s="84"/>
      <c r="AC321" s="136"/>
      <c r="AD321" s="136"/>
      <c r="AE321" s="100">
        <f t="shared" si="555"/>
        <v>1.6142270861833105E-2</v>
      </c>
      <c r="AF321" s="90"/>
      <c r="AG321" s="109">
        <f t="shared" si="556"/>
        <v>0</v>
      </c>
      <c r="AH321" s="100">
        <f t="shared" si="557"/>
        <v>-1</v>
      </c>
      <c r="AI321" s="100">
        <f t="shared" si="558"/>
        <v>1.5595075239398085E-2</v>
      </c>
    </row>
    <row r="322" spans="1:35" s="45" customFormat="1" ht="20.25" customHeight="1" x14ac:dyDescent="0.3">
      <c r="A322" s="113"/>
      <c r="B322" s="106" t="s">
        <v>1</v>
      </c>
      <c r="C322" s="117">
        <v>47822</v>
      </c>
      <c r="D322" s="315" t="s">
        <v>804</v>
      </c>
      <c r="E322" s="126" t="s">
        <v>805</v>
      </c>
      <c r="F322" s="106">
        <v>5848</v>
      </c>
      <c r="G322" s="106"/>
      <c r="H322" s="106"/>
      <c r="I322" s="106"/>
      <c r="J322" s="106"/>
      <c r="K322" s="116"/>
      <c r="L322" s="106"/>
      <c r="M322" s="106">
        <f>1785+975+2295+117</f>
        <v>5172</v>
      </c>
      <c r="N322" s="110">
        <f>M322-F322</f>
        <v>-676</v>
      </c>
      <c r="O322" s="110"/>
      <c r="P322" s="106"/>
      <c r="Q322" s="106"/>
      <c r="R322" s="106"/>
      <c r="S322" s="106"/>
      <c r="T322" s="110">
        <f>S322-Q322</f>
        <v>0</v>
      </c>
      <c r="U322" s="59">
        <f>IF(Q322&gt;0,S322-W322,M322-W322)</f>
        <v>5172</v>
      </c>
      <c r="V322" s="106"/>
      <c r="W322" s="106"/>
      <c r="X322" s="110">
        <f>+W322-M322</f>
        <v>-5172</v>
      </c>
      <c r="Y322" s="110"/>
      <c r="Z322" s="110"/>
      <c r="AA322" s="110"/>
      <c r="AB322" s="106"/>
      <c r="AC322" s="106"/>
      <c r="AD322" s="106"/>
      <c r="AE322" s="100">
        <f t="shared" si="555"/>
        <v>-0.11559507523939809</v>
      </c>
      <c r="AF322" s="90"/>
      <c r="AG322" s="109">
        <f t="shared" si="556"/>
        <v>-676</v>
      </c>
      <c r="AH322" s="100">
        <f t="shared" si="557"/>
        <v>-1</v>
      </c>
      <c r="AI322" s="100">
        <f t="shared" si="558"/>
        <v>-1</v>
      </c>
    </row>
    <row r="323" spans="1:35" s="45" customFormat="1" ht="20.25" customHeight="1" x14ac:dyDescent="0.3">
      <c r="A323" s="113"/>
      <c r="B323" s="106" t="s">
        <v>1</v>
      </c>
      <c r="C323" s="117">
        <v>47822</v>
      </c>
      <c r="D323" s="316"/>
      <c r="E323" s="126" t="s">
        <v>806</v>
      </c>
      <c r="F323" s="106">
        <v>5848</v>
      </c>
      <c r="G323" s="106"/>
      <c r="H323" s="106"/>
      <c r="I323" s="106"/>
      <c r="J323" s="106"/>
      <c r="K323" s="116"/>
      <c r="L323" s="106"/>
      <c r="M323" s="106">
        <f>1785+975+2295+117</f>
        <v>5172</v>
      </c>
      <c r="N323" s="110">
        <f>M323-F323</f>
        <v>-676</v>
      </c>
      <c r="O323" s="110"/>
      <c r="P323" s="106"/>
      <c r="Q323" s="106"/>
      <c r="R323" s="106"/>
      <c r="S323" s="106"/>
      <c r="T323" s="110">
        <f>S323-Q323</f>
        <v>0</v>
      </c>
      <c r="U323" s="59">
        <f t="shared" si="550"/>
        <v>5172</v>
      </c>
      <c r="V323" s="106"/>
      <c r="W323" s="106"/>
      <c r="X323" s="110">
        <f>+W323-M323</f>
        <v>-5172</v>
      </c>
      <c r="Y323" s="110"/>
      <c r="Z323" s="110"/>
      <c r="AA323" s="110"/>
      <c r="AB323" s="106"/>
      <c r="AC323" s="106"/>
      <c r="AD323" s="106"/>
      <c r="AE323" s="100">
        <f t="shared" si="555"/>
        <v>-0.11559507523939809</v>
      </c>
      <c r="AF323" s="90"/>
      <c r="AG323" s="109">
        <f t="shared" si="556"/>
        <v>-676</v>
      </c>
      <c r="AH323" s="100">
        <f t="shared" si="557"/>
        <v>-1</v>
      </c>
      <c r="AI323" s="100">
        <f t="shared" si="558"/>
        <v>-1</v>
      </c>
    </row>
    <row r="324" spans="1:35" s="43" customFormat="1" ht="16.5" customHeight="1" x14ac:dyDescent="0.3">
      <c r="A324" s="90" t="s">
        <v>46</v>
      </c>
      <c r="B324" s="136" t="s">
        <v>1</v>
      </c>
      <c r="C324" s="137"/>
      <c r="D324" s="136"/>
      <c r="E324" s="90"/>
      <c r="F324" s="136">
        <f>SUM(F322:F323)</f>
        <v>11696</v>
      </c>
      <c r="G324" s="136"/>
      <c r="H324" s="136"/>
      <c r="I324" s="136"/>
      <c r="J324" s="136" t="s">
        <v>59</v>
      </c>
      <c r="K324" s="64" t="s">
        <v>226</v>
      </c>
      <c r="L324" s="136">
        <f>SUM(L322:L323)</f>
        <v>0</v>
      </c>
      <c r="M324" s="136">
        <f>SUM(M322:M323)</f>
        <v>10344</v>
      </c>
      <c r="N324" s="136">
        <f>SUM(N322:N323)</f>
        <v>-1352</v>
      </c>
      <c r="O324" s="136"/>
      <c r="P324" s="136">
        <f t="shared" ref="P324:X324" si="591">SUM(P322:P323)</f>
        <v>0</v>
      </c>
      <c r="Q324" s="136">
        <f t="shared" si="591"/>
        <v>0</v>
      </c>
      <c r="R324" s="136">
        <f t="shared" si="591"/>
        <v>0</v>
      </c>
      <c r="S324" s="136">
        <f t="shared" si="591"/>
        <v>0</v>
      </c>
      <c r="T324" s="136">
        <f t="shared" si="591"/>
        <v>0</v>
      </c>
      <c r="U324" s="59">
        <f t="shared" si="591"/>
        <v>10344</v>
      </c>
      <c r="V324" s="136">
        <f t="shared" si="591"/>
        <v>0</v>
      </c>
      <c r="W324" s="136">
        <f t="shared" si="591"/>
        <v>0</v>
      </c>
      <c r="X324" s="136">
        <f t="shared" si="591"/>
        <v>-10344</v>
      </c>
      <c r="Y324" s="136"/>
      <c r="Z324" s="136"/>
      <c r="AA324" s="136"/>
      <c r="AB324" s="84"/>
      <c r="AC324" s="136"/>
      <c r="AD324" s="136"/>
      <c r="AE324" s="100">
        <f t="shared" si="555"/>
        <v>-0.11559507523939809</v>
      </c>
      <c r="AF324" s="90"/>
      <c r="AG324" s="109">
        <f t="shared" si="556"/>
        <v>-1352</v>
      </c>
      <c r="AH324" s="100">
        <f t="shared" si="557"/>
        <v>-1</v>
      </c>
      <c r="AI324" s="100">
        <f t="shared" si="558"/>
        <v>-1</v>
      </c>
    </row>
    <row r="325" spans="1:35" s="45" customFormat="1" ht="20.25" customHeight="1" x14ac:dyDescent="0.3">
      <c r="A325" s="113"/>
      <c r="B325" s="106" t="s">
        <v>1</v>
      </c>
      <c r="C325" s="117">
        <v>47941</v>
      </c>
      <c r="D325" s="315" t="s">
        <v>802</v>
      </c>
      <c r="E325" s="126" t="s">
        <v>803</v>
      </c>
      <c r="F325" s="106">
        <v>9254</v>
      </c>
      <c r="G325" s="106"/>
      <c r="H325" s="106"/>
      <c r="I325" s="106"/>
      <c r="J325" s="106"/>
      <c r="K325" s="116"/>
      <c r="L325" s="106"/>
      <c r="M325" s="106">
        <f>1170+1800+2700+900+2400+111</f>
        <v>9081</v>
      </c>
      <c r="N325" s="110">
        <f t="shared" ref="N325:N326" si="592">M325-F325</f>
        <v>-173</v>
      </c>
      <c r="O325" s="110"/>
      <c r="P325" s="106"/>
      <c r="Q325" s="106"/>
      <c r="R325" s="106"/>
      <c r="S325" s="106"/>
      <c r="T325" s="110">
        <f t="shared" ref="T325:T326" si="593">S325-Q325</f>
        <v>0</v>
      </c>
      <c r="U325" s="59">
        <f t="shared" si="550"/>
        <v>9081</v>
      </c>
      <c r="V325" s="106"/>
      <c r="W325" s="106"/>
      <c r="X325" s="110">
        <f t="shared" ref="X325:X326" si="594">+W325-M325</f>
        <v>-9081</v>
      </c>
      <c r="Y325" s="110"/>
      <c r="Z325" s="110"/>
      <c r="AA325" s="110"/>
      <c r="AB325" s="106"/>
      <c r="AC325" s="106"/>
      <c r="AD325" s="106"/>
      <c r="AE325" s="100">
        <f t="shared" si="555"/>
        <v>-1.8694618543332611E-2</v>
      </c>
      <c r="AF325" s="90"/>
      <c r="AG325" s="109">
        <f t="shared" si="556"/>
        <v>-173</v>
      </c>
      <c r="AH325" s="100">
        <f t="shared" si="557"/>
        <v>-1</v>
      </c>
      <c r="AI325" s="100">
        <f t="shared" si="558"/>
        <v>-1</v>
      </c>
    </row>
    <row r="326" spans="1:35" s="45" customFormat="1" ht="20.25" customHeight="1" x14ac:dyDescent="0.3">
      <c r="A326" s="113"/>
      <c r="B326" s="106" t="s">
        <v>1</v>
      </c>
      <c r="C326" s="117">
        <v>47941</v>
      </c>
      <c r="D326" s="316"/>
      <c r="E326" s="126" t="s">
        <v>145</v>
      </c>
      <c r="F326" s="106">
        <v>4318</v>
      </c>
      <c r="G326" s="106"/>
      <c r="H326" s="106"/>
      <c r="I326" s="106"/>
      <c r="J326" s="106"/>
      <c r="K326" s="116"/>
      <c r="L326" s="106"/>
      <c r="M326" s="106">
        <f>1500+1500+1356</f>
        <v>4356</v>
      </c>
      <c r="N326" s="110">
        <f t="shared" si="592"/>
        <v>38</v>
      </c>
      <c r="O326" s="110"/>
      <c r="P326" s="106"/>
      <c r="Q326" s="106"/>
      <c r="R326" s="106"/>
      <c r="S326" s="106"/>
      <c r="T326" s="110">
        <f t="shared" si="593"/>
        <v>0</v>
      </c>
      <c r="U326" s="59">
        <f t="shared" si="550"/>
        <v>4356</v>
      </c>
      <c r="V326" s="106"/>
      <c r="W326" s="106"/>
      <c r="X326" s="110">
        <f t="shared" si="594"/>
        <v>-4356</v>
      </c>
      <c r="Y326" s="110"/>
      <c r="Z326" s="110"/>
      <c r="AA326" s="110"/>
      <c r="AB326" s="106"/>
      <c r="AC326" s="106"/>
      <c r="AD326" s="106"/>
      <c r="AE326" s="100">
        <f t="shared" ref="AE326" si="595">N326/F326</f>
        <v>8.8003705419175543E-3</v>
      </c>
      <c r="AF326" s="90"/>
      <c r="AG326" s="109">
        <f t="shared" ref="AG326" si="596">IF(N326&lt;0,N326,0)</f>
        <v>0</v>
      </c>
      <c r="AH326" s="100">
        <f t="shared" ref="AH326" si="597">(S326-F326)/F326</f>
        <v>-1</v>
      </c>
      <c r="AI326" s="100">
        <f t="shared" ref="AI326" si="598">(W326-F326)/F326</f>
        <v>-1</v>
      </c>
    </row>
    <row r="327" spans="1:35" s="43" customFormat="1" ht="16.5" customHeight="1" x14ac:dyDescent="0.3">
      <c r="A327" s="90" t="s">
        <v>46</v>
      </c>
      <c r="B327" s="136" t="s">
        <v>1</v>
      </c>
      <c r="C327" s="137"/>
      <c r="D327" s="136"/>
      <c r="E327" s="90"/>
      <c r="F327" s="136">
        <f>SUM(F325:F326)</f>
        <v>13572</v>
      </c>
      <c r="G327" s="136"/>
      <c r="H327" s="136"/>
      <c r="I327" s="136"/>
      <c r="J327" s="136" t="s">
        <v>58</v>
      </c>
      <c r="K327" s="64" t="s">
        <v>226</v>
      </c>
      <c r="L327" s="136">
        <f>SUM(L325:L326)</f>
        <v>0</v>
      </c>
      <c r="M327" s="136">
        <f>SUM(M325:M326)</f>
        <v>13437</v>
      </c>
      <c r="N327" s="136">
        <f>SUM(N325:N326)</f>
        <v>-135</v>
      </c>
      <c r="O327" s="136"/>
      <c r="P327" s="136">
        <f>SUM(P325:P326)</f>
        <v>0</v>
      </c>
      <c r="Q327" s="136">
        <f>SUM(Q325:Q326)</f>
        <v>0</v>
      </c>
      <c r="R327" s="136">
        <f>SUM(R325:R326)</f>
        <v>0</v>
      </c>
      <c r="S327" s="136">
        <f>SUM(S325:S326)</f>
        <v>0</v>
      </c>
      <c r="T327" s="136">
        <f>SUM(T325:T326)</f>
        <v>0</v>
      </c>
      <c r="U327" s="59">
        <f>IF(Q327&gt;0,S327-W327,M327-W327)</f>
        <v>13437</v>
      </c>
      <c r="V327" s="136">
        <f>SUM(V325:V326)</f>
        <v>0</v>
      </c>
      <c r="W327" s="136">
        <f>SUM(W325:W326)</f>
        <v>0</v>
      </c>
      <c r="X327" s="136">
        <f>SUM(X325:X326)</f>
        <v>-13437</v>
      </c>
      <c r="Y327" s="136"/>
      <c r="Z327" s="136"/>
      <c r="AA327" s="136"/>
      <c r="AB327" s="84"/>
      <c r="AC327" s="136"/>
      <c r="AD327" s="136"/>
      <c r="AE327" s="100">
        <f t="shared" si="555"/>
        <v>-9.9469496021220155E-3</v>
      </c>
      <c r="AF327" s="90"/>
      <c r="AG327" s="109">
        <f t="shared" si="556"/>
        <v>-135</v>
      </c>
      <c r="AH327" s="100">
        <f t="shared" si="557"/>
        <v>-1</v>
      </c>
      <c r="AI327" s="100">
        <f t="shared" si="558"/>
        <v>-1</v>
      </c>
    </row>
    <row r="328" spans="1:35" s="45" customFormat="1" ht="20.25" customHeight="1" x14ac:dyDescent="0.3">
      <c r="A328" s="113"/>
      <c r="B328" s="106" t="s">
        <v>1</v>
      </c>
      <c r="C328" s="117">
        <v>47863</v>
      </c>
      <c r="D328" s="255" t="s">
        <v>781</v>
      </c>
      <c r="E328" s="126" t="s">
        <v>610</v>
      </c>
      <c r="F328" s="106">
        <v>3031</v>
      </c>
      <c r="G328" s="106"/>
      <c r="H328" s="106"/>
      <c r="I328" s="106"/>
      <c r="J328" s="106"/>
      <c r="K328" s="116"/>
      <c r="L328" s="106"/>
      <c r="M328" s="106">
        <f>2842+280</f>
        <v>3122</v>
      </c>
      <c r="N328" s="110">
        <f>M328-F328</f>
        <v>91</v>
      </c>
      <c r="O328" s="110"/>
      <c r="P328" s="106"/>
      <c r="Q328" s="106">
        <f>1400+1414+280+21</f>
        <v>3115</v>
      </c>
      <c r="R328" s="106"/>
      <c r="S328" s="106">
        <v>3115</v>
      </c>
      <c r="T328" s="110">
        <f>S328-Q328</f>
        <v>0</v>
      </c>
      <c r="U328" s="59">
        <f t="shared" si="550"/>
        <v>38</v>
      </c>
      <c r="V328" s="106">
        <v>1665</v>
      </c>
      <c r="W328" s="106">
        <v>3077</v>
      </c>
      <c r="X328" s="110">
        <f>+W328-M328</f>
        <v>-45</v>
      </c>
      <c r="Y328" s="110"/>
      <c r="Z328" s="110"/>
      <c r="AA328" s="110"/>
      <c r="AB328" s="106"/>
      <c r="AC328" s="106"/>
      <c r="AD328" s="106"/>
      <c r="AE328" s="100">
        <f t="shared" ref="AE328:AE346" si="599">N328/F328</f>
        <v>3.0023094688221709E-2</v>
      </c>
      <c r="AF328" s="90"/>
      <c r="AG328" s="109">
        <f t="shared" ref="AG328:AG346" si="600">IF(N328&lt;0,N328,0)</f>
        <v>0</v>
      </c>
      <c r="AH328" s="100">
        <f t="shared" ref="AH328:AH346" si="601">(S328-F328)/F328</f>
        <v>2.771362586605081E-2</v>
      </c>
      <c r="AI328" s="100">
        <f t="shared" ref="AI328:AI346" si="602">(W328-F328)/F328</f>
        <v>1.5176509402837348E-2</v>
      </c>
    </row>
    <row r="329" spans="1:35" s="43" customFormat="1" ht="16.5" customHeight="1" x14ac:dyDescent="0.3">
      <c r="A329" s="90" t="s">
        <v>46</v>
      </c>
      <c r="B329" s="136" t="s">
        <v>1</v>
      </c>
      <c r="C329" s="137"/>
      <c r="D329" s="136"/>
      <c r="E329" s="90"/>
      <c r="F329" s="136">
        <f>SUM(F328:F328)</f>
        <v>3031</v>
      </c>
      <c r="G329" s="136"/>
      <c r="H329" s="136"/>
      <c r="I329" s="136"/>
      <c r="J329" s="136" t="s">
        <v>58</v>
      </c>
      <c r="K329" s="64" t="s">
        <v>210</v>
      </c>
      <c r="L329" s="136">
        <f>SUM(L328:L328)</f>
        <v>0</v>
      </c>
      <c r="M329" s="136">
        <f>SUM(M328:M328)</f>
        <v>3122</v>
      </c>
      <c r="N329" s="136">
        <f>SUM(N328:N328)</f>
        <v>91</v>
      </c>
      <c r="O329" s="136" t="s">
        <v>851</v>
      </c>
      <c r="P329" s="136">
        <f>SUM(P328:P328)</f>
        <v>0</v>
      </c>
      <c r="Q329" s="136">
        <f>SUM(Q328:Q328)</f>
        <v>3115</v>
      </c>
      <c r="R329" s="136">
        <f>SUM(R328:R328)</f>
        <v>0</v>
      </c>
      <c r="S329" s="136">
        <f>SUM(S328:S328)</f>
        <v>3115</v>
      </c>
      <c r="T329" s="136">
        <f>SUM(T328:T328)</f>
        <v>0</v>
      </c>
      <c r="U329" s="59">
        <f t="shared" si="550"/>
        <v>38</v>
      </c>
      <c r="V329" s="136">
        <f>SUM(V328:V328)</f>
        <v>1665</v>
      </c>
      <c r="W329" s="136">
        <f>SUM(W328:W328)</f>
        <v>3077</v>
      </c>
      <c r="X329" s="136">
        <f>SUM(X328:X328)</f>
        <v>-45</v>
      </c>
      <c r="Y329" s="136" t="s">
        <v>47</v>
      </c>
      <c r="Z329" s="136" t="s">
        <v>45</v>
      </c>
      <c r="AA329" s="136"/>
      <c r="AB329" s="84"/>
      <c r="AC329" s="136"/>
      <c r="AD329" s="136"/>
      <c r="AE329" s="100">
        <f t="shared" si="599"/>
        <v>3.0023094688221709E-2</v>
      </c>
      <c r="AF329" s="90"/>
      <c r="AG329" s="109">
        <f t="shared" si="600"/>
        <v>0</v>
      </c>
      <c r="AH329" s="100">
        <f t="shared" si="601"/>
        <v>2.771362586605081E-2</v>
      </c>
      <c r="AI329" s="100">
        <f t="shared" si="602"/>
        <v>1.5176509402837348E-2</v>
      </c>
    </row>
    <row r="330" spans="1:35" s="45" customFormat="1" ht="20.25" customHeight="1" x14ac:dyDescent="0.3">
      <c r="A330" s="113"/>
      <c r="B330" s="106" t="s">
        <v>1</v>
      </c>
      <c r="C330" s="117">
        <v>47834</v>
      </c>
      <c r="D330" s="258" t="s">
        <v>795</v>
      </c>
      <c r="E330" s="126" t="s">
        <v>796</v>
      </c>
      <c r="F330" s="106">
        <v>3110</v>
      </c>
      <c r="G330" s="106"/>
      <c r="H330" s="106"/>
      <c r="I330" s="106"/>
      <c r="J330" s="106"/>
      <c r="K330" s="116"/>
      <c r="L330" s="106"/>
      <c r="M330" s="106"/>
      <c r="N330" s="110">
        <f>M330-F330</f>
        <v>-3110</v>
      </c>
      <c r="O330" s="110"/>
      <c r="P330" s="106"/>
      <c r="Q330" s="106"/>
      <c r="R330" s="106"/>
      <c r="S330" s="106"/>
      <c r="T330" s="110">
        <f>S330-Q330</f>
        <v>0</v>
      </c>
      <c r="U330" s="59">
        <f t="shared" si="550"/>
        <v>0</v>
      </c>
      <c r="V330" s="106"/>
      <c r="W330" s="106"/>
      <c r="X330" s="110">
        <f>+W330-M330</f>
        <v>0</v>
      </c>
      <c r="Y330" s="110"/>
      <c r="Z330" s="110"/>
      <c r="AA330" s="110"/>
      <c r="AB330" s="106"/>
      <c r="AC330" s="106"/>
      <c r="AD330" s="106"/>
      <c r="AE330" s="100">
        <f t="shared" si="599"/>
        <v>-1</v>
      </c>
      <c r="AF330" s="90"/>
      <c r="AG330" s="109">
        <f t="shared" si="600"/>
        <v>-3110</v>
      </c>
      <c r="AH330" s="100">
        <f t="shared" si="601"/>
        <v>-1</v>
      </c>
      <c r="AI330" s="100">
        <f t="shared" si="602"/>
        <v>-1</v>
      </c>
    </row>
    <row r="331" spans="1:35" s="43" customFormat="1" ht="16.5" customHeight="1" x14ac:dyDescent="0.3">
      <c r="A331" s="90" t="s">
        <v>46</v>
      </c>
      <c r="B331" s="136" t="s">
        <v>1</v>
      </c>
      <c r="C331" s="137"/>
      <c r="D331" s="136"/>
      <c r="E331" s="90"/>
      <c r="F331" s="136">
        <f>SUM(F330:F330)</f>
        <v>3110</v>
      </c>
      <c r="G331" s="136"/>
      <c r="H331" s="136"/>
      <c r="I331" s="136"/>
      <c r="J331" s="136"/>
      <c r="K331" s="64" t="s">
        <v>401</v>
      </c>
      <c r="L331" s="136">
        <f>SUM(L330:L330)</f>
        <v>0</v>
      </c>
      <c r="M331" s="136">
        <f>SUM(M330:M330)</f>
        <v>0</v>
      </c>
      <c r="N331" s="136">
        <f>SUM(N330:N330)</f>
        <v>-3110</v>
      </c>
      <c r="O331" s="136"/>
      <c r="P331" s="136">
        <f t="shared" ref="P331:X331" si="603">SUM(P330:P330)</f>
        <v>0</v>
      </c>
      <c r="Q331" s="136">
        <f t="shared" si="603"/>
        <v>0</v>
      </c>
      <c r="R331" s="136">
        <f t="shared" si="603"/>
        <v>0</v>
      </c>
      <c r="S331" s="136">
        <f t="shared" si="603"/>
        <v>0</v>
      </c>
      <c r="T331" s="136">
        <f t="shared" si="603"/>
        <v>0</v>
      </c>
      <c r="U331" s="59">
        <f t="shared" si="603"/>
        <v>0</v>
      </c>
      <c r="V331" s="136">
        <f t="shared" si="603"/>
        <v>0</v>
      </c>
      <c r="W331" s="136">
        <f t="shared" si="603"/>
        <v>0</v>
      </c>
      <c r="X331" s="204">
        <f t="shared" si="603"/>
        <v>0</v>
      </c>
      <c r="Y331" s="136" t="s">
        <v>48</v>
      </c>
      <c r="Z331" s="136" t="s">
        <v>45</v>
      </c>
      <c r="AA331" s="136"/>
      <c r="AB331" s="84"/>
      <c r="AC331" s="136"/>
      <c r="AD331" s="136"/>
      <c r="AE331" s="100">
        <f t="shared" si="599"/>
        <v>-1</v>
      </c>
      <c r="AF331" s="90"/>
      <c r="AG331" s="109">
        <f t="shared" si="600"/>
        <v>-3110</v>
      </c>
      <c r="AH331" s="100">
        <f t="shared" si="601"/>
        <v>-1</v>
      </c>
      <c r="AI331" s="100">
        <f t="shared" si="602"/>
        <v>-1</v>
      </c>
    </row>
    <row r="332" spans="1:35" s="45" customFormat="1" ht="20.25" customHeight="1" x14ac:dyDescent="0.3">
      <c r="A332" s="113"/>
      <c r="B332" s="106" t="s">
        <v>1</v>
      </c>
      <c r="C332" s="117">
        <v>48142</v>
      </c>
      <c r="D332" s="315" t="s">
        <v>901</v>
      </c>
      <c r="E332" s="126" t="s">
        <v>0</v>
      </c>
      <c r="F332" s="106">
        <v>2513</v>
      </c>
      <c r="G332" s="106"/>
      <c r="H332" s="106"/>
      <c r="I332" s="106"/>
      <c r="J332" s="106"/>
      <c r="K332" s="116"/>
      <c r="L332" s="106"/>
      <c r="M332" s="106"/>
      <c r="N332" s="110">
        <f t="shared" ref="N332:N334" si="604">M332-F332</f>
        <v>-2513</v>
      </c>
      <c r="O332" s="110"/>
      <c r="P332" s="106"/>
      <c r="Q332" s="106"/>
      <c r="R332" s="106"/>
      <c r="S332" s="106"/>
      <c r="T332" s="110">
        <f t="shared" ref="T332:T334" si="605">S332-Q332</f>
        <v>0</v>
      </c>
      <c r="U332" s="59">
        <f t="shared" ref="U332:U342" si="606">IF(Q332&gt;0,S332-W332,M332-W332)</f>
        <v>0</v>
      </c>
      <c r="V332" s="106"/>
      <c r="W332" s="106"/>
      <c r="X332" s="110">
        <f t="shared" ref="X332:X334" si="607">+W332-M332</f>
        <v>0</v>
      </c>
      <c r="Y332" s="110"/>
      <c r="Z332" s="110"/>
      <c r="AA332" s="110"/>
      <c r="AB332" s="106"/>
      <c r="AC332" s="106"/>
      <c r="AD332" s="106"/>
      <c r="AE332" s="100">
        <f t="shared" ref="AE332:AE342" si="608">N332/F332</f>
        <v>-1</v>
      </c>
      <c r="AF332" s="90"/>
      <c r="AG332" s="109">
        <f t="shared" ref="AG332:AG342" si="609">IF(N332&lt;0,N332,0)</f>
        <v>-2513</v>
      </c>
      <c r="AH332" s="100">
        <f t="shared" ref="AH332:AH342" si="610">(S332-F332)/F332</f>
        <v>-1</v>
      </c>
      <c r="AI332" s="100">
        <f t="shared" ref="AI332:AI342" si="611">(W332-F332)/F332</f>
        <v>-1</v>
      </c>
    </row>
    <row r="333" spans="1:35" s="45" customFormat="1" ht="20.25" customHeight="1" x14ac:dyDescent="0.3">
      <c r="A333" s="113"/>
      <c r="B333" s="106" t="s">
        <v>1</v>
      </c>
      <c r="C333" s="117">
        <v>48142</v>
      </c>
      <c r="D333" s="316"/>
      <c r="E333" s="126" t="s">
        <v>98</v>
      </c>
      <c r="F333" s="106">
        <v>1413</v>
      </c>
      <c r="G333" s="106"/>
      <c r="H333" s="106"/>
      <c r="I333" s="106"/>
      <c r="J333" s="106"/>
      <c r="K333" s="116"/>
      <c r="L333" s="106"/>
      <c r="M333" s="106"/>
      <c r="N333" s="110">
        <f t="shared" si="604"/>
        <v>-1413</v>
      </c>
      <c r="O333" s="110"/>
      <c r="P333" s="106"/>
      <c r="Q333" s="106"/>
      <c r="R333" s="106"/>
      <c r="S333" s="106"/>
      <c r="T333" s="110">
        <f t="shared" si="605"/>
        <v>0</v>
      </c>
      <c r="U333" s="59">
        <f t="shared" si="606"/>
        <v>0</v>
      </c>
      <c r="V333" s="106"/>
      <c r="W333" s="106"/>
      <c r="X333" s="110">
        <f t="shared" si="607"/>
        <v>0</v>
      </c>
      <c r="Y333" s="110"/>
      <c r="Z333" s="110"/>
      <c r="AA333" s="110"/>
      <c r="AB333" s="106"/>
      <c r="AC333" s="106"/>
      <c r="AD333" s="106"/>
      <c r="AE333" s="100">
        <f t="shared" si="608"/>
        <v>-1</v>
      </c>
      <c r="AF333" s="90"/>
      <c r="AG333" s="109">
        <f t="shared" si="609"/>
        <v>-1413</v>
      </c>
      <c r="AH333" s="100">
        <f t="shared" si="610"/>
        <v>-1</v>
      </c>
      <c r="AI333" s="100">
        <f t="shared" si="611"/>
        <v>-1</v>
      </c>
    </row>
    <row r="334" spans="1:35" s="45" customFormat="1" ht="20.25" customHeight="1" x14ac:dyDescent="0.3">
      <c r="A334" s="113"/>
      <c r="B334" s="106" t="s">
        <v>1</v>
      </c>
      <c r="C334" s="117">
        <v>48142</v>
      </c>
      <c r="D334" s="316"/>
      <c r="E334" s="126" t="s">
        <v>41</v>
      </c>
      <c r="F334" s="106">
        <v>1413</v>
      </c>
      <c r="G334" s="106"/>
      <c r="H334" s="106"/>
      <c r="I334" s="106"/>
      <c r="J334" s="106"/>
      <c r="K334" s="116"/>
      <c r="L334" s="106"/>
      <c r="M334" s="106"/>
      <c r="N334" s="110">
        <f t="shared" si="604"/>
        <v>-1413</v>
      </c>
      <c r="O334" s="110"/>
      <c r="P334" s="106"/>
      <c r="Q334" s="106"/>
      <c r="R334" s="106"/>
      <c r="S334" s="106"/>
      <c r="T334" s="110">
        <f t="shared" si="605"/>
        <v>0</v>
      </c>
      <c r="U334" s="59">
        <f t="shared" si="606"/>
        <v>0</v>
      </c>
      <c r="V334" s="106"/>
      <c r="W334" s="106"/>
      <c r="X334" s="110">
        <f t="shared" si="607"/>
        <v>0</v>
      </c>
      <c r="Y334" s="110"/>
      <c r="Z334" s="110"/>
      <c r="AA334" s="110"/>
      <c r="AB334" s="106"/>
      <c r="AC334" s="106"/>
      <c r="AD334" s="106"/>
      <c r="AE334" s="100">
        <f t="shared" si="608"/>
        <v>-1</v>
      </c>
      <c r="AF334" s="90"/>
      <c r="AG334" s="109">
        <f t="shared" si="609"/>
        <v>-1413</v>
      </c>
      <c r="AH334" s="100">
        <f t="shared" si="610"/>
        <v>-1</v>
      </c>
      <c r="AI334" s="100">
        <f t="shared" si="611"/>
        <v>-1</v>
      </c>
    </row>
    <row r="335" spans="1:35" s="43" customFormat="1" ht="16.5" customHeight="1" x14ac:dyDescent="0.3">
      <c r="A335" s="90" t="s">
        <v>46</v>
      </c>
      <c r="B335" s="136" t="s">
        <v>1</v>
      </c>
      <c r="C335" s="137"/>
      <c r="D335" s="136"/>
      <c r="E335" s="90"/>
      <c r="F335" s="136">
        <f>SUM(F332:F334)</f>
        <v>5339</v>
      </c>
      <c r="G335" s="136"/>
      <c r="H335" s="136"/>
      <c r="I335" s="136"/>
      <c r="J335" s="136"/>
      <c r="K335" s="64" t="s">
        <v>897</v>
      </c>
      <c r="L335" s="136">
        <f>SUM(L332:L334)</f>
        <v>0</v>
      </c>
      <c r="M335" s="136">
        <f>SUM(M332:M334)</f>
        <v>0</v>
      </c>
      <c r="N335" s="136">
        <f>SUM(N332:N334)</f>
        <v>-5339</v>
      </c>
      <c r="O335" s="136"/>
      <c r="P335" s="136">
        <f>SUM(P332:P334)</f>
        <v>0</v>
      </c>
      <c r="Q335" s="136">
        <f>SUM(Q332:Q334)</f>
        <v>0</v>
      </c>
      <c r="R335" s="136">
        <f>SUM(R332:R334)</f>
        <v>0</v>
      </c>
      <c r="S335" s="136">
        <f>SUM(S332:S334)</f>
        <v>0</v>
      </c>
      <c r="T335" s="136">
        <f>SUM(T332:T334)</f>
        <v>0</v>
      </c>
      <c r="U335" s="59">
        <f t="shared" si="606"/>
        <v>0</v>
      </c>
      <c r="V335" s="136">
        <f>SUM(V332:V334)</f>
        <v>0</v>
      </c>
      <c r="W335" s="136">
        <f>SUM(W332:W334)</f>
        <v>0</v>
      </c>
      <c r="X335" s="136">
        <f>SUM(X332:X334)</f>
        <v>0</v>
      </c>
      <c r="Y335" s="136"/>
      <c r="Z335" s="136"/>
      <c r="AA335" s="136"/>
      <c r="AB335" s="84"/>
      <c r="AC335" s="136"/>
      <c r="AD335" s="136"/>
      <c r="AE335" s="100">
        <f t="shared" si="608"/>
        <v>-1</v>
      </c>
      <c r="AF335" s="90"/>
      <c r="AG335" s="109">
        <f t="shared" si="609"/>
        <v>-5339</v>
      </c>
      <c r="AH335" s="100">
        <f t="shared" si="610"/>
        <v>-1</v>
      </c>
      <c r="AI335" s="100">
        <f t="shared" si="611"/>
        <v>-1</v>
      </c>
    </row>
    <row r="336" spans="1:35" s="45" customFormat="1" ht="20.25" customHeight="1" x14ac:dyDescent="0.3">
      <c r="A336" s="113"/>
      <c r="B336" s="106" t="s">
        <v>1</v>
      </c>
      <c r="C336" s="117">
        <v>48143</v>
      </c>
      <c r="D336" s="315" t="s">
        <v>899</v>
      </c>
      <c r="E336" s="126" t="s">
        <v>0</v>
      </c>
      <c r="F336" s="106">
        <v>2913</v>
      </c>
      <c r="G336" s="106"/>
      <c r="H336" s="106"/>
      <c r="I336" s="106"/>
      <c r="J336" s="106"/>
      <c r="K336" s="116"/>
      <c r="L336" s="106"/>
      <c r="M336" s="106"/>
      <c r="N336" s="110">
        <f t="shared" ref="N336:N338" si="612">M336-F336</f>
        <v>-2913</v>
      </c>
      <c r="O336" s="110"/>
      <c r="P336" s="106"/>
      <c r="Q336" s="106"/>
      <c r="R336" s="106"/>
      <c r="S336" s="106"/>
      <c r="T336" s="110">
        <f t="shared" ref="T336:T338" si="613">S336-Q336</f>
        <v>0</v>
      </c>
      <c r="U336" s="59">
        <f t="shared" si="606"/>
        <v>0</v>
      </c>
      <c r="V336" s="106"/>
      <c r="W336" s="106"/>
      <c r="X336" s="110">
        <f t="shared" ref="X336:X338" si="614">+W336-M336</f>
        <v>0</v>
      </c>
      <c r="Y336" s="110"/>
      <c r="Z336" s="110"/>
      <c r="AA336" s="110"/>
      <c r="AB336" s="106"/>
      <c r="AC336" s="106"/>
      <c r="AD336" s="106"/>
      <c r="AE336" s="100">
        <f t="shared" si="608"/>
        <v>-1</v>
      </c>
      <c r="AF336" s="90"/>
      <c r="AG336" s="109">
        <f t="shared" si="609"/>
        <v>-2913</v>
      </c>
      <c r="AH336" s="100">
        <f t="shared" si="610"/>
        <v>-1</v>
      </c>
      <c r="AI336" s="100">
        <f t="shared" si="611"/>
        <v>-1</v>
      </c>
    </row>
    <row r="337" spans="1:35" s="45" customFormat="1" ht="20.25" customHeight="1" x14ac:dyDescent="0.3">
      <c r="A337" s="113"/>
      <c r="B337" s="106" t="s">
        <v>1</v>
      </c>
      <c r="C337" s="117">
        <v>48143</v>
      </c>
      <c r="D337" s="316"/>
      <c r="E337" s="126" t="s">
        <v>98</v>
      </c>
      <c r="F337" s="106">
        <v>2413</v>
      </c>
      <c r="G337" s="106"/>
      <c r="H337" s="106"/>
      <c r="I337" s="106"/>
      <c r="J337" s="106"/>
      <c r="K337" s="116"/>
      <c r="L337" s="106"/>
      <c r="M337" s="106"/>
      <c r="N337" s="110">
        <f t="shared" si="612"/>
        <v>-2413</v>
      </c>
      <c r="O337" s="110"/>
      <c r="P337" s="106"/>
      <c r="Q337" s="106"/>
      <c r="R337" s="106"/>
      <c r="S337" s="106"/>
      <c r="T337" s="110">
        <f t="shared" si="613"/>
        <v>0</v>
      </c>
      <c r="U337" s="59">
        <f t="shared" si="606"/>
        <v>0</v>
      </c>
      <c r="V337" s="106"/>
      <c r="W337" s="106"/>
      <c r="X337" s="110">
        <f t="shared" si="614"/>
        <v>0</v>
      </c>
      <c r="Y337" s="110"/>
      <c r="Z337" s="110"/>
      <c r="AA337" s="110"/>
      <c r="AB337" s="106"/>
      <c r="AC337" s="106"/>
      <c r="AD337" s="106"/>
      <c r="AE337" s="100">
        <f t="shared" si="608"/>
        <v>-1</v>
      </c>
      <c r="AF337" s="90"/>
      <c r="AG337" s="109">
        <f t="shared" si="609"/>
        <v>-2413</v>
      </c>
      <c r="AH337" s="100">
        <f t="shared" si="610"/>
        <v>-1</v>
      </c>
      <c r="AI337" s="100">
        <f t="shared" si="611"/>
        <v>-1</v>
      </c>
    </row>
    <row r="338" spans="1:35" s="45" customFormat="1" ht="20.25" customHeight="1" x14ac:dyDescent="0.3">
      <c r="A338" s="113"/>
      <c r="B338" s="106" t="s">
        <v>1</v>
      </c>
      <c r="C338" s="117">
        <v>48143</v>
      </c>
      <c r="D338" s="316"/>
      <c r="E338" s="126" t="s">
        <v>900</v>
      </c>
      <c r="F338" s="106">
        <v>1613</v>
      </c>
      <c r="G338" s="106"/>
      <c r="H338" s="106"/>
      <c r="I338" s="106"/>
      <c r="J338" s="106"/>
      <c r="K338" s="116"/>
      <c r="L338" s="106"/>
      <c r="M338" s="106"/>
      <c r="N338" s="110">
        <f t="shared" si="612"/>
        <v>-1613</v>
      </c>
      <c r="O338" s="110"/>
      <c r="P338" s="106"/>
      <c r="Q338" s="106"/>
      <c r="R338" s="106"/>
      <c r="S338" s="106"/>
      <c r="T338" s="110">
        <f t="shared" si="613"/>
        <v>0</v>
      </c>
      <c r="U338" s="59">
        <f t="shared" si="606"/>
        <v>0</v>
      </c>
      <c r="V338" s="106"/>
      <c r="W338" s="106"/>
      <c r="X338" s="110">
        <f t="shared" si="614"/>
        <v>0</v>
      </c>
      <c r="Y338" s="110"/>
      <c r="Z338" s="110"/>
      <c r="AA338" s="110"/>
      <c r="AB338" s="106"/>
      <c r="AC338" s="106"/>
      <c r="AD338" s="106"/>
      <c r="AE338" s="100">
        <f t="shared" si="608"/>
        <v>-1</v>
      </c>
      <c r="AF338" s="90"/>
      <c r="AG338" s="109">
        <f t="shared" si="609"/>
        <v>-1613</v>
      </c>
      <c r="AH338" s="100">
        <f t="shared" si="610"/>
        <v>-1</v>
      </c>
      <c r="AI338" s="100">
        <f t="shared" si="611"/>
        <v>-1</v>
      </c>
    </row>
    <row r="339" spans="1:35" s="43" customFormat="1" ht="16.5" customHeight="1" x14ac:dyDescent="0.3">
      <c r="A339" s="90" t="s">
        <v>46</v>
      </c>
      <c r="B339" s="136" t="s">
        <v>1</v>
      </c>
      <c r="C339" s="137"/>
      <c r="D339" s="136"/>
      <c r="E339" s="90"/>
      <c r="F339" s="136">
        <f>SUM(F336:F338)</f>
        <v>6939</v>
      </c>
      <c r="G339" s="136"/>
      <c r="H339" s="136"/>
      <c r="I339" s="136"/>
      <c r="J339" s="136"/>
      <c r="K339" s="64" t="s">
        <v>897</v>
      </c>
      <c r="L339" s="136">
        <f>SUM(L336:L338)</f>
        <v>0</v>
      </c>
      <c r="M339" s="136">
        <f>SUM(M336:M338)</f>
        <v>0</v>
      </c>
      <c r="N339" s="136">
        <f>SUM(N336:N338)</f>
        <v>-6939</v>
      </c>
      <c r="O339" s="136"/>
      <c r="P339" s="136">
        <f>SUM(P336:P338)</f>
        <v>0</v>
      </c>
      <c r="Q339" s="136">
        <f>SUM(Q336:Q338)</f>
        <v>0</v>
      </c>
      <c r="R339" s="136">
        <f>SUM(R336:R338)</f>
        <v>0</v>
      </c>
      <c r="S339" s="136">
        <f>SUM(S336:S338)</f>
        <v>0</v>
      </c>
      <c r="T339" s="136">
        <f>SUM(T336:T338)</f>
        <v>0</v>
      </c>
      <c r="U339" s="59">
        <f t="shared" si="606"/>
        <v>0</v>
      </c>
      <c r="V339" s="136">
        <f>SUM(V336:V338)</f>
        <v>0</v>
      </c>
      <c r="W339" s="136">
        <f>SUM(W336:W338)</f>
        <v>0</v>
      </c>
      <c r="X339" s="136">
        <f>SUM(X336:X338)</f>
        <v>0</v>
      </c>
      <c r="Y339" s="136"/>
      <c r="Z339" s="136"/>
      <c r="AA339" s="136"/>
      <c r="AB339" s="84"/>
      <c r="AC339" s="136"/>
      <c r="AD339" s="136"/>
      <c r="AE339" s="100">
        <f t="shared" si="608"/>
        <v>-1</v>
      </c>
      <c r="AF339" s="90"/>
      <c r="AG339" s="109">
        <f t="shared" si="609"/>
        <v>-6939</v>
      </c>
      <c r="AH339" s="100">
        <f t="shared" si="610"/>
        <v>-1</v>
      </c>
      <c r="AI339" s="100">
        <f t="shared" si="611"/>
        <v>-1</v>
      </c>
    </row>
    <row r="340" spans="1:35" s="45" customFormat="1" ht="20.25" customHeight="1" x14ac:dyDescent="0.3">
      <c r="A340" s="113"/>
      <c r="B340" s="106" t="s">
        <v>1</v>
      </c>
      <c r="C340" s="117">
        <v>48246</v>
      </c>
      <c r="D340" s="315" t="s">
        <v>903</v>
      </c>
      <c r="E340" s="126" t="s">
        <v>904</v>
      </c>
      <c r="F340" s="106">
        <v>1513</v>
      </c>
      <c r="G340" s="106"/>
      <c r="H340" s="106"/>
      <c r="I340" s="106"/>
      <c r="J340" s="106"/>
      <c r="K340" s="116"/>
      <c r="L340" s="106"/>
      <c r="M340" s="106"/>
      <c r="N340" s="110">
        <f t="shared" ref="N340:N341" si="615">M340-F340</f>
        <v>-1513</v>
      </c>
      <c r="O340" s="110"/>
      <c r="P340" s="106"/>
      <c r="Q340" s="106"/>
      <c r="R340" s="106"/>
      <c r="S340" s="106"/>
      <c r="T340" s="110">
        <f t="shared" ref="T340:T341" si="616">S340-Q340</f>
        <v>0</v>
      </c>
      <c r="U340" s="59">
        <f t="shared" si="606"/>
        <v>0</v>
      </c>
      <c r="V340" s="106"/>
      <c r="W340" s="106"/>
      <c r="X340" s="110">
        <f t="shared" ref="X340:X341" si="617">+W340-M340</f>
        <v>0</v>
      </c>
      <c r="Y340" s="110"/>
      <c r="Z340" s="110"/>
      <c r="AA340" s="110"/>
      <c r="AB340" s="106"/>
      <c r="AC340" s="106"/>
      <c r="AD340" s="106"/>
      <c r="AE340" s="100">
        <f t="shared" si="608"/>
        <v>-1</v>
      </c>
      <c r="AF340" s="90"/>
      <c r="AG340" s="109">
        <f t="shared" si="609"/>
        <v>-1513</v>
      </c>
      <c r="AH340" s="100">
        <f t="shared" si="610"/>
        <v>-1</v>
      </c>
      <c r="AI340" s="100">
        <f t="shared" si="611"/>
        <v>-1</v>
      </c>
    </row>
    <row r="341" spans="1:35" s="45" customFormat="1" ht="20.25" customHeight="1" x14ac:dyDescent="0.3">
      <c r="A341" s="113"/>
      <c r="B341" s="106" t="s">
        <v>1</v>
      </c>
      <c r="C341" s="117">
        <v>48246</v>
      </c>
      <c r="D341" s="316"/>
      <c r="E341" s="126" t="s">
        <v>905</v>
      </c>
      <c r="F341" s="106">
        <v>1513</v>
      </c>
      <c r="G341" s="106"/>
      <c r="H341" s="106"/>
      <c r="I341" s="106"/>
      <c r="J341" s="106"/>
      <c r="K341" s="116"/>
      <c r="L341" s="106"/>
      <c r="M341" s="106"/>
      <c r="N341" s="110">
        <f t="shared" si="615"/>
        <v>-1513</v>
      </c>
      <c r="O341" s="110"/>
      <c r="P341" s="106"/>
      <c r="Q341" s="106"/>
      <c r="R341" s="106"/>
      <c r="S341" s="106"/>
      <c r="T341" s="110">
        <f t="shared" si="616"/>
        <v>0</v>
      </c>
      <c r="U341" s="59">
        <f t="shared" si="606"/>
        <v>0</v>
      </c>
      <c r="V341" s="106"/>
      <c r="W341" s="106"/>
      <c r="X341" s="110">
        <f t="shared" si="617"/>
        <v>0</v>
      </c>
      <c r="Y341" s="110"/>
      <c r="Z341" s="110"/>
      <c r="AA341" s="110"/>
      <c r="AB341" s="106"/>
      <c r="AC341" s="106"/>
      <c r="AD341" s="106"/>
      <c r="AE341" s="100">
        <f t="shared" si="608"/>
        <v>-1</v>
      </c>
      <c r="AF341" s="90"/>
      <c r="AG341" s="109">
        <f t="shared" si="609"/>
        <v>-1513</v>
      </c>
      <c r="AH341" s="100">
        <f t="shared" si="610"/>
        <v>-1</v>
      </c>
      <c r="AI341" s="100">
        <f t="shared" si="611"/>
        <v>-1</v>
      </c>
    </row>
    <row r="342" spans="1:35" s="43" customFormat="1" ht="16.5" customHeight="1" x14ac:dyDescent="0.3">
      <c r="A342" s="90" t="s">
        <v>46</v>
      </c>
      <c r="B342" s="136" t="s">
        <v>1</v>
      </c>
      <c r="C342" s="137"/>
      <c r="D342" s="136"/>
      <c r="E342" s="90"/>
      <c r="F342" s="136">
        <f>SUM(F340:F341)</f>
        <v>3026</v>
      </c>
      <c r="G342" s="136"/>
      <c r="H342" s="136"/>
      <c r="I342" s="136"/>
      <c r="J342" s="136"/>
      <c r="K342" s="64" t="s">
        <v>902</v>
      </c>
      <c r="L342" s="136">
        <f>SUM(L340:L341)</f>
        <v>0</v>
      </c>
      <c r="M342" s="136">
        <f>SUM(M340:M341)</f>
        <v>0</v>
      </c>
      <c r="N342" s="136">
        <f>SUM(N340:N341)</f>
        <v>-3026</v>
      </c>
      <c r="O342" s="136"/>
      <c r="P342" s="136">
        <f>SUM(P340:P341)</f>
        <v>0</v>
      </c>
      <c r="Q342" s="136">
        <f>SUM(Q340:Q341)</f>
        <v>0</v>
      </c>
      <c r="R342" s="136">
        <f>SUM(R340:R341)</f>
        <v>0</v>
      </c>
      <c r="S342" s="136">
        <f>SUM(S340:S341)</f>
        <v>0</v>
      </c>
      <c r="T342" s="136">
        <f>SUM(T340:T341)</f>
        <v>0</v>
      </c>
      <c r="U342" s="59">
        <f t="shared" si="606"/>
        <v>0</v>
      </c>
      <c r="V342" s="136">
        <f>SUM(V340:V341)</f>
        <v>0</v>
      </c>
      <c r="W342" s="136">
        <f>SUM(W340:W341)</f>
        <v>0</v>
      </c>
      <c r="X342" s="136">
        <f>SUM(X340:X341)</f>
        <v>0</v>
      </c>
      <c r="Y342" s="136"/>
      <c r="Z342" s="136"/>
      <c r="AA342" s="136"/>
      <c r="AB342" s="84"/>
      <c r="AC342" s="136"/>
      <c r="AD342" s="136"/>
      <c r="AE342" s="100">
        <f t="shared" si="608"/>
        <v>-1</v>
      </c>
      <c r="AF342" s="90"/>
      <c r="AG342" s="109">
        <f t="shared" si="609"/>
        <v>-3026</v>
      </c>
      <c r="AH342" s="100">
        <f t="shared" si="610"/>
        <v>-1</v>
      </c>
      <c r="AI342" s="100">
        <f t="shared" si="611"/>
        <v>-1</v>
      </c>
    </row>
    <row r="343" spans="1:35" s="45" customFormat="1" ht="20.25" customHeight="1" x14ac:dyDescent="0.3">
      <c r="A343" s="113"/>
      <c r="B343" s="106" t="s">
        <v>1</v>
      </c>
      <c r="C343" s="117">
        <v>47943</v>
      </c>
      <c r="D343" s="315" t="s">
        <v>913</v>
      </c>
      <c r="E343" s="126" t="s">
        <v>41</v>
      </c>
      <c r="F343" s="106">
        <v>6445</v>
      </c>
      <c r="G343" s="106"/>
      <c r="H343" s="106"/>
      <c r="I343" s="106"/>
      <c r="J343" s="106"/>
      <c r="K343" s="116"/>
      <c r="L343" s="106"/>
      <c r="M343" s="106"/>
      <c r="N343" s="110">
        <f t="shared" ref="N343:N345" si="618">M343-F343</f>
        <v>-6445</v>
      </c>
      <c r="O343" s="110"/>
      <c r="P343" s="106"/>
      <c r="Q343" s="106"/>
      <c r="R343" s="106"/>
      <c r="S343" s="106"/>
      <c r="T343" s="110">
        <f t="shared" ref="T343:T345" si="619">S343-Q343</f>
        <v>0</v>
      </c>
      <c r="U343" s="59">
        <f t="shared" ref="U343:U346" si="620">IF(Q343&gt;0,S343-W343,M343-W343)</f>
        <v>0</v>
      </c>
      <c r="V343" s="106"/>
      <c r="W343" s="106"/>
      <c r="X343" s="110">
        <f t="shared" ref="X343:X345" si="621">+W343-M343</f>
        <v>0</v>
      </c>
      <c r="Y343" s="110"/>
      <c r="Z343" s="110"/>
      <c r="AA343" s="110"/>
      <c r="AB343" s="106"/>
      <c r="AC343" s="106"/>
      <c r="AD343" s="106"/>
      <c r="AE343" s="100">
        <f t="shared" si="599"/>
        <v>-1</v>
      </c>
      <c r="AF343" s="90"/>
      <c r="AG343" s="109">
        <f t="shared" si="600"/>
        <v>-6445</v>
      </c>
      <c r="AH343" s="100">
        <f t="shared" si="601"/>
        <v>-1</v>
      </c>
      <c r="AI343" s="100">
        <f t="shared" si="602"/>
        <v>-1</v>
      </c>
    </row>
    <row r="344" spans="1:35" s="45" customFormat="1" ht="20.25" customHeight="1" x14ac:dyDescent="0.3">
      <c r="A344" s="113"/>
      <c r="B344" s="106" t="s">
        <v>1</v>
      </c>
      <c r="C344" s="117">
        <v>47943</v>
      </c>
      <c r="D344" s="316"/>
      <c r="E344" s="126" t="s">
        <v>914</v>
      </c>
      <c r="F344" s="106">
        <v>3510</v>
      </c>
      <c r="G344" s="106"/>
      <c r="H344" s="106"/>
      <c r="I344" s="106"/>
      <c r="J344" s="106"/>
      <c r="K344" s="116"/>
      <c r="L344" s="106"/>
      <c r="M344" s="106"/>
      <c r="N344" s="110">
        <f t="shared" ref="N344" si="622">M344-F344</f>
        <v>-3510</v>
      </c>
      <c r="O344" s="110"/>
      <c r="P344" s="106"/>
      <c r="Q344" s="106"/>
      <c r="R344" s="106"/>
      <c r="S344" s="106"/>
      <c r="T344" s="110">
        <f t="shared" ref="T344" si="623">S344-Q344</f>
        <v>0</v>
      </c>
      <c r="U344" s="59">
        <f t="shared" ref="U344" si="624">IF(Q344&gt;0,S344-W344,M344-W344)</f>
        <v>0</v>
      </c>
      <c r="V344" s="106"/>
      <c r="W344" s="106"/>
      <c r="X344" s="110">
        <f t="shared" ref="X344" si="625">+W344-M344</f>
        <v>0</v>
      </c>
      <c r="Y344" s="110"/>
      <c r="Z344" s="110"/>
      <c r="AA344" s="110"/>
      <c r="AB344" s="106"/>
      <c r="AC344" s="106"/>
      <c r="AD344" s="106"/>
      <c r="AE344" s="100">
        <f t="shared" ref="AE344" si="626">N344/F344</f>
        <v>-1</v>
      </c>
      <c r="AF344" s="90"/>
      <c r="AG344" s="109">
        <f t="shared" ref="AG344" si="627">IF(N344&lt;0,N344,0)</f>
        <v>-3510</v>
      </c>
      <c r="AH344" s="100">
        <f t="shared" ref="AH344" si="628">(S344-F344)/F344</f>
        <v>-1</v>
      </c>
      <c r="AI344" s="100">
        <f t="shared" ref="AI344" si="629">(W344-F344)/F344</f>
        <v>-1</v>
      </c>
    </row>
    <row r="345" spans="1:35" s="45" customFormat="1" ht="20.25" customHeight="1" x14ac:dyDescent="0.3">
      <c r="A345" s="113"/>
      <c r="B345" s="106" t="s">
        <v>1</v>
      </c>
      <c r="C345" s="117">
        <v>47943</v>
      </c>
      <c r="D345" s="316"/>
      <c r="E345" s="126" t="s">
        <v>915</v>
      </c>
      <c r="F345" s="106">
        <v>2704</v>
      </c>
      <c r="G345" s="106"/>
      <c r="H345" s="106"/>
      <c r="I345" s="106"/>
      <c r="J345" s="106"/>
      <c r="K345" s="116"/>
      <c r="L345" s="106"/>
      <c r="M345" s="106"/>
      <c r="N345" s="110">
        <f t="shared" si="618"/>
        <v>-2704</v>
      </c>
      <c r="O345" s="110"/>
      <c r="P345" s="106"/>
      <c r="Q345" s="106"/>
      <c r="R345" s="106"/>
      <c r="S345" s="106"/>
      <c r="T345" s="110">
        <f t="shared" si="619"/>
        <v>0</v>
      </c>
      <c r="U345" s="59">
        <f t="shared" si="620"/>
        <v>0</v>
      </c>
      <c r="V345" s="106"/>
      <c r="W345" s="106"/>
      <c r="X345" s="110">
        <f t="shared" si="621"/>
        <v>0</v>
      </c>
      <c r="Y345" s="110"/>
      <c r="Z345" s="110"/>
      <c r="AA345" s="110"/>
      <c r="AB345" s="106"/>
      <c r="AC345" s="106"/>
      <c r="AD345" s="106"/>
      <c r="AE345" s="100">
        <f t="shared" si="599"/>
        <v>-1</v>
      </c>
      <c r="AF345" s="90"/>
      <c r="AG345" s="109">
        <f t="shared" si="600"/>
        <v>-2704</v>
      </c>
      <c r="AH345" s="100">
        <f t="shared" si="601"/>
        <v>-1</v>
      </c>
      <c r="AI345" s="100">
        <f t="shared" si="602"/>
        <v>-1</v>
      </c>
    </row>
    <row r="346" spans="1:35" s="43" customFormat="1" ht="16.5" customHeight="1" x14ac:dyDescent="0.3">
      <c r="A346" s="90" t="s">
        <v>46</v>
      </c>
      <c r="B346" s="136" t="s">
        <v>1</v>
      </c>
      <c r="C346" s="137"/>
      <c r="D346" s="136"/>
      <c r="E346" s="90"/>
      <c r="F346" s="136">
        <f>SUM(F343:F345)</f>
        <v>12659</v>
      </c>
      <c r="G346" s="136"/>
      <c r="H346" s="136"/>
      <c r="I346" s="136"/>
      <c r="J346" s="136"/>
      <c r="K346" s="64" t="s">
        <v>226</v>
      </c>
      <c r="L346" s="136">
        <f>SUM(L343:L345)</f>
        <v>0</v>
      </c>
      <c r="M346" s="136">
        <f>SUM(M343:M345)</f>
        <v>0</v>
      </c>
      <c r="N346" s="136">
        <f>SUM(N343:N345)</f>
        <v>-12659</v>
      </c>
      <c r="O346" s="136"/>
      <c r="P346" s="136">
        <f>SUM(P343:P345)</f>
        <v>0</v>
      </c>
      <c r="Q346" s="136">
        <f>SUM(Q343:Q345)</f>
        <v>0</v>
      </c>
      <c r="R346" s="136">
        <f>SUM(R343:R345)</f>
        <v>0</v>
      </c>
      <c r="S346" s="136">
        <f>SUM(S343:S345)</f>
        <v>0</v>
      </c>
      <c r="T346" s="136">
        <f>SUM(T343:T345)</f>
        <v>0</v>
      </c>
      <c r="U346" s="59">
        <f t="shared" si="620"/>
        <v>0</v>
      </c>
      <c r="V346" s="136">
        <f>SUM(V343:V345)</f>
        <v>0</v>
      </c>
      <c r="W346" s="136">
        <f>SUM(W343:W345)</f>
        <v>0</v>
      </c>
      <c r="X346" s="136">
        <f>SUM(X343:X345)</f>
        <v>0</v>
      </c>
      <c r="Y346" s="136"/>
      <c r="Z346" s="136"/>
      <c r="AA346" s="136"/>
      <c r="AB346" s="84"/>
      <c r="AC346" s="136"/>
      <c r="AD346" s="136"/>
      <c r="AE346" s="100">
        <f t="shared" si="599"/>
        <v>-1</v>
      </c>
      <c r="AF346" s="90"/>
      <c r="AG346" s="109">
        <f t="shared" si="600"/>
        <v>-12659</v>
      </c>
      <c r="AH346" s="100">
        <f t="shared" si="601"/>
        <v>-1</v>
      </c>
      <c r="AI346" s="100">
        <f t="shared" si="602"/>
        <v>-1</v>
      </c>
    </row>
    <row r="347" spans="1:35" s="45" customFormat="1" ht="20.25" customHeight="1" x14ac:dyDescent="0.3">
      <c r="A347" s="113"/>
      <c r="B347" s="106" t="s">
        <v>1</v>
      </c>
      <c r="C347" s="117">
        <v>47735</v>
      </c>
      <c r="D347" s="315" t="s">
        <v>776</v>
      </c>
      <c r="E347" s="126" t="s">
        <v>846</v>
      </c>
      <c r="F347" s="106">
        <v>3215</v>
      </c>
      <c r="G347" s="106"/>
      <c r="H347" s="106"/>
      <c r="I347" s="106"/>
      <c r="J347" s="106"/>
      <c r="K347" s="116"/>
      <c r="L347" s="106"/>
      <c r="M347" s="106">
        <f>632+300+1728+345+242</f>
        <v>3247</v>
      </c>
      <c r="N347" s="110">
        <f t="shared" ref="N347:N352" si="630">M347-F347</f>
        <v>32</v>
      </c>
      <c r="O347" s="110"/>
      <c r="P347" s="106"/>
      <c r="Q347" s="106"/>
      <c r="R347" s="106"/>
      <c r="S347" s="106"/>
      <c r="T347" s="110">
        <f t="shared" ref="T347:T352" si="631">S347-Q347</f>
        <v>0</v>
      </c>
      <c r="U347" s="59">
        <f t="shared" si="550"/>
        <v>37</v>
      </c>
      <c r="V347" s="106">
        <v>3210</v>
      </c>
      <c r="W347" s="106">
        <v>3210</v>
      </c>
      <c r="X347" s="110">
        <f t="shared" ref="X347:X352" si="632">+W347-M347</f>
        <v>-37</v>
      </c>
      <c r="Y347" s="110"/>
      <c r="Z347" s="110"/>
      <c r="AA347" s="110"/>
      <c r="AB347" s="106"/>
      <c r="AC347" s="106"/>
      <c r="AD347" s="106"/>
      <c r="AE347" s="100">
        <f t="shared" si="555"/>
        <v>9.9533437013996882E-3</v>
      </c>
      <c r="AF347" s="90"/>
      <c r="AG347" s="109">
        <f t="shared" si="556"/>
        <v>0</v>
      </c>
      <c r="AH347" s="100">
        <f t="shared" si="557"/>
        <v>-1</v>
      </c>
      <c r="AI347" s="100">
        <f t="shared" si="558"/>
        <v>-1.5552099533437014E-3</v>
      </c>
    </row>
    <row r="348" spans="1:35" s="45" customFormat="1" ht="20.25" customHeight="1" x14ac:dyDescent="0.3">
      <c r="A348" s="113"/>
      <c r="B348" s="106" t="s">
        <v>1</v>
      </c>
      <c r="C348" s="117">
        <v>47735</v>
      </c>
      <c r="D348" s="316"/>
      <c r="E348" s="126" t="s">
        <v>847</v>
      </c>
      <c r="F348" s="106">
        <v>3215</v>
      </c>
      <c r="G348" s="106"/>
      <c r="H348" s="106"/>
      <c r="I348" s="106"/>
      <c r="J348" s="106"/>
      <c r="K348" s="116"/>
      <c r="L348" s="106"/>
      <c r="M348" s="106">
        <f>632+300+1728+345+242</f>
        <v>3247</v>
      </c>
      <c r="N348" s="110">
        <f t="shared" si="630"/>
        <v>32</v>
      </c>
      <c r="O348" s="110"/>
      <c r="P348" s="106"/>
      <c r="Q348" s="106"/>
      <c r="R348" s="106"/>
      <c r="S348" s="106"/>
      <c r="T348" s="110">
        <f t="shared" si="631"/>
        <v>0</v>
      </c>
      <c r="U348" s="59">
        <f t="shared" ref="U348" si="633">IF(Q348&gt;0,S348-W348,M348-W348)</f>
        <v>1219</v>
      </c>
      <c r="V348" s="106"/>
      <c r="W348" s="106">
        <f>2028</f>
        <v>2028</v>
      </c>
      <c r="X348" s="110">
        <f t="shared" si="632"/>
        <v>-1219</v>
      </c>
      <c r="Y348" s="110"/>
      <c r="Z348" s="110"/>
      <c r="AA348" s="110"/>
      <c r="AB348" s="106"/>
      <c r="AC348" s="106"/>
      <c r="AD348" s="106"/>
      <c r="AE348" s="100">
        <f t="shared" ref="AE348" si="634">N348/F348</f>
        <v>9.9533437013996882E-3</v>
      </c>
      <c r="AF348" s="90"/>
      <c r="AG348" s="109">
        <f t="shared" ref="AG348" si="635">IF(N348&lt;0,N348,0)</f>
        <v>0</v>
      </c>
      <c r="AH348" s="100">
        <f t="shared" ref="AH348" si="636">(S348-F348)/F348</f>
        <v>-1</v>
      </c>
      <c r="AI348" s="100">
        <f t="shared" ref="AI348" si="637">(W348-F348)/F348</f>
        <v>-0.36920684292379469</v>
      </c>
    </row>
    <row r="349" spans="1:35" s="45" customFormat="1" ht="20.25" customHeight="1" x14ac:dyDescent="0.3">
      <c r="A349" s="113"/>
      <c r="B349" s="106" t="s">
        <v>1</v>
      </c>
      <c r="C349" s="117">
        <v>47735</v>
      </c>
      <c r="D349" s="316"/>
      <c r="E349" s="126" t="s">
        <v>529</v>
      </c>
      <c r="F349" s="106">
        <v>2815</v>
      </c>
      <c r="G349" s="106"/>
      <c r="H349" s="106"/>
      <c r="I349" s="106"/>
      <c r="J349" s="106"/>
      <c r="K349" s="116"/>
      <c r="L349" s="106"/>
      <c r="M349" s="106">
        <f>336+324+312+408+388+388+534+144+6</f>
        <v>2840</v>
      </c>
      <c r="N349" s="110">
        <f t="shared" si="630"/>
        <v>25</v>
      </c>
      <c r="O349" s="110"/>
      <c r="P349" s="106"/>
      <c r="Q349" s="106"/>
      <c r="R349" s="106"/>
      <c r="S349" s="106"/>
      <c r="T349" s="110">
        <f t="shared" si="631"/>
        <v>0</v>
      </c>
      <c r="U349" s="59">
        <f t="shared" si="550"/>
        <v>0</v>
      </c>
      <c r="V349" s="106"/>
      <c r="W349" s="106">
        <v>2840</v>
      </c>
      <c r="X349" s="110">
        <f t="shared" si="632"/>
        <v>0</v>
      </c>
      <c r="Y349" s="110"/>
      <c r="Z349" s="110"/>
      <c r="AA349" s="110"/>
      <c r="AB349" s="106"/>
      <c r="AC349" s="106"/>
      <c r="AD349" s="106"/>
      <c r="AE349" s="100">
        <f t="shared" si="555"/>
        <v>8.8809946714031966E-3</v>
      </c>
      <c r="AF349" s="90"/>
      <c r="AG349" s="109">
        <f t="shared" si="556"/>
        <v>0</v>
      </c>
      <c r="AH349" s="100">
        <f t="shared" si="557"/>
        <v>-1</v>
      </c>
      <c r="AI349" s="100">
        <f t="shared" si="558"/>
        <v>8.8809946714031966E-3</v>
      </c>
    </row>
    <row r="350" spans="1:35" s="45" customFormat="1" ht="20.25" customHeight="1" x14ac:dyDescent="0.3">
      <c r="A350" s="113"/>
      <c r="B350" s="106" t="s">
        <v>1</v>
      </c>
      <c r="C350" s="117">
        <v>47735</v>
      </c>
      <c r="D350" s="316"/>
      <c r="E350" s="126" t="s">
        <v>848</v>
      </c>
      <c r="F350" s="106">
        <v>2815</v>
      </c>
      <c r="G350" s="106"/>
      <c r="H350" s="106"/>
      <c r="I350" s="106"/>
      <c r="J350" s="106"/>
      <c r="K350" s="116"/>
      <c r="L350" s="106"/>
      <c r="M350" s="106">
        <f>336+324+312+408+388+388+534+144+6</f>
        <v>2840</v>
      </c>
      <c r="N350" s="110">
        <f t="shared" si="630"/>
        <v>25</v>
      </c>
      <c r="O350" s="110"/>
      <c r="P350" s="106"/>
      <c r="Q350" s="106"/>
      <c r="R350" s="106"/>
      <c r="S350" s="106"/>
      <c r="T350" s="110">
        <f t="shared" si="631"/>
        <v>0</v>
      </c>
      <c r="U350" s="59">
        <f t="shared" ref="U350:U351" si="638">IF(Q350&gt;0,S350-W350,M350-W350)</f>
        <v>0</v>
      </c>
      <c r="V350" s="106"/>
      <c r="W350" s="106">
        <v>2840</v>
      </c>
      <c r="X350" s="110">
        <f t="shared" si="632"/>
        <v>0</v>
      </c>
      <c r="Y350" s="110"/>
      <c r="Z350" s="110"/>
      <c r="AA350" s="110"/>
      <c r="AB350" s="106"/>
      <c r="AC350" s="106"/>
      <c r="AD350" s="106"/>
      <c r="AE350" s="100">
        <f t="shared" ref="AE350:AE351" si="639">N350/F350</f>
        <v>8.8809946714031966E-3</v>
      </c>
      <c r="AF350" s="90"/>
      <c r="AG350" s="109">
        <f t="shared" ref="AG350:AG351" si="640">IF(N350&lt;0,N350,0)</f>
        <v>0</v>
      </c>
      <c r="AH350" s="100">
        <f t="shared" ref="AH350:AH351" si="641">(S350-F350)/F350</f>
        <v>-1</v>
      </c>
      <c r="AI350" s="100">
        <f t="shared" ref="AI350:AI351" si="642">(W350-F350)/F350</f>
        <v>8.8809946714031966E-3</v>
      </c>
    </row>
    <row r="351" spans="1:35" s="45" customFormat="1" ht="20.25" customHeight="1" x14ac:dyDescent="0.3">
      <c r="A351" s="113"/>
      <c r="B351" s="106" t="s">
        <v>1</v>
      </c>
      <c r="C351" s="117">
        <v>47735</v>
      </c>
      <c r="D351" s="316"/>
      <c r="E351" s="126" t="s">
        <v>849</v>
      </c>
      <c r="F351" s="106">
        <v>2315</v>
      </c>
      <c r="G351" s="106"/>
      <c r="H351" s="106"/>
      <c r="I351" s="106"/>
      <c r="J351" s="106"/>
      <c r="K351" s="116"/>
      <c r="L351" s="106"/>
      <c r="M351" s="106">
        <f>400+320+408+320+420+126+222+51</f>
        <v>2267</v>
      </c>
      <c r="N351" s="110">
        <f t="shared" si="630"/>
        <v>-48</v>
      </c>
      <c r="O351" s="110"/>
      <c r="P351" s="106"/>
      <c r="Q351" s="106"/>
      <c r="R351" s="106"/>
      <c r="S351" s="106"/>
      <c r="T351" s="110">
        <f t="shared" si="631"/>
        <v>0</v>
      </c>
      <c r="U351" s="59">
        <f t="shared" si="638"/>
        <v>51</v>
      </c>
      <c r="V351" s="106"/>
      <c r="W351" s="106">
        <v>2216</v>
      </c>
      <c r="X351" s="110">
        <f t="shared" si="632"/>
        <v>-51</v>
      </c>
      <c r="Y351" s="110"/>
      <c r="Z351" s="110"/>
      <c r="AA351" s="110"/>
      <c r="AB351" s="106"/>
      <c r="AC351" s="106"/>
      <c r="AD351" s="106"/>
      <c r="AE351" s="100">
        <f t="shared" si="639"/>
        <v>-2.0734341252699785E-2</v>
      </c>
      <c r="AF351" s="90"/>
      <c r="AG351" s="109">
        <f t="shared" si="640"/>
        <v>-48</v>
      </c>
      <c r="AH351" s="100">
        <f t="shared" si="641"/>
        <v>-1</v>
      </c>
      <c r="AI351" s="100">
        <f t="shared" si="642"/>
        <v>-4.2764578833693306E-2</v>
      </c>
    </row>
    <row r="352" spans="1:35" s="45" customFormat="1" ht="20.25" customHeight="1" x14ac:dyDescent="0.3">
      <c r="A352" s="113"/>
      <c r="B352" s="106" t="s">
        <v>1</v>
      </c>
      <c r="C352" s="117">
        <v>47735</v>
      </c>
      <c r="D352" s="316"/>
      <c r="E352" s="126" t="s">
        <v>850</v>
      </c>
      <c r="F352" s="106">
        <v>2315</v>
      </c>
      <c r="G352" s="106"/>
      <c r="H352" s="106"/>
      <c r="I352" s="106"/>
      <c r="J352" s="106"/>
      <c r="K352" s="116"/>
      <c r="L352" s="106"/>
      <c r="M352" s="106">
        <f>400+640+408+420+126+222+51</f>
        <v>2267</v>
      </c>
      <c r="N352" s="110">
        <f t="shared" si="630"/>
        <v>-48</v>
      </c>
      <c r="O352" s="110"/>
      <c r="P352" s="106"/>
      <c r="Q352" s="106"/>
      <c r="R352" s="106"/>
      <c r="S352" s="106"/>
      <c r="T352" s="110">
        <f t="shared" si="631"/>
        <v>0</v>
      </c>
      <c r="U352" s="59">
        <f t="shared" si="550"/>
        <v>51</v>
      </c>
      <c r="V352" s="106"/>
      <c r="W352" s="106">
        <f>1994+222</f>
        <v>2216</v>
      </c>
      <c r="X352" s="110">
        <f t="shared" si="632"/>
        <v>-51</v>
      </c>
      <c r="Y352" s="110"/>
      <c r="Z352" s="110"/>
      <c r="AA352" s="110"/>
      <c r="AB352" s="106"/>
      <c r="AC352" s="106"/>
      <c r="AD352" s="106"/>
      <c r="AE352" s="100">
        <f t="shared" si="555"/>
        <v>-2.0734341252699785E-2</v>
      </c>
      <c r="AF352" s="90"/>
      <c r="AG352" s="109">
        <f t="shared" si="556"/>
        <v>-48</v>
      </c>
      <c r="AH352" s="100">
        <f t="shared" si="557"/>
        <v>-1</v>
      </c>
      <c r="AI352" s="100">
        <f t="shared" si="558"/>
        <v>-4.2764578833693306E-2</v>
      </c>
    </row>
    <row r="353" spans="1:35" s="43" customFormat="1" ht="16.5" customHeight="1" x14ac:dyDescent="0.3">
      <c r="A353" s="90" t="s">
        <v>46</v>
      </c>
      <c r="B353" s="136" t="s">
        <v>1</v>
      </c>
      <c r="C353" s="137"/>
      <c r="D353" s="136"/>
      <c r="E353" s="90"/>
      <c r="F353" s="136">
        <f>SUM(F347:F352)</f>
        <v>16690</v>
      </c>
      <c r="G353" s="136"/>
      <c r="H353" s="136"/>
      <c r="I353" s="136"/>
      <c r="J353" s="136" t="s">
        <v>58</v>
      </c>
      <c r="K353" s="64" t="s">
        <v>726</v>
      </c>
      <c r="L353" s="136">
        <f>SUM(L347:L352)</f>
        <v>0</v>
      </c>
      <c r="M353" s="136">
        <f>SUM(M347:M352)</f>
        <v>16708</v>
      </c>
      <c r="N353" s="136">
        <f>SUM(N347:N352)</f>
        <v>18</v>
      </c>
      <c r="O353" s="136"/>
      <c r="P353" s="136">
        <f>SUM(P347:P352)</f>
        <v>0</v>
      </c>
      <c r="Q353" s="136">
        <f>SUM(Q347:Q352)</f>
        <v>0</v>
      </c>
      <c r="R353" s="136">
        <f>SUM(R347:R352)</f>
        <v>0</v>
      </c>
      <c r="S353" s="136">
        <f>SUM(S347:S352)</f>
        <v>0</v>
      </c>
      <c r="T353" s="136">
        <f>SUM(T347:T352)</f>
        <v>0</v>
      </c>
      <c r="U353" s="59">
        <f t="shared" si="550"/>
        <v>1358</v>
      </c>
      <c r="V353" s="136">
        <f>SUM(V347:V352)</f>
        <v>3210</v>
      </c>
      <c r="W353" s="136">
        <f>SUM(W347:W352)</f>
        <v>15350</v>
      </c>
      <c r="X353" s="136">
        <f>SUM(X347:X352)</f>
        <v>-1358</v>
      </c>
      <c r="Y353" s="136"/>
      <c r="Z353" s="136"/>
      <c r="AA353" s="136"/>
      <c r="AB353" s="84"/>
      <c r="AC353" s="136"/>
      <c r="AD353" s="136"/>
      <c r="AE353" s="100">
        <f t="shared" si="555"/>
        <v>1.0784901138406232E-3</v>
      </c>
      <c r="AF353" s="90"/>
      <c r="AG353" s="109">
        <f t="shared" si="556"/>
        <v>0</v>
      </c>
      <c r="AH353" s="100">
        <f t="shared" si="557"/>
        <v>-1</v>
      </c>
      <c r="AI353" s="100">
        <f t="shared" si="558"/>
        <v>-8.028759736369083E-2</v>
      </c>
    </row>
    <row r="354" spans="1:35" s="45" customFormat="1" ht="20.25" customHeight="1" x14ac:dyDescent="0.3">
      <c r="A354" s="113"/>
      <c r="B354" s="106" t="s">
        <v>1</v>
      </c>
      <c r="C354" s="117">
        <v>47927</v>
      </c>
      <c r="D354" s="267" t="s">
        <v>906</v>
      </c>
      <c r="E354" s="126" t="s">
        <v>907</v>
      </c>
      <c r="F354" s="106">
        <v>7051</v>
      </c>
      <c r="G354" s="106"/>
      <c r="H354" s="106"/>
      <c r="I354" s="106"/>
      <c r="J354" s="106"/>
      <c r="K354" s="116"/>
      <c r="L354" s="106"/>
      <c r="M354" s="106"/>
      <c r="N354" s="110">
        <f>M354-F354</f>
        <v>-7051</v>
      </c>
      <c r="O354" s="110"/>
      <c r="P354" s="106"/>
      <c r="Q354" s="106"/>
      <c r="R354" s="106"/>
      <c r="S354" s="106"/>
      <c r="T354" s="110">
        <f>S354-Q354</f>
        <v>0</v>
      </c>
      <c r="U354" s="59">
        <f t="shared" ref="U354:U373" si="643">IF(Q354&gt;0,S354-W354,M354-W354)</f>
        <v>0</v>
      </c>
      <c r="V354" s="106"/>
      <c r="W354" s="106"/>
      <c r="X354" s="110">
        <f>+W354-M354</f>
        <v>0</v>
      </c>
      <c r="Y354" s="110"/>
      <c r="Z354" s="110"/>
      <c r="AA354" s="110"/>
      <c r="AB354" s="106"/>
      <c r="AC354" s="106"/>
      <c r="AD354" s="106"/>
      <c r="AE354" s="100">
        <f t="shared" si="555"/>
        <v>-1</v>
      </c>
      <c r="AF354" s="90"/>
      <c r="AG354" s="109">
        <f t="shared" si="556"/>
        <v>-7051</v>
      </c>
      <c r="AH354" s="100">
        <f t="shared" si="557"/>
        <v>-1</v>
      </c>
      <c r="AI354" s="100">
        <f t="shared" si="558"/>
        <v>-1</v>
      </c>
    </row>
    <row r="355" spans="1:35" s="43" customFormat="1" ht="16.5" customHeight="1" x14ac:dyDescent="0.3">
      <c r="A355" s="90" t="s">
        <v>46</v>
      </c>
      <c r="B355" s="136" t="s">
        <v>1</v>
      </c>
      <c r="C355" s="137"/>
      <c r="D355" s="136"/>
      <c r="E355" s="90"/>
      <c r="F355" s="136">
        <f>SUM(F354:F354)</f>
        <v>7051</v>
      </c>
      <c r="G355" s="136"/>
      <c r="H355" s="136"/>
      <c r="I355" s="136"/>
      <c r="J355" s="136"/>
      <c r="K355" s="64" t="s">
        <v>436</v>
      </c>
      <c r="L355" s="136">
        <f>SUM(L354:L354)</f>
        <v>0</v>
      </c>
      <c r="M355" s="136">
        <f>SUM(M354:M354)</f>
        <v>0</v>
      </c>
      <c r="N355" s="136">
        <f>SUM(N354:N354)</f>
        <v>-7051</v>
      </c>
      <c r="O355" s="136"/>
      <c r="P355" s="136">
        <f>SUM(P354:P354)</f>
        <v>0</v>
      </c>
      <c r="Q355" s="136">
        <f>SUM(Q354:Q354)</f>
        <v>0</v>
      </c>
      <c r="R355" s="136">
        <f>SUM(R354:R354)</f>
        <v>0</v>
      </c>
      <c r="S355" s="136">
        <f>SUM(S354:S354)</f>
        <v>0</v>
      </c>
      <c r="T355" s="136">
        <f>SUM(T354:T354)</f>
        <v>0</v>
      </c>
      <c r="U355" s="59">
        <f t="shared" si="643"/>
        <v>0</v>
      </c>
      <c r="V355" s="136">
        <f>SUM(V354:V354)</f>
        <v>0</v>
      </c>
      <c r="W355" s="136">
        <f>SUM(W354:W354)</f>
        <v>0</v>
      </c>
      <c r="X355" s="136">
        <f>SUM(X354:X354)</f>
        <v>0</v>
      </c>
      <c r="Y355" s="136" t="s">
        <v>47</v>
      </c>
      <c r="Z355" s="136" t="s">
        <v>45</v>
      </c>
      <c r="AA355" s="136"/>
      <c r="AB355" s="84"/>
      <c r="AC355" s="136"/>
      <c r="AD355" s="136"/>
      <c r="AE355" s="100">
        <f t="shared" si="555"/>
        <v>-1</v>
      </c>
      <c r="AF355" s="90"/>
      <c r="AG355" s="109">
        <f t="shared" si="556"/>
        <v>-7051</v>
      </c>
      <c r="AH355" s="100">
        <f t="shared" si="557"/>
        <v>-1</v>
      </c>
      <c r="AI355" s="100">
        <f t="shared" si="558"/>
        <v>-1</v>
      </c>
    </row>
    <row r="356" spans="1:35" s="45" customFormat="1" ht="20.25" customHeight="1" x14ac:dyDescent="0.3">
      <c r="A356" s="113"/>
      <c r="B356" s="106" t="s">
        <v>1</v>
      </c>
      <c r="C356" s="117">
        <v>47938</v>
      </c>
      <c r="D356" s="267" t="s">
        <v>916</v>
      </c>
      <c r="E356" s="126" t="s">
        <v>814</v>
      </c>
      <c r="F356" s="106">
        <v>7200</v>
      </c>
      <c r="G356" s="106"/>
      <c r="H356" s="106"/>
      <c r="I356" s="106"/>
      <c r="J356" s="106"/>
      <c r="K356" s="116"/>
      <c r="L356" s="106"/>
      <c r="M356" s="106">
        <f>4800+2484</f>
        <v>7284</v>
      </c>
      <c r="N356" s="110">
        <f>M356-F356</f>
        <v>84</v>
      </c>
      <c r="O356" s="110"/>
      <c r="P356" s="106"/>
      <c r="Q356" s="106"/>
      <c r="R356" s="106"/>
      <c r="S356" s="106"/>
      <c r="T356" s="110">
        <f>S356-Q356</f>
        <v>0</v>
      </c>
      <c r="U356" s="59">
        <f t="shared" ref="U356:U361" si="644">IF(Q356&gt;0,S356-W356,M356-W356)</f>
        <v>7284</v>
      </c>
      <c r="V356" s="106"/>
      <c r="W356" s="106"/>
      <c r="X356" s="110">
        <f>+W356-M356</f>
        <v>-7284</v>
      </c>
      <c r="Y356" s="110"/>
      <c r="Z356" s="110"/>
      <c r="AA356" s="110"/>
      <c r="AB356" s="106"/>
      <c r="AC356" s="106"/>
      <c r="AD356" s="106"/>
      <c r="AE356" s="100">
        <f t="shared" ref="AE356:AE361" si="645">N356/F356</f>
        <v>1.1666666666666667E-2</v>
      </c>
      <c r="AF356" s="90"/>
      <c r="AG356" s="109">
        <f t="shared" ref="AG356:AG361" si="646">IF(N356&lt;0,N356,0)</f>
        <v>0</v>
      </c>
      <c r="AH356" s="100">
        <f t="shared" ref="AH356:AH361" si="647">(S356-F356)/F356</f>
        <v>-1</v>
      </c>
      <c r="AI356" s="100">
        <f t="shared" ref="AI356:AI361" si="648">(W356-F356)/F356</f>
        <v>-1</v>
      </c>
    </row>
    <row r="357" spans="1:35" s="43" customFormat="1" ht="16.5" customHeight="1" x14ac:dyDescent="0.3">
      <c r="A357" s="90" t="s">
        <v>46</v>
      </c>
      <c r="B357" s="136" t="s">
        <v>1</v>
      </c>
      <c r="C357" s="137"/>
      <c r="D357" s="136"/>
      <c r="E357" s="90"/>
      <c r="F357" s="136">
        <f>SUM(F356:F356)</f>
        <v>7200</v>
      </c>
      <c r="G357" s="136"/>
      <c r="H357" s="136"/>
      <c r="I357" s="136"/>
      <c r="J357" s="136" t="s">
        <v>58</v>
      </c>
      <c r="K357" s="64" t="s">
        <v>226</v>
      </c>
      <c r="L357" s="136">
        <f>SUM(L356:L356)</f>
        <v>0</v>
      </c>
      <c r="M357" s="136">
        <f>SUM(M356:M356)</f>
        <v>7284</v>
      </c>
      <c r="N357" s="136">
        <f>SUM(N356:N356)</f>
        <v>84</v>
      </c>
      <c r="O357" s="136"/>
      <c r="P357" s="136">
        <f>SUM(P356:P356)</f>
        <v>0</v>
      </c>
      <c r="Q357" s="136">
        <f>SUM(Q356:Q356)</f>
        <v>0</v>
      </c>
      <c r="R357" s="136">
        <f>SUM(R356:R356)</f>
        <v>0</v>
      </c>
      <c r="S357" s="136">
        <f>SUM(S356:S356)</f>
        <v>0</v>
      </c>
      <c r="T357" s="136">
        <f>SUM(T356:T356)</f>
        <v>0</v>
      </c>
      <c r="U357" s="59">
        <f t="shared" si="644"/>
        <v>7284</v>
      </c>
      <c r="V357" s="136">
        <f>SUM(V356:V356)</f>
        <v>0</v>
      </c>
      <c r="W357" s="136">
        <f>SUM(W356:W356)</f>
        <v>0</v>
      </c>
      <c r="X357" s="136">
        <f>SUM(X356:X356)</f>
        <v>-7284</v>
      </c>
      <c r="Y357" s="136"/>
      <c r="Z357" s="136"/>
      <c r="AA357" s="136"/>
      <c r="AB357" s="84"/>
      <c r="AC357" s="136"/>
      <c r="AD357" s="136"/>
      <c r="AE357" s="100">
        <f t="shared" si="645"/>
        <v>1.1666666666666667E-2</v>
      </c>
      <c r="AF357" s="90"/>
      <c r="AG357" s="109">
        <f t="shared" si="646"/>
        <v>0</v>
      </c>
      <c r="AH357" s="100">
        <f t="shared" si="647"/>
        <v>-1</v>
      </c>
      <c r="AI357" s="100">
        <f t="shared" si="648"/>
        <v>-1</v>
      </c>
    </row>
    <row r="358" spans="1:35" s="45" customFormat="1" ht="20.25" customHeight="1" x14ac:dyDescent="0.3">
      <c r="A358" s="113"/>
      <c r="B358" s="106" t="s">
        <v>1</v>
      </c>
      <c r="C358" s="117">
        <v>47939</v>
      </c>
      <c r="D358" s="267" t="s">
        <v>925</v>
      </c>
      <c r="E358" s="126" t="s">
        <v>303</v>
      </c>
      <c r="F358" s="106">
        <v>6005</v>
      </c>
      <c r="G358" s="106"/>
      <c r="H358" s="106"/>
      <c r="I358" s="106"/>
      <c r="J358" s="106"/>
      <c r="K358" s="116"/>
      <c r="L358" s="106"/>
      <c r="M358" s="106"/>
      <c r="N358" s="110">
        <f>M358-F358</f>
        <v>-6005</v>
      </c>
      <c r="O358" s="110"/>
      <c r="P358" s="106"/>
      <c r="Q358" s="106"/>
      <c r="R358" s="106"/>
      <c r="S358" s="106"/>
      <c r="T358" s="110">
        <f>S358-Q358</f>
        <v>0</v>
      </c>
      <c r="U358" s="59">
        <f t="shared" ref="U358:U359" si="649">IF(Q358&gt;0,S358-W358,M358-W358)</f>
        <v>0</v>
      </c>
      <c r="V358" s="106"/>
      <c r="W358" s="106"/>
      <c r="X358" s="110">
        <f>+W358-M358</f>
        <v>0</v>
      </c>
      <c r="Y358" s="110"/>
      <c r="Z358" s="110"/>
      <c r="AA358" s="110"/>
      <c r="AB358" s="106"/>
      <c r="AC358" s="106"/>
      <c r="AD358" s="106"/>
      <c r="AE358" s="100">
        <f t="shared" ref="AE358:AE359" si="650">N358/F358</f>
        <v>-1</v>
      </c>
      <c r="AF358" s="90"/>
      <c r="AG358" s="109">
        <f t="shared" ref="AG358:AG359" si="651">IF(N358&lt;0,N358,0)</f>
        <v>-6005</v>
      </c>
      <c r="AH358" s="100">
        <f t="shared" ref="AH358:AH359" si="652">(S358-F358)/F358</f>
        <v>-1</v>
      </c>
      <c r="AI358" s="100">
        <f t="shared" ref="AI358:AI359" si="653">(W358-F358)/F358</f>
        <v>-1</v>
      </c>
    </row>
    <row r="359" spans="1:35" s="43" customFormat="1" ht="16.5" customHeight="1" x14ac:dyDescent="0.3">
      <c r="A359" s="90" t="s">
        <v>46</v>
      </c>
      <c r="B359" s="136" t="s">
        <v>1</v>
      </c>
      <c r="C359" s="137"/>
      <c r="D359" s="136"/>
      <c r="E359" s="90"/>
      <c r="F359" s="136">
        <f>SUM(F358:F358)</f>
        <v>6005</v>
      </c>
      <c r="G359" s="136"/>
      <c r="H359" s="136"/>
      <c r="I359" s="136"/>
      <c r="J359" s="136"/>
      <c r="K359" s="64" t="s">
        <v>226</v>
      </c>
      <c r="L359" s="136">
        <f>SUM(L358:L358)</f>
        <v>0</v>
      </c>
      <c r="M359" s="136">
        <f>SUM(M358:M358)</f>
        <v>0</v>
      </c>
      <c r="N359" s="136">
        <f>SUM(N358:N358)</f>
        <v>-6005</v>
      </c>
      <c r="O359" s="136"/>
      <c r="P359" s="136">
        <f>SUM(P358:P358)</f>
        <v>0</v>
      </c>
      <c r="Q359" s="136">
        <f>SUM(Q358:Q358)</f>
        <v>0</v>
      </c>
      <c r="R359" s="136">
        <f>SUM(R358:R358)</f>
        <v>0</v>
      </c>
      <c r="S359" s="136">
        <f>SUM(S358:S358)</f>
        <v>0</v>
      </c>
      <c r="T359" s="136">
        <f>SUM(T358:T358)</f>
        <v>0</v>
      </c>
      <c r="U359" s="59">
        <f t="shared" si="649"/>
        <v>0</v>
      </c>
      <c r="V359" s="136">
        <f>SUM(V358:V358)</f>
        <v>0</v>
      </c>
      <c r="W359" s="136">
        <f>SUM(W358:W358)</f>
        <v>0</v>
      </c>
      <c r="X359" s="136">
        <f>SUM(X358:X358)</f>
        <v>0</v>
      </c>
      <c r="Y359" s="136" t="s">
        <v>47</v>
      </c>
      <c r="Z359" s="136" t="s">
        <v>45</v>
      </c>
      <c r="AA359" s="136"/>
      <c r="AB359" s="84"/>
      <c r="AC359" s="136"/>
      <c r="AD359" s="136"/>
      <c r="AE359" s="100">
        <f t="shared" si="650"/>
        <v>-1</v>
      </c>
      <c r="AF359" s="90"/>
      <c r="AG359" s="109">
        <f t="shared" si="651"/>
        <v>-6005</v>
      </c>
      <c r="AH359" s="100">
        <f t="shared" si="652"/>
        <v>-1</v>
      </c>
      <c r="AI359" s="100">
        <f t="shared" si="653"/>
        <v>-1</v>
      </c>
    </row>
    <row r="360" spans="1:35" s="45" customFormat="1" ht="20.25" customHeight="1" x14ac:dyDescent="0.3">
      <c r="A360" s="113"/>
      <c r="B360" s="106" t="s">
        <v>1</v>
      </c>
      <c r="C360" s="117">
        <v>47940</v>
      </c>
      <c r="D360" s="267" t="s">
        <v>921</v>
      </c>
      <c r="E360" s="126" t="s">
        <v>922</v>
      </c>
      <c r="F360" s="106">
        <v>5955</v>
      </c>
      <c r="G360" s="106"/>
      <c r="H360" s="106"/>
      <c r="I360" s="106"/>
      <c r="J360" s="106"/>
      <c r="K360" s="116"/>
      <c r="L360" s="106">
        <v>3630</v>
      </c>
      <c r="M360" s="106">
        <f>2400+3630</f>
        <v>6030</v>
      </c>
      <c r="N360" s="110">
        <f>M360-F360</f>
        <v>75</v>
      </c>
      <c r="O360" s="110"/>
      <c r="P360" s="106">
        <v>3630</v>
      </c>
      <c r="Q360" s="106">
        <f>3630</f>
        <v>3630</v>
      </c>
      <c r="R360" s="106"/>
      <c r="S360" s="106"/>
      <c r="T360" s="110">
        <f>S360-Q360</f>
        <v>-3630</v>
      </c>
      <c r="U360" s="59">
        <f t="shared" si="644"/>
        <v>0</v>
      </c>
      <c r="V360" s="106"/>
      <c r="W360" s="106"/>
      <c r="X360" s="110">
        <f>+W360-M360</f>
        <v>-6030</v>
      </c>
      <c r="Y360" s="110"/>
      <c r="Z360" s="110"/>
      <c r="AA360" s="110"/>
      <c r="AB360" s="106"/>
      <c r="AC360" s="106"/>
      <c r="AD360" s="106"/>
      <c r="AE360" s="100">
        <f t="shared" si="645"/>
        <v>1.2594458438287154E-2</v>
      </c>
      <c r="AF360" s="90"/>
      <c r="AG360" s="109">
        <f t="shared" si="646"/>
        <v>0</v>
      </c>
      <c r="AH360" s="100">
        <f t="shared" si="647"/>
        <v>-1</v>
      </c>
      <c r="AI360" s="100">
        <f t="shared" si="648"/>
        <v>-1</v>
      </c>
    </row>
    <row r="361" spans="1:35" s="43" customFormat="1" ht="16.5" customHeight="1" x14ac:dyDescent="0.3">
      <c r="A361" s="90" t="s">
        <v>46</v>
      </c>
      <c r="B361" s="136" t="s">
        <v>1</v>
      </c>
      <c r="C361" s="137"/>
      <c r="D361" s="136"/>
      <c r="E361" s="90"/>
      <c r="F361" s="136">
        <f>SUM(F360:F360)</f>
        <v>5955</v>
      </c>
      <c r="G361" s="136"/>
      <c r="H361" s="136"/>
      <c r="I361" s="136"/>
      <c r="J361" s="136" t="s">
        <v>58</v>
      </c>
      <c r="K361" s="64" t="s">
        <v>226</v>
      </c>
      <c r="L361" s="136">
        <f>SUM(L360:L360)</f>
        <v>3630</v>
      </c>
      <c r="M361" s="136">
        <f>SUM(M360:M360)</f>
        <v>6030</v>
      </c>
      <c r="N361" s="136">
        <f>SUM(N360:N360)</f>
        <v>75</v>
      </c>
      <c r="O361" s="136" t="s">
        <v>1029</v>
      </c>
      <c r="P361" s="136">
        <f>SUM(P360:P360)</f>
        <v>3630</v>
      </c>
      <c r="Q361" s="136">
        <f>SUM(Q360:Q360)</f>
        <v>3630</v>
      </c>
      <c r="R361" s="136">
        <f>SUM(R360:R360)</f>
        <v>0</v>
      </c>
      <c r="S361" s="136">
        <f>SUM(S360:S360)</f>
        <v>0</v>
      </c>
      <c r="T361" s="136">
        <f>SUM(T360:T360)</f>
        <v>-3630</v>
      </c>
      <c r="U361" s="59">
        <f t="shared" si="644"/>
        <v>0</v>
      </c>
      <c r="V361" s="136">
        <f>SUM(V360:V360)</f>
        <v>0</v>
      </c>
      <c r="W361" s="136">
        <f>SUM(W360:W360)</f>
        <v>0</v>
      </c>
      <c r="X361" s="136">
        <f>SUM(X360:X360)</f>
        <v>-6030</v>
      </c>
      <c r="Y361" s="136"/>
      <c r="Z361" s="136"/>
      <c r="AA361" s="136"/>
      <c r="AB361" s="84"/>
      <c r="AC361" s="136"/>
      <c r="AD361" s="136"/>
      <c r="AE361" s="100">
        <f t="shared" si="645"/>
        <v>1.2594458438287154E-2</v>
      </c>
      <c r="AF361" s="90"/>
      <c r="AG361" s="109">
        <f t="shared" si="646"/>
        <v>0</v>
      </c>
      <c r="AH361" s="100">
        <f t="shared" si="647"/>
        <v>-1</v>
      </c>
      <c r="AI361" s="100">
        <f t="shared" si="648"/>
        <v>-1</v>
      </c>
    </row>
    <row r="362" spans="1:35" s="45" customFormat="1" ht="20.25" customHeight="1" x14ac:dyDescent="0.3">
      <c r="A362" s="113"/>
      <c r="B362" s="106" t="s">
        <v>1</v>
      </c>
      <c r="C362" s="117">
        <v>47942</v>
      </c>
      <c r="D362" s="267" t="s">
        <v>923</v>
      </c>
      <c r="E362" s="126" t="s">
        <v>924</v>
      </c>
      <c r="F362" s="106">
        <v>3425</v>
      </c>
      <c r="G362" s="106"/>
      <c r="H362" s="106"/>
      <c r="I362" s="106"/>
      <c r="J362" s="106"/>
      <c r="K362" s="116"/>
      <c r="L362" s="106"/>
      <c r="M362" s="106"/>
      <c r="N362" s="110">
        <f>M362-F362</f>
        <v>-3425</v>
      </c>
      <c r="O362" s="110"/>
      <c r="P362" s="106"/>
      <c r="Q362" s="106"/>
      <c r="R362" s="106"/>
      <c r="S362" s="106"/>
      <c r="T362" s="110">
        <f>S362-Q362</f>
        <v>0</v>
      </c>
      <c r="U362" s="59">
        <f t="shared" si="643"/>
        <v>0</v>
      </c>
      <c r="V362" s="106"/>
      <c r="W362" s="106"/>
      <c r="X362" s="110">
        <f>+W362-M362</f>
        <v>0</v>
      </c>
      <c r="Y362" s="110"/>
      <c r="Z362" s="110"/>
      <c r="AA362" s="110"/>
      <c r="AB362" s="106"/>
      <c r="AC362" s="106"/>
      <c r="AD362" s="106"/>
      <c r="AE362" s="100">
        <f t="shared" si="555"/>
        <v>-1</v>
      </c>
      <c r="AF362" s="90"/>
      <c r="AG362" s="109">
        <f t="shared" si="556"/>
        <v>-3425</v>
      </c>
      <c r="AH362" s="100">
        <f t="shared" si="557"/>
        <v>-1</v>
      </c>
      <c r="AI362" s="100">
        <f t="shared" si="558"/>
        <v>-1</v>
      </c>
    </row>
    <row r="363" spans="1:35" s="43" customFormat="1" ht="16.5" customHeight="1" x14ac:dyDescent="0.3">
      <c r="A363" s="90" t="s">
        <v>46</v>
      </c>
      <c r="B363" s="136" t="s">
        <v>1</v>
      </c>
      <c r="C363" s="137"/>
      <c r="D363" s="136"/>
      <c r="E363" s="90"/>
      <c r="F363" s="136">
        <f>SUM(F362:F362)</f>
        <v>3425</v>
      </c>
      <c r="G363" s="136"/>
      <c r="H363" s="136"/>
      <c r="I363" s="136"/>
      <c r="J363" s="136"/>
      <c r="K363" s="64" t="s">
        <v>226</v>
      </c>
      <c r="L363" s="136">
        <f>SUM(L362:L362)</f>
        <v>0</v>
      </c>
      <c r="M363" s="136">
        <f>SUM(M362:M362)</f>
        <v>0</v>
      </c>
      <c r="N363" s="136">
        <f>SUM(N362:N362)</f>
        <v>-3425</v>
      </c>
      <c r="O363" s="136"/>
      <c r="P363" s="136">
        <f>SUM(P362:P362)</f>
        <v>0</v>
      </c>
      <c r="Q363" s="136">
        <f>SUM(Q362:Q362)</f>
        <v>0</v>
      </c>
      <c r="R363" s="136">
        <f>SUM(R362:R362)</f>
        <v>0</v>
      </c>
      <c r="S363" s="136">
        <f>SUM(S362:S362)</f>
        <v>0</v>
      </c>
      <c r="T363" s="136">
        <f>SUM(T362:T362)</f>
        <v>0</v>
      </c>
      <c r="U363" s="59">
        <f t="shared" si="643"/>
        <v>0</v>
      </c>
      <c r="V363" s="136">
        <f>SUM(V362:V362)</f>
        <v>0</v>
      </c>
      <c r="W363" s="136">
        <f>SUM(W362:W362)</f>
        <v>0</v>
      </c>
      <c r="X363" s="136">
        <f>SUM(X362:X362)</f>
        <v>0</v>
      </c>
      <c r="Y363" s="136" t="s">
        <v>47</v>
      </c>
      <c r="Z363" s="136" t="s">
        <v>45</v>
      </c>
      <c r="AA363" s="136"/>
      <c r="AB363" s="84"/>
      <c r="AC363" s="136"/>
      <c r="AD363" s="136"/>
      <c r="AE363" s="100">
        <f t="shared" si="555"/>
        <v>-1</v>
      </c>
      <c r="AF363" s="90"/>
      <c r="AG363" s="109">
        <f t="shared" si="556"/>
        <v>-3425</v>
      </c>
      <c r="AH363" s="100">
        <f t="shared" si="557"/>
        <v>-1</v>
      </c>
      <c r="AI363" s="100">
        <f t="shared" si="558"/>
        <v>-1</v>
      </c>
    </row>
    <row r="364" spans="1:35" s="45" customFormat="1" ht="20.25" customHeight="1" x14ac:dyDescent="0.3">
      <c r="A364" s="113"/>
      <c r="B364" s="106" t="s">
        <v>1</v>
      </c>
      <c r="C364" s="117">
        <v>48284</v>
      </c>
      <c r="D364" s="267" t="s">
        <v>920</v>
      </c>
      <c r="E364" s="126" t="s">
        <v>0</v>
      </c>
      <c r="F364" s="106">
        <v>2022</v>
      </c>
      <c r="G364" s="106"/>
      <c r="H364" s="106"/>
      <c r="I364" s="106"/>
      <c r="J364" s="106"/>
      <c r="K364" s="116"/>
      <c r="L364" s="106"/>
      <c r="M364" s="106">
        <f>2077</f>
        <v>2077</v>
      </c>
      <c r="N364" s="110">
        <f>M364-F364</f>
        <v>55</v>
      </c>
      <c r="O364" s="110"/>
      <c r="P364" s="106"/>
      <c r="Q364" s="106">
        <f>1933+144</f>
        <v>2077</v>
      </c>
      <c r="R364" s="106"/>
      <c r="S364" s="106"/>
      <c r="T364" s="110">
        <f>S364-Q364</f>
        <v>-2077</v>
      </c>
      <c r="U364" s="59">
        <f t="shared" si="643"/>
        <v>0</v>
      </c>
      <c r="V364" s="106"/>
      <c r="W364" s="106"/>
      <c r="X364" s="110">
        <f>+W364-M364</f>
        <v>-2077</v>
      </c>
      <c r="Y364" s="110"/>
      <c r="Z364" s="110"/>
      <c r="AA364" s="110"/>
      <c r="AB364" s="106"/>
      <c r="AC364" s="106"/>
      <c r="AD364" s="106"/>
      <c r="AE364" s="100">
        <f t="shared" si="555"/>
        <v>2.7200791295746787E-2</v>
      </c>
      <c r="AF364" s="90"/>
      <c r="AG364" s="109">
        <f t="shared" si="556"/>
        <v>0</v>
      </c>
      <c r="AH364" s="100">
        <f t="shared" si="557"/>
        <v>-1</v>
      </c>
      <c r="AI364" s="100">
        <f t="shared" si="558"/>
        <v>-1</v>
      </c>
    </row>
    <row r="365" spans="1:35" s="43" customFormat="1" ht="16.5" customHeight="1" x14ac:dyDescent="0.3">
      <c r="A365" s="90" t="s">
        <v>46</v>
      </c>
      <c r="B365" s="136" t="s">
        <v>1</v>
      </c>
      <c r="C365" s="137"/>
      <c r="D365" s="136"/>
      <c r="E365" s="90"/>
      <c r="F365" s="136">
        <f>SUM(F364:F364)</f>
        <v>2022</v>
      </c>
      <c r="G365" s="136"/>
      <c r="H365" s="136"/>
      <c r="I365" s="136"/>
      <c r="J365" s="136" t="s">
        <v>58</v>
      </c>
      <c r="K365" s="64" t="s">
        <v>670</v>
      </c>
      <c r="L365" s="136">
        <f>SUM(L364:L364)</f>
        <v>0</v>
      </c>
      <c r="M365" s="136">
        <f>SUM(M364:M364)</f>
        <v>2077</v>
      </c>
      <c r="N365" s="136">
        <f>SUM(N364:N364)</f>
        <v>55</v>
      </c>
      <c r="O365" s="136" t="s">
        <v>272</v>
      </c>
      <c r="P365" s="136">
        <f>SUM(P364:P364)</f>
        <v>0</v>
      </c>
      <c r="Q365" s="136">
        <f>SUM(Q364:Q364)</f>
        <v>2077</v>
      </c>
      <c r="R365" s="136">
        <f>SUM(R364:R364)</f>
        <v>0</v>
      </c>
      <c r="S365" s="136">
        <f>SUM(S364:S364)</f>
        <v>0</v>
      </c>
      <c r="T365" s="136">
        <f>SUM(T364:T364)</f>
        <v>-2077</v>
      </c>
      <c r="U365" s="59">
        <f t="shared" si="643"/>
        <v>0</v>
      </c>
      <c r="V365" s="136">
        <f>SUM(V364:V364)</f>
        <v>0</v>
      </c>
      <c r="W365" s="136">
        <f>SUM(W364:W364)</f>
        <v>0</v>
      </c>
      <c r="X365" s="136">
        <f>SUM(X364:X364)</f>
        <v>-2077</v>
      </c>
      <c r="Y365" s="136" t="s">
        <v>47</v>
      </c>
      <c r="Z365" s="136" t="s">
        <v>45</v>
      </c>
      <c r="AA365" s="136"/>
      <c r="AB365" s="84"/>
      <c r="AC365" s="136"/>
      <c r="AD365" s="136"/>
      <c r="AE365" s="100">
        <f t="shared" si="555"/>
        <v>2.7200791295746787E-2</v>
      </c>
      <c r="AF365" s="90"/>
      <c r="AG365" s="109">
        <f t="shared" si="556"/>
        <v>0</v>
      </c>
      <c r="AH365" s="100">
        <f t="shared" si="557"/>
        <v>-1</v>
      </c>
      <c r="AI365" s="100">
        <f t="shared" si="558"/>
        <v>-1</v>
      </c>
    </row>
    <row r="366" spans="1:35" s="45" customFormat="1" ht="20.25" customHeight="1" x14ac:dyDescent="0.3">
      <c r="A366" s="113"/>
      <c r="B366" s="106" t="s">
        <v>1</v>
      </c>
      <c r="C366" s="117">
        <v>47823</v>
      </c>
      <c r="D366" s="267" t="s">
        <v>919</v>
      </c>
      <c r="E366" s="126" t="s">
        <v>41</v>
      </c>
      <c r="F366" s="106">
        <v>3440</v>
      </c>
      <c r="G366" s="106"/>
      <c r="H366" s="106"/>
      <c r="I366" s="106"/>
      <c r="J366" s="106"/>
      <c r="K366" s="116"/>
      <c r="L366" s="106"/>
      <c r="M366" s="106"/>
      <c r="N366" s="110">
        <f>M366-F366</f>
        <v>-3440</v>
      </c>
      <c r="O366" s="110"/>
      <c r="P366" s="106"/>
      <c r="Q366" s="106"/>
      <c r="R366" s="106"/>
      <c r="S366" s="106"/>
      <c r="T366" s="110">
        <f>S366-Q366</f>
        <v>0</v>
      </c>
      <c r="U366" s="59">
        <f t="shared" ref="U366:U367" si="654">IF(Q366&gt;0,S366-W366,M366-W366)</f>
        <v>0</v>
      </c>
      <c r="V366" s="106"/>
      <c r="W366" s="106"/>
      <c r="X366" s="110">
        <f>+W366-M366</f>
        <v>0</v>
      </c>
      <c r="Y366" s="110"/>
      <c r="Z366" s="110"/>
      <c r="AA366" s="110"/>
      <c r="AB366" s="106"/>
      <c r="AC366" s="106"/>
      <c r="AD366" s="106"/>
      <c r="AE366" s="100">
        <f t="shared" ref="AE366:AE367" si="655">N366/F366</f>
        <v>-1</v>
      </c>
      <c r="AF366" s="90"/>
      <c r="AG366" s="109">
        <f t="shared" ref="AG366:AG367" si="656">IF(N366&lt;0,N366,0)</f>
        <v>-3440</v>
      </c>
      <c r="AH366" s="100">
        <f t="shared" ref="AH366:AH367" si="657">(S366-F366)/F366</f>
        <v>-1</v>
      </c>
      <c r="AI366" s="100">
        <f t="shared" ref="AI366:AI367" si="658">(W366-F366)/F366</f>
        <v>-1</v>
      </c>
    </row>
    <row r="367" spans="1:35" s="43" customFormat="1" ht="16.5" customHeight="1" x14ac:dyDescent="0.3">
      <c r="A367" s="90" t="s">
        <v>46</v>
      </c>
      <c r="B367" s="136" t="s">
        <v>1</v>
      </c>
      <c r="C367" s="137"/>
      <c r="D367" s="136"/>
      <c r="E367" s="90"/>
      <c r="F367" s="136">
        <f>SUM(F366:F366)</f>
        <v>3440</v>
      </c>
      <c r="G367" s="136"/>
      <c r="H367" s="136"/>
      <c r="I367" s="136"/>
      <c r="J367" s="136"/>
      <c r="K367" s="64" t="s">
        <v>226</v>
      </c>
      <c r="L367" s="136">
        <f>SUM(L366:L366)</f>
        <v>0</v>
      </c>
      <c r="M367" s="136">
        <f>SUM(M366:M366)</f>
        <v>0</v>
      </c>
      <c r="N367" s="136">
        <f>SUM(N366:N366)</f>
        <v>-3440</v>
      </c>
      <c r="O367" s="136"/>
      <c r="P367" s="136">
        <f>SUM(P366:P366)</f>
        <v>0</v>
      </c>
      <c r="Q367" s="136">
        <f>SUM(Q366:Q366)</f>
        <v>0</v>
      </c>
      <c r="R367" s="136">
        <f>SUM(R366:R366)</f>
        <v>0</v>
      </c>
      <c r="S367" s="136">
        <f>SUM(S366:S366)</f>
        <v>0</v>
      </c>
      <c r="T367" s="136">
        <f>SUM(T366:T366)</f>
        <v>0</v>
      </c>
      <c r="U367" s="59">
        <f t="shared" si="654"/>
        <v>0</v>
      </c>
      <c r="V367" s="136">
        <f>SUM(V366:V366)</f>
        <v>0</v>
      </c>
      <c r="W367" s="136">
        <f>SUM(W366:W366)</f>
        <v>0</v>
      </c>
      <c r="X367" s="136">
        <f>SUM(X366:X366)</f>
        <v>0</v>
      </c>
      <c r="Y367" s="136" t="s">
        <v>47</v>
      </c>
      <c r="Z367" s="136" t="s">
        <v>45</v>
      </c>
      <c r="AA367" s="136"/>
      <c r="AB367" s="84"/>
      <c r="AC367" s="136"/>
      <c r="AD367" s="136"/>
      <c r="AE367" s="100">
        <f t="shared" si="655"/>
        <v>-1</v>
      </c>
      <c r="AF367" s="90"/>
      <c r="AG367" s="109">
        <f t="shared" si="656"/>
        <v>-3440</v>
      </c>
      <c r="AH367" s="100">
        <f t="shared" si="657"/>
        <v>-1</v>
      </c>
      <c r="AI367" s="100">
        <f t="shared" si="658"/>
        <v>-1</v>
      </c>
    </row>
    <row r="368" spans="1:35" s="45" customFormat="1" ht="20.25" customHeight="1" x14ac:dyDescent="0.3">
      <c r="A368" s="113"/>
      <c r="B368" s="106" t="s">
        <v>1</v>
      </c>
      <c r="C368" s="117">
        <v>47944</v>
      </c>
      <c r="D368" s="267" t="s">
        <v>917</v>
      </c>
      <c r="E368" s="126" t="s">
        <v>918</v>
      </c>
      <c r="F368" s="106">
        <v>7135</v>
      </c>
      <c r="G368" s="106"/>
      <c r="H368" s="106"/>
      <c r="I368" s="106"/>
      <c r="J368" s="106"/>
      <c r="K368" s="116"/>
      <c r="L368" s="106"/>
      <c r="M368" s="106"/>
      <c r="N368" s="110">
        <f>M368-F368</f>
        <v>-7135</v>
      </c>
      <c r="O368" s="110"/>
      <c r="P368" s="106"/>
      <c r="Q368" s="106"/>
      <c r="R368" s="106"/>
      <c r="S368" s="106"/>
      <c r="T368" s="110">
        <f>S368-Q368</f>
        <v>0</v>
      </c>
      <c r="U368" s="59">
        <f t="shared" si="643"/>
        <v>0</v>
      </c>
      <c r="V368" s="106"/>
      <c r="W368" s="106"/>
      <c r="X368" s="110">
        <f>+W368-M368</f>
        <v>0</v>
      </c>
      <c r="Y368" s="110"/>
      <c r="Z368" s="110"/>
      <c r="AA368" s="110"/>
      <c r="AB368" s="106"/>
      <c r="AC368" s="106"/>
      <c r="AD368" s="106"/>
      <c r="AE368" s="100">
        <f t="shared" si="555"/>
        <v>-1</v>
      </c>
      <c r="AF368" s="90"/>
      <c r="AG368" s="109">
        <f t="shared" si="556"/>
        <v>-7135</v>
      </c>
      <c r="AH368" s="100">
        <f t="shared" si="557"/>
        <v>-1</v>
      </c>
      <c r="AI368" s="100">
        <f t="shared" si="558"/>
        <v>-1</v>
      </c>
    </row>
    <row r="369" spans="1:35" s="43" customFormat="1" ht="16.5" customHeight="1" x14ac:dyDescent="0.3">
      <c r="A369" s="90" t="s">
        <v>46</v>
      </c>
      <c r="B369" s="136" t="s">
        <v>1</v>
      </c>
      <c r="C369" s="137"/>
      <c r="D369" s="136"/>
      <c r="E369" s="90"/>
      <c r="F369" s="136">
        <f>SUM(F368:F368)</f>
        <v>7135</v>
      </c>
      <c r="G369" s="136"/>
      <c r="H369" s="136"/>
      <c r="I369" s="136"/>
      <c r="J369" s="136"/>
      <c r="K369" s="64" t="s">
        <v>226</v>
      </c>
      <c r="L369" s="136">
        <f>SUM(L368:L368)</f>
        <v>0</v>
      </c>
      <c r="M369" s="136">
        <f>SUM(M368:M368)</f>
        <v>0</v>
      </c>
      <c r="N369" s="136">
        <f>SUM(N368:N368)</f>
        <v>-7135</v>
      </c>
      <c r="O369" s="136"/>
      <c r="P369" s="136">
        <f>SUM(P368:P368)</f>
        <v>0</v>
      </c>
      <c r="Q369" s="136">
        <f>SUM(Q368:Q368)</f>
        <v>0</v>
      </c>
      <c r="R369" s="136">
        <f>SUM(R368:R368)</f>
        <v>0</v>
      </c>
      <c r="S369" s="136">
        <f>SUM(S368:S368)</f>
        <v>0</v>
      </c>
      <c r="T369" s="136">
        <f>SUM(T368:T368)</f>
        <v>0</v>
      </c>
      <c r="U369" s="59">
        <f t="shared" si="643"/>
        <v>0</v>
      </c>
      <c r="V369" s="136">
        <f>SUM(V368:V368)</f>
        <v>0</v>
      </c>
      <c r="W369" s="136">
        <f>SUM(W368:W368)</f>
        <v>0</v>
      </c>
      <c r="X369" s="136">
        <f>SUM(X368:X368)</f>
        <v>0</v>
      </c>
      <c r="Y369" s="136" t="s">
        <v>47</v>
      </c>
      <c r="Z369" s="136" t="s">
        <v>45</v>
      </c>
      <c r="AA369" s="136"/>
      <c r="AB369" s="84"/>
      <c r="AC369" s="136"/>
      <c r="AD369" s="136"/>
      <c r="AE369" s="100">
        <f t="shared" si="555"/>
        <v>-1</v>
      </c>
      <c r="AF369" s="90"/>
      <c r="AG369" s="109">
        <f t="shared" si="556"/>
        <v>-7135</v>
      </c>
      <c r="AH369" s="100">
        <f t="shared" si="557"/>
        <v>-1</v>
      </c>
      <c r="AI369" s="100">
        <f t="shared" si="558"/>
        <v>-1</v>
      </c>
    </row>
    <row r="370" spans="1:35" s="45" customFormat="1" ht="20.25" customHeight="1" x14ac:dyDescent="0.3">
      <c r="A370" s="113"/>
      <c r="B370" s="106" t="s">
        <v>1</v>
      </c>
      <c r="C370" s="117">
        <v>47791</v>
      </c>
      <c r="D370" s="267" t="s">
        <v>926</v>
      </c>
      <c r="E370" s="126" t="s">
        <v>927</v>
      </c>
      <c r="F370" s="106">
        <v>5420</v>
      </c>
      <c r="G370" s="106"/>
      <c r="H370" s="106"/>
      <c r="I370" s="106"/>
      <c r="J370" s="106"/>
      <c r="K370" s="116"/>
      <c r="L370" s="106"/>
      <c r="M370" s="106"/>
      <c r="N370" s="110">
        <f>M370-F370</f>
        <v>-5420</v>
      </c>
      <c r="O370" s="110"/>
      <c r="P370" s="106"/>
      <c r="Q370" s="106"/>
      <c r="R370" s="106"/>
      <c r="S370" s="106"/>
      <c r="T370" s="110">
        <f>S370-Q370</f>
        <v>0</v>
      </c>
      <c r="U370" s="59">
        <f t="shared" si="643"/>
        <v>0</v>
      </c>
      <c r="V370" s="106"/>
      <c r="W370" s="106"/>
      <c r="X370" s="110">
        <f>+W370-M370</f>
        <v>0</v>
      </c>
      <c r="Y370" s="110"/>
      <c r="Z370" s="110"/>
      <c r="AA370" s="110"/>
      <c r="AB370" s="106"/>
      <c r="AC370" s="106"/>
      <c r="AD370" s="106"/>
      <c r="AE370" s="100">
        <f t="shared" si="555"/>
        <v>-1</v>
      </c>
      <c r="AF370" s="90"/>
      <c r="AG370" s="109">
        <f t="shared" si="556"/>
        <v>-5420</v>
      </c>
      <c r="AH370" s="100">
        <f t="shared" si="557"/>
        <v>-1</v>
      </c>
      <c r="AI370" s="100">
        <f t="shared" si="558"/>
        <v>-1</v>
      </c>
    </row>
    <row r="371" spans="1:35" s="43" customFormat="1" ht="16.5" customHeight="1" x14ac:dyDescent="0.3">
      <c r="A371" s="90" t="s">
        <v>46</v>
      </c>
      <c r="B371" s="136" t="s">
        <v>1</v>
      </c>
      <c r="C371" s="137"/>
      <c r="D371" s="136"/>
      <c r="E371" s="90"/>
      <c r="F371" s="136">
        <f>SUM(F370:F370)</f>
        <v>5420</v>
      </c>
      <c r="G371" s="136"/>
      <c r="H371" s="136"/>
      <c r="I371" s="136"/>
      <c r="J371" s="136"/>
      <c r="K371" s="64" t="s">
        <v>377</v>
      </c>
      <c r="L371" s="136">
        <f>SUM(L370:L370)</f>
        <v>0</v>
      </c>
      <c r="M371" s="136">
        <f>SUM(M370:M370)</f>
        <v>0</v>
      </c>
      <c r="N371" s="136">
        <f>SUM(N370:N370)</f>
        <v>-5420</v>
      </c>
      <c r="O371" s="136"/>
      <c r="P371" s="136">
        <f>SUM(P370:P370)</f>
        <v>0</v>
      </c>
      <c r="Q371" s="136">
        <f>SUM(Q370:Q370)</f>
        <v>0</v>
      </c>
      <c r="R371" s="136">
        <f>SUM(R370:R370)</f>
        <v>0</v>
      </c>
      <c r="S371" s="136">
        <f>SUM(S370:S370)</f>
        <v>0</v>
      </c>
      <c r="T371" s="136">
        <f>SUM(T370:T370)</f>
        <v>0</v>
      </c>
      <c r="U371" s="59">
        <f t="shared" si="643"/>
        <v>0</v>
      </c>
      <c r="V371" s="136">
        <f>SUM(V370:V370)</f>
        <v>0</v>
      </c>
      <c r="W371" s="136">
        <f>SUM(W370:W370)</f>
        <v>0</v>
      </c>
      <c r="X371" s="136">
        <f>SUM(X370:X370)</f>
        <v>0</v>
      </c>
      <c r="Y371" s="136" t="s">
        <v>48</v>
      </c>
      <c r="Z371" s="136" t="s">
        <v>45</v>
      </c>
      <c r="AA371" s="136"/>
      <c r="AB371" s="84"/>
      <c r="AC371" s="136"/>
      <c r="AD371" s="136"/>
      <c r="AE371" s="100">
        <f t="shared" si="555"/>
        <v>-1</v>
      </c>
      <c r="AF371" s="90"/>
      <c r="AG371" s="109">
        <f t="shared" si="556"/>
        <v>-5420</v>
      </c>
      <c r="AH371" s="100">
        <f t="shared" si="557"/>
        <v>-1</v>
      </c>
      <c r="AI371" s="100">
        <f t="shared" si="558"/>
        <v>-1</v>
      </c>
    </row>
    <row r="372" spans="1:35" s="45" customFormat="1" ht="20.25" customHeight="1" x14ac:dyDescent="0.3">
      <c r="A372" s="113"/>
      <c r="B372" s="106" t="s">
        <v>1</v>
      </c>
      <c r="C372" s="117">
        <v>48131</v>
      </c>
      <c r="D372" s="268" t="s">
        <v>949</v>
      </c>
      <c r="E372" s="126" t="s">
        <v>650</v>
      </c>
      <c r="F372" s="106">
        <v>4588</v>
      </c>
      <c r="G372" s="106"/>
      <c r="H372" s="106"/>
      <c r="I372" s="106"/>
      <c r="J372" s="106"/>
      <c r="K372" s="116"/>
      <c r="L372" s="106"/>
      <c r="M372" s="106"/>
      <c r="N372" s="110">
        <f>M372-F372</f>
        <v>-4588</v>
      </c>
      <c r="O372" s="110"/>
      <c r="P372" s="106"/>
      <c r="Q372" s="106"/>
      <c r="R372" s="106"/>
      <c r="S372" s="106"/>
      <c r="T372" s="110">
        <f>S372-Q372</f>
        <v>0</v>
      </c>
      <c r="U372" s="59">
        <f t="shared" si="643"/>
        <v>0</v>
      </c>
      <c r="V372" s="106"/>
      <c r="W372" s="106"/>
      <c r="X372" s="110">
        <f>+W372-M372</f>
        <v>0</v>
      </c>
      <c r="Y372" s="110"/>
      <c r="Z372" s="110"/>
      <c r="AA372" s="110"/>
      <c r="AB372" s="106"/>
      <c r="AC372" s="106"/>
      <c r="AD372" s="106"/>
      <c r="AE372" s="100">
        <f t="shared" ref="AE372:AE373" si="659">N372/F372</f>
        <v>-1</v>
      </c>
      <c r="AF372" s="90"/>
      <c r="AG372" s="109">
        <f t="shared" ref="AG372:AG373" si="660">IF(N372&lt;0,N372,0)</f>
        <v>-4588</v>
      </c>
      <c r="AH372" s="100">
        <f t="shared" ref="AH372:AH373" si="661">(S372-F372)/F372</f>
        <v>-1</v>
      </c>
      <c r="AI372" s="100">
        <f t="shared" ref="AI372:AI373" si="662">(W372-F372)/F372</f>
        <v>-1</v>
      </c>
    </row>
    <row r="373" spans="1:35" s="43" customFormat="1" ht="16.5" customHeight="1" x14ac:dyDescent="0.3">
      <c r="A373" s="90" t="s">
        <v>46</v>
      </c>
      <c r="B373" s="136" t="s">
        <v>1</v>
      </c>
      <c r="C373" s="137"/>
      <c r="D373" s="136"/>
      <c r="E373" s="90"/>
      <c r="F373" s="136">
        <f>SUM(F372:F372)</f>
        <v>4588</v>
      </c>
      <c r="G373" s="136"/>
      <c r="H373" s="136"/>
      <c r="I373" s="136"/>
      <c r="J373" s="136"/>
      <c r="K373" s="64" t="s">
        <v>436</v>
      </c>
      <c r="L373" s="136">
        <f>SUM(L372:L372)</f>
        <v>0</v>
      </c>
      <c r="M373" s="136">
        <f>SUM(M372:M372)</f>
        <v>0</v>
      </c>
      <c r="N373" s="136">
        <f>SUM(N372:N372)</f>
        <v>-4588</v>
      </c>
      <c r="O373" s="136"/>
      <c r="P373" s="136">
        <f>SUM(P372:P372)</f>
        <v>0</v>
      </c>
      <c r="Q373" s="136">
        <f>SUM(Q372:Q372)</f>
        <v>0</v>
      </c>
      <c r="R373" s="136">
        <f>SUM(R372:R372)</f>
        <v>0</v>
      </c>
      <c r="S373" s="136">
        <f>SUM(S372:S372)</f>
        <v>0</v>
      </c>
      <c r="T373" s="136">
        <f>SUM(T372:T372)</f>
        <v>0</v>
      </c>
      <c r="U373" s="59">
        <f t="shared" si="643"/>
        <v>0</v>
      </c>
      <c r="V373" s="136">
        <f>SUM(V372:V372)</f>
        <v>0</v>
      </c>
      <c r="W373" s="136">
        <f>SUM(W372:W372)</f>
        <v>0</v>
      </c>
      <c r="X373" s="136">
        <f>SUM(X372:X372)</f>
        <v>0</v>
      </c>
      <c r="Y373" s="136" t="s">
        <v>57</v>
      </c>
      <c r="Z373" s="136" t="s">
        <v>45</v>
      </c>
      <c r="AA373" s="136"/>
      <c r="AB373" s="84"/>
      <c r="AC373" s="136"/>
      <c r="AD373" s="136"/>
      <c r="AE373" s="100">
        <f t="shared" si="659"/>
        <v>-1</v>
      </c>
      <c r="AF373" s="90"/>
      <c r="AG373" s="109">
        <f t="shared" si="660"/>
        <v>-4588</v>
      </c>
      <c r="AH373" s="100">
        <f t="shared" si="661"/>
        <v>-1</v>
      </c>
      <c r="AI373" s="100">
        <f t="shared" si="662"/>
        <v>-1</v>
      </c>
    </row>
    <row r="374" spans="1:35" s="45" customFormat="1" ht="20.25" customHeight="1" x14ac:dyDescent="0.3">
      <c r="A374" s="113"/>
      <c r="B374" s="106" t="s">
        <v>1</v>
      </c>
      <c r="C374" s="117">
        <v>48151</v>
      </c>
      <c r="D374" s="255" t="s">
        <v>774</v>
      </c>
      <c r="E374" s="126" t="s">
        <v>775</v>
      </c>
      <c r="F374" s="106">
        <v>5118</v>
      </c>
      <c r="G374" s="106"/>
      <c r="H374" s="106"/>
      <c r="I374" s="106"/>
      <c r="J374" s="106"/>
      <c r="K374" s="116"/>
      <c r="L374" s="106"/>
      <c r="M374" s="106"/>
      <c r="N374" s="110">
        <f>M374-F374</f>
        <v>-5118</v>
      </c>
      <c r="O374" s="110"/>
      <c r="P374" s="106"/>
      <c r="Q374" s="106"/>
      <c r="R374" s="106"/>
      <c r="S374" s="106"/>
      <c r="T374" s="110">
        <f>S374-Q374</f>
        <v>0</v>
      </c>
      <c r="U374" s="59">
        <f t="shared" si="550"/>
        <v>0</v>
      </c>
      <c r="V374" s="106"/>
      <c r="W374" s="106"/>
      <c r="X374" s="110">
        <f>+W374-M374</f>
        <v>0</v>
      </c>
      <c r="Y374" s="110"/>
      <c r="Z374" s="110"/>
      <c r="AA374" s="110"/>
      <c r="AB374" s="106"/>
      <c r="AC374" s="106"/>
      <c r="AD374" s="106"/>
      <c r="AE374" s="100">
        <f t="shared" si="526"/>
        <v>-1</v>
      </c>
      <c r="AF374" s="90"/>
      <c r="AG374" s="109">
        <f t="shared" si="527"/>
        <v>-5118</v>
      </c>
      <c r="AH374" s="100">
        <f t="shared" si="528"/>
        <v>-1</v>
      </c>
      <c r="AI374" s="100">
        <f t="shared" si="529"/>
        <v>-1</v>
      </c>
    </row>
    <row r="375" spans="1:35" s="43" customFormat="1" ht="16.5" customHeight="1" x14ac:dyDescent="0.3">
      <c r="A375" s="90" t="s">
        <v>46</v>
      </c>
      <c r="B375" s="136" t="s">
        <v>1</v>
      </c>
      <c r="C375" s="137"/>
      <c r="D375" s="136"/>
      <c r="E375" s="90"/>
      <c r="F375" s="136">
        <f>SUM(F374:F374)</f>
        <v>5118</v>
      </c>
      <c r="G375" s="136"/>
      <c r="H375" s="136"/>
      <c r="I375" s="136"/>
      <c r="J375" s="136"/>
      <c r="K375" s="64" t="s">
        <v>726</v>
      </c>
      <c r="L375" s="136">
        <f>SUM(L374:L374)</f>
        <v>0</v>
      </c>
      <c r="M375" s="136">
        <f>SUM(M374:M374)</f>
        <v>0</v>
      </c>
      <c r="N375" s="136">
        <f>SUM(N374:N374)</f>
        <v>-5118</v>
      </c>
      <c r="O375" s="136"/>
      <c r="P375" s="136">
        <f>SUM(P374:P374)</f>
        <v>0</v>
      </c>
      <c r="Q375" s="136">
        <f>SUM(Q374:Q374)</f>
        <v>0</v>
      </c>
      <c r="R375" s="136">
        <f>SUM(R374:R374)</f>
        <v>0</v>
      </c>
      <c r="S375" s="136">
        <f>SUM(S374:S374)</f>
        <v>0</v>
      </c>
      <c r="T375" s="136">
        <f>SUM(T374:T374)</f>
        <v>0</v>
      </c>
      <c r="U375" s="59">
        <f t="shared" si="550"/>
        <v>0</v>
      </c>
      <c r="V375" s="136">
        <f>SUM(V374:V374)</f>
        <v>0</v>
      </c>
      <c r="W375" s="136">
        <f>SUM(W374:W374)</f>
        <v>0</v>
      </c>
      <c r="X375" s="136">
        <f>SUM(X374:X374)</f>
        <v>0</v>
      </c>
      <c r="Y375" s="136" t="s">
        <v>48</v>
      </c>
      <c r="Z375" s="136" t="s">
        <v>45</v>
      </c>
      <c r="AA375" s="136"/>
      <c r="AB375" s="84"/>
      <c r="AC375" s="136"/>
      <c r="AD375" s="136"/>
      <c r="AE375" s="100">
        <f t="shared" si="526"/>
        <v>-1</v>
      </c>
      <c r="AF375" s="90"/>
      <c r="AG375" s="109">
        <f t="shared" si="527"/>
        <v>-5118</v>
      </c>
      <c r="AH375" s="100">
        <f t="shared" si="528"/>
        <v>-1</v>
      </c>
      <c r="AI375" s="100">
        <f t="shared" si="529"/>
        <v>-1</v>
      </c>
    </row>
    <row r="376" spans="1:35" s="45" customFormat="1" ht="20.25" customHeight="1" x14ac:dyDescent="0.3">
      <c r="A376" s="113"/>
      <c r="B376" s="106" t="s">
        <v>1</v>
      </c>
      <c r="C376" s="117">
        <v>47868</v>
      </c>
      <c r="D376" s="251" t="s">
        <v>761</v>
      </c>
      <c r="E376" s="126" t="s">
        <v>633</v>
      </c>
      <c r="F376" s="106">
        <v>7232</v>
      </c>
      <c r="G376" s="106"/>
      <c r="H376" s="106"/>
      <c r="I376" s="106"/>
      <c r="J376" s="106"/>
      <c r="K376" s="116"/>
      <c r="L376" s="106"/>
      <c r="M376" s="106">
        <f>1515+1470+3225+1044+35</f>
        <v>7289</v>
      </c>
      <c r="N376" s="110">
        <f>M376-F376</f>
        <v>57</v>
      </c>
      <c r="O376" s="110"/>
      <c r="P376" s="106"/>
      <c r="Q376" s="106"/>
      <c r="R376" s="106"/>
      <c r="S376" s="106"/>
      <c r="T376" s="110">
        <f>S376-Q376</f>
        <v>0</v>
      </c>
      <c r="U376" s="59">
        <f t="shared" si="550"/>
        <v>5774</v>
      </c>
      <c r="V376" s="106">
        <v>1515</v>
      </c>
      <c r="W376" s="106">
        <v>1515</v>
      </c>
      <c r="X376" s="110">
        <f>+W376-M376</f>
        <v>-5774</v>
      </c>
      <c r="Y376" s="110"/>
      <c r="Z376" s="110"/>
      <c r="AA376" s="110"/>
      <c r="AB376" s="106"/>
      <c r="AC376" s="106"/>
      <c r="AD376" s="106"/>
      <c r="AE376" s="100">
        <f t="shared" ref="AE376" si="663">N376/F376</f>
        <v>7.881637168141593E-3</v>
      </c>
      <c r="AF376" s="90"/>
      <c r="AG376" s="109">
        <f t="shared" ref="AG376" si="664">IF(N376&lt;0,N376,0)</f>
        <v>0</v>
      </c>
      <c r="AH376" s="100">
        <f t="shared" ref="AH376" si="665">(S376-F376)/F376</f>
        <v>-1</v>
      </c>
      <c r="AI376" s="100">
        <f t="shared" ref="AI376" si="666">(W376-F376)/F376</f>
        <v>-0.79051438053097345</v>
      </c>
    </row>
    <row r="377" spans="1:35" s="43" customFormat="1" ht="16.5" customHeight="1" x14ac:dyDescent="0.3">
      <c r="A377" s="90" t="s">
        <v>46</v>
      </c>
      <c r="B377" s="136" t="s">
        <v>1</v>
      </c>
      <c r="C377" s="137"/>
      <c r="D377" s="136"/>
      <c r="E377" s="90"/>
      <c r="F377" s="136">
        <f>SUM(F376:F376)</f>
        <v>7232</v>
      </c>
      <c r="G377" s="136"/>
      <c r="H377" s="136"/>
      <c r="I377" s="136"/>
      <c r="J377" s="136" t="s">
        <v>58</v>
      </c>
      <c r="K377" s="64" t="s">
        <v>377</v>
      </c>
      <c r="L377" s="136">
        <f>SUM(L376:L376)</f>
        <v>0</v>
      </c>
      <c r="M377" s="136">
        <f>SUM(M376:M376)</f>
        <v>7289</v>
      </c>
      <c r="N377" s="136">
        <f>SUM(N376:N376)</f>
        <v>57</v>
      </c>
      <c r="O377" s="136"/>
      <c r="P377" s="136">
        <f t="shared" ref="P377:X377" si="667">SUM(P376:P376)</f>
        <v>0</v>
      </c>
      <c r="Q377" s="136">
        <f t="shared" si="667"/>
        <v>0</v>
      </c>
      <c r="R377" s="136">
        <f t="shared" si="667"/>
        <v>0</v>
      </c>
      <c r="S377" s="136">
        <f t="shared" si="667"/>
        <v>0</v>
      </c>
      <c r="T377" s="136">
        <f t="shared" si="667"/>
        <v>0</v>
      </c>
      <c r="U377" s="59">
        <f t="shared" si="667"/>
        <v>5774</v>
      </c>
      <c r="V377" s="136">
        <f t="shared" si="667"/>
        <v>1515</v>
      </c>
      <c r="W377" s="136">
        <f t="shared" si="667"/>
        <v>1515</v>
      </c>
      <c r="X377" s="136">
        <f t="shared" si="667"/>
        <v>-5774</v>
      </c>
      <c r="Y377" s="136"/>
      <c r="Z377" s="136"/>
      <c r="AA377" s="136"/>
      <c r="AB377" s="84"/>
      <c r="AC377" s="136"/>
      <c r="AD377" s="136"/>
      <c r="AE377" s="100">
        <f t="shared" ref="AE377:AE383" si="668">N377/F377</f>
        <v>7.881637168141593E-3</v>
      </c>
      <c r="AF377" s="90"/>
      <c r="AG377" s="109">
        <f t="shared" ref="AG377:AG383" si="669">IF(N377&lt;0,N377,0)</f>
        <v>0</v>
      </c>
      <c r="AH377" s="100">
        <f t="shared" ref="AH377:AH383" si="670">(S377-F377)/F377</f>
        <v>-1</v>
      </c>
      <c r="AI377" s="100">
        <f t="shared" ref="AI377:AI383" si="671">(W377-F377)/F377</f>
        <v>-0.79051438053097345</v>
      </c>
    </row>
    <row r="378" spans="1:35" s="45" customFormat="1" ht="20.25" customHeight="1" x14ac:dyDescent="0.3">
      <c r="A378" s="113"/>
      <c r="B378" s="106" t="s">
        <v>1</v>
      </c>
      <c r="C378" s="117">
        <v>47780</v>
      </c>
      <c r="D378" s="186" t="s">
        <v>649</v>
      </c>
      <c r="E378" s="126" t="s">
        <v>650</v>
      </c>
      <c r="F378" s="106">
        <v>5382</v>
      </c>
      <c r="G378" s="106"/>
      <c r="H378" s="106"/>
      <c r="I378" s="106"/>
      <c r="J378" s="106"/>
      <c r="K378" s="116"/>
      <c r="L378" s="106"/>
      <c r="M378" s="106">
        <f>1236+1068+1200+36+1236+600+144</f>
        <v>5520</v>
      </c>
      <c r="N378" s="110">
        <f>M378-F378</f>
        <v>138</v>
      </c>
      <c r="O378" s="110"/>
      <c r="P378" s="106"/>
      <c r="Q378" s="106">
        <f>1172+1068+1236+1236+600+144+60</f>
        <v>5516</v>
      </c>
      <c r="R378" s="106"/>
      <c r="S378" s="106">
        <f>1199+657+362+2023+608+302+56+236</f>
        <v>5443</v>
      </c>
      <c r="T378" s="110">
        <f>S378-Q378</f>
        <v>-73</v>
      </c>
      <c r="U378" s="59">
        <f t="shared" si="550"/>
        <v>11</v>
      </c>
      <c r="V378" s="106"/>
      <c r="W378" s="106">
        <v>5432</v>
      </c>
      <c r="X378" s="110">
        <f>+W378-M378</f>
        <v>-88</v>
      </c>
      <c r="Y378" s="110"/>
      <c r="Z378" s="110"/>
      <c r="AA378" s="110"/>
      <c r="AB378" s="106"/>
      <c r="AC378" s="106"/>
      <c r="AD378" s="106"/>
      <c r="AE378" s="100">
        <f t="shared" si="668"/>
        <v>2.564102564102564E-2</v>
      </c>
      <c r="AF378" s="90"/>
      <c r="AG378" s="109">
        <f t="shared" si="669"/>
        <v>0</v>
      </c>
      <c r="AH378" s="100">
        <f t="shared" si="670"/>
        <v>1.1334076551467856E-2</v>
      </c>
      <c r="AI378" s="100">
        <f t="shared" si="671"/>
        <v>9.2902266815310299E-3</v>
      </c>
    </row>
    <row r="379" spans="1:35" s="43" customFormat="1" ht="16.5" customHeight="1" x14ac:dyDescent="0.3">
      <c r="A379" s="90" t="s">
        <v>46</v>
      </c>
      <c r="B379" s="136" t="s">
        <v>1</v>
      </c>
      <c r="C379" s="137"/>
      <c r="D379" s="136"/>
      <c r="E379" s="90"/>
      <c r="F379" s="136">
        <f>SUM(F378:F378)</f>
        <v>5382</v>
      </c>
      <c r="G379" s="136"/>
      <c r="H379" s="136"/>
      <c r="I379" s="136"/>
      <c r="J379" s="136" t="s">
        <v>58</v>
      </c>
      <c r="K379" s="64" t="s">
        <v>210</v>
      </c>
      <c r="L379" s="136">
        <f>SUM(L378:L378)</f>
        <v>0</v>
      </c>
      <c r="M379" s="136">
        <f>SUM(M378:M378)</f>
        <v>5520</v>
      </c>
      <c r="N379" s="136">
        <f>SUM(N378:N378)</f>
        <v>138</v>
      </c>
      <c r="O379" s="136" t="s">
        <v>473</v>
      </c>
      <c r="P379" s="136">
        <f>SUM(P378:P378)</f>
        <v>0</v>
      </c>
      <c r="Q379" s="136">
        <f>SUM(Q378:Q378)</f>
        <v>5516</v>
      </c>
      <c r="R379" s="136">
        <f>SUM(R378:R378)</f>
        <v>0</v>
      </c>
      <c r="S379" s="136">
        <f>SUM(S378:S378)</f>
        <v>5443</v>
      </c>
      <c r="T379" s="136">
        <f>SUM(T378:T378)</f>
        <v>-73</v>
      </c>
      <c r="U379" s="59">
        <f t="shared" si="550"/>
        <v>11</v>
      </c>
      <c r="V379" s="136">
        <f>SUM(V378:V378)</f>
        <v>0</v>
      </c>
      <c r="W379" s="136">
        <f>SUM(W378:W378)</f>
        <v>5432</v>
      </c>
      <c r="X379" s="136">
        <f>SUM(X378:X378)</f>
        <v>-88</v>
      </c>
      <c r="Y379" s="136" t="s">
        <v>47</v>
      </c>
      <c r="Z379" s="136" t="s">
        <v>45</v>
      </c>
      <c r="AA379" s="136"/>
      <c r="AB379" s="84"/>
      <c r="AC379" s="136"/>
      <c r="AD379" s="136"/>
      <c r="AE379" s="100">
        <f t="shared" si="668"/>
        <v>2.564102564102564E-2</v>
      </c>
      <c r="AF379" s="90"/>
      <c r="AG379" s="109">
        <f t="shared" si="669"/>
        <v>0</v>
      </c>
      <c r="AH379" s="100">
        <f t="shared" si="670"/>
        <v>1.1334076551467856E-2</v>
      </c>
      <c r="AI379" s="100">
        <f t="shared" si="671"/>
        <v>9.2902266815310299E-3</v>
      </c>
    </row>
    <row r="380" spans="1:35" s="45" customFormat="1" ht="20.25" customHeight="1" x14ac:dyDescent="0.3">
      <c r="A380" s="113"/>
      <c r="B380" s="106" t="s">
        <v>1</v>
      </c>
      <c r="C380" s="117">
        <v>47796</v>
      </c>
      <c r="D380" s="271" t="s">
        <v>1003</v>
      </c>
      <c r="E380" s="126" t="s">
        <v>1004</v>
      </c>
      <c r="F380" s="106">
        <v>2674</v>
      </c>
      <c r="G380" s="106"/>
      <c r="H380" s="106"/>
      <c r="I380" s="106"/>
      <c r="J380" s="106"/>
      <c r="K380" s="116"/>
      <c r="L380" s="106"/>
      <c r="M380" s="106"/>
      <c r="N380" s="110">
        <f>M380-F380</f>
        <v>-2674</v>
      </c>
      <c r="O380" s="110"/>
      <c r="P380" s="106"/>
      <c r="Q380" s="106"/>
      <c r="R380" s="106"/>
      <c r="S380" s="106"/>
      <c r="T380" s="110">
        <f>S380-Q380</f>
        <v>0</v>
      </c>
      <c r="U380" s="59">
        <f t="shared" si="550"/>
        <v>0</v>
      </c>
      <c r="V380" s="106"/>
      <c r="W380" s="106"/>
      <c r="X380" s="110">
        <f>+W380-M380</f>
        <v>0</v>
      </c>
      <c r="Y380" s="110"/>
      <c r="Z380" s="110"/>
      <c r="AA380" s="110"/>
      <c r="AB380" s="106"/>
      <c r="AC380" s="106"/>
      <c r="AD380" s="106"/>
      <c r="AE380" s="100">
        <f t="shared" ref="AE380:AE381" si="672">N380/F380</f>
        <v>-1</v>
      </c>
      <c r="AF380" s="90"/>
      <c r="AG380" s="109">
        <f t="shared" ref="AG380:AG381" si="673">IF(N380&lt;0,N380,0)</f>
        <v>-2674</v>
      </c>
      <c r="AH380" s="100">
        <f t="shared" ref="AH380:AH381" si="674">(S380-F380)/F380</f>
        <v>-1</v>
      </c>
      <c r="AI380" s="100">
        <f t="shared" ref="AI380:AI381" si="675">(W380-F380)/F380</f>
        <v>-1</v>
      </c>
    </row>
    <row r="381" spans="1:35" s="43" customFormat="1" ht="16.5" customHeight="1" x14ac:dyDescent="0.3">
      <c r="A381" s="90" t="s">
        <v>46</v>
      </c>
      <c r="B381" s="136" t="s">
        <v>1</v>
      </c>
      <c r="C381" s="137"/>
      <c r="D381" s="136"/>
      <c r="E381" s="90"/>
      <c r="F381" s="136">
        <f>SUM(F380:F380)</f>
        <v>2674</v>
      </c>
      <c r="G381" s="136"/>
      <c r="H381" s="136"/>
      <c r="I381" s="136"/>
      <c r="J381" s="136" t="s">
        <v>58</v>
      </c>
      <c r="K381" s="64" t="s">
        <v>617</v>
      </c>
      <c r="L381" s="136">
        <f>SUM(L380:L380)</f>
        <v>0</v>
      </c>
      <c r="M381" s="136">
        <f>SUM(M380:M380)</f>
        <v>0</v>
      </c>
      <c r="N381" s="136">
        <f>SUM(N380:N380)</f>
        <v>-2674</v>
      </c>
      <c r="O381" s="136"/>
      <c r="P381" s="136">
        <f>SUM(P380:P380)</f>
        <v>0</v>
      </c>
      <c r="Q381" s="136">
        <f>SUM(Q380:Q380)</f>
        <v>0</v>
      </c>
      <c r="R381" s="136">
        <f>SUM(R380:R380)</f>
        <v>0</v>
      </c>
      <c r="S381" s="136">
        <f>SUM(S380:S380)</f>
        <v>0</v>
      </c>
      <c r="T381" s="136">
        <f>SUM(T380:T380)</f>
        <v>0</v>
      </c>
      <c r="U381" s="59">
        <f t="shared" si="550"/>
        <v>0</v>
      </c>
      <c r="V381" s="136">
        <f>SUM(V380:V380)</f>
        <v>0</v>
      </c>
      <c r="W381" s="136">
        <f>SUM(W380:W380)</f>
        <v>0</v>
      </c>
      <c r="X381" s="136">
        <f>SUM(X380:X380)</f>
        <v>0</v>
      </c>
      <c r="Y381" s="136" t="s">
        <v>57</v>
      </c>
      <c r="Z381" s="136" t="s">
        <v>45</v>
      </c>
      <c r="AA381" s="136"/>
      <c r="AB381" s="84"/>
      <c r="AC381" s="136"/>
      <c r="AD381" s="136"/>
      <c r="AE381" s="100">
        <f t="shared" si="672"/>
        <v>-1</v>
      </c>
      <c r="AF381" s="90"/>
      <c r="AG381" s="109">
        <f t="shared" si="673"/>
        <v>-2674</v>
      </c>
      <c r="AH381" s="100">
        <f t="shared" si="674"/>
        <v>-1</v>
      </c>
      <c r="AI381" s="100">
        <f t="shared" si="675"/>
        <v>-1</v>
      </c>
    </row>
    <row r="382" spans="1:35" s="45" customFormat="1" ht="20.25" customHeight="1" x14ac:dyDescent="0.3">
      <c r="A382" s="113"/>
      <c r="B382" s="106" t="s">
        <v>1</v>
      </c>
      <c r="C382" s="117">
        <v>47824</v>
      </c>
      <c r="D382" s="271" t="s">
        <v>1001</v>
      </c>
      <c r="E382" s="126" t="s">
        <v>1002</v>
      </c>
      <c r="F382" s="106">
        <v>2292</v>
      </c>
      <c r="G382" s="106"/>
      <c r="H382" s="106"/>
      <c r="I382" s="106"/>
      <c r="J382" s="106"/>
      <c r="K382" s="116"/>
      <c r="L382" s="106"/>
      <c r="M382" s="106"/>
      <c r="N382" s="110">
        <f>M382-F382</f>
        <v>-2292</v>
      </c>
      <c r="O382" s="110"/>
      <c r="P382" s="106"/>
      <c r="Q382" s="106"/>
      <c r="R382" s="106"/>
      <c r="S382" s="106"/>
      <c r="T382" s="110">
        <f>S382-Q382</f>
        <v>0</v>
      </c>
      <c r="U382" s="59">
        <f t="shared" ref="U382:U383" si="676">IF(Q382&gt;0,S382-W382,M382-W382)</f>
        <v>0</v>
      </c>
      <c r="V382" s="106"/>
      <c r="W382" s="106"/>
      <c r="X382" s="110">
        <f>+W382-M382</f>
        <v>0</v>
      </c>
      <c r="Y382" s="110"/>
      <c r="Z382" s="110"/>
      <c r="AA382" s="110"/>
      <c r="AB382" s="106"/>
      <c r="AC382" s="106"/>
      <c r="AD382" s="106"/>
      <c r="AE382" s="100">
        <f t="shared" si="668"/>
        <v>-1</v>
      </c>
      <c r="AF382" s="90"/>
      <c r="AG382" s="109">
        <f t="shared" si="669"/>
        <v>-2292</v>
      </c>
      <c r="AH382" s="100">
        <f t="shared" si="670"/>
        <v>-1</v>
      </c>
      <c r="AI382" s="100">
        <f t="shared" si="671"/>
        <v>-1</v>
      </c>
    </row>
    <row r="383" spans="1:35" s="43" customFormat="1" ht="16.5" customHeight="1" x14ac:dyDescent="0.3">
      <c r="A383" s="90" t="s">
        <v>46</v>
      </c>
      <c r="B383" s="136" t="s">
        <v>1</v>
      </c>
      <c r="C383" s="137"/>
      <c r="D383" s="136"/>
      <c r="E383" s="90"/>
      <c r="F383" s="136">
        <f>SUM(F382:F382)</f>
        <v>2292</v>
      </c>
      <c r="G383" s="136"/>
      <c r="H383" s="136"/>
      <c r="I383" s="136"/>
      <c r="J383" s="136" t="s">
        <v>58</v>
      </c>
      <c r="K383" s="64" t="s">
        <v>377</v>
      </c>
      <c r="L383" s="136">
        <f>SUM(L382:L382)</f>
        <v>0</v>
      </c>
      <c r="M383" s="136">
        <f>SUM(M382:M382)</f>
        <v>0</v>
      </c>
      <c r="N383" s="136">
        <f>SUM(N382:N382)</f>
        <v>-2292</v>
      </c>
      <c r="O383" s="136"/>
      <c r="P383" s="136">
        <f>SUM(P382:P382)</f>
        <v>0</v>
      </c>
      <c r="Q383" s="136">
        <f>SUM(Q382:Q382)</f>
        <v>0</v>
      </c>
      <c r="R383" s="136">
        <f>SUM(R382:R382)</f>
        <v>0</v>
      </c>
      <c r="S383" s="136">
        <f>SUM(S382:S382)</f>
        <v>0</v>
      </c>
      <c r="T383" s="136">
        <f>SUM(T382:T382)</f>
        <v>0</v>
      </c>
      <c r="U383" s="59">
        <f t="shared" si="676"/>
        <v>0</v>
      </c>
      <c r="V383" s="136">
        <f>SUM(V382:V382)</f>
        <v>0</v>
      </c>
      <c r="W383" s="136">
        <f>SUM(W382:W382)</f>
        <v>0</v>
      </c>
      <c r="X383" s="136">
        <f>SUM(X382:X382)</f>
        <v>0</v>
      </c>
      <c r="Y383" s="136" t="s">
        <v>47</v>
      </c>
      <c r="Z383" s="136" t="s">
        <v>45</v>
      </c>
      <c r="AA383" s="136"/>
      <c r="AB383" s="84"/>
      <c r="AC383" s="136"/>
      <c r="AD383" s="136"/>
      <c r="AE383" s="100">
        <f t="shared" si="668"/>
        <v>-1</v>
      </c>
      <c r="AF383" s="90"/>
      <c r="AG383" s="109">
        <f t="shared" si="669"/>
        <v>-2292</v>
      </c>
      <c r="AH383" s="100">
        <f t="shared" si="670"/>
        <v>-1</v>
      </c>
      <c r="AI383" s="100">
        <f t="shared" si="671"/>
        <v>-1</v>
      </c>
    </row>
    <row r="384" spans="1:35" s="45" customFormat="1" ht="20.25" customHeight="1" x14ac:dyDescent="0.3">
      <c r="A384" s="113"/>
      <c r="B384" s="106" t="s">
        <v>1</v>
      </c>
      <c r="C384" s="117">
        <v>47778</v>
      </c>
      <c r="D384" s="185" t="s">
        <v>683</v>
      </c>
      <c r="E384" s="126" t="s">
        <v>684</v>
      </c>
      <c r="F384" s="106">
        <v>5382</v>
      </c>
      <c r="G384" s="106"/>
      <c r="H384" s="106"/>
      <c r="I384" s="106"/>
      <c r="J384" s="106"/>
      <c r="K384" s="116"/>
      <c r="L384" s="106"/>
      <c r="M384" s="106">
        <f>306+492+390+1200+432+540+606+540+600+78+30+30+60+132</f>
        <v>5436</v>
      </c>
      <c r="N384" s="110">
        <f>M384-F384</f>
        <v>54</v>
      </c>
      <c r="O384" s="110"/>
      <c r="P384" s="106"/>
      <c r="Q384" s="106">
        <f>306+492+390+414+1200+1146+540+600+78+46+30+60+126</f>
        <v>5428</v>
      </c>
      <c r="R384" s="106"/>
      <c r="S384" s="106">
        <f>796+2000+1687+678+46+30+60+125</f>
        <v>5422</v>
      </c>
      <c r="T384" s="110">
        <f>S384-Q384</f>
        <v>-6</v>
      </c>
      <c r="U384" s="59">
        <f t="shared" si="550"/>
        <v>1</v>
      </c>
      <c r="V384" s="106"/>
      <c r="W384" s="106">
        <v>5421</v>
      </c>
      <c r="X384" s="110">
        <f>+W384-M384</f>
        <v>-15</v>
      </c>
      <c r="Y384" s="110"/>
      <c r="Z384" s="110"/>
      <c r="AA384" s="110"/>
      <c r="AB384" s="106"/>
      <c r="AC384" s="106"/>
      <c r="AD384" s="106"/>
      <c r="AE384" s="100">
        <f t="shared" ref="AE384" si="677">N384/F384</f>
        <v>1.0033444816053512E-2</v>
      </c>
      <c r="AF384" s="90"/>
      <c r="AG384" s="109">
        <f t="shared" ref="AG384" si="678">IF(N384&lt;0,N384,0)</f>
        <v>0</v>
      </c>
      <c r="AH384" s="100">
        <f t="shared" ref="AH384" si="679">(S384-F384)/F384</f>
        <v>7.4321813452248231E-3</v>
      </c>
      <c r="AI384" s="100">
        <f t="shared" ref="AI384" si="680">(W384-F384)/F384</f>
        <v>7.246376811594203E-3</v>
      </c>
    </row>
    <row r="385" spans="1:35" s="43" customFormat="1" ht="16.5" customHeight="1" x14ac:dyDescent="0.3">
      <c r="A385" s="90" t="s">
        <v>46</v>
      </c>
      <c r="B385" s="136" t="s">
        <v>1</v>
      </c>
      <c r="C385" s="137"/>
      <c r="D385" s="136"/>
      <c r="E385" s="90"/>
      <c r="F385" s="136">
        <f>SUM(F384:F384)</f>
        <v>5382</v>
      </c>
      <c r="G385" s="136"/>
      <c r="H385" s="136"/>
      <c r="I385" s="136"/>
      <c r="J385" s="136" t="s">
        <v>58</v>
      </c>
      <c r="K385" s="64" t="s">
        <v>210</v>
      </c>
      <c r="L385" s="136">
        <f>SUM(L384:L384)</f>
        <v>0</v>
      </c>
      <c r="M385" s="136">
        <f>SUM(M384:M384)</f>
        <v>5436</v>
      </c>
      <c r="N385" s="136">
        <f>SUM(N384:N384)</f>
        <v>54</v>
      </c>
      <c r="O385" s="136" t="s">
        <v>763</v>
      </c>
      <c r="P385" s="136">
        <f>SUM(P384:P384)</f>
        <v>0</v>
      </c>
      <c r="Q385" s="136">
        <f>SUM(Q384:Q384)</f>
        <v>5428</v>
      </c>
      <c r="R385" s="136">
        <f>SUM(R384:R384)</f>
        <v>0</v>
      </c>
      <c r="S385" s="136">
        <f>SUM(S384:S384)</f>
        <v>5422</v>
      </c>
      <c r="T385" s="136">
        <f>SUM(T384:T384)</f>
        <v>-6</v>
      </c>
      <c r="U385" s="59">
        <f t="shared" si="550"/>
        <v>1</v>
      </c>
      <c r="V385" s="136">
        <f>SUM(V384:V384)</f>
        <v>0</v>
      </c>
      <c r="W385" s="136">
        <f>SUM(W384:W384)</f>
        <v>5421</v>
      </c>
      <c r="X385" s="136">
        <f>SUM(X384:X384)</f>
        <v>-15</v>
      </c>
      <c r="Y385" s="136" t="s">
        <v>47</v>
      </c>
      <c r="Z385" s="136" t="s">
        <v>45</v>
      </c>
      <c r="AA385" s="136"/>
      <c r="AB385" s="84"/>
      <c r="AC385" s="136"/>
      <c r="AD385" s="136"/>
      <c r="AE385" s="100">
        <f t="shared" ref="AE385" si="681">N385/F385</f>
        <v>1.0033444816053512E-2</v>
      </c>
      <c r="AF385" s="90"/>
      <c r="AG385" s="109">
        <f t="shared" ref="AG385" si="682">IF(N385&lt;0,N385,0)</f>
        <v>0</v>
      </c>
      <c r="AH385" s="100">
        <f t="shared" ref="AH385" si="683">(S385-F385)/F385</f>
        <v>7.4321813452248231E-3</v>
      </c>
      <c r="AI385" s="100">
        <f t="shared" ref="AI385" si="684">(W385-F385)/F385</f>
        <v>7.246376811594203E-3</v>
      </c>
    </row>
    <row r="386" spans="1:35" s="55" customFormat="1" ht="26.25" customHeight="1" x14ac:dyDescent="0.3">
      <c r="A386" s="74"/>
      <c r="B386" s="74" t="s">
        <v>22</v>
      </c>
      <c r="C386" s="74" t="s">
        <v>1</v>
      </c>
      <c r="D386" s="74"/>
      <c r="E386" s="74"/>
      <c r="F386" s="54">
        <f>F240+F385+F245+F272+F252+F248+F262+F256+F265+F258+F267+F270+F282+F286+F284+F279+F275+F277+F289+F297+F301+F306+F295+F291+F303+F299+F375+F308+F315+F377+F327+F324+F321+F379+F353+F329+F331+F373+F371+F369+F367+F365+F363+F361+F359+F357+F355+F346+F342+F339+F335+F383+F381</f>
        <v>343332</v>
      </c>
      <c r="G386" s="54"/>
      <c r="H386" s="54"/>
      <c r="I386" s="54"/>
      <c r="J386" s="54"/>
      <c r="K386" s="54"/>
      <c r="L386" s="54">
        <f>L240+L385+L245+L272+L252+L248+L262+L256+L265+L258+L267+L270+L282+L286+L284+L279+L275+L277+L289+L297+L301+L306+L295+L291+L303+L299+L375+L308+L315+L377+L327+L324+L321+L379+L353+L329+L331+L373+L371+L369+L367+L365+L363+L361+L359+L357+L355+L346+L342+L339+L335+L383+L381</f>
        <v>19043</v>
      </c>
      <c r="M386" s="54">
        <f>M240+M385+M245+M272+M252+M248+M262+M256+M265+M258+M267+M270+M282+M286+M284+M279+M275+M277+M289+M297+M301+M306+M295+M291+M303+M299+M375+M308+M315+M377+M327+M324+M321+M379+M353+M329+M331+M373+M371+M369+M367+M365+M363+M361+M359+M357+M355+M346+M342+M339+M335+M383+M381</f>
        <v>198379</v>
      </c>
      <c r="N386" s="54">
        <f>N240+N385+N245+N272+N252+N248+N262+N256+N265+N258+N267+N270+N282+N286+N284+N279+N275+N277+N289+N297+N301+N306+N295+N291+N303+N299+N375+N308+N315+N377+N327+N324+N321+N379+N353+N329+N331+N373+N371+N369+N367+N365+N363+N361+N359+N357+N355+N346+N342+N339+N335+N383+N381</f>
        <v>-144953</v>
      </c>
      <c r="O386" s="54"/>
      <c r="P386" s="54">
        <f t="shared" ref="P386:X386" si="685">P240+P385+P245+P272+P252+P248+P262+P256+P265+P258+P267+P270+P282+P286+P284+P279+P275+P277+P289+P297+P301+P306+P295+P291+P303+P299+P375+P308+P315+P377+P327+P324+P321+P379+P353+P329+P331+P373+P371+P369+P367+P365+P363+P361+P359+P357+P355+P346+P342+P339+P335+P383+P381</f>
        <v>7786</v>
      </c>
      <c r="Q386" s="54">
        <f t="shared" si="685"/>
        <v>47380</v>
      </c>
      <c r="R386" s="54">
        <f t="shared" si="685"/>
        <v>0</v>
      </c>
      <c r="S386" s="54">
        <f t="shared" si="685"/>
        <v>29074</v>
      </c>
      <c r="T386" s="54">
        <f t="shared" si="685"/>
        <v>-18306</v>
      </c>
      <c r="U386" s="54">
        <f t="shared" si="685"/>
        <v>84986</v>
      </c>
      <c r="V386" s="54">
        <f t="shared" si="685"/>
        <v>12137</v>
      </c>
      <c r="W386" s="54">
        <f t="shared" si="685"/>
        <v>89721</v>
      </c>
      <c r="X386" s="54">
        <f t="shared" si="685"/>
        <v>-108658</v>
      </c>
      <c r="Y386" s="54"/>
      <c r="Z386" s="54"/>
      <c r="AA386" s="54"/>
      <c r="AB386" s="54"/>
      <c r="AC386" s="54"/>
      <c r="AD386" s="54"/>
      <c r="AE386" s="100">
        <f t="shared" ref="AE386" si="686">N386/F386</f>
        <v>-0.42219484347512032</v>
      </c>
      <c r="AF386" s="90"/>
      <c r="AG386" s="109">
        <f t="shared" ref="AG386" si="687">IF(N386&lt;0,N386,0)</f>
        <v>-144953</v>
      </c>
      <c r="AH386" s="100">
        <f t="shared" ref="AH386" si="688">(S386-F386)/F386</f>
        <v>-0.91531811774026306</v>
      </c>
      <c r="AI386" s="100">
        <f t="shared" ref="AI386" si="689">(W386-F386)/F386</f>
        <v>-0.73867568417741425</v>
      </c>
    </row>
    <row r="387" spans="1:35" s="86" customFormat="1" ht="18.75" customHeight="1" x14ac:dyDescent="0.3">
      <c r="A387" s="106"/>
      <c r="B387" s="106" t="s">
        <v>52</v>
      </c>
      <c r="C387" s="118">
        <v>47623</v>
      </c>
      <c r="D387" s="310">
        <v>13263243</v>
      </c>
      <c r="E387" s="131" t="s">
        <v>188</v>
      </c>
      <c r="F387" s="83">
        <v>1008</v>
      </c>
      <c r="G387" s="83"/>
      <c r="H387" s="83"/>
      <c r="I387" s="83"/>
      <c r="J387" s="83"/>
      <c r="K387" s="83"/>
      <c r="L387" s="83"/>
      <c r="M387" s="83">
        <v>1056</v>
      </c>
      <c r="N387" s="110">
        <f>M387-F387</f>
        <v>48</v>
      </c>
      <c r="O387" s="110" t="s">
        <v>100</v>
      </c>
      <c r="P387" s="83"/>
      <c r="Q387" s="83">
        <v>1056</v>
      </c>
      <c r="R387" s="83"/>
      <c r="S387" s="83">
        <v>1055</v>
      </c>
      <c r="T387" s="110">
        <f>S387-Q387</f>
        <v>-1</v>
      </c>
      <c r="U387" s="59">
        <f t="shared" si="550"/>
        <v>3</v>
      </c>
      <c r="V387" s="83"/>
      <c r="W387" s="83">
        <v>1052</v>
      </c>
      <c r="X387" s="110">
        <f>W387-M387</f>
        <v>-4</v>
      </c>
      <c r="Y387" s="110"/>
      <c r="Z387" s="110"/>
      <c r="AA387" s="110"/>
      <c r="AB387" s="83"/>
      <c r="AC387" s="106"/>
      <c r="AD387" s="106"/>
      <c r="AE387" s="100">
        <f t="shared" ref="AE387:AE413" si="690">N387/F387</f>
        <v>4.7619047619047616E-2</v>
      </c>
      <c r="AF387" s="90"/>
      <c r="AG387" s="109">
        <f t="shared" ref="AG387:AG413" si="691">IF(N387&lt;0,N387,0)</f>
        <v>0</v>
      </c>
      <c r="AH387" s="100">
        <f t="shared" ref="AH387:AH413" si="692">(S387-F387)/F387</f>
        <v>4.6626984126984128E-2</v>
      </c>
      <c r="AI387" s="100">
        <f t="shared" ref="AI387:AI413" si="693">(W387-F387)/F387</f>
        <v>4.3650793650793648E-2</v>
      </c>
    </row>
    <row r="388" spans="1:35" s="86" customFormat="1" ht="18.75" customHeight="1" x14ac:dyDescent="0.3">
      <c r="A388" s="106"/>
      <c r="B388" s="106" t="s">
        <v>52</v>
      </c>
      <c r="C388" s="118">
        <v>47623</v>
      </c>
      <c r="D388" s="311"/>
      <c r="E388" s="131" t="s">
        <v>150</v>
      </c>
      <c r="F388" s="83">
        <v>1014</v>
      </c>
      <c r="G388" s="83"/>
      <c r="H388" s="83"/>
      <c r="I388" s="83"/>
      <c r="J388" s="83"/>
      <c r="K388" s="83"/>
      <c r="L388" s="83"/>
      <c r="M388" s="83">
        <f>1108</f>
        <v>1108</v>
      </c>
      <c r="N388" s="110">
        <f>M388-F388</f>
        <v>94</v>
      </c>
      <c r="O388" s="110" t="s">
        <v>100</v>
      </c>
      <c r="P388" s="83"/>
      <c r="Q388" s="83">
        <f>1064</f>
        <v>1064</v>
      </c>
      <c r="R388" s="83"/>
      <c r="S388" s="83">
        <f>1064</f>
        <v>1064</v>
      </c>
      <c r="T388" s="110">
        <f>S388-Q388</f>
        <v>0</v>
      </c>
      <c r="U388" s="59">
        <f t="shared" si="550"/>
        <v>1</v>
      </c>
      <c r="V388" s="83"/>
      <c r="W388" s="83">
        <v>1063</v>
      </c>
      <c r="X388" s="110">
        <f>W388-M388</f>
        <v>-45</v>
      </c>
      <c r="Y388" s="110"/>
      <c r="Z388" s="110"/>
      <c r="AA388" s="110"/>
      <c r="AB388" s="83"/>
      <c r="AC388" s="106"/>
      <c r="AD388" s="106"/>
      <c r="AE388" s="100">
        <f t="shared" si="690"/>
        <v>9.270216962524655E-2</v>
      </c>
      <c r="AF388" s="90"/>
      <c r="AG388" s="109">
        <f t="shared" si="691"/>
        <v>0</v>
      </c>
      <c r="AH388" s="100">
        <f t="shared" si="692"/>
        <v>4.9309664694280081E-2</v>
      </c>
      <c r="AI388" s="100">
        <f t="shared" si="693"/>
        <v>4.8323471400394474E-2</v>
      </c>
    </row>
    <row r="389" spans="1:35" s="82" customFormat="1" ht="16.5" customHeight="1" x14ac:dyDescent="0.3">
      <c r="A389" s="90" t="s">
        <v>46</v>
      </c>
      <c r="B389" s="90" t="s">
        <v>52</v>
      </c>
      <c r="C389" s="137"/>
      <c r="D389" s="90"/>
      <c r="E389" s="80"/>
      <c r="F389" s="81">
        <f>SUM(F387:F388)</f>
        <v>2022</v>
      </c>
      <c r="G389" s="81"/>
      <c r="H389" s="81" t="s">
        <v>50</v>
      </c>
      <c r="I389" s="81"/>
      <c r="J389" s="81" t="s">
        <v>60</v>
      </c>
      <c r="K389" s="85" t="s">
        <v>238</v>
      </c>
      <c r="L389" s="81">
        <f>SUM(L387:L388)</f>
        <v>0</v>
      </c>
      <c r="M389" s="81">
        <f>SUM(M387:M388)</f>
        <v>2164</v>
      </c>
      <c r="N389" s="81">
        <f>SUM(N387:N388)</f>
        <v>142</v>
      </c>
      <c r="O389" s="81" t="s">
        <v>192</v>
      </c>
      <c r="P389" s="81">
        <f>SUM(P387:P388)</f>
        <v>0</v>
      </c>
      <c r="Q389" s="81">
        <f>SUM(Q387:Q388)</f>
        <v>2120</v>
      </c>
      <c r="R389" s="81">
        <f>SUM(R387:R388)</f>
        <v>0</v>
      </c>
      <c r="S389" s="81">
        <f>SUM(S387:S388)</f>
        <v>2119</v>
      </c>
      <c r="T389" s="81">
        <f>SUM(T387:T388)</f>
        <v>-1</v>
      </c>
      <c r="U389" s="59">
        <f t="shared" si="550"/>
        <v>4</v>
      </c>
      <c r="V389" s="81">
        <f>SUM(V387:V388)</f>
        <v>0</v>
      </c>
      <c r="W389" s="81">
        <f>SUM(W387:W388)</f>
        <v>2115</v>
      </c>
      <c r="X389" s="81">
        <f>SUM(X387:X388)</f>
        <v>-49</v>
      </c>
      <c r="Y389" s="81" t="s">
        <v>47</v>
      </c>
      <c r="Z389" s="110" t="s">
        <v>45</v>
      </c>
      <c r="AA389" s="110"/>
      <c r="AB389" s="84"/>
      <c r="AC389" s="136"/>
      <c r="AD389" s="136"/>
      <c r="AE389" s="100">
        <f t="shared" si="690"/>
        <v>7.0227497527200797E-2</v>
      </c>
      <c r="AF389" s="90"/>
      <c r="AG389" s="109">
        <f t="shared" si="691"/>
        <v>0</v>
      </c>
      <c r="AH389" s="100">
        <f t="shared" si="692"/>
        <v>4.7972304648862513E-2</v>
      </c>
      <c r="AI389" s="100">
        <f t="shared" si="693"/>
        <v>4.5994065281899109E-2</v>
      </c>
    </row>
    <row r="390" spans="1:35" s="86" customFormat="1" ht="18.75" customHeight="1" x14ac:dyDescent="0.3">
      <c r="A390" s="106"/>
      <c r="B390" s="106" t="s">
        <v>52</v>
      </c>
      <c r="C390" s="118">
        <v>47912</v>
      </c>
      <c r="D390" s="310">
        <v>13225053</v>
      </c>
      <c r="E390" s="131" t="s">
        <v>157</v>
      </c>
      <c r="F390" s="83">
        <v>960</v>
      </c>
      <c r="G390" s="83"/>
      <c r="H390" s="83"/>
      <c r="I390" s="83"/>
      <c r="J390" s="83"/>
      <c r="K390" s="83"/>
      <c r="L390" s="83"/>
      <c r="M390" s="83">
        <f>657+331</f>
        <v>988</v>
      </c>
      <c r="N390" s="110">
        <f t="shared" ref="N390:N392" si="694">M390-F390</f>
        <v>28</v>
      </c>
      <c r="O390" s="110" t="s">
        <v>100</v>
      </c>
      <c r="P390" s="83"/>
      <c r="Q390" s="83">
        <v>988</v>
      </c>
      <c r="R390" s="83"/>
      <c r="S390" s="83">
        <v>988</v>
      </c>
      <c r="T390" s="110">
        <f t="shared" ref="T390:T392" si="695">S390-Q390</f>
        <v>0</v>
      </c>
      <c r="U390" s="59">
        <f t="shared" si="550"/>
        <v>0</v>
      </c>
      <c r="V390" s="83"/>
      <c r="W390" s="83">
        <v>988</v>
      </c>
      <c r="X390" s="110">
        <f t="shared" ref="X390:X392" si="696">W390-M390</f>
        <v>0</v>
      </c>
      <c r="Y390" s="110"/>
      <c r="Z390" s="110"/>
      <c r="AA390" s="110"/>
      <c r="AB390" s="83"/>
      <c r="AC390" s="106"/>
      <c r="AD390" s="106"/>
      <c r="AE390" s="100">
        <f t="shared" ref="AE390:AE408" si="697">N390/F390</f>
        <v>2.9166666666666667E-2</v>
      </c>
      <c r="AF390" s="90"/>
      <c r="AG390" s="109">
        <f t="shared" ref="AG390:AG408" si="698">IF(N390&lt;0,N390,0)</f>
        <v>0</v>
      </c>
      <c r="AH390" s="100">
        <f t="shared" ref="AH390:AH408" si="699">(S390-F390)/F390</f>
        <v>2.9166666666666667E-2</v>
      </c>
      <c r="AI390" s="100">
        <f t="shared" ref="AI390:AI408" si="700">(W390-F390)/F390</f>
        <v>2.9166666666666667E-2</v>
      </c>
    </row>
    <row r="391" spans="1:35" s="86" customFormat="1" ht="18.75" customHeight="1" x14ac:dyDescent="0.3">
      <c r="A391" s="106"/>
      <c r="B391" s="106" t="s">
        <v>52</v>
      </c>
      <c r="C391" s="118">
        <v>47912</v>
      </c>
      <c r="D391" s="311"/>
      <c r="E391" s="131" t="s">
        <v>202</v>
      </c>
      <c r="F391" s="83">
        <v>960</v>
      </c>
      <c r="G391" s="83"/>
      <c r="H391" s="83"/>
      <c r="I391" s="83"/>
      <c r="J391" s="83"/>
      <c r="K391" s="83"/>
      <c r="L391" s="83"/>
      <c r="M391" s="83">
        <f>988</f>
        <v>988</v>
      </c>
      <c r="N391" s="110">
        <f t="shared" ref="N391" si="701">M391-F391</f>
        <v>28</v>
      </c>
      <c r="O391" s="110" t="s">
        <v>100</v>
      </c>
      <c r="P391" s="83"/>
      <c r="Q391" s="83">
        <v>988</v>
      </c>
      <c r="R391" s="83"/>
      <c r="S391" s="83">
        <v>986</v>
      </c>
      <c r="T391" s="110">
        <f t="shared" ref="T391" si="702">S391-Q391</f>
        <v>-2</v>
      </c>
      <c r="U391" s="59">
        <f t="shared" ref="U391" si="703">IF(Q391&gt;0,S391-W391,M391-W391)</f>
        <v>1</v>
      </c>
      <c r="V391" s="83"/>
      <c r="W391" s="83">
        <v>985</v>
      </c>
      <c r="X391" s="110">
        <f t="shared" ref="X391" si="704">W391-M391</f>
        <v>-3</v>
      </c>
      <c r="Y391" s="110"/>
      <c r="Z391" s="110"/>
      <c r="AA391" s="110"/>
      <c r="AB391" s="83"/>
      <c r="AC391" s="106"/>
      <c r="AD391" s="106"/>
      <c r="AE391" s="100">
        <f t="shared" si="697"/>
        <v>2.9166666666666667E-2</v>
      </c>
      <c r="AF391" s="90"/>
      <c r="AG391" s="109">
        <f t="shared" si="698"/>
        <v>0</v>
      </c>
      <c r="AH391" s="100">
        <f t="shared" si="699"/>
        <v>2.7083333333333334E-2</v>
      </c>
      <c r="AI391" s="100">
        <f t="shared" si="700"/>
        <v>2.6041666666666668E-2</v>
      </c>
    </row>
    <row r="392" spans="1:35" s="86" customFormat="1" ht="18.75" customHeight="1" x14ac:dyDescent="0.3">
      <c r="A392" s="106"/>
      <c r="B392" s="106" t="s">
        <v>52</v>
      </c>
      <c r="C392" s="118">
        <v>47912</v>
      </c>
      <c r="D392" s="311"/>
      <c r="E392" s="131" t="s">
        <v>171</v>
      </c>
      <c r="F392" s="83">
        <v>804</v>
      </c>
      <c r="G392" s="83"/>
      <c r="H392" s="83"/>
      <c r="I392" s="83"/>
      <c r="J392" s="83"/>
      <c r="K392" s="83"/>
      <c r="L392" s="83"/>
      <c r="M392" s="83">
        <v>826</v>
      </c>
      <c r="N392" s="110">
        <f t="shared" si="694"/>
        <v>22</v>
      </c>
      <c r="O392" s="110" t="s">
        <v>100</v>
      </c>
      <c r="P392" s="83"/>
      <c r="Q392" s="83">
        <v>826</v>
      </c>
      <c r="R392" s="83"/>
      <c r="S392" s="83">
        <v>825</v>
      </c>
      <c r="T392" s="110">
        <f t="shared" si="695"/>
        <v>-1</v>
      </c>
      <c r="U392" s="59">
        <f t="shared" si="550"/>
        <v>1</v>
      </c>
      <c r="V392" s="83"/>
      <c r="W392" s="83">
        <v>824</v>
      </c>
      <c r="X392" s="110">
        <f t="shared" si="696"/>
        <v>-2</v>
      </c>
      <c r="Y392" s="110"/>
      <c r="Z392" s="110"/>
      <c r="AA392" s="110"/>
      <c r="AB392" s="83"/>
      <c r="AC392" s="106"/>
      <c r="AD392" s="106"/>
      <c r="AE392" s="100">
        <f t="shared" ref="AE392" si="705">N392/F392</f>
        <v>2.736318407960199E-2</v>
      </c>
      <c r="AF392" s="90"/>
      <c r="AG392" s="109">
        <f t="shared" ref="AG392" si="706">IF(N392&lt;0,N392,0)</f>
        <v>0</v>
      </c>
      <c r="AH392" s="100">
        <f t="shared" ref="AH392" si="707">(S392-F392)/F392</f>
        <v>2.6119402985074626E-2</v>
      </c>
      <c r="AI392" s="100">
        <f t="shared" ref="AI392" si="708">(W392-F392)/F392</f>
        <v>2.4875621890547265E-2</v>
      </c>
    </row>
    <row r="393" spans="1:35" s="82" customFormat="1" ht="16.5" customHeight="1" x14ac:dyDescent="0.3">
      <c r="A393" s="90" t="s">
        <v>46</v>
      </c>
      <c r="B393" s="90" t="s">
        <v>52</v>
      </c>
      <c r="C393" s="137"/>
      <c r="D393" s="90"/>
      <c r="E393" s="80"/>
      <c r="F393" s="81">
        <f>SUM(F390:F392)</f>
        <v>2724</v>
      </c>
      <c r="G393" s="81"/>
      <c r="H393" s="81" t="s">
        <v>50</v>
      </c>
      <c r="I393" s="81"/>
      <c r="J393" s="81" t="s">
        <v>60</v>
      </c>
      <c r="K393" s="85" t="s">
        <v>226</v>
      </c>
      <c r="L393" s="81">
        <f>SUM(L390:L392)</f>
        <v>0</v>
      </c>
      <c r="M393" s="81">
        <f>SUM(M390:M392)</f>
        <v>2802</v>
      </c>
      <c r="N393" s="81">
        <f>SUM(N390:N392)</f>
        <v>78</v>
      </c>
      <c r="O393" s="81" t="s">
        <v>487</v>
      </c>
      <c r="P393" s="81">
        <f>SUM(P390:P392)</f>
        <v>0</v>
      </c>
      <c r="Q393" s="81">
        <f>SUM(Q390:Q392)</f>
        <v>2802</v>
      </c>
      <c r="R393" s="81">
        <f>SUM(R390:R392)</f>
        <v>0</v>
      </c>
      <c r="S393" s="81">
        <f>SUM(S390:S392)</f>
        <v>2799</v>
      </c>
      <c r="T393" s="81">
        <f>SUM(T390:T392)</f>
        <v>-3</v>
      </c>
      <c r="U393" s="59">
        <f t="shared" si="550"/>
        <v>2</v>
      </c>
      <c r="V393" s="81">
        <f>SUM(V390:V392)</f>
        <v>0</v>
      </c>
      <c r="W393" s="81">
        <f>SUM(W390:W392)</f>
        <v>2797</v>
      </c>
      <c r="X393" s="81">
        <f>SUM(X390:X392)</f>
        <v>-5</v>
      </c>
      <c r="Y393" s="81" t="s">
        <v>47</v>
      </c>
      <c r="Z393" s="110" t="s">
        <v>45</v>
      </c>
      <c r="AA393" s="110"/>
      <c r="AB393" s="84"/>
      <c r="AC393" s="136"/>
      <c r="AD393" s="136"/>
      <c r="AE393" s="100">
        <f t="shared" si="697"/>
        <v>2.8634361233480177E-2</v>
      </c>
      <c r="AF393" s="90"/>
      <c r="AG393" s="109">
        <f t="shared" si="698"/>
        <v>0</v>
      </c>
      <c r="AH393" s="100">
        <f t="shared" si="699"/>
        <v>2.7533039647577091E-2</v>
      </c>
      <c r="AI393" s="100">
        <f t="shared" si="700"/>
        <v>2.6798825256975037E-2</v>
      </c>
    </row>
    <row r="394" spans="1:35" s="86" customFormat="1" ht="18.75" customHeight="1" x14ac:dyDescent="0.3">
      <c r="A394" s="106"/>
      <c r="B394" s="106" t="s">
        <v>52</v>
      </c>
      <c r="C394" s="118" t="s">
        <v>296</v>
      </c>
      <c r="D394" s="310">
        <v>13234729</v>
      </c>
      <c r="E394" s="131" t="s">
        <v>157</v>
      </c>
      <c r="F394" s="83">
        <v>1500</v>
      </c>
      <c r="G394" s="83"/>
      <c r="H394" s="83"/>
      <c r="I394" s="83"/>
      <c r="J394" s="83"/>
      <c r="K394" s="83"/>
      <c r="L394" s="83"/>
      <c r="M394" s="83">
        <v>1545</v>
      </c>
      <c r="N394" s="110">
        <f t="shared" ref="N394:N397" si="709">M394-F394</f>
        <v>45</v>
      </c>
      <c r="O394" s="110" t="s">
        <v>100</v>
      </c>
      <c r="P394" s="83"/>
      <c r="Q394" s="83">
        <f>620+925</f>
        <v>1545</v>
      </c>
      <c r="R394" s="83"/>
      <c r="S394" s="83">
        <v>1545</v>
      </c>
      <c r="T394" s="110">
        <f t="shared" ref="T394:T397" si="710">S394-Q394</f>
        <v>0</v>
      </c>
      <c r="U394" s="59">
        <f t="shared" si="550"/>
        <v>3</v>
      </c>
      <c r="V394" s="83"/>
      <c r="W394" s="83">
        <v>1542</v>
      </c>
      <c r="X394" s="110">
        <f t="shared" ref="X394:X397" si="711">W394-M394</f>
        <v>-3</v>
      </c>
      <c r="Y394" s="110"/>
      <c r="Z394" s="110"/>
      <c r="AA394" s="110"/>
      <c r="AB394" s="83"/>
      <c r="AC394" s="106"/>
      <c r="AD394" s="106"/>
      <c r="AE394" s="100">
        <f t="shared" ref="AE394:AE404" si="712">N394/F394</f>
        <v>0.03</v>
      </c>
      <c r="AF394" s="90"/>
      <c r="AG394" s="109">
        <f t="shared" ref="AG394:AG404" si="713">IF(N394&lt;0,N394,0)</f>
        <v>0</v>
      </c>
      <c r="AH394" s="100">
        <f t="shared" ref="AH394:AH404" si="714">(S394-F394)/F394</f>
        <v>0.03</v>
      </c>
      <c r="AI394" s="100">
        <f t="shared" ref="AI394:AI404" si="715">(W394-F394)/F394</f>
        <v>2.8000000000000001E-2</v>
      </c>
    </row>
    <row r="395" spans="1:35" s="86" customFormat="1" ht="18.75" customHeight="1" x14ac:dyDescent="0.3">
      <c r="A395" s="106"/>
      <c r="B395" s="106" t="s">
        <v>52</v>
      </c>
      <c r="C395" s="118" t="s">
        <v>296</v>
      </c>
      <c r="D395" s="311"/>
      <c r="E395" s="131" t="s">
        <v>0</v>
      </c>
      <c r="F395" s="83">
        <v>1500</v>
      </c>
      <c r="G395" s="83"/>
      <c r="H395" s="83"/>
      <c r="I395" s="83"/>
      <c r="J395" s="83"/>
      <c r="K395" s="83"/>
      <c r="L395" s="83"/>
      <c r="M395" s="83">
        <f>1000+541</f>
        <v>1541</v>
      </c>
      <c r="N395" s="110">
        <f t="shared" si="709"/>
        <v>41</v>
      </c>
      <c r="O395" s="110" t="s">
        <v>100</v>
      </c>
      <c r="P395" s="83"/>
      <c r="Q395" s="83">
        <f>1000+541</f>
        <v>1541</v>
      </c>
      <c r="R395" s="83"/>
      <c r="S395" s="83">
        <v>1541</v>
      </c>
      <c r="T395" s="110">
        <f t="shared" si="710"/>
        <v>0</v>
      </c>
      <c r="U395" s="59">
        <f t="shared" si="550"/>
        <v>7</v>
      </c>
      <c r="V395" s="83"/>
      <c r="W395" s="83">
        <v>1534</v>
      </c>
      <c r="X395" s="110">
        <f t="shared" si="711"/>
        <v>-7</v>
      </c>
      <c r="Y395" s="110"/>
      <c r="Z395" s="110"/>
      <c r="AA395" s="110"/>
      <c r="AB395" s="83"/>
      <c r="AC395" s="106"/>
      <c r="AD395" s="106"/>
      <c r="AE395" s="100">
        <f t="shared" si="712"/>
        <v>2.7333333333333334E-2</v>
      </c>
      <c r="AF395" s="90"/>
      <c r="AG395" s="109">
        <f t="shared" si="713"/>
        <v>0</v>
      </c>
      <c r="AH395" s="100">
        <f t="shared" si="714"/>
        <v>2.7333333333333334E-2</v>
      </c>
      <c r="AI395" s="100">
        <f t="shared" si="715"/>
        <v>2.2666666666666668E-2</v>
      </c>
    </row>
    <row r="396" spans="1:35" s="86" customFormat="1" ht="18.75" customHeight="1" x14ac:dyDescent="0.3">
      <c r="A396" s="106"/>
      <c r="B396" s="106" t="s">
        <v>52</v>
      </c>
      <c r="C396" s="118" t="s">
        <v>296</v>
      </c>
      <c r="D396" s="311"/>
      <c r="E396" s="131" t="s">
        <v>39</v>
      </c>
      <c r="F396" s="83">
        <v>1020</v>
      </c>
      <c r="G396" s="83"/>
      <c r="H396" s="83"/>
      <c r="I396" s="83"/>
      <c r="J396" s="83"/>
      <c r="K396" s="83"/>
      <c r="L396" s="83"/>
      <c r="M396" s="83">
        <v>1047</v>
      </c>
      <c r="N396" s="110">
        <f t="shared" si="709"/>
        <v>27</v>
      </c>
      <c r="O396" s="110" t="s">
        <v>100</v>
      </c>
      <c r="P396" s="83"/>
      <c r="Q396" s="83">
        <v>1047</v>
      </c>
      <c r="R396" s="83"/>
      <c r="S396" s="83">
        <v>1042</v>
      </c>
      <c r="T396" s="110">
        <f t="shared" si="710"/>
        <v>-5</v>
      </c>
      <c r="U396" s="59">
        <f t="shared" si="550"/>
        <v>2</v>
      </c>
      <c r="V396" s="83"/>
      <c r="W396" s="83">
        <v>1040</v>
      </c>
      <c r="X396" s="110">
        <f t="shared" si="711"/>
        <v>-7</v>
      </c>
      <c r="Y396" s="110"/>
      <c r="Z396" s="110"/>
      <c r="AA396" s="110"/>
      <c r="AB396" s="83"/>
      <c r="AC396" s="106"/>
      <c r="AD396" s="106"/>
      <c r="AE396" s="100">
        <f t="shared" si="712"/>
        <v>2.6470588235294117E-2</v>
      </c>
      <c r="AF396" s="90"/>
      <c r="AG396" s="109">
        <f t="shared" si="713"/>
        <v>0</v>
      </c>
      <c r="AH396" s="100">
        <f t="shared" si="714"/>
        <v>2.1568627450980392E-2</v>
      </c>
      <c r="AI396" s="100">
        <f t="shared" si="715"/>
        <v>1.9607843137254902E-2</v>
      </c>
    </row>
    <row r="397" spans="1:35" s="86" customFormat="1" ht="18.75" customHeight="1" x14ac:dyDescent="0.3">
      <c r="A397" s="106"/>
      <c r="B397" s="106" t="s">
        <v>52</v>
      </c>
      <c r="C397" s="118" t="s">
        <v>296</v>
      </c>
      <c r="D397" s="311"/>
      <c r="E397" s="131" t="s">
        <v>123</v>
      </c>
      <c r="F397" s="83">
        <v>1500</v>
      </c>
      <c r="G397" s="83"/>
      <c r="H397" s="83"/>
      <c r="I397" s="83"/>
      <c r="J397" s="83"/>
      <c r="K397" s="83"/>
      <c r="L397" s="83"/>
      <c r="M397" s="83">
        <f>740+500+305</f>
        <v>1545</v>
      </c>
      <c r="N397" s="110">
        <f t="shared" si="709"/>
        <v>45</v>
      </c>
      <c r="O397" s="110" t="s">
        <v>100</v>
      </c>
      <c r="P397" s="83"/>
      <c r="Q397" s="83">
        <f>1240+305</f>
        <v>1545</v>
      </c>
      <c r="R397" s="83"/>
      <c r="S397" s="83">
        <v>1545</v>
      </c>
      <c r="T397" s="110">
        <f t="shared" si="710"/>
        <v>0</v>
      </c>
      <c r="U397" s="59">
        <f t="shared" si="550"/>
        <v>2</v>
      </c>
      <c r="V397" s="83"/>
      <c r="W397" s="83">
        <v>1543</v>
      </c>
      <c r="X397" s="110">
        <f t="shared" si="711"/>
        <v>-2</v>
      </c>
      <c r="Y397" s="110"/>
      <c r="Z397" s="110"/>
      <c r="AA397" s="110"/>
      <c r="AB397" s="83"/>
      <c r="AC397" s="106"/>
      <c r="AD397" s="106"/>
      <c r="AE397" s="100">
        <f t="shared" si="712"/>
        <v>0.03</v>
      </c>
      <c r="AF397" s="90"/>
      <c r="AG397" s="109">
        <f t="shared" si="713"/>
        <v>0</v>
      </c>
      <c r="AH397" s="100">
        <f t="shared" si="714"/>
        <v>0.03</v>
      </c>
      <c r="AI397" s="100">
        <f t="shared" si="715"/>
        <v>2.8666666666666667E-2</v>
      </c>
    </row>
    <row r="398" spans="1:35" s="82" customFormat="1" ht="16.5" customHeight="1" x14ac:dyDescent="0.3">
      <c r="A398" s="90" t="s">
        <v>46</v>
      </c>
      <c r="B398" s="90" t="s">
        <v>52</v>
      </c>
      <c r="C398" s="137"/>
      <c r="D398" s="90"/>
      <c r="E398" s="80"/>
      <c r="F398" s="81">
        <f>SUM(F394:F397)</f>
        <v>5520</v>
      </c>
      <c r="G398" s="81"/>
      <c r="H398" s="81" t="s">
        <v>50</v>
      </c>
      <c r="I398" s="81"/>
      <c r="J398" s="81" t="s">
        <v>60</v>
      </c>
      <c r="K398" s="85" t="s">
        <v>175</v>
      </c>
      <c r="L398" s="81">
        <f>SUM(L394:L397)</f>
        <v>0</v>
      </c>
      <c r="M398" s="81">
        <f>SUM(M394:M397)</f>
        <v>5678</v>
      </c>
      <c r="N398" s="81">
        <f>SUM(N394:N397)</f>
        <v>158</v>
      </c>
      <c r="O398" s="81" t="s">
        <v>358</v>
      </c>
      <c r="P398" s="81">
        <f>SUM(P394:P397)</f>
        <v>0</v>
      </c>
      <c r="Q398" s="81">
        <f>SUM(Q394:Q397)</f>
        <v>5678</v>
      </c>
      <c r="R398" s="81">
        <f>SUM(R394:R397)</f>
        <v>0</v>
      </c>
      <c r="S398" s="81">
        <f>SUM(S394:S397)</f>
        <v>5673</v>
      </c>
      <c r="T398" s="81">
        <f>SUM(T394:T397)</f>
        <v>-5</v>
      </c>
      <c r="U398" s="59">
        <f t="shared" si="550"/>
        <v>14</v>
      </c>
      <c r="V398" s="81">
        <f>SUM(V394:V397)</f>
        <v>0</v>
      </c>
      <c r="W398" s="81">
        <f>SUM(W394:W397)</f>
        <v>5659</v>
      </c>
      <c r="X398" s="81">
        <f>SUM(X394:X397)</f>
        <v>-19</v>
      </c>
      <c r="Y398" s="81" t="s">
        <v>47</v>
      </c>
      <c r="Z398" s="110" t="s">
        <v>45</v>
      </c>
      <c r="AA398" s="110"/>
      <c r="AB398" s="84"/>
      <c r="AC398" s="136"/>
      <c r="AD398" s="136"/>
      <c r="AE398" s="100">
        <f t="shared" si="712"/>
        <v>2.8623188405797102E-2</v>
      </c>
      <c r="AF398" s="90"/>
      <c r="AG398" s="109">
        <f t="shared" si="713"/>
        <v>0</v>
      </c>
      <c r="AH398" s="100">
        <f t="shared" si="714"/>
        <v>2.7717391304347826E-2</v>
      </c>
      <c r="AI398" s="100">
        <f t="shared" si="715"/>
        <v>2.5181159420289857E-2</v>
      </c>
    </row>
    <row r="399" spans="1:35" s="86" customFormat="1" ht="18.75" customHeight="1" x14ac:dyDescent="0.3">
      <c r="A399" s="106"/>
      <c r="B399" s="106" t="s">
        <v>52</v>
      </c>
      <c r="C399" s="118" t="s">
        <v>730</v>
      </c>
      <c r="D399" s="310">
        <v>13234729</v>
      </c>
      <c r="E399" s="131" t="s">
        <v>123</v>
      </c>
      <c r="F399" s="83">
        <v>1500</v>
      </c>
      <c r="G399" s="83"/>
      <c r="H399" s="83"/>
      <c r="I399" s="83"/>
      <c r="J399" s="83"/>
      <c r="K399" s="83"/>
      <c r="L399" s="83"/>
      <c r="M399" s="83">
        <f>1342+186</f>
        <v>1528</v>
      </c>
      <c r="N399" s="110">
        <f t="shared" ref="N399:N401" si="716">M399-F399</f>
        <v>28</v>
      </c>
      <c r="O399" s="110" t="s">
        <v>100</v>
      </c>
      <c r="P399" s="83"/>
      <c r="Q399" s="83">
        <f>1528</f>
        <v>1528</v>
      </c>
      <c r="R399" s="83"/>
      <c r="S399" s="83">
        <v>1527</v>
      </c>
      <c r="T399" s="110">
        <f t="shared" ref="T399:T401" si="717">S399-Q399</f>
        <v>-1</v>
      </c>
      <c r="U399" s="59">
        <f t="shared" ref="U399:U404" si="718">IF(Q399&gt;0,S399-W399,M399-W399)</f>
        <v>5</v>
      </c>
      <c r="V399" s="83">
        <v>1522</v>
      </c>
      <c r="W399" s="83">
        <v>1522</v>
      </c>
      <c r="X399" s="110">
        <f t="shared" ref="X399:X401" si="719">W399-M399</f>
        <v>-6</v>
      </c>
      <c r="Y399" s="110"/>
      <c r="Z399" s="110"/>
      <c r="AA399" s="110"/>
      <c r="AB399" s="83"/>
      <c r="AC399" s="106"/>
      <c r="AD399" s="106"/>
      <c r="AE399" s="100">
        <f t="shared" si="712"/>
        <v>1.8666666666666668E-2</v>
      </c>
      <c r="AF399" s="90"/>
      <c r="AG399" s="109">
        <f t="shared" si="713"/>
        <v>0</v>
      </c>
      <c r="AH399" s="100">
        <f t="shared" si="714"/>
        <v>1.7999999999999999E-2</v>
      </c>
      <c r="AI399" s="100">
        <f t="shared" si="715"/>
        <v>1.4666666666666666E-2</v>
      </c>
    </row>
    <row r="400" spans="1:35" s="86" customFormat="1" ht="18.75" customHeight="1" x14ac:dyDescent="0.3">
      <c r="A400" s="106"/>
      <c r="B400" s="106" t="s">
        <v>52</v>
      </c>
      <c r="C400" s="118" t="s">
        <v>730</v>
      </c>
      <c r="D400" s="311"/>
      <c r="E400" s="131" t="s">
        <v>157</v>
      </c>
      <c r="F400" s="83">
        <v>1500</v>
      </c>
      <c r="G400" s="83"/>
      <c r="H400" s="83"/>
      <c r="I400" s="83"/>
      <c r="J400" s="83"/>
      <c r="K400" s="83"/>
      <c r="L400" s="83"/>
      <c r="M400" s="83">
        <f>1098+427</f>
        <v>1525</v>
      </c>
      <c r="N400" s="110">
        <f t="shared" si="716"/>
        <v>25</v>
      </c>
      <c r="O400" s="110" t="s">
        <v>100</v>
      </c>
      <c r="P400" s="83"/>
      <c r="Q400" s="83">
        <f>558+967</f>
        <v>1525</v>
      </c>
      <c r="R400" s="83"/>
      <c r="S400" s="83">
        <v>1522</v>
      </c>
      <c r="T400" s="110">
        <f t="shared" si="717"/>
        <v>-3</v>
      </c>
      <c r="U400" s="59">
        <f t="shared" si="718"/>
        <v>1522</v>
      </c>
      <c r="V400" s="83"/>
      <c r="W400" s="83"/>
      <c r="X400" s="110">
        <f t="shared" si="719"/>
        <v>-1525</v>
      </c>
      <c r="Y400" s="110"/>
      <c r="Z400" s="110"/>
      <c r="AA400" s="110"/>
      <c r="AB400" s="83"/>
      <c r="AC400" s="106"/>
      <c r="AD400" s="106"/>
      <c r="AE400" s="100">
        <f t="shared" si="712"/>
        <v>1.6666666666666666E-2</v>
      </c>
      <c r="AF400" s="90"/>
      <c r="AG400" s="109">
        <f t="shared" si="713"/>
        <v>0</v>
      </c>
      <c r="AH400" s="100">
        <f t="shared" si="714"/>
        <v>1.4666666666666666E-2</v>
      </c>
      <c r="AI400" s="100">
        <f t="shared" si="715"/>
        <v>-1</v>
      </c>
    </row>
    <row r="401" spans="1:35" s="86" customFormat="1" ht="18.75" customHeight="1" x14ac:dyDescent="0.3">
      <c r="A401" s="106"/>
      <c r="B401" s="106" t="s">
        <v>52</v>
      </c>
      <c r="C401" s="118" t="s">
        <v>730</v>
      </c>
      <c r="D401" s="311"/>
      <c r="E401" s="131" t="s">
        <v>0</v>
      </c>
      <c r="F401" s="83">
        <v>2040</v>
      </c>
      <c r="G401" s="83"/>
      <c r="H401" s="83"/>
      <c r="I401" s="83"/>
      <c r="J401" s="83"/>
      <c r="K401" s="83"/>
      <c r="L401" s="83"/>
      <c r="M401" s="83">
        <f>1108+480+480+20</f>
        <v>2088</v>
      </c>
      <c r="N401" s="110">
        <f t="shared" si="716"/>
        <v>48</v>
      </c>
      <c r="O401" s="110" t="s">
        <v>100</v>
      </c>
      <c r="P401" s="83"/>
      <c r="Q401" s="83">
        <f>1108+980</f>
        <v>2088</v>
      </c>
      <c r="R401" s="83"/>
      <c r="S401" s="83">
        <f>1096+978+10</f>
        <v>2084</v>
      </c>
      <c r="T401" s="110">
        <f t="shared" si="717"/>
        <v>-4</v>
      </c>
      <c r="U401" s="59">
        <f t="shared" si="718"/>
        <v>0</v>
      </c>
      <c r="V401" s="83">
        <v>2084</v>
      </c>
      <c r="W401" s="83">
        <v>2084</v>
      </c>
      <c r="X401" s="110">
        <f t="shared" si="719"/>
        <v>-4</v>
      </c>
      <c r="Y401" s="110"/>
      <c r="Z401" s="110"/>
      <c r="AA401" s="110"/>
      <c r="AB401" s="83"/>
      <c r="AC401" s="106"/>
      <c r="AD401" s="106"/>
      <c r="AE401" s="100">
        <f t="shared" si="712"/>
        <v>2.3529411764705882E-2</v>
      </c>
      <c r="AF401" s="90"/>
      <c r="AG401" s="109">
        <f t="shared" si="713"/>
        <v>0</v>
      </c>
      <c r="AH401" s="100">
        <f t="shared" si="714"/>
        <v>2.1568627450980392E-2</v>
      </c>
      <c r="AI401" s="100">
        <f t="shared" si="715"/>
        <v>2.1568627450980392E-2</v>
      </c>
    </row>
    <row r="402" spans="1:35" s="82" customFormat="1" ht="16.5" customHeight="1" x14ac:dyDescent="0.3">
      <c r="A402" s="90" t="s">
        <v>46</v>
      </c>
      <c r="B402" s="90" t="s">
        <v>52</v>
      </c>
      <c r="C402" s="137"/>
      <c r="D402" s="90"/>
      <c r="E402" s="80"/>
      <c r="F402" s="81">
        <f>SUM(F399:F401)</f>
        <v>5040</v>
      </c>
      <c r="G402" s="81"/>
      <c r="H402" s="81" t="s">
        <v>50</v>
      </c>
      <c r="I402" s="81"/>
      <c r="J402" s="81" t="s">
        <v>60</v>
      </c>
      <c r="K402" s="85" t="s">
        <v>377</v>
      </c>
      <c r="L402" s="81">
        <f>SUM(L399:L401)</f>
        <v>0</v>
      </c>
      <c r="M402" s="81">
        <f>SUM(M399:M401)</f>
        <v>5141</v>
      </c>
      <c r="N402" s="81">
        <f>SUM(N399:N401)</f>
        <v>101</v>
      </c>
      <c r="O402" s="81" t="s">
        <v>821</v>
      </c>
      <c r="P402" s="81">
        <f>SUM(P399:P401)</f>
        <v>0</v>
      </c>
      <c r="Q402" s="81">
        <f>SUM(Q399:Q401)</f>
        <v>5141</v>
      </c>
      <c r="R402" s="81">
        <f>SUM(R399:R401)</f>
        <v>0</v>
      </c>
      <c r="S402" s="81">
        <f>SUM(S399:S401)</f>
        <v>5133</v>
      </c>
      <c r="T402" s="81">
        <f>SUM(T399:T401)</f>
        <v>-8</v>
      </c>
      <c r="U402" s="59">
        <f t="shared" si="718"/>
        <v>1527</v>
      </c>
      <c r="V402" s="81">
        <f>SUM(V399:V401)</f>
        <v>3606</v>
      </c>
      <c r="W402" s="81">
        <f>SUM(W399:W401)</f>
        <v>3606</v>
      </c>
      <c r="X402" s="81">
        <f>SUM(X399:X401)</f>
        <v>-1535</v>
      </c>
      <c r="Y402" s="81" t="s">
        <v>47</v>
      </c>
      <c r="Z402" s="110" t="s">
        <v>45</v>
      </c>
      <c r="AA402" s="110"/>
      <c r="AB402" s="84"/>
      <c r="AC402" s="136"/>
      <c r="AD402" s="136"/>
      <c r="AE402" s="100">
        <f t="shared" si="712"/>
        <v>2.0039682539682541E-2</v>
      </c>
      <c r="AF402" s="90"/>
      <c r="AG402" s="109">
        <f t="shared" si="713"/>
        <v>0</v>
      </c>
      <c r="AH402" s="100">
        <f t="shared" si="714"/>
        <v>1.8452380952380953E-2</v>
      </c>
      <c r="AI402" s="100">
        <f t="shared" si="715"/>
        <v>-0.28452380952380951</v>
      </c>
    </row>
    <row r="403" spans="1:35" s="86" customFormat="1" ht="18.75" customHeight="1" x14ac:dyDescent="0.3">
      <c r="A403" s="106"/>
      <c r="B403" s="106" t="s">
        <v>52</v>
      </c>
      <c r="C403" s="144" t="s">
        <v>729</v>
      </c>
      <c r="D403" s="249">
        <v>13234729</v>
      </c>
      <c r="E403" s="120" t="s">
        <v>39</v>
      </c>
      <c r="F403" s="83">
        <v>2040</v>
      </c>
      <c r="G403" s="83"/>
      <c r="H403" s="83"/>
      <c r="I403" s="83"/>
      <c r="J403" s="83"/>
      <c r="K403" s="83"/>
      <c r="L403" s="83"/>
      <c r="M403" s="83">
        <f>783+594+714</f>
        <v>2091</v>
      </c>
      <c r="N403" s="110">
        <f t="shared" ref="N403" si="720">M403-F403</f>
        <v>51</v>
      </c>
      <c r="O403" s="110" t="s">
        <v>100</v>
      </c>
      <c r="P403" s="83"/>
      <c r="Q403" s="83">
        <f>1377+714</f>
        <v>2091</v>
      </c>
      <c r="R403" s="83"/>
      <c r="S403" s="83">
        <v>2091</v>
      </c>
      <c r="T403" s="110">
        <f t="shared" ref="T403" si="721">S403-Q403</f>
        <v>0</v>
      </c>
      <c r="U403" s="59">
        <f t="shared" si="718"/>
        <v>2091</v>
      </c>
      <c r="V403" s="83"/>
      <c r="W403" s="83"/>
      <c r="X403" s="110">
        <f t="shared" ref="X403" si="722">W403-M403</f>
        <v>-2091</v>
      </c>
      <c r="Y403" s="110"/>
      <c r="Z403" s="110"/>
      <c r="AA403" s="110"/>
      <c r="AB403" s="83"/>
      <c r="AC403" s="106"/>
      <c r="AD403" s="106"/>
      <c r="AE403" s="100">
        <f t="shared" si="712"/>
        <v>2.5000000000000001E-2</v>
      </c>
      <c r="AF403" s="90"/>
      <c r="AG403" s="109">
        <f t="shared" si="713"/>
        <v>0</v>
      </c>
      <c r="AH403" s="100">
        <f t="shared" si="714"/>
        <v>2.5000000000000001E-2</v>
      </c>
      <c r="AI403" s="100">
        <f t="shared" si="715"/>
        <v>-1</v>
      </c>
    </row>
    <row r="404" spans="1:35" s="82" customFormat="1" ht="16.5" customHeight="1" x14ac:dyDescent="0.3">
      <c r="A404" s="90" t="s">
        <v>46</v>
      </c>
      <c r="B404" s="90" t="s">
        <v>52</v>
      </c>
      <c r="C404" s="137"/>
      <c r="D404" s="90"/>
      <c r="E404" s="80"/>
      <c r="F404" s="81">
        <f>SUM(F403:F403)</f>
        <v>2040</v>
      </c>
      <c r="G404" s="81"/>
      <c r="H404" s="81" t="s">
        <v>50</v>
      </c>
      <c r="I404" s="81"/>
      <c r="J404" s="81" t="s">
        <v>60</v>
      </c>
      <c r="K404" s="85" t="s">
        <v>436</v>
      </c>
      <c r="L404" s="81">
        <f>SUM(L403:L403)</f>
        <v>0</v>
      </c>
      <c r="M404" s="81">
        <f>SUM(M403:M403)</f>
        <v>2091</v>
      </c>
      <c r="N404" s="81">
        <f>SUM(N403:N403)</f>
        <v>51</v>
      </c>
      <c r="O404" s="81"/>
      <c r="P404" s="81">
        <f>SUM(P403:P403)</f>
        <v>0</v>
      </c>
      <c r="Q404" s="81">
        <f>SUM(Q403:Q403)</f>
        <v>2091</v>
      </c>
      <c r="R404" s="81">
        <f>SUM(R403:R403)</f>
        <v>0</v>
      </c>
      <c r="S404" s="81">
        <f>SUM(S403:S403)</f>
        <v>2091</v>
      </c>
      <c r="T404" s="81">
        <f>SUM(T403:T403)</f>
        <v>0</v>
      </c>
      <c r="U404" s="59">
        <f t="shared" si="718"/>
        <v>2091</v>
      </c>
      <c r="V404" s="81">
        <f>SUM(V403:V403)</f>
        <v>0</v>
      </c>
      <c r="W404" s="81">
        <f>SUM(W403:W403)</f>
        <v>0</v>
      </c>
      <c r="X404" s="81">
        <f>SUM(X403:X403)</f>
        <v>-2091</v>
      </c>
      <c r="Y404" s="81" t="s">
        <v>47</v>
      </c>
      <c r="Z404" s="110" t="s">
        <v>45</v>
      </c>
      <c r="AA404" s="110"/>
      <c r="AB404" s="84"/>
      <c r="AC404" s="136"/>
      <c r="AD404" s="136"/>
      <c r="AE404" s="100">
        <f t="shared" si="712"/>
        <v>2.5000000000000001E-2</v>
      </c>
      <c r="AF404" s="90"/>
      <c r="AG404" s="109">
        <f t="shared" si="713"/>
        <v>0</v>
      </c>
      <c r="AH404" s="100">
        <f t="shared" si="714"/>
        <v>2.5000000000000001E-2</v>
      </c>
      <c r="AI404" s="100">
        <f t="shared" si="715"/>
        <v>-1</v>
      </c>
    </row>
    <row r="405" spans="1:35" s="86" customFormat="1" ht="18.75" customHeight="1" x14ac:dyDescent="0.3">
      <c r="A405" s="106"/>
      <c r="B405" s="106" t="s">
        <v>52</v>
      </c>
      <c r="C405" s="118">
        <v>48097</v>
      </c>
      <c r="D405" s="310">
        <v>13251523</v>
      </c>
      <c r="E405" s="131" t="s">
        <v>676</v>
      </c>
      <c r="F405" s="83">
        <v>2579</v>
      </c>
      <c r="G405" s="83"/>
      <c r="H405" s="83"/>
      <c r="I405" s="83"/>
      <c r="J405" s="83"/>
      <c r="K405" s="83"/>
      <c r="L405" s="83"/>
      <c r="M405" s="83"/>
      <c r="N405" s="110">
        <f t="shared" ref="N405:N406" si="723">M405-F405</f>
        <v>-2579</v>
      </c>
      <c r="O405" s="110" t="s">
        <v>100</v>
      </c>
      <c r="P405" s="83"/>
      <c r="Q405" s="83"/>
      <c r="R405" s="83"/>
      <c r="S405" s="83"/>
      <c r="T405" s="110">
        <f t="shared" ref="T405:T406" si="724">S405-Q405</f>
        <v>0</v>
      </c>
      <c r="U405" s="59">
        <f t="shared" si="550"/>
        <v>0</v>
      </c>
      <c r="V405" s="83"/>
      <c r="W405" s="83"/>
      <c r="X405" s="110">
        <f t="shared" ref="X405:X406" si="725">W405-M405</f>
        <v>0</v>
      </c>
      <c r="Y405" s="110"/>
      <c r="Z405" s="110"/>
      <c r="AA405" s="110"/>
      <c r="AB405" s="83"/>
      <c r="AC405" s="106"/>
      <c r="AD405" s="106"/>
      <c r="AE405" s="100">
        <f t="shared" si="697"/>
        <v>-1</v>
      </c>
      <c r="AF405" s="90"/>
      <c r="AG405" s="109">
        <f t="shared" si="698"/>
        <v>-2579</v>
      </c>
      <c r="AH405" s="100">
        <f t="shared" si="699"/>
        <v>-1</v>
      </c>
      <c r="AI405" s="100">
        <f t="shared" si="700"/>
        <v>-1</v>
      </c>
    </row>
    <row r="406" spans="1:35" s="86" customFormat="1" ht="18.75" customHeight="1" x14ac:dyDescent="0.3">
      <c r="A406" s="106"/>
      <c r="B406" s="106" t="s">
        <v>52</v>
      </c>
      <c r="C406" s="118">
        <v>48097</v>
      </c>
      <c r="D406" s="311"/>
      <c r="E406" s="131" t="s">
        <v>677</v>
      </c>
      <c r="F406" s="83">
        <v>2779</v>
      </c>
      <c r="G406" s="83"/>
      <c r="H406" s="83"/>
      <c r="I406" s="83"/>
      <c r="J406" s="83"/>
      <c r="K406" s="83"/>
      <c r="L406" s="83"/>
      <c r="M406" s="83"/>
      <c r="N406" s="110">
        <f t="shared" si="723"/>
        <v>-2779</v>
      </c>
      <c r="O406" s="110" t="s">
        <v>100</v>
      </c>
      <c r="P406" s="83"/>
      <c r="Q406" s="83"/>
      <c r="R406" s="83"/>
      <c r="S406" s="83"/>
      <c r="T406" s="110">
        <f t="shared" si="724"/>
        <v>0</v>
      </c>
      <c r="U406" s="59">
        <f t="shared" si="550"/>
        <v>0</v>
      </c>
      <c r="V406" s="83"/>
      <c r="W406" s="83"/>
      <c r="X406" s="110">
        <f t="shared" si="725"/>
        <v>0</v>
      </c>
      <c r="Y406" s="110"/>
      <c r="Z406" s="110"/>
      <c r="AA406" s="110"/>
      <c r="AB406" s="83"/>
      <c r="AC406" s="106"/>
      <c r="AD406" s="106"/>
      <c r="AE406" s="100">
        <f t="shared" si="697"/>
        <v>-1</v>
      </c>
      <c r="AF406" s="90"/>
      <c r="AG406" s="109">
        <f t="shared" si="698"/>
        <v>-2779</v>
      </c>
      <c r="AH406" s="100">
        <f t="shared" si="699"/>
        <v>-1</v>
      </c>
      <c r="AI406" s="100">
        <f t="shared" si="700"/>
        <v>-1</v>
      </c>
    </row>
    <row r="407" spans="1:35" s="86" customFormat="1" ht="18.75" customHeight="1" x14ac:dyDescent="0.3">
      <c r="A407" s="106"/>
      <c r="B407" s="106" t="s">
        <v>52</v>
      </c>
      <c r="C407" s="118">
        <v>48097</v>
      </c>
      <c r="D407" s="311"/>
      <c r="E407" s="131" t="s">
        <v>678</v>
      </c>
      <c r="F407" s="83">
        <v>1055</v>
      </c>
      <c r="G407" s="83"/>
      <c r="H407" s="83"/>
      <c r="I407" s="83"/>
      <c r="J407" s="83"/>
      <c r="K407" s="83"/>
      <c r="L407" s="83"/>
      <c r="M407" s="83"/>
      <c r="N407" s="110">
        <f t="shared" ref="N407" si="726">M407-F407</f>
        <v>-1055</v>
      </c>
      <c r="O407" s="110" t="s">
        <v>100</v>
      </c>
      <c r="P407" s="83"/>
      <c r="Q407" s="83"/>
      <c r="R407" s="83"/>
      <c r="S407" s="83"/>
      <c r="T407" s="110">
        <f t="shared" ref="T407" si="727">S407-Q407</f>
        <v>0</v>
      </c>
      <c r="U407" s="59">
        <f t="shared" ref="U407:U477" si="728">IF(Q407&gt;0,S407-W407,M407-W407)</f>
        <v>0</v>
      </c>
      <c r="V407" s="83"/>
      <c r="W407" s="83"/>
      <c r="X407" s="110">
        <f t="shared" ref="X407" si="729">W407-M407</f>
        <v>0</v>
      </c>
      <c r="Y407" s="110"/>
      <c r="Z407" s="110"/>
      <c r="AA407" s="110"/>
      <c r="AB407" s="83"/>
      <c r="AC407" s="106"/>
      <c r="AD407" s="106"/>
      <c r="AE407" s="100">
        <f t="shared" ref="AE407" si="730">N407/F407</f>
        <v>-1</v>
      </c>
      <c r="AF407" s="90"/>
      <c r="AG407" s="109">
        <f t="shared" ref="AG407" si="731">IF(N407&lt;0,N407,0)</f>
        <v>-1055</v>
      </c>
      <c r="AH407" s="100">
        <f t="shared" ref="AH407" si="732">(S407-F407)/F407</f>
        <v>-1</v>
      </c>
      <c r="AI407" s="100">
        <f t="shared" ref="AI407" si="733">(W407-F407)/F407</f>
        <v>-1</v>
      </c>
    </row>
    <row r="408" spans="1:35" s="82" customFormat="1" ht="16.5" customHeight="1" x14ac:dyDescent="0.3">
      <c r="A408" s="90" t="s">
        <v>46</v>
      </c>
      <c r="B408" s="90" t="s">
        <v>52</v>
      </c>
      <c r="C408" s="137"/>
      <c r="D408" s="90"/>
      <c r="E408" s="80"/>
      <c r="F408" s="81">
        <f>SUM(F405:F407)</f>
        <v>6413</v>
      </c>
      <c r="G408" s="81"/>
      <c r="H408" s="81" t="s">
        <v>50</v>
      </c>
      <c r="I408" s="81"/>
      <c r="J408" s="81"/>
      <c r="K408" s="85" t="s">
        <v>675</v>
      </c>
      <c r="L408" s="81">
        <f>SUM(L405:L407)</f>
        <v>0</v>
      </c>
      <c r="M408" s="81">
        <f>SUM(M405:M407)</f>
        <v>0</v>
      </c>
      <c r="N408" s="81">
        <f>SUM(N405:N407)</f>
        <v>-6413</v>
      </c>
      <c r="O408" s="81"/>
      <c r="P408" s="81">
        <f>SUM(P405:P407)</f>
        <v>0</v>
      </c>
      <c r="Q408" s="81">
        <f>SUM(Q405:Q407)</f>
        <v>0</v>
      </c>
      <c r="R408" s="81">
        <f>SUM(R405:R407)</f>
        <v>0</v>
      </c>
      <c r="S408" s="81">
        <f>SUM(S405:S407)</f>
        <v>0</v>
      </c>
      <c r="T408" s="81">
        <f>SUM(T405:T407)</f>
        <v>0</v>
      </c>
      <c r="U408" s="59">
        <f t="shared" si="728"/>
        <v>0</v>
      </c>
      <c r="V408" s="81">
        <f>SUM(V405:V407)</f>
        <v>0</v>
      </c>
      <c r="W408" s="81">
        <f>SUM(W405:W407)</f>
        <v>0</v>
      </c>
      <c r="X408" s="81">
        <f>SUM(X405:X407)</f>
        <v>0</v>
      </c>
      <c r="Y408" s="81" t="s">
        <v>47</v>
      </c>
      <c r="Z408" s="110" t="s">
        <v>45</v>
      </c>
      <c r="AA408" s="110"/>
      <c r="AB408" s="84"/>
      <c r="AC408" s="136"/>
      <c r="AD408" s="136"/>
      <c r="AE408" s="100">
        <f t="shared" si="697"/>
        <v>-1</v>
      </c>
      <c r="AF408" s="90"/>
      <c r="AG408" s="109">
        <f t="shared" si="698"/>
        <v>-6413</v>
      </c>
      <c r="AH408" s="100">
        <f t="shared" si="699"/>
        <v>-1</v>
      </c>
      <c r="AI408" s="100">
        <f t="shared" si="700"/>
        <v>-1</v>
      </c>
    </row>
    <row r="409" spans="1:35" s="86" customFormat="1" ht="18.75" customHeight="1" x14ac:dyDescent="0.3">
      <c r="A409" s="106"/>
      <c r="B409" s="106" t="s">
        <v>52</v>
      </c>
      <c r="C409" s="118" t="s">
        <v>412</v>
      </c>
      <c r="D409" s="310">
        <v>13234729</v>
      </c>
      <c r="E409" s="131" t="s">
        <v>274</v>
      </c>
      <c r="F409" s="83">
        <v>4840</v>
      </c>
      <c r="G409" s="83"/>
      <c r="H409" s="83"/>
      <c r="I409" s="83"/>
      <c r="J409" s="83"/>
      <c r="K409" s="83"/>
      <c r="L409" s="83"/>
      <c r="M409" s="83">
        <f>800+800+800+1390+720+245+189</f>
        <v>4944</v>
      </c>
      <c r="N409" s="110">
        <f t="shared" ref="N409:N412" si="734">M409-F409</f>
        <v>104</v>
      </c>
      <c r="O409" s="110" t="s">
        <v>100</v>
      </c>
      <c r="P409" s="83"/>
      <c r="Q409" s="83">
        <f>1600+800+245+1390+720+189</f>
        <v>4944</v>
      </c>
      <c r="R409" s="83"/>
      <c r="S409" s="83">
        <f>4511+244+188</f>
        <v>4943</v>
      </c>
      <c r="T409" s="110">
        <f t="shared" ref="T409:T412" si="735">S409-Q409</f>
        <v>-1</v>
      </c>
      <c r="U409" s="59">
        <f t="shared" si="728"/>
        <v>17</v>
      </c>
      <c r="V409" s="83"/>
      <c r="W409" s="83">
        <f>4493+433</f>
        <v>4926</v>
      </c>
      <c r="X409" s="110">
        <f t="shared" ref="X409:X412" si="736">W409-M409</f>
        <v>-18</v>
      </c>
      <c r="Y409" s="110"/>
      <c r="Z409" s="110"/>
      <c r="AA409" s="110"/>
      <c r="AB409" s="83"/>
      <c r="AC409" s="106"/>
      <c r="AD409" s="106"/>
      <c r="AE409" s="100">
        <f t="shared" si="690"/>
        <v>2.1487603305785124E-2</v>
      </c>
      <c r="AF409" s="90"/>
      <c r="AG409" s="109">
        <f t="shared" si="691"/>
        <v>0</v>
      </c>
      <c r="AH409" s="100">
        <f t="shared" si="692"/>
        <v>2.1280991735537189E-2</v>
      </c>
      <c r="AI409" s="100">
        <f t="shared" si="693"/>
        <v>1.7768595041322315E-2</v>
      </c>
    </row>
    <row r="410" spans="1:35" s="86" customFormat="1" ht="18.75" customHeight="1" x14ac:dyDescent="0.3">
      <c r="A410" s="106"/>
      <c r="B410" s="106" t="s">
        <v>52</v>
      </c>
      <c r="C410" s="118" t="s">
        <v>412</v>
      </c>
      <c r="D410" s="311"/>
      <c r="E410" s="131" t="s">
        <v>364</v>
      </c>
      <c r="F410" s="83">
        <v>5848</v>
      </c>
      <c r="G410" s="83"/>
      <c r="H410" s="83"/>
      <c r="I410" s="83"/>
      <c r="J410" s="83"/>
      <c r="K410" s="83"/>
      <c r="L410" s="83"/>
      <c r="M410" s="83">
        <f>1500+1680+700+770+995+300</f>
        <v>5945</v>
      </c>
      <c r="N410" s="110">
        <f t="shared" si="734"/>
        <v>97</v>
      </c>
      <c r="O410" s="110" t="s">
        <v>100</v>
      </c>
      <c r="P410" s="83"/>
      <c r="Q410" s="83">
        <f>1800+800+880+700+770+918+77</f>
        <v>5945</v>
      </c>
      <c r="R410" s="83"/>
      <c r="S410" s="83">
        <f>3476+700+1762+7</f>
        <v>5945</v>
      </c>
      <c r="T410" s="110">
        <f t="shared" si="735"/>
        <v>0</v>
      </c>
      <c r="U410" s="59">
        <f t="shared" si="728"/>
        <v>0</v>
      </c>
      <c r="V410" s="83"/>
      <c r="W410" s="83">
        <f>2594+3351</f>
        <v>5945</v>
      </c>
      <c r="X410" s="110">
        <f t="shared" si="736"/>
        <v>0</v>
      </c>
      <c r="Y410" s="110"/>
      <c r="Z410" s="110"/>
      <c r="AA410" s="110"/>
      <c r="AB410" s="83"/>
      <c r="AC410" s="106"/>
      <c r="AD410" s="106"/>
      <c r="AE410" s="100">
        <f t="shared" si="690"/>
        <v>1.6586867305061561E-2</v>
      </c>
      <c r="AF410" s="90"/>
      <c r="AG410" s="109">
        <f t="shared" si="691"/>
        <v>0</v>
      </c>
      <c r="AH410" s="100">
        <f t="shared" si="692"/>
        <v>1.6586867305061561E-2</v>
      </c>
      <c r="AI410" s="100">
        <f t="shared" si="693"/>
        <v>1.6586867305061561E-2</v>
      </c>
    </row>
    <row r="411" spans="1:35" s="86" customFormat="1" ht="18.75" customHeight="1" x14ac:dyDescent="0.3">
      <c r="A411" s="106"/>
      <c r="B411" s="106" t="s">
        <v>52</v>
      </c>
      <c r="C411" s="118" t="s">
        <v>412</v>
      </c>
      <c r="D411" s="311"/>
      <c r="E411" s="131" t="s">
        <v>0</v>
      </c>
      <c r="F411" s="83">
        <v>1216</v>
      </c>
      <c r="G411" s="83"/>
      <c r="H411" s="83"/>
      <c r="I411" s="83"/>
      <c r="J411" s="83"/>
      <c r="K411" s="83"/>
      <c r="L411" s="83"/>
      <c r="M411" s="83">
        <v>1251</v>
      </c>
      <c r="N411" s="110">
        <f t="shared" si="734"/>
        <v>35</v>
      </c>
      <c r="O411" s="110" t="s">
        <v>100</v>
      </c>
      <c r="P411" s="83"/>
      <c r="Q411" s="83">
        <v>1251</v>
      </c>
      <c r="R411" s="83"/>
      <c r="S411" s="83">
        <v>1251</v>
      </c>
      <c r="T411" s="110">
        <f t="shared" si="735"/>
        <v>0</v>
      </c>
      <c r="U411" s="59">
        <f t="shared" si="728"/>
        <v>0</v>
      </c>
      <c r="V411" s="83"/>
      <c r="W411" s="83">
        <v>1251</v>
      </c>
      <c r="X411" s="110">
        <f t="shared" si="736"/>
        <v>0</v>
      </c>
      <c r="Y411" s="110"/>
      <c r="Z411" s="110"/>
      <c r="AA411" s="110"/>
      <c r="AB411" s="83"/>
      <c r="AC411" s="106"/>
      <c r="AD411" s="106"/>
      <c r="AE411" s="100">
        <f t="shared" si="690"/>
        <v>2.8782894736842105E-2</v>
      </c>
      <c r="AF411" s="90"/>
      <c r="AG411" s="109">
        <f t="shared" si="691"/>
        <v>0</v>
      </c>
      <c r="AH411" s="100">
        <f t="shared" si="692"/>
        <v>2.8782894736842105E-2</v>
      </c>
      <c r="AI411" s="100">
        <f t="shared" si="693"/>
        <v>2.8782894736842105E-2</v>
      </c>
    </row>
    <row r="412" spans="1:35" s="86" customFormat="1" ht="18.75" customHeight="1" x14ac:dyDescent="0.3">
      <c r="A412" s="106"/>
      <c r="B412" s="106" t="s">
        <v>52</v>
      </c>
      <c r="C412" s="118" t="s">
        <v>412</v>
      </c>
      <c r="D412" s="311"/>
      <c r="E412" s="131" t="s">
        <v>39</v>
      </c>
      <c r="F412" s="83">
        <v>2108</v>
      </c>
      <c r="G412" s="83"/>
      <c r="H412" s="83"/>
      <c r="I412" s="83"/>
      <c r="J412" s="83"/>
      <c r="K412" s="83"/>
      <c r="L412" s="83"/>
      <c r="M412" s="83">
        <f>930+900+318</f>
        <v>2148</v>
      </c>
      <c r="N412" s="110">
        <f t="shared" si="734"/>
        <v>40</v>
      </c>
      <c r="O412" s="110" t="s">
        <v>100</v>
      </c>
      <c r="P412" s="83"/>
      <c r="Q412" s="83">
        <f>930+1218</f>
        <v>2148</v>
      </c>
      <c r="R412" s="83"/>
      <c r="S412" s="83">
        <v>2147</v>
      </c>
      <c r="T412" s="110">
        <f t="shared" si="735"/>
        <v>-1</v>
      </c>
      <c r="U412" s="59">
        <f t="shared" si="728"/>
        <v>8</v>
      </c>
      <c r="V412" s="83"/>
      <c r="W412" s="83">
        <v>2139</v>
      </c>
      <c r="X412" s="110">
        <f t="shared" si="736"/>
        <v>-9</v>
      </c>
      <c r="Y412" s="110"/>
      <c r="Z412" s="110"/>
      <c r="AA412" s="110"/>
      <c r="AB412" s="83"/>
      <c r="AC412" s="106"/>
      <c r="AD412" s="106"/>
      <c r="AE412" s="100">
        <f t="shared" si="690"/>
        <v>1.8975332068311195E-2</v>
      </c>
      <c r="AF412" s="90"/>
      <c r="AG412" s="109">
        <f t="shared" si="691"/>
        <v>0</v>
      </c>
      <c r="AH412" s="100">
        <f t="shared" si="692"/>
        <v>1.8500948766603416E-2</v>
      </c>
      <c r="AI412" s="100">
        <f t="shared" si="693"/>
        <v>1.4705882352941176E-2</v>
      </c>
    </row>
    <row r="413" spans="1:35" s="82" customFormat="1" ht="16.5" customHeight="1" x14ac:dyDescent="0.3">
      <c r="A413" s="90" t="s">
        <v>46</v>
      </c>
      <c r="B413" s="90" t="s">
        <v>52</v>
      </c>
      <c r="C413" s="137"/>
      <c r="D413" s="90"/>
      <c r="E413" s="80"/>
      <c r="F413" s="81">
        <f>SUM(F409:F412)</f>
        <v>14012</v>
      </c>
      <c r="G413" s="81"/>
      <c r="H413" s="81" t="s">
        <v>50</v>
      </c>
      <c r="I413" s="81"/>
      <c r="J413" s="81" t="s">
        <v>60</v>
      </c>
      <c r="K413" s="85" t="s">
        <v>290</v>
      </c>
      <c r="L413" s="81">
        <f>SUM(L409:L412)</f>
        <v>0</v>
      </c>
      <c r="M413" s="81">
        <f>SUM(M409:M412)</f>
        <v>14288</v>
      </c>
      <c r="N413" s="81">
        <f>SUM(N409:N412)</f>
        <v>276</v>
      </c>
      <c r="O413" s="81" t="s">
        <v>392</v>
      </c>
      <c r="P413" s="81">
        <f>SUM(P409:P412)</f>
        <v>0</v>
      </c>
      <c r="Q413" s="81">
        <f>SUM(Q409:Q412)</f>
        <v>14288</v>
      </c>
      <c r="R413" s="81">
        <f>SUM(R409:R412)</f>
        <v>0</v>
      </c>
      <c r="S413" s="81">
        <f>SUM(S409:S412)</f>
        <v>14286</v>
      </c>
      <c r="T413" s="81">
        <f>SUM(T409:T412)</f>
        <v>-2</v>
      </c>
      <c r="U413" s="59">
        <f t="shared" si="728"/>
        <v>25</v>
      </c>
      <c r="V413" s="81">
        <f>SUM(V409:V412)</f>
        <v>0</v>
      </c>
      <c r="W413" s="81">
        <f>SUM(W409:W412)</f>
        <v>14261</v>
      </c>
      <c r="X413" s="81">
        <f>SUM(X409:X412)</f>
        <v>-27</v>
      </c>
      <c r="Y413" s="81" t="s">
        <v>47</v>
      </c>
      <c r="Z413" s="110" t="s">
        <v>45</v>
      </c>
      <c r="AA413" s="110"/>
      <c r="AB413" s="84"/>
      <c r="AC413" s="136"/>
      <c r="AD413" s="136"/>
      <c r="AE413" s="100">
        <f t="shared" si="690"/>
        <v>1.9697402226662861E-2</v>
      </c>
      <c r="AF413" s="90"/>
      <c r="AG413" s="109">
        <f t="shared" si="691"/>
        <v>0</v>
      </c>
      <c r="AH413" s="100">
        <f t="shared" si="692"/>
        <v>1.9554667427918927E-2</v>
      </c>
      <c r="AI413" s="100">
        <f t="shared" si="693"/>
        <v>1.7770482443619756E-2</v>
      </c>
    </row>
    <row r="414" spans="1:35" s="86" customFormat="1" ht="18.75" customHeight="1" x14ac:dyDescent="0.3">
      <c r="A414" s="106"/>
      <c r="B414" s="106" t="s">
        <v>52</v>
      </c>
      <c r="C414" s="118">
        <v>48008</v>
      </c>
      <c r="D414" s="310">
        <v>13264361</v>
      </c>
      <c r="E414" s="131" t="s">
        <v>202</v>
      </c>
      <c r="F414" s="83">
        <v>2645</v>
      </c>
      <c r="G414" s="83"/>
      <c r="H414" s="83"/>
      <c r="I414" s="83"/>
      <c r="J414" s="83"/>
      <c r="K414" s="83"/>
      <c r="L414" s="83">
        <f>416+300+317</f>
        <v>1033</v>
      </c>
      <c r="M414" s="83">
        <f>1658+416+300+317</f>
        <v>2691</v>
      </c>
      <c r="N414" s="110">
        <f t="shared" ref="N414:N415" si="737">M414-F414</f>
        <v>46</v>
      </c>
      <c r="O414" s="110" t="s">
        <v>100</v>
      </c>
      <c r="P414" s="83"/>
      <c r="Q414" s="83"/>
      <c r="R414" s="83"/>
      <c r="S414" s="83"/>
      <c r="T414" s="110">
        <f t="shared" ref="T414:T415" si="738">S414-Q414</f>
        <v>0</v>
      </c>
      <c r="U414" s="59">
        <f t="shared" si="728"/>
        <v>2691</v>
      </c>
      <c r="V414" s="83"/>
      <c r="W414" s="83"/>
      <c r="X414" s="110">
        <f t="shared" ref="X414:X415" si="739">W414-M414</f>
        <v>-2691</v>
      </c>
      <c r="Y414" s="110"/>
      <c r="Z414" s="110"/>
      <c r="AA414" s="110"/>
      <c r="AB414" s="83"/>
      <c r="AC414" s="106"/>
      <c r="AD414" s="106"/>
      <c r="AE414" s="100">
        <f t="shared" ref="AE414:AE418" si="740">N414/F414</f>
        <v>1.7391304347826087E-2</v>
      </c>
      <c r="AF414" s="90"/>
      <c r="AG414" s="109">
        <f t="shared" ref="AG414:AG418" si="741">IF(N414&lt;0,N414,0)</f>
        <v>0</v>
      </c>
      <c r="AH414" s="100">
        <f t="shared" ref="AH414:AH418" si="742">(S414-F414)/F414</f>
        <v>-1</v>
      </c>
      <c r="AI414" s="100">
        <f t="shared" ref="AI414:AI418" si="743">(W414-F414)/F414</f>
        <v>-1</v>
      </c>
    </row>
    <row r="415" spans="1:35" s="86" customFormat="1" ht="18.75" customHeight="1" x14ac:dyDescent="0.3">
      <c r="A415" s="106"/>
      <c r="B415" s="106" t="s">
        <v>52</v>
      </c>
      <c r="C415" s="118">
        <v>48008</v>
      </c>
      <c r="D415" s="311"/>
      <c r="E415" s="131" t="s">
        <v>123</v>
      </c>
      <c r="F415" s="83">
        <v>3316</v>
      </c>
      <c r="G415" s="83"/>
      <c r="H415" s="83"/>
      <c r="I415" s="83"/>
      <c r="J415" s="83"/>
      <c r="K415" s="83"/>
      <c r="L415" s="83">
        <f>1566+50+1629</f>
        <v>3245</v>
      </c>
      <c r="M415" s="83">
        <f>166+1566+50+1629</f>
        <v>3411</v>
      </c>
      <c r="N415" s="110">
        <f t="shared" si="737"/>
        <v>95</v>
      </c>
      <c r="O415" s="110" t="s">
        <v>100</v>
      </c>
      <c r="P415" s="83"/>
      <c r="Q415" s="83"/>
      <c r="R415" s="83"/>
      <c r="S415" s="83"/>
      <c r="T415" s="110">
        <f t="shared" si="738"/>
        <v>0</v>
      </c>
      <c r="U415" s="59">
        <f t="shared" si="728"/>
        <v>3411</v>
      </c>
      <c r="V415" s="83"/>
      <c r="W415" s="83"/>
      <c r="X415" s="110">
        <f t="shared" si="739"/>
        <v>-3411</v>
      </c>
      <c r="Y415" s="110"/>
      <c r="Z415" s="110"/>
      <c r="AA415" s="110"/>
      <c r="AB415" s="83"/>
      <c r="AC415" s="106"/>
      <c r="AD415" s="106"/>
      <c r="AE415" s="100">
        <f t="shared" si="740"/>
        <v>2.864897466827503E-2</v>
      </c>
      <c r="AF415" s="90"/>
      <c r="AG415" s="109">
        <f t="shared" si="741"/>
        <v>0</v>
      </c>
      <c r="AH415" s="100">
        <f t="shared" si="742"/>
        <v>-1</v>
      </c>
      <c r="AI415" s="100">
        <f t="shared" si="743"/>
        <v>-1</v>
      </c>
    </row>
    <row r="416" spans="1:35" s="82" customFormat="1" ht="16.5" customHeight="1" x14ac:dyDescent="0.3">
      <c r="A416" s="90" t="s">
        <v>46</v>
      </c>
      <c r="B416" s="90" t="s">
        <v>52</v>
      </c>
      <c r="C416" s="101"/>
      <c r="D416" s="90"/>
      <c r="E416" s="80"/>
      <c r="F416" s="81">
        <f>SUM(F414:F415)</f>
        <v>5961</v>
      </c>
      <c r="G416" s="81"/>
      <c r="H416" s="81" t="s">
        <v>50</v>
      </c>
      <c r="I416" s="81"/>
      <c r="J416" s="81" t="s">
        <v>60</v>
      </c>
      <c r="K416" s="85" t="s">
        <v>764</v>
      </c>
      <c r="L416" s="81">
        <f>SUM(L414:L415)</f>
        <v>4278</v>
      </c>
      <c r="M416" s="81">
        <f>SUM(M414:M415)</f>
        <v>6102</v>
      </c>
      <c r="N416" s="81">
        <f>SUM(N414:N415)</f>
        <v>141</v>
      </c>
      <c r="O416" s="81"/>
      <c r="P416" s="81">
        <f>SUM(P414:P415)</f>
        <v>0</v>
      </c>
      <c r="Q416" s="81">
        <f>SUM(Q414:Q415)</f>
        <v>0</v>
      </c>
      <c r="R416" s="81">
        <f>SUM(R414:R415)</f>
        <v>0</v>
      </c>
      <c r="S416" s="81">
        <f>SUM(S414:S415)</f>
        <v>0</v>
      </c>
      <c r="T416" s="81">
        <f>SUM(T414:T415)</f>
        <v>0</v>
      </c>
      <c r="U416" s="59">
        <f t="shared" si="728"/>
        <v>6102</v>
      </c>
      <c r="V416" s="81">
        <f>SUM(V414:V415)</f>
        <v>0</v>
      </c>
      <c r="W416" s="81">
        <f>SUM(W414:W415)</f>
        <v>0</v>
      </c>
      <c r="X416" s="81">
        <f>SUM(X414:X415)</f>
        <v>-6102</v>
      </c>
      <c r="Y416" s="81"/>
      <c r="Z416" s="110"/>
      <c r="AA416" s="110"/>
      <c r="AB416" s="84"/>
      <c r="AC416" s="63"/>
      <c r="AD416" s="63"/>
      <c r="AE416" s="100">
        <f t="shared" si="740"/>
        <v>2.3653749370910922E-2</v>
      </c>
      <c r="AF416" s="90"/>
      <c r="AG416" s="109">
        <f t="shared" si="741"/>
        <v>0</v>
      </c>
      <c r="AH416" s="100">
        <f t="shared" si="742"/>
        <v>-1</v>
      </c>
      <c r="AI416" s="100">
        <f t="shared" si="743"/>
        <v>-1</v>
      </c>
    </row>
    <row r="417" spans="1:35" s="86" customFormat="1" ht="18.75" customHeight="1" x14ac:dyDescent="0.3">
      <c r="A417" s="106"/>
      <c r="B417" s="106" t="s">
        <v>52</v>
      </c>
      <c r="C417" s="118">
        <v>48044</v>
      </c>
      <c r="D417" s="310">
        <v>13267470</v>
      </c>
      <c r="E417" s="131" t="s">
        <v>551</v>
      </c>
      <c r="F417" s="83">
        <v>1560</v>
      </c>
      <c r="G417" s="145"/>
      <c r="H417" s="146"/>
      <c r="I417" s="83"/>
      <c r="J417" s="83"/>
      <c r="K417" s="83"/>
      <c r="L417" s="83"/>
      <c r="M417" s="83">
        <f>1621</f>
        <v>1621</v>
      </c>
      <c r="N417" s="110">
        <f>M417-F417</f>
        <v>61</v>
      </c>
      <c r="O417" s="110" t="s">
        <v>100</v>
      </c>
      <c r="P417" s="83"/>
      <c r="Q417" s="83">
        <v>1591</v>
      </c>
      <c r="R417" s="83"/>
      <c r="S417" s="83">
        <f>1583</f>
        <v>1583</v>
      </c>
      <c r="T417" s="110">
        <f>S417-Q417</f>
        <v>-8</v>
      </c>
      <c r="U417" s="59">
        <f t="shared" si="728"/>
        <v>5</v>
      </c>
      <c r="V417" s="83"/>
      <c r="W417" s="83">
        <v>1578</v>
      </c>
      <c r="X417" s="110">
        <f>W417-M417</f>
        <v>-43</v>
      </c>
      <c r="Y417" s="110"/>
      <c r="Z417" s="139"/>
      <c r="AA417" s="139"/>
      <c r="AB417" s="83"/>
      <c r="AC417" s="106"/>
      <c r="AD417" s="106"/>
      <c r="AE417" s="100">
        <f t="shared" si="740"/>
        <v>3.9102564102564102E-2</v>
      </c>
      <c r="AF417" s="90"/>
      <c r="AG417" s="109">
        <f t="shared" si="741"/>
        <v>0</v>
      </c>
      <c r="AH417" s="100">
        <f t="shared" si="742"/>
        <v>1.4743589743589743E-2</v>
      </c>
      <c r="AI417" s="100">
        <f t="shared" si="743"/>
        <v>1.1538461538461539E-2</v>
      </c>
    </row>
    <row r="418" spans="1:35" s="86" customFormat="1" ht="18.75" customHeight="1" x14ac:dyDescent="0.3">
      <c r="A418" s="106"/>
      <c r="B418" s="106" t="s">
        <v>52</v>
      </c>
      <c r="C418" s="118">
        <v>48044</v>
      </c>
      <c r="D418" s="311"/>
      <c r="E418" s="131" t="s">
        <v>552</v>
      </c>
      <c r="F418" s="83">
        <v>1560</v>
      </c>
      <c r="G418" s="145"/>
      <c r="H418" s="146"/>
      <c r="I418" s="83"/>
      <c r="J418" s="83"/>
      <c r="K418" s="83"/>
      <c r="L418" s="83"/>
      <c r="M418" s="83">
        <f>837+780</f>
        <v>1617</v>
      </c>
      <c r="N418" s="110">
        <f>M418-F418</f>
        <v>57</v>
      </c>
      <c r="O418" s="110" t="s">
        <v>100</v>
      </c>
      <c r="P418" s="83"/>
      <c r="Q418" s="83">
        <f>823+758+17</f>
        <v>1598</v>
      </c>
      <c r="R418" s="83"/>
      <c r="S418" s="83">
        <f>818+774+6</f>
        <v>1598</v>
      </c>
      <c r="T418" s="110">
        <f>S418-Q418</f>
        <v>0</v>
      </c>
      <c r="U418" s="59">
        <f>IF(Q418&gt;0,S418-W418,M418-W418)</f>
        <v>0</v>
      </c>
      <c r="V418" s="83"/>
      <c r="W418" s="83">
        <f>1598</f>
        <v>1598</v>
      </c>
      <c r="X418" s="110">
        <f>W418-M418</f>
        <v>-19</v>
      </c>
      <c r="Y418" s="110"/>
      <c r="Z418" s="139"/>
      <c r="AA418" s="139"/>
      <c r="AB418" s="83"/>
      <c r="AC418" s="106"/>
      <c r="AD418" s="106"/>
      <c r="AE418" s="100">
        <f t="shared" si="740"/>
        <v>3.653846153846154E-2</v>
      </c>
      <c r="AF418" s="90"/>
      <c r="AG418" s="109">
        <f t="shared" si="741"/>
        <v>0</v>
      </c>
      <c r="AH418" s="100">
        <f t="shared" si="742"/>
        <v>2.4358974358974359E-2</v>
      </c>
      <c r="AI418" s="100">
        <f t="shared" si="743"/>
        <v>2.4358974358974359E-2</v>
      </c>
    </row>
    <row r="419" spans="1:35" s="86" customFormat="1" ht="18.75" customHeight="1" x14ac:dyDescent="0.3">
      <c r="A419" s="106"/>
      <c r="B419" s="106" t="s">
        <v>52</v>
      </c>
      <c r="C419" s="118">
        <v>48044</v>
      </c>
      <c r="D419" s="326"/>
      <c r="E419" s="131" t="s">
        <v>553</v>
      </c>
      <c r="F419" s="83">
        <v>1960</v>
      </c>
      <c r="G419" s="145"/>
      <c r="H419" s="146"/>
      <c r="I419" s="83"/>
      <c r="J419" s="83"/>
      <c r="K419" s="83"/>
      <c r="L419" s="83"/>
      <c r="M419" s="83">
        <f>808+1073+169</f>
        <v>2050</v>
      </c>
      <c r="N419" s="110">
        <f>M419-F419</f>
        <v>90</v>
      </c>
      <c r="O419" s="110" t="s">
        <v>100</v>
      </c>
      <c r="P419" s="83"/>
      <c r="Q419" s="83">
        <f>1054+795+168</f>
        <v>2017</v>
      </c>
      <c r="R419" s="83"/>
      <c r="S419" s="83">
        <f>1633+206+170</f>
        <v>2009</v>
      </c>
      <c r="T419" s="110">
        <f>S419-Q419</f>
        <v>-8</v>
      </c>
      <c r="U419" s="59">
        <f>IF(Q419&gt;0,S419-W419,M419-W419)</f>
        <v>0</v>
      </c>
      <c r="V419" s="83">
        <v>2009</v>
      </c>
      <c r="W419" s="83">
        <v>2009</v>
      </c>
      <c r="X419" s="110">
        <f>W419-M419</f>
        <v>-41</v>
      </c>
      <c r="Y419" s="110"/>
      <c r="Z419" s="139"/>
      <c r="AA419" s="139"/>
      <c r="AB419" s="83"/>
      <c r="AC419" s="106"/>
      <c r="AD419" s="106"/>
      <c r="AE419" s="100">
        <f t="shared" ref="AE419:AE421" si="744">N419/F419</f>
        <v>4.5918367346938778E-2</v>
      </c>
      <c r="AF419" s="90"/>
      <c r="AG419" s="109">
        <f t="shared" ref="AG419:AG421" si="745">IF(N419&lt;0,N419,0)</f>
        <v>0</v>
      </c>
      <c r="AH419" s="100">
        <f t="shared" ref="AH419:AH421" si="746">(S419-F419)/F419</f>
        <v>2.5000000000000001E-2</v>
      </c>
      <c r="AI419" s="100">
        <f t="shared" ref="AI419:AI421" si="747">(W419-F419)/F419</f>
        <v>2.5000000000000001E-2</v>
      </c>
    </row>
    <row r="420" spans="1:35" s="82" customFormat="1" ht="16.5" customHeight="1" x14ac:dyDescent="0.3">
      <c r="A420" s="90" t="s">
        <v>46</v>
      </c>
      <c r="B420" s="90" t="s">
        <v>52</v>
      </c>
      <c r="C420" s="137"/>
      <c r="D420" s="90"/>
      <c r="E420" s="80"/>
      <c r="F420" s="81">
        <f>SUM(F417:F419)</f>
        <v>5080</v>
      </c>
      <c r="G420" s="81"/>
      <c r="H420" s="81" t="s">
        <v>50</v>
      </c>
      <c r="I420" s="81"/>
      <c r="J420" s="81" t="s">
        <v>60</v>
      </c>
      <c r="K420" s="85" t="s">
        <v>340</v>
      </c>
      <c r="L420" s="81">
        <f>SUM(L417:L419)</f>
        <v>0</v>
      </c>
      <c r="M420" s="81">
        <f t="shared" ref="M420:X420" si="748">SUM(M417:M419)</f>
        <v>5288</v>
      </c>
      <c r="N420" s="81">
        <f t="shared" si="748"/>
        <v>208</v>
      </c>
      <c r="O420" s="81" t="s">
        <v>272</v>
      </c>
      <c r="P420" s="81">
        <f t="shared" si="748"/>
        <v>0</v>
      </c>
      <c r="Q420" s="81">
        <f t="shared" si="748"/>
        <v>5206</v>
      </c>
      <c r="R420" s="81">
        <f t="shared" si="748"/>
        <v>0</v>
      </c>
      <c r="S420" s="81">
        <f t="shared" si="748"/>
        <v>5190</v>
      </c>
      <c r="T420" s="81">
        <f t="shared" si="748"/>
        <v>-16</v>
      </c>
      <c r="U420" s="59">
        <f t="shared" si="728"/>
        <v>5</v>
      </c>
      <c r="V420" s="81">
        <f t="shared" si="748"/>
        <v>2009</v>
      </c>
      <c r="W420" s="81">
        <f t="shared" si="748"/>
        <v>5185</v>
      </c>
      <c r="X420" s="81">
        <f t="shared" si="748"/>
        <v>-103</v>
      </c>
      <c r="Y420" s="81" t="s">
        <v>47</v>
      </c>
      <c r="Z420" s="110" t="s">
        <v>45</v>
      </c>
      <c r="AA420" s="110"/>
      <c r="AB420" s="84"/>
      <c r="AC420" s="136"/>
      <c r="AD420" s="136"/>
      <c r="AE420" s="100">
        <f t="shared" si="744"/>
        <v>4.0944881889763779E-2</v>
      </c>
      <c r="AF420" s="90"/>
      <c r="AG420" s="109">
        <f t="shared" si="745"/>
        <v>0</v>
      </c>
      <c r="AH420" s="100">
        <f t="shared" si="746"/>
        <v>2.1653543307086614E-2</v>
      </c>
      <c r="AI420" s="100">
        <f t="shared" si="747"/>
        <v>2.0669291338582679E-2</v>
      </c>
    </row>
    <row r="421" spans="1:35" s="86" customFormat="1" ht="18.75" customHeight="1" x14ac:dyDescent="0.3">
      <c r="A421" s="106"/>
      <c r="B421" s="106" t="s">
        <v>52</v>
      </c>
      <c r="C421" s="118">
        <v>48040</v>
      </c>
      <c r="D421" s="310">
        <v>13227981</v>
      </c>
      <c r="E421" s="128" t="s">
        <v>522</v>
      </c>
      <c r="F421" s="83">
        <v>1212</v>
      </c>
      <c r="G421" s="145"/>
      <c r="H421" s="146"/>
      <c r="I421" s="83"/>
      <c r="J421" s="83"/>
      <c r="K421" s="83"/>
      <c r="L421" s="83"/>
      <c r="M421" s="83">
        <v>1254</v>
      </c>
      <c r="N421" s="110">
        <f>M421-F421</f>
        <v>42</v>
      </c>
      <c r="O421" s="110" t="s">
        <v>100</v>
      </c>
      <c r="P421" s="83"/>
      <c r="Q421" s="83">
        <v>1254</v>
      </c>
      <c r="R421" s="83"/>
      <c r="S421" s="83">
        <v>1254</v>
      </c>
      <c r="T421" s="110">
        <f>S421-Q421</f>
        <v>0</v>
      </c>
      <c r="U421" s="59">
        <f t="shared" ref="U421:U423" si="749">IF(Q421&gt;0,S421-W421,M421-W421)</f>
        <v>7</v>
      </c>
      <c r="V421" s="83"/>
      <c r="W421" s="83">
        <v>1247</v>
      </c>
      <c r="X421" s="110">
        <f>W421-M421</f>
        <v>-7</v>
      </c>
      <c r="Y421" s="110"/>
      <c r="Z421" s="139"/>
      <c r="AA421" s="139"/>
      <c r="AB421" s="83"/>
      <c r="AC421" s="106"/>
      <c r="AD421" s="106"/>
      <c r="AE421" s="100">
        <f t="shared" si="744"/>
        <v>3.4653465346534656E-2</v>
      </c>
      <c r="AF421" s="90"/>
      <c r="AG421" s="109">
        <f t="shared" si="745"/>
        <v>0</v>
      </c>
      <c r="AH421" s="100">
        <f t="shared" si="746"/>
        <v>3.4653465346534656E-2</v>
      </c>
      <c r="AI421" s="100">
        <f t="shared" si="747"/>
        <v>2.8877887788778877E-2</v>
      </c>
    </row>
    <row r="422" spans="1:35" s="86" customFormat="1" ht="18.75" customHeight="1" x14ac:dyDescent="0.3">
      <c r="A422" s="106"/>
      <c r="B422" s="106" t="s">
        <v>52</v>
      </c>
      <c r="C422" s="118">
        <v>48040</v>
      </c>
      <c r="D422" s="326"/>
      <c r="E422" s="128" t="s">
        <v>402</v>
      </c>
      <c r="F422" s="83">
        <v>1422</v>
      </c>
      <c r="G422" s="145"/>
      <c r="H422" s="146"/>
      <c r="I422" s="83"/>
      <c r="J422" s="83"/>
      <c r="K422" s="83"/>
      <c r="L422" s="83"/>
      <c r="M422" s="83">
        <f>1476</f>
        <v>1476</v>
      </c>
      <c r="N422" s="110">
        <f>M422-F422</f>
        <v>54</v>
      </c>
      <c r="O422" s="110" t="s">
        <v>100</v>
      </c>
      <c r="P422" s="83"/>
      <c r="Q422" s="83">
        <v>1476</v>
      </c>
      <c r="R422" s="83"/>
      <c r="S422" s="83">
        <f>1446+21</f>
        <v>1467</v>
      </c>
      <c r="T422" s="110">
        <f>S422-Q422</f>
        <v>-9</v>
      </c>
      <c r="U422" s="59">
        <f t="shared" si="749"/>
        <v>0</v>
      </c>
      <c r="V422" s="83"/>
      <c r="W422" s="83">
        <f>1467</f>
        <v>1467</v>
      </c>
      <c r="X422" s="110">
        <f>W422-M422</f>
        <v>-9</v>
      </c>
      <c r="Y422" s="110"/>
      <c r="Z422" s="139"/>
      <c r="AA422" s="139"/>
      <c r="AB422" s="83"/>
      <c r="AC422" s="106"/>
      <c r="AD422" s="106"/>
      <c r="AE422" s="100">
        <f t="shared" ref="AE422:AE423" si="750">N422/F422</f>
        <v>3.7974683544303799E-2</v>
      </c>
      <c r="AF422" s="90"/>
      <c r="AG422" s="109">
        <f t="shared" ref="AG422:AG423" si="751">IF(N422&lt;0,N422,0)</f>
        <v>0</v>
      </c>
      <c r="AH422" s="100">
        <f t="shared" ref="AH422:AH423" si="752">(S422-F422)/F422</f>
        <v>3.1645569620253167E-2</v>
      </c>
      <c r="AI422" s="100">
        <f t="shared" ref="AI422:AI423" si="753">(W422-F422)/F422</f>
        <v>3.1645569620253167E-2</v>
      </c>
    </row>
    <row r="423" spans="1:35" s="82" customFormat="1" ht="16.5" customHeight="1" x14ac:dyDescent="0.3">
      <c r="A423" s="90" t="s">
        <v>46</v>
      </c>
      <c r="B423" s="90" t="s">
        <v>52</v>
      </c>
      <c r="C423" s="137"/>
      <c r="D423" s="90"/>
      <c r="E423" s="80"/>
      <c r="F423" s="81">
        <f>SUM(F421:F422)</f>
        <v>2634</v>
      </c>
      <c r="G423" s="81"/>
      <c r="H423" s="81" t="s">
        <v>50</v>
      </c>
      <c r="I423" s="81"/>
      <c r="J423" s="81" t="s">
        <v>60</v>
      </c>
      <c r="K423" s="85" t="s">
        <v>226</v>
      </c>
      <c r="L423" s="81">
        <f>SUM(L421:L422)</f>
        <v>0</v>
      </c>
      <c r="M423" s="81">
        <f t="shared" ref="M423:X423" si="754">SUM(M421:M422)</f>
        <v>2730</v>
      </c>
      <c r="N423" s="81">
        <f t="shared" si="754"/>
        <v>96</v>
      </c>
      <c r="O423" s="81" t="s">
        <v>479</v>
      </c>
      <c r="P423" s="81">
        <f t="shared" si="754"/>
        <v>0</v>
      </c>
      <c r="Q423" s="81">
        <f t="shared" si="754"/>
        <v>2730</v>
      </c>
      <c r="R423" s="81">
        <f t="shared" si="754"/>
        <v>0</v>
      </c>
      <c r="S423" s="81">
        <f>SUM(S421:S422)</f>
        <v>2721</v>
      </c>
      <c r="T423" s="81">
        <f t="shared" si="754"/>
        <v>-9</v>
      </c>
      <c r="U423" s="59">
        <f t="shared" si="749"/>
        <v>7</v>
      </c>
      <c r="V423" s="81">
        <f t="shared" si="754"/>
        <v>0</v>
      </c>
      <c r="W423" s="81">
        <f t="shared" si="754"/>
        <v>2714</v>
      </c>
      <c r="X423" s="81">
        <f t="shared" si="754"/>
        <v>-16</v>
      </c>
      <c r="Y423" s="81" t="s">
        <v>47</v>
      </c>
      <c r="Z423" s="110" t="s">
        <v>45</v>
      </c>
      <c r="AA423" s="110"/>
      <c r="AB423" s="84"/>
      <c r="AC423" s="136"/>
      <c r="AD423" s="136"/>
      <c r="AE423" s="100">
        <f t="shared" si="750"/>
        <v>3.644646924829157E-2</v>
      </c>
      <c r="AF423" s="90"/>
      <c r="AG423" s="109">
        <f t="shared" si="751"/>
        <v>0</v>
      </c>
      <c r="AH423" s="100">
        <f t="shared" si="752"/>
        <v>3.3029612756264239E-2</v>
      </c>
      <c r="AI423" s="100">
        <f t="shared" si="753"/>
        <v>3.0372057706909643E-2</v>
      </c>
    </row>
    <row r="424" spans="1:35" s="86" customFormat="1" ht="18.75" customHeight="1" x14ac:dyDescent="0.3">
      <c r="A424" s="106"/>
      <c r="B424" s="106" t="s">
        <v>52</v>
      </c>
      <c r="C424" s="118">
        <v>47685</v>
      </c>
      <c r="D424" s="310">
        <v>13262862</v>
      </c>
      <c r="E424" s="128" t="s">
        <v>186</v>
      </c>
      <c r="F424" s="83">
        <v>2764</v>
      </c>
      <c r="G424" s="83"/>
      <c r="H424" s="83"/>
      <c r="I424" s="83"/>
      <c r="J424" s="83"/>
      <c r="K424" s="83"/>
      <c r="L424" s="83"/>
      <c r="M424" s="83">
        <f>1688+1091+66</f>
        <v>2845</v>
      </c>
      <c r="N424" s="110">
        <f>M424-F424</f>
        <v>81</v>
      </c>
      <c r="O424" s="110" t="s">
        <v>100</v>
      </c>
      <c r="P424" s="83"/>
      <c r="Q424" s="83">
        <f>1888+891+66</f>
        <v>2845</v>
      </c>
      <c r="R424" s="83"/>
      <c r="S424" s="83">
        <v>2845</v>
      </c>
      <c r="T424" s="110">
        <f>S424-Q424</f>
        <v>0</v>
      </c>
      <c r="U424" s="59">
        <f t="shared" si="728"/>
        <v>0</v>
      </c>
      <c r="V424" s="83"/>
      <c r="W424" s="83">
        <v>2845</v>
      </c>
      <c r="X424" s="110">
        <f>W424-M424</f>
        <v>0</v>
      </c>
      <c r="Y424" s="110"/>
      <c r="Z424" s="110"/>
      <c r="AA424" s="110"/>
      <c r="AB424" s="83"/>
      <c r="AC424" s="106"/>
      <c r="AD424" s="106"/>
      <c r="AE424" s="100">
        <f t="shared" ref="AE424:AE426" si="755">N424/F424</f>
        <v>2.9305354558610709E-2</v>
      </c>
      <c r="AF424" s="90"/>
      <c r="AG424" s="109">
        <f t="shared" ref="AG424:AG426" si="756">IF(N424&lt;0,N424,0)</f>
        <v>0</v>
      </c>
      <c r="AH424" s="100">
        <f t="shared" ref="AH424:AH426" si="757">(S424-F424)/F424</f>
        <v>2.9305354558610709E-2</v>
      </c>
      <c r="AI424" s="100">
        <f t="shared" ref="AI424:AI426" si="758">(W424-F424)/F424</f>
        <v>2.9305354558610709E-2</v>
      </c>
    </row>
    <row r="425" spans="1:35" s="86" customFormat="1" ht="18.75" customHeight="1" x14ac:dyDescent="0.3">
      <c r="A425" s="106"/>
      <c r="B425" s="106" t="s">
        <v>52</v>
      </c>
      <c r="C425" s="118">
        <v>47685</v>
      </c>
      <c r="D425" s="311"/>
      <c r="E425" s="128" t="s">
        <v>98</v>
      </c>
      <c r="F425" s="83">
        <v>1759</v>
      </c>
      <c r="G425" s="83"/>
      <c r="H425" s="83"/>
      <c r="I425" s="83"/>
      <c r="J425" s="83"/>
      <c r="K425" s="83"/>
      <c r="L425" s="83"/>
      <c r="M425" s="83">
        <f>1472+310+50+30</f>
        <v>1862</v>
      </c>
      <c r="N425" s="110">
        <f>M425-F425</f>
        <v>103</v>
      </c>
      <c r="O425" s="110" t="s">
        <v>100</v>
      </c>
      <c r="P425" s="83"/>
      <c r="Q425" s="83">
        <f>1472+310+30+50</f>
        <v>1862</v>
      </c>
      <c r="R425" s="83"/>
      <c r="S425" s="83">
        <v>1862</v>
      </c>
      <c r="T425" s="110">
        <f>S425-Q425</f>
        <v>0</v>
      </c>
      <c r="U425" s="59">
        <f t="shared" si="728"/>
        <v>7</v>
      </c>
      <c r="V425" s="83"/>
      <c r="W425" s="83">
        <v>1855</v>
      </c>
      <c r="X425" s="110">
        <f>W425-M425</f>
        <v>-7</v>
      </c>
      <c r="Y425" s="110"/>
      <c r="Z425" s="110"/>
      <c r="AA425" s="110"/>
      <c r="AB425" s="83"/>
      <c r="AC425" s="106"/>
      <c r="AD425" s="106"/>
      <c r="AE425" s="100">
        <f t="shared" si="755"/>
        <v>5.855599772598067E-2</v>
      </c>
      <c r="AF425" s="90"/>
      <c r="AG425" s="109">
        <f t="shared" si="756"/>
        <v>0</v>
      </c>
      <c r="AH425" s="100">
        <f t="shared" si="757"/>
        <v>5.855599772598067E-2</v>
      </c>
      <c r="AI425" s="100">
        <f t="shared" si="758"/>
        <v>5.4576463899943146E-2</v>
      </c>
    </row>
    <row r="426" spans="1:35" s="82" customFormat="1" ht="16.5" customHeight="1" x14ac:dyDescent="0.3">
      <c r="A426" s="90" t="s">
        <v>46</v>
      </c>
      <c r="B426" s="90" t="s">
        <v>52</v>
      </c>
      <c r="C426" s="137"/>
      <c r="D426" s="90"/>
      <c r="E426" s="80"/>
      <c r="F426" s="81">
        <f>SUM(F424:F425)</f>
        <v>4523</v>
      </c>
      <c r="G426" s="81"/>
      <c r="H426" s="81" t="s">
        <v>50</v>
      </c>
      <c r="I426" s="81"/>
      <c r="J426" s="81" t="s">
        <v>60</v>
      </c>
      <c r="K426" s="85" t="s">
        <v>175</v>
      </c>
      <c r="L426" s="81">
        <f>SUM(L424:L425)</f>
        <v>0</v>
      </c>
      <c r="M426" s="81">
        <f>SUM(M424:M425)</f>
        <v>4707</v>
      </c>
      <c r="N426" s="81">
        <f>SUM(N424:N425)</f>
        <v>184</v>
      </c>
      <c r="O426" s="81" t="s">
        <v>151</v>
      </c>
      <c r="P426" s="81">
        <f>SUM(P424:P425)</f>
        <v>0</v>
      </c>
      <c r="Q426" s="81">
        <f>SUM(Q424:Q425)</f>
        <v>4707</v>
      </c>
      <c r="R426" s="81">
        <f>SUM(R424:R425)</f>
        <v>0</v>
      </c>
      <c r="S426" s="81">
        <f>SUM(S424:S425)</f>
        <v>4707</v>
      </c>
      <c r="T426" s="81">
        <f>SUM(T424:T425)</f>
        <v>0</v>
      </c>
      <c r="U426" s="59">
        <f t="shared" si="728"/>
        <v>7</v>
      </c>
      <c r="V426" s="81">
        <f>SUM(V424:V425)</f>
        <v>0</v>
      </c>
      <c r="W426" s="81">
        <f>SUM(W424:W425)</f>
        <v>4700</v>
      </c>
      <c r="X426" s="81">
        <f>SUM(X424:X425)</f>
        <v>-7</v>
      </c>
      <c r="Y426" s="81" t="s">
        <v>48</v>
      </c>
      <c r="Z426" s="110" t="s">
        <v>45</v>
      </c>
      <c r="AA426" s="110"/>
      <c r="AB426" s="84"/>
      <c r="AC426" s="136"/>
      <c r="AD426" s="136"/>
      <c r="AE426" s="100">
        <f t="shared" si="755"/>
        <v>4.0680963961972141E-2</v>
      </c>
      <c r="AF426" s="90"/>
      <c r="AG426" s="109">
        <f t="shared" si="756"/>
        <v>0</v>
      </c>
      <c r="AH426" s="100">
        <f t="shared" si="757"/>
        <v>4.0680963961972141E-2</v>
      </c>
      <c r="AI426" s="100">
        <f t="shared" si="758"/>
        <v>3.913331859385364E-2</v>
      </c>
    </row>
    <row r="427" spans="1:35" s="86" customFormat="1" ht="18.75" customHeight="1" x14ac:dyDescent="0.3">
      <c r="A427" s="106"/>
      <c r="B427" s="106" t="s">
        <v>52</v>
      </c>
      <c r="C427" s="118">
        <v>48049</v>
      </c>
      <c r="D427" s="214">
        <v>13267096</v>
      </c>
      <c r="E427" s="157" t="s">
        <v>202</v>
      </c>
      <c r="F427" s="83">
        <v>1110</v>
      </c>
      <c r="G427" s="83"/>
      <c r="H427" s="83"/>
      <c r="I427" s="83"/>
      <c r="J427" s="83"/>
      <c r="K427" s="83"/>
      <c r="L427" s="83"/>
      <c r="M427" s="83">
        <f>1160</f>
        <v>1160</v>
      </c>
      <c r="N427" s="110">
        <f>M427-F427</f>
        <v>50</v>
      </c>
      <c r="O427" s="110" t="s">
        <v>100</v>
      </c>
      <c r="P427" s="83"/>
      <c r="Q427" s="83">
        <v>1160</v>
      </c>
      <c r="R427" s="83"/>
      <c r="S427" s="83">
        <v>1160</v>
      </c>
      <c r="T427" s="110">
        <f>S427-Q427</f>
        <v>0</v>
      </c>
      <c r="U427" s="59">
        <f t="shared" si="728"/>
        <v>15</v>
      </c>
      <c r="V427" s="83"/>
      <c r="W427" s="83">
        <f>1145</f>
        <v>1145</v>
      </c>
      <c r="X427" s="110">
        <f>W427-M427</f>
        <v>-15</v>
      </c>
      <c r="Y427" s="110"/>
      <c r="Z427" s="110"/>
      <c r="AA427" s="110"/>
      <c r="AB427" s="83"/>
      <c r="AC427" s="106"/>
      <c r="AD427" s="106"/>
      <c r="AE427" s="100">
        <f t="shared" ref="AE427:AE428" si="759">N427/F427</f>
        <v>4.5045045045045043E-2</v>
      </c>
      <c r="AF427" s="90"/>
      <c r="AG427" s="109">
        <f t="shared" ref="AG427:AG428" si="760">IF(N427&lt;0,N427,0)</f>
        <v>0</v>
      </c>
      <c r="AH427" s="100">
        <f t="shared" ref="AH427:AH428" si="761">(S427-F427)/F427</f>
        <v>4.5045045045045043E-2</v>
      </c>
      <c r="AI427" s="100">
        <f t="shared" ref="AI427:AI428" si="762">(W427-F427)/F427</f>
        <v>3.1531531531531529E-2</v>
      </c>
    </row>
    <row r="428" spans="1:35" s="82" customFormat="1" ht="16.5" customHeight="1" x14ac:dyDescent="0.3">
      <c r="A428" s="90" t="s">
        <v>46</v>
      </c>
      <c r="B428" s="90" t="s">
        <v>52</v>
      </c>
      <c r="C428" s="137"/>
      <c r="D428" s="90"/>
      <c r="E428" s="80"/>
      <c r="F428" s="81">
        <f>SUM(F427:F427)</f>
        <v>1110</v>
      </c>
      <c r="G428" s="81"/>
      <c r="H428" s="81" t="s">
        <v>50</v>
      </c>
      <c r="I428" s="81"/>
      <c r="J428" s="81" t="s">
        <v>60</v>
      </c>
      <c r="K428" s="85" t="s">
        <v>226</v>
      </c>
      <c r="L428" s="81">
        <f>SUM(L427:L427)</f>
        <v>0</v>
      </c>
      <c r="M428" s="81">
        <f>SUM(M427:M427)</f>
        <v>1160</v>
      </c>
      <c r="N428" s="81">
        <f>SUM(N427:N427)</f>
        <v>50</v>
      </c>
      <c r="O428" s="81" t="s">
        <v>709</v>
      </c>
      <c r="P428" s="81">
        <f>SUM(P427:P427)</f>
        <v>0</v>
      </c>
      <c r="Q428" s="81">
        <f>SUM(Q427:Q427)</f>
        <v>1160</v>
      </c>
      <c r="R428" s="81">
        <f>SUM(R427:R427)</f>
        <v>0</v>
      </c>
      <c r="S428" s="81">
        <f>SUM(S427:S427)</f>
        <v>1160</v>
      </c>
      <c r="T428" s="81">
        <f>SUM(T427:T427)</f>
        <v>0</v>
      </c>
      <c r="U428" s="59">
        <f t="shared" si="728"/>
        <v>15</v>
      </c>
      <c r="V428" s="81"/>
      <c r="W428" s="81">
        <f>SUM(W427:W427)</f>
        <v>1145</v>
      </c>
      <c r="X428" s="81">
        <f>SUM(X427:X427)</f>
        <v>-15</v>
      </c>
      <c r="Y428" s="81" t="s">
        <v>57</v>
      </c>
      <c r="Z428" s="110" t="s">
        <v>45</v>
      </c>
      <c r="AA428" s="110"/>
      <c r="AB428" s="84"/>
      <c r="AC428" s="136"/>
      <c r="AD428" s="136"/>
      <c r="AE428" s="100">
        <f t="shared" si="759"/>
        <v>4.5045045045045043E-2</v>
      </c>
      <c r="AF428" s="90"/>
      <c r="AG428" s="109">
        <f t="shared" si="760"/>
        <v>0</v>
      </c>
      <c r="AH428" s="100">
        <f t="shared" si="761"/>
        <v>4.5045045045045043E-2</v>
      </c>
      <c r="AI428" s="100">
        <f t="shared" si="762"/>
        <v>3.1531531531531529E-2</v>
      </c>
    </row>
    <row r="429" spans="1:35" s="86" customFormat="1" ht="18.75" customHeight="1" x14ac:dyDescent="0.3">
      <c r="A429" s="106"/>
      <c r="B429" s="106" t="s">
        <v>52</v>
      </c>
      <c r="C429" s="118">
        <v>47997</v>
      </c>
      <c r="D429" s="202">
        <v>13263955</v>
      </c>
      <c r="E429" s="153" t="s">
        <v>202</v>
      </c>
      <c r="F429" s="83">
        <v>2970</v>
      </c>
      <c r="G429" s="83"/>
      <c r="H429" s="83"/>
      <c r="I429" s="83"/>
      <c r="J429" s="83"/>
      <c r="K429" s="83"/>
      <c r="L429" s="83"/>
      <c r="M429" s="83"/>
      <c r="N429" s="110">
        <f>M429-F429</f>
        <v>-2970</v>
      </c>
      <c r="O429" s="110" t="s">
        <v>100</v>
      </c>
      <c r="P429" s="83"/>
      <c r="Q429" s="83"/>
      <c r="R429" s="83"/>
      <c r="S429" s="83"/>
      <c r="T429" s="110">
        <f>S429-Q429</f>
        <v>0</v>
      </c>
      <c r="U429" s="59">
        <f t="shared" si="728"/>
        <v>0</v>
      </c>
      <c r="V429" s="83"/>
      <c r="W429" s="83"/>
      <c r="X429" s="110">
        <f>W429-M429</f>
        <v>0</v>
      </c>
      <c r="Y429" s="110"/>
      <c r="Z429" s="110"/>
      <c r="AA429" s="110"/>
      <c r="AB429" s="83"/>
      <c r="AC429" s="106"/>
      <c r="AD429" s="106"/>
      <c r="AE429" s="100">
        <f t="shared" ref="AE429:AE438" si="763">N429/F429</f>
        <v>-1</v>
      </c>
      <c r="AF429" s="90"/>
      <c r="AG429" s="109">
        <f t="shared" ref="AG429:AG438" si="764">IF(N429&lt;0,N429,0)</f>
        <v>-2970</v>
      </c>
      <c r="AH429" s="100">
        <f t="shared" ref="AH429:AH438" si="765">(S429-F429)/F429</f>
        <v>-1</v>
      </c>
      <c r="AI429" s="100">
        <f t="shared" ref="AI429:AI438" si="766">(W429-F429)/F429</f>
        <v>-1</v>
      </c>
    </row>
    <row r="430" spans="1:35" s="82" customFormat="1" ht="16.5" customHeight="1" x14ac:dyDescent="0.3">
      <c r="A430" s="90" t="s">
        <v>46</v>
      </c>
      <c r="B430" s="90" t="s">
        <v>52</v>
      </c>
      <c r="C430" s="137"/>
      <c r="D430" s="90"/>
      <c r="E430" s="80"/>
      <c r="F430" s="81">
        <f>SUM(F429:F429)</f>
        <v>2970</v>
      </c>
      <c r="G430" s="81"/>
      <c r="H430" s="81" t="s">
        <v>50</v>
      </c>
      <c r="I430" s="81"/>
      <c r="J430" s="81"/>
      <c r="K430" s="85" t="s">
        <v>340</v>
      </c>
      <c r="L430" s="81">
        <f>SUM(L429:L429)</f>
        <v>0</v>
      </c>
      <c r="M430" s="81">
        <f>SUM(M429:M429)</f>
        <v>0</v>
      </c>
      <c r="N430" s="81">
        <f>SUM(N429:N429)</f>
        <v>-2970</v>
      </c>
      <c r="O430" s="81"/>
      <c r="P430" s="81">
        <f>SUM(P429:P429)</f>
        <v>0</v>
      </c>
      <c r="Q430" s="81">
        <f>SUM(Q429:Q429)</f>
        <v>0</v>
      </c>
      <c r="R430" s="81">
        <f>SUM(R429:R429)</f>
        <v>0</v>
      </c>
      <c r="S430" s="81">
        <f>SUM(S429:S429)</f>
        <v>0</v>
      </c>
      <c r="T430" s="81">
        <f>SUM(T429:T429)</f>
        <v>0</v>
      </c>
      <c r="U430" s="59">
        <f t="shared" si="728"/>
        <v>0</v>
      </c>
      <c r="V430" s="81">
        <f>SUM(V429:V429)</f>
        <v>0</v>
      </c>
      <c r="W430" s="81">
        <f>SUM(W429:W429)</f>
        <v>0</v>
      </c>
      <c r="X430" s="81">
        <f>SUM(X429:X429)</f>
        <v>0</v>
      </c>
      <c r="Y430" s="81"/>
      <c r="Z430" s="110"/>
      <c r="AA430" s="110"/>
      <c r="AB430" s="84"/>
      <c r="AC430" s="136"/>
      <c r="AD430" s="136"/>
      <c r="AE430" s="100">
        <f t="shared" si="763"/>
        <v>-1</v>
      </c>
      <c r="AF430" s="90"/>
      <c r="AG430" s="109">
        <f t="shared" si="764"/>
        <v>-2970</v>
      </c>
      <c r="AH430" s="100">
        <f t="shared" si="765"/>
        <v>-1</v>
      </c>
      <c r="AI430" s="100">
        <f t="shared" si="766"/>
        <v>-1</v>
      </c>
    </row>
    <row r="431" spans="1:35" s="86" customFormat="1" ht="18.75" customHeight="1" x14ac:dyDescent="0.3">
      <c r="A431" s="106"/>
      <c r="B431" s="106" t="s">
        <v>52</v>
      </c>
      <c r="C431" s="118" t="s">
        <v>739</v>
      </c>
      <c r="D431" s="310">
        <v>13180124</v>
      </c>
      <c r="E431" s="157" t="s">
        <v>38</v>
      </c>
      <c r="F431" s="83">
        <v>3040</v>
      </c>
      <c r="G431" s="83"/>
      <c r="H431" s="83"/>
      <c r="I431" s="83"/>
      <c r="J431" s="83"/>
      <c r="K431" s="83"/>
      <c r="L431" s="83"/>
      <c r="M431" s="83">
        <f>1800+1312</f>
        <v>3112</v>
      </c>
      <c r="N431" s="110">
        <f>M431-F431</f>
        <v>72</v>
      </c>
      <c r="O431" s="110" t="s">
        <v>100</v>
      </c>
      <c r="P431" s="83"/>
      <c r="Q431" s="83">
        <f>1800+1312</f>
        <v>3112</v>
      </c>
      <c r="R431" s="83"/>
      <c r="S431" s="83">
        <v>3110</v>
      </c>
      <c r="T431" s="110">
        <f>S431-Q431</f>
        <v>-2</v>
      </c>
      <c r="U431" s="59">
        <f t="shared" ref="U431:U438" si="767">IF(Q431&gt;0,S431-W431,M431-W431)</f>
        <v>10</v>
      </c>
      <c r="V431" s="83"/>
      <c r="W431" s="83">
        <f>2194+906</f>
        <v>3100</v>
      </c>
      <c r="X431" s="110">
        <f>W431-M431</f>
        <v>-12</v>
      </c>
      <c r="Y431" s="110"/>
      <c r="Z431" s="110"/>
      <c r="AA431" s="110"/>
      <c r="AB431" s="83"/>
      <c r="AC431" s="106"/>
      <c r="AD431" s="106"/>
      <c r="AE431" s="100">
        <f t="shared" si="763"/>
        <v>2.368421052631579E-2</v>
      </c>
      <c r="AF431" s="90"/>
      <c r="AG431" s="109">
        <f t="shared" si="764"/>
        <v>0</v>
      </c>
      <c r="AH431" s="100">
        <f t="shared" si="765"/>
        <v>2.3026315789473683E-2</v>
      </c>
      <c r="AI431" s="100">
        <f t="shared" si="766"/>
        <v>1.9736842105263157E-2</v>
      </c>
    </row>
    <row r="432" spans="1:35" s="86" customFormat="1" ht="18.75" customHeight="1" x14ac:dyDescent="0.3">
      <c r="A432" s="106"/>
      <c r="B432" s="106" t="s">
        <v>52</v>
      </c>
      <c r="C432" s="118" t="s">
        <v>739</v>
      </c>
      <c r="D432" s="311"/>
      <c r="E432" s="157" t="s">
        <v>0</v>
      </c>
      <c r="F432" s="83">
        <v>3040</v>
      </c>
      <c r="G432" s="83"/>
      <c r="H432" s="83"/>
      <c r="I432" s="83"/>
      <c r="J432" s="83"/>
      <c r="K432" s="83"/>
      <c r="L432" s="83"/>
      <c r="M432" s="83">
        <f>3116</f>
        <v>3116</v>
      </c>
      <c r="N432" s="110">
        <f>M432-F432</f>
        <v>76</v>
      </c>
      <c r="O432" s="110" t="s">
        <v>100</v>
      </c>
      <c r="P432" s="83"/>
      <c r="Q432" s="83">
        <f>1476+1640</f>
        <v>3116</v>
      </c>
      <c r="R432" s="83"/>
      <c r="S432" s="83">
        <v>3116</v>
      </c>
      <c r="T432" s="110">
        <f>S432-Q432</f>
        <v>0</v>
      </c>
      <c r="U432" s="59">
        <f t="shared" si="767"/>
        <v>5</v>
      </c>
      <c r="V432" s="83"/>
      <c r="W432" s="83">
        <v>3111</v>
      </c>
      <c r="X432" s="110">
        <f>W432-M432</f>
        <v>-5</v>
      </c>
      <c r="Y432" s="110"/>
      <c r="Z432" s="110"/>
      <c r="AA432" s="110"/>
      <c r="AB432" s="83"/>
      <c r="AC432" s="106"/>
      <c r="AD432" s="106"/>
      <c r="AE432" s="100">
        <f t="shared" si="763"/>
        <v>2.5000000000000001E-2</v>
      </c>
      <c r="AF432" s="90"/>
      <c r="AG432" s="109">
        <f t="shared" si="764"/>
        <v>0</v>
      </c>
      <c r="AH432" s="100">
        <f t="shared" si="765"/>
        <v>2.5000000000000001E-2</v>
      </c>
      <c r="AI432" s="100">
        <f t="shared" si="766"/>
        <v>2.3355263157894737E-2</v>
      </c>
    </row>
    <row r="433" spans="1:35" s="86" customFormat="1" ht="18.75" customHeight="1" x14ac:dyDescent="0.3">
      <c r="A433" s="106"/>
      <c r="B433" s="106" t="s">
        <v>52</v>
      </c>
      <c r="C433" s="118" t="s">
        <v>739</v>
      </c>
      <c r="D433" s="311"/>
      <c r="E433" s="157" t="s">
        <v>138</v>
      </c>
      <c r="F433" s="83">
        <v>1520</v>
      </c>
      <c r="G433" s="83"/>
      <c r="H433" s="83"/>
      <c r="I433" s="83"/>
      <c r="J433" s="83"/>
      <c r="K433" s="83"/>
      <c r="L433" s="83"/>
      <c r="M433" s="83">
        <f>1121</f>
        <v>1121</v>
      </c>
      <c r="N433" s="110">
        <f>M433-F433</f>
        <v>-399</v>
      </c>
      <c r="O433" s="110" t="s">
        <v>100</v>
      </c>
      <c r="P433" s="83"/>
      <c r="Q433" s="83">
        <f>1110</f>
        <v>1110</v>
      </c>
      <c r="R433" s="83"/>
      <c r="S433" s="83">
        <v>1109</v>
      </c>
      <c r="T433" s="110">
        <f>S433-Q433</f>
        <v>-1</v>
      </c>
      <c r="U433" s="59">
        <f t="shared" si="767"/>
        <v>1109</v>
      </c>
      <c r="V433" s="83"/>
      <c r="W433" s="83"/>
      <c r="X433" s="110">
        <f>W433-M433</f>
        <v>-1121</v>
      </c>
      <c r="Y433" s="110"/>
      <c r="Z433" s="110"/>
      <c r="AA433" s="110"/>
      <c r="AB433" s="83"/>
      <c r="AC433" s="106"/>
      <c r="AD433" s="106"/>
      <c r="AE433" s="100">
        <f t="shared" si="763"/>
        <v>-0.26250000000000001</v>
      </c>
      <c r="AF433" s="90"/>
      <c r="AG433" s="109">
        <f t="shared" si="764"/>
        <v>-399</v>
      </c>
      <c r="AH433" s="100">
        <f t="shared" si="765"/>
        <v>-0.27039473684210524</v>
      </c>
      <c r="AI433" s="100">
        <f t="shared" si="766"/>
        <v>-1</v>
      </c>
    </row>
    <row r="434" spans="1:35" s="82" customFormat="1" ht="16.5" customHeight="1" x14ac:dyDescent="0.3">
      <c r="A434" s="90" t="s">
        <v>46</v>
      </c>
      <c r="B434" s="90" t="s">
        <v>52</v>
      </c>
      <c r="C434" s="137"/>
      <c r="D434" s="90"/>
      <c r="E434" s="80"/>
      <c r="F434" s="81">
        <f>SUM(F431:F433)</f>
        <v>7600</v>
      </c>
      <c r="G434" s="81"/>
      <c r="H434" s="81" t="s">
        <v>50</v>
      </c>
      <c r="I434" s="81"/>
      <c r="J434" s="81" t="s">
        <v>60</v>
      </c>
      <c r="K434" s="85" t="s">
        <v>377</v>
      </c>
      <c r="L434" s="81">
        <f>SUM(L431:L433)</f>
        <v>0</v>
      </c>
      <c r="M434" s="81">
        <f>SUM(M431:M433)</f>
        <v>7349</v>
      </c>
      <c r="N434" s="81">
        <f>SUM(N431:N433)</f>
        <v>-251</v>
      </c>
      <c r="O434" s="81" t="s">
        <v>757</v>
      </c>
      <c r="P434" s="81">
        <f>SUM(P431:P433)</f>
        <v>0</v>
      </c>
      <c r="Q434" s="81">
        <f>SUM(Q431:Q433)</f>
        <v>7338</v>
      </c>
      <c r="R434" s="81">
        <f>SUM(R431:R433)</f>
        <v>0</v>
      </c>
      <c r="S434" s="81">
        <f>SUM(S431:S433)</f>
        <v>7335</v>
      </c>
      <c r="T434" s="81">
        <f>SUM(T431:T433)</f>
        <v>-3</v>
      </c>
      <c r="U434" s="59">
        <f t="shared" si="767"/>
        <v>1124</v>
      </c>
      <c r="V434" s="81">
        <f>SUM(V431:V433)</f>
        <v>0</v>
      </c>
      <c r="W434" s="81">
        <f>SUM(W431:W433)</f>
        <v>6211</v>
      </c>
      <c r="X434" s="81">
        <f>SUM(X431:X433)</f>
        <v>-1138</v>
      </c>
      <c r="Y434" s="81" t="s">
        <v>47</v>
      </c>
      <c r="Z434" s="110" t="s">
        <v>45</v>
      </c>
      <c r="AA434" s="110"/>
      <c r="AB434" s="84"/>
      <c r="AC434" s="136"/>
      <c r="AD434" s="136"/>
      <c r="AE434" s="100">
        <f t="shared" si="763"/>
        <v>-3.3026315789473681E-2</v>
      </c>
      <c r="AF434" s="90"/>
      <c r="AG434" s="109">
        <f t="shared" si="764"/>
        <v>-251</v>
      </c>
      <c r="AH434" s="100">
        <f t="shared" si="765"/>
        <v>-3.4868421052631576E-2</v>
      </c>
      <c r="AI434" s="100">
        <f t="shared" si="766"/>
        <v>-0.18276315789473685</v>
      </c>
    </row>
    <row r="435" spans="1:35" s="86" customFormat="1" ht="18.75" customHeight="1" x14ac:dyDescent="0.3">
      <c r="A435" s="106"/>
      <c r="B435" s="106" t="s">
        <v>52</v>
      </c>
      <c r="C435" s="118" t="s">
        <v>737</v>
      </c>
      <c r="D435" s="310">
        <v>13180124</v>
      </c>
      <c r="E435" s="157" t="s">
        <v>132</v>
      </c>
      <c r="F435" s="83">
        <v>1520</v>
      </c>
      <c r="G435" s="83"/>
      <c r="H435" s="83"/>
      <c r="I435" s="83"/>
      <c r="J435" s="83"/>
      <c r="K435" s="83"/>
      <c r="L435" s="83"/>
      <c r="M435" s="83">
        <v>1571</v>
      </c>
      <c r="N435" s="110">
        <f>M435-F435</f>
        <v>51</v>
      </c>
      <c r="O435" s="110" t="s">
        <v>100</v>
      </c>
      <c r="P435" s="83"/>
      <c r="Q435" s="83">
        <v>1571</v>
      </c>
      <c r="R435" s="83"/>
      <c r="S435" s="83">
        <v>1569</v>
      </c>
      <c r="T435" s="110">
        <f>S435-Q435</f>
        <v>-2</v>
      </c>
      <c r="U435" s="59">
        <f t="shared" si="767"/>
        <v>1569</v>
      </c>
      <c r="V435" s="83"/>
      <c r="W435" s="83"/>
      <c r="X435" s="110">
        <f>W435-M435</f>
        <v>-1571</v>
      </c>
      <c r="Y435" s="110"/>
      <c r="Z435" s="110"/>
      <c r="AA435" s="110"/>
      <c r="AB435" s="83"/>
      <c r="AC435" s="106"/>
      <c r="AD435" s="106"/>
      <c r="AE435" s="100">
        <f t="shared" si="763"/>
        <v>3.3552631578947369E-2</v>
      </c>
      <c r="AF435" s="90"/>
      <c r="AG435" s="109">
        <f t="shared" si="764"/>
        <v>0</v>
      </c>
      <c r="AH435" s="100">
        <f t="shared" si="765"/>
        <v>3.2236842105263161E-2</v>
      </c>
      <c r="AI435" s="100">
        <f t="shared" si="766"/>
        <v>-1</v>
      </c>
    </row>
    <row r="436" spans="1:35" s="86" customFormat="1" ht="18.75" customHeight="1" x14ac:dyDescent="0.3">
      <c r="A436" s="106"/>
      <c r="B436" s="106" t="s">
        <v>52</v>
      </c>
      <c r="C436" s="118" t="s">
        <v>737</v>
      </c>
      <c r="D436" s="311"/>
      <c r="E436" s="157" t="s">
        <v>738</v>
      </c>
      <c r="F436" s="83">
        <v>1040</v>
      </c>
      <c r="G436" s="83"/>
      <c r="H436" s="83"/>
      <c r="I436" s="83"/>
      <c r="J436" s="83"/>
      <c r="K436" s="83"/>
      <c r="L436" s="83"/>
      <c r="M436" s="83">
        <f>910</f>
        <v>910</v>
      </c>
      <c r="N436" s="110">
        <f>M436-F436</f>
        <v>-130</v>
      </c>
      <c r="O436" s="110" t="s">
        <v>100</v>
      </c>
      <c r="P436" s="83"/>
      <c r="Q436" s="83">
        <f>867</f>
        <v>867</v>
      </c>
      <c r="R436" s="83">
        <v>862</v>
      </c>
      <c r="S436" s="83">
        <v>862</v>
      </c>
      <c r="T436" s="110">
        <f>S436-Q436</f>
        <v>-5</v>
      </c>
      <c r="U436" s="59">
        <f t="shared" si="767"/>
        <v>862</v>
      </c>
      <c r="V436" s="83"/>
      <c r="W436" s="83"/>
      <c r="X436" s="110">
        <f>W436-M436</f>
        <v>-910</v>
      </c>
      <c r="Y436" s="110"/>
      <c r="Z436" s="110"/>
      <c r="AA436" s="110"/>
      <c r="AB436" s="83"/>
      <c r="AC436" s="106"/>
      <c r="AD436" s="106"/>
      <c r="AE436" s="100">
        <f t="shared" si="763"/>
        <v>-0.125</v>
      </c>
      <c r="AF436" s="90"/>
      <c r="AG436" s="109">
        <f t="shared" si="764"/>
        <v>-130</v>
      </c>
      <c r="AH436" s="100">
        <f t="shared" si="765"/>
        <v>-0.17115384615384616</v>
      </c>
      <c r="AI436" s="100">
        <f t="shared" si="766"/>
        <v>-1</v>
      </c>
    </row>
    <row r="437" spans="1:35" s="86" customFormat="1" ht="18.75" customHeight="1" x14ac:dyDescent="0.3">
      <c r="A437" s="106"/>
      <c r="B437" s="106" t="s">
        <v>52</v>
      </c>
      <c r="C437" s="118" t="s">
        <v>737</v>
      </c>
      <c r="D437" s="311"/>
      <c r="E437" s="157" t="s">
        <v>0</v>
      </c>
      <c r="F437" s="83">
        <v>1040</v>
      </c>
      <c r="G437" s="83"/>
      <c r="H437" s="83"/>
      <c r="I437" s="83"/>
      <c r="J437" s="83"/>
      <c r="K437" s="83"/>
      <c r="L437" s="83"/>
      <c r="M437" s="83">
        <v>1079</v>
      </c>
      <c r="N437" s="110">
        <f>M437-F437</f>
        <v>39</v>
      </c>
      <c r="O437" s="110" t="s">
        <v>100</v>
      </c>
      <c r="P437" s="83"/>
      <c r="Q437" s="83">
        <v>1079</v>
      </c>
      <c r="R437" s="83"/>
      <c r="S437" s="83">
        <v>1076</v>
      </c>
      <c r="T437" s="110">
        <f>S437-Q437</f>
        <v>-3</v>
      </c>
      <c r="U437" s="59">
        <f t="shared" si="767"/>
        <v>1076</v>
      </c>
      <c r="V437" s="83"/>
      <c r="W437" s="83"/>
      <c r="X437" s="110">
        <f>W437-M437</f>
        <v>-1079</v>
      </c>
      <c r="Y437" s="110"/>
      <c r="Z437" s="110"/>
      <c r="AA437" s="110"/>
      <c r="AB437" s="83"/>
      <c r="AC437" s="106"/>
      <c r="AD437" s="106"/>
      <c r="AE437" s="100">
        <f t="shared" si="763"/>
        <v>3.7499999999999999E-2</v>
      </c>
      <c r="AF437" s="90"/>
      <c r="AG437" s="109">
        <f t="shared" si="764"/>
        <v>0</v>
      </c>
      <c r="AH437" s="100">
        <f t="shared" si="765"/>
        <v>3.4615384615384617E-2</v>
      </c>
      <c r="AI437" s="100">
        <f t="shared" si="766"/>
        <v>-1</v>
      </c>
    </row>
    <row r="438" spans="1:35" s="82" customFormat="1" ht="16.5" customHeight="1" x14ac:dyDescent="0.3">
      <c r="A438" s="90" t="s">
        <v>46</v>
      </c>
      <c r="B438" s="90" t="s">
        <v>52</v>
      </c>
      <c r="C438" s="137"/>
      <c r="D438" s="90"/>
      <c r="E438" s="80"/>
      <c r="F438" s="81">
        <f>SUM(F435:F437)</f>
        <v>3600</v>
      </c>
      <c r="G438" s="81"/>
      <c r="H438" s="81" t="s">
        <v>50</v>
      </c>
      <c r="I438" s="81"/>
      <c r="J438" s="81" t="s">
        <v>60</v>
      </c>
      <c r="K438" s="85" t="s">
        <v>436</v>
      </c>
      <c r="L438" s="81">
        <f>SUM(L435:L437)</f>
        <v>0</v>
      </c>
      <c r="M438" s="81">
        <f>SUM(M435:M437)</f>
        <v>3560</v>
      </c>
      <c r="N438" s="81">
        <f>SUM(N435:N437)</f>
        <v>-40</v>
      </c>
      <c r="O438" s="81" t="s">
        <v>763</v>
      </c>
      <c r="P438" s="81">
        <f>SUM(P435:P437)</f>
        <v>0</v>
      </c>
      <c r="Q438" s="81">
        <f>SUM(Q435:Q437)</f>
        <v>3517</v>
      </c>
      <c r="R438" s="81">
        <f>SUM(R435:R437)</f>
        <v>862</v>
      </c>
      <c r="S438" s="81">
        <f>SUM(S435:S437)</f>
        <v>3507</v>
      </c>
      <c r="T438" s="81">
        <f>SUM(T435:T437)</f>
        <v>-10</v>
      </c>
      <c r="U438" s="59">
        <f t="shared" si="767"/>
        <v>3507</v>
      </c>
      <c r="V438" s="81">
        <f>SUM(V435:V437)</f>
        <v>0</v>
      </c>
      <c r="W438" s="81">
        <f>SUM(W435:W437)</f>
        <v>0</v>
      </c>
      <c r="X438" s="81">
        <f>SUM(X435:X437)</f>
        <v>-3560</v>
      </c>
      <c r="Y438" s="81" t="s">
        <v>47</v>
      </c>
      <c r="Z438" s="110" t="s">
        <v>45</v>
      </c>
      <c r="AA438" s="110"/>
      <c r="AB438" s="84"/>
      <c r="AC438" s="136"/>
      <c r="AD438" s="136"/>
      <c r="AE438" s="100">
        <f t="shared" si="763"/>
        <v>-1.1111111111111112E-2</v>
      </c>
      <c r="AF438" s="90"/>
      <c r="AG438" s="109">
        <f t="shared" si="764"/>
        <v>-40</v>
      </c>
      <c r="AH438" s="100">
        <f t="shared" si="765"/>
        <v>-2.5833333333333333E-2</v>
      </c>
      <c r="AI438" s="100">
        <f t="shared" si="766"/>
        <v>-1</v>
      </c>
    </row>
    <row r="439" spans="1:35" s="86" customFormat="1" ht="18.75" customHeight="1" x14ac:dyDescent="0.3">
      <c r="A439" s="106"/>
      <c r="B439" s="106" t="s">
        <v>52</v>
      </c>
      <c r="C439" s="118" t="s">
        <v>363</v>
      </c>
      <c r="D439" s="310">
        <v>13180124</v>
      </c>
      <c r="E439" s="157" t="s">
        <v>38</v>
      </c>
      <c r="F439" s="83">
        <v>1232</v>
      </c>
      <c r="G439" s="83"/>
      <c r="H439" s="83"/>
      <c r="I439" s="83"/>
      <c r="J439" s="83"/>
      <c r="K439" s="83"/>
      <c r="L439" s="83"/>
      <c r="M439" s="83">
        <f>819+465</f>
        <v>1284</v>
      </c>
      <c r="N439" s="110">
        <f>M439-F439</f>
        <v>52</v>
      </c>
      <c r="O439" s="110" t="s">
        <v>100</v>
      </c>
      <c r="P439" s="83"/>
      <c r="Q439" s="83">
        <v>1284</v>
      </c>
      <c r="R439" s="83"/>
      <c r="S439" s="83">
        <v>1283</v>
      </c>
      <c r="T439" s="110">
        <f>S439-Q439</f>
        <v>-1</v>
      </c>
      <c r="U439" s="59">
        <f t="shared" si="728"/>
        <v>6</v>
      </c>
      <c r="V439" s="83"/>
      <c r="W439" s="83">
        <v>1277</v>
      </c>
      <c r="X439" s="110">
        <f>W439-M439</f>
        <v>-7</v>
      </c>
      <c r="Y439" s="110"/>
      <c r="Z439" s="110"/>
      <c r="AA439" s="110"/>
      <c r="AB439" s="83"/>
      <c r="AC439" s="106"/>
      <c r="AD439" s="106"/>
      <c r="AE439" s="100">
        <f t="shared" ref="AE439:AE444" si="768">N439/F439</f>
        <v>4.2207792207792208E-2</v>
      </c>
      <c r="AF439" s="90"/>
      <c r="AG439" s="109">
        <f t="shared" ref="AG439:AG444" si="769">IF(N439&lt;0,N439,0)</f>
        <v>0</v>
      </c>
      <c r="AH439" s="100">
        <f t="shared" ref="AH439:AH444" si="770">(S439-F439)/F439</f>
        <v>4.1396103896103896E-2</v>
      </c>
      <c r="AI439" s="100">
        <f t="shared" ref="AI439:AI444" si="771">(W439-F439)/F439</f>
        <v>3.6525974025974024E-2</v>
      </c>
    </row>
    <row r="440" spans="1:35" s="86" customFormat="1" ht="18.75" customHeight="1" x14ac:dyDescent="0.3">
      <c r="A440" s="106"/>
      <c r="B440" s="106" t="s">
        <v>52</v>
      </c>
      <c r="C440" s="118" t="s">
        <v>363</v>
      </c>
      <c r="D440" s="311"/>
      <c r="E440" s="157" t="s">
        <v>116</v>
      </c>
      <c r="F440" s="83">
        <v>1078</v>
      </c>
      <c r="G440" s="83"/>
      <c r="H440" s="83"/>
      <c r="I440" s="83"/>
      <c r="J440" s="83"/>
      <c r="K440" s="83"/>
      <c r="L440" s="83"/>
      <c r="M440" s="83">
        <f>1126</f>
        <v>1126</v>
      </c>
      <c r="N440" s="110">
        <f>M440-F440</f>
        <v>48</v>
      </c>
      <c r="O440" s="110" t="s">
        <v>100</v>
      </c>
      <c r="P440" s="83"/>
      <c r="Q440" s="83">
        <v>1115</v>
      </c>
      <c r="R440" s="83"/>
      <c r="S440" s="83">
        <v>1110</v>
      </c>
      <c r="T440" s="110">
        <f>S440-Q440</f>
        <v>-5</v>
      </c>
      <c r="U440" s="59">
        <f t="shared" si="728"/>
        <v>4</v>
      </c>
      <c r="V440" s="83"/>
      <c r="W440" s="83">
        <v>1106</v>
      </c>
      <c r="X440" s="110">
        <f>W440-M440</f>
        <v>-20</v>
      </c>
      <c r="Y440" s="110"/>
      <c r="Z440" s="110"/>
      <c r="AA440" s="110"/>
      <c r="AB440" s="83"/>
      <c r="AC440" s="106"/>
      <c r="AD440" s="106"/>
      <c r="AE440" s="100">
        <f t="shared" ref="AE440:AE442" si="772">N440/F440</f>
        <v>4.4526901669758812E-2</v>
      </c>
      <c r="AF440" s="90"/>
      <c r="AG440" s="109">
        <f t="shared" ref="AG440:AG442" si="773">IF(N440&lt;0,N440,0)</f>
        <v>0</v>
      </c>
      <c r="AH440" s="100">
        <f t="shared" ref="AH440:AH442" si="774">(S440-F440)/F440</f>
        <v>2.9684601113172542E-2</v>
      </c>
      <c r="AI440" s="100">
        <f t="shared" ref="AI440:AI442" si="775">(W440-F440)/F440</f>
        <v>2.5974025974025976E-2</v>
      </c>
    </row>
    <row r="441" spans="1:35" s="86" customFormat="1" ht="18.75" customHeight="1" x14ac:dyDescent="0.3">
      <c r="A441" s="106"/>
      <c r="B441" s="106" t="s">
        <v>52</v>
      </c>
      <c r="C441" s="118" t="s">
        <v>363</v>
      </c>
      <c r="D441" s="311"/>
      <c r="E441" s="157" t="s">
        <v>241</v>
      </c>
      <c r="F441" s="83">
        <v>730</v>
      </c>
      <c r="G441" s="83"/>
      <c r="H441" s="83"/>
      <c r="I441" s="83"/>
      <c r="J441" s="83"/>
      <c r="K441" s="83"/>
      <c r="L441" s="83"/>
      <c r="M441" s="83">
        <v>760</v>
      </c>
      <c r="N441" s="110">
        <f>M441-F441</f>
        <v>30</v>
      </c>
      <c r="O441" s="110" t="s">
        <v>100</v>
      </c>
      <c r="P441" s="83"/>
      <c r="Q441" s="83">
        <v>760</v>
      </c>
      <c r="R441" s="83"/>
      <c r="S441" s="83">
        <v>756</v>
      </c>
      <c r="T441" s="110">
        <f>S441-Q441</f>
        <v>-4</v>
      </c>
      <c r="U441" s="59">
        <f t="shared" ref="U441:U442" si="776">IF(Q441&gt;0,S441-W441,M441-W441)</f>
        <v>0</v>
      </c>
      <c r="V441" s="83"/>
      <c r="W441" s="83">
        <v>756</v>
      </c>
      <c r="X441" s="110">
        <f>W441-M441</f>
        <v>-4</v>
      </c>
      <c r="Y441" s="110"/>
      <c r="Z441" s="110"/>
      <c r="AA441" s="110"/>
      <c r="AB441" s="83"/>
      <c r="AC441" s="106"/>
      <c r="AD441" s="106"/>
      <c r="AE441" s="100">
        <f t="shared" si="772"/>
        <v>4.1095890410958902E-2</v>
      </c>
      <c r="AF441" s="90"/>
      <c r="AG441" s="109">
        <f t="shared" si="773"/>
        <v>0</v>
      </c>
      <c r="AH441" s="100">
        <f t="shared" si="774"/>
        <v>3.5616438356164383E-2</v>
      </c>
      <c r="AI441" s="100">
        <f t="shared" si="775"/>
        <v>3.5616438356164383E-2</v>
      </c>
    </row>
    <row r="442" spans="1:35" s="86" customFormat="1" ht="18.75" customHeight="1" x14ac:dyDescent="0.3">
      <c r="A442" s="106"/>
      <c r="B442" s="106" t="s">
        <v>52</v>
      </c>
      <c r="C442" s="118" t="s">
        <v>363</v>
      </c>
      <c r="D442" s="311"/>
      <c r="E442" s="157" t="s">
        <v>0</v>
      </c>
      <c r="F442" s="83">
        <v>1152</v>
      </c>
      <c r="G442" s="83"/>
      <c r="H442" s="83"/>
      <c r="I442" s="83"/>
      <c r="J442" s="83"/>
      <c r="K442" s="83"/>
      <c r="L442" s="83"/>
      <c r="M442" s="83">
        <v>1197</v>
      </c>
      <c r="N442" s="110">
        <f>M442-F442</f>
        <v>45</v>
      </c>
      <c r="O442" s="110" t="s">
        <v>100</v>
      </c>
      <c r="P442" s="83"/>
      <c r="Q442" s="83">
        <v>1197</v>
      </c>
      <c r="R442" s="83"/>
      <c r="S442" s="83">
        <f>1194+3</f>
        <v>1197</v>
      </c>
      <c r="T442" s="110">
        <f>S442-Q442</f>
        <v>0</v>
      </c>
      <c r="U442" s="59">
        <f t="shared" si="776"/>
        <v>0</v>
      </c>
      <c r="V442" s="83"/>
      <c r="W442" s="83">
        <v>1197</v>
      </c>
      <c r="X442" s="110">
        <f>W442-M442</f>
        <v>0</v>
      </c>
      <c r="Y442" s="110"/>
      <c r="Z442" s="110"/>
      <c r="AA442" s="110"/>
      <c r="AB442" s="83"/>
      <c r="AC442" s="106"/>
      <c r="AD442" s="106"/>
      <c r="AE442" s="100">
        <f t="shared" si="772"/>
        <v>3.90625E-2</v>
      </c>
      <c r="AF442" s="90"/>
      <c r="AG442" s="109">
        <f t="shared" si="773"/>
        <v>0</v>
      </c>
      <c r="AH442" s="100">
        <f t="shared" si="774"/>
        <v>3.90625E-2</v>
      </c>
      <c r="AI442" s="100">
        <f t="shared" si="775"/>
        <v>3.90625E-2</v>
      </c>
    </row>
    <row r="443" spans="1:35" s="86" customFormat="1" ht="18.75" customHeight="1" x14ac:dyDescent="0.3">
      <c r="A443" s="106"/>
      <c r="B443" s="106" t="s">
        <v>52</v>
      </c>
      <c r="C443" s="118" t="s">
        <v>363</v>
      </c>
      <c r="D443" s="311"/>
      <c r="E443" s="157" t="s">
        <v>364</v>
      </c>
      <c r="F443" s="83">
        <v>4511</v>
      </c>
      <c r="G443" s="83"/>
      <c r="H443" s="83"/>
      <c r="I443" s="83"/>
      <c r="J443" s="83"/>
      <c r="K443" s="83"/>
      <c r="L443" s="83"/>
      <c r="M443" s="83">
        <f>3377+500+484+272</f>
        <v>4633</v>
      </c>
      <c r="N443" s="110">
        <f>M443-F443</f>
        <v>122</v>
      </c>
      <c r="O443" s="110" t="s">
        <v>100</v>
      </c>
      <c r="P443" s="83"/>
      <c r="Q443" s="83">
        <f>4147+486</f>
        <v>4633</v>
      </c>
      <c r="R443" s="83"/>
      <c r="S443" s="83">
        <f>2323+2269</f>
        <v>4592</v>
      </c>
      <c r="T443" s="110">
        <f>S443-Q443</f>
        <v>-41</v>
      </c>
      <c r="U443" s="59">
        <f t="shared" si="728"/>
        <v>11</v>
      </c>
      <c r="V443" s="83"/>
      <c r="W443" s="83">
        <v>4581</v>
      </c>
      <c r="X443" s="110">
        <f>W443-M443</f>
        <v>-52</v>
      </c>
      <c r="Y443" s="110"/>
      <c r="Z443" s="110"/>
      <c r="AA443" s="110"/>
      <c r="AB443" s="83"/>
      <c r="AC443" s="106"/>
      <c r="AD443" s="106"/>
      <c r="AE443" s="100">
        <f t="shared" si="768"/>
        <v>2.7045001108401686E-2</v>
      </c>
      <c r="AF443" s="90"/>
      <c r="AG443" s="109">
        <f t="shared" si="769"/>
        <v>0</v>
      </c>
      <c r="AH443" s="100">
        <f t="shared" si="770"/>
        <v>1.7956107293283084E-2</v>
      </c>
      <c r="AI443" s="100">
        <f t="shared" si="771"/>
        <v>1.5517623586787852E-2</v>
      </c>
    </row>
    <row r="444" spans="1:35" s="82" customFormat="1" ht="16.5" customHeight="1" x14ac:dyDescent="0.3">
      <c r="A444" s="90" t="s">
        <v>46</v>
      </c>
      <c r="B444" s="90" t="s">
        <v>52</v>
      </c>
      <c r="C444" s="137"/>
      <c r="D444" s="90"/>
      <c r="E444" s="80"/>
      <c r="F444" s="81">
        <f>SUM(F439:F443)</f>
        <v>8703</v>
      </c>
      <c r="G444" s="81"/>
      <c r="H444" s="81" t="s">
        <v>50</v>
      </c>
      <c r="I444" s="81"/>
      <c r="J444" s="81" t="s">
        <v>58</v>
      </c>
      <c r="K444" s="85" t="s">
        <v>290</v>
      </c>
      <c r="L444" s="81">
        <f>SUM(L439:L443)</f>
        <v>0</v>
      </c>
      <c r="M444" s="81">
        <f>SUM(M439:M443)</f>
        <v>9000</v>
      </c>
      <c r="N444" s="81">
        <f>SUM(N439:N443)</f>
        <v>297</v>
      </c>
      <c r="O444" s="81" t="s">
        <v>392</v>
      </c>
      <c r="P444" s="81">
        <f>SUM(P439:P443)</f>
        <v>0</v>
      </c>
      <c r="Q444" s="81">
        <f>SUM(Q439:Q443)</f>
        <v>8989</v>
      </c>
      <c r="R444" s="81">
        <f>SUM(R439:R443)</f>
        <v>0</v>
      </c>
      <c r="S444" s="81">
        <f>SUM(S439:S443)</f>
        <v>8938</v>
      </c>
      <c r="T444" s="81">
        <f>SUM(T439:T443)</f>
        <v>-51</v>
      </c>
      <c r="U444" s="59">
        <f t="shared" si="728"/>
        <v>21</v>
      </c>
      <c r="V444" s="81">
        <f>SUM(V439:V443)</f>
        <v>0</v>
      </c>
      <c r="W444" s="81">
        <f>SUM(W439:W443)</f>
        <v>8917</v>
      </c>
      <c r="X444" s="81">
        <f>SUM(X439:X443)</f>
        <v>-83</v>
      </c>
      <c r="Y444" s="81" t="s">
        <v>47</v>
      </c>
      <c r="Z444" s="110" t="s">
        <v>45</v>
      </c>
      <c r="AA444" s="110"/>
      <c r="AB444" s="84"/>
      <c r="AC444" s="136"/>
      <c r="AD444" s="136"/>
      <c r="AE444" s="100">
        <f t="shared" si="768"/>
        <v>3.4126163391933813E-2</v>
      </c>
      <c r="AF444" s="90"/>
      <c r="AG444" s="109">
        <f t="shared" si="769"/>
        <v>0</v>
      </c>
      <c r="AH444" s="100">
        <f t="shared" si="770"/>
        <v>2.7002183155233828E-2</v>
      </c>
      <c r="AI444" s="100">
        <f t="shared" si="771"/>
        <v>2.4589222107319314E-2</v>
      </c>
    </row>
    <row r="445" spans="1:35" s="86" customFormat="1" ht="18.75" customHeight="1" x14ac:dyDescent="0.3">
      <c r="A445" s="106"/>
      <c r="B445" s="106" t="s">
        <v>52</v>
      </c>
      <c r="C445" s="118">
        <v>47582</v>
      </c>
      <c r="D445" s="310">
        <v>13265643</v>
      </c>
      <c r="E445" s="154" t="s">
        <v>342</v>
      </c>
      <c r="F445" s="83">
        <v>600</v>
      </c>
      <c r="G445" s="83"/>
      <c r="H445" s="83"/>
      <c r="I445" s="83"/>
      <c r="J445" s="83"/>
      <c r="K445" s="83"/>
      <c r="L445" s="83"/>
      <c r="M445" s="83">
        <f>473+152</f>
        <v>625</v>
      </c>
      <c r="N445" s="110">
        <f>M445-F445</f>
        <v>25</v>
      </c>
      <c r="O445" s="110" t="s">
        <v>100</v>
      </c>
      <c r="P445" s="83"/>
      <c r="Q445" s="83">
        <f>473+152</f>
        <v>625</v>
      </c>
      <c r="R445" s="83"/>
      <c r="S445" s="83">
        <v>624</v>
      </c>
      <c r="T445" s="110">
        <f>S445-Q445</f>
        <v>-1</v>
      </c>
      <c r="U445" s="59">
        <f t="shared" si="728"/>
        <v>8</v>
      </c>
      <c r="V445" s="83"/>
      <c r="W445" s="83">
        <v>616</v>
      </c>
      <c r="X445" s="110">
        <f>W445-M445</f>
        <v>-9</v>
      </c>
      <c r="Y445" s="110"/>
      <c r="Z445" s="110"/>
      <c r="AA445" s="110"/>
      <c r="AB445" s="83"/>
      <c r="AC445" s="106"/>
      <c r="AD445" s="106"/>
      <c r="AE445" s="100">
        <f t="shared" ref="AE445:AE447" si="777">N445/F445</f>
        <v>4.1666666666666664E-2</v>
      </c>
      <c r="AF445" s="90"/>
      <c r="AG445" s="109">
        <f t="shared" ref="AG445:AG447" si="778">IF(N445&lt;0,N445,0)</f>
        <v>0</v>
      </c>
      <c r="AH445" s="100">
        <f t="shared" ref="AH445:AH447" si="779">(S445-F445)/F445</f>
        <v>0.04</v>
      </c>
      <c r="AI445" s="100">
        <f t="shared" ref="AI445:AI447" si="780">(W445-F445)/F445</f>
        <v>2.6666666666666668E-2</v>
      </c>
    </row>
    <row r="446" spans="1:35" s="86" customFormat="1" ht="18.75" customHeight="1" x14ac:dyDescent="0.3">
      <c r="A446" s="106"/>
      <c r="B446" s="106" t="s">
        <v>52</v>
      </c>
      <c r="C446" s="118">
        <v>47582</v>
      </c>
      <c r="D446" s="311"/>
      <c r="E446" s="157" t="s">
        <v>343</v>
      </c>
      <c r="F446" s="83">
        <v>600</v>
      </c>
      <c r="G446" s="83"/>
      <c r="H446" s="83"/>
      <c r="I446" s="83"/>
      <c r="J446" s="83"/>
      <c r="K446" s="83"/>
      <c r="L446" s="83"/>
      <c r="M446" s="83">
        <v>625</v>
      </c>
      <c r="N446" s="110">
        <f>M446-F446</f>
        <v>25</v>
      </c>
      <c r="O446" s="110" t="s">
        <v>100</v>
      </c>
      <c r="P446" s="83"/>
      <c r="Q446" s="83">
        <f>473+152</f>
        <v>625</v>
      </c>
      <c r="R446" s="83"/>
      <c r="S446" s="83">
        <v>622</v>
      </c>
      <c r="T446" s="110">
        <f>S446-Q446</f>
        <v>-3</v>
      </c>
      <c r="U446" s="59">
        <f t="shared" si="728"/>
        <v>0</v>
      </c>
      <c r="V446" s="83"/>
      <c r="W446" s="83">
        <v>622</v>
      </c>
      <c r="X446" s="110">
        <f>W446-M446</f>
        <v>-3</v>
      </c>
      <c r="Y446" s="110"/>
      <c r="Z446" s="110"/>
      <c r="AA446" s="110"/>
      <c r="AB446" s="83"/>
      <c r="AC446" s="106"/>
      <c r="AD446" s="106"/>
      <c r="AE446" s="100">
        <f t="shared" ref="AE446" si="781">N446/F446</f>
        <v>4.1666666666666664E-2</v>
      </c>
      <c r="AF446" s="90"/>
      <c r="AG446" s="109">
        <f t="shared" ref="AG446" si="782">IF(N446&lt;0,N446,0)</f>
        <v>0</v>
      </c>
      <c r="AH446" s="100">
        <f t="shared" ref="AH446" si="783">(S446-F446)/F446</f>
        <v>3.6666666666666667E-2</v>
      </c>
      <c r="AI446" s="100">
        <f t="shared" ref="AI446" si="784">(W446-F446)/F446</f>
        <v>3.6666666666666667E-2</v>
      </c>
    </row>
    <row r="447" spans="1:35" s="82" customFormat="1" ht="16.5" customHeight="1" x14ac:dyDescent="0.3">
      <c r="A447" s="90" t="s">
        <v>46</v>
      </c>
      <c r="B447" s="90" t="s">
        <v>52</v>
      </c>
      <c r="C447" s="137"/>
      <c r="D447" s="90"/>
      <c r="E447" s="80"/>
      <c r="F447" s="81">
        <f>SUM(F445:F446)</f>
        <v>1200</v>
      </c>
      <c r="G447" s="81"/>
      <c r="H447" s="81" t="s">
        <v>50</v>
      </c>
      <c r="I447" s="81"/>
      <c r="J447" s="81" t="s">
        <v>60</v>
      </c>
      <c r="K447" s="85" t="s">
        <v>238</v>
      </c>
      <c r="L447" s="81">
        <f>SUM(L445:L446)</f>
        <v>0</v>
      </c>
      <c r="M447" s="81">
        <f>SUM(M445:M446)</f>
        <v>1250</v>
      </c>
      <c r="N447" s="81">
        <f>SUM(N445:N446)</f>
        <v>50</v>
      </c>
      <c r="O447" s="81" t="s">
        <v>192</v>
      </c>
      <c r="P447" s="81">
        <f>SUM(P445:P446)</f>
        <v>0</v>
      </c>
      <c r="Q447" s="81">
        <f>SUM(Q445:Q446)</f>
        <v>1250</v>
      </c>
      <c r="R447" s="81">
        <f>SUM(R445:R446)</f>
        <v>0</v>
      </c>
      <c r="S447" s="81">
        <f>SUM(S445:S446)</f>
        <v>1246</v>
      </c>
      <c r="T447" s="81">
        <f>SUM(T445:T446)</f>
        <v>-4</v>
      </c>
      <c r="U447" s="59">
        <f t="shared" si="728"/>
        <v>8</v>
      </c>
      <c r="V447" s="81">
        <f>SUM(V445:V446)</f>
        <v>0</v>
      </c>
      <c r="W447" s="81">
        <f>SUM(W445:W446)</f>
        <v>1238</v>
      </c>
      <c r="X447" s="81">
        <f>SUM(X445:X446)</f>
        <v>-12</v>
      </c>
      <c r="Y447" s="81" t="s">
        <v>47</v>
      </c>
      <c r="Z447" s="110" t="s">
        <v>45</v>
      </c>
      <c r="AA447" s="110"/>
      <c r="AB447" s="84"/>
      <c r="AC447" s="136"/>
      <c r="AD447" s="136"/>
      <c r="AE447" s="100">
        <f t="shared" si="777"/>
        <v>4.1666666666666664E-2</v>
      </c>
      <c r="AF447" s="90"/>
      <c r="AG447" s="109">
        <f t="shared" si="778"/>
        <v>0</v>
      </c>
      <c r="AH447" s="100">
        <f t="shared" si="779"/>
        <v>3.833333333333333E-2</v>
      </c>
      <c r="AI447" s="100">
        <f t="shared" si="780"/>
        <v>3.1666666666666669E-2</v>
      </c>
    </row>
    <row r="448" spans="1:35" s="86" customFormat="1" ht="18.75" customHeight="1" x14ac:dyDescent="0.3">
      <c r="A448" s="106"/>
      <c r="B448" s="106" t="s">
        <v>52</v>
      </c>
      <c r="C448" s="118">
        <v>47621</v>
      </c>
      <c r="D448" s="310">
        <v>13262658</v>
      </c>
      <c r="E448" s="157" t="s">
        <v>188</v>
      </c>
      <c r="F448" s="83">
        <v>812</v>
      </c>
      <c r="G448" s="83"/>
      <c r="H448" s="83"/>
      <c r="I448" s="83"/>
      <c r="J448" s="83"/>
      <c r="K448" s="83"/>
      <c r="L448" s="83"/>
      <c r="M448" s="83">
        <f>140+704</f>
        <v>844</v>
      </c>
      <c r="N448" s="110">
        <f>M448-F448</f>
        <v>32</v>
      </c>
      <c r="O448" s="110" t="s">
        <v>100</v>
      </c>
      <c r="P448" s="83"/>
      <c r="Q448" s="83">
        <f>312+140+392</f>
        <v>844</v>
      </c>
      <c r="R448" s="83"/>
      <c r="S448" s="83">
        <v>844</v>
      </c>
      <c r="T448" s="110">
        <f>S448-Q448</f>
        <v>0</v>
      </c>
      <c r="U448" s="59">
        <f t="shared" si="728"/>
        <v>1</v>
      </c>
      <c r="V448" s="83"/>
      <c r="W448" s="83">
        <v>843</v>
      </c>
      <c r="X448" s="110">
        <f>W448-M448</f>
        <v>-1</v>
      </c>
      <c r="Y448" s="110"/>
      <c r="Z448" s="110"/>
      <c r="AA448" s="110"/>
      <c r="AB448" s="83"/>
      <c r="AC448" s="106"/>
      <c r="AD448" s="106"/>
      <c r="AE448" s="100">
        <f t="shared" ref="AE448:AE455" si="785">N448/F448</f>
        <v>3.9408866995073892E-2</v>
      </c>
      <c r="AF448" s="90"/>
      <c r="AG448" s="109">
        <f t="shared" ref="AG448:AG455" si="786">IF(N448&lt;0,N448,0)</f>
        <v>0</v>
      </c>
      <c r="AH448" s="100">
        <f t="shared" ref="AH448:AH455" si="787">(S448-F448)/F448</f>
        <v>3.9408866995073892E-2</v>
      </c>
      <c r="AI448" s="100">
        <f t="shared" ref="AI448:AI455" si="788">(W448-F448)/F448</f>
        <v>3.8177339901477834E-2</v>
      </c>
    </row>
    <row r="449" spans="1:35" s="86" customFormat="1" ht="18.75" customHeight="1" x14ac:dyDescent="0.3">
      <c r="A449" s="106"/>
      <c r="B449" s="106" t="s">
        <v>52</v>
      </c>
      <c r="C449" s="118">
        <v>47621</v>
      </c>
      <c r="D449" s="311"/>
      <c r="E449" s="157" t="s">
        <v>171</v>
      </c>
      <c r="F449" s="83">
        <v>842</v>
      </c>
      <c r="G449" s="83"/>
      <c r="H449" s="83"/>
      <c r="I449" s="83"/>
      <c r="J449" s="83"/>
      <c r="K449" s="83"/>
      <c r="L449" s="83"/>
      <c r="M449" s="83">
        <v>889</v>
      </c>
      <c r="N449" s="110">
        <f>M449-F449</f>
        <v>47</v>
      </c>
      <c r="O449" s="110" t="s">
        <v>100</v>
      </c>
      <c r="P449" s="83"/>
      <c r="Q449" s="83">
        <f>722+167</f>
        <v>889</v>
      </c>
      <c r="R449" s="83"/>
      <c r="S449" s="83">
        <v>889</v>
      </c>
      <c r="T449" s="110">
        <f>S449-Q449</f>
        <v>0</v>
      </c>
      <c r="U449" s="59">
        <f t="shared" si="728"/>
        <v>2</v>
      </c>
      <c r="V449" s="83"/>
      <c r="W449" s="83">
        <v>887</v>
      </c>
      <c r="X449" s="110">
        <f>W449-M449</f>
        <v>-2</v>
      </c>
      <c r="Y449" s="110"/>
      <c r="Z449" s="110"/>
      <c r="AA449" s="110"/>
      <c r="AB449" s="83"/>
      <c r="AC449" s="106"/>
      <c r="AD449" s="106"/>
      <c r="AE449" s="100">
        <f t="shared" ref="AE449" si="789">N449/F449</f>
        <v>5.5819477434679333E-2</v>
      </c>
      <c r="AF449" s="90"/>
      <c r="AG449" s="109">
        <f t="shared" ref="AG449" si="790">IF(N449&lt;0,N449,0)</f>
        <v>0</v>
      </c>
      <c r="AH449" s="100">
        <f t="shared" ref="AH449" si="791">(S449-F449)/F449</f>
        <v>5.5819477434679333E-2</v>
      </c>
      <c r="AI449" s="100">
        <f t="shared" ref="AI449" si="792">(W449-F449)/F449</f>
        <v>5.3444180522565318E-2</v>
      </c>
    </row>
    <row r="450" spans="1:35" s="82" customFormat="1" ht="16.5" customHeight="1" x14ac:dyDescent="0.3">
      <c r="A450" s="90" t="s">
        <v>46</v>
      </c>
      <c r="B450" s="90" t="s">
        <v>52</v>
      </c>
      <c r="C450" s="137"/>
      <c r="D450" s="90"/>
      <c r="E450" s="80"/>
      <c r="F450" s="81">
        <f>SUM(F448:F449)</f>
        <v>1654</v>
      </c>
      <c r="G450" s="81"/>
      <c r="H450" s="81" t="s">
        <v>50</v>
      </c>
      <c r="I450" s="81"/>
      <c r="J450" s="81" t="s">
        <v>60</v>
      </c>
      <c r="K450" s="85" t="s">
        <v>238</v>
      </c>
      <c r="L450" s="81">
        <f>SUM(L448:L449)</f>
        <v>0</v>
      </c>
      <c r="M450" s="81">
        <f>SUM(M448:M449)</f>
        <v>1733</v>
      </c>
      <c r="N450" s="81">
        <f>SUM(N448:N449)</f>
        <v>79</v>
      </c>
      <c r="O450" s="81" t="s">
        <v>170</v>
      </c>
      <c r="P450" s="81">
        <f>SUM(P448:P449)</f>
        <v>0</v>
      </c>
      <c r="Q450" s="81">
        <f>SUM(Q448:Q449)</f>
        <v>1733</v>
      </c>
      <c r="R450" s="81">
        <f>SUM(R448:R449)</f>
        <v>0</v>
      </c>
      <c r="S450" s="81">
        <f>SUM(S448:S449)</f>
        <v>1733</v>
      </c>
      <c r="T450" s="81">
        <f>SUM(T448:T449)</f>
        <v>0</v>
      </c>
      <c r="U450" s="59">
        <f t="shared" si="728"/>
        <v>3</v>
      </c>
      <c r="V450" s="81">
        <f>SUM(V448:V449)</f>
        <v>0</v>
      </c>
      <c r="W450" s="81">
        <f>SUM(W448:W449)</f>
        <v>1730</v>
      </c>
      <c r="X450" s="81">
        <f>SUM(X448:X449)</f>
        <v>-3</v>
      </c>
      <c r="Y450" s="81" t="s">
        <v>48</v>
      </c>
      <c r="Z450" s="110" t="s">
        <v>45</v>
      </c>
      <c r="AA450" s="110"/>
      <c r="AB450" s="84"/>
      <c r="AC450" s="136"/>
      <c r="AD450" s="136"/>
      <c r="AE450" s="100">
        <f t="shared" si="785"/>
        <v>4.7762998790810154E-2</v>
      </c>
      <c r="AF450" s="90"/>
      <c r="AG450" s="109">
        <f t="shared" si="786"/>
        <v>0</v>
      </c>
      <c r="AH450" s="100">
        <f t="shared" si="787"/>
        <v>4.7762998790810154E-2</v>
      </c>
      <c r="AI450" s="100">
        <f t="shared" si="788"/>
        <v>4.5949214026602174E-2</v>
      </c>
    </row>
    <row r="451" spans="1:35" s="86" customFormat="1" ht="18.75" customHeight="1" x14ac:dyDescent="0.3">
      <c r="A451" s="106"/>
      <c r="B451" s="106" t="s">
        <v>52</v>
      </c>
      <c r="C451" s="118" t="s">
        <v>554</v>
      </c>
      <c r="D451" s="310">
        <v>13262864</v>
      </c>
      <c r="E451" s="157" t="s">
        <v>555</v>
      </c>
      <c r="F451" s="83">
        <v>795</v>
      </c>
      <c r="G451" s="83"/>
      <c r="H451" s="83"/>
      <c r="I451" s="83"/>
      <c r="J451" s="83"/>
      <c r="K451" s="83"/>
      <c r="L451" s="83"/>
      <c r="M451" s="83">
        <f>391+431</f>
        <v>822</v>
      </c>
      <c r="N451" s="110">
        <f>M451-F451</f>
        <v>27</v>
      </c>
      <c r="O451" s="110" t="s">
        <v>100</v>
      </c>
      <c r="P451" s="83"/>
      <c r="Q451" s="83"/>
      <c r="R451" s="83"/>
      <c r="S451" s="83"/>
      <c r="T451" s="110">
        <f>S451-Q451</f>
        <v>0</v>
      </c>
      <c r="U451" s="59">
        <f t="shared" ref="U451:U454" si="793">IF(Q451&gt;0,S451-W451,M451-W451)</f>
        <v>0</v>
      </c>
      <c r="V451" s="83"/>
      <c r="W451" s="83">
        <v>822</v>
      </c>
      <c r="X451" s="110">
        <f>W451-M451</f>
        <v>0</v>
      </c>
      <c r="Y451" s="110"/>
      <c r="Z451" s="110"/>
      <c r="AA451" s="110"/>
      <c r="AB451" s="83"/>
      <c r="AC451" s="106"/>
      <c r="AD451" s="106"/>
      <c r="AE451" s="100">
        <f t="shared" si="785"/>
        <v>3.3962264150943396E-2</v>
      </c>
      <c r="AF451" s="90"/>
      <c r="AG451" s="109">
        <f t="shared" si="786"/>
        <v>0</v>
      </c>
      <c r="AH451" s="100">
        <f t="shared" si="787"/>
        <v>-1</v>
      </c>
      <c r="AI451" s="100">
        <f t="shared" si="788"/>
        <v>3.3962264150943396E-2</v>
      </c>
    </row>
    <row r="452" spans="1:35" s="86" customFormat="1" ht="18.75" customHeight="1" x14ac:dyDescent="0.3">
      <c r="A452" s="106"/>
      <c r="B452" s="106" t="s">
        <v>52</v>
      </c>
      <c r="C452" s="118" t="s">
        <v>554</v>
      </c>
      <c r="D452" s="311"/>
      <c r="E452" s="157" t="s">
        <v>556</v>
      </c>
      <c r="F452" s="83">
        <v>900</v>
      </c>
      <c r="G452" s="83"/>
      <c r="H452" s="83"/>
      <c r="I452" s="83"/>
      <c r="J452" s="83"/>
      <c r="K452" s="83"/>
      <c r="L452" s="83"/>
      <c r="M452" s="83">
        <v>947</v>
      </c>
      <c r="N452" s="110">
        <f>M452-F452</f>
        <v>47</v>
      </c>
      <c r="O452" s="110" t="s">
        <v>100</v>
      </c>
      <c r="P452" s="83"/>
      <c r="Q452" s="83"/>
      <c r="R452" s="83"/>
      <c r="S452" s="83"/>
      <c r="T452" s="110">
        <f>S452-Q452</f>
        <v>0</v>
      </c>
      <c r="U452" s="59">
        <f t="shared" si="793"/>
        <v>20</v>
      </c>
      <c r="V452" s="83"/>
      <c r="W452" s="83">
        <v>927</v>
      </c>
      <c r="X452" s="110">
        <f>W452-M452</f>
        <v>-20</v>
      </c>
      <c r="Y452" s="110"/>
      <c r="Z452" s="110"/>
      <c r="AA452" s="110"/>
      <c r="AB452" s="83"/>
      <c r="AC452" s="106"/>
      <c r="AD452" s="106"/>
      <c r="AE452" s="100">
        <f t="shared" si="785"/>
        <v>5.2222222222222225E-2</v>
      </c>
      <c r="AF452" s="90"/>
      <c r="AG452" s="109">
        <f t="shared" si="786"/>
        <v>0</v>
      </c>
      <c r="AH452" s="100">
        <f t="shared" si="787"/>
        <v>-1</v>
      </c>
      <c r="AI452" s="100">
        <f t="shared" si="788"/>
        <v>0.03</v>
      </c>
    </row>
    <row r="453" spans="1:35" s="86" customFormat="1" ht="18.75" customHeight="1" x14ac:dyDescent="0.3">
      <c r="A453" s="106"/>
      <c r="B453" s="106" t="s">
        <v>52</v>
      </c>
      <c r="C453" s="118" t="s">
        <v>554</v>
      </c>
      <c r="D453" s="311"/>
      <c r="E453" s="157" t="s">
        <v>557</v>
      </c>
      <c r="F453" s="83">
        <v>840</v>
      </c>
      <c r="G453" s="83"/>
      <c r="H453" s="83"/>
      <c r="I453" s="83"/>
      <c r="J453" s="83"/>
      <c r="K453" s="83"/>
      <c r="L453" s="83"/>
      <c r="M453" s="83">
        <f>882+20</f>
        <v>902</v>
      </c>
      <c r="N453" s="110">
        <f>M453-F453</f>
        <v>62</v>
      </c>
      <c r="O453" s="110" t="s">
        <v>100</v>
      </c>
      <c r="P453" s="83"/>
      <c r="Q453" s="83"/>
      <c r="R453" s="83"/>
      <c r="S453" s="83"/>
      <c r="T453" s="110">
        <f>S453-Q453</f>
        <v>0</v>
      </c>
      <c r="U453" s="59">
        <f t="shared" si="793"/>
        <v>33</v>
      </c>
      <c r="V453" s="83"/>
      <c r="W453" s="83">
        <v>869</v>
      </c>
      <c r="X453" s="110">
        <f>W453-M453</f>
        <v>-33</v>
      </c>
      <c r="Y453" s="110"/>
      <c r="Z453" s="110"/>
      <c r="AA453" s="110"/>
      <c r="AB453" s="83"/>
      <c r="AC453" s="106"/>
      <c r="AD453" s="106"/>
      <c r="AE453" s="100">
        <f t="shared" si="785"/>
        <v>7.3809523809523811E-2</v>
      </c>
      <c r="AF453" s="90"/>
      <c r="AG453" s="109">
        <f t="shared" si="786"/>
        <v>0</v>
      </c>
      <c r="AH453" s="100">
        <f t="shared" si="787"/>
        <v>-1</v>
      </c>
      <c r="AI453" s="100">
        <f t="shared" si="788"/>
        <v>3.4523809523809526E-2</v>
      </c>
    </row>
    <row r="454" spans="1:35" s="86" customFormat="1" ht="18.75" customHeight="1" x14ac:dyDescent="0.3">
      <c r="A454" s="106"/>
      <c r="B454" s="106" t="s">
        <v>52</v>
      </c>
      <c r="C454" s="118" t="s">
        <v>554</v>
      </c>
      <c r="D454" s="311"/>
      <c r="E454" s="157" t="s">
        <v>558</v>
      </c>
      <c r="F454" s="83">
        <v>795</v>
      </c>
      <c r="G454" s="83"/>
      <c r="H454" s="83"/>
      <c r="I454" s="83"/>
      <c r="J454" s="83"/>
      <c r="K454" s="83"/>
      <c r="L454" s="83"/>
      <c r="M454" s="83">
        <f>713+123</f>
        <v>836</v>
      </c>
      <c r="N454" s="110">
        <f>M454-F454</f>
        <v>41</v>
      </c>
      <c r="O454" s="110" t="s">
        <v>100</v>
      </c>
      <c r="P454" s="83"/>
      <c r="Q454" s="83"/>
      <c r="R454" s="83"/>
      <c r="S454" s="83"/>
      <c r="T454" s="110">
        <f>S454-Q454</f>
        <v>0</v>
      </c>
      <c r="U454" s="59">
        <f t="shared" si="793"/>
        <v>18</v>
      </c>
      <c r="V454" s="83"/>
      <c r="W454" s="83">
        <v>818</v>
      </c>
      <c r="X454" s="110">
        <f>W454-M454</f>
        <v>-18</v>
      </c>
      <c r="Y454" s="110"/>
      <c r="Z454" s="110"/>
      <c r="AA454" s="110"/>
      <c r="AB454" s="83"/>
      <c r="AC454" s="106"/>
      <c r="AD454" s="106"/>
      <c r="AE454" s="100">
        <f t="shared" si="785"/>
        <v>5.157232704402516E-2</v>
      </c>
      <c r="AF454" s="90"/>
      <c r="AG454" s="109">
        <f t="shared" si="786"/>
        <v>0</v>
      </c>
      <c r="AH454" s="100">
        <f t="shared" si="787"/>
        <v>-1</v>
      </c>
      <c r="AI454" s="100">
        <f t="shared" si="788"/>
        <v>2.8930817610062894E-2</v>
      </c>
    </row>
    <row r="455" spans="1:35" s="82" customFormat="1" ht="16.5" customHeight="1" x14ac:dyDescent="0.3">
      <c r="A455" s="90" t="s">
        <v>46</v>
      </c>
      <c r="B455" s="90" t="s">
        <v>52</v>
      </c>
      <c r="C455" s="137"/>
      <c r="D455" s="90"/>
      <c r="E455" s="80"/>
      <c r="F455" s="81">
        <f>SUM(F451:F454)</f>
        <v>3330</v>
      </c>
      <c r="G455" s="81"/>
      <c r="H455" s="81" t="s">
        <v>50</v>
      </c>
      <c r="I455" s="81"/>
      <c r="J455" s="81" t="s">
        <v>60</v>
      </c>
      <c r="K455" s="85" t="s">
        <v>238</v>
      </c>
      <c r="L455" s="81">
        <f>SUM(L451:L454)</f>
        <v>0</v>
      </c>
      <c r="M455" s="81">
        <f>SUM(M451:M454)</f>
        <v>3507</v>
      </c>
      <c r="N455" s="81">
        <f>SUM(N451:N454)</f>
        <v>177</v>
      </c>
      <c r="O455" s="81" t="s">
        <v>197</v>
      </c>
      <c r="P455" s="81">
        <f>SUM(P451:P454)</f>
        <v>0</v>
      </c>
      <c r="Q455" s="81">
        <f>SUM(Q451:Q454)</f>
        <v>0</v>
      </c>
      <c r="R455" s="81">
        <f>SUM(R451:R454)</f>
        <v>0</v>
      </c>
      <c r="S455" s="81">
        <f>SUM(S451:S454)</f>
        <v>0</v>
      </c>
      <c r="T455" s="81">
        <f>SUM(T451:T454)</f>
        <v>0</v>
      </c>
      <c r="U455" s="59">
        <f>IF(Q455&gt;0,S455-W455,M455-W455)</f>
        <v>71</v>
      </c>
      <c r="V455" s="81">
        <f>SUM(V451:V454)</f>
        <v>0</v>
      </c>
      <c r="W455" s="81">
        <f>SUM(W451:W454)</f>
        <v>3436</v>
      </c>
      <c r="X455" s="81">
        <f>SUM(X451:X454)</f>
        <v>-71</v>
      </c>
      <c r="Y455" s="81"/>
      <c r="Z455" s="110"/>
      <c r="AA455" s="110"/>
      <c r="AB455" s="84"/>
      <c r="AC455" s="136"/>
      <c r="AD455" s="136"/>
      <c r="AE455" s="100">
        <f t="shared" si="785"/>
        <v>5.3153153153153151E-2</v>
      </c>
      <c r="AF455" s="90"/>
      <c r="AG455" s="109">
        <f t="shared" si="786"/>
        <v>0</v>
      </c>
      <c r="AH455" s="100">
        <f t="shared" si="787"/>
        <v>-1</v>
      </c>
      <c r="AI455" s="100">
        <f t="shared" si="788"/>
        <v>3.1831831831831831E-2</v>
      </c>
    </row>
    <row r="456" spans="1:35" s="86" customFormat="1" ht="18.75" customHeight="1" x14ac:dyDescent="0.3">
      <c r="A456" s="106"/>
      <c r="B456" s="106" t="s">
        <v>52</v>
      </c>
      <c r="C456" s="118">
        <v>47950</v>
      </c>
      <c r="D456" s="310">
        <v>13262864</v>
      </c>
      <c r="E456" s="157" t="s">
        <v>559</v>
      </c>
      <c r="F456" s="83">
        <v>1173</v>
      </c>
      <c r="G456" s="83"/>
      <c r="H456" s="83"/>
      <c r="I456" s="83"/>
      <c r="J456" s="83"/>
      <c r="K456" s="83"/>
      <c r="L456" s="83"/>
      <c r="M456" s="83">
        <v>1226</v>
      </c>
      <c r="N456" s="110">
        <f>M456-F456</f>
        <v>53</v>
      </c>
      <c r="O456" s="110" t="s">
        <v>100</v>
      </c>
      <c r="P456" s="83"/>
      <c r="Q456" s="83"/>
      <c r="R456" s="83"/>
      <c r="S456" s="83"/>
      <c r="T456" s="110">
        <f>S456-Q456</f>
        <v>0</v>
      </c>
      <c r="U456" s="59">
        <f t="shared" si="728"/>
        <v>23</v>
      </c>
      <c r="V456" s="83"/>
      <c r="W456" s="83">
        <v>1203</v>
      </c>
      <c r="X456" s="110">
        <f>W456-M456</f>
        <v>-23</v>
      </c>
      <c r="Y456" s="110"/>
      <c r="Z456" s="110"/>
      <c r="AA456" s="110"/>
      <c r="AB456" s="83"/>
      <c r="AC456" s="106"/>
      <c r="AD456" s="106"/>
      <c r="AE456" s="100">
        <f t="shared" ref="AE456:AE463" si="794">N456/F456</f>
        <v>4.5183290707587385E-2</v>
      </c>
      <c r="AF456" s="90"/>
      <c r="AG456" s="109">
        <f t="shared" ref="AG456:AG463" si="795">IF(N456&lt;0,N456,0)</f>
        <v>0</v>
      </c>
      <c r="AH456" s="100">
        <f t="shared" ref="AH456:AH463" si="796">(S456-F456)/F456</f>
        <v>-1</v>
      </c>
      <c r="AI456" s="100">
        <f t="shared" ref="AI456:AI463" si="797">(W456-F456)/F456</f>
        <v>2.557544757033248E-2</v>
      </c>
    </row>
    <row r="457" spans="1:35" s="86" customFormat="1" ht="18.75" customHeight="1" x14ac:dyDescent="0.3">
      <c r="A457" s="106"/>
      <c r="B457" s="106" t="s">
        <v>52</v>
      </c>
      <c r="C457" s="118">
        <v>47950</v>
      </c>
      <c r="D457" s="311"/>
      <c r="E457" s="157" t="s">
        <v>560</v>
      </c>
      <c r="F457" s="83">
        <v>963</v>
      </c>
      <c r="G457" s="83"/>
      <c r="H457" s="83"/>
      <c r="I457" s="83"/>
      <c r="J457" s="83"/>
      <c r="K457" s="83"/>
      <c r="L457" s="83"/>
      <c r="M457" s="83">
        <v>1012</v>
      </c>
      <c r="N457" s="110">
        <f>M457-F457</f>
        <v>49</v>
      </c>
      <c r="O457" s="110" t="s">
        <v>100</v>
      </c>
      <c r="P457" s="83"/>
      <c r="Q457" s="83"/>
      <c r="R457" s="83"/>
      <c r="S457" s="83"/>
      <c r="T457" s="110">
        <f>S457-Q457</f>
        <v>0</v>
      </c>
      <c r="U457" s="59">
        <f t="shared" si="728"/>
        <v>8</v>
      </c>
      <c r="V457" s="83"/>
      <c r="W457" s="83">
        <v>1004</v>
      </c>
      <c r="X457" s="110">
        <f>W457-M457</f>
        <v>-8</v>
      </c>
      <c r="Y457" s="110"/>
      <c r="Z457" s="110"/>
      <c r="AA457" s="110"/>
      <c r="AB457" s="83"/>
      <c r="AC457" s="106"/>
      <c r="AD457" s="106"/>
      <c r="AE457" s="100">
        <f t="shared" si="794"/>
        <v>5.0882658359293877E-2</v>
      </c>
      <c r="AF457" s="90"/>
      <c r="AG457" s="109">
        <f t="shared" si="795"/>
        <v>0</v>
      </c>
      <c r="AH457" s="100">
        <f t="shared" si="796"/>
        <v>-1</v>
      </c>
      <c r="AI457" s="100">
        <f t="shared" si="797"/>
        <v>4.2575285565939772E-2</v>
      </c>
    </row>
    <row r="458" spans="1:35" s="86" customFormat="1" ht="18.75" customHeight="1" x14ac:dyDescent="0.3">
      <c r="A458" s="106"/>
      <c r="B458" s="106" t="s">
        <v>52</v>
      </c>
      <c r="C458" s="118">
        <v>47950</v>
      </c>
      <c r="D458" s="311"/>
      <c r="E458" s="157" t="s">
        <v>561</v>
      </c>
      <c r="F458" s="83">
        <v>858</v>
      </c>
      <c r="G458" s="83"/>
      <c r="H458" s="83"/>
      <c r="I458" s="83"/>
      <c r="J458" s="83"/>
      <c r="K458" s="83"/>
      <c r="L458" s="83"/>
      <c r="M458" s="83">
        <v>891</v>
      </c>
      <c r="N458" s="110">
        <f>M458-F458</f>
        <v>33</v>
      </c>
      <c r="O458" s="110" t="s">
        <v>100</v>
      </c>
      <c r="P458" s="83"/>
      <c r="Q458" s="83"/>
      <c r="R458" s="83"/>
      <c r="S458" s="83"/>
      <c r="T458" s="110">
        <f>S458-Q458</f>
        <v>0</v>
      </c>
      <c r="U458" s="59">
        <f t="shared" ref="U458" si="798">IF(Q458&gt;0,S458-W458,M458-W458)</f>
        <v>8</v>
      </c>
      <c r="V458" s="83"/>
      <c r="W458" s="83">
        <v>883</v>
      </c>
      <c r="X458" s="110">
        <f>W458-M458</f>
        <v>-8</v>
      </c>
      <c r="Y458" s="110"/>
      <c r="Z458" s="110"/>
      <c r="AA458" s="110"/>
      <c r="AB458" s="83"/>
      <c r="AC458" s="106"/>
      <c r="AD458" s="106"/>
      <c r="AE458" s="100">
        <f t="shared" ref="AE458" si="799">N458/F458</f>
        <v>3.8461538461538464E-2</v>
      </c>
      <c r="AF458" s="90"/>
      <c r="AG458" s="109">
        <f t="shared" ref="AG458" si="800">IF(N458&lt;0,N458,0)</f>
        <v>0</v>
      </c>
      <c r="AH458" s="100">
        <f t="shared" ref="AH458" si="801">(S458-F458)/F458</f>
        <v>-1</v>
      </c>
      <c r="AI458" s="100">
        <f t="shared" ref="AI458" si="802">(W458-F458)/F458</f>
        <v>2.9137529137529136E-2</v>
      </c>
    </row>
    <row r="459" spans="1:35" s="82" customFormat="1" ht="16.5" customHeight="1" x14ac:dyDescent="0.3">
      <c r="A459" s="90" t="s">
        <v>46</v>
      </c>
      <c r="B459" s="90" t="s">
        <v>52</v>
      </c>
      <c r="C459" s="137"/>
      <c r="D459" s="90"/>
      <c r="E459" s="80"/>
      <c r="F459" s="81">
        <f>SUM(F456:F458)</f>
        <v>2994</v>
      </c>
      <c r="G459" s="81"/>
      <c r="H459" s="81" t="s">
        <v>50</v>
      </c>
      <c r="I459" s="81"/>
      <c r="J459" s="81" t="s">
        <v>60</v>
      </c>
      <c r="K459" s="85" t="s">
        <v>226</v>
      </c>
      <c r="L459" s="81">
        <f>SUM(L456:L458)</f>
        <v>0</v>
      </c>
      <c r="M459" s="81">
        <f>SUM(M456:M458)</f>
        <v>3129</v>
      </c>
      <c r="N459" s="81">
        <f>SUM(N456:N458)</f>
        <v>135</v>
      </c>
      <c r="O459" s="81" t="s">
        <v>197</v>
      </c>
      <c r="P459" s="81">
        <f>SUM(P456:P458)</f>
        <v>0</v>
      </c>
      <c r="Q459" s="81">
        <f>SUM(Q456:Q458)</f>
        <v>0</v>
      </c>
      <c r="R459" s="81">
        <f>SUM(R456:R458)</f>
        <v>0</v>
      </c>
      <c r="S459" s="81">
        <f>SUM(S456:S458)</f>
        <v>0</v>
      </c>
      <c r="T459" s="81">
        <f>SUM(T456:T458)</f>
        <v>0</v>
      </c>
      <c r="U459" s="59">
        <f>IF(Q459&gt;0,S459-W459,M459-W459)</f>
        <v>39</v>
      </c>
      <c r="V459" s="81">
        <f>SUM(V456:V458)</f>
        <v>0</v>
      </c>
      <c r="W459" s="81">
        <f>SUM(W456:W458)</f>
        <v>3090</v>
      </c>
      <c r="X459" s="81">
        <f>SUM(X456:X458)</f>
        <v>-39</v>
      </c>
      <c r="Y459" s="81"/>
      <c r="Z459" s="110"/>
      <c r="AA459" s="110"/>
      <c r="AB459" s="84"/>
      <c r="AC459" s="136"/>
      <c r="AD459" s="136"/>
      <c r="AE459" s="100">
        <f t="shared" si="794"/>
        <v>4.5090180360721446E-2</v>
      </c>
      <c r="AF459" s="90"/>
      <c r="AG459" s="109">
        <f t="shared" si="795"/>
        <v>0</v>
      </c>
      <c r="AH459" s="100">
        <f t="shared" si="796"/>
        <v>-1</v>
      </c>
      <c r="AI459" s="100">
        <f t="shared" si="797"/>
        <v>3.2064128256513023E-2</v>
      </c>
    </row>
    <row r="460" spans="1:35" s="86" customFormat="1" ht="18.75" customHeight="1" x14ac:dyDescent="0.3">
      <c r="A460" s="106"/>
      <c r="B460" s="106" t="s">
        <v>52</v>
      </c>
      <c r="C460" s="118" t="s">
        <v>297</v>
      </c>
      <c r="D460" s="194">
        <v>13205781</v>
      </c>
      <c r="E460" s="157" t="s">
        <v>0</v>
      </c>
      <c r="F460" s="83">
        <v>2040</v>
      </c>
      <c r="G460" s="83"/>
      <c r="H460" s="83"/>
      <c r="I460" s="83"/>
      <c r="J460" s="83"/>
      <c r="K460" s="83"/>
      <c r="L460" s="83"/>
      <c r="M460" s="83">
        <v>2096</v>
      </c>
      <c r="N460" s="110">
        <f>M460-F460</f>
        <v>56</v>
      </c>
      <c r="O460" s="110" t="s">
        <v>100</v>
      </c>
      <c r="P460" s="83"/>
      <c r="Q460" s="83">
        <f>1176+910</f>
        <v>2086</v>
      </c>
      <c r="R460" s="83"/>
      <c r="S460" s="83">
        <v>2080</v>
      </c>
      <c r="T460" s="110">
        <f>S460-Q460</f>
        <v>-6</v>
      </c>
      <c r="U460" s="59">
        <f t="shared" si="728"/>
        <v>2</v>
      </c>
      <c r="V460" s="83"/>
      <c r="W460" s="83">
        <v>2078</v>
      </c>
      <c r="X460" s="110">
        <f>W460-M460</f>
        <v>-18</v>
      </c>
      <c r="Y460" s="110"/>
      <c r="Z460" s="110"/>
      <c r="AA460" s="110"/>
      <c r="AB460" s="83"/>
      <c r="AC460" s="106"/>
      <c r="AD460" s="106"/>
      <c r="AE460" s="100">
        <f t="shared" si="794"/>
        <v>2.7450980392156862E-2</v>
      </c>
      <c r="AF460" s="90"/>
      <c r="AG460" s="109">
        <f t="shared" si="795"/>
        <v>0</v>
      </c>
      <c r="AH460" s="100">
        <f t="shared" si="796"/>
        <v>1.9607843137254902E-2</v>
      </c>
      <c r="AI460" s="100">
        <f t="shared" si="797"/>
        <v>1.8627450980392157E-2</v>
      </c>
    </row>
    <row r="461" spans="1:35" s="82" customFormat="1" ht="16.5" customHeight="1" x14ac:dyDescent="0.3">
      <c r="A461" s="90" t="s">
        <v>46</v>
      </c>
      <c r="B461" s="90" t="s">
        <v>52</v>
      </c>
      <c r="C461" s="137"/>
      <c r="D461" s="90"/>
      <c r="E461" s="80"/>
      <c r="F461" s="81">
        <f>SUM(F460:F460)</f>
        <v>2040</v>
      </c>
      <c r="G461" s="81"/>
      <c r="H461" s="81" t="s">
        <v>50</v>
      </c>
      <c r="I461" s="81"/>
      <c r="J461" s="81" t="s">
        <v>60</v>
      </c>
      <c r="K461" s="85" t="s">
        <v>232</v>
      </c>
      <c r="L461" s="81">
        <f>SUM(L460:L460)</f>
        <v>0</v>
      </c>
      <c r="M461" s="81">
        <f>SUM(M460:M460)</f>
        <v>2096</v>
      </c>
      <c r="N461" s="81">
        <f>SUM(N460:N460)</f>
        <v>56</v>
      </c>
      <c r="O461" s="81" t="s">
        <v>151</v>
      </c>
      <c r="P461" s="81">
        <f>SUM(P460:P460)</f>
        <v>0</v>
      </c>
      <c r="Q461" s="81">
        <f>SUM(Q460:Q460)</f>
        <v>2086</v>
      </c>
      <c r="R461" s="81">
        <f>SUM(R460:R460)</f>
        <v>0</v>
      </c>
      <c r="S461" s="81">
        <f>SUM(S460:S460)</f>
        <v>2080</v>
      </c>
      <c r="T461" s="81">
        <f>SUM(T460:T460)</f>
        <v>-6</v>
      </c>
      <c r="U461" s="59">
        <f t="shared" si="728"/>
        <v>2</v>
      </c>
      <c r="V461" s="81">
        <f>SUM(V460:V460)</f>
        <v>0</v>
      </c>
      <c r="W461" s="81">
        <f>SUM(W460:W460)</f>
        <v>2078</v>
      </c>
      <c r="X461" s="81">
        <f>SUM(X460:X460)</f>
        <v>-18</v>
      </c>
      <c r="Y461" s="81" t="s">
        <v>47</v>
      </c>
      <c r="Z461" s="110" t="s">
        <v>45</v>
      </c>
      <c r="AA461" s="110"/>
      <c r="AB461" s="84"/>
      <c r="AC461" s="136"/>
      <c r="AD461" s="136"/>
      <c r="AE461" s="100">
        <f t="shared" si="794"/>
        <v>2.7450980392156862E-2</v>
      </c>
      <c r="AF461" s="90"/>
      <c r="AG461" s="109">
        <f t="shared" si="795"/>
        <v>0</v>
      </c>
      <c r="AH461" s="100">
        <f t="shared" si="796"/>
        <v>1.9607843137254902E-2</v>
      </c>
      <c r="AI461" s="100">
        <f t="shared" si="797"/>
        <v>1.8627450980392157E-2</v>
      </c>
    </row>
    <row r="462" spans="1:35" s="86" customFormat="1" ht="18.75" customHeight="1" x14ac:dyDescent="0.3">
      <c r="A462" s="106"/>
      <c r="B462" s="106" t="s">
        <v>52</v>
      </c>
      <c r="C462" s="118" t="s">
        <v>733</v>
      </c>
      <c r="D462" s="310">
        <v>13205781</v>
      </c>
      <c r="E462" s="157" t="s">
        <v>0</v>
      </c>
      <c r="F462" s="83">
        <v>6120</v>
      </c>
      <c r="G462" s="83"/>
      <c r="H462" s="83"/>
      <c r="I462" s="83"/>
      <c r="J462" s="83"/>
      <c r="K462" s="83"/>
      <c r="L462" s="83"/>
      <c r="M462" s="83">
        <f>2102+867+1700+1530+33</f>
        <v>6232</v>
      </c>
      <c r="N462" s="110">
        <f>M462-F462</f>
        <v>112</v>
      </c>
      <c r="O462" s="110" t="s">
        <v>100</v>
      </c>
      <c r="P462" s="83"/>
      <c r="Q462" s="83">
        <f>867+3263+2057+33</f>
        <v>6220</v>
      </c>
      <c r="R462" s="83"/>
      <c r="S462" s="83">
        <f>2963+3224+33</f>
        <v>6220</v>
      </c>
      <c r="T462" s="110">
        <f>S462-Q462</f>
        <v>0</v>
      </c>
      <c r="U462" s="59">
        <f t="shared" ref="U462:U463" si="803">IF(Q462&gt;0,S462-W462,M462-W462)</f>
        <v>12</v>
      </c>
      <c r="V462" s="83"/>
      <c r="W462" s="83">
        <f>879+5329</f>
        <v>6208</v>
      </c>
      <c r="X462" s="110">
        <f>W462-M462</f>
        <v>-24</v>
      </c>
      <c r="Y462" s="110"/>
      <c r="Z462" s="110"/>
      <c r="AA462" s="110"/>
      <c r="AB462" s="83"/>
      <c r="AC462" s="106"/>
      <c r="AD462" s="106"/>
      <c r="AE462" s="100">
        <f t="shared" si="794"/>
        <v>1.8300653594771243E-2</v>
      </c>
      <c r="AF462" s="90"/>
      <c r="AG462" s="109">
        <f t="shared" si="795"/>
        <v>0</v>
      </c>
      <c r="AH462" s="100">
        <f t="shared" si="796"/>
        <v>1.6339869281045753E-2</v>
      </c>
      <c r="AI462" s="100">
        <f t="shared" si="797"/>
        <v>1.4379084967320261E-2</v>
      </c>
    </row>
    <row r="463" spans="1:35" s="86" customFormat="1" ht="18.75" customHeight="1" x14ac:dyDescent="0.3">
      <c r="A463" s="106"/>
      <c r="B463" s="106" t="s">
        <v>52</v>
      </c>
      <c r="C463" s="118" t="s">
        <v>733</v>
      </c>
      <c r="D463" s="311"/>
      <c r="E463" s="157" t="s">
        <v>38</v>
      </c>
      <c r="F463" s="83">
        <v>3540</v>
      </c>
      <c r="G463" s="83"/>
      <c r="H463" s="83"/>
      <c r="I463" s="83"/>
      <c r="J463" s="83"/>
      <c r="K463" s="83"/>
      <c r="L463" s="83"/>
      <c r="M463" s="83">
        <f>1710+1602+252+35</f>
        <v>3599</v>
      </c>
      <c r="N463" s="110">
        <f>M463-F463</f>
        <v>59</v>
      </c>
      <c r="O463" s="110" t="s">
        <v>100</v>
      </c>
      <c r="P463" s="83"/>
      <c r="Q463" s="83">
        <f>1710+1854+35</f>
        <v>3599</v>
      </c>
      <c r="R463" s="83"/>
      <c r="S463" s="83">
        <f>3556+36</f>
        <v>3592</v>
      </c>
      <c r="T463" s="110">
        <f>S463-Q463</f>
        <v>-7</v>
      </c>
      <c r="U463" s="59">
        <f t="shared" si="803"/>
        <v>0</v>
      </c>
      <c r="V463" s="83"/>
      <c r="W463" s="83">
        <v>3592</v>
      </c>
      <c r="X463" s="110">
        <f>W463-M463</f>
        <v>-7</v>
      </c>
      <c r="Y463" s="110"/>
      <c r="Z463" s="110"/>
      <c r="AA463" s="110"/>
      <c r="AB463" s="83"/>
      <c r="AC463" s="106"/>
      <c r="AD463" s="106"/>
      <c r="AE463" s="100">
        <f t="shared" si="794"/>
        <v>1.6666666666666666E-2</v>
      </c>
      <c r="AF463" s="90"/>
      <c r="AG463" s="109">
        <f t="shared" si="795"/>
        <v>0</v>
      </c>
      <c r="AH463" s="100">
        <f t="shared" si="796"/>
        <v>1.4689265536723164E-2</v>
      </c>
      <c r="AI463" s="100">
        <f t="shared" si="797"/>
        <v>1.4689265536723164E-2</v>
      </c>
    </row>
    <row r="464" spans="1:35" s="86" customFormat="1" ht="18.75" customHeight="1" x14ac:dyDescent="0.3">
      <c r="A464" s="106"/>
      <c r="B464" s="106" t="s">
        <v>52</v>
      </c>
      <c r="C464" s="118" t="s">
        <v>733</v>
      </c>
      <c r="D464" s="326"/>
      <c r="E464" s="152" t="s">
        <v>132</v>
      </c>
      <c r="F464" s="83">
        <v>1500</v>
      </c>
      <c r="G464" s="83"/>
      <c r="H464" s="83"/>
      <c r="I464" s="83"/>
      <c r="J464" s="83"/>
      <c r="K464" s="83"/>
      <c r="L464" s="83"/>
      <c r="M464" s="83">
        <v>1542</v>
      </c>
      <c r="N464" s="110">
        <f>M464-F464</f>
        <v>42</v>
      </c>
      <c r="O464" s="110" t="s">
        <v>100</v>
      </c>
      <c r="P464" s="83"/>
      <c r="Q464" s="83">
        <v>1542</v>
      </c>
      <c r="R464" s="83"/>
      <c r="S464" s="83">
        <v>1540</v>
      </c>
      <c r="T464" s="110">
        <f>S464-Q464</f>
        <v>-2</v>
      </c>
      <c r="U464" s="59">
        <f t="shared" si="728"/>
        <v>0</v>
      </c>
      <c r="V464" s="83"/>
      <c r="W464" s="83">
        <v>1540</v>
      </c>
      <c r="X464" s="110">
        <f>W464-M464</f>
        <v>-2</v>
      </c>
      <c r="Y464" s="110"/>
      <c r="Z464" s="110"/>
      <c r="AA464" s="110"/>
      <c r="AB464" s="83"/>
      <c r="AC464" s="106"/>
      <c r="AD464" s="106"/>
      <c r="AE464" s="100">
        <f t="shared" ref="AE464:AE465" si="804">N464/F464</f>
        <v>2.8000000000000001E-2</v>
      </c>
      <c r="AF464" s="90"/>
      <c r="AG464" s="109">
        <f t="shared" ref="AG464:AG465" si="805">IF(N464&lt;0,N464,0)</f>
        <v>0</v>
      </c>
      <c r="AH464" s="100">
        <f t="shared" ref="AH464:AH465" si="806">(S464-F464)/F464</f>
        <v>2.6666666666666668E-2</v>
      </c>
      <c r="AI464" s="100">
        <f t="shared" ref="AI464:AI465" si="807">(W464-F464)/F464</f>
        <v>2.6666666666666668E-2</v>
      </c>
    </row>
    <row r="465" spans="1:35" s="82" customFormat="1" ht="16.5" customHeight="1" x14ac:dyDescent="0.3">
      <c r="A465" s="90" t="s">
        <v>46</v>
      </c>
      <c r="B465" s="90" t="s">
        <v>52</v>
      </c>
      <c r="C465" s="137"/>
      <c r="D465" s="90"/>
      <c r="E465" s="80"/>
      <c r="F465" s="81">
        <f>SUM(F462:F464)</f>
        <v>11160</v>
      </c>
      <c r="G465" s="81"/>
      <c r="H465" s="81" t="s">
        <v>50</v>
      </c>
      <c r="I465" s="81"/>
      <c r="J465" s="81" t="s">
        <v>60</v>
      </c>
      <c r="K465" s="85" t="s">
        <v>290</v>
      </c>
      <c r="L465" s="81">
        <f>SUM(L462:L464)</f>
        <v>0</v>
      </c>
      <c r="M465" s="81">
        <f t="shared" ref="M465:X465" si="808">SUM(M462:M464)</f>
        <v>11373</v>
      </c>
      <c r="N465" s="81">
        <f t="shared" si="808"/>
        <v>213</v>
      </c>
      <c r="O465" s="81" t="s">
        <v>479</v>
      </c>
      <c r="P465" s="81">
        <f t="shared" si="808"/>
        <v>0</v>
      </c>
      <c r="Q465" s="81">
        <f t="shared" si="808"/>
        <v>11361</v>
      </c>
      <c r="R465" s="81">
        <f t="shared" si="808"/>
        <v>0</v>
      </c>
      <c r="S465" s="81">
        <f t="shared" si="808"/>
        <v>11352</v>
      </c>
      <c r="T465" s="81">
        <f t="shared" si="808"/>
        <v>-9</v>
      </c>
      <c r="U465" s="59">
        <f>IF(Q465&gt;0,S465-W465,M465-W465)</f>
        <v>12</v>
      </c>
      <c r="V465" s="81">
        <f t="shared" si="808"/>
        <v>0</v>
      </c>
      <c r="W465" s="81">
        <f t="shared" si="808"/>
        <v>11340</v>
      </c>
      <c r="X465" s="81">
        <f t="shared" si="808"/>
        <v>-33</v>
      </c>
      <c r="Y465" s="81" t="s">
        <v>47</v>
      </c>
      <c r="Z465" s="110" t="s">
        <v>45</v>
      </c>
      <c r="AA465" s="110"/>
      <c r="AB465" s="84"/>
      <c r="AC465" s="136"/>
      <c r="AD465" s="136"/>
      <c r="AE465" s="100">
        <f t="shared" si="804"/>
        <v>1.9086021505376343E-2</v>
      </c>
      <c r="AF465" s="90"/>
      <c r="AG465" s="109">
        <f t="shared" si="805"/>
        <v>0</v>
      </c>
      <c r="AH465" s="100">
        <f t="shared" si="806"/>
        <v>1.7204301075268817E-2</v>
      </c>
      <c r="AI465" s="100">
        <f t="shared" si="807"/>
        <v>1.6129032258064516E-2</v>
      </c>
    </row>
    <row r="466" spans="1:35" s="86" customFormat="1" ht="18.75" customHeight="1" x14ac:dyDescent="0.3">
      <c r="A466" s="106"/>
      <c r="B466" s="106" t="s">
        <v>52</v>
      </c>
      <c r="C466" s="118">
        <v>47622</v>
      </c>
      <c r="D466" s="310">
        <v>13263242</v>
      </c>
      <c r="E466" s="157" t="s">
        <v>188</v>
      </c>
      <c r="F466" s="83">
        <v>1098</v>
      </c>
      <c r="G466" s="83"/>
      <c r="H466" s="83"/>
      <c r="I466" s="83"/>
      <c r="J466" s="83"/>
      <c r="K466" s="83"/>
      <c r="L466" s="83"/>
      <c r="M466" s="83">
        <v>1149</v>
      </c>
      <c r="N466" s="110">
        <f>M466-F466</f>
        <v>51</v>
      </c>
      <c r="O466" s="110" t="s">
        <v>100</v>
      </c>
      <c r="P466" s="83"/>
      <c r="Q466" s="83">
        <v>1149</v>
      </c>
      <c r="R466" s="83"/>
      <c r="S466" s="83">
        <v>1149</v>
      </c>
      <c r="T466" s="110">
        <f>S466-Q466</f>
        <v>0</v>
      </c>
      <c r="U466" s="59">
        <f t="shared" si="728"/>
        <v>11</v>
      </c>
      <c r="V466" s="83"/>
      <c r="W466" s="83">
        <v>1138</v>
      </c>
      <c r="X466" s="110">
        <f>W466-M466</f>
        <v>-11</v>
      </c>
      <c r="Y466" s="110"/>
      <c r="Z466" s="110"/>
      <c r="AA466" s="110"/>
      <c r="AB466" s="83"/>
      <c r="AC466" s="106"/>
      <c r="AD466" s="106"/>
      <c r="AE466" s="100">
        <f t="shared" ref="AE466:AE471" si="809">N466/F466</f>
        <v>4.6448087431693992E-2</v>
      </c>
      <c r="AF466" s="90"/>
      <c r="AG466" s="109">
        <f t="shared" ref="AG466:AG471" si="810">IF(N466&lt;0,N466,0)</f>
        <v>0</v>
      </c>
      <c r="AH466" s="100">
        <f t="shared" ref="AH466:AH471" si="811">(S466-F466)/F466</f>
        <v>4.6448087431693992E-2</v>
      </c>
      <c r="AI466" s="100">
        <f t="shared" ref="AI466:AI471" si="812">(W466-F466)/F466</f>
        <v>3.6429872495446269E-2</v>
      </c>
    </row>
    <row r="467" spans="1:35" s="86" customFormat="1" ht="18.75" customHeight="1" x14ac:dyDescent="0.3">
      <c r="A467" s="106"/>
      <c r="B467" s="106" t="s">
        <v>52</v>
      </c>
      <c r="C467" s="118">
        <v>47622</v>
      </c>
      <c r="D467" s="311"/>
      <c r="E467" s="157" t="s">
        <v>150</v>
      </c>
      <c r="F467" s="83">
        <v>1095</v>
      </c>
      <c r="G467" s="83"/>
      <c r="H467" s="83"/>
      <c r="I467" s="83"/>
      <c r="J467" s="83"/>
      <c r="K467" s="83"/>
      <c r="L467" s="83"/>
      <c r="M467" s="83">
        <v>1131</v>
      </c>
      <c r="N467" s="110">
        <f>M467-F467</f>
        <v>36</v>
      </c>
      <c r="O467" s="110" t="s">
        <v>100</v>
      </c>
      <c r="P467" s="83"/>
      <c r="Q467" s="83">
        <f>1131</f>
        <v>1131</v>
      </c>
      <c r="R467" s="83"/>
      <c r="S467" s="83">
        <v>1130</v>
      </c>
      <c r="T467" s="110">
        <f>S467-Q467</f>
        <v>-1</v>
      </c>
      <c r="U467" s="59">
        <f t="shared" si="728"/>
        <v>1</v>
      </c>
      <c r="V467" s="83"/>
      <c r="W467" s="83">
        <v>1129</v>
      </c>
      <c r="X467" s="110">
        <f>W467-M467</f>
        <v>-2</v>
      </c>
      <c r="Y467" s="110"/>
      <c r="Z467" s="110"/>
      <c r="AA467" s="110"/>
      <c r="AB467" s="83"/>
      <c r="AC467" s="106"/>
      <c r="AD467" s="106"/>
      <c r="AE467" s="100">
        <f t="shared" ref="AE467" si="813">N467/F467</f>
        <v>3.287671232876712E-2</v>
      </c>
      <c r="AF467" s="90"/>
      <c r="AG467" s="109">
        <f t="shared" ref="AG467" si="814">IF(N467&lt;0,N467,0)</f>
        <v>0</v>
      </c>
      <c r="AH467" s="100">
        <f t="shared" ref="AH467" si="815">(S467-F467)/F467</f>
        <v>3.1963470319634701E-2</v>
      </c>
      <c r="AI467" s="100">
        <f t="shared" ref="AI467" si="816">(W467-F467)/F467</f>
        <v>3.1050228310502283E-2</v>
      </c>
    </row>
    <row r="468" spans="1:35" s="82" customFormat="1" ht="16.5" customHeight="1" x14ac:dyDescent="0.3">
      <c r="A468" s="90" t="s">
        <v>46</v>
      </c>
      <c r="B468" s="90" t="s">
        <v>52</v>
      </c>
      <c r="C468" s="137"/>
      <c r="D468" s="90"/>
      <c r="E468" s="80"/>
      <c r="F468" s="81">
        <f>SUM(F466:F467)</f>
        <v>2193</v>
      </c>
      <c r="G468" s="81"/>
      <c r="H468" s="81" t="s">
        <v>50</v>
      </c>
      <c r="I468" s="81"/>
      <c r="J468" s="81" t="s">
        <v>60</v>
      </c>
      <c r="K468" s="85" t="s">
        <v>238</v>
      </c>
      <c r="L468" s="81">
        <f>SUM(L466:L467)</f>
        <v>0</v>
      </c>
      <c r="M468" s="81">
        <f>SUM(M466:M467)</f>
        <v>2280</v>
      </c>
      <c r="N468" s="81">
        <f>SUM(N466:N467)</f>
        <v>87</v>
      </c>
      <c r="O468" s="81" t="s">
        <v>403</v>
      </c>
      <c r="P468" s="81">
        <f>SUM(P466:P467)</f>
        <v>0</v>
      </c>
      <c r="Q468" s="81">
        <f>SUM(Q466:Q467)</f>
        <v>2280</v>
      </c>
      <c r="R468" s="81">
        <f>SUM(R466:R467)</f>
        <v>0</v>
      </c>
      <c r="S468" s="81">
        <f>SUM(S466:S467)</f>
        <v>2279</v>
      </c>
      <c r="T468" s="81">
        <f>SUM(T466:T467)</f>
        <v>-1</v>
      </c>
      <c r="U468" s="59">
        <f t="shared" si="728"/>
        <v>12</v>
      </c>
      <c r="V468" s="81">
        <f>SUM(V466:V467)</f>
        <v>0</v>
      </c>
      <c r="W468" s="81">
        <f>SUM(W466:W467)</f>
        <v>2267</v>
      </c>
      <c r="X468" s="81">
        <f>SUM(X466:X467)</f>
        <v>-13</v>
      </c>
      <c r="Y468" s="81" t="s">
        <v>47</v>
      </c>
      <c r="Z468" s="110" t="s">
        <v>45</v>
      </c>
      <c r="AA468" s="110"/>
      <c r="AB468" s="84"/>
      <c r="AC468" s="136"/>
      <c r="AD468" s="136"/>
      <c r="AE468" s="100">
        <f t="shared" si="809"/>
        <v>3.9671682626538987E-2</v>
      </c>
      <c r="AF468" s="90"/>
      <c r="AG468" s="109">
        <f t="shared" si="810"/>
        <v>0</v>
      </c>
      <c r="AH468" s="100">
        <f t="shared" si="811"/>
        <v>3.9215686274509803E-2</v>
      </c>
      <c r="AI468" s="100">
        <f t="shared" si="812"/>
        <v>3.3743730050159598E-2</v>
      </c>
    </row>
    <row r="469" spans="1:35" s="86" customFormat="1" ht="18.75" customHeight="1" x14ac:dyDescent="0.3">
      <c r="A469" s="106"/>
      <c r="B469" s="106" t="s">
        <v>52</v>
      </c>
      <c r="C469" s="118">
        <v>47580</v>
      </c>
      <c r="D469" s="310">
        <v>13262613</v>
      </c>
      <c r="E469" s="157" t="s">
        <v>123</v>
      </c>
      <c r="F469" s="83">
        <v>1625</v>
      </c>
      <c r="G469" s="83"/>
      <c r="H469" s="83"/>
      <c r="I469" s="83"/>
      <c r="J469" s="83"/>
      <c r="K469" s="83"/>
      <c r="L469" s="83"/>
      <c r="M469" s="83">
        <f>1654+20</f>
        <v>1674</v>
      </c>
      <c r="N469" s="110">
        <f>M469-F469</f>
        <v>49</v>
      </c>
      <c r="O469" s="110" t="s">
        <v>100</v>
      </c>
      <c r="P469" s="83"/>
      <c r="Q469" s="83">
        <f>1654+20</f>
        <v>1674</v>
      </c>
      <c r="R469" s="83"/>
      <c r="S469" s="83">
        <f>1654+20</f>
        <v>1674</v>
      </c>
      <c r="T469" s="110">
        <f>S469-Q469</f>
        <v>0</v>
      </c>
      <c r="U469" s="59">
        <f t="shared" si="728"/>
        <v>2</v>
      </c>
      <c r="V469" s="83"/>
      <c r="W469" s="83">
        <v>1672</v>
      </c>
      <c r="X469" s="110">
        <f>W469-M469</f>
        <v>-2</v>
      </c>
      <c r="Y469" s="110"/>
      <c r="Z469" s="110"/>
      <c r="AA469" s="110"/>
      <c r="AB469" s="83"/>
      <c r="AC469" s="106"/>
      <c r="AD469" s="106"/>
      <c r="AE469" s="100">
        <f t="shared" si="809"/>
        <v>3.0153846153846153E-2</v>
      </c>
      <c r="AF469" s="90"/>
      <c r="AG469" s="109">
        <f t="shared" si="810"/>
        <v>0</v>
      </c>
      <c r="AH469" s="100">
        <f t="shared" si="811"/>
        <v>3.0153846153846153E-2</v>
      </c>
      <c r="AI469" s="100">
        <f t="shared" si="812"/>
        <v>2.8923076923076923E-2</v>
      </c>
    </row>
    <row r="470" spans="1:35" s="86" customFormat="1" ht="18.75" customHeight="1" x14ac:dyDescent="0.3">
      <c r="A470" s="106"/>
      <c r="B470" s="106" t="s">
        <v>52</v>
      </c>
      <c r="C470" s="118">
        <v>47580</v>
      </c>
      <c r="D470" s="311"/>
      <c r="E470" s="157" t="s">
        <v>188</v>
      </c>
      <c r="F470" s="83">
        <v>2880</v>
      </c>
      <c r="G470" s="83"/>
      <c r="H470" s="83"/>
      <c r="I470" s="83"/>
      <c r="J470" s="83"/>
      <c r="K470" s="83"/>
      <c r="L470" s="83"/>
      <c r="M470" s="83">
        <f>1375+650+929</f>
        <v>2954</v>
      </c>
      <c r="N470" s="110">
        <f>M470-F470</f>
        <v>74</v>
      </c>
      <c r="O470" s="110" t="s">
        <v>100</v>
      </c>
      <c r="P470" s="83"/>
      <c r="Q470" s="83">
        <f>1375+1516+50</f>
        <v>2941</v>
      </c>
      <c r="R470" s="83"/>
      <c r="S470" s="83">
        <v>2941</v>
      </c>
      <c r="T470" s="110">
        <f>S470-Q470</f>
        <v>0</v>
      </c>
      <c r="U470" s="59">
        <f t="shared" si="728"/>
        <v>4</v>
      </c>
      <c r="V470" s="83"/>
      <c r="W470" s="83">
        <v>2937</v>
      </c>
      <c r="X470" s="110">
        <f>W470-M470</f>
        <v>-17</v>
      </c>
      <c r="Y470" s="110"/>
      <c r="Z470" s="110"/>
      <c r="AA470" s="110"/>
      <c r="AB470" s="83"/>
      <c r="AC470" s="106"/>
      <c r="AD470" s="106"/>
      <c r="AE470" s="100">
        <f t="shared" ref="AE470" si="817">N470/F470</f>
        <v>2.5694444444444443E-2</v>
      </c>
      <c r="AF470" s="90"/>
      <c r="AG470" s="109">
        <f t="shared" ref="AG470" si="818">IF(N470&lt;0,N470,0)</f>
        <v>0</v>
      </c>
      <c r="AH470" s="100">
        <f t="shared" ref="AH470" si="819">(S470-F470)/F470</f>
        <v>2.1180555555555557E-2</v>
      </c>
      <c r="AI470" s="100">
        <f t="shared" ref="AI470" si="820">(W470-F470)/F470</f>
        <v>1.9791666666666666E-2</v>
      </c>
    </row>
    <row r="471" spans="1:35" s="82" customFormat="1" ht="16.5" customHeight="1" x14ac:dyDescent="0.3">
      <c r="A471" s="90" t="s">
        <v>46</v>
      </c>
      <c r="B471" s="90" t="s">
        <v>52</v>
      </c>
      <c r="C471" s="137"/>
      <c r="D471" s="90"/>
      <c r="E471" s="80"/>
      <c r="F471" s="81">
        <f>SUM(F469:F470)</f>
        <v>4505</v>
      </c>
      <c r="G471" s="81"/>
      <c r="H471" s="81" t="s">
        <v>50</v>
      </c>
      <c r="I471" s="81"/>
      <c r="J471" s="81" t="s">
        <v>60</v>
      </c>
      <c r="K471" s="85" t="s">
        <v>238</v>
      </c>
      <c r="L471" s="81">
        <f>SUM(L469:L470)</f>
        <v>0</v>
      </c>
      <c r="M471" s="81">
        <f>SUM(M469:M470)</f>
        <v>4628</v>
      </c>
      <c r="N471" s="81">
        <f>SUM(N469:N470)</f>
        <v>123</v>
      </c>
      <c r="O471" s="81" t="s">
        <v>403</v>
      </c>
      <c r="P471" s="81">
        <f>SUM(P469:P470)</f>
        <v>0</v>
      </c>
      <c r="Q471" s="81">
        <f>SUM(Q469:Q470)</f>
        <v>4615</v>
      </c>
      <c r="R471" s="81">
        <f>SUM(R469:R470)</f>
        <v>0</v>
      </c>
      <c r="S471" s="81">
        <f>SUM(S469:S470)</f>
        <v>4615</v>
      </c>
      <c r="T471" s="81">
        <f>SUM(T469:T470)</f>
        <v>0</v>
      </c>
      <c r="U471" s="59">
        <f t="shared" si="728"/>
        <v>6</v>
      </c>
      <c r="V471" s="81">
        <f>SUM(V469:V470)</f>
        <v>0</v>
      </c>
      <c r="W471" s="81">
        <f>SUM(W469:W470)</f>
        <v>4609</v>
      </c>
      <c r="X471" s="81">
        <f>SUM(X469:X470)</f>
        <v>-19</v>
      </c>
      <c r="Y471" s="81" t="s">
        <v>47</v>
      </c>
      <c r="Z471" s="110" t="s">
        <v>45</v>
      </c>
      <c r="AA471" s="110"/>
      <c r="AB471" s="84"/>
      <c r="AC471" s="136"/>
      <c r="AD471" s="136"/>
      <c r="AE471" s="100">
        <f t="shared" si="809"/>
        <v>2.7302996670366259E-2</v>
      </c>
      <c r="AF471" s="90"/>
      <c r="AG471" s="109">
        <f t="shared" si="810"/>
        <v>0</v>
      </c>
      <c r="AH471" s="100">
        <f t="shared" si="811"/>
        <v>2.4417314095449501E-2</v>
      </c>
      <c r="AI471" s="100">
        <f t="shared" si="812"/>
        <v>2.3085460599334074E-2</v>
      </c>
    </row>
    <row r="472" spans="1:35" s="86" customFormat="1" ht="18.75" customHeight="1" x14ac:dyDescent="0.3">
      <c r="A472" s="106"/>
      <c r="B472" s="106" t="s">
        <v>52</v>
      </c>
      <c r="C472" s="118">
        <v>47987</v>
      </c>
      <c r="D472" s="310">
        <v>13263821</v>
      </c>
      <c r="E472" s="157" t="s">
        <v>408</v>
      </c>
      <c r="F472" s="83">
        <v>1393</v>
      </c>
      <c r="G472" s="83"/>
      <c r="H472" s="83"/>
      <c r="I472" s="83"/>
      <c r="J472" s="83"/>
      <c r="K472" s="83"/>
      <c r="L472" s="83"/>
      <c r="M472" s="83">
        <f>1461</f>
        <v>1461</v>
      </c>
      <c r="N472" s="110">
        <f>M472-F472</f>
        <v>68</v>
      </c>
      <c r="O472" s="110" t="s">
        <v>100</v>
      </c>
      <c r="P472" s="83"/>
      <c r="Q472" s="83">
        <f>615+820+6</f>
        <v>1441</v>
      </c>
      <c r="R472" s="83"/>
      <c r="S472" s="83">
        <v>1433</v>
      </c>
      <c r="T472" s="110">
        <f>S472-Q472</f>
        <v>-8</v>
      </c>
      <c r="U472" s="59">
        <f t="shared" si="728"/>
        <v>1433</v>
      </c>
      <c r="V472" s="83"/>
      <c r="W472" s="83"/>
      <c r="X472" s="110">
        <f>W472-M472</f>
        <v>-1461</v>
      </c>
      <c r="Y472" s="110"/>
      <c r="Z472" s="110"/>
      <c r="AA472" s="110"/>
      <c r="AB472" s="83"/>
      <c r="AC472" s="106"/>
      <c r="AD472" s="106"/>
      <c r="AE472" s="100">
        <f t="shared" ref="AE472:AE474" si="821">N472/F472</f>
        <v>4.8815506101938265E-2</v>
      </c>
      <c r="AF472" s="90"/>
      <c r="AG472" s="109">
        <f t="shared" ref="AG472:AG474" si="822">IF(N472&lt;0,N472,0)</f>
        <v>0</v>
      </c>
      <c r="AH472" s="100">
        <f t="shared" ref="AH472:AH474" si="823">(S472-F472)/F472</f>
        <v>2.8715003589375447E-2</v>
      </c>
      <c r="AI472" s="100">
        <f t="shared" ref="AI472:AI474" si="824">(W472-F472)/F472</f>
        <v>-1</v>
      </c>
    </row>
    <row r="473" spans="1:35" s="86" customFormat="1" ht="18.75" customHeight="1" x14ac:dyDescent="0.3">
      <c r="A473" s="106"/>
      <c r="B473" s="106" t="s">
        <v>52</v>
      </c>
      <c r="C473" s="118">
        <v>47987</v>
      </c>
      <c r="D473" s="311"/>
      <c r="E473" s="157" t="s">
        <v>452</v>
      </c>
      <c r="F473" s="83">
        <v>1825</v>
      </c>
      <c r="G473" s="83"/>
      <c r="H473" s="83"/>
      <c r="I473" s="83"/>
      <c r="J473" s="83"/>
      <c r="K473" s="83"/>
      <c r="L473" s="83"/>
      <c r="M473" s="83">
        <f>914+996</f>
        <v>1910</v>
      </c>
      <c r="N473" s="110">
        <f>M473-F473</f>
        <v>85</v>
      </c>
      <c r="O473" s="110" t="s">
        <v>100</v>
      </c>
      <c r="P473" s="83"/>
      <c r="Q473" s="83">
        <f>891+967+30</f>
        <v>1888</v>
      </c>
      <c r="R473" s="83">
        <v>1872</v>
      </c>
      <c r="S473" s="83">
        <v>1872</v>
      </c>
      <c r="T473" s="110">
        <f>S473-Q473</f>
        <v>-16</v>
      </c>
      <c r="U473" s="59">
        <f t="shared" si="728"/>
        <v>1872</v>
      </c>
      <c r="V473" s="83"/>
      <c r="W473" s="83"/>
      <c r="X473" s="110">
        <f>W473-M473</f>
        <v>-1910</v>
      </c>
      <c r="Y473" s="110"/>
      <c r="Z473" s="110"/>
      <c r="AA473" s="110"/>
      <c r="AB473" s="83"/>
      <c r="AC473" s="106"/>
      <c r="AD473" s="106"/>
      <c r="AE473" s="100">
        <f t="shared" si="821"/>
        <v>4.6575342465753428E-2</v>
      </c>
      <c r="AF473" s="90"/>
      <c r="AG473" s="109">
        <f t="shared" si="822"/>
        <v>0</v>
      </c>
      <c r="AH473" s="100">
        <f t="shared" si="823"/>
        <v>2.5753424657534246E-2</v>
      </c>
      <c r="AI473" s="100">
        <f t="shared" si="824"/>
        <v>-1</v>
      </c>
    </row>
    <row r="474" spans="1:35" s="82" customFormat="1" ht="16.5" customHeight="1" x14ac:dyDescent="0.3">
      <c r="A474" s="90" t="s">
        <v>46</v>
      </c>
      <c r="B474" s="90" t="s">
        <v>52</v>
      </c>
      <c r="C474" s="137"/>
      <c r="D474" s="90"/>
      <c r="E474" s="80"/>
      <c r="F474" s="81">
        <f>SUM(F472:F473)</f>
        <v>3218</v>
      </c>
      <c r="G474" s="81"/>
      <c r="H474" s="81" t="s">
        <v>50</v>
      </c>
      <c r="I474" s="81"/>
      <c r="J474" s="81" t="s">
        <v>60</v>
      </c>
      <c r="K474" s="85" t="s">
        <v>340</v>
      </c>
      <c r="L474" s="81">
        <f>SUM(L472:L473)</f>
        <v>0</v>
      </c>
      <c r="M474" s="81">
        <f>SUM(M472:M473)</f>
        <v>3371</v>
      </c>
      <c r="N474" s="81">
        <f>SUM(N472:N473)</f>
        <v>153</v>
      </c>
      <c r="O474" s="81"/>
      <c r="P474" s="81">
        <f>SUM(P472:P473)</f>
        <v>0</v>
      </c>
      <c r="Q474" s="81">
        <f>SUM(Q472:Q473)</f>
        <v>3329</v>
      </c>
      <c r="R474" s="81">
        <f>SUM(R472:R473)</f>
        <v>1872</v>
      </c>
      <c r="S474" s="81">
        <f>SUM(S472:S473)</f>
        <v>3305</v>
      </c>
      <c r="T474" s="81">
        <f>SUM(T472:T473)</f>
        <v>-24</v>
      </c>
      <c r="U474" s="59">
        <f t="shared" si="728"/>
        <v>3305</v>
      </c>
      <c r="V474" s="81">
        <f>SUM(V472:V473)</f>
        <v>0</v>
      </c>
      <c r="W474" s="81">
        <f>SUM(W472:W473)</f>
        <v>0</v>
      </c>
      <c r="X474" s="81">
        <f>SUM(X472:X473)</f>
        <v>-3371</v>
      </c>
      <c r="Y474" s="81" t="s">
        <v>48</v>
      </c>
      <c r="Z474" s="110" t="s">
        <v>45</v>
      </c>
      <c r="AA474" s="110"/>
      <c r="AB474" s="84"/>
      <c r="AC474" s="136"/>
      <c r="AD474" s="136"/>
      <c r="AE474" s="100">
        <f t="shared" si="821"/>
        <v>4.754505904288378E-2</v>
      </c>
      <c r="AF474" s="90"/>
      <c r="AG474" s="109">
        <f t="shared" si="822"/>
        <v>0</v>
      </c>
      <c r="AH474" s="100">
        <f t="shared" si="823"/>
        <v>2.7035425730267248E-2</v>
      </c>
      <c r="AI474" s="100">
        <f t="shared" si="824"/>
        <v>-1</v>
      </c>
    </row>
    <row r="475" spans="1:35" s="86" customFormat="1" ht="18.75" customHeight="1" x14ac:dyDescent="0.3">
      <c r="A475" s="106"/>
      <c r="B475" s="106" t="s">
        <v>52</v>
      </c>
      <c r="C475" s="118">
        <v>47579</v>
      </c>
      <c r="D475" s="310">
        <v>13262612</v>
      </c>
      <c r="E475" s="150" t="s">
        <v>123</v>
      </c>
      <c r="F475" s="83">
        <v>1782</v>
      </c>
      <c r="G475" s="83"/>
      <c r="H475" s="83"/>
      <c r="I475" s="83"/>
      <c r="J475" s="83"/>
      <c r="K475" s="83"/>
      <c r="L475" s="83"/>
      <c r="M475" s="83">
        <f>160+1584+90</f>
        <v>1834</v>
      </c>
      <c r="N475" s="110">
        <f>M475-F475</f>
        <v>52</v>
      </c>
      <c r="O475" s="110" t="s">
        <v>100</v>
      </c>
      <c r="P475" s="83"/>
      <c r="Q475" s="83">
        <v>1834</v>
      </c>
      <c r="R475" s="83"/>
      <c r="S475" s="83">
        <f>1545+286</f>
        <v>1831</v>
      </c>
      <c r="T475" s="110">
        <f>S475-Q475</f>
        <v>-3</v>
      </c>
      <c r="U475" s="59">
        <f t="shared" si="728"/>
        <v>0</v>
      </c>
      <c r="V475" s="83"/>
      <c r="W475" s="83">
        <v>1831</v>
      </c>
      <c r="X475" s="110">
        <f>W475-M475</f>
        <v>-3</v>
      </c>
      <c r="Y475" s="110"/>
      <c r="Z475" s="110"/>
      <c r="AA475" s="110"/>
      <c r="AB475" s="83"/>
      <c r="AC475" s="106"/>
      <c r="AD475" s="106"/>
      <c r="AE475" s="100">
        <f t="shared" ref="AE475:AE477" si="825">N475/F475</f>
        <v>2.9180695847362513E-2</v>
      </c>
      <c r="AF475" s="90"/>
      <c r="AG475" s="109">
        <f t="shared" ref="AG475:AG477" si="826">IF(N475&lt;0,N475,0)</f>
        <v>0</v>
      </c>
      <c r="AH475" s="100">
        <f t="shared" ref="AH475:AH477" si="827">(S475-F475)/F475</f>
        <v>2.749719416386083E-2</v>
      </c>
      <c r="AI475" s="100">
        <f t="shared" ref="AI475:AI477" si="828">(W475-F475)/F475</f>
        <v>2.749719416386083E-2</v>
      </c>
    </row>
    <row r="476" spans="1:35" s="86" customFormat="1" ht="18.75" customHeight="1" x14ac:dyDescent="0.3">
      <c r="A476" s="106"/>
      <c r="B476" s="106" t="s">
        <v>52</v>
      </c>
      <c r="C476" s="118">
        <v>47579</v>
      </c>
      <c r="D476" s="311"/>
      <c r="E476" s="157" t="s">
        <v>188</v>
      </c>
      <c r="F476" s="83">
        <v>3052</v>
      </c>
      <c r="G476" s="83"/>
      <c r="H476" s="83"/>
      <c r="I476" s="83"/>
      <c r="J476" s="83"/>
      <c r="K476" s="83"/>
      <c r="L476" s="83"/>
      <c r="M476" s="83">
        <f>1332+1350+409</f>
        <v>3091</v>
      </c>
      <c r="N476" s="110">
        <f>M476-F476</f>
        <v>39</v>
      </c>
      <c r="O476" s="110" t="s">
        <v>100</v>
      </c>
      <c r="P476" s="83"/>
      <c r="Q476" s="83">
        <f>1332+409+1350</f>
        <v>3091</v>
      </c>
      <c r="R476" s="83"/>
      <c r="S476" s="83">
        <v>3089</v>
      </c>
      <c r="T476" s="110">
        <f>S476-Q476</f>
        <v>-2</v>
      </c>
      <c r="U476" s="59">
        <f t="shared" si="728"/>
        <v>1</v>
      </c>
      <c r="V476" s="83"/>
      <c r="W476" s="83">
        <v>3088</v>
      </c>
      <c r="X476" s="110">
        <f>W476-M476</f>
        <v>-3</v>
      </c>
      <c r="Y476" s="110"/>
      <c r="Z476" s="110"/>
      <c r="AA476" s="110"/>
      <c r="AB476" s="83"/>
      <c r="AC476" s="106"/>
      <c r="AD476" s="106"/>
      <c r="AE476" s="100">
        <f t="shared" si="825"/>
        <v>1.2778505897771953E-2</v>
      </c>
      <c r="AF476" s="90"/>
      <c r="AG476" s="109">
        <f t="shared" si="826"/>
        <v>0</v>
      </c>
      <c r="AH476" s="100">
        <f t="shared" si="827"/>
        <v>1.2123197903014417E-2</v>
      </c>
      <c r="AI476" s="100">
        <f t="shared" si="828"/>
        <v>1.1795543905635648E-2</v>
      </c>
    </row>
    <row r="477" spans="1:35" s="82" customFormat="1" ht="16.5" customHeight="1" x14ac:dyDescent="0.3">
      <c r="A477" s="90" t="s">
        <v>46</v>
      </c>
      <c r="B477" s="90" t="s">
        <v>52</v>
      </c>
      <c r="C477" s="137"/>
      <c r="D477" s="90"/>
      <c r="E477" s="80"/>
      <c r="F477" s="81">
        <f>SUM(F475:F476)</f>
        <v>4834</v>
      </c>
      <c r="G477" s="81"/>
      <c r="H477" s="81" t="s">
        <v>50</v>
      </c>
      <c r="I477" s="81"/>
      <c r="J477" s="81" t="s">
        <v>60</v>
      </c>
      <c r="K477" s="85" t="s">
        <v>238</v>
      </c>
      <c r="L477" s="81">
        <f>SUM(L475:L476)</f>
        <v>0</v>
      </c>
      <c r="M477" s="81">
        <f>SUM(M475:M476)</f>
        <v>4925</v>
      </c>
      <c r="N477" s="81">
        <f>SUM(N475:N476)</f>
        <v>91</v>
      </c>
      <c r="O477" s="81" t="s">
        <v>170</v>
      </c>
      <c r="P477" s="81">
        <f>SUM(P475:P476)</f>
        <v>0</v>
      </c>
      <c r="Q477" s="81">
        <f>SUM(Q475:Q476)</f>
        <v>4925</v>
      </c>
      <c r="R477" s="81">
        <f>SUM(R475:R476)</f>
        <v>0</v>
      </c>
      <c r="S477" s="81">
        <f>SUM(S475:S476)</f>
        <v>4920</v>
      </c>
      <c r="T477" s="81">
        <f>SUM(T475:T476)</f>
        <v>-5</v>
      </c>
      <c r="U477" s="59">
        <f t="shared" si="728"/>
        <v>1</v>
      </c>
      <c r="V477" s="81">
        <f>SUM(V475:V476)</f>
        <v>0</v>
      </c>
      <c r="W477" s="81">
        <f>SUM(W475:W476)</f>
        <v>4919</v>
      </c>
      <c r="X477" s="81">
        <f>SUM(X475:X476)</f>
        <v>-6</v>
      </c>
      <c r="Y477" s="81" t="s">
        <v>47</v>
      </c>
      <c r="Z477" s="110" t="s">
        <v>45</v>
      </c>
      <c r="AA477" s="110"/>
      <c r="AB477" s="84"/>
      <c r="AC477" s="136"/>
      <c r="AD477" s="136"/>
      <c r="AE477" s="100">
        <f t="shared" si="825"/>
        <v>1.8824989656599091E-2</v>
      </c>
      <c r="AF477" s="90"/>
      <c r="AG477" s="109">
        <f t="shared" si="826"/>
        <v>0</v>
      </c>
      <c r="AH477" s="100">
        <f t="shared" si="827"/>
        <v>1.779064956557716E-2</v>
      </c>
      <c r="AI477" s="100">
        <f t="shared" si="828"/>
        <v>1.7583781547372775E-2</v>
      </c>
    </row>
    <row r="478" spans="1:35" s="86" customFormat="1" ht="18.75" customHeight="1" x14ac:dyDescent="0.3">
      <c r="A478" s="106"/>
      <c r="B478" s="106" t="s">
        <v>52</v>
      </c>
      <c r="C478" s="118">
        <v>47620</v>
      </c>
      <c r="D478" s="310">
        <v>13262657</v>
      </c>
      <c r="E478" s="157" t="s">
        <v>188</v>
      </c>
      <c r="F478" s="83">
        <v>981</v>
      </c>
      <c r="G478" s="83"/>
      <c r="H478" s="83"/>
      <c r="I478" s="83"/>
      <c r="J478" s="83"/>
      <c r="K478" s="83"/>
      <c r="L478" s="83"/>
      <c r="M478" s="83">
        <f>800+200+16</f>
        <v>1016</v>
      </c>
      <c r="N478" s="110">
        <f>M478-F478</f>
        <v>35</v>
      </c>
      <c r="O478" s="110" t="s">
        <v>100</v>
      </c>
      <c r="P478" s="83"/>
      <c r="Q478" s="83"/>
      <c r="R478" s="83"/>
      <c r="S478" s="83"/>
      <c r="T478" s="110">
        <f>S478-Q478</f>
        <v>0</v>
      </c>
      <c r="U478" s="59">
        <f t="shared" ref="U478:U531" si="829">IF(Q478&gt;0,S478-W478,M478-W478)</f>
        <v>0</v>
      </c>
      <c r="V478" s="83"/>
      <c r="W478" s="83">
        <v>1016</v>
      </c>
      <c r="X478" s="110">
        <f>W478-M478</f>
        <v>0</v>
      </c>
      <c r="Y478" s="110"/>
      <c r="Z478" s="110"/>
      <c r="AA478" s="110"/>
      <c r="AB478" s="83"/>
      <c r="AC478" s="106"/>
      <c r="AD478" s="106"/>
      <c r="AE478" s="100">
        <f t="shared" ref="AE478:AE480" si="830">N478/F478</f>
        <v>3.5677879714576963E-2</v>
      </c>
      <c r="AF478" s="90"/>
      <c r="AG478" s="109">
        <f t="shared" ref="AG478:AG480" si="831">IF(N478&lt;0,N478,0)</f>
        <v>0</v>
      </c>
      <c r="AH478" s="100">
        <f t="shared" ref="AH478:AH480" si="832">(S478-F478)/F478</f>
        <v>-1</v>
      </c>
      <c r="AI478" s="100">
        <f t="shared" ref="AI478:AI480" si="833">(W478-F478)/F478</f>
        <v>3.5677879714576963E-2</v>
      </c>
    </row>
    <row r="479" spans="1:35" s="86" customFormat="1" ht="18.75" customHeight="1" x14ac:dyDescent="0.3">
      <c r="A479" s="106"/>
      <c r="B479" s="106" t="s">
        <v>52</v>
      </c>
      <c r="C479" s="118">
        <v>47620</v>
      </c>
      <c r="D479" s="311"/>
      <c r="E479" s="157" t="s">
        <v>171</v>
      </c>
      <c r="F479" s="83">
        <v>834</v>
      </c>
      <c r="G479" s="83"/>
      <c r="H479" s="83"/>
      <c r="I479" s="83"/>
      <c r="J479" s="83"/>
      <c r="K479" s="83"/>
      <c r="L479" s="83"/>
      <c r="M479" s="83">
        <f>872+7</f>
        <v>879</v>
      </c>
      <c r="N479" s="110">
        <f>M479-F479</f>
        <v>45</v>
      </c>
      <c r="O479" s="110" t="s">
        <v>100</v>
      </c>
      <c r="P479" s="83"/>
      <c r="Q479" s="83"/>
      <c r="R479" s="83"/>
      <c r="S479" s="83"/>
      <c r="T479" s="110">
        <f>S479-Q479</f>
        <v>0</v>
      </c>
      <c r="U479" s="59">
        <f t="shared" si="829"/>
        <v>0</v>
      </c>
      <c r="V479" s="83"/>
      <c r="W479" s="83">
        <v>879</v>
      </c>
      <c r="X479" s="110">
        <f>W479-M479</f>
        <v>0</v>
      </c>
      <c r="Y479" s="110"/>
      <c r="Z479" s="110"/>
      <c r="AA479" s="110"/>
      <c r="AB479" s="83"/>
      <c r="AC479" s="106"/>
      <c r="AD479" s="106"/>
      <c r="AE479" s="100">
        <f t="shared" ref="AE479" si="834">N479/F479</f>
        <v>5.3956834532374098E-2</v>
      </c>
      <c r="AF479" s="90"/>
      <c r="AG479" s="109">
        <f t="shared" ref="AG479" si="835">IF(N479&lt;0,N479,0)</f>
        <v>0</v>
      </c>
      <c r="AH479" s="100">
        <f t="shared" ref="AH479" si="836">(S479-F479)/F479</f>
        <v>-1</v>
      </c>
      <c r="AI479" s="100">
        <f t="shared" ref="AI479" si="837">(W479-F479)/F479</f>
        <v>5.3956834532374098E-2</v>
      </c>
    </row>
    <row r="480" spans="1:35" s="82" customFormat="1" ht="16.5" customHeight="1" x14ac:dyDescent="0.3">
      <c r="A480" s="90" t="s">
        <v>46</v>
      </c>
      <c r="B480" s="90" t="s">
        <v>52</v>
      </c>
      <c r="C480" s="137"/>
      <c r="D480" s="90"/>
      <c r="E480" s="80"/>
      <c r="F480" s="81">
        <f>SUM(F478:F479)</f>
        <v>1815</v>
      </c>
      <c r="G480" s="81"/>
      <c r="H480" s="81" t="s">
        <v>50</v>
      </c>
      <c r="I480" s="81"/>
      <c r="J480" s="81" t="s">
        <v>60</v>
      </c>
      <c r="K480" s="85" t="s">
        <v>238</v>
      </c>
      <c r="L480" s="81">
        <f>SUM(L478:L479)</f>
        <v>0</v>
      </c>
      <c r="M480" s="81">
        <f>SUM(M478:M479)</f>
        <v>1895</v>
      </c>
      <c r="N480" s="81">
        <f>SUM(N478:N479)</f>
        <v>80</v>
      </c>
      <c r="O480" s="81"/>
      <c r="P480" s="81">
        <f>SUM(P478:P479)</f>
        <v>0</v>
      </c>
      <c r="Q480" s="81">
        <f>SUM(Q478:Q479)</f>
        <v>0</v>
      </c>
      <c r="R480" s="81">
        <f>SUM(R478:R479)</f>
        <v>0</v>
      </c>
      <c r="S480" s="81">
        <f>SUM(S478:S479)</f>
        <v>0</v>
      </c>
      <c r="T480" s="81">
        <f>SUM(T478:T479)</f>
        <v>0</v>
      </c>
      <c r="U480" s="59">
        <f t="shared" si="829"/>
        <v>0</v>
      </c>
      <c r="V480" s="81">
        <f>SUM(V478:V479)</f>
        <v>0</v>
      </c>
      <c r="W480" s="81">
        <f>SUM(W478:W479)</f>
        <v>1895</v>
      </c>
      <c r="X480" s="81">
        <f>SUM(X478:X479)</f>
        <v>0</v>
      </c>
      <c r="Y480" s="81"/>
      <c r="Z480" s="110"/>
      <c r="AA480" s="110"/>
      <c r="AB480" s="84"/>
      <c r="AC480" s="136"/>
      <c r="AD480" s="136"/>
      <c r="AE480" s="100">
        <f t="shared" si="830"/>
        <v>4.4077134986225897E-2</v>
      </c>
      <c r="AF480" s="90"/>
      <c r="AG480" s="109">
        <f t="shared" si="831"/>
        <v>0</v>
      </c>
      <c r="AH480" s="100">
        <f t="shared" si="832"/>
        <v>-1</v>
      </c>
      <c r="AI480" s="100">
        <f t="shared" si="833"/>
        <v>4.4077134986225897E-2</v>
      </c>
    </row>
    <row r="481" spans="1:35" s="86" customFormat="1" ht="18.75" customHeight="1" x14ac:dyDescent="0.3">
      <c r="A481" s="106"/>
      <c r="B481" s="106" t="s">
        <v>52</v>
      </c>
      <c r="C481" s="118">
        <v>47992</v>
      </c>
      <c r="D481" s="310">
        <v>13263835</v>
      </c>
      <c r="E481" s="157" t="s">
        <v>202</v>
      </c>
      <c r="F481" s="83">
        <v>1258</v>
      </c>
      <c r="G481" s="83"/>
      <c r="H481" s="83"/>
      <c r="I481" s="83"/>
      <c r="J481" s="83"/>
      <c r="K481" s="83"/>
      <c r="L481" s="83"/>
      <c r="M481" s="83">
        <v>1353</v>
      </c>
      <c r="N481" s="110">
        <f t="shared" ref="N481:N482" si="838">M481-F481</f>
        <v>95</v>
      </c>
      <c r="O481" s="110" t="s">
        <v>100</v>
      </c>
      <c r="P481" s="83"/>
      <c r="Q481" s="83">
        <v>1353</v>
      </c>
      <c r="R481" s="83"/>
      <c r="S481" s="83">
        <v>1353</v>
      </c>
      <c r="T481" s="110">
        <f t="shared" ref="T481:T482" si="839">S481-Q481</f>
        <v>0</v>
      </c>
      <c r="U481" s="59">
        <f t="shared" si="829"/>
        <v>0</v>
      </c>
      <c r="V481" s="83"/>
      <c r="W481" s="83">
        <f>1353</f>
        <v>1353</v>
      </c>
      <c r="X481" s="110">
        <f t="shared" ref="X481:X482" si="840">W481-M481</f>
        <v>0</v>
      </c>
      <c r="Y481" s="110"/>
      <c r="Z481" s="110"/>
      <c r="AA481" s="110"/>
      <c r="AB481" s="83"/>
      <c r="AC481" s="106"/>
      <c r="AD481" s="106"/>
      <c r="AE481" s="100">
        <f t="shared" ref="AE481:AE483" si="841">N481/F481</f>
        <v>7.5516693163751994E-2</v>
      </c>
      <c r="AF481" s="90"/>
      <c r="AG481" s="109">
        <f t="shared" ref="AG481:AG483" si="842">IF(N481&lt;0,N481,0)</f>
        <v>0</v>
      </c>
      <c r="AH481" s="100">
        <f t="shared" ref="AH481:AH483" si="843">(S481-F481)/F481</f>
        <v>7.5516693163751994E-2</v>
      </c>
      <c r="AI481" s="100">
        <f t="shared" ref="AI481:AI483" si="844">(W481-F481)/F481</f>
        <v>7.5516693163751994E-2</v>
      </c>
    </row>
    <row r="482" spans="1:35" s="86" customFormat="1" ht="18.75" customHeight="1" x14ac:dyDescent="0.3">
      <c r="A482" s="106"/>
      <c r="B482" s="106" t="s">
        <v>52</v>
      </c>
      <c r="C482" s="118">
        <v>47992</v>
      </c>
      <c r="D482" s="311"/>
      <c r="E482" s="157" t="s">
        <v>123</v>
      </c>
      <c r="F482" s="83">
        <v>1072</v>
      </c>
      <c r="G482" s="83"/>
      <c r="H482" s="83"/>
      <c r="I482" s="83"/>
      <c r="J482" s="83"/>
      <c r="K482" s="83"/>
      <c r="L482" s="83"/>
      <c r="M482" s="83">
        <f>1150</f>
        <v>1150</v>
      </c>
      <c r="N482" s="110">
        <f t="shared" si="838"/>
        <v>78</v>
      </c>
      <c r="O482" s="110" t="s">
        <v>100</v>
      </c>
      <c r="P482" s="83"/>
      <c r="Q482" s="83">
        <v>1150</v>
      </c>
      <c r="R482" s="83"/>
      <c r="S482" s="83">
        <v>1149</v>
      </c>
      <c r="T482" s="110">
        <f t="shared" si="839"/>
        <v>-1</v>
      </c>
      <c r="U482" s="59">
        <f t="shared" si="829"/>
        <v>1</v>
      </c>
      <c r="V482" s="83"/>
      <c r="W482" s="83">
        <f>1148</f>
        <v>1148</v>
      </c>
      <c r="X482" s="110">
        <f t="shared" si="840"/>
        <v>-2</v>
      </c>
      <c r="Y482" s="110"/>
      <c r="Z482" s="110"/>
      <c r="AA482" s="110"/>
      <c r="AB482" s="83"/>
      <c r="AC482" s="106"/>
      <c r="AD482" s="106"/>
      <c r="AE482" s="100">
        <f t="shared" si="841"/>
        <v>7.2761194029850748E-2</v>
      </c>
      <c r="AF482" s="90"/>
      <c r="AG482" s="109">
        <f t="shared" si="842"/>
        <v>0</v>
      </c>
      <c r="AH482" s="100">
        <f t="shared" si="843"/>
        <v>7.1828358208955223E-2</v>
      </c>
      <c r="AI482" s="100">
        <f t="shared" si="844"/>
        <v>7.0895522388059698E-2</v>
      </c>
    </row>
    <row r="483" spans="1:35" s="82" customFormat="1" ht="16.5" customHeight="1" x14ac:dyDescent="0.3">
      <c r="A483" s="90" t="s">
        <v>46</v>
      </c>
      <c r="B483" s="90" t="s">
        <v>52</v>
      </c>
      <c r="C483" s="137"/>
      <c r="D483" s="90"/>
      <c r="E483" s="80"/>
      <c r="F483" s="81">
        <f>SUM(F481:F482)</f>
        <v>2330</v>
      </c>
      <c r="G483" s="81"/>
      <c r="H483" s="81" t="s">
        <v>50</v>
      </c>
      <c r="I483" s="81"/>
      <c r="J483" s="81" t="s">
        <v>60</v>
      </c>
      <c r="K483" s="85" t="s">
        <v>226</v>
      </c>
      <c r="L483" s="81">
        <f>SUM(L481:L482)</f>
        <v>0</v>
      </c>
      <c r="M483" s="81">
        <f>SUM(M481:M482)</f>
        <v>2503</v>
      </c>
      <c r="N483" s="81">
        <f>SUM(N481:N482)</f>
        <v>173</v>
      </c>
      <c r="O483" s="81" t="s">
        <v>531</v>
      </c>
      <c r="P483" s="81">
        <f>SUM(P481:P482)</f>
        <v>0</v>
      </c>
      <c r="Q483" s="81">
        <f>SUM(Q481:Q482)</f>
        <v>2503</v>
      </c>
      <c r="R483" s="81">
        <f>SUM(R481:R482)</f>
        <v>0</v>
      </c>
      <c r="S483" s="81">
        <f>SUM(S481:S482)</f>
        <v>2502</v>
      </c>
      <c r="T483" s="81">
        <f>SUM(T481:T482)</f>
        <v>-1</v>
      </c>
      <c r="U483" s="59">
        <f t="shared" si="829"/>
        <v>1</v>
      </c>
      <c r="V483" s="81">
        <f>SUM(V481:V482)</f>
        <v>0</v>
      </c>
      <c r="W483" s="81">
        <f>SUM(W481:W482)</f>
        <v>2501</v>
      </c>
      <c r="X483" s="81">
        <f>SUM(X481:X482)</f>
        <v>-2</v>
      </c>
      <c r="Y483" s="81" t="s">
        <v>48</v>
      </c>
      <c r="Z483" s="110" t="s">
        <v>45</v>
      </c>
      <c r="AA483" s="110"/>
      <c r="AB483" s="84"/>
      <c r="AC483" s="136"/>
      <c r="AD483" s="136"/>
      <c r="AE483" s="100">
        <f t="shared" si="841"/>
        <v>7.4248927038626608E-2</v>
      </c>
      <c r="AF483" s="90"/>
      <c r="AG483" s="109">
        <f t="shared" si="842"/>
        <v>0</v>
      </c>
      <c r="AH483" s="100">
        <f t="shared" si="843"/>
        <v>7.3819742489270382E-2</v>
      </c>
      <c r="AI483" s="100">
        <f t="shared" si="844"/>
        <v>7.3390557939914169E-2</v>
      </c>
    </row>
    <row r="484" spans="1:35" s="86" customFormat="1" ht="18.75" customHeight="1" x14ac:dyDescent="0.3">
      <c r="A484" s="106"/>
      <c r="B484" s="106" t="s">
        <v>52</v>
      </c>
      <c r="C484" s="118">
        <v>47954</v>
      </c>
      <c r="D484" s="310">
        <v>13263761</v>
      </c>
      <c r="E484" s="157" t="s">
        <v>408</v>
      </c>
      <c r="F484" s="83">
        <v>2636</v>
      </c>
      <c r="G484" s="83"/>
      <c r="H484" s="83"/>
      <c r="I484" s="83"/>
      <c r="J484" s="83"/>
      <c r="K484" s="83"/>
      <c r="L484" s="83"/>
      <c r="M484" s="83">
        <f>1236+996+508</f>
        <v>2740</v>
      </c>
      <c r="N484" s="110">
        <f t="shared" ref="N484:N485" si="845">M484-F484</f>
        <v>104</v>
      </c>
      <c r="O484" s="110" t="s">
        <v>100</v>
      </c>
      <c r="P484" s="83"/>
      <c r="Q484" s="83">
        <f>1212+1504+10</f>
        <v>2726</v>
      </c>
      <c r="R484" s="83"/>
      <c r="S484" s="83">
        <v>2726</v>
      </c>
      <c r="T484" s="110">
        <f t="shared" ref="T484:T485" si="846">S484-Q484</f>
        <v>0</v>
      </c>
      <c r="U484" s="59">
        <f t="shared" si="829"/>
        <v>27</v>
      </c>
      <c r="V484" s="83"/>
      <c r="W484" s="83">
        <v>2699</v>
      </c>
      <c r="X484" s="110">
        <f t="shared" ref="X484:X485" si="847">W484-M484</f>
        <v>-41</v>
      </c>
      <c r="Y484" s="110"/>
      <c r="Z484" s="110"/>
      <c r="AA484" s="110"/>
      <c r="AB484" s="83"/>
      <c r="AC484" s="106"/>
      <c r="AD484" s="106"/>
      <c r="AE484" s="100">
        <f t="shared" ref="AE484:AE506" si="848">N484/F484</f>
        <v>3.9453717754172987E-2</v>
      </c>
      <c r="AF484" s="90"/>
      <c r="AG484" s="109">
        <f t="shared" ref="AG484:AG506" si="849">IF(N484&lt;0,N484,0)</f>
        <v>0</v>
      </c>
      <c r="AH484" s="100">
        <f t="shared" ref="AH484:AH506" si="850">(S484-F484)/F484</f>
        <v>3.4142640364188161E-2</v>
      </c>
      <c r="AI484" s="100">
        <f t="shared" ref="AI484:AI506" si="851">(W484-F484)/F484</f>
        <v>2.3899848254931716E-2</v>
      </c>
    </row>
    <row r="485" spans="1:35" s="86" customFormat="1" ht="18.75" customHeight="1" x14ac:dyDescent="0.3">
      <c r="A485" s="106"/>
      <c r="B485" s="106" t="s">
        <v>52</v>
      </c>
      <c r="C485" s="118">
        <v>47954</v>
      </c>
      <c r="D485" s="311"/>
      <c r="E485" s="157" t="s">
        <v>49</v>
      </c>
      <c r="F485" s="83">
        <v>2076</v>
      </c>
      <c r="G485" s="83"/>
      <c r="H485" s="83"/>
      <c r="I485" s="83"/>
      <c r="J485" s="83"/>
      <c r="K485" s="83"/>
      <c r="L485" s="83"/>
      <c r="M485" s="83">
        <f>600+500+926+110+48</f>
        <v>2184</v>
      </c>
      <c r="N485" s="110">
        <f t="shared" si="845"/>
        <v>108</v>
      </c>
      <c r="O485" s="110" t="s">
        <v>100</v>
      </c>
      <c r="P485" s="83"/>
      <c r="Q485" s="83">
        <f>2126+48</f>
        <v>2174</v>
      </c>
      <c r="R485" s="83"/>
      <c r="S485" s="83">
        <f>2126+40</f>
        <v>2166</v>
      </c>
      <c r="T485" s="110">
        <f t="shared" si="846"/>
        <v>-8</v>
      </c>
      <c r="U485" s="59">
        <f t="shared" si="829"/>
        <v>45</v>
      </c>
      <c r="V485" s="83"/>
      <c r="W485" s="83">
        <f>2073+48</f>
        <v>2121</v>
      </c>
      <c r="X485" s="110">
        <f t="shared" si="847"/>
        <v>-63</v>
      </c>
      <c r="Y485" s="110"/>
      <c r="Z485" s="110"/>
      <c r="AA485" s="110"/>
      <c r="AB485" s="83"/>
      <c r="AC485" s="106"/>
      <c r="AD485" s="106"/>
      <c r="AE485" s="100">
        <f t="shared" si="848"/>
        <v>5.2023121387283239E-2</v>
      </c>
      <c r="AF485" s="90"/>
      <c r="AG485" s="109">
        <f t="shared" si="849"/>
        <v>0</v>
      </c>
      <c r="AH485" s="100">
        <f t="shared" si="850"/>
        <v>4.3352601156069363E-2</v>
      </c>
      <c r="AI485" s="100">
        <f t="shared" si="851"/>
        <v>2.1676300578034682E-2</v>
      </c>
    </row>
    <row r="486" spans="1:35" s="82" customFormat="1" ht="16.5" customHeight="1" x14ac:dyDescent="0.3">
      <c r="A486" s="90" t="s">
        <v>46</v>
      </c>
      <c r="B486" s="90" t="s">
        <v>52</v>
      </c>
      <c r="C486" s="137"/>
      <c r="D486" s="90"/>
      <c r="E486" s="80"/>
      <c r="F486" s="81">
        <f>SUM(F484:F485)</f>
        <v>4712</v>
      </c>
      <c r="G486" s="81"/>
      <c r="H486" s="81" t="s">
        <v>50</v>
      </c>
      <c r="I486" s="81"/>
      <c r="J486" s="81" t="s">
        <v>60</v>
      </c>
      <c r="K486" s="85" t="s">
        <v>226</v>
      </c>
      <c r="L486" s="81">
        <f>SUM(L484:L485)</f>
        <v>0</v>
      </c>
      <c r="M486" s="81">
        <f>SUM(M484:M485)</f>
        <v>4924</v>
      </c>
      <c r="N486" s="81">
        <f>SUM(N484:N485)</f>
        <v>212</v>
      </c>
      <c r="O486" s="81" t="s">
        <v>316</v>
      </c>
      <c r="P486" s="81">
        <f>SUM(P484:P485)</f>
        <v>0</v>
      </c>
      <c r="Q486" s="81">
        <f>SUM(Q484:Q485)</f>
        <v>4900</v>
      </c>
      <c r="R486" s="81">
        <f>SUM(R484:R485)</f>
        <v>0</v>
      </c>
      <c r="S486" s="81">
        <f>SUM(S484:S485)</f>
        <v>4892</v>
      </c>
      <c r="T486" s="81">
        <f>SUM(T484:T485)</f>
        <v>-8</v>
      </c>
      <c r="U486" s="59">
        <f t="shared" si="829"/>
        <v>72</v>
      </c>
      <c r="V486" s="81">
        <f>SUM(V484:V485)</f>
        <v>0</v>
      </c>
      <c r="W486" s="81">
        <f>SUM(W484:W485)</f>
        <v>4820</v>
      </c>
      <c r="X486" s="81">
        <f>SUM(X484:X485)</f>
        <v>-104</v>
      </c>
      <c r="Y486" s="81" t="s">
        <v>47</v>
      </c>
      <c r="Z486" s="110" t="s">
        <v>45</v>
      </c>
      <c r="AA486" s="110"/>
      <c r="AB486" s="84"/>
      <c r="AC486" s="136"/>
      <c r="AD486" s="136"/>
      <c r="AE486" s="100">
        <f t="shared" si="848"/>
        <v>4.4991511035653652E-2</v>
      </c>
      <c r="AF486" s="90"/>
      <c r="AG486" s="109">
        <f t="shared" si="849"/>
        <v>0</v>
      </c>
      <c r="AH486" s="100">
        <f t="shared" si="850"/>
        <v>3.8200339558573854E-2</v>
      </c>
      <c r="AI486" s="100">
        <f t="shared" si="851"/>
        <v>2.2920203735144314E-2</v>
      </c>
    </row>
    <row r="487" spans="1:35" s="86" customFormat="1" ht="18.75" customHeight="1" x14ac:dyDescent="0.3">
      <c r="A487" s="106"/>
      <c r="B487" s="106" t="s">
        <v>52</v>
      </c>
      <c r="C487" s="118">
        <v>47913</v>
      </c>
      <c r="D487" s="310">
        <v>13260940</v>
      </c>
      <c r="E487" s="157" t="s">
        <v>157</v>
      </c>
      <c r="F487" s="83">
        <v>1379</v>
      </c>
      <c r="G487" s="83"/>
      <c r="H487" s="83"/>
      <c r="I487" s="83"/>
      <c r="J487" s="83"/>
      <c r="K487" s="83"/>
      <c r="L487" s="83"/>
      <c r="M487" s="83">
        <v>1430</v>
      </c>
      <c r="N487" s="110">
        <f>M487-F487</f>
        <v>51</v>
      </c>
      <c r="O487" s="110" t="s">
        <v>100</v>
      </c>
      <c r="P487" s="83"/>
      <c r="Q487" s="83">
        <v>1430</v>
      </c>
      <c r="R487" s="83"/>
      <c r="S487" s="83">
        <v>1429</v>
      </c>
      <c r="T487" s="110">
        <f>S487-Q487</f>
        <v>-1</v>
      </c>
      <c r="U487" s="59">
        <f t="shared" si="829"/>
        <v>3</v>
      </c>
      <c r="V487" s="83"/>
      <c r="W487" s="83">
        <v>1426</v>
      </c>
      <c r="X487" s="110">
        <f>W487-M487</f>
        <v>-4</v>
      </c>
      <c r="Y487" s="110"/>
      <c r="Z487" s="110"/>
      <c r="AA487" s="110"/>
      <c r="AB487" s="83"/>
      <c r="AC487" s="106"/>
      <c r="AD487" s="106"/>
      <c r="AE487" s="100">
        <f t="shared" si="848"/>
        <v>3.698332124728064E-2</v>
      </c>
      <c r="AF487" s="90"/>
      <c r="AG487" s="109">
        <f t="shared" si="849"/>
        <v>0</v>
      </c>
      <c r="AH487" s="100">
        <f t="shared" si="850"/>
        <v>3.6258158085569252E-2</v>
      </c>
      <c r="AI487" s="100">
        <f t="shared" si="851"/>
        <v>3.4082668600435101E-2</v>
      </c>
    </row>
    <row r="488" spans="1:35" s="86" customFormat="1" ht="18.75" customHeight="1" x14ac:dyDescent="0.3">
      <c r="A488" s="106"/>
      <c r="B488" s="106" t="s">
        <v>52</v>
      </c>
      <c r="C488" s="118">
        <v>47913</v>
      </c>
      <c r="D488" s="311"/>
      <c r="E488" s="157" t="s">
        <v>202</v>
      </c>
      <c r="F488" s="83">
        <v>1320</v>
      </c>
      <c r="G488" s="83"/>
      <c r="H488" s="83"/>
      <c r="I488" s="83"/>
      <c r="J488" s="83"/>
      <c r="K488" s="83"/>
      <c r="L488" s="83"/>
      <c r="M488" s="83">
        <f>990+365</f>
        <v>1355</v>
      </c>
      <c r="N488" s="110">
        <f>M488-F488</f>
        <v>35</v>
      </c>
      <c r="O488" s="110" t="s">
        <v>100</v>
      </c>
      <c r="P488" s="83"/>
      <c r="Q488" s="83">
        <f>990+365</f>
        <v>1355</v>
      </c>
      <c r="R488" s="83"/>
      <c r="S488" s="83">
        <v>1354</v>
      </c>
      <c r="T488" s="110">
        <f>S488-Q488</f>
        <v>-1</v>
      </c>
      <c r="U488" s="59">
        <f t="shared" si="829"/>
        <v>4</v>
      </c>
      <c r="V488" s="83"/>
      <c r="W488" s="83">
        <v>1350</v>
      </c>
      <c r="X488" s="110">
        <f>W488-M488</f>
        <v>-5</v>
      </c>
      <c r="Y488" s="110"/>
      <c r="Z488" s="110"/>
      <c r="AA488" s="110"/>
      <c r="AB488" s="83"/>
      <c r="AC488" s="106"/>
      <c r="AD488" s="106"/>
      <c r="AE488" s="100">
        <f t="shared" ref="AE488:AE489" si="852">N488/F488</f>
        <v>2.6515151515151516E-2</v>
      </c>
      <c r="AF488" s="90"/>
      <c r="AG488" s="109">
        <f t="shared" ref="AG488:AG489" si="853">IF(N488&lt;0,N488,0)</f>
        <v>0</v>
      </c>
      <c r="AH488" s="100">
        <f t="shared" ref="AH488:AH489" si="854">(S488-F488)/F488</f>
        <v>2.5757575757575757E-2</v>
      </c>
      <c r="AI488" s="100">
        <f t="shared" ref="AI488:AI489" si="855">(W488-F488)/F488</f>
        <v>2.2727272727272728E-2</v>
      </c>
    </row>
    <row r="489" spans="1:35" s="86" customFormat="1" ht="18.75" customHeight="1" x14ac:dyDescent="0.3">
      <c r="A489" s="106"/>
      <c r="B489" s="106" t="s">
        <v>52</v>
      </c>
      <c r="C489" s="118">
        <v>47913</v>
      </c>
      <c r="D489" s="311"/>
      <c r="E489" s="157" t="s">
        <v>171</v>
      </c>
      <c r="F489" s="83">
        <v>1164</v>
      </c>
      <c r="G489" s="83"/>
      <c r="H489" s="83"/>
      <c r="I489" s="83"/>
      <c r="J489" s="83"/>
      <c r="K489" s="83"/>
      <c r="L489" s="83"/>
      <c r="M489" s="83">
        <f>756+443</f>
        <v>1199</v>
      </c>
      <c r="N489" s="110">
        <f>M489-F489</f>
        <v>35</v>
      </c>
      <c r="O489" s="110" t="s">
        <v>100</v>
      </c>
      <c r="P489" s="83"/>
      <c r="Q489" s="83">
        <f>756+443</f>
        <v>1199</v>
      </c>
      <c r="R489" s="83"/>
      <c r="S489" s="83">
        <v>1199</v>
      </c>
      <c r="T489" s="110">
        <f>S489-Q489</f>
        <v>0</v>
      </c>
      <c r="U489" s="59">
        <f t="shared" si="829"/>
        <v>4</v>
      </c>
      <c r="V489" s="83"/>
      <c r="W489" s="83">
        <v>1195</v>
      </c>
      <c r="X489" s="110">
        <f>W489-M489</f>
        <v>-4</v>
      </c>
      <c r="Y489" s="110"/>
      <c r="Z489" s="110"/>
      <c r="AA489" s="110"/>
      <c r="AB489" s="83"/>
      <c r="AC489" s="106"/>
      <c r="AD489" s="106"/>
      <c r="AE489" s="100">
        <f t="shared" si="852"/>
        <v>3.006872852233677E-2</v>
      </c>
      <c r="AF489" s="90"/>
      <c r="AG489" s="109">
        <f t="shared" si="853"/>
        <v>0</v>
      </c>
      <c r="AH489" s="100">
        <f t="shared" si="854"/>
        <v>3.006872852233677E-2</v>
      </c>
      <c r="AI489" s="100">
        <f t="shared" si="855"/>
        <v>2.6632302405498281E-2</v>
      </c>
    </row>
    <row r="490" spans="1:35" s="82" customFormat="1" ht="16.5" customHeight="1" x14ac:dyDescent="0.3">
      <c r="A490" s="90" t="s">
        <v>46</v>
      </c>
      <c r="B490" s="90" t="s">
        <v>52</v>
      </c>
      <c r="C490" s="137"/>
      <c r="D490" s="90"/>
      <c r="E490" s="80"/>
      <c r="F490" s="81">
        <f>SUM(F487:F489)</f>
        <v>3863</v>
      </c>
      <c r="G490" s="81"/>
      <c r="H490" s="81" t="s">
        <v>50</v>
      </c>
      <c r="I490" s="81"/>
      <c r="J490" s="81" t="s">
        <v>60</v>
      </c>
      <c r="K490" s="85" t="s">
        <v>226</v>
      </c>
      <c r="L490" s="81">
        <f>SUM(L487:L489)</f>
        <v>0</v>
      </c>
      <c r="M490" s="81">
        <f>SUM(M487:M489)</f>
        <v>3984</v>
      </c>
      <c r="N490" s="81">
        <f>SUM(N487:N489)</f>
        <v>121</v>
      </c>
      <c r="O490" s="81" t="s">
        <v>467</v>
      </c>
      <c r="P490" s="81">
        <f>SUM(P487:P489)</f>
        <v>0</v>
      </c>
      <c r="Q490" s="81">
        <f>SUM(Q487:Q489)</f>
        <v>3984</v>
      </c>
      <c r="R490" s="81">
        <f>SUM(R487:R489)</f>
        <v>0</v>
      </c>
      <c r="S490" s="81">
        <f>SUM(S487:S489)</f>
        <v>3982</v>
      </c>
      <c r="T490" s="81">
        <f>SUM(T487:T489)</f>
        <v>-2</v>
      </c>
      <c r="U490" s="59">
        <f t="shared" si="829"/>
        <v>11</v>
      </c>
      <c r="V490" s="81">
        <f>SUM(V487:V489)</f>
        <v>0</v>
      </c>
      <c r="W490" s="81">
        <f>SUM(W487:W489)</f>
        <v>3971</v>
      </c>
      <c r="X490" s="81">
        <f>SUM(X487:X489)</f>
        <v>-13</v>
      </c>
      <c r="Y490" s="81" t="s">
        <v>47</v>
      </c>
      <c r="Z490" s="110" t="s">
        <v>45</v>
      </c>
      <c r="AA490" s="110"/>
      <c r="AB490" s="84"/>
      <c r="AC490" s="136"/>
      <c r="AD490" s="136"/>
      <c r="AE490" s="100">
        <f t="shared" si="848"/>
        <v>3.132280610924152E-2</v>
      </c>
      <c r="AF490" s="90"/>
      <c r="AG490" s="109">
        <f t="shared" si="849"/>
        <v>0</v>
      </c>
      <c r="AH490" s="100">
        <f t="shared" si="850"/>
        <v>3.0805073776857365E-2</v>
      </c>
      <c r="AI490" s="100">
        <f t="shared" si="851"/>
        <v>2.79575459487445E-2</v>
      </c>
    </row>
    <row r="491" spans="1:35" s="86" customFormat="1" ht="18.75" customHeight="1" x14ac:dyDescent="0.3">
      <c r="A491" s="106"/>
      <c r="B491" s="106" t="s">
        <v>52</v>
      </c>
      <c r="C491" s="118" t="s">
        <v>386</v>
      </c>
      <c r="D491" s="310">
        <v>13246492</v>
      </c>
      <c r="E491" s="157" t="s">
        <v>387</v>
      </c>
      <c r="F491" s="83">
        <v>1385</v>
      </c>
      <c r="G491" s="83"/>
      <c r="H491" s="83"/>
      <c r="I491" s="83"/>
      <c r="J491" s="83"/>
      <c r="K491" s="83"/>
      <c r="L491" s="83"/>
      <c r="M491" s="83">
        <f>1296+124</f>
        <v>1420</v>
      </c>
      <c r="N491" s="110">
        <f>M491-F491</f>
        <v>35</v>
      </c>
      <c r="O491" s="110" t="s">
        <v>100</v>
      </c>
      <c r="P491" s="83"/>
      <c r="Q491" s="83">
        <v>1420</v>
      </c>
      <c r="R491" s="83"/>
      <c r="S491" s="83">
        <v>1420</v>
      </c>
      <c r="T491" s="110">
        <f>S491-Q491</f>
        <v>0</v>
      </c>
      <c r="U491" s="59">
        <f t="shared" si="829"/>
        <v>5</v>
      </c>
      <c r="V491" s="83"/>
      <c r="W491" s="83">
        <v>1415</v>
      </c>
      <c r="X491" s="110">
        <f>W491-M491</f>
        <v>-5</v>
      </c>
      <c r="Y491" s="110"/>
      <c r="Z491" s="110"/>
      <c r="AA491" s="110"/>
      <c r="AB491" s="83"/>
      <c r="AC491" s="106"/>
      <c r="AD491" s="106"/>
      <c r="AE491" s="100">
        <f t="shared" si="848"/>
        <v>2.5270758122743681E-2</v>
      </c>
      <c r="AF491" s="90"/>
      <c r="AG491" s="109">
        <f t="shared" si="849"/>
        <v>0</v>
      </c>
      <c r="AH491" s="100">
        <f t="shared" si="850"/>
        <v>2.5270758122743681E-2</v>
      </c>
      <c r="AI491" s="100">
        <f t="shared" si="851"/>
        <v>2.1660649819494584E-2</v>
      </c>
    </row>
    <row r="492" spans="1:35" s="86" customFormat="1" ht="18.75" customHeight="1" x14ac:dyDescent="0.3">
      <c r="A492" s="106"/>
      <c r="B492" s="106" t="s">
        <v>52</v>
      </c>
      <c r="C492" s="118" t="s">
        <v>386</v>
      </c>
      <c r="D492" s="311"/>
      <c r="E492" s="157" t="s">
        <v>388</v>
      </c>
      <c r="F492" s="83">
        <v>1520</v>
      </c>
      <c r="G492" s="83"/>
      <c r="H492" s="83"/>
      <c r="I492" s="83"/>
      <c r="J492" s="83"/>
      <c r="K492" s="83"/>
      <c r="L492" s="83"/>
      <c r="M492" s="83">
        <f>1371+200</f>
        <v>1571</v>
      </c>
      <c r="N492" s="110">
        <f>M492-F492</f>
        <v>51</v>
      </c>
      <c r="O492" s="110" t="s">
        <v>100</v>
      </c>
      <c r="P492" s="83"/>
      <c r="Q492" s="83">
        <v>1571</v>
      </c>
      <c r="R492" s="83"/>
      <c r="S492" s="83">
        <v>1566</v>
      </c>
      <c r="T492" s="110">
        <f>S492-Q492</f>
        <v>-5</v>
      </c>
      <c r="U492" s="59">
        <f t="shared" si="829"/>
        <v>0</v>
      </c>
      <c r="V492" s="83"/>
      <c r="W492" s="83">
        <f>1566</f>
        <v>1566</v>
      </c>
      <c r="X492" s="110">
        <f>W492-M492</f>
        <v>-5</v>
      </c>
      <c r="Y492" s="110"/>
      <c r="Z492" s="110"/>
      <c r="AA492" s="110"/>
      <c r="AB492" s="83"/>
      <c r="AC492" s="106"/>
      <c r="AD492" s="106"/>
      <c r="AE492" s="100">
        <f t="shared" ref="AE492" si="856">N492/F492</f>
        <v>3.3552631578947369E-2</v>
      </c>
      <c r="AF492" s="90"/>
      <c r="AG492" s="109">
        <f t="shared" ref="AG492" si="857">IF(N492&lt;0,N492,0)</f>
        <v>0</v>
      </c>
      <c r="AH492" s="100">
        <f t="shared" ref="AH492" si="858">(S492-F492)/F492</f>
        <v>3.0263157894736843E-2</v>
      </c>
      <c r="AI492" s="100">
        <f t="shared" ref="AI492" si="859">(W492-F492)/F492</f>
        <v>3.0263157894736843E-2</v>
      </c>
    </row>
    <row r="493" spans="1:35" s="86" customFormat="1" ht="18.75" customHeight="1" x14ac:dyDescent="0.3">
      <c r="A493" s="106"/>
      <c r="B493" s="106" t="s">
        <v>52</v>
      </c>
      <c r="C493" s="118" t="s">
        <v>386</v>
      </c>
      <c r="D493" s="311"/>
      <c r="E493" s="157" t="s">
        <v>389</v>
      </c>
      <c r="F493" s="83">
        <v>5529</v>
      </c>
      <c r="G493" s="83"/>
      <c r="H493" s="83"/>
      <c r="I493" s="83"/>
      <c r="J493" s="83"/>
      <c r="K493" s="83"/>
      <c r="L493" s="83"/>
      <c r="M493" s="83">
        <f>5634</f>
        <v>5634</v>
      </c>
      <c r="N493" s="110">
        <f>M493-F493</f>
        <v>105</v>
      </c>
      <c r="O493" s="110" t="s">
        <v>100</v>
      </c>
      <c r="P493" s="83"/>
      <c r="Q493" s="83">
        <f>2483+1863+1288</f>
        <v>5634</v>
      </c>
      <c r="R493" s="83"/>
      <c r="S493" s="83">
        <v>5625</v>
      </c>
      <c r="T493" s="110">
        <f>S493-Q493</f>
        <v>-9</v>
      </c>
      <c r="U493" s="59">
        <f t="shared" si="829"/>
        <v>6</v>
      </c>
      <c r="V493" s="83"/>
      <c r="W493" s="83">
        <v>5619</v>
      </c>
      <c r="X493" s="110">
        <f>W493-M493</f>
        <v>-15</v>
      </c>
      <c r="Y493" s="110"/>
      <c r="Z493" s="110"/>
      <c r="AA493" s="110"/>
      <c r="AB493" s="83"/>
      <c r="AC493" s="106"/>
      <c r="AD493" s="106"/>
      <c r="AE493" s="100">
        <f t="shared" si="848"/>
        <v>1.8990775908844276E-2</v>
      </c>
      <c r="AF493" s="90"/>
      <c r="AG493" s="109">
        <f t="shared" si="849"/>
        <v>0</v>
      </c>
      <c r="AH493" s="100">
        <f t="shared" si="850"/>
        <v>1.7362995116657624E-2</v>
      </c>
      <c r="AI493" s="100">
        <f t="shared" si="851"/>
        <v>1.6277807921866522E-2</v>
      </c>
    </row>
    <row r="494" spans="1:35" s="82" customFormat="1" ht="16.5" customHeight="1" x14ac:dyDescent="0.3">
      <c r="A494" s="90" t="s">
        <v>46</v>
      </c>
      <c r="B494" s="90" t="s">
        <v>52</v>
      </c>
      <c r="C494" s="137"/>
      <c r="D494" s="90"/>
      <c r="E494" s="80"/>
      <c r="F494" s="81">
        <f>SUM(F491:F493)</f>
        <v>8434</v>
      </c>
      <c r="G494" s="81"/>
      <c r="H494" s="81" t="s">
        <v>50</v>
      </c>
      <c r="I494" s="81"/>
      <c r="J494" s="81" t="s">
        <v>60</v>
      </c>
      <c r="K494" s="85" t="s">
        <v>290</v>
      </c>
      <c r="L494" s="81">
        <f>SUM(L491:L493)</f>
        <v>0</v>
      </c>
      <c r="M494" s="81">
        <f>SUM(M491:M493)</f>
        <v>8625</v>
      </c>
      <c r="N494" s="81">
        <f>SUM(N491:N493)</f>
        <v>191</v>
      </c>
      <c r="O494" s="81" t="s">
        <v>501</v>
      </c>
      <c r="P494" s="81">
        <f>SUM(P491:P493)</f>
        <v>0</v>
      </c>
      <c r="Q494" s="81">
        <f>SUM(Q491:Q493)</f>
        <v>8625</v>
      </c>
      <c r="R494" s="81">
        <f>SUM(R491:R493)</f>
        <v>0</v>
      </c>
      <c r="S494" s="81">
        <f>SUM(S491:S493)</f>
        <v>8611</v>
      </c>
      <c r="T494" s="81">
        <f>SUM(T491:T493)</f>
        <v>-14</v>
      </c>
      <c r="U494" s="59">
        <f t="shared" si="829"/>
        <v>11</v>
      </c>
      <c r="V494" s="81">
        <f>SUM(V491:V493)</f>
        <v>0</v>
      </c>
      <c r="W494" s="81">
        <f>SUM(W491:W493)</f>
        <v>8600</v>
      </c>
      <c r="X494" s="81">
        <f>SUM(X491:X493)</f>
        <v>-25</v>
      </c>
      <c r="Y494" s="81" t="s">
        <v>47</v>
      </c>
      <c r="Z494" s="110" t="s">
        <v>45</v>
      </c>
      <c r="AA494" s="110"/>
      <c r="AB494" s="84"/>
      <c r="AC494" s="136"/>
      <c r="AD494" s="136"/>
      <c r="AE494" s="100">
        <f t="shared" si="848"/>
        <v>2.2646431112165046E-2</v>
      </c>
      <c r="AF494" s="90"/>
      <c r="AG494" s="109">
        <f t="shared" si="849"/>
        <v>0</v>
      </c>
      <c r="AH494" s="100">
        <f t="shared" si="850"/>
        <v>2.0986483281953995E-2</v>
      </c>
      <c r="AI494" s="100">
        <f t="shared" si="851"/>
        <v>1.9682238558216741E-2</v>
      </c>
    </row>
    <row r="495" spans="1:35" s="86" customFormat="1" ht="18.75" customHeight="1" x14ac:dyDescent="0.3">
      <c r="A495" s="106"/>
      <c r="B495" s="106" t="s">
        <v>52</v>
      </c>
      <c r="C495" s="118" t="s">
        <v>735</v>
      </c>
      <c r="D495" s="310">
        <v>13246492</v>
      </c>
      <c r="E495" s="157" t="s">
        <v>123</v>
      </c>
      <c r="F495" s="83">
        <v>1040</v>
      </c>
      <c r="G495" s="83"/>
      <c r="H495" s="83"/>
      <c r="I495" s="83"/>
      <c r="J495" s="83"/>
      <c r="K495" s="83"/>
      <c r="L495" s="83"/>
      <c r="M495" s="83"/>
      <c r="N495" s="110">
        <f>M495-F495</f>
        <v>-1040</v>
      </c>
      <c r="O495" s="110" t="s">
        <v>100</v>
      </c>
      <c r="P495" s="83"/>
      <c r="Q495" s="83"/>
      <c r="R495" s="83"/>
      <c r="S495" s="83"/>
      <c r="T495" s="110">
        <f>S495-Q495</f>
        <v>0</v>
      </c>
      <c r="U495" s="59">
        <f t="shared" ref="U495:U497" si="860">IF(Q495&gt;0,S495-W495,M495-W495)</f>
        <v>0</v>
      </c>
      <c r="V495" s="83"/>
      <c r="W495" s="83"/>
      <c r="X495" s="110">
        <f>W495-M495</f>
        <v>0</v>
      </c>
      <c r="Y495" s="110"/>
      <c r="Z495" s="110"/>
      <c r="AA495" s="110"/>
      <c r="AB495" s="83"/>
      <c r="AC495" s="106"/>
      <c r="AD495" s="106"/>
      <c r="AE495" s="100">
        <f t="shared" si="848"/>
        <v>-1</v>
      </c>
      <c r="AF495" s="90"/>
      <c r="AG495" s="109">
        <f t="shared" si="849"/>
        <v>-1040</v>
      </c>
      <c r="AH495" s="100">
        <f t="shared" si="850"/>
        <v>-1</v>
      </c>
      <c r="AI495" s="100">
        <f t="shared" si="851"/>
        <v>-1</v>
      </c>
    </row>
    <row r="496" spans="1:35" s="86" customFormat="1" ht="18.75" customHeight="1" x14ac:dyDescent="0.3">
      <c r="A496" s="106"/>
      <c r="B496" s="106" t="s">
        <v>52</v>
      </c>
      <c r="C496" s="118" t="s">
        <v>735</v>
      </c>
      <c r="D496" s="311"/>
      <c r="E496" s="157" t="s">
        <v>736</v>
      </c>
      <c r="F496" s="83">
        <v>1040</v>
      </c>
      <c r="G496" s="83"/>
      <c r="H496" s="83"/>
      <c r="I496" s="83"/>
      <c r="J496" s="83"/>
      <c r="K496" s="83"/>
      <c r="L496" s="83"/>
      <c r="M496" s="83"/>
      <c r="N496" s="110">
        <f>M496-F496</f>
        <v>-1040</v>
      </c>
      <c r="O496" s="110" t="s">
        <v>100</v>
      </c>
      <c r="P496" s="83"/>
      <c r="Q496" s="83"/>
      <c r="R496" s="83"/>
      <c r="S496" s="83"/>
      <c r="T496" s="110">
        <f>S496-Q496</f>
        <v>0</v>
      </c>
      <c r="U496" s="59">
        <f t="shared" si="860"/>
        <v>0</v>
      </c>
      <c r="V496" s="83"/>
      <c r="W496" s="83"/>
      <c r="X496" s="110">
        <f>W496-M496</f>
        <v>0</v>
      </c>
      <c r="Y496" s="110"/>
      <c r="Z496" s="110"/>
      <c r="AA496" s="110"/>
      <c r="AB496" s="83"/>
      <c r="AC496" s="106"/>
      <c r="AD496" s="106"/>
      <c r="AE496" s="100">
        <f t="shared" si="848"/>
        <v>-1</v>
      </c>
      <c r="AF496" s="90"/>
      <c r="AG496" s="109">
        <f t="shared" si="849"/>
        <v>-1040</v>
      </c>
      <c r="AH496" s="100">
        <f t="shared" si="850"/>
        <v>-1</v>
      </c>
      <c r="AI496" s="100">
        <f t="shared" si="851"/>
        <v>-1</v>
      </c>
    </row>
    <row r="497" spans="1:35" s="82" customFormat="1" ht="16.5" customHeight="1" x14ac:dyDescent="0.3">
      <c r="A497" s="90" t="s">
        <v>46</v>
      </c>
      <c r="B497" s="90" t="s">
        <v>52</v>
      </c>
      <c r="C497" s="137"/>
      <c r="D497" s="90"/>
      <c r="E497" s="80"/>
      <c r="F497" s="81">
        <f>SUM(F495:F496)</f>
        <v>2080</v>
      </c>
      <c r="G497" s="81"/>
      <c r="H497" s="81" t="s">
        <v>50</v>
      </c>
      <c r="I497" s="81"/>
      <c r="J497" s="81"/>
      <c r="K497" s="85" t="s">
        <v>377</v>
      </c>
      <c r="L497" s="81">
        <f>SUM(L495:L496)</f>
        <v>0</v>
      </c>
      <c r="M497" s="81">
        <f>SUM(M495:M496)</f>
        <v>0</v>
      </c>
      <c r="N497" s="81">
        <f>SUM(N495:N496)</f>
        <v>-2080</v>
      </c>
      <c r="O497" s="81"/>
      <c r="P497" s="81">
        <f>SUM(P495:P496)</f>
        <v>0</v>
      </c>
      <c r="Q497" s="81">
        <f>SUM(Q495:Q496)</f>
        <v>0</v>
      </c>
      <c r="R497" s="81">
        <f>SUM(R495:R496)</f>
        <v>0</v>
      </c>
      <c r="S497" s="81">
        <f>SUM(S495:S496)</f>
        <v>0</v>
      </c>
      <c r="T497" s="81">
        <f>SUM(T495:T496)</f>
        <v>0</v>
      </c>
      <c r="U497" s="59">
        <f t="shared" si="860"/>
        <v>0</v>
      </c>
      <c r="V497" s="81">
        <f>SUM(V495:V496)</f>
        <v>0</v>
      </c>
      <c r="W497" s="81">
        <f>SUM(W495:W496)</f>
        <v>0</v>
      </c>
      <c r="X497" s="81">
        <f>SUM(X495:X496)</f>
        <v>0</v>
      </c>
      <c r="Y497" s="81" t="s">
        <v>47</v>
      </c>
      <c r="Z497" s="110" t="s">
        <v>45</v>
      </c>
      <c r="AA497" s="110"/>
      <c r="AB497" s="84"/>
      <c r="AC497" s="136"/>
      <c r="AD497" s="136"/>
      <c r="AE497" s="100">
        <f t="shared" si="848"/>
        <v>-1</v>
      </c>
      <c r="AF497" s="90"/>
      <c r="AG497" s="109">
        <f t="shared" si="849"/>
        <v>-2080</v>
      </c>
      <c r="AH497" s="100">
        <f t="shared" si="850"/>
        <v>-1</v>
      </c>
      <c r="AI497" s="100">
        <f t="shared" si="851"/>
        <v>-1</v>
      </c>
    </row>
    <row r="498" spans="1:35" s="86" customFormat="1" ht="18.75" customHeight="1" x14ac:dyDescent="0.3">
      <c r="A498" s="106"/>
      <c r="B498" s="106" t="s">
        <v>52</v>
      </c>
      <c r="C498" s="118">
        <v>47948</v>
      </c>
      <c r="D498" s="310">
        <v>13252737</v>
      </c>
      <c r="E498" s="157" t="s">
        <v>488</v>
      </c>
      <c r="F498" s="83">
        <v>1325</v>
      </c>
      <c r="G498" s="83"/>
      <c r="H498" s="83"/>
      <c r="I498" s="83"/>
      <c r="J498" s="83"/>
      <c r="K498" s="83"/>
      <c r="L498" s="83"/>
      <c r="M498" s="83">
        <f>1220+142</f>
        <v>1362</v>
      </c>
      <c r="N498" s="110">
        <f>M498-F498</f>
        <v>37</v>
      </c>
      <c r="O498" s="110" t="s">
        <v>100</v>
      </c>
      <c r="P498" s="83"/>
      <c r="Q498" s="83">
        <f>142+1220</f>
        <v>1362</v>
      </c>
      <c r="R498" s="83"/>
      <c r="S498" s="83">
        <v>1354</v>
      </c>
      <c r="T498" s="110">
        <f>S498-Q498</f>
        <v>-8</v>
      </c>
      <c r="U498" s="59">
        <f t="shared" si="829"/>
        <v>0</v>
      </c>
      <c r="V498" s="83">
        <v>1354</v>
      </c>
      <c r="W498" s="83">
        <v>1354</v>
      </c>
      <c r="X498" s="110">
        <f>W498-M498</f>
        <v>-8</v>
      </c>
      <c r="Y498" s="110"/>
      <c r="Z498" s="110"/>
      <c r="AA498" s="110"/>
      <c r="AB498" s="83"/>
      <c r="AC498" s="106"/>
      <c r="AD498" s="106"/>
      <c r="AE498" s="100">
        <f t="shared" ref="AE498:AE503" si="861">N498/F498</f>
        <v>2.7924528301886794E-2</v>
      </c>
      <c r="AF498" s="90"/>
      <c r="AG498" s="109">
        <f t="shared" ref="AG498:AG503" si="862">IF(N498&lt;0,N498,0)</f>
        <v>0</v>
      </c>
      <c r="AH498" s="100">
        <f t="shared" ref="AH498:AH503" si="863">(S498-F498)/F498</f>
        <v>2.1886792452830189E-2</v>
      </c>
      <c r="AI498" s="100">
        <f t="shared" ref="AI498:AI503" si="864">(W498-F498)/F498</f>
        <v>2.1886792452830189E-2</v>
      </c>
    </row>
    <row r="499" spans="1:35" s="86" customFormat="1" ht="18.75" customHeight="1" x14ac:dyDescent="0.3">
      <c r="A499" s="106"/>
      <c r="B499" s="106" t="s">
        <v>52</v>
      </c>
      <c r="C499" s="118">
        <v>47948</v>
      </c>
      <c r="D499" s="311"/>
      <c r="E499" s="157" t="s">
        <v>408</v>
      </c>
      <c r="F499" s="83">
        <v>905</v>
      </c>
      <c r="G499" s="83"/>
      <c r="H499" s="83"/>
      <c r="I499" s="83"/>
      <c r="J499" s="83"/>
      <c r="K499" s="83"/>
      <c r="L499" s="83"/>
      <c r="M499" s="83">
        <f>400+519</f>
        <v>919</v>
      </c>
      <c r="N499" s="110">
        <f>M499-F499</f>
        <v>14</v>
      </c>
      <c r="O499" s="110" t="s">
        <v>100</v>
      </c>
      <c r="P499" s="83"/>
      <c r="Q499" s="83">
        <v>919</v>
      </c>
      <c r="R499" s="83"/>
      <c r="S499" s="83">
        <v>918</v>
      </c>
      <c r="T499" s="110">
        <f>S499-Q499</f>
        <v>-1</v>
      </c>
      <c r="U499" s="59">
        <f t="shared" si="829"/>
        <v>918</v>
      </c>
      <c r="V499" s="83"/>
      <c r="W499" s="83"/>
      <c r="X499" s="110">
        <f>W499-M499</f>
        <v>-919</v>
      </c>
      <c r="Y499" s="110"/>
      <c r="Z499" s="110"/>
      <c r="AA499" s="110"/>
      <c r="AB499" s="83"/>
      <c r="AC499" s="106"/>
      <c r="AD499" s="106"/>
      <c r="AE499" s="100">
        <f t="shared" si="861"/>
        <v>1.5469613259668509E-2</v>
      </c>
      <c r="AF499" s="90"/>
      <c r="AG499" s="109">
        <f t="shared" si="862"/>
        <v>0</v>
      </c>
      <c r="AH499" s="100">
        <f t="shared" si="863"/>
        <v>1.4364640883977901E-2</v>
      </c>
      <c r="AI499" s="100">
        <f t="shared" si="864"/>
        <v>-1</v>
      </c>
    </row>
    <row r="500" spans="1:35" s="82" customFormat="1" ht="16.5" customHeight="1" x14ac:dyDescent="0.3">
      <c r="A500" s="90" t="s">
        <v>46</v>
      </c>
      <c r="B500" s="90" t="s">
        <v>52</v>
      </c>
      <c r="C500" s="137"/>
      <c r="D500" s="90"/>
      <c r="E500" s="80"/>
      <c r="F500" s="81">
        <f>SUM(F498:F499)</f>
        <v>2230</v>
      </c>
      <c r="G500" s="81"/>
      <c r="H500" s="81" t="s">
        <v>50</v>
      </c>
      <c r="I500" s="81"/>
      <c r="J500" s="81" t="s">
        <v>60</v>
      </c>
      <c r="K500" s="85" t="s">
        <v>226</v>
      </c>
      <c r="L500" s="81">
        <f>SUM(L498:L499)</f>
        <v>0</v>
      </c>
      <c r="M500" s="81">
        <f>SUM(M498:M499)</f>
        <v>2281</v>
      </c>
      <c r="N500" s="81">
        <f>SUM(N498:N499)</f>
        <v>51</v>
      </c>
      <c r="O500" s="81" t="s">
        <v>821</v>
      </c>
      <c r="P500" s="81">
        <f>SUM(P498:P499)</f>
        <v>0</v>
      </c>
      <c r="Q500" s="81">
        <f>SUM(Q498:Q499)</f>
        <v>2281</v>
      </c>
      <c r="R500" s="81">
        <f>SUM(R498:R499)</f>
        <v>0</v>
      </c>
      <c r="S500" s="81">
        <f>SUM(S498:S499)</f>
        <v>2272</v>
      </c>
      <c r="T500" s="81">
        <f>SUM(T498:T499)</f>
        <v>-9</v>
      </c>
      <c r="U500" s="59">
        <f t="shared" si="829"/>
        <v>918</v>
      </c>
      <c r="V500" s="81">
        <f>SUM(V498:V499)</f>
        <v>1354</v>
      </c>
      <c r="W500" s="81">
        <f>SUM(W498:W499)</f>
        <v>1354</v>
      </c>
      <c r="X500" s="81">
        <f>SUM(X498:X499)</f>
        <v>-927</v>
      </c>
      <c r="Y500" s="81" t="s">
        <v>47</v>
      </c>
      <c r="Z500" s="110" t="s">
        <v>45</v>
      </c>
      <c r="AA500" s="110"/>
      <c r="AB500" s="84"/>
      <c r="AC500" s="136"/>
      <c r="AD500" s="136"/>
      <c r="AE500" s="100">
        <f t="shared" si="861"/>
        <v>2.2869955156950672E-2</v>
      </c>
      <c r="AF500" s="90"/>
      <c r="AG500" s="109">
        <f t="shared" si="862"/>
        <v>0</v>
      </c>
      <c r="AH500" s="100">
        <f t="shared" si="863"/>
        <v>1.883408071748879E-2</v>
      </c>
      <c r="AI500" s="100">
        <f t="shared" si="864"/>
        <v>-0.39282511210762333</v>
      </c>
    </row>
    <row r="501" spans="1:35" s="86" customFormat="1" ht="18.75" customHeight="1" x14ac:dyDescent="0.3">
      <c r="A501" s="106"/>
      <c r="B501" s="106" t="s">
        <v>52</v>
      </c>
      <c r="C501" s="118">
        <v>47917</v>
      </c>
      <c r="D501" s="310">
        <v>13264518</v>
      </c>
      <c r="E501" s="157" t="s">
        <v>49</v>
      </c>
      <c r="F501" s="83">
        <v>804</v>
      </c>
      <c r="G501" s="83"/>
      <c r="H501" s="83"/>
      <c r="I501" s="83"/>
      <c r="J501" s="83"/>
      <c r="K501" s="83"/>
      <c r="L501" s="83"/>
      <c r="M501" s="83">
        <v>832</v>
      </c>
      <c r="N501" s="110">
        <f>M501-F501</f>
        <v>28</v>
      </c>
      <c r="O501" s="110" t="s">
        <v>100</v>
      </c>
      <c r="P501" s="83"/>
      <c r="Q501" s="83">
        <v>832</v>
      </c>
      <c r="R501" s="83"/>
      <c r="S501" s="83">
        <v>824</v>
      </c>
      <c r="T501" s="110">
        <f>S501-Q501</f>
        <v>-8</v>
      </c>
      <c r="U501" s="59">
        <f t="shared" si="829"/>
        <v>2</v>
      </c>
      <c r="V501" s="83"/>
      <c r="W501" s="83">
        <v>822</v>
      </c>
      <c r="X501" s="110">
        <f>W501-M501</f>
        <v>-10</v>
      </c>
      <c r="Y501" s="110"/>
      <c r="Z501" s="110"/>
      <c r="AA501" s="110"/>
      <c r="AB501" s="83"/>
      <c r="AC501" s="106"/>
      <c r="AD501" s="106"/>
      <c r="AE501" s="100">
        <f t="shared" si="861"/>
        <v>3.482587064676617E-2</v>
      </c>
      <c r="AF501" s="90"/>
      <c r="AG501" s="109">
        <f t="shared" si="862"/>
        <v>0</v>
      </c>
      <c r="AH501" s="100">
        <f t="shared" si="863"/>
        <v>2.4875621890547265E-2</v>
      </c>
      <c r="AI501" s="100">
        <f t="shared" si="864"/>
        <v>2.2388059701492536E-2</v>
      </c>
    </row>
    <row r="502" spans="1:35" s="86" customFormat="1" ht="18.75" customHeight="1" x14ac:dyDescent="0.3">
      <c r="A502" s="106"/>
      <c r="B502" s="106" t="s">
        <v>52</v>
      </c>
      <c r="C502" s="118">
        <v>47917</v>
      </c>
      <c r="D502" s="311"/>
      <c r="E502" s="157" t="s">
        <v>202</v>
      </c>
      <c r="F502" s="83">
        <v>804</v>
      </c>
      <c r="G502" s="83"/>
      <c r="H502" s="83"/>
      <c r="I502" s="83"/>
      <c r="J502" s="83"/>
      <c r="K502" s="83"/>
      <c r="L502" s="83"/>
      <c r="M502" s="83">
        <f>842</f>
        <v>842</v>
      </c>
      <c r="N502" s="110">
        <f>M502-F502</f>
        <v>38</v>
      </c>
      <c r="O502" s="110" t="s">
        <v>100</v>
      </c>
      <c r="P502" s="83"/>
      <c r="Q502" s="83">
        <v>842</v>
      </c>
      <c r="R502" s="83"/>
      <c r="S502" s="83">
        <f>820+15</f>
        <v>835</v>
      </c>
      <c r="T502" s="110">
        <f>S502-Q502</f>
        <v>-7</v>
      </c>
      <c r="U502" s="59">
        <f t="shared" si="829"/>
        <v>0</v>
      </c>
      <c r="V502" s="83"/>
      <c r="W502" s="83">
        <v>835</v>
      </c>
      <c r="X502" s="110">
        <f>W502-M502</f>
        <v>-7</v>
      </c>
      <c r="Y502" s="110"/>
      <c r="Z502" s="110"/>
      <c r="AA502" s="110"/>
      <c r="AB502" s="83"/>
      <c r="AC502" s="106"/>
      <c r="AD502" s="106"/>
      <c r="AE502" s="100">
        <f t="shared" si="861"/>
        <v>4.7263681592039801E-2</v>
      </c>
      <c r="AF502" s="90"/>
      <c r="AG502" s="109">
        <f t="shared" si="862"/>
        <v>0</v>
      </c>
      <c r="AH502" s="100">
        <f t="shared" si="863"/>
        <v>3.8557213930348257E-2</v>
      </c>
      <c r="AI502" s="100">
        <f t="shared" si="864"/>
        <v>3.8557213930348257E-2</v>
      </c>
    </row>
    <row r="503" spans="1:35" s="82" customFormat="1" ht="16.5" customHeight="1" x14ac:dyDescent="0.3">
      <c r="A503" s="90" t="s">
        <v>46</v>
      </c>
      <c r="B503" s="90" t="s">
        <v>52</v>
      </c>
      <c r="C503" s="137"/>
      <c r="D503" s="90"/>
      <c r="E503" s="80"/>
      <c r="F503" s="81">
        <f>SUM(F501:F502)</f>
        <v>1608</v>
      </c>
      <c r="G503" s="81"/>
      <c r="H503" s="81" t="s">
        <v>50</v>
      </c>
      <c r="I503" s="81"/>
      <c r="J503" s="81" t="s">
        <v>60</v>
      </c>
      <c r="K503" s="85" t="s">
        <v>401</v>
      </c>
      <c r="L503" s="81">
        <f>SUM(L501:L502)</f>
        <v>0</v>
      </c>
      <c r="M503" s="81">
        <f>SUM(M501:M502)</f>
        <v>1674</v>
      </c>
      <c r="N503" s="81">
        <f>SUM(N501:N502)</f>
        <v>66</v>
      </c>
      <c r="O503" s="81" t="s">
        <v>243</v>
      </c>
      <c r="P503" s="81">
        <f>SUM(P501:P502)</f>
        <v>0</v>
      </c>
      <c r="Q503" s="81">
        <f>SUM(Q501:Q502)</f>
        <v>1674</v>
      </c>
      <c r="R503" s="81">
        <f>SUM(R501:R502)</f>
        <v>0</v>
      </c>
      <c r="S503" s="81">
        <f>SUM(S501:S502)</f>
        <v>1659</v>
      </c>
      <c r="T503" s="81">
        <f>SUM(T501:T502)</f>
        <v>-15</v>
      </c>
      <c r="U503" s="59">
        <f t="shared" si="829"/>
        <v>2</v>
      </c>
      <c r="V503" s="81">
        <f>SUM(V501:V502)</f>
        <v>0</v>
      </c>
      <c r="W503" s="81">
        <f>SUM(W501:W502)</f>
        <v>1657</v>
      </c>
      <c r="X503" s="81">
        <f>SUM(X501:X502)</f>
        <v>-17</v>
      </c>
      <c r="Y503" s="81" t="s">
        <v>47</v>
      </c>
      <c r="Z503" s="110" t="s">
        <v>45</v>
      </c>
      <c r="AA503" s="110"/>
      <c r="AB503" s="84"/>
      <c r="AC503" s="136"/>
      <c r="AD503" s="136"/>
      <c r="AE503" s="100">
        <f t="shared" si="861"/>
        <v>4.1044776119402986E-2</v>
      </c>
      <c r="AF503" s="90"/>
      <c r="AG503" s="109">
        <f t="shared" si="862"/>
        <v>0</v>
      </c>
      <c r="AH503" s="100">
        <f t="shared" si="863"/>
        <v>3.1716417910447763E-2</v>
      </c>
      <c r="AI503" s="100">
        <f t="shared" si="864"/>
        <v>3.0472636815920398E-2</v>
      </c>
    </row>
    <row r="504" spans="1:35" s="86" customFormat="1" ht="18.75" customHeight="1" x14ac:dyDescent="0.3">
      <c r="A504" s="106"/>
      <c r="B504" s="106" t="s">
        <v>52</v>
      </c>
      <c r="C504" s="118">
        <v>47619</v>
      </c>
      <c r="D504" s="310">
        <v>13262679</v>
      </c>
      <c r="E504" s="157" t="s">
        <v>188</v>
      </c>
      <c r="F504" s="83">
        <v>1308</v>
      </c>
      <c r="G504" s="83"/>
      <c r="H504" s="83"/>
      <c r="I504" s="83"/>
      <c r="J504" s="83"/>
      <c r="K504" s="83"/>
      <c r="L504" s="83"/>
      <c r="M504" s="83">
        <f>1080+261</f>
        <v>1341</v>
      </c>
      <c r="N504" s="110">
        <f>M504-F504</f>
        <v>33</v>
      </c>
      <c r="O504" s="110" t="s">
        <v>100</v>
      </c>
      <c r="P504" s="83"/>
      <c r="Q504" s="83">
        <f>1079+261</f>
        <v>1340</v>
      </c>
      <c r="R504" s="83"/>
      <c r="S504" s="83">
        <f>1078+262</f>
        <v>1340</v>
      </c>
      <c r="T504" s="110">
        <f>S504-Q504</f>
        <v>0</v>
      </c>
      <c r="U504" s="59">
        <f t="shared" si="829"/>
        <v>4</v>
      </c>
      <c r="V504" s="83"/>
      <c r="W504" s="83">
        <v>1336</v>
      </c>
      <c r="X504" s="110">
        <f>W504-M504</f>
        <v>-5</v>
      </c>
      <c r="Y504" s="110"/>
      <c r="Z504" s="110"/>
      <c r="AA504" s="110"/>
      <c r="AB504" s="83"/>
      <c r="AC504" s="106"/>
      <c r="AD504" s="106"/>
      <c r="AE504" s="100">
        <f t="shared" si="848"/>
        <v>2.5229357798165139E-2</v>
      </c>
      <c r="AF504" s="90"/>
      <c r="AG504" s="109">
        <f t="shared" si="849"/>
        <v>0</v>
      </c>
      <c r="AH504" s="100">
        <f t="shared" si="850"/>
        <v>2.4464831804281346E-2</v>
      </c>
      <c r="AI504" s="100">
        <f t="shared" si="851"/>
        <v>2.1406727828746176E-2</v>
      </c>
    </row>
    <row r="505" spans="1:35" s="86" customFormat="1" ht="18.75" customHeight="1" x14ac:dyDescent="0.3">
      <c r="A505" s="106"/>
      <c r="B505" s="106" t="s">
        <v>52</v>
      </c>
      <c r="C505" s="118">
        <v>47619</v>
      </c>
      <c r="D505" s="311"/>
      <c r="E505" s="157" t="s">
        <v>123</v>
      </c>
      <c r="F505" s="83">
        <v>1543</v>
      </c>
      <c r="G505" s="83"/>
      <c r="H505" s="83"/>
      <c r="I505" s="83"/>
      <c r="J505" s="83"/>
      <c r="K505" s="83"/>
      <c r="L505" s="83"/>
      <c r="M505" s="83">
        <f>1372+220</f>
        <v>1592</v>
      </c>
      <c r="N505" s="110">
        <f>M505-F505</f>
        <v>49</v>
      </c>
      <c r="O505" s="110" t="s">
        <v>100</v>
      </c>
      <c r="P505" s="83"/>
      <c r="Q505" s="83">
        <f>1372+220</f>
        <v>1592</v>
      </c>
      <c r="R505" s="83"/>
      <c r="S505" s="83">
        <f>1372+220</f>
        <v>1592</v>
      </c>
      <c r="T505" s="110">
        <f>S505-Q505</f>
        <v>0</v>
      </c>
      <c r="U505" s="59">
        <f t="shared" si="829"/>
        <v>8</v>
      </c>
      <c r="V505" s="83"/>
      <c r="W505" s="83">
        <v>1584</v>
      </c>
      <c r="X505" s="110">
        <f>W505-M505</f>
        <v>-8</v>
      </c>
      <c r="Y505" s="110"/>
      <c r="Z505" s="110"/>
      <c r="AA505" s="110"/>
      <c r="AB505" s="83"/>
      <c r="AC505" s="106"/>
      <c r="AD505" s="106"/>
      <c r="AE505" s="100">
        <f t="shared" si="848"/>
        <v>3.1756318859364877E-2</v>
      </c>
      <c r="AF505" s="90"/>
      <c r="AG505" s="109">
        <f t="shared" si="849"/>
        <v>0</v>
      </c>
      <c r="AH505" s="100">
        <f t="shared" si="850"/>
        <v>3.1756318859364877E-2</v>
      </c>
      <c r="AI505" s="100">
        <f t="shared" si="851"/>
        <v>2.6571613739468567E-2</v>
      </c>
    </row>
    <row r="506" spans="1:35" s="82" customFormat="1" ht="16.5" customHeight="1" x14ac:dyDescent="0.3">
      <c r="A506" s="90" t="s">
        <v>46</v>
      </c>
      <c r="B506" s="90" t="s">
        <v>52</v>
      </c>
      <c r="C506" s="137"/>
      <c r="D506" s="90"/>
      <c r="E506" s="80"/>
      <c r="F506" s="81">
        <f>SUM(F504:F505)</f>
        <v>2851</v>
      </c>
      <c r="G506" s="81"/>
      <c r="H506" s="81" t="s">
        <v>50</v>
      </c>
      <c r="I506" s="81"/>
      <c r="J506" s="81" t="s">
        <v>60</v>
      </c>
      <c r="K506" s="85" t="s">
        <v>238</v>
      </c>
      <c r="L506" s="81">
        <f>SUM(L504:L505)</f>
        <v>0</v>
      </c>
      <c r="M506" s="81">
        <f>SUM(M504:M505)</f>
        <v>2933</v>
      </c>
      <c r="N506" s="81">
        <f>SUM(N504:N505)</f>
        <v>82</v>
      </c>
      <c r="O506" s="81"/>
      <c r="P506" s="81">
        <f>SUM(P504:P505)</f>
        <v>0</v>
      </c>
      <c r="Q506" s="81">
        <f>SUM(Q504:Q505)</f>
        <v>2932</v>
      </c>
      <c r="R506" s="81">
        <f>SUM(R504:R505)</f>
        <v>0</v>
      </c>
      <c r="S506" s="81">
        <f>SUM(S504:S505)</f>
        <v>2932</v>
      </c>
      <c r="T506" s="81">
        <f>SUM(T504:T505)</f>
        <v>0</v>
      </c>
      <c r="U506" s="59">
        <f t="shared" si="829"/>
        <v>12</v>
      </c>
      <c r="V506" s="81">
        <f>SUM(V504:V505)</f>
        <v>0</v>
      </c>
      <c r="W506" s="81">
        <f>SUM(W504:W505)</f>
        <v>2920</v>
      </c>
      <c r="X506" s="81">
        <f>SUM(X504:X505)</f>
        <v>-13</v>
      </c>
      <c r="Y506" s="81" t="s">
        <v>47</v>
      </c>
      <c r="Z506" s="110" t="s">
        <v>45</v>
      </c>
      <c r="AA506" s="110"/>
      <c r="AB506" s="84"/>
      <c r="AC506" s="136"/>
      <c r="AD506" s="136"/>
      <c r="AE506" s="100">
        <f t="shared" si="848"/>
        <v>2.8761837951595932E-2</v>
      </c>
      <c r="AF506" s="90"/>
      <c r="AG506" s="109">
        <f t="shared" si="849"/>
        <v>0</v>
      </c>
      <c r="AH506" s="100">
        <f t="shared" si="850"/>
        <v>2.8411083830235006E-2</v>
      </c>
      <c r="AI506" s="100">
        <f t="shared" si="851"/>
        <v>2.4202034373903895E-2</v>
      </c>
    </row>
    <row r="507" spans="1:35" s="86" customFormat="1" ht="18.75" customHeight="1" x14ac:dyDescent="0.3">
      <c r="A507" s="106"/>
      <c r="B507" s="106" t="s">
        <v>52</v>
      </c>
      <c r="C507" s="118">
        <v>47618</v>
      </c>
      <c r="D507" s="310">
        <v>13262680</v>
      </c>
      <c r="E507" s="157" t="s">
        <v>188</v>
      </c>
      <c r="F507" s="83">
        <v>1830</v>
      </c>
      <c r="G507" s="83"/>
      <c r="H507" s="83"/>
      <c r="I507" s="83"/>
      <c r="J507" s="83"/>
      <c r="K507" s="83"/>
      <c r="L507" s="83"/>
      <c r="M507" s="83">
        <f>511+1383</f>
        <v>1894</v>
      </c>
      <c r="N507" s="110">
        <f>M507-F507</f>
        <v>64</v>
      </c>
      <c r="O507" s="110" t="s">
        <v>100</v>
      </c>
      <c r="P507" s="83"/>
      <c r="Q507" s="83">
        <v>1894</v>
      </c>
      <c r="R507" s="83"/>
      <c r="S507" s="83">
        <v>1894</v>
      </c>
      <c r="T507" s="110">
        <f>S507-Q507</f>
        <v>0</v>
      </c>
      <c r="U507" s="59">
        <f t="shared" si="829"/>
        <v>7</v>
      </c>
      <c r="V507" s="83"/>
      <c r="W507" s="83">
        <v>1887</v>
      </c>
      <c r="X507" s="110">
        <f>W507-M507</f>
        <v>-7</v>
      </c>
      <c r="Y507" s="110"/>
      <c r="Z507" s="110"/>
      <c r="AA507" s="110"/>
      <c r="AB507" s="83"/>
      <c r="AC507" s="106"/>
      <c r="AD507" s="106"/>
      <c r="AE507" s="100">
        <f t="shared" ref="AE507:AE516" si="865">N507/F507</f>
        <v>3.4972677595628415E-2</v>
      </c>
      <c r="AF507" s="90"/>
      <c r="AG507" s="109">
        <f t="shared" ref="AG507:AG516" si="866">IF(N507&lt;0,N507,0)</f>
        <v>0</v>
      </c>
      <c r="AH507" s="100">
        <f t="shared" ref="AH507:AH516" si="867">(S507-F507)/F507</f>
        <v>3.4972677595628415E-2</v>
      </c>
      <c r="AI507" s="100">
        <f t="shared" ref="AI507:AI516" si="868">(W507-F507)/F507</f>
        <v>3.1147540983606559E-2</v>
      </c>
    </row>
    <row r="508" spans="1:35" s="86" customFormat="1" ht="18.75" customHeight="1" x14ac:dyDescent="0.3">
      <c r="A508" s="106"/>
      <c r="B508" s="106" t="s">
        <v>52</v>
      </c>
      <c r="C508" s="118">
        <v>47618</v>
      </c>
      <c r="D508" s="311"/>
      <c r="E508" s="157" t="s">
        <v>123</v>
      </c>
      <c r="F508" s="83">
        <v>804</v>
      </c>
      <c r="G508" s="83"/>
      <c r="H508" s="83"/>
      <c r="I508" s="83"/>
      <c r="J508" s="83"/>
      <c r="K508" s="83"/>
      <c r="L508" s="83"/>
      <c r="M508" s="83">
        <f>220+200+129+288</f>
        <v>837</v>
      </c>
      <c r="N508" s="110">
        <f>M508-F508</f>
        <v>33</v>
      </c>
      <c r="O508" s="110" t="s">
        <v>100</v>
      </c>
      <c r="P508" s="83"/>
      <c r="Q508" s="83">
        <f>420+407+10</f>
        <v>837</v>
      </c>
      <c r="R508" s="83"/>
      <c r="S508" s="83">
        <v>837</v>
      </c>
      <c r="T508" s="110">
        <f>S508-Q508</f>
        <v>0</v>
      </c>
      <c r="U508" s="59">
        <f t="shared" si="829"/>
        <v>0</v>
      </c>
      <c r="V508" s="83"/>
      <c r="W508" s="83">
        <v>837</v>
      </c>
      <c r="X508" s="110">
        <f>W508-M508</f>
        <v>0</v>
      </c>
      <c r="Y508" s="110"/>
      <c r="Z508" s="110"/>
      <c r="AA508" s="110"/>
      <c r="AB508" s="83"/>
      <c r="AC508" s="106"/>
      <c r="AD508" s="106"/>
      <c r="AE508" s="100">
        <f t="shared" si="865"/>
        <v>4.1044776119402986E-2</v>
      </c>
      <c r="AF508" s="90"/>
      <c r="AG508" s="109">
        <f t="shared" si="866"/>
        <v>0</v>
      </c>
      <c r="AH508" s="100">
        <f t="shared" si="867"/>
        <v>4.1044776119402986E-2</v>
      </c>
      <c r="AI508" s="100">
        <f t="shared" si="868"/>
        <v>4.1044776119402986E-2</v>
      </c>
    </row>
    <row r="509" spans="1:35" s="82" customFormat="1" ht="16.5" customHeight="1" x14ac:dyDescent="0.3">
      <c r="A509" s="90" t="s">
        <v>46</v>
      </c>
      <c r="B509" s="90" t="s">
        <v>52</v>
      </c>
      <c r="C509" s="137"/>
      <c r="D509" s="90"/>
      <c r="E509" s="80"/>
      <c r="F509" s="81">
        <f>SUM(F507:F508)</f>
        <v>2634</v>
      </c>
      <c r="G509" s="81"/>
      <c r="H509" s="81" t="s">
        <v>50</v>
      </c>
      <c r="I509" s="81"/>
      <c r="J509" s="81" t="s">
        <v>60</v>
      </c>
      <c r="K509" s="85" t="s">
        <v>238</v>
      </c>
      <c r="L509" s="81">
        <f>SUM(L507:L508)</f>
        <v>0</v>
      </c>
      <c r="M509" s="81">
        <f>SUM(M507:M508)</f>
        <v>2731</v>
      </c>
      <c r="N509" s="81">
        <f>SUM(N507:N508)</f>
        <v>97</v>
      </c>
      <c r="O509" s="81" t="s">
        <v>358</v>
      </c>
      <c r="P509" s="81">
        <f>SUM(P507:P508)</f>
        <v>0</v>
      </c>
      <c r="Q509" s="81">
        <f>SUM(Q507:Q508)</f>
        <v>2731</v>
      </c>
      <c r="R509" s="81">
        <f>SUM(R507:R508)</f>
        <v>0</v>
      </c>
      <c r="S509" s="81">
        <f>SUM(S507:S508)</f>
        <v>2731</v>
      </c>
      <c r="T509" s="81">
        <f>SUM(T507:T508)</f>
        <v>0</v>
      </c>
      <c r="U509" s="59">
        <f t="shared" si="829"/>
        <v>7</v>
      </c>
      <c r="V509" s="81">
        <f>SUM(V507:V508)</f>
        <v>0</v>
      </c>
      <c r="W509" s="81">
        <f>SUM(W507:W508)</f>
        <v>2724</v>
      </c>
      <c r="X509" s="81">
        <f>SUM(X507:X508)</f>
        <v>-7</v>
      </c>
      <c r="Y509" s="81" t="s">
        <v>47</v>
      </c>
      <c r="Z509" s="110" t="s">
        <v>45</v>
      </c>
      <c r="AA509" s="110"/>
      <c r="AB509" s="84"/>
      <c r="AC509" s="136"/>
      <c r="AD509" s="136"/>
      <c r="AE509" s="100">
        <f t="shared" si="865"/>
        <v>3.6826119969627945E-2</v>
      </c>
      <c r="AF509" s="90"/>
      <c r="AG509" s="109">
        <f t="shared" si="866"/>
        <v>0</v>
      </c>
      <c r="AH509" s="100">
        <f t="shared" si="867"/>
        <v>3.6826119969627945E-2</v>
      </c>
      <c r="AI509" s="100">
        <f t="shared" si="868"/>
        <v>3.4168564920273349E-2</v>
      </c>
    </row>
    <row r="510" spans="1:35" s="86" customFormat="1" ht="18.75" customHeight="1" x14ac:dyDescent="0.3">
      <c r="A510" s="106"/>
      <c r="B510" s="106" t="s">
        <v>52</v>
      </c>
      <c r="C510" s="118">
        <v>47963</v>
      </c>
      <c r="D510" s="310">
        <v>13264504</v>
      </c>
      <c r="E510" s="157" t="s">
        <v>49</v>
      </c>
      <c r="F510" s="83">
        <v>2895</v>
      </c>
      <c r="G510" s="83"/>
      <c r="H510" s="83"/>
      <c r="I510" s="83"/>
      <c r="J510" s="83"/>
      <c r="K510" s="83"/>
      <c r="L510" s="83"/>
      <c r="M510" s="83">
        <f>1872+914+168+33</f>
        <v>2987</v>
      </c>
      <c r="N510" s="110">
        <f>M510-F510</f>
        <v>92</v>
      </c>
      <c r="O510" s="110" t="s">
        <v>100</v>
      </c>
      <c r="P510" s="83"/>
      <c r="Q510" s="83">
        <f>1833+914+168+72</f>
        <v>2987</v>
      </c>
      <c r="R510" s="83"/>
      <c r="S510" s="83">
        <f>2726+239</f>
        <v>2965</v>
      </c>
      <c r="T510" s="110">
        <f>S510-Q510</f>
        <v>-22</v>
      </c>
      <c r="U510" s="59">
        <f t="shared" si="829"/>
        <v>909</v>
      </c>
      <c r="V510" s="83"/>
      <c r="W510" s="83">
        <f>1816+240</f>
        <v>2056</v>
      </c>
      <c r="X510" s="110">
        <f>W510-M510</f>
        <v>-931</v>
      </c>
      <c r="Y510" s="110"/>
      <c r="Z510" s="110"/>
      <c r="AA510" s="110"/>
      <c r="AB510" s="83"/>
      <c r="AC510" s="106"/>
      <c r="AD510" s="106"/>
      <c r="AE510" s="100">
        <f t="shared" si="865"/>
        <v>3.177892918825561E-2</v>
      </c>
      <c r="AF510" s="90"/>
      <c r="AG510" s="109">
        <f t="shared" si="866"/>
        <v>0</v>
      </c>
      <c r="AH510" s="100">
        <f t="shared" si="867"/>
        <v>2.4179620034542316E-2</v>
      </c>
      <c r="AI510" s="100">
        <f t="shared" si="868"/>
        <v>-0.28981001727115718</v>
      </c>
    </row>
    <row r="511" spans="1:35" s="86" customFormat="1" ht="18.75" customHeight="1" x14ac:dyDescent="0.3">
      <c r="A511" s="106"/>
      <c r="B511" s="106" t="s">
        <v>52</v>
      </c>
      <c r="C511" s="118">
        <v>47963</v>
      </c>
      <c r="D511" s="311"/>
      <c r="E511" s="157" t="s">
        <v>0</v>
      </c>
      <c r="F511" s="83">
        <v>3189</v>
      </c>
      <c r="G511" s="83"/>
      <c r="H511" s="83"/>
      <c r="I511" s="83"/>
      <c r="J511" s="83"/>
      <c r="K511" s="83"/>
      <c r="L511" s="83"/>
      <c r="M511" s="83">
        <f>500+600+306+748+1100</f>
        <v>3254</v>
      </c>
      <c r="N511" s="110">
        <f>M511-F511</f>
        <v>65</v>
      </c>
      <c r="O511" s="110" t="s">
        <v>100</v>
      </c>
      <c r="P511" s="83"/>
      <c r="Q511" s="83">
        <f>1100+1100+1054</f>
        <v>3254</v>
      </c>
      <c r="R511" s="83"/>
      <c r="S511" s="83">
        <v>3241</v>
      </c>
      <c r="T511" s="110">
        <f>S511-Q511</f>
        <v>-13</v>
      </c>
      <c r="U511" s="59">
        <f t="shared" si="829"/>
        <v>5</v>
      </c>
      <c r="V511" s="83"/>
      <c r="W511" s="83">
        <v>3236</v>
      </c>
      <c r="X511" s="110">
        <f>W511-M511</f>
        <v>-18</v>
      </c>
      <c r="Y511" s="110"/>
      <c r="Z511" s="110"/>
      <c r="AA511" s="110"/>
      <c r="AB511" s="83"/>
      <c r="AC511" s="106"/>
      <c r="AD511" s="106"/>
      <c r="AE511" s="100">
        <f t="shared" si="865"/>
        <v>2.0382565067419253E-2</v>
      </c>
      <c r="AF511" s="90"/>
      <c r="AG511" s="109">
        <f t="shared" si="866"/>
        <v>0</v>
      </c>
      <c r="AH511" s="100">
        <f t="shared" si="867"/>
        <v>1.6306052053935403E-2</v>
      </c>
      <c r="AI511" s="100">
        <f t="shared" si="868"/>
        <v>1.473816243336469E-2</v>
      </c>
    </row>
    <row r="512" spans="1:35" s="82" customFormat="1" ht="16.5" customHeight="1" x14ac:dyDescent="0.3">
      <c r="A512" s="90" t="s">
        <v>46</v>
      </c>
      <c r="B512" s="90" t="s">
        <v>52</v>
      </c>
      <c r="C512" s="137"/>
      <c r="D512" s="90"/>
      <c r="E512" s="80"/>
      <c r="F512" s="81">
        <f>SUM(F510:F511)</f>
        <v>6084</v>
      </c>
      <c r="G512" s="81"/>
      <c r="H512" s="81" t="s">
        <v>50</v>
      </c>
      <c r="I512" s="81"/>
      <c r="J512" s="81" t="s">
        <v>60</v>
      </c>
      <c r="K512" s="85" t="s">
        <v>226</v>
      </c>
      <c r="L512" s="81">
        <f>SUM(L510:L511)</f>
        <v>0</v>
      </c>
      <c r="M512" s="81">
        <f>SUM(M510:M511)</f>
        <v>6241</v>
      </c>
      <c r="N512" s="81">
        <f>SUM(N510:N511)</f>
        <v>157</v>
      </c>
      <c r="O512" s="81" t="s">
        <v>316</v>
      </c>
      <c r="P512" s="81">
        <f>SUM(P510:P511)</f>
        <v>0</v>
      </c>
      <c r="Q512" s="81">
        <f>SUM(Q510:Q511)</f>
        <v>6241</v>
      </c>
      <c r="R512" s="81">
        <f>SUM(R510:R511)</f>
        <v>0</v>
      </c>
      <c r="S512" s="81">
        <f>SUM(S510:S511)</f>
        <v>6206</v>
      </c>
      <c r="T512" s="81">
        <f>SUM(T510:T511)</f>
        <v>-35</v>
      </c>
      <c r="U512" s="59">
        <f t="shared" si="829"/>
        <v>914</v>
      </c>
      <c r="V512" s="81">
        <f>SUM(V510:V511)</f>
        <v>0</v>
      </c>
      <c r="W512" s="81">
        <f>SUM(W510:W511)</f>
        <v>5292</v>
      </c>
      <c r="X512" s="81">
        <f>SUM(X510:X511)</f>
        <v>-949</v>
      </c>
      <c r="Y512" s="81" t="s">
        <v>47</v>
      </c>
      <c r="Z512" s="110" t="s">
        <v>45</v>
      </c>
      <c r="AA512" s="110"/>
      <c r="AB512" s="84"/>
      <c r="AC512" s="136"/>
      <c r="AD512" s="136"/>
      <c r="AE512" s="100">
        <f t="shared" si="865"/>
        <v>2.5805391190006573E-2</v>
      </c>
      <c r="AF512" s="90"/>
      <c r="AG512" s="109">
        <f t="shared" si="866"/>
        <v>0</v>
      </c>
      <c r="AH512" s="100">
        <f t="shared" si="867"/>
        <v>2.0052596975673898E-2</v>
      </c>
      <c r="AI512" s="100">
        <f t="shared" si="868"/>
        <v>-0.13017751479289941</v>
      </c>
    </row>
    <row r="513" spans="1:35" s="86" customFormat="1" ht="18.75" customHeight="1" x14ac:dyDescent="0.3">
      <c r="A513" s="106"/>
      <c r="B513" s="106" t="s">
        <v>52</v>
      </c>
      <c r="C513" s="118" t="s">
        <v>362</v>
      </c>
      <c r="D513" s="310">
        <v>13242465</v>
      </c>
      <c r="E513" s="157" t="s">
        <v>38</v>
      </c>
      <c r="F513" s="83">
        <v>1014</v>
      </c>
      <c r="G513" s="83"/>
      <c r="H513" s="83"/>
      <c r="I513" s="83"/>
      <c r="J513" s="83"/>
      <c r="K513" s="83"/>
      <c r="L513" s="83"/>
      <c r="M513" s="83">
        <f>694+353+12</f>
        <v>1059</v>
      </c>
      <c r="N513" s="110">
        <f>M513-F513</f>
        <v>45</v>
      </c>
      <c r="O513" s="110" t="s">
        <v>100</v>
      </c>
      <c r="P513" s="83"/>
      <c r="Q513" s="83"/>
      <c r="R513" s="83"/>
      <c r="S513" s="83"/>
      <c r="T513" s="110">
        <f>S513-Q513</f>
        <v>0</v>
      </c>
      <c r="U513" s="59">
        <f t="shared" si="829"/>
        <v>0</v>
      </c>
      <c r="V513" s="83"/>
      <c r="W513" s="83">
        <v>1059</v>
      </c>
      <c r="X513" s="110">
        <f>W513-M513</f>
        <v>0</v>
      </c>
      <c r="Y513" s="110"/>
      <c r="Z513" s="110"/>
      <c r="AA513" s="110"/>
      <c r="AB513" s="83"/>
      <c r="AC513" s="106"/>
      <c r="AD513" s="106"/>
      <c r="AE513" s="100">
        <f t="shared" si="865"/>
        <v>4.4378698224852069E-2</v>
      </c>
      <c r="AF513" s="90"/>
      <c r="AG513" s="109">
        <f t="shared" si="866"/>
        <v>0</v>
      </c>
      <c r="AH513" s="100">
        <f t="shared" si="867"/>
        <v>-1</v>
      </c>
      <c r="AI513" s="100">
        <f t="shared" si="868"/>
        <v>4.4378698224852069E-2</v>
      </c>
    </row>
    <row r="514" spans="1:35" s="86" customFormat="1" ht="18.75" customHeight="1" x14ac:dyDescent="0.3">
      <c r="A514" s="106"/>
      <c r="B514" s="106" t="s">
        <v>52</v>
      </c>
      <c r="C514" s="118" t="s">
        <v>362</v>
      </c>
      <c r="D514" s="311"/>
      <c r="E514" s="157" t="s">
        <v>0</v>
      </c>
      <c r="F514" s="83">
        <v>1264</v>
      </c>
      <c r="G514" s="83"/>
      <c r="H514" s="83"/>
      <c r="I514" s="83"/>
      <c r="J514" s="83"/>
      <c r="K514" s="83"/>
      <c r="L514" s="83"/>
      <c r="M514" s="83">
        <f>720+510+78</f>
        <v>1308</v>
      </c>
      <c r="N514" s="110">
        <f>M514-F514</f>
        <v>44</v>
      </c>
      <c r="O514" s="110" t="s">
        <v>100</v>
      </c>
      <c r="P514" s="83"/>
      <c r="Q514" s="83"/>
      <c r="R514" s="83"/>
      <c r="S514" s="83"/>
      <c r="T514" s="110">
        <f>S514-Q514</f>
        <v>0</v>
      </c>
      <c r="U514" s="59">
        <f t="shared" si="829"/>
        <v>0</v>
      </c>
      <c r="V514" s="83"/>
      <c r="W514" s="83">
        <f>1230+78</f>
        <v>1308</v>
      </c>
      <c r="X514" s="110">
        <f>W514-M514</f>
        <v>0</v>
      </c>
      <c r="Y514" s="110"/>
      <c r="Z514" s="110"/>
      <c r="AA514" s="110"/>
      <c r="AB514" s="83"/>
      <c r="AC514" s="106"/>
      <c r="AD514" s="106"/>
      <c r="AE514" s="100">
        <f t="shared" si="865"/>
        <v>3.4810126582278479E-2</v>
      </c>
      <c r="AF514" s="90"/>
      <c r="AG514" s="109">
        <f t="shared" si="866"/>
        <v>0</v>
      </c>
      <c r="AH514" s="100">
        <f t="shared" si="867"/>
        <v>-1</v>
      </c>
      <c r="AI514" s="100">
        <f t="shared" si="868"/>
        <v>3.4810126582278479E-2</v>
      </c>
    </row>
    <row r="515" spans="1:35" s="82" customFormat="1" ht="16.5" customHeight="1" x14ac:dyDescent="0.3">
      <c r="A515" s="90" t="s">
        <v>46</v>
      </c>
      <c r="B515" s="90" t="s">
        <v>52</v>
      </c>
      <c r="C515" s="137"/>
      <c r="D515" s="90"/>
      <c r="E515" s="80"/>
      <c r="F515" s="81">
        <f>SUM(F513:F514)</f>
        <v>2278</v>
      </c>
      <c r="G515" s="81"/>
      <c r="H515" s="81" t="s">
        <v>50</v>
      </c>
      <c r="I515" s="81"/>
      <c r="J515" s="81" t="s">
        <v>60</v>
      </c>
      <c r="K515" s="85" t="s">
        <v>290</v>
      </c>
      <c r="L515" s="81">
        <f>SUM(L513:L514)</f>
        <v>0</v>
      </c>
      <c r="M515" s="81">
        <f>SUM(M513:M514)</f>
        <v>2367</v>
      </c>
      <c r="N515" s="81">
        <f>SUM(N513:N514)</f>
        <v>89</v>
      </c>
      <c r="O515" s="81"/>
      <c r="P515" s="81">
        <f>SUM(P513:P514)</f>
        <v>0</v>
      </c>
      <c r="Q515" s="81">
        <f>SUM(Q513:Q514)</f>
        <v>0</v>
      </c>
      <c r="R515" s="81">
        <f>SUM(R513:R514)</f>
        <v>0</v>
      </c>
      <c r="S515" s="81">
        <f>SUM(S513:S514)</f>
        <v>0</v>
      </c>
      <c r="T515" s="81">
        <f>SUM(T513:T514)</f>
        <v>0</v>
      </c>
      <c r="U515" s="59">
        <f t="shared" si="829"/>
        <v>0</v>
      </c>
      <c r="V515" s="81">
        <f>SUM(V513:V514)</f>
        <v>0</v>
      </c>
      <c r="W515" s="81">
        <f>SUM(W513:W514)</f>
        <v>2367</v>
      </c>
      <c r="X515" s="81">
        <f>SUM(X513:X514)</f>
        <v>0</v>
      </c>
      <c r="Y515" s="81"/>
      <c r="Z515" s="110"/>
      <c r="AA515" s="110"/>
      <c r="AB515" s="84"/>
      <c r="AC515" s="136"/>
      <c r="AD515" s="136"/>
      <c r="AE515" s="100">
        <f t="shared" si="865"/>
        <v>3.9069359086918352E-2</v>
      </c>
      <c r="AF515" s="90"/>
      <c r="AG515" s="109">
        <f t="shared" si="866"/>
        <v>0</v>
      </c>
      <c r="AH515" s="100">
        <f t="shared" si="867"/>
        <v>-1</v>
      </c>
      <c r="AI515" s="100">
        <f t="shared" si="868"/>
        <v>3.9069359086918352E-2</v>
      </c>
    </row>
    <row r="516" spans="1:35" s="86" customFormat="1" ht="18.75" customHeight="1" x14ac:dyDescent="0.3">
      <c r="A516" s="106"/>
      <c r="B516" s="106" t="s">
        <v>52</v>
      </c>
      <c r="C516" s="118">
        <v>47957</v>
      </c>
      <c r="D516" s="310">
        <v>13264043</v>
      </c>
      <c r="E516" s="157" t="s">
        <v>408</v>
      </c>
      <c r="F516" s="83">
        <v>996</v>
      </c>
      <c r="G516" s="83"/>
      <c r="H516" s="83"/>
      <c r="I516" s="83"/>
      <c r="J516" s="83"/>
      <c r="K516" s="83"/>
      <c r="L516" s="83"/>
      <c r="M516" s="83">
        <f>1036</f>
        <v>1036</v>
      </c>
      <c r="N516" s="110">
        <f>M516-F516</f>
        <v>40</v>
      </c>
      <c r="O516" s="110" t="s">
        <v>100</v>
      </c>
      <c r="P516" s="83"/>
      <c r="Q516" s="83">
        <v>1036</v>
      </c>
      <c r="R516" s="83"/>
      <c r="S516" s="83">
        <v>1036</v>
      </c>
      <c r="T516" s="110">
        <f>S516-Q516</f>
        <v>0</v>
      </c>
      <c r="U516" s="59">
        <f t="shared" ref="U516" si="869">IF(Q516&gt;0,S516-W516,M516-W516)</f>
        <v>16</v>
      </c>
      <c r="V516" s="83"/>
      <c r="W516" s="83">
        <v>1020</v>
      </c>
      <c r="X516" s="110">
        <f>W516-M516</f>
        <v>-16</v>
      </c>
      <c r="Y516" s="110"/>
      <c r="Z516" s="110"/>
      <c r="AA516" s="110"/>
      <c r="AB516" s="83"/>
      <c r="AC516" s="106"/>
      <c r="AD516" s="106"/>
      <c r="AE516" s="100">
        <f t="shared" si="865"/>
        <v>4.0160642570281124E-2</v>
      </c>
      <c r="AF516" s="90"/>
      <c r="AG516" s="109">
        <f t="shared" si="866"/>
        <v>0</v>
      </c>
      <c r="AH516" s="100">
        <f t="shared" si="867"/>
        <v>4.0160642570281124E-2</v>
      </c>
      <c r="AI516" s="100">
        <f t="shared" si="868"/>
        <v>2.4096385542168676E-2</v>
      </c>
    </row>
    <row r="517" spans="1:35" s="86" customFormat="1" ht="18.75" customHeight="1" x14ac:dyDescent="0.3">
      <c r="A517" s="106"/>
      <c r="B517" s="106" t="s">
        <v>52</v>
      </c>
      <c r="C517" s="118">
        <v>47957</v>
      </c>
      <c r="D517" s="326"/>
      <c r="E517" s="157" t="s">
        <v>452</v>
      </c>
      <c r="F517" s="83">
        <v>1256</v>
      </c>
      <c r="G517" s="83"/>
      <c r="H517" s="83"/>
      <c r="I517" s="83"/>
      <c r="J517" s="83"/>
      <c r="K517" s="83"/>
      <c r="L517" s="83"/>
      <c r="M517" s="83">
        <v>1292</v>
      </c>
      <c r="N517" s="110">
        <f>M517-F517</f>
        <v>36</v>
      </c>
      <c r="O517" s="110" t="s">
        <v>100</v>
      </c>
      <c r="P517" s="83"/>
      <c r="Q517" s="83">
        <v>1292</v>
      </c>
      <c r="R517" s="83"/>
      <c r="S517" s="83">
        <v>1281</v>
      </c>
      <c r="T517" s="110">
        <f>S517-Q517</f>
        <v>-11</v>
      </c>
      <c r="U517" s="59">
        <f t="shared" si="829"/>
        <v>2</v>
      </c>
      <c r="V517" s="83"/>
      <c r="W517" s="83">
        <v>1279</v>
      </c>
      <c r="X517" s="110">
        <f>W517-M517</f>
        <v>-13</v>
      </c>
      <c r="Y517" s="110"/>
      <c r="Z517" s="110"/>
      <c r="AA517" s="110"/>
      <c r="AB517" s="83"/>
      <c r="AC517" s="106"/>
      <c r="AD517" s="106"/>
      <c r="AE517" s="100">
        <f t="shared" ref="AE517:AE518" si="870">N517/F517</f>
        <v>2.8662420382165606E-2</v>
      </c>
      <c r="AF517" s="90"/>
      <c r="AG517" s="109">
        <f t="shared" ref="AG517:AG518" si="871">IF(N517&lt;0,N517,0)</f>
        <v>0</v>
      </c>
      <c r="AH517" s="100">
        <f t="shared" ref="AH517:AH518" si="872">(S517-F517)/F517</f>
        <v>1.9904458598726114E-2</v>
      </c>
      <c r="AI517" s="100">
        <f t="shared" ref="AI517:AI518" si="873">(W517-F517)/F517</f>
        <v>1.8312101910828025E-2</v>
      </c>
    </row>
    <row r="518" spans="1:35" s="82" customFormat="1" ht="16.5" customHeight="1" x14ac:dyDescent="0.3">
      <c r="A518" s="90" t="s">
        <v>46</v>
      </c>
      <c r="B518" s="90" t="s">
        <v>52</v>
      </c>
      <c r="C518" s="137"/>
      <c r="D518" s="90"/>
      <c r="E518" s="80"/>
      <c r="F518" s="81">
        <f>SUM(F516:F517)</f>
        <v>2252</v>
      </c>
      <c r="G518" s="81"/>
      <c r="H518" s="81" t="s">
        <v>50</v>
      </c>
      <c r="I518" s="81"/>
      <c r="J518" s="81" t="s">
        <v>60</v>
      </c>
      <c r="K518" s="85" t="s">
        <v>226</v>
      </c>
      <c r="L518" s="81">
        <f>SUM(L516:L517)</f>
        <v>0</v>
      </c>
      <c r="M518" s="81">
        <f t="shared" ref="M518:X518" si="874">SUM(M516:M517)</f>
        <v>2328</v>
      </c>
      <c r="N518" s="81">
        <f t="shared" si="874"/>
        <v>76</v>
      </c>
      <c r="O518" s="81" t="s">
        <v>264</v>
      </c>
      <c r="P518" s="81">
        <f t="shared" si="874"/>
        <v>0</v>
      </c>
      <c r="Q518" s="81">
        <f t="shared" si="874"/>
        <v>2328</v>
      </c>
      <c r="R518" s="81">
        <f t="shared" si="874"/>
        <v>0</v>
      </c>
      <c r="S518" s="81">
        <f t="shared" si="874"/>
        <v>2317</v>
      </c>
      <c r="T518" s="81">
        <f t="shared" si="874"/>
        <v>-11</v>
      </c>
      <c r="U518" s="59">
        <f t="shared" si="829"/>
        <v>18</v>
      </c>
      <c r="V518" s="81">
        <f t="shared" si="874"/>
        <v>0</v>
      </c>
      <c r="W518" s="81">
        <f t="shared" si="874"/>
        <v>2299</v>
      </c>
      <c r="X518" s="81">
        <f t="shared" si="874"/>
        <v>-29</v>
      </c>
      <c r="Y518" s="81" t="s">
        <v>47</v>
      </c>
      <c r="Z518" s="110" t="s">
        <v>45</v>
      </c>
      <c r="AA518" s="110"/>
      <c r="AB518" s="84"/>
      <c r="AC518" s="136"/>
      <c r="AD518" s="136"/>
      <c r="AE518" s="100">
        <f t="shared" si="870"/>
        <v>3.3747779751332148E-2</v>
      </c>
      <c r="AF518" s="90"/>
      <c r="AG518" s="109">
        <f t="shared" si="871"/>
        <v>0</v>
      </c>
      <c r="AH518" s="100">
        <f t="shared" si="872"/>
        <v>2.886323268206039E-2</v>
      </c>
      <c r="AI518" s="100">
        <f t="shared" si="873"/>
        <v>2.0870337477797513E-2</v>
      </c>
    </row>
    <row r="519" spans="1:35" s="86" customFormat="1" ht="18.75" customHeight="1" x14ac:dyDescent="0.3">
      <c r="A519" s="106"/>
      <c r="B519" s="106" t="s">
        <v>52</v>
      </c>
      <c r="C519" s="118">
        <v>47960</v>
      </c>
      <c r="D519" s="310">
        <v>13264052</v>
      </c>
      <c r="E519" s="157" t="s">
        <v>204</v>
      </c>
      <c r="F519" s="83">
        <v>2657</v>
      </c>
      <c r="G519" s="83"/>
      <c r="H519" s="83"/>
      <c r="I519" s="83"/>
      <c r="J519" s="83"/>
      <c r="K519" s="83"/>
      <c r="L519" s="83">
        <v>184</v>
      </c>
      <c r="M519" s="83">
        <f>850+862+510+184</f>
        <v>2406</v>
      </c>
      <c r="N519" s="110">
        <f>M519-F519</f>
        <v>-251</v>
      </c>
      <c r="O519" s="110" t="s">
        <v>100</v>
      </c>
      <c r="P519" s="83"/>
      <c r="Q519" s="83"/>
      <c r="R519" s="83"/>
      <c r="S519" s="83"/>
      <c r="T519" s="110">
        <f>S519-Q519</f>
        <v>0</v>
      </c>
      <c r="U519" s="59">
        <f t="shared" si="829"/>
        <v>9</v>
      </c>
      <c r="V519" s="83">
        <v>692</v>
      </c>
      <c r="W519" s="83">
        <f>1705+692</f>
        <v>2397</v>
      </c>
      <c r="X519" s="110">
        <f>W519-M519</f>
        <v>-9</v>
      </c>
      <c r="Y519" s="110"/>
      <c r="Z519" s="110"/>
      <c r="AA519" s="110"/>
      <c r="AB519" s="83"/>
      <c r="AC519" s="106"/>
      <c r="AD519" s="106"/>
      <c r="AE519" s="100">
        <f t="shared" ref="AE519:AE522" si="875">N519/F519</f>
        <v>-9.4467444486262708E-2</v>
      </c>
      <c r="AF519" s="90"/>
      <c r="AG519" s="109">
        <f t="shared" ref="AG519:AG522" si="876">IF(N519&lt;0,N519,0)</f>
        <v>-251</v>
      </c>
      <c r="AH519" s="100">
        <f t="shared" ref="AH519:AH522" si="877">(S519-F519)/F519</f>
        <v>-1</v>
      </c>
      <c r="AI519" s="100">
        <f t="shared" ref="AI519:AI522" si="878">(W519-F519)/F519</f>
        <v>-9.7854723372224311E-2</v>
      </c>
    </row>
    <row r="520" spans="1:35" s="86" customFormat="1" ht="18.75" customHeight="1" x14ac:dyDescent="0.3">
      <c r="A520" s="106"/>
      <c r="B520" s="106" t="s">
        <v>52</v>
      </c>
      <c r="C520" s="118">
        <v>47960</v>
      </c>
      <c r="D520" s="311"/>
      <c r="E520" s="157" t="s">
        <v>49</v>
      </c>
      <c r="F520" s="83">
        <v>1750</v>
      </c>
      <c r="G520" s="83"/>
      <c r="H520" s="83"/>
      <c r="I520" s="83"/>
      <c r="J520" s="83"/>
      <c r="K520" s="83"/>
      <c r="L520" s="83">
        <f>305+671+831</f>
        <v>1807</v>
      </c>
      <c r="M520" s="83">
        <f>305+671+831</f>
        <v>1807</v>
      </c>
      <c r="N520" s="110">
        <f>M520-F520</f>
        <v>57</v>
      </c>
      <c r="O520" s="110" t="s">
        <v>100</v>
      </c>
      <c r="P520" s="83"/>
      <c r="Q520" s="83"/>
      <c r="R520" s="83"/>
      <c r="S520" s="83"/>
      <c r="T520" s="110">
        <f>S520-Q520</f>
        <v>0</v>
      </c>
      <c r="U520" s="59">
        <f t="shared" ref="U520" si="879">IF(Q520&gt;0,S520-W520,M520-W520)</f>
        <v>23</v>
      </c>
      <c r="V520" s="83">
        <v>1784</v>
      </c>
      <c r="W520" s="83">
        <v>1784</v>
      </c>
      <c r="X520" s="110">
        <f>W520-M520</f>
        <v>-23</v>
      </c>
      <c r="Y520" s="110"/>
      <c r="Z520" s="110"/>
      <c r="AA520" s="110"/>
      <c r="AB520" s="83"/>
      <c r="AC520" s="106"/>
      <c r="AD520" s="106"/>
      <c r="AE520" s="100">
        <f t="shared" ref="AE520" si="880">N520/F520</f>
        <v>3.2571428571428571E-2</v>
      </c>
      <c r="AF520" s="90"/>
      <c r="AG520" s="109">
        <f t="shared" ref="AG520" si="881">IF(N520&lt;0,N520,0)</f>
        <v>0</v>
      </c>
      <c r="AH520" s="100">
        <f t="shared" ref="AH520" si="882">(S520-F520)/F520</f>
        <v>-1</v>
      </c>
      <c r="AI520" s="100">
        <f t="shared" ref="AI520" si="883">(W520-F520)/F520</f>
        <v>1.9428571428571427E-2</v>
      </c>
    </row>
    <row r="521" spans="1:35" s="86" customFormat="1" ht="18.75" customHeight="1" x14ac:dyDescent="0.3">
      <c r="A521" s="106"/>
      <c r="B521" s="106" t="s">
        <v>52</v>
      </c>
      <c r="C521" s="118">
        <v>47960</v>
      </c>
      <c r="D521" s="311"/>
      <c r="E521" s="157" t="s">
        <v>452</v>
      </c>
      <c r="F521" s="83">
        <v>1614</v>
      </c>
      <c r="G521" s="83"/>
      <c r="H521" s="83"/>
      <c r="I521" s="83"/>
      <c r="J521" s="83"/>
      <c r="K521" s="83"/>
      <c r="L521" s="83"/>
      <c r="M521" s="83">
        <f>587+900</f>
        <v>1487</v>
      </c>
      <c r="N521" s="110">
        <f>M521-F521</f>
        <v>-127</v>
      </c>
      <c r="O521" s="110" t="s">
        <v>100</v>
      </c>
      <c r="P521" s="83"/>
      <c r="Q521" s="83"/>
      <c r="R521" s="83"/>
      <c r="S521" s="83"/>
      <c r="T521" s="110">
        <f>S521-Q521</f>
        <v>0</v>
      </c>
      <c r="U521" s="59">
        <f t="shared" si="829"/>
        <v>10</v>
      </c>
      <c r="V521" s="83"/>
      <c r="W521" s="83">
        <f>1477</f>
        <v>1477</v>
      </c>
      <c r="X521" s="110">
        <f>W521-M521</f>
        <v>-10</v>
      </c>
      <c r="Y521" s="110"/>
      <c r="Z521" s="110"/>
      <c r="AA521" s="110"/>
      <c r="AB521" s="83"/>
      <c r="AC521" s="106"/>
      <c r="AD521" s="106"/>
      <c r="AE521" s="100">
        <f t="shared" si="875"/>
        <v>-7.8686493184634443E-2</v>
      </c>
      <c r="AF521" s="90"/>
      <c r="AG521" s="109">
        <f t="shared" si="876"/>
        <v>-127</v>
      </c>
      <c r="AH521" s="100">
        <f t="shared" si="877"/>
        <v>-1</v>
      </c>
      <c r="AI521" s="100">
        <f t="shared" si="878"/>
        <v>-8.48822800495663E-2</v>
      </c>
    </row>
    <row r="522" spans="1:35" s="82" customFormat="1" ht="16.5" customHeight="1" x14ac:dyDescent="0.3">
      <c r="A522" s="90" t="s">
        <v>46</v>
      </c>
      <c r="B522" s="90" t="s">
        <v>52</v>
      </c>
      <c r="C522" s="137"/>
      <c r="D522" s="90"/>
      <c r="E522" s="80"/>
      <c r="F522" s="81">
        <f>SUM(F519:F521)</f>
        <v>6021</v>
      </c>
      <c r="G522" s="81"/>
      <c r="H522" s="81" t="s">
        <v>50</v>
      </c>
      <c r="I522" s="81"/>
      <c r="J522" s="81" t="s">
        <v>60</v>
      </c>
      <c r="K522" s="85" t="s">
        <v>226</v>
      </c>
      <c r="L522" s="81">
        <f>SUM(L519:L521)</f>
        <v>1991</v>
      </c>
      <c r="M522" s="81">
        <f t="shared" ref="M522:N522" si="884">SUM(M519:M521)</f>
        <v>5700</v>
      </c>
      <c r="N522" s="81">
        <f t="shared" si="884"/>
        <v>-321</v>
      </c>
      <c r="O522" s="81"/>
      <c r="P522" s="81">
        <f t="shared" ref="P522:T522" si="885">SUM(P519:P521)</f>
        <v>0</v>
      </c>
      <c r="Q522" s="81">
        <f t="shared" si="885"/>
        <v>0</v>
      </c>
      <c r="R522" s="81">
        <f t="shared" si="885"/>
        <v>0</v>
      </c>
      <c r="S522" s="81">
        <f t="shared" si="885"/>
        <v>0</v>
      </c>
      <c r="T522" s="81">
        <f t="shared" si="885"/>
        <v>0</v>
      </c>
      <c r="U522" s="59">
        <f t="shared" si="829"/>
        <v>42</v>
      </c>
      <c r="V522" s="81">
        <f t="shared" ref="V522:X522" si="886">SUM(V519:V521)</f>
        <v>2476</v>
      </c>
      <c r="W522" s="81">
        <f t="shared" si="886"/>
        <v>5658</v>
      </c>
      <c r="X522" s="81">
        <f t="shared" si="886"/>
        <v>-42</v>
      </c>
      <c r="Y522" s="81"/>
      <c r="Z522" s="110"/>
      <c r="AA522" s="110"/>
      <c r="AB522" s="84"/>
      <c r="AC522" s="136"/>
      <c r="AD522" s="136"/>
      <c r="AE522" s="100">
        <f t="shared" si="875"/>
        <v>-5.331340308918784E-2</v>
      </c>
      <c r="AF522" s="90"/>
      <c r="AG522" s="109">
        <f t="shared" si="876"/>
        <v>-321</v>
      </c>
      <c r="AH522" s="100">
        <f t="shared" si="877"/>
        <v>-1</v>
      </c>
      <c r="AI522" s="100">
        <f t="shared" si="878"/>
        <v>-6.0288988540109618E-2</v>
      </c>
    </row>
    <row r="523" spans="1:35" s="86" customFormat="1" ht="18.75" customHeight="1" x14ac:dyDescent="0.3">
      <c r="A523" s="106"/>
      <c r="B523" s="106" t="s">
        <v>52</v>
      </c>
      <c r="C523" s="118" t="s">
        <v>360</v>
      </c>
      <c r="D523" s="310">
        <v>13238718</v>
      </c>
      <c r="E523" s="157" t="s">
        <v>361</v>
      </c>
      <c r="F523" s="83">
        <v>7272</v>
      </c>
      <c r="G523" s="83"/>
      <c r="H523" s="83"/>
      <c r="I523" s="83"/>
      <c r="J523" s="83"/>
      <c r="K523" s="83"/>
      <c r="L523" s="83"/>
      <c r="M523" s="83">
        <f>1520+1615+779+1820+728+715+240</f>
        <v>7417</v>
      </c>
      <c r="N523" s="110">
        <f>M523-F523</f>
        <v>145</v>
      </c>
      <c r="O523" s="110" t="s">
        <v>100</v>
      </c>
      <c r="P523" s="83"/>
      <c r="Q523" s="83"/>
      <c r="R523" s="83"/>
      <c r="S523" s="83"/>
      <c r="T523" s="110">
        <f>S523-Q523</f>
        <v>0</v>
      </c>
      <c r="U523" s="59">
        <f t="shared" si="829"/>
        <v>0</v>
      </c>
      <c r="V523" s="83"/>
      <c r="W523" s="83">
        <f>1520+1615+3519+763</f>
        <v>7417</v>
      </c>
      <c r="X523" s="110">
        <f>W523-M523</f>
        <v>0</v>
      </c>
      <c r="Y523" s="110"/>
      <c r="Z523" s="110"/>
      <c r="AA523" s="110"/>
      <c r="AB523" s="83"/>
      <c r="AC523" s="106"/>
      <c r="AD523" s="106"/>
      <c r="AE523" s="100">
        <f t="shared" ref="AE523:AE525" si="887">N523/F523</f>
        <v>1.993949394939494E-2</v>
      </c>
      <c r="AF523" s="90"/>
      <c r="AG523" s="109">
        <f t="shared" ref="AG523:AG525" si="888">IF(N523&lt;0,N523,0)</f>
        <v>0</v>
      </c>
      <c r="AH523" s="100">
        <f t="shared" ref="AH523:AH525" si="889">(S523-F523)/F523</f>
        <v>-1</v>
      </c>
      <c r="AI523" s="100">
        <f t="shared" ref="AI523:AI525" si="890">(W523-F523)/F523</f>
        <v>1.993949394939494E-2</v>
      </c>
    </row>
    <row r="524" spans="1:35" s="86" customFormat="1" ht="18.75" customHeight="1" x14ac:dyDescent="0.3">
      <c r="A524" s="106"/>
      <c r="B524" s="106" t="s">
        <v>52</v>
      </c>
      <c r="C524" s="118" t="s">
        <v>360</v>
      </c>
      <c r="D524" s="311"/>
      <c r="E524" s="157" t="s">
        <v>164</v>
      </c>
      <c r="F524" s="83">
        <v>1292</v>
      </c>
      <c r="G524" s="83"/>
      <c r="H524" s="83"/>
      <c r="I524" s="83"/>
      <c r="J524" s="83"/>
      <c r="K524" s="83"/>
      <c r="L524" s="83"/>
      <c r="M524" s="83">
        <f>1270+94</f>
        <v>1364</v>
      </c>
      <c r="N524" s="110">
        <f>M524-F524</f>
        <v>72</v>
      </c>
      <c r="O524" s="110" t="s">
        <v>100</v>
      </c>
      <c r="P524" s="83"/>
      <c r="Q524" s="83"/>
      <c r="R524" s="83"/>
      <c r="S524" s="83"/>
      <c r="T524" s="110">
        <f>S524-Q524</f>
        <v>0</v>
      </c>
      <c r="U524" s="59">
        <f t="shared" si="829"/>
        <v>35</v>
      </c>
      <c r="V524" s="83"/>
      <c r="W524" s="83">
        <f>1235+94</f>
        <v>1329</v>
      </c>
      <c r="X524" s="110">
        <f>W524-M524</f>
        <v>-35</v>
      </c>
      <c r="Y524" s="110"/>
      <c r="Z524" s="110"/>
      <c r="AA524" s="110"/>
      <c r="AB524" s="83"/>
      <c r="AC524" s="106"/>
      <c r="AD524" s="106"/>
      <c r="AE524" s="100">
        <f t="shared" si="887"/>
        <v>5.5727554179566562E-2</v>
      </c>
      <c r="AF524" s="90"/>
      <c r="AG524" s="109">
        <f t="shared" si="888"/>
        <v>0</v>
      </c>
      <c r="AH524" s="100">
        <f t="shared" si="889"/>
        <v>-1</v>
      </c>
      <c r="AI524" s="100">
        <f t="shared" si="890"/>
        <v>2.8637770897832818E-2</v>
      </c>
    </row>
    <row r="525" spans="1:35" s="82" customFormat="1" ht="16.5" customHeight="1" x14ac:dyDescent="0.3">
      <c r="A525" s="90" t="s">
        <v>46</v>
      </c>
      <c r="B525" s="90" t="s">
        <v>52</v>
      </c>
      <c r="C525" s="137"/>
      <c r="D525" s="90"/>
      <c r="E525" s="80"/>
      <c r="F525" s="81">
        <f>SUM(F523:F524)</f>
        <v>8564</v>
      </c>
      <c r="G525" s="81"/>
      <c r="H525" s="81" t="s">
        <v>50</v>
      </c>
      <c r="I525" s="81"/>
      <c r="J525" s="81" t="s">
        <v>60</v>
      </c>
      <c r="K525" s="85" t="s">
        <v>272</v>
      </c>
      <c r="L525" s="81">
        <f>SUM(L523:L524)</f>
        <v>0</v>
      </c>
      <c r="M525" s="81">
        <f>SUM(M523:M524)</f>
        <v>8781</v>
      </c>
      <c r="N525" s="81">
        <f>SUM(N523:N524)</f>
        <v>217</v>
      </c>
      <c r="O525" s="81"/>
      <c r="P525" s="81">
        <f>SUM(P523:P524)</f>
        <v>0</v>
      </c>
      <c r="Q525" s="81">
        <f>SUM(Q523:Q524)</f>
        <v>0</v>
      </c>
      <c r="R525" s="81">
        <f>SUM(R523:R524)</f>
        <v>0</v>
      </c>
      <c r="S525" s="81">
        <f>SUM(S523:S524)</f>
        <v>0</v>
      </c>
      <c r="T525" s="81">
        <f>SUM(T523:T524)</f>
        <v>0</v>
      </c>
      <c r="U525" s="59">
        <f>IF(Q525&gt;0,S525-W525,M525-W525)</f>
        <v>35</v>
      </c>
      <c r="V525" s="81">
        <f>SUM(V523:V524)</f>
        <v>0</v>
      </c>
      <c r="W525" s="81">
        <f>SUM(W523:W524)</f>
        <v>8746</v>
      </c>
      <c r="X525" s="81">
        <f>SUM(X523:X524)</f>
        <v>-35</v>
      </c>
      <c r="Y525" s="81"/>
      <c r="Z525" s="110"/>
      <c r="AA525" s="110"/>
      <c r="AB525" s="84"/>
      <c r="AC525" s="136"/>
      <c r="AD525" s="136"/>
      <c r="AE525" s="100">
        <f t="shared" si="887"/>
        <v>2.5338626809901916E-2</v>
      </c>
      <c r="AF525" s="90"/>
      <c r="AG525" s="109">
        <f t="shared" si="888"/>
        <v>0</v>
      </c>
      <c r="AH525" s="100">
        <f t="shared" si="889"/>
        <v>-1</v>
      </c>
      <c r="AI525" s="100">
        <f t="shared" si="890"/>
        <v>2.125175151798225E-2</v>
      </c>
    </row>
    <row r="526" spans="1:35" s="86" customFormat="1" ht="18.75" customHeight="1" x14ac:dyDescent="0.3">
      <c r="A526" s="106"/>
      <c r="B526" s="106" t="s">
        <v>52</v>
      </c>
      <c r="C526" s="118">
        <v>47900</v>
      </c>
      <c r="D526" s="310">
        <v>13264522</v>
      </c>
      <c r="E526" s="157" t="s">
        <v>161</v>
      </c>
      <c r="F526" s="83">
        <v>1324</v>
      </c>
      <c r="G526" s="83"/>
      <c r="H526" s="83"/>
      <c r="I526" s="83"/>
      <c r="J526" s="83"/>
      <c r="K526" s="83"/>
      <c r="L526" s="83"/>
      <c r="M526" s="83">
        <f>408+585+371</f>
        <v>1364</v>
      </c>
      <c r="N526" s="110">
        <f>M526-F526</f>
        <v>40</v>
      </c>
      <c r="O526" s="110" t="s">
        <v>100</v>
      </c>
      <c r="P526" s="83"/>
      <c r="Q526" s="83">
        <f>408+578+331+47</f>
        <v>1364</v>
      </c>
      <c r="R526" s="83"/>
      <c r="S526" s="83">
        <f>408+576+331+49</f>
        <v>1364</v>
      </c>
      <c r="T526" s="110">
        <f>S526-Q526</f>
        <v>0</v>
      </c>
      <c r="U526" s="59">
        <f t="shared" si="829"/>
        <v>0</v>
      </c>
      <c r="V526" s="83"/>
      <c r="W526" s="83">
        <f>984+328+52</f>
        <v>1364</v>
      </c>
      <c r="X526" s="110">
        <f>W526-M526</f>
        <v>0</v>
      </c>
      <c r="Y526" s="110"/>
      <c r="Z526" s="110"/>
      <c r="AA526" s="110"/>
      <c r="AB526" s="83"/>
      <c r="AC526" s="106"/>
      <c r="AD526" s="106"/>
      <c r="AE526" s="100">
        <f t="shared" ref="AE526:AE635" si="891">N526/F526</f>
        <v>3.0211480362537766E-2</v>
      </c>
      <c r="AF526" s="90"/>
      <c r="AG526" s="109">
        <f t="shared" ref="AG526:AG635" si="892">IF(N526&lt;0,N526,0)</f>
        <v>0</v>
      </c>
      <c r="AH526" s="100">
        <f t="shared" ref="AH526:AH635" si="893">(S526-F526)/F526</f>
        <v>3.0211480362537766E-2</v>
      </c>
      <c r="AI526" s="100">
        <f t="shared" ref="AI526:AI635" si="894">(W526-F526)/F526</f>
        <v>3.0211480362537766E-2</v>
      </c>
    </row>
    <row r="527" spans="1:35" s="86" customFormat="1" ht="18.75" customHeight="1" x14ac:dyDescent="0.3">
      <c r="A527" s="106"/>
      <c r="B527" s="106" t="s">
        <v>52</v>
      </c>
      <c r="C527" s="118">
        <v>47900</v>
      </c>
      <c r="D527" s="311"/>
      <c r="E527" s="157" t="s">
        <v>402</v>
      </c>
      <c r="F527" s="83">
        <v>1399</v>
      </c>
      <c r="G527" s="83"/>
      <c r="H527" s="83"/>
      <c r="I527" s="83"/>
      <c r="J527" s="83"/>
      <c r="K527" s="83"/>
      <c r="L527" s="83"/>
      <c r="M527" s="83">
        <f>993+452</f>
        <v>1445</v>
      </c>
      <c r="N527" s="110">
        <f>M527-F527</f>
        <v>46</v>
      </c>
      <c r="O527" s="110" t="s">
        <v>100</v>
      </c>
      <c r="P527" s="83"/>
      <c r="Q527" s="83">
        <v>1445</v>
      </c>
      <c r="R527" s="83"/>
      <c r="S527" s="83">
        <v>1445</v>
      </c>
      <c r="T527" s="110">
        <f>S527-Q527</f>
        <v>0</v>
      </c>
      <c r="U527" s="59">
        <f t="shared" si="829"/>
        <v>0</v>
      </c>
      <c r="V527" s="83"/>
      <c r="W527" s="83">
        <f>1445</f>
        <v>1445</v>
      </c>
      <c r="X527" s="110">
        <f>W527-M527</f>
        <v>0</v>
      </c>
      <c r="Y527" s="110"/>
      <c r="Z527" s="110"/>
      <c r="AA527" s="110"/>
      <c r="AB527" s="83"/>
      <c r="AC527" s="106"/>
      <c r="AD527" s="106"/>
      <c r="AE527" s="100">
        <f t="shared" si="891"/>
        <v>3.2880629020729094E-2</v>
      </c>
      <c r="AF527" s="90"/>
      <c r="AG527" s="109">
        <f t="shared" si="892"/>
        <v>0</v>
      </c>
      <c r="AH527" s="100">
        <f t="shared" si="893"/>
        <v>3.2880629020729094E-2</v>
      </c>
      <c r="AI527" s="100">
        <f t="shared" si="894"/>
        <v>3.2880629020729094E-2</v>
      </c>
    </row>
    <row r="528" spans="1:35" s="82" customFormat="1" ht="16.5" customHeight="1" x14ac:dyDescent="0.3">
      <c r="A528" s="90" t="s">
        <v>46</v>
      </c>
      <c r="B528" s="90" t="s">
        <v>52</v>
      </c>
      <c r="C528" s="137"/>
      <c r="D528" s="90"/>
      <c r="E528" s="80"/>
      <c r="F528" s="81">
        <f>SUM(F526:F527)</f>
        <v>2723</v>
      </c>
      <c r="G528" s="81"/>
      <c r="H528" s="81" t="s">
        <v>50</v>
      </c>
      <c r="I528" s="81"/>
      <c r="J528" s="81" t="s">
        <v>60</v>
      </c>
      <c r="K528" s="85" t="s">
        <v>226</v>
      </c>
      <c r="L528" s="81">
        <f>SUM(L526:L527)</f>
        <v>0</v>
      </c>
      <c r="M528" s="81">
        <f>SUM(M526:M527)</f>
        <v>2809</v>
      </c>
      <c r="N528" s="81">
        <f>SUM(N526:N527)</f>
        <v>86</v>
      </c>
      <c r="O528" s="81" t="s">
        <v>467</v>
      </c>
      <c r="P528" s="81">
        <f>SUM(P526:P527)</f>
        <v>0</v>
      </c>
      <c r="Q528" s="81">
        <f>SUM(Q526:Q527)</f>
        <v>2809</v>
      </c>
      <c r="R528" s="81">
        <f>SUM(R526:R527)</f>
        <v>0</v>
      </c>
      <c r="S528" s="81">
        <f>SUM(S526:S527)</f>
        <v>2809</v>
      </c>
      <c r="T528" s="81">
        <f>SUM(T526:T527)</f>
        <v>0</v>
      </c>
      <c r="U528" s="59">
        <f t="shared" si="829"/>
        <v>0</v>
      </c>
      <c r="V528" s="81">
        <f>SUM(V526:V527)</f>
        <v>0</v>
      </c>
      <c r="W528" s="81">
        <f>SUM(W526:W527)</f>
        <v>2809</v>
      </c>
      <c r="X528" s="81">
        <f>SUM(X526:X527)</f>
        <v>0</v>
      </c>
      <c r="Y528" s="81" t="s">
        <v>47</v>
      </c>
      <c r="Z528" s="110" t="s">
        <v>45</v>
      </c>
      <c r="AA528" s="110"/>
      <c r="AB528" s="84"/>
      <c r="AC528" s="136"/>
      <c r="AD528" s="136"/>
      <c r="AE528" s="100">
        <f t="shared" si="891"/>
        <v>3.1582813073815642E-2</v>
      </c>
      <c r="AF528" s="90"/>
      <c r="AG528" s="109">
        <f t="shared" si="892"/>
        <v>0</v>
      </c>
      <c r="AH528" s="100">
        <f t="shared" si="893"/>
        <v>3.1582813073815642E-2</v>
      </c>
      <c r="AI528" s="100">
        <f t="shared" si="894"/>
        <v>3.1582813073815642E-2</v>
      </c>
    </row>
    <row r="529" spans="1:35" s="86" customFormat="1" ht="18.75" customHeight="1" x14ac:dyDescent="0.3">
      <c r="A529" s="106"/>
      <c r="B529" s="106" t="s">
        <v>52</v>
      </c>
      <c r="C529" s="118">
        <v>47951</v>
      </c>
      <c r="D529" s="310">
        <v>13263679</v>
      </c>
      <c r="E529" s="157" t="s">
        <v>408</v>
      </c>
      <c r="F529" s="83">
        <v>1296</v>
      </c>
      <c r="G529" s="83"/>
      <c r="H529" s="83"/>
      <c r="I529" s="83"/>
      <c r="J529" s="83"/>
      <c r="K529" s="83"/>
      <c r="L529" s="83"/>
      <c r="M529" s="83">
        <f>1352</f>
        <v>1352</v>
      </c>
      <c r="N529" s="110">
        <f>M529-F529</f>
        <v>56</v>
      </c>
      <c r="O529" s="110" t="s">
        <v>100</v>
      </c>
      <c r="P529" s="83"/>
      <c r="Q529" s="83">
        <v>1352</v>
      </c>
      <c r="R529" s="83"/>
      <c r="S529" s="83">
        <v>1352</v>
      </c>
      <c r="T529" s="110">
        <f>S529-Q529</f>
        <v>0</v>
      </c>
      <c r="U529" s="59">
        <f t="shared" si="829"/>
        <v>13</v>
      </c>
      <c r="V529" s="83"/>
      <c r="W529" s="83">
        <v>1339</v>
      </c>
      <c r="X529" s="110">
        <f>W529-M529</f>
        <v>-13</v>
      </c>
      <c r="Y529" s="110"/>
      <c r="Z529" s="110"/>
      <c r="AA529" s="110"/>
      <c r="AB529" s="83"/>
      <c r="AC529" s="106"/>
      <c r="AD529" s="106"/>
      <c r="AE529" s="100">
        <f t="shared" si="891"/>
        <v>4.3209876543209874E-2</v>
      </c>
      <c r="AF529" s="90"/>
      <c r="AG529" s="109">
        <f t="shared" si="892"/>
        <v>0</v>
      </c>
      <c r="AH529" s="100">
        <f t="shared" si="893"/>
        <v>4.3209876543209874E-2</v>
      </c>
      <c r="AI529" s="100">
        <f t="shared" si="894"/>
        <v>3.3179012345679014E-2</v>
      </c>
    </row>
    <row r="530" spans="1:35" s="86" customFormat="1" ht="22.5" customHeight="1" x14ac:dyDescent="0.3">
      <c r="A530" s="106"/>
      <c r="B530" s="106" t="s">
        <v>52</v>
      </c>
      <c r="C530" s="118">
        <v>47951</v>
      </c>
      <c r="D530" s="311"/>
      <c r="E530" s="157" t="s">
        <v>452</v>
      </c>
      <c r="F530" s="83">
        <v>1626</v>
      </c>
      <c r="G530" s="83"/>
      <c r="H530" s="83"/>
      <c r="I530" s="83"/>
      <c r="J530" s="83"/>
      <c r="K530" s="83"/>
      <c r="L530" s="83"/>
      <c r="M530" s="83">
        <f>756+500+244+178</f>
        <v>1678</v>
      </c>
      <c r="N530" s="110">
        <f>M530-F530</f>
        <v>52</v>
      </c>
      <c r="O530" s="110" t="s">
        <v>100</v>
      </c>
      <c r="P530" s="83"/>
      <c r="Q530" s="83">
        <v>1684</v>
      </c>
      <c r="R530" s="83"/>
      <c r="S530" s="83">
        <v>1684</v>
      </c>
      <c r="T530" s="110">
        <f>S530-Q530</f>
        <v>0</v>
      </c>
      <c r="U530" s="59">
        <f t="shared" si="829"/>
        <v>24</v>
      </c>
      <c r="V530" s="83"/>
      <c r="W530" s="83">
        <v>1660</v>
      </c>
      <c r="X530" s="110">
        <f>W530-M530</f>
        <v>-18</v>
      </c>
      <c r="Y530" s="110"/>
      <c r="Z530" s="110"/>
      <c r="AA530" s="110"/>
      <c r="AB530" s="83"/>
      <c r="AC530" s="106"/>
      <c r="AD530" s="106"/>
      <c r="AE530" s="100">
        <f t="shared" si="891"/>
        <v>3.1980319803198029E-2</v>
      </c>
      <c r="AF530" s="90"/>
      <c r="AG530" s="109">
        <f t="shared" si="892"/>
        <v>0</v>
      </c>
      <c r="AH530" s="100">
        <f t="shared" si="893"/>
        <v>3.5670356703567038E-2</v>
      </c>
      <c r="AI530" s="100">
        <f t="shared" si="894"/>
        <v>2.0910209102091022E-2</v>
      </c>
    </row>
    <row r="531" spans="1:35" s="82" customFormat="1" ht="16.5" customHeight="1" x14ac:dyDescent="0.3">
      <c r="A531" s="90" t="s">
        <v>46</v>
      </c>
      <c r="B531" s="90" t="s">
        <v>52</v>
      </c>
      <c r="C531" s="137"/>
      <c r="D531" s="90"/>
      <c r="E531" s="80"/>
      <c r="F531" s="81">
        <f>SUM(F529:F530)</f>
        <v>2922</v>
      </c>
      <c r="G531" s="81"/>
      <c r="H531" s="81" t="s">
        <v>50</v>
      </c>
      <c r="I531" s="81"/>
      <c r="J531" s="81" t="s">
        <v>60</v>
      </c>
      <c r="K531" s="85" t="s">
        <v>226</v>
      </c>
      <c r="L531" s="81">
        <f>SUM(L529:L530)</f>
        <v>0</v>
      </c>
      <c r="M531" s="81">
        <f>SUM(M529:M530)</f>
        <v>3030</v>
      </c>
      <c r="N531" s="81">
        <f>SUM(N529:N530)</f>
        <v>108</v>
      </c>
      <c r="O531" s="81" t="s">
        <v>709</v>
      </c>
      <c r="P531" s="81">
        <f>SUM(P529:P530)</f>
        <v>0</v>
      </c>
      <c r="Q531" s="81">
        <f>SUM(Q529:Q530)</f>
        <v>3036</v>
      </c>
      <c r="R531" s="81">
        <f>SUM(R529:R530)</f>
        <v>0</v>
      </c>
      <c r="S531" s="81">
        <f>SUM(S529:S530)</f>
        <v>3036</v>
      </c>
      <c r="T531" s="81">
        <f>SUM(T529:T530)</f>
        <v>0</v>
      </c>
      <c r="U531" s="59">
        <f t="shared" si="829"/>
        <v>37</v>
      </c>
      <c r="V531" s="81">
        <f>SUM(V529:V530)</f>
        <v>0</v>
      </c>
      <c r="W531" s="81">
        <f>SUM(W529:W530)</f>
        <v>2999</v>
      </c>
      <c r="X531" s="81">
        <f>SUM(X529:X530)</f>
        <v>-31</v>
      </c>
      <c r="Y531" s="81" t="s">
        <v>47</v>
      </c>
      <c r="Z531" s="110" t="s">
        <v>45</v>
      </c>
      <c r="AA531" s="110"/>
      <c r="AB531" s="84"/>
      <c r="AC531" s="136"/>
      <c r="AD531" s="136"/>
      <c r="AE531" s="100">
        <f t="shared" si="891"/>
        <v>3.6960985626283367E-2</v>
      </c>
      <c r="AF531" s="90"/>
      <c r="AG531" s="109">
        <f t="shared" si="892"/>
        <v>0</v>
      </c>
      <c r="AH531" s="100">
        <f t="shared" si="893"/>
        <v>3.9014373716632446E-2</v>
      </c>
      <c r="AI531" s="100">
        <f t="shared" si="894"/>
        <v>2.6351813826146476E-2</v>
      </c>
    </row>
    <row r="532" spans="1:35" s="86" customFormat="1" ht="18.75" customHeight="1" x14ac:dyDescent="0.3">
      <c r="A532" s="106"/>
      <c r="B532" s="106" t="s">
        <v>52</v>
      </c>
      <c r="C532" s="118">
        <v>47970</v>
      </c>
      <c r="D532" s="310">
        <v>13264549</v>
      </c>
      <c r="E532" s="157" t="s">
        <v>451</v>
      </c>
      <c r="F532" s="83">
        <v>2296</v>
      </c>
      <c r="G532" s="83"/>
      <c r="H532" s="83"/>
      <c r="I532" s="83"/>
      <c r="J532" s="83"/>
      <c r="K532" s="83"/>
      <c r="L532" s="83"/>
      <c r="M532" s="83">
        <f>944+422+1024</f>
        <v>2390</v>
      </c>
      <c r="N532" s="110">
        <f>M532-F532</f>
        <v>94</v>
      </c>
      <c r="O532" s="110"/>
      <c r="P532" s="83"/>
      <c r="Q532" s="83">
        <f>1024+944+422</f>
        <v>2390</v>
      </c>
      <c r="R532" s="83"/>
      <c r="S532" s="83"/>
      <c r="T532" s="110">
        <f>S532-Q532</f>
        <v>-2390</v>
      </c>
      <c r="U532" s="59">
        <f t="shared" ref="U532:U567" si="895">IF(Q532&gt;0,S532-W532,M532-W532)</f>
        <v>0</v>
      </c>
      <c r="V532" s="83"/>
      <c r="W532" s="83"/>
      <c r="X532" s="110">
        <f>W532-M532</f>
        <v>-2390</v>
      </c>
      <c r="Y532" s="110"/>
      <c r="Z532" s="110"/>
      <c r="AA532" s="110"/>
      <c r="AB532" s="83"/>
      <c r="AC532" s="106"/>
      <c r="AD532" s="106"/>
      <c r="AE532" s="100">
        <f t="shared" ref="AE532:AE534" si="896">N532/F532</f>
        <v>4.0940766550522645E-2</v>
      </c>
      <c r="AF532" s="90"/>
      <c r="AG532" s="109">
        <f t="shared" ref="AG532:AG534" si="897">IF(N532&lt;0,N532,0)</f>
        <v>0</v>
      </c>
      <c r="AH532" s="100">
        <f t="shared" ref="AH532:AH534" si="898">(S532-F532)/F532</f>
        <v>-1</v>
      </c>
      <c r="AI532" s="100">
        <f t="shared" ref="AI532:AI534" si="899">(W532-F532)/F532</f>
        <v>-1</v>
      </c>
    </row>
    <row r="533" spans="1:35" s="86" customFormat="1" ht="18.75" customHeight="1" x14ac:dyDescent="0.3">
      <c r="A533" s="106"/>
      <c r="B533" s="106" t="s">
        <v>52</v>
      </c>
      <c r="C533" s="118">
        <v>47970</v>
      </c>
      <c r="D533" s="311"/>
      <c r="E533" s="157" t="s">
        <v>452</v>
      </c>
      <c r="F533" s="83">
        <v>2681</v>
      </c>
      <c r="G533" s="83"/>
      <c r="H533" s="83"/>
      <c r="I533" s="83"/>
      <c r="J533" s="83"/>
      <c r="K533" s="83"/>
      <c r="L533" s="83"/>
      <c r="M533" s="83">
        <f>1200+-400+1170+800</f>
        <v>2770</v>
      </c>
      <c r="N533" s="110">
        <f>M533-F533</f>
        <v>89</v>
      </c>
      <c r="O533" s="110" t="s">
        <v>100</v>
      </c>
      <c r="P533" s="83"/>
      <c r="Q533" s="83">
        <v>2770</v>
      </c>
      <c r="R533" s="83"/>
      <c r="S533" s="83"/>
      <c r="T533" s="110">
        <f>S533-Q533</f>
        <v>-2770</v>
      </c>
      <c r="U533" s="59">
        <f t="shared" si="895"/>
        <v>0</v>
      </c>
      <c r="V533" s="83"/>
      <c r="W533" s="83"/>
      <c r="X533" s="110">
        <f>W533-M533</f>
        <v>-2770</v>
      </c>
      <c r="Y533" s="110"/>
      <c r="Z533" s="110"/>
      <c r="AA533" s="110"/>
      <c r="AB533" s="83"/>
      <c r="AC533" s="106"/>
      <c r="AD533" s="106"/>
      <c r="AE533" s="100">
        <f t="shared" ref="AE533" si="900">N533/F533</f>
        <v>3.3196568444610219E-2</v>
      </c>
      <c r="AF533" s="90"/>
      <c r="AG533" s="109">
        <f t="shared" ref="AG533" si="901">IF(N533&lt;0,N533,0)</f>
        <v>0</v>
      </c>
      <c r="AH533" s="100">
        <f t="shared" ref="AH533" si="902">(S533-F533)/F533</f>
        <v>-1</v>
      </c>
      <c r="AI533" s="100">
        <f t="shared" ref="AI533" si="903">(W533-F533)/F533</f>
        <v>-1</v>
      </c>
    </row>
    <row r="534" spans="1:35" s="82" customFormat="1" ht="16.5" customHeight="1" x14ac:dyDescent="0.3">
      <c r="A534" s="90" t="s">
        <v>46</v>
      </c>
      <c r="B534" s="90" t="s">
        <v>52</v>
      </c>
      <c r="C534" s="137"/>
      <c r="D534" s="90"/>
      <c r="E534" s="80"/>
      <c r="F534" s="81">
        <f>SUM(F532:F533)</f>
        <v>4977</v>
      </c>
      <c r="G534" s="81"/>
      <c r="H534" s="81" t="s">
        <v>50</v>
      </c>
      <c r="I534" s="81"/>
      <c r="J534" s="81" t="s">
        <v>60</v>
      </c>
      <c r="K534" s="85" t="s">
        <v>330</v>
      </c>
      <c r="L534" s="81">
        <f>SUM(L532:L533)</f>
        <v>0</v>
      </c>
      <c r="M534" s="81">
        <f>SUM(M532:M533)</f>
        <v>5160</v>
      </c>
      <c r="N534" s="81">
        <f>SUM(N532:N533)</f>
        <v>183</v>
      </c>
      <c r="O534" s="81" t="s">
        <v>272</v>
      </c>
      <c r="P534" s="81">
        <f>SUM(P532:P533)</f>
        <v>0</v>
      </c>
      <c r="Q534" s="81">
        <f>SUM(Q532:Q533)</f>
        <v>5160</v>
      </c>
      <c r="R534" s="81">
        <f>SUM(R532:R533)</f>
        <v>0</v>
      </c>
      <c r="S534" s="81">
        <f>SUM(S532:S533)</f>
        <v>0</v>
      </c>
      <c r="T534" s="81">
        <f>SUM(T532:T533)</f>
        <v>-5160</v>
      </c>
      <c r="U534" s="59">
        <f t="shared" si="895"/>
        <v>0</v>
      </c>
      <c r="V534" s="81">
        <f>SUM(V532:V533)</f>
        <v>0</v>
      </c>
      <c r="W534" s="81">
        <f>SUM(W532:W533)</f>
        <v>0</v>
      </c>
      <c r="X534" s="81">
        <f>SUM(X532:X533)</f>
        <v>-5160</v>
      </c>
      <c r="Y534" s="81" t="s">
        <v>47</v>
      </c>
      <c r="Z534" s="110" t="s">
        <v>45</v>
      </c>
      <c r="AA534" s="110"/>
      <c r="AB534" s="84"/>
      <c r="AC534" s="136"/>
      <c r="AD534" s="136"/>
      <c r="AE534" s="100">
        <f t="shared" si="896"/>
        <v>3.6769138034960819E-2</v>
      </c>
      <c r="AF534" s="90"/>
      <c r="AG534" s="109">
        <f t="shared" si="897"/>
        <v>0</v>
      </c>
      <c r="AH534" s="100">
        <f t="shared" si="898"/>
        <v>-1</v>
      </c>
      <c r="AI534" s="100">
        <f t="shared" si="899"/>
        <v>-1</v>
      </c>
    </row>
    <row r="535" spans="1:35" s="86" customFormat="1" ht="18.75" customHeight="1" x14ac:dyDescent="0.3">
      <c r="A535" s="106"/>
      <c r="B535" s="106" t="s">
        <v>52</v>
      </c>
      <c r="C535" s="118">
        <v>47586</v>
      </c>
      <c r="D535" s="310">
        <v>13250320</v>
      </c>
      <c r="E535" s="157" t="s">
        <v>123</v>
      </c>
      <c r="F535" s="83">
        <v>1003</v>
      </c>
      <c r="G535" s="83"/>
      <c r="H535" s="83"/>
      <c r="I535" s="83"/>
      <c r="J535" s="83"/>
      <c r="K535" s="83"/>
      <c r="L535" s="83"/>
      <c r="M535" s="83">
        <v>1023</v>
      </c>
      <c r="N535" s="110">
        <f>M535-F535</f>
        <v>20</v>
      </c>
      <c r="O535" s="110" t="s">
        <v>100</v>
      </c>
      <c r="P535" s="83"/>
      <c r="Q535" s="83"/>
      <c r="R535" s="83"/>
      <c r="S535" s="83"/>
      <c r="T535" s="110">
        <f>S535-Q535</f>
        <v>0</v>
      </c>
      <c r="U535" s="59">
        <f t="shared" si="895"/>
        <v>0</v>
      </c>
      <c r="V535" s="83"/>
      <c r="W535" s="83">
        <v>1023</v>
      </c>
      <c r="X535" s="110">
        <f>W535-M535</f>
        <v>0</v>
      </c>
      <c r="Y535" s="110"/>
      <c r="Z535" s="110"/>
      <c r="AA535" s="110"/>
      <c r="AB535" s="83"/>
      <c r="AC535" s="106"/>
      <c r="AD535" s="106"/>
      <c r="AE535" s="100">
        <f t="shared" si="891"/>
        <v>1.9940179461615155E-2</v>
      </c>
      <c r="AF535" s="90"/>
      <c r="AG535" s="109">
        <f t="shared" si="892"/>
        <v>0</v>
      </c>
      <c r="AH535" s="100">
        <f t="shared" si="893"/>
        <v>-1</v>
      </c>
      <c r="AI535" s="100">
        <f t="shared" si="894"/>
        <v>1.9940179461615155E-2</v>
      </c>
    </row>
    <row r="536" spans="1:35" s="86" customFormat="1" ht="18.75" customHeight="1" x14ac:dyDescent="0.3">
      <c r="A536" s="106"/>
      <c r="B536" s="106" t="s">
        <v>52</v>
      </c>
      <c r="C536" s="118">
        <v>47586</v>
      </c>
      <c r="D536" s="311"/>
      <c r="E536" s="157" t="s">
        <v>98</v>
      </c>
      <c r="F536" s="83">
        <v>1188</v>
      </c>
      <c r="G536" s="83"/>
      <c r="H536" s="83"/>
      <c r="I536" s="83"/>
      <c r="J536" s="83"/>
      <c r="K536" s="83"/>
      <c r="L536" s="83"/>
      <c r="M536" s="83">
        <f>1056+147+86</f>
        <v>1289</v>
      </c>
      <c r="N536" s="110">
        <f>M536-F536</f>
        <v>101</v>
      </c>
      <c r="O536" s="110" t="s">
        <v>100</v>
      </c>
      <c r="P536" s="83"/>
      <c r="Q536" s="83"/>
      <c r="R536" s="83"/>
      <c r="S536" s="83"/>
      <c r="T536" s="110">
        <f>S536-Q536</f>
        <v>0</v>
      </c>
      <c r="U536" s="59">
        <f t="shared" si="895"/>
        <v>61</v>
      </c>
      <c r="V536" s="83"/>
      <c r="W536" s="83">
        <v>1228</v>
      </c>
      <c r="X536" s="110">
        <f>W536-M536</f>
        <v>-61</v>
      </c>
      <c r="Y536" s="110"/>
      <c r="Z536" s="110"/>
      <c r="AA536" s="110"/>
      <c r="AB536" s="83"/>
      <c r="AC536" s="106"/>
      <c r="AD536" s="106"/>
      <c r="AE536" s="100">
        <f t="shared" si="891"/>
        <v>8.5016835016835018E-2</v>
      </c>
      <c r="AF536" s="90"/>
      <c r="AG536" s="109">
        <f t="shared" si="892"/>
        <v>0</v>
      </c>
      <c r="AH536" s="100">
        <f t="shared" si="893"/>
        <v>-1</v>
      </c>
      <c r="AI536" s="100">
        <f t="shared" si="894"/>
        <v>3.3670033670033669E-2</v>
      </c>
    </row>
    <row r="537" spans="1:35" s="82" customFormat="1" ht="16.5" customHeight="1" x14ac:dyDescent="0.3">
      <c r="A537" s="90" t="s">
        <v>46</v>
      </c>
      <c r="B537" s="90" t="s">
        <v>52</v>
      </c>
      <c r="C537" s="137"/>
      <c r="D537" s="90"/>
      <c r="E537" s="80"/>
      <c r="F537" s="81">
        <f>SUM(F535:F536)</f>
        <v>2191</v>
      </c>
      <c r="G537" s="81"/>
      <c r="H537" s="81" t="s">
        <v>50</v>
      </c>
      <c r="I537" s="81"/>
      <c r="J537" s="81" t="s">
        <v>60</v>
      </c>
      <c r="K537" s="85" t="s">
        <v>238</v>
      </c>
      <c r="L537" s="81">
        <f>SUM(L535:L536)</f>
        <v>0</v>
      </c>
      <c r="M537" s="81">
        <f>SUM(M535:M536)</f>
        <v>2312</v>
      </c>
      <c r="N537" s="81">
        <f>SUM(N535:N536)</f>
        <v>121</v>
      </c>
      <c r="O537" s="81"/>
      <c r="P537" s="81">
        <f>SUM(P535:P536)</f>
        <v>0</v>
      </c>
      <c r="Q537" s="81">
        <f>SUM(Q535:Q536)</f>
        <v>0</v>
      </c>
      <c r="R537" s="81">
        <f>SUM(R535:R536)</f>
        <v>0</v>
      </c>
      <c r="S537" s="81">
        <f>SUM(S535:S536)</f>
        <v>0</v>
      </c>
      <c r="T537" s="81">
        <f>SUM(T535:T536)</f>
        <v>0</v>
      </c>
      <c r="U537" s="59">
        <f t="shared" si="895"/>
        <v>61</v>
      </c>
      <c r="V537" s="81">
        <f>SUM(V535:V536)</f>
        <v>0</v>
      </c>
      <c r="W537" s="81">
        <f>SUM(W535:W536)</f>
        <v>2251</v>
      </c>
      <c r="X537" s="81">
        <f>SUM(X535:X536)</f>
        <v>-61</v>
      </c>
      <c r="Y537" s="81"/>
      <c r="Z537" s="110"/>
      <c r="AA537" s="110"/>
      <c r="AB537" s="84"/>
      <c r="AC537" s="136"/>
      <c r="AD537" s="136"/>
      <c r="AE537" s="100">
        <f t="shared" si="891"/>
        <v>5.52259242355089E-2</v>
      </c>
      <c r="AF537" s="90"/>
      <c r="AG537" s="109">
        <f t="shared" si="892"/>
        <v>0</v>
      </c>
      <c r="AH537" s="100">
        <f t="shared" si="893"/>
        <v>-1</v>
      </c>
      <c r="AI537" s="100">
        <f t="shared" si="894"/>
        <v>2.7384755819260611E-2</v>
      </c>
    </row>
    <row r="538" spans="1:35" s="86" customFormat="1" ht="18.75" customHeight="1" x14ac:dyDescent="0.3">
      <c r="A538" s="106"/>
      <c r="B538" s="106" t="s">
        <v>52</v>
      </c>
      <c r="C538" s="118">
        <v>47923</v>
      </c>
      <c r="D538" s="310">
        <v>13264623</v>
      </c>
      <c r="E538" s="157" t="s">
        <v>601</v>
      </c>
      <c r="F538" s="83">
        <v>4272</v>
      </c>
      <c r="G538" s="83"/>
      <c r="H538" s="83"/>
      <c r="I538" s="83"/>
      <c r="J538" s="83"/>
      <c r="K538" s="83"/>
      <c r="L538" s="83"/>
      <c r="M538" s="83">
        <f>692+1330+1092+762+382+123</f>
        <v>4381</v>
      </c>
      <c r="N538" s="110">
        <f>M538-F538</f>
        <v>109</v>
      </c>
      <c r="O538" s="110" t="s">
        <v>100</v>
      </c>
      <c r="P538" s="83"/>
      <c r="Q538" s="83">
        <f>677+1297+1275+756+376</f>
        <v>4381</v>
      </c>
      <c r="R538" s="83"/>
      <c r="S538" s="83">
        <f>680+1294+1271+756+355</f>
        <v>4356</v>
      </c>
      <c r="T538" s="110">
        <f>S538-Q538</f>
        <v>-25</v>
      </c>
      <c r="U538" s="59">
        <f t="shared" si="895"/>
        <v>0</v>
      </c>
      <c r="V538" s="83"/>
      <c r="W538" s="83">
        <f>1969+2387</f>
        <v>4356</v>
      </c>
      <c r="X538" s="110">
        <f>W538-M538</f>
        <v>-25</v>
      </c>
      <c r="Y538" s="110"/>
      <c r="Z538" s="110"/>
      <c r="AA538" s="110"/>
      <c r="AB538" s="83"/>
      <c r="AC538" s="106"/>
      <c r="AD538" s="106"/>
      <c r="AE538" s="100">
        <f t="shared" ref="AE538:AE540" si="904">N538/F538</f>
        <v>2.551498127340824E-2</v>
      </c>
      <c r="AF538" s="90"/>
      <c r="AG538" s="109">
        <f t="shared" ref="AG538:AG540" si="905">IF(N538&lt;0,N538,0)</f>
        <v>0</v>
      </c>
      <c r="AH538" s="100">
        <f t="shared" ref="AH538:AH540" si="906">(S538-F538)/F538</f>
        <v>1.9662921348314606E-2</v>
      </c>
      <c r="AI538" s="100">
        <f t="shared" ref="AI538:AI540" si="907">(W538-F538)/F538</f>
        <v>1.9662921348314606E-2</v>
      </c>
    </row>
    <row r="539" spans="1:35" s="86" customFormat="1" ht="18.75" customHeight="1" x14ac:dyDescent="0.3">
      <c r="A539" s="106"/>
      <c r="B539" s="106" t="s">
        <v>52</v>
      </c>
      <c r="C539" s="118">
        <v>47923</v>
      </c>
      <c r="D539" s="311"/>
      <c r="E539" s="157" t="s">
        <v>602</v>
      </c>
      <c r="F539" s="83">
        <v>2160</v>
      </c>
      <c r="G539" s="83"/>
      <c r="H539" s="83"/>
      <c r="I539" s="83"/>
      <c r="J539" s="83"/>
      <c r="K539" s="83"/>
      <c r="L539" s="83"/>
      <c r="M539" s="83">
        <f>745+773+746</f>
        <v>2264</v>
      </c>
      <c r="N539" s="110">
        <f>M539-F539</f>
        <v>104</v>
      </c>
      <c r="O539" s="110" t="s">
        <v>100</v>
      </c>
      <c r="P539" s="83"/>
      <c r="Q539" s="83">
        <f>725+751+723</f>
        <v>2199</v>
      </c>
      <c r="R539" s="83"/>
      <c r="S539" s="83">
        <f>724+1404+68</f>
        <v>2196</v>
      </c>
      <c r="T539" s="110">
        <f>S539-Q539</f>
        <v>-3</v>
      </c>
      <c r="U539" s="59">
        <f t="shared" ref="U539" si="908">IF(Q539&gt;0,S539-W539,M539-W539)</f>
        <v>0</v>
      </c>
      <c r="V539" s="83"/>
      <c r="W539" s="83">
        <v>2196</v>
      </c>
      <c r="X539" s="110">
        <f>W539-M539</f>
        <v>-68</v>
      </c>
      <c r="Y539" s="110"/>
      <c r="Z539" s="110"/>
      <c r="AA539" s="110"/>
      <c r="AB539" s="83"/>
      <c r="AC539" s="106"/>
      <c r="AD539" s="106"/>
      <c r="AE539" s="100">
        <f t="shared" ref="AE539" si="909">N539/F539</f>
        <v>4.8148148148148148E-2</v>
      </c>
      <c r="AF539" s="90"/>
      <c r="AG539" s="109">
        <f t="shared" ref="AG539" si="910">IF(N539&lt;0,N539,0)</f>
        <v>0</v>
      </c>
      <c r="AH539" s="100">
        <f t="shared" ref="AH539" si="911">(S539-F539)/F539</f>
        <v>1.6666666666666666E-2</v>
      </c>
      <c r="AI539" s="100">
        <f t="shared" ref="AI539" si="912">(W539-F539)/F539</f>
        <v>1.6666666666666666E-2</v>
      </c>
    </row>
    <row r="540" spans="1:35" s="82" customFormat="1" ht="16.5" customHeight="1" x14ac:dyDescent="0.3">
      <c r="A540" s="90" t="s">
        <v>46</v>
      </c>
      <c r="B540" s="90" t="s">
        <v>52</v>
      </c>
      <c r="C540" s="137"/>
      <c r="D540" s="90"/>
      <c r="E540" s="80"/>
      <c r="F540" s="81">
        <f>SUM(F538:F539)</f>
        <v>6432</v>
      </c>
      <c r="G540" s="81"/>
      <c r="H540" s="81" t="s">
        <v>50</v>
      </c>
      <c r="I540" s="81"/>
      <c r="J540" s="81" t="s">
        <v>60</v>
      </c>
      <c r="K540" s="85" t="s">
        <v>290</v>
      </c>
      <c r="L540" s="81">
        <f>SUM(L538:L539)</f>
        <v>0</v>
      </c>
      <c r="M540" s="81">
        <f>SUM(M538:M539)</f>
        <v>6645</v>
      </c>
      <c r="N540" s="81">
        <f>SUM(N538:N539)</f>
        <v>213</v>
      </c>
      <c r="O540" s="81" t="s">
        <v>821</v>
      </c>
      <c r="P540" s="81">
        <f>SUM(P538:P539)</f>
        <v>0</v>
      </c>
      <c r="Q540" s="81">
        <f>SUM(Q538:Q539)</f>
        <v>6580</v>
      </c>
      <c r="R540" s="81">
        <f>SUM(R538:R539)</f>
        <v>0</v>
      </c>
      <c r="S540" s="81">
        <f>SUM(S538:S539)</f>
        <v>6552</v>
      </c>
      <c r="T540" s="81">
        <f>SUM(T538:T539)</f>
        <v>-28</v>
      </c>
      <c r="U540" s="59">
        <f t="shared" si="895"/>
        <v>0</v>
      </c>
      <c r="V540" s="81">
        <f>SUM(V538:V539)</f>
        <v>0</v>
      </c>
      <c r="W540" s="81">
        <f>SUM(W538:W539)</f>
        <v>6552</v>
      </c>
      <c r="X540" s="81">
        <f>SUM(X538:X539)</f>
        <v>-93</v>
      </c>
      <c r="Y540" s="81" t="s">
        <v>47</v>
      </c>
      <c r="Z540" s="110" t="s">
        <v>45</v>
      </c>
      <c r="AA540" s="110"/>
      <c r="AB540" s="84"/>
      <c r="AC540" s="136"/>
      <c r="AD540" s="136"/>
      <c r="AE540" s="100">
        <f t="shared" si="904"/>
        <v>3.3115671641791043E-2</v>
      </c>
      <c r="AF540" s="90"/>
      <c r="AG540" s="109">
        <f t="shared" si="905"/>
        <v>0</v>
      </c>
      <c r="AH540" s="100">
        <f t="shared" si="906"/>
        <v>1.8656716417910446E-2</v>
      </c>
      <c r="AI540" s="100">
        <f t="shared" si="907"/>
        <v>1.8656716417910446E-2</v>
      </c>
    </row>
    <row r="541" spans="1:35" s="86" customFormat="1" ht="18.75" customHeight="1" x14ac:dyDescent="0.3">
      <c r="A541" s="106"/>
      <c r="B541" s="106" t="s">
        <v>52</v>
      </c>
      <c r="C541" s="118">
        <v>47989</v>
      </c>
      <c r="D541" s="310">
        <v>13263831</v>
      </c>
      <c r="E541" s="157" t="s">
        <v>408</v>
      </c>
      <c r="F541" s="83">
        <v>1988</v>
      </c>
      <c r="G541" s="83"/>
      <c r="H541" s="83"/>
      <c r="I541" s="83"/>
      <c r="J541" s="83"/>
      <c r="K541" s="83"/>
      <c r="L541" s="83"/>
      <c r="M541" s="83">
        <f>2053</f>
        <v>2053</v>
      </c>
      <c r="N541" s="110">
        <f>M541-F541</f>
        <v>65</v>
      </c>
      <c r="O541" s="110" t="s">
        <v>100</v>
      </c>
      <c r="P541" s="83"/>
      <c r="Q541" s="83">
        <v>2053</v>
      </c>
      <c r="R541" s="83"/>
      <c r="S541" s="83">
        <f>882+1159</f>
        <v>2041</v>
      </c>
      <c r="T541" s="110">
        <f>S541-Q541</f>
        <v>-12</v>
      </c>
      <c r="U541" s="59">
        <f t="shared" si="895"/>
        <v>5</v>
      </c>
      <c r="V541" s="83"/>
      <c r="W541" s="83">
        <v>2036</v>
      </c>
      <c r="X541" s="110">
        <f>W541-M541</f>
        <v>-17</v>
      </c>
      <c r="Y541" s="110"/>
      <c r="Z541" s="110"/>
      <c r="AA541" s="110"/>
      <c r="AB541" s="83"/>
      <c r="AC541" s="106"/>
      <c r="AD541" s="106"/>
      <c r="AE541" s="100">
        <f t="shared" si="891"/>
        <v>3.2696177062374245E-2</v>
      </c>
      <c r="AF541" s="90"/>
      <c r="AG541" s="109">
        <f t="shared" si="892"/>
        <v>0</v>
      </c>
      <c r="AH541" s="100">
        <f t="shared" si="893"/>
        <v>2.6659959758551309E-2</v>
      </c>
      <c r="AI541" s="100">
        <f t="shared" si="894"/>
        <v>2.4144869215291749E-2</v>
      </c>
    </row>
    <row r="542" spans="1:35" s="86" customFormat="1" ht="18.75" customHeight="1" x14ac:dyDescent="0.3">
      <c r="A542" s="106"/>
      <c r="B542" s="106" t="s">
        <v>52</v>
      </c>
      <c r="C542" s="118">
        <v>47989</v>
      </c>
      <c r="D542" s="311"/>
      <c r="E542" s="157" t="s">
        <v>452</v>
      </c>
      <c r="F542" s="83">
        <v>2478</v>
      </c>
      <c r="G542" s="83"/>
      <c r="H542" s="83"/>
      <c r="I542" s="83"/>
      <c r="J542" s="83"/>
      <c r="K542" s="83"/>
      <c r="L542" s="83"/>
      <c r="M542" s="83">
        <f>1034+1497+21</f>
        <v>2552</v>
      </c>
      <c r="N542" s="110">
        <f>M542-F542</f>
        <v>74</v>
      </c>
      <c r="O542" s="110" t="s">
        <v>100</v>
      </c>
      <c r="P542" s="83"/>
      <c r="Q542" s="83">
        <f>1034+1497+21</f>
        <v>2552</v>
      </c>
      <c r="R542" s="83"/>
      <c r="S542" s="83">
        <f>2509+3+21+19</f>
        <v>2552</v>
      </c>
      <c r="T542" s="110">
        <f>S542-Q542</f>
        <v>0</v>
      </c>
      <c r="U542" s="59">
        <f t="shared" ref="U542" si="913">IF(Q542&gt;0,S542-W542,M542-W542)</f>
        <v>40</v>
      </c>
      <c r="V542" s="83"/>
      <c r="W542" s="83">
        <f>2491+21</f>
        <v>2512</v>
      </c>
      <c r="X542" s="110">
        <f>W542-M542</f>
        <v>-40</v>
      </c>
      <c r="Y542" s="110"/>
      <c r="Z542" s="110"/>
      <c r="AA542" s="110"/>
      <c r="AB542" s="83"/>
      <c r="AC542" s="106"/>
      <c r="AD542" s="106"/>
      <c r="AE542" s="100">
        <f t="shared" ref="AE542" si="914">N542/F542</f>
        <v>2.9862792574656981E-2</v>
      </c>
      <c r="AF542" s="90"/>
      <c r="AG542" s="109">
        <f t="shared" ref="AG542" si="915">IF(N542&lt;0,N542,0)</f>
        <v>0</v>
      </c>
      <c r="AH542" s="100">
        <f t="shared" ref="AH542" si="916">(S542-F542)/F542</f>
        <v>2.9862792574656981E-2</v>
      </c>
      <c r="AI542" s="100">
        <f t="shared" ref="AI542" si="917">(W542-F542)/F542</f>
        <v>1.3720742534301856E-2</v>
      </c>
    </row>
    <row r="543" spans="1:35" s="82" customFormat="1" ht="16.5" customHeight="1" x14ac:dyDescent="0.3">
      <c r="A543" s="90" t="s">
        <v>46</v>
      </c>
      <c r="B543" s="90" t="s">
        <v>52</v>
      </c>
      <c r="C543" s="137"/>
      <c r="D543" s="90"/>
      <c r="E543" s="80"/>
      <c r="F543" s="81">
        <f>SUM(F541:F542)</f>
        <v>4466</v>
      </c>
      <c r="G543" s="81"/>
      <c r="H543" s="81" t="s">
        <v>50</v>
      </c>
      <c r="I543" s="81"/>
      <c r="J543" s="81" t="s">
        <v>60</v>
      </c>
      <c r="K543" s="85" t="s">
        <v>226</v>
      </c>
      <c r="L543" s="81">
        <f>SUM(L541:L542)</f>
        <v>0</v>
      </c>
      <c r="M543" s="81">
        <f>SUM(M541:M542)</f>
        <v>4605</v>
      </c>
      <c r="N543" s="81">
        <f>SUM(N541:N542)</f>
        <v>139</v>
      </c>
      <c r="O543" s="81" t="s">
        <v>266</v>
      </c>
      <c r="P543" s="81">
        <f>SUM(P541:P542)</f>
        <v>0</v>
      </c>
      <c r="Q543" s="81">
        <f>SUM(Q541:Q542)</f>
        <v>4605</v>
      </c>
      <c r="R543" s="81">
        <f>SUM(R541:R542)</f>
        <v>0</v>
      </c>
      <c r="S543" s="81">
        <f>SUM(S541:S542)</f>
        <v>4593</v>
      </c>
      <c r="T543" s="81">
        <f>SUM(T541:T542)</f>
        <v>-12</v>
      </c>
      <c r="U543" s="59">
        <f t="shared" si="895"/>
        <v>45</v>
      </c>
      <c r="V543" s="81">
        <f>SUM(V541:V542)</f>
        <v>0</v>
      </c>
      <c r="W543" s="81">
        <f>SUM(W541:W542)</f>
        <v>4548</v>
      </c>
      <c r="X543" s="81">
        <f>SUM(X541:X542)</f>
        <v>-57</v>
      </c>
      <c r="Y543" s="81" t="s">
        <v>57</v>
      </c>
      <c r="Z543" s="110" t="s">
        <v>45</v>
      </c>
      <c r="AA543" s="110"/>
      <c r="AB543" s="84"/>
      <c r="AC543" s="136"/>
      <c r="AD543" s="136"/>
      <c r="AE543" s="100">
        <f t="shared" si="891"/>
        <v>3.1124048365427676E-2</v>
      </c>
      <c r="AF543" s="90"/>
      <c r="AG543" s="109">
        <f t="shared" si="892"/>
        <v>0</v>
      </c>
      <c r="AH543" s="100">
        <f t="shared" si="893"/>
        <v>2.8437080161218091E-2</v>
      </c>
      <c r="AI543" s="100">
        <f t="shared" si="894"/>
        <v>1.8360949395432154E-2</v>
      </c>
    </row>
    <row r="544" spans="1:35" s="86" customFormat="1" ht="18.75" customHeight="1" x14ac:dyDescent="0.3">
      <c r="A544" s="106"/>
      <c r="B544" s="106" t="s">
        <v>52</v>
      </c>
      <c r="C544" s="118">
        <v>47983</v>
      </c>
      <c r="D544" s="310">
        <v>13263812</v>
      </c>
      <c r="E544" s="157" t="s">
        <v>408</v>
      </c>
      <c r="F544" s="83">
        <v>822</v>
      </c>
      <c r="G544" s="83"/>
      <c r="H544" s="83"/>
      <c r="I544" s="83"/>
      <c r="J544" s="83"/>
      <c r="K544" s="83"/>
      <c r="L544" s="83"/>
      <c r="M544" s="83">
        <f>840+50</f>
        <v>890</v>
      </c>
      <c r="N544" s="110">
        <f>M544-F544</f>
        <v>68</v>
      </c>
      <c r="O544" s="110" t="s">
        <v>100</v>
      </c>
      <c r="P544" s="83"/>
      <c r="Q544" s="83"/>
      <c r="R544" s="83"/>
      <c r="S544" s="83"/>
      <c r="T544" s="110">
        <f>S544-Q544</f>
        <v>0</v>
      </c>
      <c r="U544" s="59">
        <f t="shared" si="895"/>
        <v>36</v>
      </c>
      <c r="V544" s="83"/>
      <c r="W544" s="83">
        <v>854</v>
      </c>
      <c r="X544" s="110">
        <f>W544-M544</f>
        <v>-36</v>
      </c>
      <c r="Y544" s="110"/>
      <c r="Z544" s="110"/>
      <c r="AA544" s="110"/>
      <c r="AB544" s="83"/>
      <c r="AC544" s="106"/>
      <c r="AD544" s="106"/>
      <c r="AE544" s="100">
        <f t="shared" ref="AE544:AE587" si="918">N544/F544</f>
        <v>8.2725060827250604E-2</v>
      </c>
      <c r="AF544" s="90"/>
      <c r="AG544" s="109">
        <f t="shared" ref="AG544:AG587" si="919">IF(N544&lt;0,N544,0)</f>
        <v>0</v>
      </c>
      <c r="AH544" s="100">
        <f t="shared" ref="AH544:AH587" si="920">(S544-F544)/F544</f>
        <v>-1</v>
      </c>
      <c r="AI544" s="100">
        <f t="shared" ref="AI544:AI587" si="921">(W544-F544)/F544</f>
        <v>3.8929440389294405E-2</v>
      </c>
    </row>
    <row r="545" spans="1:35" s="86" customFormat="1" ht="18.75" customHeight="1" x14ac:dyDescent="0.3">
      <c r="A545" s="106"/>
      <c r="B545" s="106" t="s">
        <v>52</v>
      </c>
      <c r="C545" s="118">
        <v>47983</v>
      </c>
      <c r="D545" s="311"/>
      <c r="E545" s="157" t="s">
        <v>452</v>
      </c>
      <c r="F545" s="83">
        <v>1197</v>
      </c>
      <c r="G545" s="83"/>
      <c r="H545" s="83"/>
      <c r="I545" s="83"/>
      <c r="J545" s="83"/>
      <c r="K545" s="83"/>
      <c r="L545" s="83"/>
      <c r="M545" s="83">
        <f>1011+105+91+9</f>
        <v>1216</v>
      </c>
      <c r="N545" s="110">
        <f>M545-F545</f>
        <v>19</v>
      </c>
      <c r="O545" s="110" t="s">
        <v>100</v>
      </c>
      <c r="P545" s="83"/>
      <c r="Q545" s="83"/>
      <c r="R545" s="83"/>
      <c r="S545" s="83"/>
      <c r="T545" s="110">
        <f>S545-Q545</f>
        <v>0</v>
      </c>
      <c r="U545" s="59">
        <f t="shared" si="895"/>
        <v>0</v>
      </c>
      <c r="V545" s="83"/>
      <c r="W545" s="83">
        <v>1216</v>
      </c>
      <c r="X545" s="110">
        <f>W545-M545</f>
        <v>0</v>
      </c>
      <c r="Y545" s="110"/>
      <c r="Z545" s="110"/>
      <c r="AA545" s="110"/>
      <c r="AB545" s="83"/>
      <c r="AC545" s="106"/>
      <c r="AD545" s="106"/>
      <c r="AE545" s="100">
        <f t="shared" ref="AE545" si="922">N545/F545</f>
        <v>1.5873015873015872E-2</v>
      </c>
      <c r="AF545" s="90"/>
      <c r="AG545" s="109">
        <f t="shared" ref="AG545" si="923">IF(N545&lt;0,N545,0)</f>
        <v>0</v>
      </c>
      <c r="AH545" s="100">
        <f t="shared" ref="AH545" si="924">(S545-F545)/F545</f>
        <v>-1</v>
      </c>
      <c r="AI545" s="100">
        <f t="shared" ref="AI545" si="925">(W545-F545)/F545</f>
        <v>1.5873015873015872E-2</v>
      </c>
    </row>
    <row r="546" spans="1:35" s="82" customFormat="1" ht="16.5" customHeight="1" x14ac:dyDescent="0.3">
      <c r="A546" s="90" t="s">
        <v>46</v>
      </c>
      <c r="B546" s="90" t="s">
        <v>52</v>
      </c>
      <c r="C546" s="137"/>
      <c r="D546" s="90"/>
      <c r="E546" s="80"/>
      <c r="F546" s="81">
        <f>SUM(F544:F545)</f>
        <v>2019</v>
      </c>
      <c r="G546" s="81"/>
      <c r="H546" s="81" t="s">
        <v>50</v>
      </c>
      <c r="I546" s="81"/>
      <c r="J546" s="81" t="s">
        <v>60</v>
      </c>
      <c r="K546" s="85" t="s">
        <v>340</v>
      </c>
      <c r="L546" s="81">
        <f>SUM(L544:L545)</f>
        <v>0</v>
      </c>
      <c r="M546" s="81">
        <f>SUM(M544:M545)</f>
        <v>2106</v>
      </c>
      <c r="N546" s="81">
        <f>SUM(N544:N545)</f>
        <v>87</v>
      </c>
      <c r="O546" s="81"/>
      <c r="P546" s="81">
        <f>SUM(P544:P545)</f>
        <v>0</v>
      </c>
      <c r="Q546" s="81">
        <f>SUM(Q544:Q545)</f>
        <v>0</v>
      </c>
      <c r="R546" s="81">
        <f>SUM(R544:R545)</f>
        <v>0</v>
      </c>
      <c r="S546" s="81">
        <f>SUM(S544:S545)</f>
        <v>0</v>
      </c>
      <c r="T546" s="81">
        <f>SUM(T544:T545)</f>
        <v>0</v>
      </c>
      <c r="U546" s="59">
        <f t="shared" si="895"/>
        <v>36</v>
      </c>
      <c r="V546" s="81">
        <f>SUM(V544:V545)</f>
        <v>0</v>
      </c>
      <c r="W546" s="81">
        <f>SUM(W544:W545)</f>
        <v>2070</v>
      </c>
      <c r="X546" s="81">
        <f>SUM(X544:X545)</f>
        <v>-36</v>
      </c>
      <c r="Y546" s="81"/>
      <c r="Z546" s="110"/>
      <c r="AA546" s="110"/>
      <c r="AB546" s="84"/>
      <c r="AC546" s="136"/>
      <c r="AD546" s="136"/>
      <c r="AE546" s="100">
        <f t="shared" si="918"/>
        <v>4.3090638930163447E-2</v>
      </c>
      <c r="AF546" s="90"/>
      <c r="AG546" s="109">
        <f t="shared" si="919"/>
        <v>0</v>
      </c>
      <c r="AH546" s="100">
        <f t="shared" si="920"/>
        <v>-1</v>
      </c>
      <c r="AI546" s="100">
        <f t="shared" si="921"/>
        <v>2.5260029717682021E-2</v>
      </c>
    </row>
    <row r="547" spans="1:35" s="86" customFormat="1" ht="18.75" customHeight="1" x14ac:dyDescent="0.3">
      <c r="A547" s="106"/>
      <c r="B547" s="106" t="s">
        <v>52</v>
      </c>
      <c r="C547" s="118">
        <v>47585</v>
      </c>
      <c r="D547" s="167">
        <v>13262898</v>
      </c>
      <c r="E547" s="157" t="s">
        <v>123</v>
      </c>
      <c r="F547" s="83">
        <v>1335</v>
      </c>
      <c r="G547" s="83"/>
      <c r="H547" s="83"/>
      <c r="I547" s="83"/>
      <c r="J547" s="83"/>
      <c r="K547" s="83"/>
      <c r="L547" s="83"/>
      <c r="M547" s="83">
        <f>1381</f>
        <v>1381</v>
      </c>
      <c r="N547" s="110">
        <f>M547-F547</f>
        <v>46</v>
      </c>
      <c r="O547" s="110" t="s">
        <v>100</v>
      </c>
      <c r="P547" s="83"/>
      <c r="Q547" s="83">
        <v>1381</v>
      </c>
      <c r="R547" s="83"/>
      <c r="S547" s="83">
        <v>1381</v>
      </c>
      <c r="T547" s="110">
        <f>S547-Q547</f>
        <v>0</v>
      </c>
      <c r="U547" s="59">
        <f t="shared" si="895"/>
        <v>9</v>
      </c>
      <c r="V547" s="83"/>
      <c r="W547" s="83">
        <v>1372</v>
      </c>
      <c r="X547" s="110">
        <f>W547-M547</f>
        <v>-9</v>
      </c>
      <c r="Y547" s="110"/>
      <c r="Z547" s="110"/>
      <c r="AA547" s="110"/>
      <c r="AB547" s="83"/>
      <c r="AC547" s="106"/>
      <c r="AD547" s="106"/>
      <c r="AE547" s="100">
        <f t="shared" si="918"/>
        <v>3.4456928838951309E-2</v>
      </c>
      <c r="AF547" s="90"/>
      <c r="AG547" s="109">
        <f t="shared" si="919"/>
        <v>0</v>
      </c>
      <c r="AH547" s="100">
        <f t="shared" si="920"/>
        <v>3.4456928838951309E-2</v>
      </c>
      <c r="AI547" s="100">
        <f t="shared" si="921"/>
        <v>2.7715355805243445E-2</v>
      </c>
    </row>
    <row r="548" spans="1:35" s="82" customFormat="1" ht="16.5" customHeight="1" x14ac:dyDescent="0.3">
      <c r="A548" s="90" t="s">
        <v>46</v>
      </c>
      <c r="B548" s="90" t="s">
        <v>52</v>
      </c>
      <c r="C548" s="137"/>
      <c r="D548" s="90"/>
      <c r="E548" s="80"/>
      <c r="F548" s="81">
        <f>SUM(F547:F547)</f>
        <v>1335</v>
      </c>
      <c r="G548" s="81"/>
      <c r="H548" s="81" t="s">
        <v>50</v>
      </c>
      <c r="I548" s="81"/>
      <c r="J548" s="81" t="s">
        <v>60</v>
      </c>
      <c r="K548" s="85" t="s">
        <v>238</v>
      </c>
      <c r="L548" s="81">
        <f>SUM(L547:L547)</f>
        <v>0</v>
      </c>
      <c r="M548" s="81">
        <f>SUM(M547:M547)</f>
        <v>1381</v>
      </c>
      <c r="N548" s="81">
        <f>SUM(N547:N547)</f>
        <v>46</v>
      </c>
      <c r="O548" s="81" t="s">
        <v>232</v>
      </c>
      <c r="P548" s="81">
        <f>SUM(P547:P547)</f>
        <v>0</v>
      </c>
      <c r="Q548" s="81">
        <f>SUM(Q547:Q547)</f>
        <v>1381</v>
      </c>
      <c r="R548" s="81">
        <f>SUM(R547:R547)</f>
        <v>0</v>
      </c>
      <c r="S548" s="81">
        <f>SUM(S547:S547)</f>
        <v>1381</v>
      </c>
      <c r="T548" s="81">
        <f>SUM(T547:T547)</f>
        <v>0</v>
      </c>
      <c r="U548" s="59">
        <f t="shared" si="895"/>
        <v>9</v>
      </c>
      <c r="V548" s="81">
        <f>SUM(V547:V547)</f>
        <v>0</v>
      </c>
      <c r="W548" s="81">
        <f>SUM(W547:W547)</f>
        <v>1372</v>
      </c>
      <c r="X548" s="81">
        <f>SUM(X547:X547)</f>
        <v>-9</v>
      </c>
      <c r="Y548" s="81" t="s">
        <v>48</v>
      </c>
      <c r="Z548" s="110" t="s">
        <v>45</v>
      </c>
      <c r="AA548" s="110"/>
      <c r="AB548" s="84"/>
      <c r="AC548" s="136"/>
      <c r="AD548" s="136"/>
      <c r="AE548" s="100">
        <f t="shared" si="918"/>
        <v>3.4456928838951309E-2</v>
      </c>
      <c r="AF548" s="90"/>
      <c r="AG548" s="109">
        <f t="shared" si="919"/>
        <v>0</v>
      </c>
      <c r="AH548" s="100">
        <f t="shared" si="920"/>
        <v>3.4456928838951309E-2</v>
      </c>
      <c r="AI548" s="100">
        <f t="shared" si="921"/>
        <v>2.7715355805243445E-2</v>
      </c>
    </row>
    <row r="549" spans="1:35" s="86" customFormat="1" ht="18.75" customHeight="1" x14ac:dyDescent="0.3">
      <c r="A549" s="106"/>
      <c r="B549" s="106" t="s">
        <v>52</v>
      </c>
      <c r="C549" s="118">
        <v>47972</v>
      </c>
      <c r="D549" s="310">
        <v>13264558</v>
      </c>
      <c r="E549" s="157" t="s">
        <v>408</v>
      </c>
      <c r="F549" s="83">
        <v>1320</v>
      </c>
      <c r="G549" s="83"/>
      <c r="H549" s="83"/>
      <c r="I549" s="83"/>
      <c r="J549" s="83"/>
      <c r="K549" s="83"/>
      <c r="L549" s="83"/>
      <c r="M549" s="83"/>
      <c r="N549" s="110">
        <f>M549-F549</f>
        <v>-1320</v>
      </c>
      <c r="O549" s="110" t="s">
        <v>100</v>
      </c>
      <c r="P549" s="83"/>
      <c r="Q549" s="83"/>
      <c r="R549" s="83"/>
      <c r="S549" s="83"/>
      <c r="T549" s="110">
        <f>S549-Q549</f>
        <v>0</v>
      </c>
      <c r="U549" s="59">
        <f t="shared" si="895"/>
        <v>0</v>
      </c>
      <c r="V549" s="83"/>
      <c r="W549" s="83"/>
      <c r="X549" s="110">
        <f>W549-M549</f>
        <v>0</v>
      </c>
      <c r="Y549" s="110"/>
      <c r="Z549" s="110"/>
      <c r="AA549" s="110"/>
      <c r="AB549" s="83"/>
      <c r="AC549" s="106"/>
      <c r="AD549" s="106"/>
      <c r="AE549" s="100">
        <f t="shared" si="918"/>
        <v>-1</v>
      </c>
      <c r="AF549" s="90"/>
      <c r="AG549" s="109">
        <f t="shared" si="919"/>
        <v>-1320</v>
      </c>
      <c r="AH549" s="100">
        <f t="shared" si="920"/>
        <v>-1</v>
      </c>
      <c r="AI549" s="100">
        <f t="shared" si="921"/>
        <v>-1</v>
      </c>
    </row>
    <row r="550" spans="1:35" s="86" customFormat="1" ht="18.75" customHeight="1" x14ac:dyDescent="0.3">
      <c r="A550" s="106"/>
      <c r="B550" s="106" t="s">
        <v>52</v>
      </c>
      <c r="C550" s="118">
        <v>47972</v>
      </c>
      <c r="D550" s="311"/>
      <c r="E550" s="157" t="s">
        <v>452</v>
      </c>
      <c r="F550" s="83">
        <v>1320</v>
      </c>
      <c r="G550" s="83"/>
      <c r="H550" s="83"/>
      <c r="I550" s="83"/>
      <c r="J550" s="83"/>
      <c r="K550" s="83"/>
      <c r="L550" s="83"/>
      <c r="M550" s="83"/>
      <c r="N550" s="110">
        <f>M550-F550</f>
        <v>-1320</v>
      </c>
      <c r="O550" s="110" t="s">
        <v>100</v>
      </c>
      <c r="P550" s="83"/>
      <c r="Q550" s="83"/>
      <c r="R550" s="83"/>
      <c r="S550" s="83"/>
      <c r="T550" s="110">
        <f>S550-Q550</f>
        <v>0</v>
      </c>
      <c r="U550" s="59">
        <f t="shared" si="895"/>
        <v>0</v>
      </c>
      <c r="V550" s="83"/>
      <c r="W550" s="83"/>
      <c r="X550" s="110">
        <f>W550-M550</f>
        <v>0</v>
      </c>
      <c r="Y550" s="110"/>
      <c r="Z550" s="110"/>
      <c r="AA550" s="110"/>
      <c r="AB550" s="83"/>
      <c r="AC550" s="106"/>
      <c r="AD550" s="106"/>
      <c r="AE550" s="100">
        <f t="shared" si="918"/>
        <v>-1</v>
      </c>
      <c r="AF550" s="90"/>
      <c r="AG550" s="109">
        <f t="shared" si="919"/>
        <v>-1320</v>
      </c>
      <c r="AH550" s="100">
        <f t="shared" si="920"/>
        <v>-1</v>
      </c>
      <c r="AI550" s="100">
        <f t="shared" si="921"/>
        <v>-1</v>
      </c>
    </row>
    <row r="551" spans="1:35" s="82" customFormat="1" ht="16.5" customHeight="1" x14ac:dyDescent="0.3">
      <c r="A551" s="90" t="s">
        <v>46</v>
      </c>
      <c r="B551" s="90" t="s">
        <v>52</v>
      </c>
      <c r="C551" s="137"/>
      <c r="D551" s="90"/>
      <c r="E551" s="80"/>
      <c r="F551" s="81">
        <f>SUM(F549:F550)</f>
        <v>2640</v>
      </c>
      <c r="G551" s="81"/>
      <c r="H551" s="81" t="s">
        <v>50</v>
      </c>
      <c r="I551" s="81"/>
      <c r="J551" s="81"/>
      <c r="K551" s="85" t="s">
        <v>330</v>
      </c>
      <c r="L551" s="81">
        <f>SUM(L549:L550)</f>
        <v>0</v>
      </c>
      <c r="M551" s="81">
        <f>SUM(M549:M550)</f>
        <v>0</v>
      </c>
      <c r="N551" s="81">
        <f>SUM(N549:N550)</f>
        <v>-2640</v>
      </c>
      <c r="O551" s="81"/>
      <c r="P551" s="81">
        <f>SUM(P549:P550)</f>
        <v>0</v>
      </c>
      <c r="Q551" s="81">
        <f>SUM(Q549:Q550)</f>
        <v>0</v>
      </c>
      <c r="R551" s="81">
        <f>SUM(R549:R550)</f>
        <v>0</v>
      </c>
      <c r="S551" s="81">
        <f>SUM(S549:S550)</f>
        <v>0</v>
      </c>
      <c r="T551" s="81">
        <f>SUM(T549:T550)</f>
        <v>0</v>
      </c>
      <c r="U551" s="59">
        <f t="shared" si="895"/>
        <v>0</v>
      </c>
      <c r="V551" s="81">
        <f>SUM(V549:V550)</f>
        <v>0</v>
      </c>
      <c r="W551" s="81">
        <f>SUM(W549:W550)</f>
        <v>0</v>
      </c>
      <c r="X551" s="81">
        <f>SUM(X549:X550)</f>
        <v>0</v>
      </c>
      <c r="Y551" s="81" t="s">
        <v>47</v>
      </c>
      <c r="Z551" s="110" t="s">
        <v>45</v>
      </c>
      <c r="AA551" s="110"/>
      <c r="AB551" s="84"/>
      <c r="AC551" s="136"/>
      <c r="AD551" s="136"/>
      <c r="AE551" s="100">
        <f t="shared" si="918"/>
        <v>-1</v>
      </c>
      <c r="AF551" s="90"/>
      <c r="AG551" s="109">
        <f t="shared" si="919"/>
        <v>-2640</v>
      </c>
      <c r="AH551" s="100">
        <f t="shared" si="920"/>
        <v>-1</v>
      </c>
      <c r="AI551" s="100">
        <f t="shared" si="921"/>
        <v>-1</v>
      </c>
    </row>
    <row r="552" spans="1:35" s="86" customFormat="1" ht="18.75" customHeight="1" x14ac:dyDescent="0.3">
      <c r="A552" s="106"/>
      <c r="B552" s="106" t="s">
        <v>52</v>
      </c>
      <c r="C552" s="118" t="s">
        <v>390</v>
      </c>
      <c r="D552" s="315">
        <v>13225095</v>
      </c>
      <c r="E552" s="157" t="s">
        <v>831</v>
      </c>
      <c r="F552" s="83">
        <v>2672</v>
      </c>
      <c r="G552" s="83"/>
      <c r="H552" s="83"/>
      <c r="I552" s="83"/>
      <c r="J552" s="83"/>
      <c r="K552" s="83"/>
      <c r="L552" s="83"/>
      <c r="M552" s="83">
        <f>1287+932+567</f>
        <v>2786</v>
      </c>
      <c r="N552" s="110">
        <f>M552-F552</f>
        <v>114</v>
      </c>
      <c r="O552" s="110" t="s">
        <v>100</v>
      </c>
      <c r="P552" s="83"/>
      <c r="Q552" s="83">
        <f>1282+915+566</f>
        <v>2763</v>
      </c>
      <c r="R552" s="83"/>
      <c r="S552" s="83">
        <f>2452+280+18</f>
        <v>2750</v>
      </c>
      <c r="T552" s="110">
        <f>S552-Q552</f>
        <v>-13</v>
      </c>
      <c r="U552" s="59">
        <f t="shared" si="895"/>
        <v>0</v>
      </c>
      <c r="V552" s="83"/>
      <c r="W552" s="83">
        <f>563+2187</f>
        <v>2750</v>
      </c>
      <c r="X552" s="110">
        <f>W552-M552</f>
        <v>-36</v>
      </c>
      <c r="Y552" s="110"/>
      <c r="Z552" s="110"/>
      <c r="AA552" s="110"/>
      <c r="AB552" s="83"/>
      <c r="AC552" s="106"/>
      <c r="AD552" s="106"/>
      <c r="AE552" s="100">
        <f t="shared" si="918"/>
        <v>4.2664670658682638E-2</v>
      </c>
      <c r="AF552" s="90"/>
      <c r="AG552" s="109">
        <f t="shared" si="919"/>
        <v>0</v>
      </c>
      <c r="AH552" s="100">
        <f t="shared" si="920"/>
        <v>2.9191616766467067E-2</v>
      </c>
      <c r="AI552" s="100">
        <f t="shared" si="921"/>
        <v>2.9191616766467067E-2</v>
      </c>
    </row>
    <row r="553" spans="1:35" s="86" customFormat="1" ht="18.75" customHeight="1" x14ac:dyDescent="0.3">
      <c r="A553" s="106"/>
      <c r="B553" s="106" t="s">
        <v>52</v>
      </c>
      <c r="C553" s="118" t="s">
        <v>390</v>
      </c>
      <c r="D553" s="316"/>
      <c r="E553" s="157" t="s">
        <v>830</v>
      </c>
      <c r="F553" s="83">
        <v>2000</v>
      </c>
      <c r="G553" s="83"/>
      <c r="H553" s="83"/>
      <c r="I553" s="83"/>
      <c r="J553" s="83"/>
      <c r="K553" s="83"/>
      <c r="L553" s="83"/>
      <c r="M553" s="83">
        <f>870+1229</f>
        <v>2099</v>
      </c>
      <c r="N553" s="110">
        <f>M553-F553</f>
        <v>99</v>
      </c>
      <c r="O553" s="110" t="s">
        <v>100</v>
      </c>
      <c r="P553" s="83"/>
      <c r="Q553" s="83">
        <f>847+1207+9+20</f>
        <v>2083</v>
      </c>
      <c r="R553" s="83"/>
      <c r="S553" s="83">
        <f>1991+57</f>
        <v>2048</v>
      </c>
      <c r="T553" s="110">
        <f>S553-Q553</f>
        <v>-35</v>
      </c>
      <c r="U553" s="59">
        <f t="shared" si="895"/>
        <v>4</v>
      </c>
      <c r="V553" s="83"/>
      <c r="W553" s="83">
        <v>2044</v>
      </c>
      <c r="X553" s="110">
        <f>W553-M553</f>
        <v>-55</v>
      </c>
      <c r="Y553" s="110"/>
      <c r="Z553" s="110"/>
      <c r="AA553" s="110"/>
      <c r="AB553" s="83"/>
      <c r="AC553" s="106"/>
      <c r="AD553" s="106"/>
      <c r="AE553" s="100">
        <f t="shared" si="918"/>
        <v>4.9500000000000002E-2</v>
      </c>
      <c r="AF553" s="90"/>
      <c r="AG553" s="109">
        <f t="shared" si="919"/>
        <v>0</v>
      </c>
      <c r="AH553" s="100">
        <f t="shared" si="920"/>
        <v>2.4E-2</v>
      </c>
      <c r="AI553" s="100">
        <f t="shared" si="921"/>
        <v>2.1999999999999999E-2</v>
      </c>
    </row>
    <row r="554" spans="1:35" s="86" customFormat="1" ht="18.75" customHeight="1" x14ac:dyDescent="0.3">
      <c r="A554" s="106"/>
      <c r="B554" s="106" t="s">
        <v>52</v>
      </c>
      <c r="C554" s="118" t="s">
        <v>390</v>
      </c>
      <c r="D554" s="316"/>
      <c r="E554" s="157" t="s">
        <v>829</v>
      </c>
      <c r="F554" s="83">
        <v>8662</v>
      </c>
      <c r="G554" s="83"/>
      <c r="H554" s="83"/>
      <c r="I554" s="83"/>
      <c r="J554" s="83"/>
      <c r="K554" s="83"/>
      <c r="L554" s="83"/>
      <c r="M554" s="83">
        <f>236+1489+893+500+1681+1622+1293+1070</f>
        <v>8784</v>
      </c>
      <c r="N554" s="110">
        <f>M554-F554</f>
        <v>122</v>
      </c>
      <c r="O554" s="110" t="s">
        <v>100</v>
      </c>
      <c r="P554" s="83"/>
      <c r="Q554" s="83">
        <f>234+1476+1374+1635+1580+1276+1046</f>
        <v>8621</v>
      </c>
      <c r="R554" s="83"/>
      <c r="S554" s="83">
        <f>6286+2082+195</f>
        <v>8563</v>
      </c>
      <c r="T554" s="110">
        <f>S554-Q554</f>
        <v>-58</v>
      </c>
      <c r="U554" s="59">
        <f t="shared" si="895"/>
        <v>0</v>
      </c>
      <c r="V554" s="83"/>
      <c r="W554" s="83">
        <f>1355+1462+2297+1874+1575</f>
        <v>8563</v>
      </c>
      <c r="X554" s="110">
        <f>W554-M554</f>
        <v>-221</v>
      </c>
      <c r="Y554" s="110"/>
      <c r="Z554" s="110"/>
      <c r="AA554" s="110"/>
      <c r="AB554" s="83"/>
      <c r="AC554" s="106"/>
      <c r="AD554" s="106"/>
      <c r="AE554" s="100">
        <f t="shared" ref="AE554" si="926">N554/F554</f>
        <v>1.4084507042253521E-2</v>
      </c>
      <c r="AF554" s="90"/>
      <c r="AG554" s="109">
        <f t="shared" ref="AG554" si="927">IF(N554&lt;0,N554,0)</f>
        <v>0</v>
      </c>
      <c r="AH554" s="100">
        <f t="shared" ref="AH554" si="928">(S554-F554)/F554</f>
        <v>-1.1429231124451628E-2</v>
      </c>
      <c r="AI554" s="100">
        <f t="shared" ref="AI554" si="929">(W554-F554)/F554</f>
        <v>-1.1429231124451628E-2</v>
      </c>
    </row>
    <row r="555" spans="1:35" s="82" customFormat="1" ht="16.5" customHeight="1" x14ac:dyDescent="0.3">
      <c r="A555" s="90" t="s">
        <v>46</v>
      </c>
      <c r="B555" s="90" t="s">
        <v>52</v>
      </c>
      <c r="C555" s="137"/>
      <c r="D555" s="90"/>
      <c r="E555" s="80"/>
      <c r="F555" s="81">
        <f>SUM(F552:F554)</f>
        <v>13334</v>
      </c>
      <c r="G555" s="81"/>
      <c r="H555" s="81" t="s">
        <v>50</v>
      </c>
      <c r="I555" s="81"/>
      <c r="J555" s="81" t="s">
        <v>59</v>
      </c>
      <c r="K555" s="85" t="s">
        <v>290</v>
      </c>
      <c r="L555" s="81">
        <f>SUM(L552:L554)</f>
        <v>0</v>
      </c>
      <c r="M555" s="81">
        <f>SUM(M552:M554)</f>
        <v>13669</v>
      </c>
      <c r="N555" s="81">
        <f>SUM(N552:N554)</f>
        <v>335</v>
      </c>
      <c r="O555" s="81" t="s">
        <v>248</v>
      </c>
      <c r="P555" s="81">
        <f>SUM(P552:P554)</f>
        <v>0</v>
      </c>
      <c r="Q555" s="81">
        <f>SUM(Q552:Q554)</f>
        <v>13467</v>
      </c>
      <c r="R555" s="81">
        <f>SUM(R552:R554)</f>
        <v>0</v>
      </c>
      <c r="S555" s="81">
        <f>SUM(S552:S554)</f>
        <v>13361</v>
      </c>
      <c r="T555" s="81">
        <f>SUM(T552:T554)</f>
        <v>-106</v>
      </c>
      <c r="U555" s="59">
        <f t="shared" si="895"/>
        <v>4</v>
      </c>
      <c r="V555" s="81">
        <f>SUM(V552:V554)</f>
        <v>0</v>
      </c>
      <c r="W555" s="81">
        <f>SUM(W552:W554)</f>
        <v>13357</v>
      </c>
      <c r="X555" s="81">
        <f>SUM(X552:X554)</f>
        <v>-312</v>
      </c>
      <c r="Y555" s="81" t="s">
        <v>47</v>
      </c>
      <c r="Z555" s="110" t="s">
        <v>45</v>
      </c>
      <c r="AA555" s="110"/>
      <c r="AB555" s="84"/>
      <c r="AC555" s="136"/>
      <c r="AD555" s="136"/>
      <c r="AE555" s="100">
        <f t="shared" si="918"/>
        <v>2.5123743812809358E-2</v>
      </c>
      <c r="AF555" s="90"/>
      <c r="AG555" s="109">
        <f t="shared" si="919"/>
        <v>0</v>
      </c>
      <c r="AH555" s="100">
        <f t="shared" si="920"/>
        <v>2.0248987550622469E-3</v>
      </c>
      <c r="AI555" s="100">
        <f t="shared" si="921"/>
        <v>1.7249137543122843E-3</v>
      </c>
    </row>
    <row r="556" spans="1:35" s="86" customFormat="1" ht="18.75" customHeight="1" x14ac:dyDescent="0.3">
      <c r="A556" s="106"/>
      <c r="B556" s="106" t="s">
        <v>52</v>
      </c>
      <c r="C556" s="118" t="s">
        <v>778</v>
      </c>
      <c r="D556" s="253">
        <v>13225095</v>
      </c>
      <c r="E556" s="157" t="s">
        <v>831</v>
      </c>
      <c r="F556" s="83">
        <v>1520</v>
      </c>
      <c r="G556" s="83"/>
      <c r="H556" s="83"/>
      <c r="I556" s="83"/>
      <c r="J556" s="83"/>
      <c r="K556" s="83"/>
      <c r="L556" s="83"/>
      <c r="M556" s="83">
        <v>1587</v>
      </c>
      <c r="N556" s="110">
        <f>M556-F556</f>
        <v>67</v>
      </c>
      <c r="O556" s="110" t="s">
        <v>100</v>
      </c>
      <c r="P556" s="83"/>
      <c r="Q556" s="83">
        <f>1560+12</f>
        <v>1572</v>
      </c>
      <c r="R556" s="83"/>
      <c r="S556" s="83">
        <v>1568</v>
      </c>
      <c r="T556" s="110">
        <f>S556-Q556</f>
        <v>-4</v>
      </c>
      <c r="U556" s="59">
        <f t="shared" ref="U556:U562" si="930">IF(Q556&gt;0,S556-W556,M556-W556)</f>
        <v>14</v>
      </c>
      <c r="V556" s="83"/>
      <c r="W556" s="83">
        <v>1554</v>
      </c>
      <c r="X556" s="110">
        <f>W556-M556</f>
        <v>-33</v>
      </c>
      <c r="Y556" s="110"/>
      <c r="Z556" s="110"/>
      <c r="AA556" s="110"/>
      <c r="AB556" s="83"/>
      <c r="AC556" s="106"/>
      <c r="AD556" s="106"/>
      <c r="AE556" s="100">
        <f t="shared" ref="AE556:AE562" si="931">N556/F556</f>
        <v>4.4078947368421051E-2</v>
      </c>
      <c r="AF556" s="90"/>
      <c r="AG556" s="109">
        <f t="shared" ref="AG556:AG562" si="932">IF(N556&lt;0,N556,0)</f>
        <v>0</v>
      </c>
      <c r="AH556" s="100">
        <f t="shared" ref="AH556:AH562" si="933">(S556-F556)/F556</f>
        <v>3.1578947368421054E-2</v>
      </c>
      <c r="AI556" s="100">
        <f t="shared" ref="AI556:AI562" si="934">(W556-F556)/F556</f>
        <v>2.2368421052631579E-2</v>
      </c>
    </row>
    <row r="557" spans="1:35" s="82" customFormat="1" ht="16.5" customHeight="1" x14ac:dyDescent="0.3">
      <c r="A557" s="90" t="s">
        <v>46</v>
      </c>
      <c r="B557" s="90" t="s">
        <v>52</v>
      </c>
      <c r="C557" s="137"/>
      <c r="D557" s="90"/>
      <c r="E557" s="80"/>
      <c r="F557" s="81">
        <f>SUM(F556:F556)</f>
        <v>1520</v>
      </c>
      <c r="G557" s="81"/>
      <c r="H557" s="81" t="s">
        <v>50</v>
      </c>
      <c r="I557" s="81"/>
      <c r="J557" s="81" t="s">
        <v>59</v>
      </c>
      <c r="K557" s="85" t="s">
        <v>377</v>
      </c>
      <c r="L557" s="81">
        <f>SUM(L556:L556)</f>
        <v>0</v>
      </c>
      <c r="M557" s="81">
        <f>SUM(M556:M556)</f>
        <v>1587</v>
      </c>
      <c r="N557" s="81">
        <f>SUM(N556:N556)</f>
        <v>67</v>
      </c>
      <c r="O557" s="81" t="s">
        <v>272</v>
      </c>
      <c r="P557" s="81">
        <f>SUM(P556:P556)</f>
        <v>0</v>
      </c>
      <c r="Q557" s="81">
        <f>SUM(Q556:Q556)</f>
        <v>1572</v>
      </c>
      <c r="R557" s="81">
        <f>SUM(R556:R556)</f>
        <v>0</v>
      </c>
      <c r="S557" s="81">
        <f>SUM(S556:S556)</f>
        <v>1568</v>
      </c>
      <c r="T557" s="81">
        <f>SUM(T556:T556)</f>
        <v>-4</v>
      </c>
      <c r="U557" s="59">
        <f t="shared" si="930"/>
        <v>14</v>
      </c>
      <c r="V557" s="81">
        <f>SUM(V556:V556)</f>
        <v>0</v>
      </c>
      <c r="W557" s="81">
        <f>SUM(W556:W556)</f>
        <v>1554</v>
      </c>
      <c r="X557" s="81">
        <f>SUM(X556:X556)</f>
        <v>-33</v>
      </c>
      <c r="Y557" s="81" t="s">
        <v>47</v>
      </c>
      <c r="Z557" s="110" t="s">
        <v>45</v>
      </c>
      <c r="AA557" s="110"/>
      <c r="AB557" s="84"/>
      <c r="AC557" s="136"/>
      <c r="AD557" s="136"/>
      <c r="AE557" s="100">
        <f t="shared" si="931"/>
        <v>4.4078947368421051E-2</v>
      </c>
      <c r="AF557" s="90"/>
      <c r="AG557" s="109">
        <f t="shared" si="932"/>
        <v>0</v>
      </c>
      <c r="AH557" s="100">
        <f t="shared" si="933"/>
        <v>3.1578947368421054E-2</v>
      </c>
      <c r="AI557" s="100">
        <f t="shared" si="934"/>
        <v>2.2368421052631579E-2</v>
      </c>
    </row>
    <row r="558" spans="1:35" s="86" customFormat="1" ht="18.75" customHeight="1" x14ac:dyDescent="0.3">
      <c r="A558" s="106"/>
      <c r="B558" s="106" t="s">
        <v>52</v>
      </c>
      <c r="C558" s="118" t="s">
        <v>779</v>
      </c>
      <c r="D558" s="310">
        <v>13225095</v>
      </c>
      <c r="E558" s="157" t="s">
        <v>831</v>
      </c>
      <c r="F558" s="83">
        <v>2560</v>
      </c>
      <c r="G558" s="83"/>
      <c r="H558" s="83"/>
      <c r="I558" s="83"/>
      <c r="J558" s="83"/>
      <c r="K558" s="83"/>
      <c r="L558" s="83"/>
      <c r="M558" s="83"/>
      <c r="N558" s="110">
        <f>M558-F558</f>
        <v>-2560</v>
      </c>
      <c r="O558" s="110" t="s">
        <v>100</v>
      </c>
      <c r="P558" s="83"/>
      <c r="Q558" s="83"/>
      <c r="R558" s="83"/>
      <c r="S558" s="83"/>
      <c r="T558" s="110">
        <f>S558-Q558</f>
        <v>0</v>
      </c>
      <c r="U558" s="59">
        <f t="shared" ref="U558:U560" si="935">IF(Q558&gt;0,S558-W558,M558-W558)</f>
        <v>0</v>
      </c>
      <c r="V558" s="83"/>
      <c r="W558" s="83"/>
      <c r="X558" s="110">
        <f>W558-M558</f>
        <v>0</v>
      </c>
      <c r="Y558" s="110"/>
      <c r="Z558" s="110"/>
      <c r="AA558" s="110"/>
      <c r="AB558" s="83"/>
      <c r="AC558" s="106"/>
      <c r="AD558" s="106"/>
      <c r="AE558" s="100">
        <f t="shared" ref="AE558:AE560" si="936">N558/F558</f>
        <v>-1</v>
      </c>
      <c r="AF558" s="90"/>
      <c r="AG558" s="109">
        <f t="shared" ref="AG558:AG560" si="937">IF(N558&lt;0,N558,0)</f>
        <v>-2560</v>
      </c>
      <c r="AH558" s="100">
        <f t="shared" ref="AH558:AH560" si="938">(S558-F558)/F558</f>
        <v>-1</v>
      </c>
      <c r="AI558" s="100">
        <f t="shared" ref="AI558:AI560" si="939">(W558-F558)/F558</f>
        <v>-1</v>
      </c>
    </row>
    <row r="559" spans="1:35" s="86" customFormat="1" ht="18.75" customHeight="1" x14ac:dyDescent="0.3">
      <c r="A559" s="106"/>
      <c r="B559" s="106" t="s">
        <v>52</v>
      </c>
      <c r="C559" s="118" t="s">
        <v>779</v>
      </c>
      <c r="D559" s="311"/>
      <c r="E559" s="157" t="s">
        <v>830</v>
      </c>
      <c r="F559" s="83">
        <v>1520</v>
      </c>
      <c r="G559" s="83"/>
      <c r="H559" s="83"/>
      <c r="I559" s="83"/>
      <c r="J559" s="83"/>
      <c r="K559" s="83"/>
      <c r="L559" s="83"/>
      <c r="M559" s="83"/>
      <c r="N559" s="110">
        <f>M559-F559</f>
        <v>-1520</v>
      </c>
      <c r="O559" s="110" t="s">
        <v>100</v>
      </c>
      <c r="P559" s="83"/>
      <c r="Q559" s="83"/>
      <c r="R559" s="83"/>
      <c r="S559" s="83"/>
      <c r="T559" s="110">
        <f>S559-Q559</f>
        <v>0</v>
      </c>
      <c r="U559" s="59">
        <f t="shared" si="935"/>
        <v>0</v>
      </c>
      <c r="V559" s="83"/>
      <c r="W559" s="83"/>
      <c r="X559" s="110">
        <f>W559-M559</f>
        <v>0</v>
      </c>
      <c r="Y559" s="110"/>
      <c r="Z559" s="110"/>
      <c r="AA559" s="110"/>
      <c r="AB559" s="83"/>
      <c r="AC559" s="106"/>
      <c r="AD559" s="106"/>
      <c r="AE559" s="100">
        <f t="shared" si="936"/>
        <v>-1</v>
      </c>
      <c r="AF559" s="90"/>
      <c r="AG559" s="109">
        <f t="shared" si="937"/>
        <v>-1520</v>
      </c>
      <c r="AH559" s="100">
        <f t="shared" si="938"/>
        <v>-1</v>
      </c>
      <c r="AI559" s="100">
        <f t="shared" si="939"/>
        <v>-1</v>
      </c>
    </row>
    <row r="560" spans="1:35" s="82" customFormat="1" ht="16.5" customHeight="1" x14ac:dyDescent="0.3">
      <c r="A560" s="90" t="s">
        <v>46</v>
      </c>
      <c r="B560" s="90" t="s">
        <v>52</v>
      </c>
      <c r="C560" s="137"/>
      <c r="D560" s="90"/>
      <c r="E560" s="80"/>
      <c r="F560" s="81">
        <f>SUM(F558:F559)</f>
        <v>4080</v>
      </c>
      <c r="G560" s="81"/>
      <c r="H560" s="81" t="s">
        <v>50</v>
      </c>
      <c r="I560" s="81"/>
      <c r="J560" s="81" t="s">
        <v>60</v>
      </c>
      <c r="K560" s="85" t="s">
        <v>436</v>
      </c>
      <c r="L560" s="81">
        <f>SUM(L558:L559)</f>
        <v>0</v>
      </c>
      <c r="M560" s="81">
        <f>SUM(M558:M559)</f>
        <v>0</v>
      </c>
      <c r="N560" s="81">
        <f>SUM(N558:N559)</f>
        <v>-4080</v>
      </c>
      <c r="O560" s="81"/>
      <c r="P560" s="81">
        <f>SUM(P558:P559)</f>
        <v>0</v>
      </c>
      <c r="Q560" s="81">
        <f>SUM(Q558:Q559)</f>
        <v>0</v>
      </c>
      <c r="R560" s="81">
        <f>SUM(R558:R559)</f>
        <v>0</v>
      </c>
      <c r="S560" s="81">
        <f>SUM(S558:S559)</f>
        <v>0</v>
      </c>
      <c r="T560" s="81">
        <f>SUM(T558:T559)</f>
        <v>0</v>
      </c>
      <c r="U560" s="59">
        <f t="shared" si="935"/>
        <v>0</v>
      </c>
      <c r="V560" s="81">
        <f>SUM(V558:V559)</f>
        <v>0</v>
      </c>
      <c r="W560" s="81">
        <f>SUM(W558:W559)</f>
        <v>0</v>
      </c>
      <c r="X560" s="81">
        <f>SUM(X558:X559)</f>
        <v>0</v>
      </c>
      <c r="Y560" s="81" t="s">
        <v>47</v>
      </c>
      <c r="Z560" s="110" t="s">
        <v>45</v>
      </c>
      <c r="AA560" s="110"/>
      <c r="AB560" s="84"/>
      <c r="AC560" s="136"/>
      <c r="AD560" s="136"/>
      <c r="AE560" s="100">
        <f t="shared" si="936"/>
        <v>-1</v>
      </c>
      <c r="AF560" s="90"/>
      <c r="AG560" s="109">
        <f t="shared" si="937"/>
        <v>-4080</v>
      </c>
      <c r="AH560" s="100">
        <f t="shared" si="938"/>
        <v>-1</v>
      </c>
      <c r="AI560" s="100">
        <f t="shared" si="939"/>
        <v>-1</v>
      </c>
    </row>
    <row r="561" spans="1:35" s="86" customFormat="1" ht="18.75" customHeight="1" x14ac:dyDescent="0.3">
      <c r="A561" s="106"/>
      <c r="B561" s="106" t="s">
        <v>52</v>
      </c>
      <c r="C561" s="118" t="s">
        <v>780</v>
      </c>
      <c r="D561" s="253">
        <v>13225095</v>
      </c>
      <c r="E561" s="157" t="s">
        <v>831</v>
      </c>
      <c r="F561" s="83">
        <v>2560</v>
      </c>
      <c r="G561" s="83"/>
      <c r="H561" s="83"/>
      <c r="I561" s="83"/>
      <c r="J561" s="83"/>
      <c r="K561" s="83"/>
      <c r="L561" s="83"/>
      <c r="M561" s="83"/>
      <c r="N561" s="110">
        <f>M561-F561</f>
        <v>-2560</v>
      </c>
      <c r="O561" s="110" t="s">
        <v>100</v>
      </c>
      <c r="P561" s="83"/>
      <c r="Q561" s="83"/>
      <c r="R561" s="83"/>
      <c r="S561" s="83"/>
      <c r="T561" s="110">
        <f>S561-Q561</f>
        <v>0</v>
      </c>
      <c r="U561" s="59">
        <f t="shared" si="930"/>
        <v>0</v>
      </c>
      <c r="V561" s="83"/>
      <c r="W561" s="83"/>
      <c r="X561" s="110">
        <f>W561-M561</f>
        <v>0</v>
      </c>
      <c r="Y561" s="110"/>
      <c r="Z561" s="110"/>
      <c r="AA561" s="110"/>
      <c r="AB561" s="83"/>
      <c r="AC561" s="106"/>
      <c r="AD561" s="106"/>
      <c r="AE561" s="100">
        <f t="shared" si="931"/>
        <v>-1</v>
      </c>
      <c r="AF561" s="90"/>
      <c r="AG561" s="109">
        <f t="shared" si="932"/>
        <v>-2560</v>
      </c>
      <c r="AH561" s="100">
        <f t="shared" si="933"/>
        <v>-1</v>
      </c>
      <c r="AI561" s="100">
        <f t="shared" si="934"/>
        <v>-1</v>
      </c>
    </row>
    <row r="562" spans="1:35" s="82" customFormat="1" ht="16.5" customHeight="1" x14ac:dyDescent="0.3">
      <c r="A562" s="90" t="s">
        <v>46</v>
      </c>
      <c r="B562" s="90" t="s">
        <v>52</v>
      </c>
      <c r="C562" s="137"/>
      <c r="D562" s="90"/>
      <c r="E562" s="80"/>
      <c r="F562" s="81">
        <f>SUM(F561:F561)</f>
        <v>2560</v>
      </c>
      <c r="G562" s="81"/>
      <c r="H562" s="81" t="s">
        <v>50</v>
      </c>
      <c r="I562" s="81"/>
      <c r="J562" s="81" t="s">
        <v>60</v>
      </c>
      <c r="K562" s="85" t="s">
        <v>401</v>
      </c>
      <c r="L562" s="81">
        <f>SUM(L561:L561)</f>
        <v>0</v>
      </c>
      <c r="M562" s="81">
        <f>SUM(M561:M561)</f>
        <v>0</v>
      </c>
      <c r="N562" s="81">
        <f>SUM(N561:N561)</f>
        <v>-2560</v>
      </c>
      <c r="O562" s="81"/>
      <c r="P562" s="81">
        <f>SUM(P561:P561)</f>
        <v>0</v>
      </c>
      <c r="Q562" s="81">
        <f>SUM(Q561:Q561)</f>
        <v>0</v>
      </c>
      <c r="R562" s="81">
        <f>SUM(R561:R561)</f>
        <v>0</v>
      </c>
      <c r="S562" s="81">
        <f>SUM(S561:S561)</f>
        <v>0</v>
      </c>
      <c r="T562" s="81">
        <f>SUM(T561:T561)</f>
        <v>0</v>
      </c>
      <c r="U562" s="59">
        <f t="shared" si="930"/>
        <v>0</v>
      </c>
      <c r="V562" s="81">
        <f>SUM(V561:V561)</f>
        <v>0</v>
      </c>
      <c r="W562" s="81">
        <f>SUM(W561:W561)</f>
        <v>0</v>
      </c>
      <c r="X562" s="81">
        <f>SUM(X561:X561)</f>
        <v>0</v>
      </c>
      <c r="Y562" s="81" t="s">
        <v>47</v>
      </c>
      <c r="Z562" s="110" t="s">
        <v>45</v>
      </c>
      <c r="AA562" s="110"/>
      <c r="AB562" s="84"/>
      <c r="AC562" s="136"/>
      <c r="AD562" s="136"/>
      <c r="AE562" s="100">
        <f t="shared" si="931"/>
        <v>-1</v>
      </c>
      <c r="AF562" s="90"/>
      <c r="AG562" s="109">
        <f t="shared" si="932"/>
        <v>-2560</v>
      </c>
      <c r="AH562" s="100">
        <f t="shared" si="933"/>
        <v>-1</v>
      </c>
      <c r="AI562" s="100">
        <f t="shared" si="934"/>
        <v>-1</v>
      </c>
    </row>
    <row r="563" spans="1:35" s="86" customFormat="1" ht="18.75" customHeight="1" x14ac:dyDescent="0.3">
      <c r="A563" s="106"/>
      <c r="B563" s="106" t="s">
        <v>52</v>
      </c>
      <c r="C563" s="118">
        <v>47979</v>
      </c>
      <c r="D563" s="310">
        <v>13263751</v>
      </c>
      <c r="E563" s="157" t="s">
        <v>402</v>
      </c>
      <c r="F563" s="83">
        <v>1129</v>
      </c>
      <c r="G563" s="83"/>
      <c r="H563" s="83"/>
      <c r="I563" s="83"/>
      <c r="J563" s="83"/>
      <c r="K563" s="83"/>
      <c r="L563" s="83">
        <v>32</v>
      </c>
      <c r="M563" s="83">
        <f>909+180+80+32</f>
        <v>1201</v>
      </c>
      <c r="N563" s="110">
        <f>M563-F563</f>
        <v>72</v>
      </c>
      <c r="O563" s="110" t="s">
        <v>100</v>
      </c>
      <c r="P563" s="83">
        <v>32</v>
      </c>
      <c r="Q563" s="83">
        <f>909+180+80+32</f>
        <v>1201</v>
      </c>
      <c r="R563" s="83"/>
      <c r="S563" s="83">
        <f>1162</f>
        <v>1162</v>
      </c>
      <c r="T563" s="110">
        <f>S563-Q563</f>
        <v>-39</v>
      </c>
      <c r="U563" s="59">
        <f t="shared" si="895"/>
        <v>22</v>
      </c>
      <c r="V563" s="83"/>
      <c r="W563" s="83">
        <f>1140</f>
        <v>1140</v>
      </c>
      <c r="X563" s="110">
        <f>W563-M563</f>
        <v>-61</v>
      </c>
      <c r="Y563" s="110"/>
      <c r="Z563" s="110"/>
      <c r="AA563" s="110"/>
      <c r="AB563" s="83"/>
      <c r="AC563" s="106"/>
      <c r="AD563" s="106"/>
      <c r="AE563" s="100">
        <f t="shared" si="918"/>
        <v>6.3773250664304698E-2</v>
      </c>
      <c r="AF563" s="90"/>
      <c r="AG563" s="109">
        <f t="shared" si="919"/>
        <v>0</v>
      </c>
      <c r="AH563" s="100">
        <f t="shared" si="920"/>
        <v>2.9229406554472984E-2</v>
      </c>
      <c r="AI563" s="100">
        <f t="shared" si="921"/>
        <v>9.7431355181576609E-3</v>
      </c>
    </row>
    <row r="564" spans="1:35" s="86" customFormat="1" ht="18.75" customHeight="1" x14ac:dyDescent="0.3">
      <c r="A564" s="106"/>
      <c r="B564" s="106" t="s">
        <v>52</v>
      </c>
      <c r="C564" s="118">
        <v>47979</v>
      </c>
      <c r="D564" s="311"/>
      <c r="E564" s="157" t="s">
        <v>202</v>
      </c>
      <c r="F564" s="83">
        <v>1389</v>
      </c>
      <c r="G564" s="83"/>
      <c r="H564" s="83"/>
      <c r="I564" s="83"/>
      <c r="J564" s="83"/>
      <c r="K564" s="83"/>
      <c r="L564" s="83"/>
      <c r="M564" s="83">
        <f>663+773</f>
        <v>1436</v>
      </c>
      <c r="N564" s="110">
        <f>M564-F564</f>
        <v>47</v>
      </c>
      <c r="O564" s="110" t="s">
        <v>100</v>
      </c>
      <c r="P564" s="83"/>
      <c r="Q564" s="83">
        <f>663+773</f>
        <v>1436</v>
      </c>
      <c r="R564" s="83"/>
      <c r="S564" s="83">
        <v>1428</v>
      </c>
      <c r="T564" s="110">
        <f>S564-Q564</f>
        <v>-8</v>
      </c>
      <c r="U564" s="59">
        <f t="shared" si="895"/>
        <v>17</v>
      </c>
      <c r="V564" s="83"/>
      <c r="W564" s="83">
        <f>1411</f>
        <v>1411</v>
      </c>
      <c r="X564" s="110">
        <f>W564-M564</f>
        <v>-25</v>
      </c>
      <c r="Y564" s="110"/>
      <c r="Z564" s="110"/>
      <c r="AA564" s="110"/>
      <c r="AB564" s="83"/>
      <c r="AC564" s="106"/>
      <c r="AD564" s="106"/>
      <c r="AE564" s="100">
        <f t="shared" si="918"/>
        <v>3.3837293016558675E-2</v>
      </c>
      <c r="AF564" s="90"/>
      <c r="AG564" s="109">
        <f t="shared" si="919"/>
        <v>0</v>
      </c>
      <c r="AH564" s="100">
        <f t="shared" si="920"/>
        <v>2.8077753779697623E-2</v>
      </c>
      <c r="AI564" s="100">
        <f t="shared" si="921"/>
        <v>1.5838732901367891E-2</v>
      </c>
    </row>
    <row r="565" spans="1:35" s="82" customFormat="1" ht="16.5" customHeight="1" x14ac:dyDescent="0.3">
      <c r="A565" s="90" t="s">
        <v>46</v>
      </c>
      <c r="B565" s="90" t="s">
        <v>52</v>
      </c>
      <c r="C565" s="137"/>
      <c r="D565" s="90"/>
      <c r="E565" s="80"/>
      <c r="F565" s="81">
        <f>SUM(F563:F564)</f>
        <v>2518</v>
      </c>
      <c r="G565" s="81"/>
      <c r="H565" s="81" t="s">
        <v>50</v>
      </c>
      <c r="I565" s="81"/>
      <c r="J565" s="81" t="s">
        <v>60</v>
      </c>
      <c r="K565" s="85" t="s">
        <v>340</v>
      </c>
      <c r="L565" s="81">
        <f>SUM(L563:L564)</f>
        <v>32</v>
      </c>
      <c r="M565" s="81">
        <f>SUM(M563:M564)</f>
        <v>2637</v>
      </c>
      <c r="N565" s="81">
        <f>SUM(N563:N564)</f>
        <v>119</v>
      </c>
      <c r="O565" s="81" t="s">
        <v>208</v>
      </c>
      <c r="P565" s="81">
        <f>SUM(P563:P564)</f>
        <v>32</v>
      </c>
      <c r="Q565" s="81">
        <f>SUM(Q563:Q564)</f>
        <v>2637</v>
      </c>
      <c r="R565" s="81">
        <f>SUM(R563:R564)</f>
        <v>0</v>
      </c>
      <c r="S565" s="81">
        <f>SUM(S563:S564)</f>
        <v>2590</v>
      </c>
      <c r="T565" s="81">
        <f>SUM(T563:T564)</f>
        <v>-47</v>
      </c>
      <c r="U565" s="59">
        <f t="shared" si="895"/>
        <v>39</v>
      </c>
      <c r="V565" s="81">
        <f>SUM(V563:V564)</f>
        <v>0</v>
      </c>
      <c r="W565" s="81">
        <f>SUM(W563:W564)</f>
        <v>2551</v>
      </c>
      <c r="X565" s="81">
        <f>SUM(X563:X564)</f>
        <v>-86</v>
      </c>
      <c r="Y565" s="81" t="s">
        <v>57</v>
      </c>
      <c r="Z565" s="110" t="s">
        <v>45</v>
      </c>
      <c r="AA565" s="110"/>
      <c r="AB565" s="84"/>
      <c r="AC565" s="136"/>
      <c r="AD565" s="136"/>
      <c r="AE565" s="100">
        <f t="shared" si="918"/>
        <v>4.7259729944400315E-2</v>
      </c>
      <c r="AF565" s="90"/>
      <c r="AG565" s="109">
        <f t="shared" si="919"/>
        <v>0</v>
      </c>
      <c r="AH565" s="100">
        <f t="shared" si="920"/>
        <v>2.8594122319301033E-2</v>
      </c>
      <c r="AI565" s="100">
        <f t="shared" si="921"/>
        <v>1.3105639396346307E-2</v>
      </c>
    </row>
    <row r="566" spans="1:35" s="86" customFormat="1" ht="18.75" customHeight="1" x14ac:dyDescent="0.3">
      <c r="A566" s="106"/>
      <c r="B566" s="106" t="s">
        <v>52</v>
      </c>
      <c r="C566" s="118">
        <v>47971</v>
      </c>
      <c r="D566" s="310">
        <v>13264550</v>
      </c>
      <c r="E566" s="157" t="s">
        <v>451</v>
      </c>
      <c r="F566" s="83">
        <v>840</v>
      </c>
      <c r="G566" s="83"/>
      <c r="H566" s="83"/>
      <c r="I566" s="83"/>
      <c r="J566" s="83"/>
      <c r="K566" s="83"/>
      <c r="L566" s="83"/>
      <c r="M566" s="83">
        <f>873</f>
        <v>873</v>
      </c>
      <c r="N566" s="110">
        <f>M566-F566</f>
        <v>33</v>
      </c>
      <c r="O566" s="110" t="s">
        <v>100</v>
      </c>
      <c r="P566" s="83"/>
      <c r="Q566" s="83">
        <v>857</v>
      </c>
      <c r="R566" s="83"/>
      <c r="S566" s="83"/>
      <c r="T566" s="110">
        <f>S566-Q566</f>
        <v>-857</v>
      </c>
      <c r="U566" s="59">
        <f t="shared" si="895"/>
        <v>0</v>
      </c>
      <c r="V566" s="83"/>
      <c r="W566" s="83"/>
      <c r="X566" s="110">
        <f>W566-M566</f>
        <v>-873</v>
      </c>
      <c r="Y566" s="110"/>
      <c r="Z566" s="110"/>
      <c r="AA566" s="110"/>
      <c r="AB566" s="83"/>
      <c r="AC566" s="106"/>
      <c r="AD566" s="106"/>
      <c r="AE566" s="100">
        <f t="shared" ref="AE566:AE568" si="940">N566/F566</f>
        <v>3.9285714285714285E-2</v>
      </c>
      <c r="AF566" s="90"/>
      <c r="AG566" s="109">
        <f t="shared" ref="AG566:AG568" si="941">IF(N566&lt;0,N566,0)</f>
        <v>0</v>
      </c>
      <c r="AH566" s="100">
        <f t="shared" ref="AH566:AH568" si="942">(S566-F566)/F566</f>
        <v>-1</v>
      </c>
      <c r="AI566" s="100">
        <f t="shared" ref="AI566:AI568" si="943">(W566-F566)/F566</f>
        <v>-1</v>
      </c>
    </row>
    <row r="567" spans="1:35" s="86" customFormat="1" ht="18.75" customHeight="1" x14ac:dyDescent="0.3">
      <c r="A567" s="106"/>
      <c r="B567" s="106" t="s">
        <v>52</v>
      </c>
      <c r="C567" s="118">
        <v>47971</v>
      </c>
      <c r="D567" s="311"/>
      <c r="E567" s="157" t="s">
        <v>452</v>
      </c>
      <c r="F567" s="83">
        <v>1065</v>
      </c>
      <c r="G567" s="83"/>
      <c r="H567" s="83"/>
      <c r="I567" s="83"/>
      <c r="J567" s="83"/>
      <c r="K567" s="83"/>
      <c r="L567" s="83"/>
      <c r="M567" s="83">
        <f>592+510</f>
        <v>1102</v>
      </c>
      <c r="N567" s="110">
        <f>M567-F567</f>
        <v>37</v>
      </c>
      <c r="O567" s="110" t="s">
        <v>100</v>
      </c>
      <c r="P567" s="83"/>
      <c r="Q567" s="83">
        <f>592+510</f>
        <v>1102</v>
      </c>
      <c r="R567" s="83"/>
      <c r="S567" s="83"/>
      <c r="T567" s="110">
        <f>S567-Q567</f>
        <v>-1102</v>
      </c>
      <c r="U567" s="59">
        <f t="shared" si="895"/>
        <v>0</v>
      </c>
      <c r="V567" s="83"/>
      <c r="W567" s="83"/>
      <c r="X567" s="110">
        <f>W567-M567</f>
        <v>-1102</v>
      </c>
      <c r="Y567" s="110"/>
      <c r="Z567" s="110"/>
      <c r="AA567" s="110"/>
      <c r="AB567" s="83"/>
      <c r="AC567" s="106"/>
      <c r="AD567" s="106"/>
      <c r="AE567" s="100">
        <f t="shared" si="940"/>
        <v>3.4741784037558683E-2</v>
      </c>
      <c r="AF567" s="90"/>
      <c r="AG567" s="109">
        <f t="shared" si="941"/>
        <v>0</v>
      </c>
      <c r="AH567" s="100">
        <f t="shared" si="942"/>
        <v>-1</v>
      </c>
      <c r="AI567" s="100">
        <f t="shared" si="943"/>
        <v>-1</v>
      </c>
    </row>
    <row r="568" spans="1:35" s="82" customFormat="1" ht="16.5" customHeight="1" x14ac:dyDescent="0.3">
      <c r="A568" s="90" t="s">
        <v>46</v>
      </c>
      <c r="B568" s="90" t="s">
        <v>52</v>
      </c>
      <c r="C568" s="137"/>
      <c r="D568" s="90"/>
      <c r="E568" s="80"/>
      <c r="F568" s="81">
        <f>SUM(F566:F567)</f>
        <v>1905</v>
      </c>
      <c r="G568" s="81"/>
      <c r="H568" s="81" t="s">
        <v>50</v>
      </c>
      <c r="I568" s="81"/>
      <c r="J568" s="81" t="s">
        <v>60</v>
      </c>
      <c r="K568" s="85" t="s">
        <v>330</v>
      </c>
      <c r="L568" s="81">
        <f>SUM(L566:L567)</f>
        <v>0</v>
      </c>
      <c r="M568" s="81">
        <f>SUM(M566:M567)</f>
        <v>1975</v>
      </c>
      <c r="N568" s="81">
        <f>SUM(N566:N567)</f>
        <v>70</v>
      </c>
      <c r="O568" s="81" t="s">
        <v>935</v>
      </c>
      <c r="P568" s="81">
        <f>SUM(P566:P567)</f>
        <v>0</v>
      </c>
      <c r="Q568" s="81">
        <f>SUM(Q566:Q567)</f>
        <v>1959</v>
      </c>
      <c r="R568" s="81">
        <f>SUM(R566:R567)</f>
        <v>0</v>
      </c>
      <c r="S568" s="81">
        <f>SUM(S566:S567)</f>
        <v>0</v>
      </c>
      <c r="T568" s="81">
        <f>SUM(T566:T567)</f>
        <v>-1959</v>
      </c>
      <c r="U568" s="59">
        <f t="shared" ref="U568:U610" si="944">IF(Q568&gt;0,S568-W568,M568-W568)</f>
        <v>0</v>
      </c>
      <c r="V568" s="81">
        <f>SUM(V566:V567)</f>
        <v>0</v>
      </c>
      <c r="W568" s="81">
        <f>SUM(W566:W567)</f>
        <v>0</v>
      </c>
      <c r="X568" s="81">
        <f>SUM(X566:X567)</f>
        <v>-1975</v>
      </c>
      <c r="Y568" s="81" t="s">
        <v>48</v>
      </c>
      <c r="Z568" s="110" t="s">
        <v>45</v>
      </c>
      <c r="AA568" s="110"/>
      <c r="AB568" s="84"/>
      <c r="AC568" s="136"/>
      <c r="AD568" s="136"/>
      <c r="AE568" s="100">
        <f t="shared" si="940"/>
        <v>3.6745406824146981E-2</v>
      </c>
      <c r="AF568" s="90"/>
      <c r="AG568" s="109">
        <f t="shared" si="941"/>
        <v>0</v>
      </c>
      <c r="AH568" s="100">
        <f t="shared" si="942"/>
        <v>-1</v>
      </c>
      <c r="AI568" s="100">
        <f t="shared" si="943"/>
        <v>-1</v>
      </c>
    </row>
    <row r="569" spans="1:35" s="86" customFormat="1" ht="18.75" customHeight="1" x14ac:dyDescent="0.3">
      <c r="A569" s="106"/>
      <c r="B569" s="106" t="s">
        <v>52</v>
      </c>
      <c r="C569" s="118">
        <v>47617</v>
      </c>
      <c r="D569" s="310">
        <v>13265471</v>
      </c>
      <c r="E569" s="157" t="s">
        <v>188</v>
      </c>
      <c r="F569" s="83">
        <v>975</v>
      </c>
      <c r="G569" s="83"/>
      <c r="H569" s="83"/>
      <c r="I569" s="83"/>
      <c r="J569" s="83"/>
      <c r="K569" s="83"/>
      <c r="L569" s="83"/>
      <c r="M569" s="83">
        <f>1007</f>
        <v>1007</v>
      </c>
      <c r="N569" s="110">
        <f>M569-F569</f>
        <v>32</v>
      </c>
      <c r="O569" s="110" t="s">
        <v>100</v>
      </c>
      <c r="P569" s="83"/>
      <c r="Q569" s="83">
        <f>1007</f>
        <v>1007</v>
      </c>
      <c r="R569" s="83"/>
      <c r="S569" s="83">
        <v>1007</v>
      </c>
      <c r="T569" s="110">
        <f>S569-Q569</f>
        <v>0</v>
      </c>
      <c r="U569" s="59">
        <f t="shared" si="944"/>
        <v>4</v>
      </c>
      <c r="V569" s="83"/>
      <c r="W569" s="83">
        <v>1003</v>
      </c>
      <c r="X569" s="110">
        <f>W569-M569</f>
        <v>-4</v>
      </c>
      <c r="Y569" s="110"/>
      <c r="Z569" s="110"/>
      <c r="AA569" s="110"/>
      <c r="AB569" s="83"/>
      <c r="AC569" s="106"/>
      <c r="AD569" s="106"/>
      <c r="AE569" s="100">
        <f t="shared" si="918"/>
        <v>3.282051282051282E-2</v>
      </c>
      <c r="AF569" s="90"/>
      <c r="AG569" s="109">
        <f t="shared" si="919"/>
        <v>0</v>
      </c>
      <c r="AH569" s="100">
        <f t="shared" si="920"/>
        <v>3.282051282051282E-2</v>
      </c>
      <c r="AI569" s="100">
        <f t="shared" si="921"/>
        <v>2.8717948717948718E-2</v>
      </c>
    </row>
    <row r="570" spans="1:35" s="86" customFormat="1" ht="18.75" customHeight="1" x14ac:dyDescent="0.3">
      <c r="A570" s="106"/>
      <c r="B570" s="106" t="s">
        <v>52</v>
      </c>
      <c r="C570" s="118">
        <v>47617</v>
      </c>
      <c r="D570" s="311"/>
      <c r="E570" s="157" t="s">
        <v>123</v>
      </c>
      <c r="F570" s="83">
        <v>1420</v>
      </c>
      <c r="G570" s="83"/>
      <c r="H570" s="83"/>
      <c r="I570" s="83"/>
      <c r="J570" s="83"/>
      <c r="K570" s="83"/>
      <c r="L570" s="83"/>
      <c r="M570" s="83">
        <f>636+822</f>
        <v>1458</v>
      </c>
      <c r="N570" s="110">
        <f>M570-F570</f>
        <v>38</v>
      </c>
      <c r="O570" s="110" t="s">
        <v>100</v>
      </c>
      <c r="P570" s="83"/>
      <c r="Q570" s="83">
        <f>1458</f>
        <v>1458</v>
      </c>
      <c r="R570" s="83"/>
      <c r="S570" s="83">
        <v>1458</v>
      </c>
      <c r="T570" s="110">
        <f>S570-Q570</f>
        <v>0</v>
      </c>
      <c r="U570" s="59">
        <f t="shared" si="944"/>
        <v>0</v>
      </c>
      <c r="V570" s="83"/>
      <c r="W570" s="83">
        <v>1458</v>
      </c>
      <c r="X570" s="110">
        <f>W570-M570</f>
        <v>0</v>
      </c>
      <c r="Y570" s="110"/>
      <c r="Z570" s="110"/>
      <c r="AA570" s="110"/>
      <c r="AB570" s="83"/>
      <c r="AC570" s="106"/>
      <c r="AD570" s="106"/>
      <c r="AE570" s="100">
        <f t="shared" si="918"/>
        <v>2.6760563380281689E-2</v>
      </c>
      <c r="AF570" s="90"/>
      <c r="AG570" s="109">
        <f t="shared" si="919"/>
        <v>0</v>
      </c>
      <c r="AH570" s="100">
        <f t="shared" si="920"/>
        <v>2.6760563380281689E-2</v>
      </c>
      <c r="AI570" s="100">
        <f t="shared" si="921"/>
        <v>2.6760563380281689E-2</v>
      </c>
    </row>
    <row r="571" spans="1:35" s="82" customFormat="1" ht="16.5" customHeight="1" x14ac:dyDescent="0.3">
      <c r="A571" s="90" t="s">
        <v>46</v>
      </c>
      <c r="B571" s="90" t="s">
        <v>52</v>
      </c>
      <c r="C571" s="137"/>
      <c r="D571" s="90"/>
      <c r="E571" s="80"/>
      <c r="F571" s="81">
        <f>SUM(F569:F570)</f>
        <v>2395</v>
      </c>
      <c r="G571" s="81"/>
      <c r="H571" s="81" t="s">
        <v>50</v>
      </c>
      <c r="I571" s="81"/>
      <c r="J571" s="81" t="s">
        <v>60</v>
      </c>
      <c r="K571" s="85" t="s">
        <v>238</v>
      </c>
      <c r="L571" s="81">
        <f>SUM(L569:L570)</f>
        <v>0</v>
      </c>
      <c r="M571" s="81">
        <f>SUM(M569:M570)</f>
        <v>2465</v>
      </c>
      <c r="N571" s="81">
        <f>SUM(N569:N570)</f>
        <v>70</v>
      </c>
      <c r="O571" s="81" t="s">
        <v>189</v>
      </c>
      <c r="P571" s="81">
        <f>SUM(P569:P570)</f>
        <v>0</v>
      </c>
      <c r="Q571" s="81">
        <f>SUM(Q569:Q570)</f>
        <v>2465</v>
      </c>
      <c r="R571" s="81">
        <f>SUM(R569:R570)</f>
        <v>0</v>
      </c>
      <c r="S571" s="81">
        <f>SUM(S569:S570)</f>
        <v>2465</v>
      </c>
      <c r="T571" s="81">
        <f>SUM(T569:T570)</f>
        <v>0</v>
      </c>
      <c r="U571" s="59">
        <f t="shared" si="944"/>
        <v>4</v>
      </c>
      <c r="V571" s="81">
        <f>SUM(V569:V570)</f>
        <v>0</v>
      </c>
      <c r="W571" s="81">
        <f>SUM(W569:W570)</f>
        <v>2461</v>
      </c>
      <c r="X571" s="81">
        <f>SUM(X569:X570)</f>
        <v>-4</v>
      </c>
      <c r="Y571" s="81" t="s">
        <v>47</v>
      </c>
      <c r="Z571" s="110" t="s">
        <v>45</v>
      </c>
      <c r="AA571" s="110"/>
      <c r="AB571" s="84"/>
      <c r="AC571" s="136"/>
      <c r="AD571" s="136"/>
      <c r="AE571" s="100">
        <f t="shared" si="918"/>
        <v>2.9227557411273485E-2</v>
      </c>
      <c r="AF571" s="90"/>
      <c r="AG571" s="109">
        <f t="shared" si="919"/>
        <v>0</v>
      </c>
      <c r="AH571" s="100">
        <f t="shared" si="920"/>
        <v>2.9227557411273485E-2</v>
      </c>
      <c r="AI571" s="100">
        <f t="shared" si="921"/>
        <v>2.7557411273486428E-2</v>
      </c>
    </row>
    <row r="572" spans="1:35" s="86" customFormat="1" ht="18.75" customHeight="1" x14ac:dyDescent="0.3">
      <c r="A572" s="106"/>
      <c r="B572" s="106" t="s">
        <v>52</v>
      </c>
      <c r="C572" s="118">
        <v>48007</v>
      </c>
      <c r="D572" s="310">
        <v>13263812</v>
      </c>
      <c r="E572" s="157" t="s">
        <v>202</v>
      </c>
      <c r="F572" s="83">
        <v>3141</v>
      </c>
      <c r="G572" s="83"/>
      <c r="H572" s="83"/>
      <c r="I572" s="83"/>
      <c r="J572" s="83"/>
      <c r="K572" s="83"/>
      <c r="L572" s="83"/>
      <c r="M572" s="83"/>
      <c r="N572" s="110">
        <f>M572-F572</f>
        <v>-3141</v>
      </c>
      <c r="O572" s="110" t="s">
        <v>100</v>
      </c>
      <c r="P572" s="83"/>
      <c r="Q572" s="83"/>
      <c r="R572" s="83"/>
      <c r="S572" s="83"/>
      <c r="T572" s="110">
        <f>S572-Q572</f>
        <v>0</v>
      </c>
      <c r="U572" s="59">
        <f t="shared" si="944"/>
        <v>0</v>
      </c>
      <c r="V572" s="83"/>
      <c r="W572" s="83"/>
      <c r="X572" s="110">
        <f>W572-M572</f>
        <v>0</v>
      </c>
      <c r="Y572" s="110"/>
      <c r="Z572" s="110"/>
      <c r="AA572" s="110"/>
      <c r="AB572" s="83"/>
      <c r="AC572" s="106"/>
      <c r="AD572" s="106"/>
      <c r="AE572" s="100">
        <f t="shared" ref="AE572:AE574" si="945">N572/F572</f>
        <v>-1</v>
      </c>
      <c r="AF572" s="90"/>
      <c r="AG572" s="109">
        <f t="shared" ref="AG572:AG574" si="946">IF(N572&lt;0,N572,0)</f>
        <v>-3141</v>
      </c>
      <c r="AH572" s="100">
        <f t="shared" ref="AH572:AH574" si="947">(S572-F572)/F572</f>
        <v>-1</v>
      </c>
      <c r="AI572" s="100">
        <f t="shared" ref="AI572:AI574" si="948">(W572-F572)/F572</f>
        <v>-1</v>
      </c>
    </row>
    <row r="573" spans="1:35" s="86" customFormat="1" ht="18.75" customHeight="1" x14ac:dyDescent="0.3">
      <c r="A573" s="106"/>
      <c r="B573" s="106" t="s">
        <v>52</v>
      </c>
      <c r="C573" s="118">
        <v>48007</v>
      </c>
      <c r="D573" s="311"/>
      <c r="E573" s="157" t="s">
        <v>123</v>
      </c>
      <c r="F573" s="83">
        <v>3611</v>
      </c>
      <c r="G573" s="83"/>
      <c r="H573" s="83"/>
      <c r="I573" s="83"/>
      <c r="J573" s="83"/>
      <c r="K573" s="83"/>
      <c r="L573" s="83">
        <v>2003</v>
      </c>
      <c r="M573" s="83">
        <v>2003</v>
      </c>
      <c r="N573" s="110">
        <f>M573-F573</f>
        <v>-1608</v>
      </c>
      <c r="O573" s="110" t="s">
        <v>100</v>
      </c>
      <c r="P573" s="83"/>
      <c r="Q573" s="83"/>
      <c r="R573" s="83"/>
      <c r="S573" s="83"/>
      <c r="T573" s="110">
        <f>S573-Q573</f>
        <v>0</v>
      </c>
      <c r="U573" s="59">
        <f t="shared" si="944"/>
        <v>2003</v>
      </c>
      <c r="V573" s="83"/>
      <c r="W573" s="83"/>
      <c r="X573" s="110">
        <f>W573-M573</f>
        <v>-2003</v>
      </c>
      <c r="Y573" s="110"/>
      <c r="Z573" s="110"/>
      <c r="AA573" s="110"/>
      <c r="AB573" s="83"/>
      <c r="AC573" s="106"/>
      <c r="AD573" s="106"/>
      <c r="AE573" s="100">
        <f t="shared" si="945"/>
        <v>-0.44530600941567433</v>
      </c>
      <c r="AF573" s="90"/>
      <c r="AG573" s="109">
        <f t="shared" si="946"/>
        <v>-1608</v>
      </c>
      <c r="AH573" s="100">
        <f t="shared" si="947"/>
        <v>-1</v>
      </c>
      <c r="AI573" s="100">
        <f t="shared" si="948"/>
        <v>-1</v>
      </c>
    </row>
    <row r="574" spans="1:35" s="82" customFormat="1" ht="16.5" customHeight="1" x14ac:dyDescent="0.3">
      <c r="A574" s="90" t="s">
        <v>46</v>
      </c>
      <c r="B574" s="90" t="s">
        <v>52</v>
      </c>
      <c r="C574" s="137"/>
      <c r="D574" s="90"/>
      <c r="E574" s="80"/>
      <c r="F574" s="81">
        <f>SUM(F572:F573)</f>
        <v>6752</v>
      </c>
      <c r="G574" s="81"/>
      <c r="H574" s="81" t="s">
        <v>50</v>
      </c>
      <c r="I574" s="81"/>
      <c r="J574" s="81" t="s">
        <v>60</v>
      </c>
      <c r="K574" s="85" t="s">
        <v>764</v>
      </c>
      <c r="L574" s="81">
        <f>SUM(L572:L573)</f>
        <v>2003</v>
      </c>
      <c r="M574" s="81">
        <f>SUM(M572:M573)</f>
        <v>2003</v>
      </c>
      <c r="N574" s="81">
        <f>SUM(N572:N573)</f>
        <v>-4749</v>
      </c>
      <c r="O574" s="81"/>
      <c r="P574" s="81">
        <f>SUM(P572:P573)</f>
        <v>0</v>
      </c>
      <c r="Q574" s="81">
        <f>SUM(Q572:Q573)</f>
        <v>0</v>
      </c>
      <c r="R574" s="81">
        <f>SUM(R572:R573)</f>
        <v>0</v>
      </c>
      <c r="S574" s="81">
        <f>SUM(S572:S573)</f>
        <v>0</v>
      </c>
      <c r="T574" s="81">
        <f>SUM(T572:T573)</f>
        <v>0</v>
      </c>
      <c r="U574" s="59">
        <f t="shared" si="944"/>
        <v>2003</v>
      </c>
      <c r="V574" s="81">
        <f>SUM(V572:V573)</f>
        <v>0</v>
      </c>
      <c r="W574" s="81">
        <f>SUM(W572:W573)</f>
        <v>0</v>
      </c>
      <c r="X574" s="81">
        <f>SUM(X572:X573)</f>
        <v>-2003</v>
      </c>
      <c r="Y574" s="81" t="s">
        <v>48</v>
      </c>
      <c r="Z574" s="110" t="s">
        <v>45</v>
      </c>
      <c r="AA574" s="110"/>
      <c r="AB574" s="84"/>
      <c r="AC574" s="136"/>
      <c r="AD574" s="136"/>
      <c r="AE574" s="100">
        <f t="shared" si="945"/>
        <v>-0.7033471563981043</v>
      </c>
      <c r="AF574" s="90"/>
      <c r="AG574" s="109">
        <f t="shared" si="946"/>
        <v>-4749</v>
      </c>
      <c r="AH574" s="100">
        <f t="shared" si="947"/>
        <v>-1</v>
      </c>
      <c r="AI574" s="100">
        <f t="shared" si="948"/>
        <v>-1</v>
      </c>
    </row>
    <row r="575" spans="1:35" s="86" customFormat="1" ht="18.75" customHeight="1" x14ac:dyDescent="0.3">
      <c r="A575" s="106"/>
      <c r="B575" s="106" t="s">
        <v>52</v>
      </c>
      <c r="C575" s="118">
        <v>48004</v>
      </c>
      <c r="D575" s="310">
        <v>13264349</v>
      </c>
      <c r="E575" s="157" t="s">
        <v>402</v>
      </c>
      <c r="F575" s="83">
        <v>2589</v>
      </c>
      <c r="G575" s="83"/>
      <c r="H575" s="83"/>
      <c r="I575" s="83"/>
      <c r="J575" s="83"/>
      <c r="K575" s="83"/>
      <c r="L575" s="83"/>
      <c r="M575" s="83"/>
      <c r="N575" s="110">
        <f>M575-F575</f>
        <v>-2589</v>
      </c>
      <c r="O575" s="110" t="s">
        <v>100</v>
      </c>
      <c r="P575" s="83"/>
      <c r="Q575" s="83"/>
      <c r="R575" s="83"/>
      <c r="S575" s="83"/>
      <c r="T575" s="110">
        <f>S575-Q575</f>
        <v>0</v>
      </c>
      <c r="U575" s="59">
        <f t="shared" si="944"/>
        <v>0</v>
      </c>
      <c r="V575" s="83"/>
      <c r="W575" s="83"/>
      <c r="X575" s="110">
        <f>W575-M575</f>
        <v>0</v>
      </c>
      <c r="Y575" s="110"/>
      <c r="Z575" s="110"/>
      <c r="AA575" s="110"/>
      <c r="AB575" s="83"/>
      <c r="AC575" s="106"/>
      <c r="AD575" s="106"/>
      <c r="AE575" s="100">
        <f t="shared" si="918"/>
        <v>-1</v>
      </c>
      <c r="AF575" s="90"/>
      <c r="AG575" s="109">
        <f t="shared" si="919"/>
        <v>-2589</v>
      </c>
      <c r="AH575" s="100">
        <f t="shared" si="920"/>
        <v>-1</v>
      </c>
      <c r="AI575" s="100">
        <f t="shared" si="921"/>
        <v>-1</v>
      </c>
    </row>
    <row r="576" spans="1:35" s="86" customFormat="1" ht="18.75" customHeight="1" x14ac:dyDescent="0.3">
      <c r="A576" s="106"/>
      <c r="B576" s="106" t="s">
        <v>52</v>
      </c>
      <c r="C576" s="118">
        <v>48004</v>
      </c>
      <c r="D576" s="311"/>
      <c r="E576" s="157" t="s">
        <v>123</v>
      </c>
      <c r="F576" s="83">
        <v>2559</v>
      </c>
      <c r="G576" s="83"/>
      <c r="H576" s="83"/>
      <c r="I576" s="83"/>
      <c r="J576" s="83"/>
      <c r="K576" s="83"/>
      <c r="L576" s="83"/>
      <c r="M576" s="83">
        <f>2616</f>
        <v>2616</v>
      </c>
      <c r="N576" s="110">
        <f>M576-F576</f>
        <v>57</v>
      </c>
      <c r="O576" s="110" t="s">
        <v>100</v>
      </c>
      <c r="P576" s="83"/>
      <c r="Q576" s="83">
        <f>2300+316</f>
        <v>2616</v>
      </c>
      <c r="R576" s="83"/>
      <c r="S576" s="83">
        <v>2610</v>
      </c>
      <c r="T576" s="110">
        <f>S576-Q576</f>
        <v>-6</v>
      </c>
      <c r="U576" s="59">
        <f t="shared" si="944"/>
        <v>2610</v>
      </c>
      <c r="V576" s="83"/>
      <c r="W576" s="83"/>
      <c r="X576" s="110">
        <f>W576-M576</f>
        <v>-2616</v>
      </c>
      <c r="Y576" s="110"/>
      <c r="Z576" s="110"/>
      <c r="AA576" s="110"/>
      <c r="AB576" s="83"/>
      <c r="AC576" s="106"/>
      <c r="AD576" s="106"/>
      <c r="AE576" s="100">
        <f t="shared" si="918"/>
        <v>2.2274325908558032E-2</v>
      </c>
      <c r="AF576" s="90"/>
      <c r="AG576" s="109">
        <f t="shared" si="919"/>
        <v>0</v>
      </c>
      <c r="AH576" s="100">
        <f t="shared" si="920"/>
        <v>1.992966002344666E-2</v>
      </c>
      <c r="AI576" s="100">
        <f t="shared" si="921"/>
        <v>-1</v>
      </c>
    </row>
    <row r="577" spans="1:35" s="82" customFormat="1" ht="16.5" customHeight="1" x14ac:dyDescent="0.3">
      <c r="A577" s="90" t="s">
        <v>46</v>
      </c>
      <c r="B577" s="90" t="s">
        <v>52</v>
      </c>
      <c r="C577" s="137"/>
      <c r="D577" s="90"/>
      <c r="E577" s="80"/>
      <c r="F577" s="81">
        <f>SUM(F575:F576)</f>
        <v>5148</v>
      </c>
      <c r="G577" s="81"/>
      <c r="H577" s="81" t="s">
        <v>50</v>
      </c>
      <c r="I577" s="81"/>
      <c r="J577" s="81" t="s">
        <v>60</v>
      </c>
      <c r="K577" s="85" t="s">
        <v>330</v>
      </c>
      <c r="L577" s="81">
        <f>SUM(L575:L576)</f>
        <v>0</v>
      </c>
      <c r="M577" s="81">
        <f>SUM(M575:M576)</f>
        <v>2616</v>
      </c>
      <c r="N577" s="81">
        <f>SUM(N575:N576)</f>
        <v>-2532</v>
      </c>
      <c r="O577" s="81" t="s">
        <v>851</v>
      </c>
      <c r="P577" s="81">
        <f>SUM(P575:P576)</f>
        <v>0</v>
      </c>
      <c r="Q577" s="81">
        <f>SUM(Q575:Q576)</f>
        <v>2616</v>
      </c>
      <c r="R577" s="81">
        <f>SUM(R575:R576)</f>
        <v>0</v>
      </c>
      <c r="S577" s="81">
        <f>SUM(S575:S576)</f>
        <v>2610</v>
      </c>
      <c r="T577" s="81">
        <f>SUM(T575:T576)</f>
        <v>-6</v>
      </c>
      <c r="U577" s="59">
        <f t="shared" si="944"/>
        <v>2610</v>
      </c>
      <c r="V577" s="81">
        <f>SUM(V575:V576)</f>
        <v>0</v>
      </c>
      <c r="W577" s="81">
        <f>SUM(W575:W576)</f>
        <v>0</v>
      </c>
      <c r="X577" s="81">
        <f>SUM(X575:X576)</f>
        <v>-2616</v>
      </c>
      <c r="Y577" s="81" t="s">
        <v>47</v>
      </c>
      <c r="Z577" s="110" t="s">
        <v>45</v>
      </c>
      <c r="AA577" s="110"/>
      <c r="AB577" s="84"/>
      <c r="AC577" s="136"/>
      <c r="AD577" s="136"/>
      <c r="AE577" s="100">
        <f t="shared" si="918"/>
        <v>-0.49184149184149184</v>
      </c>
      <c r="AF577" s="90"/>
      <c r="AG577" s="109">
        <f t="shared" si="919"/>
        <v>-2532</v>
      </c>
      <c r="AH577" s="100">
        <f t="shared" si="920"/>
        <v>-0.49300699300699302</v>
      </c>
      <c r="AI577" s="100">
        <f t="shared" si="921"/>
        <v>-1</v>
      </c>
    </row>
    <row r="578" spans="1:35" s="86" customFormat="1" ht="18.75" customHeight="1" x14ac:dyDescent="0.3">
      <c r="A578" s="106"/>
      <c r="B578" s="106" t="s">
        <v>52</v>
      </c>
      <c r="C578" s="118">
        <v>47537</v>
      </c>
      <c r="D578" s="310">
        <v>13262470</v>
      </c>
      <c r="E578" s="157" t="s">
        <v>98</v>
      </c>
      <c r="F578" s="83">
        <v>1114</v>
      </c>
      <c r="G578" s="83"/>
      <c r="H578" s="83"/>
      <c r="I578" s="83"/>
      <c r="J578" s="83"/>
      <c r="K578" s="83"/>
      <c r="L578" s="83"/>
      <c r="M578" s="83">
        <v>1162</v>
      </c>
      <c r="N578" s="110">
        <f>M578-F578</f>
        <v>48</v>
      </c>
      <c r="O578" s="110" t="s">
        <v>100</v>
      </c>
      <c r="P578" s="83"/>
      <c r="Q578" s="83">
        <v>1152</v>
      </c>
      <c r="R578" s="83"/>
      <c r="S578" s="83">
        <f>1142+7</f>
        <v>1149</v>
      </c>
      <c r="T578" s="110">
        <f>S578-Q578</f>
        <v>-3</v>
      </c>
      <c r="U578" s="59">
        <f t="shared" si="944"/>
        <v>0</v>
      </c>
      <c r="V578" s="83"/>
      <c r="W578" s="83">
        <v>1149</v>
      </c>
      <c r="X578" s="110">
        <f>W578-M578</f>
        <v>-13</v>
      </c>
      <c r="Y578" s="110"/>
      <c r="Z578" s="110"/>
      <c r="AA578" s="110"/>
      <c r="AB578" s="83"/>
      <c r="AC578" s="106"/>
      <c r="AD578" s="106"/>
      <c r="AE578" s="100">
        <f t="shared" si="918"/>
        <v>4.3087971274685818E-2</v>
      </c>
      <c r="AF578" s="90"/>
      <c r="AG578" s="109">
        <f t="shared" si="919"/>
        <v>0</v>
      </c>
      <c r="AH578" s="100">
        <f t="shared" si="920"/>
        <v>3.141831238779174E-2</v>
      </c>
      <c r="AI578" s="100">
        <f t="shared" si="921"/>
        <v>3.141831238779174E-2</v>
      </c>
    </row>
    <row r="579" spans="1:35" s="86" customFormat="1" ht="18.75" customHeight="1" x14ac:dyDescent="0.3">
      <c r="A579" s="106"/>
      <c r="B579" s="106" t="s">
        <v>52</v>
      </c>
      <c r="C579" s="118">
        <v>47537</v>
      </c>
      <c r="D579" s="311"/>
      <c r="E579" s="157" t="s">
        <v>225</v>
      </c>
      <c r="F579" s="83">
        <v>1108</v>
      </c>
      <c r="G579" s="83"/>
      <c r="H579" s="83"/>
      <c r="I579" s="83"/>
      <c r="J579" s="83"/>
      <c r="K579" s="83"/>
      <c r="L579" s="83"/>
      <c r="M579" s="83">
        <f>1100+44</f>
        <v>1144</v>
      </c>
      <c r="N579" s="110">
        <f>M579-F579</f>
        <v>36</v>
      </c>
      <c r="O579" s="110" t="s">
        <v>100</v>
      </c>
      <c r="P579" s="83"/>
      <c r="Q579" s="83">
        <f>1092+8+44</f>
        <v>1144</v>
      </c>
      <c r="R579" s="83"/>
      <c r="S579" s="83">
        <f>1100+43</f>
        <v>1143</v>
      </c>
      <c r="T579" s="110">
        <f>S579-Q579</f>
        <v>-1</v>
      </c>
      <c r="U579" s="59">
        <f t="shared" ref="U579" si="949">IF(Q579&gt;0,S579-W579,M579-W579)</f>
        <v>0</v>
      </c>
      <c r="V579" s="83"/>
      <c r="W579" s="83">
        <v>1143</v>
      </c>
      <c r="X579" s="110">
        <f>W579-M579</f>
        <v>-1</v>
      </c>
      <c r="Y579" s="110"/>
      <c r="Z579" s="110"/>
      <c r="AA579" s="110"/>
      <c r="AB579" s="83"/>
      <c r="AC579" s="106"/>
      <c r="AD579" s="106"/>
      <c r="AE579" s="100">
        <f t="shared" ref="AE579" si="950">N579/F579</f>
        <v>3.2490974729241874E-2</v>
      </c>
      <c r="AF579" s="90"/>
      <c r="AG579" s="109">
        <f t="shared" ref="AG579" si="951">IF(N579&lt;0,N579,0)</f>
        <v>0</v>
      </c>
      <c r="AH579" s="100">
        <f t="shared" ref="AH579" si="952">(S579-F579)/F579</f>
        <v>3.1588447653429601E-2</v>
      </c>
      <c r="AI579" s="100">
        <f t="shared" ref="AI579" si="953">(W579-F579)/F579</f>
        <v>3.1588447653429601E-2</v>
      </c>
    </row>
    <row r="580" spans="1:35" s="86" customFormat="1" ht="18.75" customHeight="1" x14ac:dyDescent="0.3">
      <c r="A580" s="106"/>
      <c r="B580" s="106" t="s">
        <v>52</v>
      </c>
      <c r="C580" s="118">
        <v>47537</v>
      </c>
      <c r="D580" s="311"/>
      <c r="E580" s="157" t="s">
        <v>160</v>
      </c>
      <c r="F580" s="83">
        <v>796</v>
      </c>
      <c r="G580" s="83"/>
      <c r="H580" s="83"/>
      <c r="I580" s="83"/>
      <c r="J580" s="83"/>
      <c r="K580" s="83"/>
      <c r="L580" s="83"/>
      <c r="M580" s="83">
        <f>450+346+53</f>
        <v>849</v>
      </c>
      <c r="N580" s="110">
        <f>M580-F580</f>
        <v>53</v>
      </c>
      <c r="O580" s="110" t="s">
        <v>100</v>
      </c>
      <c r="P580" s="83"/>
      <c r="Q580" s="83">
        <f>450+346+53</f>
        <v>849</v>
      </c>
      <c r="R580" s="83"/>
      <c r="S580" s="83">
        <f>666+128+53</f>
        <v>847</v>
      </c>
      <c r="T580" s="110">
        <f>S580-Q580</f>
        <v>-2</v>
      </c>
      <c r="U580" s="59">
        <f t="shared" si="944"/>
        <v>16</v>
      </c>
      <c r="V580" s="83"/>
      <c r="W580" s="83">
        <v>831</v>
      </c>
      <c r="X580" s="110">
        <f>W580-M580</f>
        <v>-18</v>
      </c>
      <c r="Y580" s="110"/>
      <c r="Z580" s="110"/>
      <c r="AA580" s="110"/>
      <c r="AB580" s="83"/>
      <c r="AC580" s="106"/>
      <c r="AD580" s="106"/>
      <c r="AE580" s="100">
        <f t="shared" si="918"/>
        <v>6.6582914572864318E-2</v>
      </c>
      <c r="AF580" s="90"/>
      <c r="AG580" s="109">
        <f t="shared" si="919"/>
        <v>0</v>
      </c>
      <c r="AH580" s="100">
        <f t="shared" si="920"/>
        <v>6.407035175879397E-2</v>
      </c>
      <c r="AI580" s="100">
        <f t="shared" si="921"/>
        <v>4.3969849246231159E-2</v>
      </c>
    </row>
    <row r="581" spans="1:35" s="82" customFormat="1" ht="16.5" customHeight="1" x14ac:dyDescent="0.3">
      <c r="A581" s="90" t="s">
        <v>46</v>
      </c>
      <c r="B581" s="90" t="s">
        <v>52</v>
      </c>
      <c r="C581" s="137"/>
      <c r="D581" s="90"/>
      <c r="E581" s="80"/>
      <c r="F581" s="81">
        <f>SUM(F578:F580)</f>
        <v>3018</v>
      </c>
      <c r="G581" s="81"/>
      <c r="H581" s="81" t="s">
        <v>50</v>
      </c>
      <c r="I581" s="81"/>
      <c r="J581" s="81" t="s">
        <v>60</v>
      </c>
      <c r="K581" s="85" t="s">
        <v>175</v>
      </c>
      <c r="L581" s="81">
        <f>SUM(L578:L580)</f>
        <v>0</v>
      </c>
      <c r="M581" s="81">
        <f>SUM(M578:M580)</f>
        <v>3155</v>
      </c>
      <c r="N581" s="81">
        <f>SUM(N578:N580)</f>
        <v>137</v>
      </c>
      <c r="O581" s="81" t="s">
        <v>392</v>
      </c>
      <c r="P581" s="81">
        <f>SUM(P578:P580)</f>
        <v>0</v>
      </c>
      <c r="Q581" s="81">
        <f>SUM(Q578:Q580)</f>
        <v>3145</v>
      </c>
      <c r="R581" s="81">
        <f>SUM(R578:R580)</f>
        <v>0</v>
      </c>
      <c r="S581" s="81">
        <f>SUM(S578:S580)</f>
        <v>3139</v>
      </c>
      <c r="T581" s="81">
        <f>SUM(T578:T580)</f>
        <v>-6</v>
      </c>
      <c r="U581" s="59">
        <f t="shared" si="944"/>
        <v>16</v>
      </c>
      <c r="V581" s="81">
        <f>SUM(V578:V580)</f>
        <v>0</v>
      </c>
      <c r="W581" s="81">
        <f>SUM(W578:W580)</f>
        <v>3123</v>
      </c>
      <c r="X581" s="81">
        <f>SUM(X578:X580)</f>
        <v>-32</v>
      </c>
      <c r="Y581" s="81" t="s">
        <v>47</v>
      </c>
      <c r="Z581" s="110" t="s">
        <v>45</v>
      </c>
      <c r="AA581" s="110"/>
      <c r="AB581" s="84"/>
      <c r="AC581" s="136"/>
      <c r="AD581" s="136"/>
      <c r="AE581" s="100">
        <f t="shared" si="918"/>
        <v>4.5394300861497677E-2</v>
      </c>
      <c r="AF581" s="90"/>
      <c r="AG581" s="109">
        <f t="shared" si="919"/>
        <v>0</v>
      </c>
      <c r="AH581" s="100">
        <f t="shared" si="920"/>
        <v>4.009277667329357E-2</v>
      </c>
      <c r="AI581" s="100">
        <f t="shared" si="921"/>
        <v>3.4791252485089463E-2</v>
      </c>
    </row>
    <row r="582" spans="1:35" s="86" customFormat="1" ht="18.75" customHeight="1" x14ac:dyDescent="0.3">
      <c r="A582" s="106"/>
      <c r="B582" s="106" t="s">
        <v>52</v>
      </c>
      <c r="C582" s="118">
        <v>47536</v>
      </c>
      <c r="D582" s="310">
        <v>13262473</v>
      </c>
      <c r="E582" s="157" t="s">
        <v>98</v>
      </c>
      <c r="F582" s="83">
        <v>800</v>
      </c>
      <c r="G582" s="83"/>
      <c r="H582" s="83"/>
      <c r="I582" s="83"/>
      <c r="J582" s="83"/>
      <c r="K582" s="83"/>
      <c r="L582" s="83"/>
      <c r="M582" s="83">
        <f>576+264</f>
        <v>840</v>
      </c>
      <c r="N582" s="110">
        <f>M582-F582</f>
        <v>40</v>
      </c>
      <c r="O582" s="110" t="s">
        <v>100</v>
      </c>
      <c r="P582" s="83"/>
      <c r="Q582" s="83"/>
      <c r="R582" s="83"/>
      <c r="S582" s="83"/>
      <c r="T582" s="110">
        <f>S582-Q582</f>
        <v>0</v>
      </c>
      <c r="U582" s="59">
        <f t="shared" si="944"/>
        <v>0</v>
      </c>
      <c r="V582" s="83"/>
      <c r="W582" s="83">
        <v>840</v>
      </c>
      <c r="X582" s="110">
        <f>W582-M582</f>
        <v>0</v>
      </c>
      <c r="Y582" s="110"/>
      <c r="Z582" s="110"/>
      <c r="AA582" s="110"/>
      <c r="AB582" s="83"/>
      <c r="AC582" s="106"/>
      <c r="AD582" s="106"/>
      <c r="AE582" s="100">
        <f t="shared" si="918"/>
        <v>0.05</v>
      </c>
      <c r="AF582" s="90"/>
      <c r="AG582" s="109">
        <f t="shared" si="919"/>
        <v>0</v>
      </c>
      <c r="AH582" s="100">
        <f t="shared" si="920"/>
        <v>-1</v>
      </c>
      <c r="AI582" s="100">
        <f t="shared" si="921"/>
        <v>0.05</v>
      </c>
    </row>
    <row r="583" spans="1:35" s="86" customFormat="1" ht="18.75" customHeight="1" x14ac:dyDescent="0.3">
      <c r="A583" s="106"/>
      <c r="B583" s="106" t="s">
        <v>52</v>
      </c>
      <c r="C583" s="118">
        <v>47536</v>
      </c>
      <c r="D583" s="311"/>
      <c r="E583" s="157" t="s">
        <v>225</v>
      </c>
      <c r="F583" s="83">
        <v>800</v>
      </c>
      <c r="G583" s="83"/>
      <c r="H583" s="83"/>
      <c r="I583" s="83"/>
      <c r="J583" s="83"/>
      <c r="K583" s="83"/>
      <c r="L583" s="83"/>
      <c r="M583" s="83">
        <v>840</v>
      </c>
      <c r="N583" s="110">
        <f>M583-F583</f>
        <v>40</v>
      </c>
      <c r="O583" s="110" t="s">
        <v>100</v>
      </c>
      <c r="P583" s="83"/>
      <c r="Q583" s="83"/>
      <c r="R583" s="83"/>
      <c r="S583" s="83"/>
      <c r="T583" s="110">
        <f>S583-Q583</f>
        <v>0</v>
      </c>
      <c r="U583" s="59">
        <f t="shared" si="944"/>
        <v>0</v>
      </c>
      <c r="V583" s="83"/>
      <c r="W583" s="83">
        <v>840</v>
      </c>
      <c r="X583" s="110">
        <f>W583-M583</f>
        <v>0</v>
      </c>
      <c r="Y583" s="110"/>
      <c r="Z583" s="110"/>
      <c r="AA583" s="110"/>
      <c r="AB583" s="83"/>
      <c r="AC583" s="106"/>
      <c r="AD583" s="106"/>
      <c r="AE583" s="100">
        <f t="shared" si="918"/>
        <v>0.05</v>
      </c>
      <c r="AF583" s="90"/>
      <c r="AG583" s="109">
        <f t="shared" si="919"/>
        <v>0</v>
      </c>
      <c r="AH583" s="100">
        <f t="shared" si="920"/>
        <v>-1</v>
      </c>
      <c r="AI583" s="100">
        <f t="shared" si="921"/>
        <v>0.05</v>
      </c>
    </row>
    <row r="584" spans="1:35" s="82" customFormat="1" ht="16.5" customHeight="1" x14ac:dyDescent="0.3">
      <c r="A584" s="90" t="s">
        <v>46</v>
      </c>
      <c r="B584" s="90" t="s">
        <v>52</v>
      </c>
      <c r="C584" s="137"/>
      <c r="D584" s="90"/>
      <c r="E584" s="80"/>
      <c r="F584" s="81">
        <f>SUM(F582:F583)</f>
        <v>1600</v>
      </c>
      <c r="G584" s="81"/>
      <c r="H584" s="81" t="s">
        <v>50</v>
      </c>
      <c r="I584" s="81"/>
      <c r="J584" s="81" t="s">
        <v>60</v>
      </c>
      <c r="K584" s="85" t="s">
        <v>175</v>
      </c>
      <c r="L584" s="81">
        <f>SUM(L582:L583)</f>
        <v>0</v>
      </c>
      <c r="M584" s="81">
        <f>SUM(M582:M583)</f>
        <v>1680</v>
      </c>
      <c r="N584" s="81">
        <f>SUM(N582:N583)</f>
        <v>80</v>
      </c>
      <c r="O584" s="81"/>
      <c r="P584" s="81">
        <f>SUM(P582:P583)</f>
        <v>0</v>
      </c>
      <c r="Q584" s="81">
        <f>SUM(Q582:Q583)</f>
        <v>0</v>
      </c>
      <c r="R584" s="81">
        <f>SUM(R582:R583)</f>
        <v>0</v>
      </c>
      <c r="S584" s="81">
        <f>SUM(S582:S583)</f>
        <v>0</v>
      </c>
      <c r="T584" s="81">
        <f>SUM(T582:T583)</f>
        <v>0</v>
      </c>
      <c r="U584" s="59">
        <f t="shared" si="944"/>
        <v>0</v>
      </c>
      <c r="V584" s="81">
        <f>SUM(V582:V583)</f>
        <v>0</v>
      </c>
      <c r="W584" s="81">
        <f>SUM(W582:W583)</f>
        <v>1680</v>
      </c>
      <c r="X584" s="81">
        <f>SUM(X582:X583)</f>
        <v>0</v>
      </c>
      <c r="Y584" s="81"/>
      <c r="Z584" s="110"/>
      <c r="AA584" s="110"/>
      <c r="AB584" s="84"/>
      <c r="AC584" s="136"/>
      <c r="AD584" s="136"/>
      <c r="AE584" s="100">
        <f t="shared" si="918"/>
        <v>0.05</v>
      </c>
      <c r="AF584" s="90"/>
      <c r="AG584" s="109">
        <f t="shared" si="919"/>
        <v>0</v>
      </c>
      <c r="AH584" s="100">
        <f t="shared" si="920"/>
        <v>-1</v>
      </c>
      <c r="AI584" s="100">
        <f t="shared" si="921"/>
        <v>0.05</v>
      </c>
    </row>
    <row r="585" spans="1:35" s="86" customFormat="1" ht="18.75" customHeight="1" x14ac:dyDescent="0.3">
      <c r="A585" s="106"/>
      <c r="B585" s="106" t="s">
        <v>52</v>
      </c>
      <c r="C585" s="118">
        <v>47616</v>
      </c>
      <c r="D585" s="310">
        <v>13262761</v>
      </c>
      <c r="E585" s="157" t="s">
        <v>116</v>
      </c>
      <c r="F585" s="83">
        <v>930</v>
      </c>
      <c r="G585" s="83"/>
      <c r="H585" s="83"/>
      <c r="I585" s="83"/>
      <c r="J585" s="83"/>
      <c r="K585" s="83"/>
      <c r="L585" s="83"/>
      <c r="M585" s="83">
        <f>965</f>
        <v>965</v>
      </c>
      <c r="N585" s="110">
        <f>M585-F585</f>
        <v>35</v>
      </c>
      <c r="O585" s="110" t="s">
        <v>100</v>
      </c>
      <c r="P585" s="83"/>
      <c r="Q585" s="83">
        <v>965</v>
      </c>
      <c r="R585" s="83"/>
      <c r="S585" s="83">
        <f>115+26+824</f>
        <v>965</v>
      </c>
      <c r="T585" s="110">
        <f>S585-Q585</f>
        <v>0</v>
      </c>
      <c r="U585" s="59">
        <f t="shared" si="944"/>
        <v>2</v>
      </c>
      <c r="V585" s="83"/>
      <c r="W585" s="83">
        <v>963</v>
      </c>
      <c r="X585" s="110">
        <f>W585-M585</f>
        <v>-2</v>
      </c>
      <c r="Y585" s="110"/>
      <c r="Z585" s="110"/>
      <c r="AA585" s="110"/>
      <c r="AB585" s="83"/>
      <c r="AC585" s="106"/>
      <c r="AD585" s="106"/>
      <c r="AE585" s="100">
        <f t="shared" si="918"/>
        <v>3.7634408602150539E-2</v>
      </c>
      <c r="AF585" s="90"/>
      <c r="AG585" s="109">
        <f t="shared" si="919"/>
        <v>0</v>
      </c>
      <c r="AH585" s="100">
        <f t="shared" si="920"/>
        <v>3.7634408602150539E-2</v>
      </c>
      <c r="AI585" s="100">
        <f t="shared" si="921"/>
        <v>3.5483870967741936E-2</v>
      </c>
    </row>
    <row r="586" spans="1:35" s="86" customFormat="1" ht="18.75" customHeight="1" x14ac:dyDescent="0.3">
      <c r="A586" s="106"/>
      <c r="B586" s="106" t="s">
        <v>52</v>
      </c>
      <c r="C586" s="118">
        <v>47616</v>
      </c>
      <c r="D586" s="311"/>
      <c r="E586" s="157" t="s">
        <v>39</v>
      </c>
      <c r="F586" s="83">
        <v>807</v>
      </c>
      <c r="G586" s="83"/>
      <c r="H586" s="83"/>
      <c r="I586" s="83"/>
      <c r="J586" s="83"/>
      <c r="K586" s="83"/>
      <c r="L586" s="83"/>
      <c r="M586" s="83">
        <f>829+12</f>
        <v>841</v>
      </c>
      <c r="N586" s="110">
        <f>M586-F586</f>
        <v>34</v>
      </c>
      <c r="O586" s="110" t="s">
        <v>100</v>
      </c>
      <c r="P586" s="83"/>
      <c r="Q586" s="83">
        <v>841</v>
      </c>
      <c r="R586" s="83"/>
      <c r="S586" s="83">
        <v>841</v>
      </c>
      <c r="T586" s="110">
        <f>S586-Q586</f>
        <v>0</v>
      </c>
      <c r="U586" s="59">
        <f t="shared" si="944"/>
        <v>12</v>
      </c>
      <c r="V586" s="83"/>
      <c r="W586" s="83">
        <v>829</v>
      </c>
      <c r="X586" s="110">
        <f>W586-M586</f>
        <v>-12</v>
      </c>
      <c r="Y586" s="110"/>
      <c r="Z586" s="110"/>
      <c r="AA586" s="110"/>
      <c r="AB586" s="83"/>
      <c r="AC586" s="106"/>
      <c r="AD586" s="106"/>
      <c r="AE586" s="100">
        <f t="shared" si="918"/>
        <v>4.2131350681536554E-2</v>
      </c>
      <c r="AF586" s="90"/>
      <c r="AG586" s="109">
        <f t="shared" si="919"/>
        <v>0</v>
      </c>
      <c r="AH586" s="100">
        <f t="shared" si="920"/>
        <v>4.2131350681536554E-2</v>
      </c>
      <c r="AI586" s="100">
        <f t="shared" si="921"/>
        <v>2.7261462205700124E-2</v>
      </c>
    </row>
    <row r="587" spans="1:35" s="82" customFormat="1" ht="16.5" customHeight="1" x14ac:dyDescent="0.3">
      <c r="A587" s="90" t="s">
        <v>46</v>
      </c>
      <c r="B587" s="90" t="s">
        <v>52</v>
      </c>
      <c r="C587" s="137"/>
      <c r="D587" s="90"/>
      <c r="E587" s="80"/>
      <c r="F587" s="81">
        <f>SUM(F585:F586)</f>
        <v>1737</v>
      </c>
      <c r="G587" s="81"/>
      <c r="H587" s="81" t="s">
        <v>50</v>
      </c>
      <c r="I587" s="81"/>
      <c r="J587" s="81" t="s">
        <v>60</v>
      </c>
      <c r="K587" s="85" t="s">
        <v>175</v>
      </c>
      <c r="L587" s="81">
        <f>SUM(L585:L586)</f>
        <v>0</v>
      </c>
      <c r="M587" s="81">
        <f>SUM(M585:M586)</f>
        <v>1806</v>
      </c>
      <c r="N587" s="81">
        <f>SUM(N585:N586)</f>
        <v>69</v>
      </c>
      <c r="O587" s="81" t="s">
        <v>170</v>
      </c>
      <c r="P587" s="81">
        <f>SUM(P585:P586)</f>
        <v>0</v>
      </c>
      <c r="Q587" s="81">
        <f>SUM(Q585:Q586)</f>
        <v>1806</v>
      </c>
      <c r="R587" s="81">
        <f>SUM(R585:R586)</f>
        <v>0</v>
      </c>
      <c r="S587" s="81">
        <f>SUM(S585:S586)</f>
        <v>1806</v>
      </c>
      <c r="T587" s="81">
        <f>SUM(T585:T586)</f>
        <v>0</v>
      </c>
      <c r="U587" s="59">
        <f t="shared" si="944"/>
        <v>14</v>
      </c>
      <c r="V587" s="81">
        <f>SUM(V585:V586)</f>
        <v>0</v>
      </c>
      <c r="W587" s="81">
        <f>SUM(W585:W586)</f>
        <v>1792</v>
      </c>
      <c r="X587" s="81">
        <f>SUM(X585:X586)</f>
        <v>-14</v>
      </c>
      <c r="Y587" s="81" t="s">
        <v>57</v>
      </c>
      <c r="Z587" s="110" t="s">
        <v>45</v>
      </c>
      <c r="AA587" s="110"/>
      <c r="AB587" s="84"/>
      <c r="AC587" s="136"/>
      <c r="AD587" s="136"/>
      <c r="AE587" s="100">
        <f t="shared" si="918"/>
        <v>3.9723661485319514E-2</v>
      </c>
      <c r="AF587" s="90"/>
      <c r="AG587" s="109">
        <f t="shared" si="919"/>
        <v>0</v>
      </c>
      <c r="AH587" s="100">
        <f t="shared" si="920"/>
        <v>3.9723661485319514E-2</v>
      </c>
      <c r="AI587" s="100">
        <f t="shared" si="921"/>
        <v>3.1663788140472077E-2</v>
      </c>
    </row>
    <row r="588" spans="1:35" s="86" customFormat="1" ht="18.75" customHeight="1" x14ac:dyDescent="0.3">
      <c r="A588" s="106"/>
      <c r="B588" s="106" t="s">
        <v>52</v>
      </c>
      <c r="C588" s="118">
        <v>48022</v>
      </c>
      <c r="D588" s="310">
        <v>13251953</v>
      </c>
      <c r="E588" s="157" t="s">
        <v>452</v>
      </c>
      <c r="F588" s="83">
        <v>800</v>
      </c>
      <c r="G588" s="83"/>
      <c r="H588" s="83"/>
      <c r="I588" s="83"/>
      <c r="J588" s="83"/>
      <c r="K588" s="83"/>
      <c r="L588" s="83"/>
      <c r="M588" s="83">
        <v>827</v>
      </c>
      <c r="N588" s="110">
        <f>M588-F588</f>
        <v>27</v>
      </c>
      <c r="O588" s="110" t="s">
        <v>100</v>
      </c>
      <c r="P588" s="83"/>
      <c r="Q588" s="83"/>
      <c r="R588" s="83"/>
      <c r="S588" s="83"/>
      <c r="T588" s="110">
        <f>S588-Q588</f>
        <v>0</v>
      </c>
      <c r="U588" s="59">
        <f t="shared" si="944"/>
        <v>827</v>
      </c>
      <c r="V588" s="83"/>
      <c r="W588" s="83"/>
      <c r="X588" s="110">
        <f>W588-M588</f>
        <v>-827</v>
      </c>
      <c r="Y588" s="110"/>
      <c r="Z588" s="110"/>
      <c r="AA588" s="110"/>
      <c r="AB588" s="83"/>
      <c r="AC588" s="106"/>
      <c r="AD588" s="106"/>
      <c r="AE588" s="100">
        <f t="shared" ref="AE588:AE591" si="954">N588/F588</f>
        <v>3.3750000000000002E-2</v>
      </c>
      <c r="AF588" s="90"/>
      <c r="AG588" s="109">
        <f t="shared" ref="AG588:AG591" si="955">IF(N588&lt;0,N588,0)</f>
        <v>0</v>
      </c>
      <c r="AH588" s="100">
        <f t="shared" ref="AH588:AH591" si="956">(S588-F588)/F588</f>
        <v>-1</v>
      </c>
      <c r="AI588" s="100">
        <f t="shared" ref="AI588:AI591" si="957">(W588-F588)/F588</f>
        <v>-1</v>
      </c>
    </row>
    <row r="589" spans="1:35" s="86" customFormat="1" ht="18.75" customHeight="1" x14ac:dyDescent="0.3">
      <c r="A589" s="106"/>
      <c r="B589" s="106" t="s">
        <v>52</v>
      </c>
      <c r="C589" s="118">
        <v>48022</v>
      </c>
      <c r="D589" s="311"/>
      <c r="E589" s="157" t="s">
        <v>451</v>
      </c>
      <c r="F589" s="83">
        <v>815</v>
      </c>
      <c r="G589" s="83"/>
      <c r="H589" s="83"/>
      <c r="I589" s="83"/>
      <c r="J589" s="83"/>
      <c r="K589" s="83"/>
      <c r="L589" s="83"/>
      <c r="M589" s="83">
        <f>810+41</f>
        <v>851</v>
      </c>
      <c r="N589" s="110">
        <f>M589-F589</f>
        <v>36</v>
      </c>
      <c r="O589" s="110" t="s">
        <v>100</v>
      </c>
      <c r="P589" s="83"/>
      <c r="Q589" s="83">
        <f>810+41</f>
        <v>851</v>
      </c>
      <c r="R589" s="83"/>
      <c r="S589" s="83">
        <v>837</v>
      </c>
      <c r="T589" s="110">
        <f>S589-Q589</f>
        <v>-14</v>
      </c>
      <c r="U589" s="59">
        <f t="shared" ref="U589" si="958">IF(Q589&gt;0,S589-W589,M589-W589)</f>
        <v>837</v>
      </c>
      <c r="V589" s="83"/>
      <c r="W589" s="83"/>
      <c r="X589" s="110">
        <f>W589-M589</f>
        <v>-851</v>
      </c>
      <c r="Y589" s="110"/>
      <c r="Z589" s="110"/>
      <c r="AA589" s="110"/>
      <c r="AB589" s="83"/>
      <c r="AC589" s="106"/>
      <c r="AD589" s="106"/>
      <c r="AE589" s="100">
        <f t="shared" ref="AE589" si="959">N589/F589</f>
        <v>4.4171779141104296E-2</v>
      </c>
      <c r="AF589" s="90"/>
      <c r="AG589" s="109">
        <f t="shared" ref="AG589" si="960">IF(N589&lt;0,N589,0)</f>
        <v>0</v>
      </c>
      <c r="AH589" s="100">
        <f t="shared" ref="AH589" si="961">(S589-F589)/F589</f>
        <v>2.6993865030674847E-2</v>
      </c>
      <c r="AI589" s="100">
        <f t="shared" ref="AI589" si="962">(W589-F589)/F589</f>
        <v>-1</v>
      </c>
    </row>
    <row r="590" spans="1:35" s="86" customFormat="1" ht="18.75" customHeight="1" x14ac:dyDescent="0.3">
      <c r="A590" s="106"/>
      <c r="B590" s="106" t="s">
        <v>52</v>
      </c>
      <c r="C590" s="118">
        <v>48022</v>
      </c>
      <c r="D590" s="311"/>
      <c r="E590" s="157" t="s">
        <v>240</v>
      </c>
      <c r="F590" s="83">
        <v>865</v>
      </c>
      <c r="G590" s="83"/>
      <c r="H590" s="83"/>
      <c r="I590" s="83"/>
      <c r="J590" s="83"/>
      <c r="K590" s="83"/>
      <c r="L590" s="83"/>
      <c r="M590" s="83">
        <f>909</f>
        <v>909</v>
      </c>
      <c r="N590" s="110">
        <f>M590-F590</f>
        <v>44</v>
      </c>
      <c r="O590" s="110" t="s">
        <v>100</v>
      </c>
      <c r="P590" s="83"/>
      <c r="Q590" s="83"/>
      <c r="R590" s="83"/>
      <c r="S590" s="83"/>
      <c r="T590" s="110">
        <f>S590-Q590</f>
        <v>0</v>
      </c>
      <c r="U590" s="59">
        <f t="shared" si="944"/>
        <v>909</v>
      </c>
      <c r="V590" s="83"/>
      <c r="W590" s="83"/>
      <c r="X590" s="110">
        <f>W590-M590</f>
        <v>-909</v>
      </c>
      <c r="Y590" s="110"/>
      <c r="Z590" s="110"/>
      <c r="AA590" s="110"/>
      <c r="AB590" s="83"/>
      <c r="AC590" s="106"/>
      <c r="AD590" s="106"/>
      <c r="AE590" s="100">
        <f t="shared" si="954"/>
        <v>5.086705202312139E-2</v>
      </c>
      <c r="AF590" s="90"/>
      <c r="AG590" s="109">
        <f t="shared" si="955"/>
        <v>0</v>
      </c>
      <c r="AH590" s="100">
        <f t="shared" si="956"/>
        <v>-1</v>
      </c>
      <c r="AI590" s="100">
        <f t="shared" si="957"/>
        <v>-1</v>
      </c>
    </row>
    <row r="591" spans="1:35" s="82" customFormat="1" ht="16.5" customHeight="1" x14ac:dyDescent="0.3">
      <c r="A591" s="90" t="s">
        <v>46</v>
      </c>
      <c r="B591" s="90" t="s">
        <v>52</v>
      </c>
      <c r="C591" s="137"/>
      <c r="D591" s="90"/>
      <c r="E591" s="80"/>
      <c r="F591" s="81">
        <f>SUM(F588:F590)</f>
        <v>2480</v>
      </c>
      <c r="G591" s="81"/>
      <c r="H591" s="81" t="s">
        <v>50</v>
      </c>
      <c r="I591" s="81"/>
      <c r="J591" s="81" t="s">
        <v>60</v>
      </c>
      <c r="K591" s="85" t="s">
        <v>226</v>
      </c>
      <c r="L591" s="81">
        <f>SUM(L588:L590)</f>
        <v>0</v>
      </c>
      <c r="M591" s="81">
        <f>SUM(M588:M590)</f>
        <v>2587</v>
      </c>
      <c r="N591" s="81">
        <f>SUM(N588:N590)</f>
        <v>107</v>
      </c>
      <c r="O591" s="81" t="s">
        <v>287</v>
      </c>
      <c r="P591" s="81">
        <f>SUM(P588:P590)</f>
        <v>0</v>
      </c>
      <c r="Q591" s="81">
        <f>SUM(Q588:Q590)</f>
        <v>851</v>
      </c>
      <c r="R591" s="81">
        <f>SUM(R588:R590)</f>
        <v>0</v>
      </c>
      <c r="S591" s="81">
        <f>SUM(S588:S590)</f>
        <v>837</v>
      </c>
      <c r="T591" s="81">
        <f>SUM(T588:T590)</f>
        <v>-14</v>
      </c>
      <c r="U591" s="59">
        <f t="shared" si="944"/>
        <v>837</v>
      </c>
      <c r="V591" s="81">
        <f>SUM(V588:V590)</f>
        <v>0</v>
      </c>
      <c r="W591" s="81">
        <f>SUM(W588:W590)</f>
        <v>0</v>
      </c>
      <c r="X591" s="81">
        <f>SUM(X588:X590)</f>
        <v>-2587</v>
      </c>
      <c r="Y591" s="81" t="s">
        <v>47</v>
      </c>
      <c r="Z591" s="110" t="s">
        <v>45</v>
      </c>
      <c r="AA591" s="110"/>
      <c r="AB591" s="84"/>
      <c r="AC591" s="136"/>
      <c r="AD591" s="136"/>
      <c r="AE591" s="100">
        <f t="shared" si="954"/>
        <v>4.314516129032258E-2</v>
      </c>
      <c r="AF591" s="90"/>
      <c r="AG591" s="109">
        <f t="shared" si="955"/>
        <v>0</v>
      </c>
      <c r="AH591" s="100">
        <f t="shared" si="956"/>
        <v>-0.66249999999999998</v>
      </c>
      <c r="AI591" s="100">
        <f t="shared" si="957"/>
        <v>-1</v>
      </c>
    </row>
    <row r="592" spans="1:35" s="86" customFormat="1" ht="18.75" customHeight="1" x14ac:dyDescent="0.3">
      <c r="A592" s="106"/>
      <c r="B592" s="106" t="s">
        <v>52</v>
      </c>
      <c r="C592" s="118">
        <v>48023</v>
      </c>
      <c r="D592" s="310">
        <v>13226071</v>
      </c>
      <c r="E592" s="157" t="s">
        <v>452</v>
      </c>
      <c r="F592" s="83">
        <v>927</v>
      </c>
      <c r="G592" s="83"/>
      <c r="H592" s="83"/>
      <c r="I592" s="83"/>
      <c r="J592" s="83"/>
      <c r="K592" s="83"/>
      <c r="L592" s="83"/>
      <c r="M592" s="83">
        <v>961</v>
      </c>
      <c r="N592" s="110">
        <f>M592-F592</f>
        <v>34</v>
      </c>
      <c r="O592" s="110" t="s">
        <v>100</v>
      </c>
      <c r="P592" s="83"/>
      <c r="Q592" s="83">
        <f>129+832</f>
        <v>961</v>
      </c>
      <c r="R592" s="83"/>
      <c r="S592" s="83">
        <v>960</v>
      </c>
      <c r="T592" s="110">
        <f>S592-Q592</f>
        <v>-1</v>
      </c>
      <c r="U592" s="59">
        <f t="shared" si="944"/>
        <v>0</v>
      </c>
      <c r="V592" s="83"/>
      <c r="W592" s="83">
        <v>960</v>
      </c>
      <c r="X592" s="110">
        <f>W592-M592</f>
        <v>-1</v>
      </c>
      <c r="Y592" s="110"/>
      <c r="Z592" s="110"/>
      <c r="AA592" s="110"/>
      <c r="AB592" s="83"/>
      <c r="AC592" s="106"/>
      <c r="AD592" s="106"/>
      <c r="AE592" s="100">
        <f t="shared" ref="AE592:AE630" si="963">N592/F592</f>
        <v>3.6677454153182305E-2</v>
      </c>
      <c r="AF592" s="90"/>
      <c r="AG592" s="109">
        <f t="shared" ref="AG592:AG630" si="964">IF(N592&lt;0,N592,0)</f>
        <v>0</v>
      </c>
      <c r="AH592" s="100">
        <f t="shared" ref="AH592:AH630" si="965">(S592-F592)/F592</f>
        <v>3.5598705501618123E-2</v>
      </c>
      <c r="AI592" s="100">
        <f t="shared" ref="AI592:AI630" si="966">(W592-F592)/F592</f>
        <v>3.5598705501618123E-2</v>
      </c>
    </row>
    <row r="593" spans="1:35" s="86" customFormat="1" ht="18.75" customHeight="1" x14ac:dyDescent="0.3">
      <c r="A593" s="106"/>
      <c r="B593" s="106" t="s">
        <v>52</v>
      </c>
      <c r="C593" s="118">
        <v>48023</v>
      </c>
      <c r="D593" s="311"/>
      <c r="E593" s="157" t="s">
        <v>451</v>
      </c>
      <c r="F593" s="83">
        <v>1044</v>
      </c>
      <c r="G593" s="83"/>
      <c r="H593" s="83"/>
      <c r="I593" s="83"/>
      <c r="J593" s="83"/>
      <c r="K593" s="83"/>
      <c r="L593" s="83"/>
      <c r="M593" s="83">
        <f>966+114</f>
        <v>1080</v>
      </c>
      <c r="N593" s="110">
        <f>M593-F593</f>
        <v>36</v>
      </c>
      <c r="O593" s="110" t="s">
        <v>100</v>
      </c>
      <c r="P593" s="83"/>
      <c r="Q593" s="83">
        <f>966+114</f>
        <v>1080</v>
      </c>
      <c r="R593" s="83"/>
      <c r="S593" s="83">
        <v>1077</v>
      </c>
      <c r="T593" s="110">
        <f>S593-Q593</f>
        <v>-3</v>
      </c>
      <c r="U593" s="59">
        <f t="shared" ref="U593" si="967">IF(Q593&gt;0,S593-W593,M593-W593)</f>
        <v>0</v>
      </c>
      <c r="V593" s="83"/>
      <c r="W593" s="83">
        <v>1077</v>
      </c>
      <c r="X593" s="110">
        <f>W593-M593</f>
        <v>-3</v>
      </c>
      <c r="Y593" s="110"/>
      <c r="Z593" s="110"/>
      <c r="AA593" s="110"/>
      <c r="AB593" s="83"/>
      <c r="AC593" s="106"/>
      <c r="AD593" s="106"/>
      <c r="AE593" s="100">
        <f t="shared" ref="AE593" si="968">N593/F593</f>
        <v>3.4482758620689655E-2</v>
      </c>
      <c r="AF593" s="90"/>
      <c r="AG593" s="109">
        <f t="shared" ref="AG593" si="969">IF(N593&lt;0,N593,0)</f>
        <v>0</v>
      </c>
      <c r="AH593" s="100">
        <f t="shared" ref="AH593" si="970">(S593-F593)/F593</f>
        <v>3.1609195402298854E-2</v>
      </c>
      <c r="AI593" s="100">
        <f t="shared" ref="AI593" si="971">(W593-F593)/F593</f>
        <v>3.1609195402298854E-2</v>
      </c>
    </row>
    <row r="594" spans="1:35" s="86" customFormat="1" ht="18.75" customHeight="1" x14ac:dyDescent="0.3">
      <c r="A594" s="106"/>
      <c r="B594" s="106" t="s">
        <v>52</v>
      </c>
      <c r="C594" s="118">
        <v>48023</v>
      </c>
      <c r="D594" s="311"/>
      <c r="E594" s="157" t="s">
        <v>728</v>
      </c>
      <c r="F594" s="83">
        <v>1044</v>
      </c>
      <c r="G594" s="83"/>
      <c r="H594" s="83"/>
      <c r="I594" s="83"/>
      <c r="J594" s="83"/>
      <c r="K594" s="83"/>
      <c r="L594" s="83"/>
      <c r="M594" s="83">
        <f>1052+15+21</f>
        <v>1088</v>
      </c>
      <c r="N594" s="110">
        <f>M594-F594</f>
        <v>44</v>
      </c>
      <c r="O594" s="110" t="s">
        <v>100</v>
      </c>
      <c r="P594" s="83"/>
      <c r="Q594" s="83">
        <f>1067+21</f>
        <v>1088</v>
      </c>
      <c r="R594" s="83"/>
      <c r="S594" s="83">
        <v>1087</v>
      </c>
      <c r="T594" s="110">
        <f>S594-Q594</f>
        <v>-1</v>
      </c>
      <c r="U594" s="59">
        <f t="shared" si="944"/>
        <v>0</v>
      </c>
      <c r="V594" s="83"/>
      <c r="W594" s="83">
        <v>1087</v>
      </c>
      <c r="X594" s="110">
        <f>W594-M594</f>
        <v>-1</v>
      </c>
      <c r="Y594" s="110"/>
      <c r="Z594" s="110"/>
      <c r="AA594" s="110"/>
      <c r="AB594" s="83"/>
      <c r="AC594" s="106"/>
      <c r="AD594" s="106"/>
      <c r="AE594" s="100">
        <f t="shared" si="963"/>
        <v>4.2145593869731802E-2</v>
      </c>
      <c r="AF594" s="90"/>
      <c r="AG594" s="109">
        <f t="shared" si="964"/>
        <v>0</v>
      </c>
      <c r="AH594" s="100">
        <f t="shared" si="965"/>
        <v>4.1187739463601533E-2</v>
      </c>
      <c r="AI594" s="100">
        <f t="shared" si="966"/>
        <v>4.1187739463601533E-2</v>
      </c>
    </row>
    <row r="595" spans="1:35" s="82" customFormat="1" ht="16.5" customHeight="1" x14ac:dyDescent="0.3">
      <c r="A595" s="90" t="s">
        <v>46</v>
      </c>
      <c r="B595" s="90" t="s">
        <v>52</v>
      </c>
      <c r="C595" s="137"/>
      <c r="D595" s="90"/>
      <c r="E595" s="80"/>
      <c r="F595" s="81">
        <f>SUM(F592:F594)</f>
        <v>3015</v>
      </c>
      <c r="G595" s="81"/>
      <c r="H595" s="81" t="s">
        <v>50</v>
      </c>
      <c r="I595" s="81"/>
      <c r="J595" s="81" t="s">
        <v>60</v>
      </c>
      <c r="K595" s="85" t="s">
        <v>226</v>
      </c>
      <c r="L595" s="81">
        <f>SUM(L592:L594)</f>
        <v>0</v>
      </c>
      <c r="M595" s="81">
        <f>SUM(M592:M594)</f>
        <v>3129</v>
      </c>
      <c r="N595" s="81">
        <f>SUM(N592:N594)</f>
        <v>114</v>
      </c>
      <c r="O595" s="81" t="s">
        <v>208</v>
      </c>
      <c r="P595" s="81">
        <f>SUM(P592:P594)</f>
        <v>0</v>
      </c>
      <c r="Q595" s="81">
        <f>SUM(Q592:Q594)</f>
        <v>3129</v>
      </c>
      <c r="R595" s="81">
        <f>SUM(R592:R594)</f>
        <v>0</v>
      </c>
      <c r="S595" s="81">
        <f>SUM(S592:S594)</f>
        <v>3124</v>
      </c>
      <c r="T595" s="81">
        <f>SUM(T592:T594)</f>
        <v>-5</v>
      </c>
      <c r="U595" s="59">
        <f t="shared" si="944"/>
        <v>0</v>
      </c>
      <c r="V595" s="81">
        <f>SUM(V592:V594)</f>
        <v>0</v>
      </c>
      <c r="W595" s="81">
        <f>SUM(W592:W594)</f>
        <v>3124</v>
      </c>
      <c r="X595" s="81">
        <f>SUM(X592:X594)</f>
        <v>-5</v>
      </c>
      <c r="Y595" s="81" t="s">
        <v>47</v>
      </c>
      <c r="Z595" s="110" t="s">
        <v>45</v>
      </c>
      <c r="AA595" s="110"/>
      <c r="AB595" s="84"/>
      <c r="AC595" s="136"/>
      <c r="AD595" s="136"/>
      <c r="AE595" s="100">
        <f t="shared" si="963"/>
        <v>3.7810945273631838E-2</v>
      </c>
      <c r="AF595" s="90"/>
      <c r="AG595" s="109">
        <f t="shared" si="964"/>
        <v>0</v>
      </c>
      <c r="AH595" s="100">
        <f t="shared" si="965"/>
        <v>3.6152570480928688E-2</v>
      </c>
      <c r="AI595" s="100">
        <f t="shared" si="966"/>
        <v>3.6152570480928688E-2</v>
      </c>
    </row>
    <row r="596" spans="1:35" s="86" customFormat="1" ht="18.75" customHeight="1" x14ac:dyDescent="0.3">
      <c r="A596" s="106"/>
      <c r="B596" s="106" t="s">
        <v>52</v>
      </c>
      <c r="C596" s="118">
        <v>47583</v>
      </c>
      <c r="D596" s="310">
        <v>13262616</v>
      </c>
      <c r="E596" s="157" t="s">
        <v>188</v>
      </c>
      <c r="F596" s="83">
        <v>1335</v>
      </c>
      <c r="G596" s="83"/>
      <c r="H596" s="83"/>
      <c r="I596" s="83"/>
      <c r="J596" s="83"/>
      <c r="K596" s="83"/>
      <c r="L596" s="83"/>
      <c r="M596" s="83">
        <f>1392</f>
        <v>1392</v>
      </c>
      <c r="N596" s="110">
        <f>M596-F596</f>
        <v>57</v>
      </c>
      <c r="O596" s="110" t="s">
        <v>100</v>
      </c>
      <c r="P596" s="83"/>
      <c r="Q596" s="83">
        <v>1392</v>
      </c>
      <c r="R596" s="83"/>
      <c r="S596" s="83">
        <v>1392</v>
      </c>
      <c r="T596" s="110">
        <f>S596-Q596</f>
        <v>0</v>
      </c>
      <c r="U596" s="59">
        <f t="shared" si="944"/>
        <v>16</v>
      </c>
      <c r="V596" s="83"/>
      <c r="W596" s="83">
        <v>1376</v>
      </c>
      <c r="X596" s="110">
        <f>W596-M596</f>
        <v>-16</v>
      </c>
      <c r="Y596" s="110"/>
      <c r="Z596" s="110"/>
      <c r="AA596" s="110"/>
      <c r="AB596" s="83"/>
      <c r="AC596" s="106"/>
      <c r="AD596" s="106"/>
      <c r="AE596" s="100">
        <f t="shared" si="963"/>
        <v>4.2696629213483148E-2</v>
      </c>
      <c r="AF596" s="90"/>
      <c r="AG596" s="109">
        <f t="shared" si="964"/>
        <v>0</v>
      </c>
      <c r="AH596" s="100">
        <f t="shared" si="965"/>
        <v>4.2696629213483148E-2</v>
      </c>
      <c r="AI596" s="100">
        <f t="shared" si="966"/>
        <v>3.0711610486891385E-2</v>
      </c>
    </row>
    <row r="597" spans="1:35" s="86" customFormat="1" ht="18.75" customHeight="1" x14ac:dyDescent="0.3">
      <c r="A597" s="106"/>
      <c r="B597" s="106" t="s">
        <v>52</v>
      </c>
      <c r="C597" s="118">
        <v>47583</v>
      </c>
      <c r="D597" s="311"/>
      <c r="E597" s="157" t="s">
        <v>123</v>
      </c>
      <c r="F597" s="83">
        <v>1158</v>
      </c>
      <c r="G597" s="83"/>
      <c r="H597" s="83"/>
      <c r="I597" s="83"/>
      <c r="J597" s="83"/>
      <c r="K597" s="83"/>
      <c r="L597" s="83"/>
      <c r="M597" s="83">
        <f>300+878+52</f>
        <v>1230</v>
      </c>
      <c r="N597" s="110">
        <f>M597-F597</f>
        <v>72</v>
      </c>
      <c r="O597" s="110" t="s">
        <v>100</v>
      </c>
      <c r="P597" s="83"/>
      <c r="Q597" s="83">
        <f>1160+52+6</f>
        <v>1218</v>
      </c>
      <c r="R597" s="83"/>
      <c r="S597" s="83">
        <v>1218</v>
      </c>
      <c r="T597" s="110">
        <f>S597-Q597</f>
        <v>0</v>
      </c>
      <c r="U597" s="59">
        <f t="shared" si="944"/>
        <v>18</v>
      </c>
      <c r="V597" s="83"/>
      <c r="W597" s="83">
        <v>1200</v>
      </c>
      <c r="X597" s="110">
        <f>W597-M597</f>
        <v>-30</v>
      </c>
      <c r="Y597" s="110"/>
      <c r="Z597" s="110"/>
      <c r="AA597" s="110"/>
      <c r="AB597" s="83"/>
      <c r="AC597" s="106"/>
      <c r="AD597" s="106"/>
      <c r="AE597" s="100">
        <f t="shared" si="963"/>
        <v>6.2176165803108807E-2</v>
      </c>
      <c r="AF597" s="90"/>
      <c r="AG597" s="109">
        <f t="shared" si="964"/>
        <v>0</v>
      </c>
      <c r="AH597" s="100">
        <f t="shared" si="965"/>
        <v>5.181347150259067E-2</v>
      </c>
      <c r="AI597" s="100">
        <f t="shared" si="966"/>
        <v>3.6269430051813469E-2</v>
      </c>
    </row>
    <row r="598" spans="1:35" s="82" customFormat="1" ht="16.5" customHeight="1" x14ac:dyDescent="0.3">
      <c r="A598" s="90" t="s">
        <v>46</v>
      </c>
      <c r="B598" s="90" t="s">
        <v>52</v>
      </c>
      <c r="C598" s="137"/>
      <c r="D598" s="90"/>
      <c r="E598" s="80"/>
      <c r="F598" s="81">
        <f>SUM(F596:F597)</f>
        <v>2493</v>
      </c>
      <c r="G598" s="81"/>
      <c r="H598" s="81" t="s">
        <v>50</v>
      </c>
      <c r="I598" s="81"/>
      <c r="J598" s="81" t="s">
        <v>60</v>
      </c>
      <c r="K598" s="85" t="s">
        <v>238</v>
      </c>
      <c r="L598" s="81">
        <f>SUM(L596:L597)</f>
        <v>0</v>
      </c>
      <c r="M598" s="81">
        <f>SUM(M596:M597)</f>
        <v>2622</v>
      </c>
      <c r="N598" s="81">
        <f>SUM(N596:N597)</f>
        <v>129</v>
      </c>
      <c r="O598" s="81" t="s">
        <v>196</v>
      </c>
      <c r="P598" s="81">
        <f>SUM(P596:P597)</f>
        <v>0</v>
      </c>
      <c r="Q598" s="81">
        <f>SUM(Q596:Q597)</f>
        <v>2610</v>
      </c>
      <c r="R598" s="81">
        <f>SUM(R596:R597)</f>
        <v>0</v>
      </c>
      <c r="S598" s="81">
        <f>SUM(S596:S597)</f>
        <v>2610</v>
      </c>
      <c r="T598" s="81">
        <f>SUM(T596:T597)</f>
        <v>0</v>
      </c>
      <c r="U598" s="59">
        <f t="shared" si="944"/>
        <v>34</v>
      </c>
      <c r="V598" s="81">
        <f>SUM(V596:V597)</f>
        <v>0</v>
      </c>
      <c r="W598" s="81">
        <f>SUM(W596:W597)</f>
        <v>2576</v>
      </c>
      <c r="X598" s="81">
        <f>SUM(X596:X597)</f>
        <v>-46</v>
      </c>
      <c r="Y598" s="81" t="s">
        <v>57</v>
      </c>
      <c r="Z598" s="110" t="s">
        <v>45</v>
      </c>
      <c r="AA598" s="110"/>
      <c r="AB598" s="84"/>
      <c r="AC598" s="136"/>
      <c r="AD598" s="136"/>
      <c r="AE598" s="100">
        <f t="shared" si="963"/>
        <v>5.1744885679903728E-2</v>
      </c>
      <c r="AF598" s="90"/>
      <c r="AG598" s="109">
        <f t="shared" si="964"/>
        <v>0</v>
      </c>
      <c r="AH598" s="100">
        <f t="shared" si="965"/>
        <v>4.6931407942238268E-2</v>
      </c>
      <c r="AI598" s="100">
        <f t="shared" si="966"/>
        <v>3.3293221018852785E-2</v>
      </c>
    </row>
    <row r="599" spans="1:35" s="86" customFormat="1" ht="18.75" customHeight="1" x14ac:dyDescent="0.3">
      <c r="A599" s="106"/>
      <c r="B599" s="106" t="s">
        <v>52</v>
      </c>
      <c r="C599" s="118" t="s">
        <v>423</v>
      </c>
      <c r="D599" s="310">
        <v>13242490</v>
      </c>
      <c r="E599" s="157" t="s">
        <v>424</v>
      </c>
      <c r="F599" s="83">
        <v>2784</v>
      </c>
      <c r="G599" s="83"/>
      <c r="H599" s="83"/>
      <c r="I599" s="83"/>
      <c r="J599" s="83"/>
      <c r="K599" s="83"/>
      <c r="L599" s="83"/>
      <c r="M599" s="83">
        <f>866+489+1537</f>
        <v>2892</v>
      </c>
      <c r="N599" s="110">
        <f>M599-F599</f>
        <v>108</v>
      </c>
      <c r="O599" s="110" t="s">
        <v>100</v>
      </c>
      <c r="P599" s="83"/>
      <c r="Q599" s="83">
        <f>859+486+1526</f>
        <v>2871</v>
      </c>
      <c r="R599" s="83"/>
      <c r="S599" s="83">
        <f>1333+1517</f>
        <v>2850</v>
      </c>
      <c r="T599" s="110">
        <f>S599-Q599</f>
        <v>-21</v>
      </c>
      <c r="U599" s="59">
        <f t="shared" si="944"/>
        <v>0</v>
      </c>
      <c r="V599" s="83"/>
      <c r="W599" s="83">
        <f>2850</f>
        <v>2850</v>
      </c>
      <c r="X599" s="110">
        <f>W599-M599</f>
        <v>-42</v>
      </c>
      <c r="Y599" s="110"/>
      <c r="Z599" s="110"/>
      <c r="AA599" s="110"/>
      <c r="AB599" s="83"/>
      <c r="AC599" s="106"/>
      <c r="AD599" s="106"/>
      <c r="AE599" s="100">
        <f t="shared" ref="AE599:AE603" si="972">N599/F599</f>
        <v>3.8793103448275863E-2</v>
      </c>
      <c r="AF599" s="90"/>
      <c r="AG599" s="109">
        <f t="shared" ref="AG599:AG603" si="973">IF(N599&lt;0,N599,0)</f>
        <v>0</v>
      </c>
      <c r="AH599" s="100">
        <f t="shared" ref="AH599:AH603" si="974">(S599-F599)/F599</f>
        <v>2.3706896551724137E-2</v>
      </c>
      <c r="AI599" s="100">
        <f t="shared" ref="AI599:AI603" si="975">(W599-F599)/F599</f>
        <v>2.3706896551724137E-2</v>
      </c>
    </row>
    <row r="600" spans="1:35" s="86" customFormat="1" ht="18.75" customHeight="1" x14ac:dyDescent="0.3">
      <c r="A600" s="106"/>
      <c r="B600" s="106" t="s">
        <v>52</v>
      </c>
      <c r="C600" s="118" t="s">
        <v>423</v>
      </c>
      <c r="D600" s="311"/>
      <c r="E600" s="157" t="s">
        <v>98</v>
      </c>
      <c r="F600" s="83">
        <v>2784</v>
      </c>
      <c r="G600" s="83"/>
      <c r="H600" s="83"/>
      <c r="I600" s="83"/>
      <c r="J600" s="83"/>
      <c r="K600" s="83"/>
      <c r="L600" s="83"/>
      <c r="M600" s="83">
        <f>1309+1100+344+100</f>
        <v>2853</v>
      </c>
      <c r="N600" s="110">
        <f>M600-F600</f>
        <v>69</v>
      </c>
      <c r="O600" s="110" t="s">
        <v>100</v>
      </c>
      <c r="P600" s="83"/>
      <c r="Q600" s="83">
        <f>2753+100</f>
        <v>2853</v>
      </c>
      <c r="R600" s="83"/>
      <c r="S600" s="83">
        <f>2825+22</f>
        <v>2847</v>
      </c>
      <c r="T600" s="110">
        <f>S600-Q600</f>
        <v>-6</v>
      </c>
      <c r="U600" s="59">
        <f t="shared" si="944"/>
        <v>4</v>
      </c>
      <c r="V600" s="83"/>
      <c r="W600" s="83">
        <v>2843</v>
      </c>
      <c r="X600" s="110">
        <f>W600-M600</f>
        <v>-10</v>
      </c>
      <c r="Y600" s="110"/>
      <c r="Z600" s="110"/>
      <c r="AA600" s="110"/>
      <c r="AB600" s="83"/>
      <c r="AC600" s="106"/>
      <c r="AD600" s="106"/>
      <c r="AE600" s="100">
        <f t="shared" si="972"/>
        <v>2.4784482758620691E-2</v>
      </c>
      <c r="AF600" s="90"/>
      <c r="AG600" s="109">
        <f t="shared" si="973"/>
        <v>0</v>
      </c>
      <c r="AH600" s="100">
        <f t="shared" si="974"/>
        <v>2.2629310344827586E-2</v>
      </c>
      <c r="AI600" s="100">
        <f t="shared" si="975"/>
        <v>2.1192528735632182E-2</v>
      </c>
    </row>
    <row r="601" spans="1:35" s="86" customFormat="1" ht="18.75" customHeight="1" x14ac:dyDescent="0.3">
      <c r="A601" s="106"/>
      <c r="B601" s="106" t="s">
        <v>52</v>
      </c>
      <c r="C601" s="118" t="s">
        <v>423</v>
      </c>
      <c r="D601" s="311"/>
      <c r="E601" s="157" t="s">
        <v>38</v>
      </c>
      <c r="F601" s="83">
        <v>1320</v>
      </c>
      <c r="G601" s="83"/>
      <c r="H601" s="83"/>
      <c r="I601" s="83"/>
      <c r="J601" s="83"/>
      <c r="K601" s="83"/>
      <c r="L601" s="83"/>
      <c r="M601" s="83">
        <f>664+704</f>
        <v>1368</v>
      </c>
      <c r="N601" s="110">
        <f>M601-F601</f>
        <v>48</v>
      </c>
      <c r="O601" s="110" t="s">
        <v>100</v>
      </c>
      <c r="P601" s="83"/>
      <c r="Q601" s="83">
        <f>659+701</f>
        <v>1360</v>
      </c>
      <c r="R601" s="83"/>
      <c r="S601" s="83">
        <v>1352</v>
      </c>
      <c r="T601" s="110">
        <f>S601-Q601</f>
        <v>-8</v>
      </c>
      <c r="U601" s="59">
        <f t="shared" ref="U601" si="976">IF(Q601&gt;0,S601-W601,M601-W601)</f>
        <v>4</v>
      </c>
      <c r="V601" s="83"/>
      <c r="W601" s="83">
        <v>1348</v>
      </c>
      <c r="X601" s="110">
        <f>W601-M601</f>
        <v>-20</v>
      </c>
      <c r="Y601" s="110"/>
      <c r="Z601" s="110"/>
      <c r="AA601" s="110"/>
      <c r="AB601" s="83"/>
      <c r="AC601" s="106"/>
      <c r="AD601" s="106"/>
      <c r="AE601" s="100">
        <f t="shared" ref="AE601" si="977">N601/F601</f>
        <v>3.6363636363636362E-2</v>
      </c>
      <c r="AF601" s="90"/>
      <c r="AG601" s="109">
        <f t="shared" ref="AG601" si="978">IF(N601&lt;0,N601,0)</f>
        <v>0</v>
      </c>
      <c r="AH601" s="100">
        <f t="shared" ref="AH601" si="979">(S601-F601)/F601</f>
        <v>2.4242424242424242E-2</v>
      </c>
      <c r="AI601" s="100">
        <f t="shared" ref="AI601" si="980">(W601-F601)/F601</f>
        <v>2.1212121212121213E-2</v>
      </c>
    </row>
    <row r="602" spans="1:35" s="86" customFormat="1" ht="18.75" customHeight="1" x14ac:dyDescent="0.3">
      <c r="A602" s="106"/>
      <c r="B602" s="106" t="s">
        <v>52</v>
      </c>
      <c r="C602" s="118" t="s">
        <v>423</v>
      </c>
      <c r="D602" s="311"/>
      <c r="E602" s="157" t="s">
        <v>39</v>
      </c>
      <c r="F602" s="83">
        <v>1320</v>
      </c>
      <c r="G602" s="83"/>
      <c r="H602" s="83"/>
      <c r="I602" s="83"/>
      <c r="J602" s="83"/>
      <c r="K602" s="83"/>
      <c r="L602" s="83"/>
      <c r="M602" s="83">
        <f>402+979</f>
        <v>1381</v>
      </c>
      <c r="N602" s="110">
        <f>M602-F602</f>
        <v>61</v>
      </c>
      <c r="O602" s="110" t="s">
        <v>100</v>
      </c>
      <c r="P602" s="83"/>
      <c r="Q602" s="83">
        <f>396+966</f>
        <v>1362</v>
      </c>
      <c r="R602" s="83"/>
      <c r="S602" s="83">
        <v>1362</v>
      </c>
      <c r="T602" s="110">
        <f>S602-Q602</f>
        <v>0</v>
      </c>
      <c r="U602" s="59">
        <f t="shared" si="944"/>
        <v>8</v>
      </c>
      <c r="V602" s="83"/>
      <c r="W602" s="83">
        <v>1354</v>
      </c>
      <c r="X602" s="110">
        <f>W602-M602</f>
        <v>-27</v>
      </c>
      <c r="Y602" s="110"/>
      <c r="Z602" s="110"/>
      <c r="AA602" s="110"/>
      <c r="AB602" s="83"/>
      <c r="AC602" s="106"/>
      <c r="AD602" s="106"/>
      <c r="AE602" s="100">
        <f t="shared" si="972"/>
        <v>4.6212121212121211E-2</v>
      </c>
      <c r="AF602" s="90"/>
      <c r="AG602" s="109">
        <f t="shared" si="973"/>
        <v>0</v>
      </c>
      <c r="AH602" s="100">
        <f t="shared" si="974"/>
        <v>3.1818181818181815E-2</v>
      </c>
      <c r="AI602" s="100">
        <f t="shared" si="975"/>
        <v>2.5757575757575757E-2</v>
      </c>
    </row>
    <row r="603" spans="1:35" s="82" customFormat="1" ht="16.5" customHeight="1" x14ac:dyDescent="0.3">
      <c r="A603" s="90" t="s">
        <v>46</v>
      </c>
      <c r="B603" s="90" t="s">
        <v>52</v>
      </c>
      <c r="C603" s="137"/>
      <c r="D603" s="90"/>
      <c r="E603" s="80"/>
      <c r="F603" s="81">
        <f>SUM(F599:F602)</f>
        <v>8208</v>
      </c>
      <c r="G603" s="81"/>
      <c r="H603" s="81" t="s">
        <v>50</v>
      </c>
      <c r="I603" s="81"/>
      <c r="J603" s="81" t="s">
        <v>60</v>
      </c>
      <c r="K603" s="85" t="s">
        <v>283</v>
      </c>
      <c r="L603" s="81">
        <f>SUM(L599:L602)</f>
        <v>0</v>
      </c>
      <c r="M603" s="81">
        <f>SUM(M599:M602)</f>
        <v>8494</v>
      </c>
      <c r="N603" s="81">
        <f>SUM(N599:N602)</f>
        <v>286</v>
      </c>
      <c r="O603" s="81" t="s">
        <v>243</v>
      </c>
      <c r="P603" s="81">
        <f>SUM(P599:P602)</f>
        <v>0</v>
      </c>
      <c r="Q603" s="81">
        <f>SUM(Q599:Q602)</f>
        <v>8446</v>
      </c>
      <c r="R603" s="81">
        <f>SUM(R599:R602)</f>
        <v>0</v>
      </c>
      <c r="S603" s="81">
        <f>SUM(S599:S602)</f>
        <v>8411</v>
      </c>
      <c r="T603" s="81">
        <f>SUM(T599:T602)</f>
        <v>-35</v>
      </c>
      <c r="U603" s="59">
        <f t="shared" si="944"/>
        <v>16</v>
      </c>
      <c r="V603" s="81">
        <f>SUM(V599:V602)</f>
        <v>0</v>
      </c>
      <c r="W603" s="81">
        <f>SUM(W599:W602)</f>
        <v>8395</v>
      </c>
      <c r="X603" s="81">
        <f>SUM(X599:X602)</f>
        <v>-99</v>
      </c>
      <c r="Y603" s="81" t="s">
        <v>47</v>
      </c>
      <c r="Z603" s="110" t="s">
        <v>45</v>
      </c>
      <c r="AA603" s="110"/>
      <c r="AB603" s="84"/>
      <c r="AC603" s="136"/>
      <c r="AD603" s="136"/>
      <c r="AE603" s="100">
        <f t="shared" si="972"/>
        <v>3.4844054580896684E-2</v>
      </c>
      <c r="AF603" s="90"/>
      <c r="AG603" s="109">
        <f t="shared" si="973"/>
        <v>0</v>
      </c>
      <c r="AH603" s="100">
        <f t="shared" si="974"/>
        <v>2.4731968810916178E-2</v>
      </c>
      <c r="AI603" s="100">
        <f t="shared" si="975"/>
        <v>2.2782651072124755E-2</v>
      </c>
    </row>
    <row r="604" spans="1:35" s="86" customFormat="1" ht="18.75" customHeight="1" x14ac:dyDescent="0.3">
      <c r="A604" s="106"/>
      <c r="B604" s="106" t="s">
        <v>52</v>
      </c>
      <c r="C604" s="118">
        <v>48002</v>
      </c>
      <c r="D604" s="310">
        <v>13264347</v>
      </c>
      <c r="E604" s="157" t="s">
        <v>402</v>
      </c>
      <c r="F604" s="83">
        <v>3007</v>
      </c>
      <c r="G604" s="83"/>
      <c r="H604" s="83"/>
      <c r="I604" s="83"/>
      <c r="J604" s="83"/>
      <c r="K604" s="83"/>
      <c r="L604" s="83"/>
      <c r="M604" s="83"/>
      <c r="N604" s="110">
        <f>M604-F604</f>
        <v>-3007</v>
      </c>
      <c r="O604" s="110" t="s">
        <v>100</v>
      </c>
      <c r="P604" s="83"/>
      <c r="Q604" s="83"/>
      <c r="R604" s="83"/>
      <c r="S604" s="83"/>
      <c r="T604" s="110">
        <f>S604-Q604</f>
        <v>0</v>
      </c>
      <c r="U604" s="59">
        <f t="shared" si="944"/>
        <v>0</v>
      </c>
      <c r="V604" s="83"/>
      <c r="W604" s="83"/>
      <c r="X604" s="110">
        <f>W604-M604</f>
        <v>0</v>
      </c>
      <c r="Y604" s="110"/>
      <c r="Z604" s="110"/>
      <c r="AA604" s="110"/>
      <c r="AB604" s="83"/>
      <c r="AC604" s="106"/>
      <c r="AD604" s="106"/>
      <c r="AE604" s="100">
        <f t="shared" ref="AE604:AE606" si="981">N604/F604</f>
        <v>-1</v>
      </c>
      <c r="AF604" s="90"/>
      <c r="AG604" s="109">
        <f t="shared" ref="AG604:AG606" si="982">IF(N604&lt;0,N604,0)</f>
        <v>-3007</v>
      </c>
      <c r="AH604" s="100">
        <f t="shared" ref="AH604:AH606" si="983">(S604-F604)/F604</f>
        <v>-1</v>
      </c>
      <c r="AI604" s="100">
        <f t="shared" ref="AI604:AI606" si="984">(W604-F604)/F604</f>
        <v>-1</v>
      </c>
    </row>
    <row r="605" spans="1:35" s="86" customFormat="1" ht="18.75" customHeight="1" x14ac:dyDescent="0.3">
      <c r="A605" s="106"/>
      <c r="B605" s="106" t="s">
        <v>52</v>
      </c>
      <c r="C605" s="118">
        <v>48002</v>
      </c>
      <c r="D605" s="311"/>
      <c r="E605" s="157" t="s">
        <v>123</v>
      </c>
      <c r="F605" s="83">
        <v>3307</v>
      </c>
      <c r="G605" s="83"/>
      <c r="H605" s="83"/>
      <c r="I605" s="83"/>
      <c r="J605" s="83"/>
      <c r="K605" s="83"/>
      <c r="L605" s="83"/>
      <c r="M605" s="83">
        <f>900+665+1845</f>
        <v>3410</v>
      </c>
      <c r="N605" s="110">
        <f>M605-F605</f>
        <v>103</v>
      </c>
      <c r="O605" s="110" t="s">
        <v>100</v>
      </c>
      <c r="P605" s="83"/>
      <c r="Q605" s="83">
        <f>900+665+750+1095</f>
        <v>3410</v>
      </c>
      <c r="R605" s="83"/>
      <c r="S605" s="83">
        <f>901+635+750+1091</f>
        <v>3377</v>
      </c>
      <c r="T605" s="110">
        <f>S605-Q605</f>
        <v>-33</v>
      </c>
      <c r="U605" s="59">
        <f t="shared" si="944"/>
        <v>3377</v>
      </c>
      <c r="V605" s="83"/>
      <c r="W605" s="83"/>
      <c r="X605" s="110">
        <f>W605-M605</f>
        <v>-3410</v>
      </c>
      <c r="Y605" s="110"/>
      <c r="Z605" s="110"/>
      <c r="AA605" s="110"/>
      <c r="AB605" s="83"/>
      <c r="AC605" s="106"/>
      <c r="AD605" s="106"/>
      <c r="AE605" s="100">
        <f t="shared" si="981"/>
        <v>3.1146053825219233E-2</v>
      </c>
      <c r="AF605" s="90"/>
      <c r="AG605" s="109">
        <f t="shared" si="982"/>
        <v>0</v>
      </c>
      <c r="AH605" s="100">
        <f t="shared" si="983"/>
        <v>2.1167221046265498E-2</v>
      </c>
      <c r="AI605" s="100">
        <f t="shared" si="984"/>
        <v>-1</v>
      </c>
    </row>
    <row r="606" spans="1:35" s="82" customFormat="1" ht="16.5" customHeight="1" x14ac:dyDescent="0.3">
      <c r="A606" s="90" t="s">
        <v>46</v>
      </c>
      <c r="B606" s="90" t="s">
        <v>52</v>
      </c>
      <c r="C606" s="137"/>
      <c r="D606" s="90"/>
      <c r="E606" s="80"/>
      <c r="F606" s="81">
        <f>SUM(F604:F605)</f>
        <v>6314</v>
      </c>
      <c r="G606" s="81"/>
      <c r="H606" s="81" t="s">
        <v>50</v>
      </c>
      <c r="I606" s="81"/>
      <c r="J606" s="81" t="s">
        <v>60</v>
      </c>
      <c r="K606" s="85" t="s">
        <v>330</v>
      </c>
      <c r="L606" s="81">
        <f>SUM(L604:L605)</f>
        <v>0</v>
      </c>
      <c r="M606" s="81">
        <f>SUM(M604:M605)</f>
        <v>3410</v>
      </c>
      <c r="N606" s="81">
        <f>SUM(N604:N605)</f>
        <v>-2904</v>
      </c>
      <c r="O606" s="81" t="s">
        <v>210</v>
      </c>
      <c r="P606" s="81">
        <f>SUM(P604:P605)</f>
        <v>0</v>
      </c>
      <c r="Q606" s="81">
        <f>SUM(Q604:Q605)</f>
        <v>3410</v>
      </c>
      <c r="R606" s="81">
        <f>SUM(R604:R605)</f>
        <v>0</v>
      </c>
      <c r="S606" s="81">
        <f>SUM(S604:S605)</f>
        <v>3377</v>
      </c>
      <c r="T606" s="81">
        <f>SUM(T604:T605)</f>
        <v>-33</v>
      </c>
      <c r="U606" s="59">
        <f t="shared" si="944"/>
        <v>3377</v>
      </c>
      <c r="V606" s="81">
        <f>SUM(V604:V605)</f>
        <v>0</v>
      </c>
      <c r="W606" s="81">
        <f>SUM(W604:W605)</f>
        <v>0</v>
      </c>
      <c r="X606" s="81">
        <f>SUM(X604:X605)</f>
        <v>-3410</v>
      </c>
      <c r="Y606" s="81" t="s">
        <v>47</v>
      </c>
      <c r="Z606" s="110" t="s">
        <v>45</v>
      </c>
      <c r="AA606" s="110"/>
      <c r="AB606" s="84"/>
      <c r="AC606" s="136"/>
      <c r="AD606" s="136"/>
      <c r="AE606" s="100">
        <f t="shared" si="981"/>
        <v>-0.45993031358885017</v>
      </c>
      <c r="AF606" s="90"/>
      <c r="AG606" s="109">
        <f t="shared" si="982"/>
        <v>-2904</v>
      </c>
      <c r="AH606" s="100">
        <f t="shared" si="983"/>
        <v>-0.46515679442508712</v>
      </c>
      <c r="AI606" s="100">
        <f t="shared" si="984"/>
        <v>-1</v>
      </c>
    </row>
    <row r="607" spans="1:35" s="86" customFormat="1" ht="18.75" customHeight="1" x14ac:dyDescent="0.3">
      <c r="A607" s="106"/>
      <c r="B607" s="106" t="s">
        <v>52</v>
      </c>
      <c r="C607" s="118" t="s">
        <v>426</v>
      </c>
      <c r="D607" s="310">
        <v>13239415</v>
      </c>
      <c r="E607" s="157" t="s">
        <v>38</v>
      </c>
      <c r="F607" s="83">
        <v>1500</v>
      </c>
      <c r="G607" s="83"/>
      <c r="H607" s="83"/>
      <c r="I607" s="83"/>
      <c r="J607" s="83"/>
      <c r="K607" s="83"/>
      <c r="L607" s="83"/>
      <c r="M607" s="83">
        <f>806+744</f>
        <v>1550</v>
      </c>
      <c r="N607" s="110">
        <f>M607-F607</f>
        <v>50</v>
      </c>
      <c r="O607" s="110" t="s">
        <v>100</v>
      </c>
      <c r="P607" s="83"/>
      <c r="Q607" s="83"/>
      <c r="R607" s="83"/>
      <c r="S607" s="83"/>
      <c r="T607" s="110">
        <f>S607-Q607</f>
        <v>0</v>
      </c>
      <c r="U607" s="59">
        <f t="shared" si="944"/>
        <v>14</v>
      </c>
      <c r="V607" s="83"/>
      <c r="W607" s="83">
        <f>1536</f>
        <v>1536</v>
      </c>
      <c r="X607" s="110">
        <f>W607-M607</f>
        <v>-14</v>
      </c>
      <c r="Y607" s="110"/>
      <c r="Z607" s="110"/>
      <c r="AA607" s="110"/>
      <c r="AB607" s="83"/>
      <c r="AC607" s="106"/>
      <c r="AD607" s="106"/>
      <c r="AE607" s="100">
        <f t="shared" si="963"/>
        <v>3.3333333333333333E-2</v>
      </c>
      <c r="AF607" s="90"/>
      <c r="AG607" s="109">
        <f t="shared" si="964"/>
        <v>0</v>
      </c>
      <c r="AH607" s="100">
        <f t="shared" si="965"/>
        <v>-1</v>
      </c>
      <c r="AI607" s="100">
        <f t="shared" si="966"/>
        <v>2.4E-2</v>
      </c>
    </row>
    <row r="608" spans="1:35" s="86" customFormat="1" ht="18.75" customHeight="1" x14ac:dyDescent="0.3">
      <c r="A608" s="106"/>
      <c r="B608" s="106" t="s">
        <v>52</v>
      </c>
      <c r="C608" s="118" t="s">
        <v>426</v>
      </c>
      <c r="D608" s="311"/>
      <c r="E608" s="157" t="s">
        <v>0</v>
      </c>
      <c r="F608" s="83">
        <v>2040</v>
      </c>
      <c r="G608" s="83"/>
      <c r="H608" s="83"/>
      <c r="I608" s="83"/>
      <c r="J608" s="83"/>
      <c r="K608" s="83"/>
      <c r="L608" s="83"/>
      <c r="M608" s="83">
        <f>2078</f>
        <v>2078</v>
      </c>
      <c r="N608" s="110">
        <f>M608-F608</f>
        <v>38</v>
      </c>
      <c r="O608" s="110" t="s">
        <v>100</v>
      </c>
      <c r="P608" s="83"/>
      <c r="Q608" s="83"/>
      <c r="R608" s="83"/>
      <c r="S608" s="83"/>
      <c r="T608" s="110">
        <f>S608-Q608</f>
        <v>0</v>
      </c>
      <c r="U608" s="59">
        <f t="shared" si="944"/>
        <v>7</v>
      </c>
      <c r="V608" s="83"/>
      <c r="W608" s="83">
        <v>2071</v>
      </c>
      <c r="X608" s="110">
        <f>W608-M608</f>
        <v>-7</v>
      </c>
      <c r="Y608" s="110"/>
      <c r="Z608" s="110"/>
      <c r="AA608" s="110"/>
      <c r="AB608" s="83"/>
      <c r="AC608" s="106"/>
      <c r="AD608" s="106"/>
      <c r="AE608" s="100">
        <f t="shared" si="963"/>
        <v>1.8627450980392157E-2</v>
      </c>
      <c r="AF608" s="90"/>
      <c r="AG608" s="109">
        <f t="shared" si="964"/>
        <v>0</v>
      </c>
      <c r="AH608" s="100">
        <f t="shared" si="965"/>
        <v>-1</v>
      </c>
      <c r="AI608" s="100">
        <f t="shared" si="966"/>
        <v>1.5196078431372549E-2</v>
      </c>
    </row>
    <row r="609" spans="1:35" s="86" customFormat="1" ht="18.75" customHeight="1" x14ac:dyDescent="0.3">
      <c r="A609" s="106"/>
      <c r="B609" s="106" t="s">
        <v>52</v>
      </c>
      <c r="C609" s="118" t="s">
        <v>426</v>
      </c>
      <c r="D609" s="311"/>
      <c r="E609" s="157" t="s">
        <v>138</v>
      </c>
      <c r="F609" s="83">
        <v>1500</v>
      </c>
      <c r="G609" s="83"/>
      <c r="H609" s="83"/>
      <c r="I609" s="83"/>
      <c r="J609" s="83"/>
      <c r="K609" s="83"/>
      <c r="L609" s="83"/>
      <c r="M609" s="83">
        <f>473+472+610+12</f>
        <v>1567</v>
      </c>
      <c r="N609" s="110">
        <f>M609-F609</f>
        <v>67</v>
      </c>
      <c r="O609" s="110" t="s">
        <v>100</v>
      </c>
      <c r="P609" s="83"/>
      <c r="Q609" s="83"/>
      <c r="R609" s="83"/>
      <c r="S609" s="83"/>
      <c r="T609" s="110">
        <f>S609-Q609</f>
        <v>0</v>
      </c>
      <c r="U609" s="59">
        <f t="shared" ref="U609" si="985">IF(Q609&gt;0,S609-W609,M609-W609)</f>
        <v>34</v>
      </c>
      <c r="V609" s="83"/>
      <c r="W609" s="83">
        <f>1521+12</f>
        <v>1533</v>
      </c>
      <c r="X609" s="110">
        <f>W609-M609</f>
        <v>-34</v>
      </c>
      <c r="Y609" s="110"/>
      <c r="Z609" s="110"/>
      <c r="AA609" s="110"/>
      <c r="AB609" s="83"/>
      <c r="AC609" s="106"/>
      <c r="AD609" s="106"/>
      <c r="AE609" s="100">
        <f t="shared" ref="AE609" si="986">N609/F609</f>
        <v>4.4666666666666667E-2</v>
      </c>
      <c r="AF609" s="90"/>
      <c r="AG609" s="109">
        <f t="shared" ref="AG609" si="987">IF(N609&lt;0,N609,0)</f>
        <v>0</v>
      </c>
      <c r="AH609" s="100">
        <f t="shared" ref="AH609" si="988">(S609-F609)/F609</f>
        <v>-1</v>
      </c>
      <c r="AI609" s="100">
        <f t="shared" ref="AI609" si="989">(W609-F609)/F609</f>
        <v>2.1999999999999999E-2</v>
      </c>
    </row>
    <row r="610" spans="1:35" s="86" customFormat="1" ht="18.75" customHeight="1" x14ac:dyDescent="0.3">
      <c r="A610" s="106"/>
      <c r="B610" s="106" t="s">
        <v>52</v>
      </c>
      <c r="C610" s="118" t="s">
        <v>426</v>
      </c>
      <c r="D610" s="311"/>
      <c r="E610" s="157" t="s">
        <v>427</v>
      </c>
      <c r="F610" s="83">
        <v>2040</v>
      </c>
      <c r="G610" s="83"/>
      <c r="H610" s="83"/>
      <c r="I610" s="83"/>
      <c r="J610" s="83"/>
      <c r="K610" s="83"/>
      <c r="L610" s="83"/>
      <c r="M610" s="83">
        <f>1116+976</f>
        <v>2092</v>
      </c>
      <c r="N610" s="110">
        <f>M610-F610</f>
        <v>52</v>
      </c>
      <c r="O610" s="110" t="s">
        <v>100</v>
      </c>
      <c r="P610" s="83"/>
      <c r="Q610" s="83"/>
      <c r="R610" s="83"/>
      <c r="S610" s="83"/>
      <c r="T610" s="110">
        <f>S610-Q610</f>
        <v>0</v>
      </c>
      <c r="U610" s="59">
        <f t="shared" si="944"/>
        <v>0</v>
      </c>
      <c r="V610" s="83"/>
      <c r="W610" s="83">
        <v>2092</v>
      </c>
      <c r="X610" s="110">
        <f>W610-M610</f>
        <v>0</v>
      </c>
      <c r="Y610" s="110"/>
      <c r="Z610" s="110"/>
      <c r="AA610" s="110"/>
      <c r="AB610" s="83"/>
      <c r="AC610" s="106"/>
      <c r="AD610" s="106"/>
      <c r="AE610" s="100">
        <f t="shared" si="963"/>
        <v>2.5490196078431372E-2</v>
      </c>
      <c r="AF610" s="90"/>
      <c r="AG610" s="109">
        <f t="shared" si="964"/>
        <v>0</v>
      </c>
      <c r="AH610" s="100">
        <f t="shared" si="965"/>
        <v>-1</v>
      </c>
      <c r="AI610" s="100">
        <f t="shared" si="966"/>
        <v>2.5490196078431372E-2</v>
      </c>
    </row>
    <row r="611" spans="1:35" s="82" customFormat="1" ht="16.5" customHeight="1" x14ac:dyDescent="0.3">
      <c r="A611" s="90" t="s">
        <v>46</v>
      </c>
      <c r="B611" s="90" t="s">
        <v>52</v>
      </c>
      <c r="C611" s="137"/>
      <c r="D611" s="90"/>
      <c r="E611" s="80"/>
      <c r="F611" s="81">
        <f>SUM(F607:F610)</f>
        <v>7080</v>
      </c>
      <c r="G611" s="81"/>
      <c r="H611" s="81" t="s">
        <v>50</v>
      </c>
      <c r="I611" s="81"/>
      <c r="J611" s="81" t="s">
        <v>60</v>
      </c>
      <c r="K611" s="85" t="s">
        <v>238</v>
      </c>
      <c r="L611" s="81">
        <f>SUM(L607:L610)</f>
        <v>0</v>
      </c>
      <c r="M611" s="81">
        <f>SUM(M607:M610)</f>
        <v>7287</v>
      </c>
      <c r="N611" s="81">
        <f>SUM(N607:N610)</f>
        <v>207</v>
      </c>
      <c r="O611" s="81"/>
      <c r="P611" s="81">
        <f>SUM(P607:P610)</f>
        <v>0</v>
      </c>
      <c r="Q611" s="81">
        <f>SUM(Q607:Q610)</f>
        <v>0</v>
      </c>
      <c r="R611" s="81">
        <f>SUM(R607:R610)</f>
        <v>0</v>
      </c>
      <c r="S611" s="81">
        <f>SUM(S607:S610)</f>
        <v>0</v>
      </c>
      <c r="T611" s="81">
        <f>SUM(T607:T610)</f>
        <v>0</v>
      </c>
      <c r="U611" s="59">
        <f t="shared" ref="U611:U650" si="990">IF(Q611&gt;0,S611-W611,M611-W611)</f>
        <v>55</v>
      </c>
      <c r="V611" s="81">
        <f>SUM(V607:V610)</f>
        <v>0</v>
      </c>
      <c r="W611" s="81">
        <f>SUM(W607:W610)</f>
        <v>7232</v>
      </c>
      <c r="X611" s="81">
        <f>SUM(X607:X610)</f>
        <v>-55</v>
      </c>
      <c r="Y611" s="81"/>
      <c r="Z611" s="110"/>
      <c r="AA611" s="110"/>
      <c r="AB611" s="84"/>
      <c r="AC611" s="136"/>
      <c r="AD611" s="136"/>
      <c r="AE611" s="100">
        <f t="shared" si="963"/>
        <v>2.9237288135593221E-2</v>
      </c>
      <c r="AF611" s="90"/>
      <c r="AG611" s="109">
        <f t="shared" si="964"/>
        <v>0</v>
      </c>
      <c r="AH611" s="100">
        <f t="shared" si="965"/>
        <v>-1</v>
      </c>
      <c r="AI611" s="100">
        <f t="shared" si="966"/>
        <v>2.1468926553672316E-2</v>
      </c>
    </row>
    <row r="612" spans="1:35" s="86" customFormat="1" ht="18.75" customHeight="1" x14ac:dyDescent="0.3">
      <c r="A612" s="106"/>
      <c r="B612" s="106" t="s">
        <v>52</v>
      </c>
      <c r="C612" s="118" t="s">
        <v>425</v>
      </c>
      <c r="D612" s="310">
        <v>13247093</v>
      </c>
      <c r="E612" s="157" t="s">
        <v>157</v>
      </c>
      <c r="F612" s="83">
        <v>1009</v>
      </c>
      <c r="G612" s="83"/>
      <c r="H612" s="83"/>
      <c r="I612" s="83"/>
      <c r="J612" s="83"/>
      <c r="K612" s="83"/>
      <c r="L612" s="83"/>
      <c r="M612" s="83">
        <f>381+564+100+7</f>
        <v>1052</v>
      </c>
      <c r="N612" s="110">
        <f>M612-F612</f>
        <v>43</v>
      </c>
      <c r="O612" s="110" t="s">
        <v>100</v>
      </c>
      <c r="P612" s="83"/>
      <c r="Q612" s="83">
        <f>381+664+7</f>
        <v>1052</v>
      </c>
      <c r="R612" s="83"/>
      <c r="S612" s="83">
        <v>1040</v>
      </c>
      <c r="T612" s="110">
        <f>S612-Q612</f>
        <v>-12</v>
      </c>
      <c r="U612" s="59">
        <f t="shared" si="990"/>
        <v>6</v>
      </c>
      <c r="V612" s="83"/>
      <c r="W612" s="83">
        <v>1034</v>
      </c>
      <c r="X612" s="110">
        <f>W612-M612</f>
        <v>-18</v>
      </c>
      <c r="Y612" s="110"/>
      <c r="Z612" s="110"/>
      <c r="AA612" s="110"/>
      <c r="AB612" s="83"/>
      <c r="AC612" s="106"/>
      <c r="AD612" s="106"/>
      <c r="AE612" s="100">
        <f t="shared" si="963"/>
        <v>4.261645193260654E-2</v>
      </c>
      <c r="AF612" s="90"/>
      <c r="AG612" s="109">
        <f t="shared" si="964"/>
        <v>0</v>
      </c>
      <c r="AH612" s="100">
        <f t="shared" si="965"/>
        <v>3.0723488602576808E-2</v>
      </c>
      <c r="AI612" s="100">
        <f t="shared" si="966"/>
        <v>2.4777006937561942E-2</v>
      </c>
    </row>
    <row r="613" spans="1:35" s="86" customFormat="1" ht="18.75" customHeight="1" x14ac:dyDescent="0.3">
      <c r="A613" s="106"/>
      <c r="B613" s="106" t="s">
        <v>52</v>
      </c>
      <c r="C613" s="118" t="s">
        <v>425</v>
      </c>
      <c r="D613" s="311"/>
      <c r="E613" s="157" t="s">
        <v>0</v>
      </c>
      <c r="F613" s="83">
        <v>1916</v>
      </c>
      <c r="G613" s="83"/>
      <c r="H613" s="83"/>
      <c r="I613" s="83"/>
      <c r="J613" s="83"/>
      <c r="K613" s="83"/>
      <c r="L613" s="83"/>
      <c r="M613" s="83">
        <f>1246+720</f>
        <v>1966</v>
      </c>
      <c r="N613" s="110">
        <f>M613-F613</f>
        <v>50</v>
      </c>
      <c r="O613" s="110" t="s">
        <v>100</v>
      </c>
      <c r="P613" s="83"/>
      <c r="Q613" s="83">
        <f>846+1120</f>
        <v>1966</v>
      </c>
      <c r="R613" s="83"/>
      <c r="S613" s="83">
        <v>1966</v>
      </c>
      <c r="T613" s="110">
        <f>S613-Q613</f>
        <v>0</v>
      </c>
      <c r="U613" s="59">
        <f t="shared" si="990"/>
        <v>7</v>
      </c>
      <c r="V613" s="83"/>
      <c r="W613" s="83">
        <f>1952+7</f>
        <v>1959</v>
      </c>
      <c r="X613" s="110">
        <f>W613-M613</f>
        <v>-7</v>
      </c>
      <c r="Y613" s="110"/>
      <c r="Z613" s="110"/>
      <c r="AA613" s="110"/>
      <c r="AB613" s="83"/>
      <c r="AC613" s="106"/>
      <c r="AD613" s="106"/>
      <c r="AE613" s="100">
        <f t="shared" si="963"/>
        <v>2.6096033402922755E-2</v>
      </c>
      <c r="AF613" s="90"/>
      <c r="AG613" s="109">
        <f t="shared" si="964"/>
        <v>0</v>
      </c>
      <c r="AH613" s="100">
        <f t="shared" si="965"/>
        <v>2.6096033402922755E-2</v>
      </c>
      <c r="AI613" s="100">
        <f t="shared" si="966"/>
        <v>2.2442588726513571E-2</v>
      </c>
    </row>
    <row r="614" spans="1:35" s="82" customFormat="1" ht="16.5" customHeight="1" x14ac:dyDescent="0.3">
      <c r="A614" s="90" t="s">
        <v>46</v>
      </c>
      <c r="B614" s="90" t="s">
        <v>52</v>
      </c>
      <c r="C614" s="137"/>
      <c r="D614" s="90"/>
      <c r="E614" s="80"/>
      <c r="F614" s="81">
        <f>SUM(F612:F613)</f>
        <v>2925</v>
      </c>
      <c r="G614" s="81"/>
      <c r="H614" s="81" t="s">
        <v>50</v>
      </c>
      <c r="I614" s="81"/>
      <c r="J614" s="81" t="s">
        <v>60</v>
      </c>
      <c r="K614" s="85" t="s">
        <v>272</v>
      </c>
      <c r="L614" s="81">
        <f>SUM(L612:L613)</f>
        <v>0</v>
      </c>
      <c r="M614" s="81">
        <f>SUM(M612:M613)</f>
        <v>3018</v>
      </c>
      <c r="N614" s="81">
        <f>SUM(N612:N613)</f>
        <v>93</v>
      </c>
      <c r="O614" s="81" t="s">
        <v>170</v>
      </c>
      <c r="P614" s="81">
        <f>SUM(P612:P613)</f>
        <v>0</v>
      </c>
      <c r="Q614" s="81">
        <f>SUM(Q612:Q613)</f>
        <v>3018</v>
      </c>
      <c r="R614" s="81">
        <f>SUM(R612:R613)</f>
        <v>0</v>
      </c>
      <c r="S614" s="81">
        <f>SUM(S612:S613)</f>
        <v>3006</v>
      </c>
      <c r="T614" s="81">
        <f>SUM(T612:T613)</f>
        <v>-12</v>
      </c>
      <c r="U614" s="59">
        <f t="shared" si="990"/>
        <v>13</v>
      </c>
      <c r="V614" s="81">
        <f>SUM(V612:V613)</f>
        <v>0</v>
      </c>
      <c r="W614" s="81">
        <f>SUM(W612:W613)</f>
        <v>2993</v>
      </c>
      <c r="X614" s="81">
        <f>SUM(X612:X613)</f>
        <v>-25</v>
      </c>
      <c r="Y614" s="81" t="s">
        <v>47</v>
      </c>
      <c r="Z614" s="110" t="s">
        <v>45</v>
      </c>
      <c r="AA614" s="110"/>
      <c r="AB614" s="84"/>
      <c r="AC614" s="136"/>
      <c r="AD614" s="136"/>
      <c r="AE614" s="100">
        <f t="shared" si="963"/>
        <v>3.1794871794871796E-2</v>
      </c>
      <c r="AF614" s="90"/>
      <c r="AG614" s="109">
        <f t="shared" si="964"/>
        <v>0</v>
      </c>
      <c r="AH614" s="100">
        <f t="shared" si="965"/>
        <v>2.7692307692307693E-2</v>
      </c>
      <c r="AI614" s="100">
        <f t="shared" si="966"/>
        <v>2.3247863247863248E-2</v>
      </c>
    </row>
    <row r="615" spans="1:35" s="86" customFormat="1" ht="18.75" customHeight="1" x14ac:dyDescent="0.3">
      <c r="A615" s="106"/>
      <c r="B615" s="106" t="s">
        <v>52</v>
      </c>
      <c r="C615" s="118" t="s">
        <v>428</v>
      </c>
      <c r="D615" s="310">
        <v>13242426</v>
      </c>
      <c r="E615" s="157" t="s">
        <v>429</v>
      </c>
      <c r="F615" s="83">
        <v>2072</v>
      </c>
      <c r="G615" s="83"/>
      <c r="H615" s="83"/>
      <c r="I615" s="83"/>
      <c r="J615" s="83"/>
      <c r="K615" s="83"/>
      <c r="L615" s="83"/>
      <c r="M615" s="83">
        <f>925+734+500</f>
        <v>2159</v>
      </c>
      <c r="N615" s="110">
        <f>M615-F615</f>
        <v>87</v>
      </c>
      <c r="O615" s="110" t="s">
        <v>100</v>
      </c>
      <c r="P615" s="83"/>
      <c r="Q615" s="83">
        <f>919+1227</f>
        <v>2146</v>
      </c>
      <c r="R615" s="83"/>
      <c r="S615" s="83">
        <v>2146</v>
      </c>
      <c r="T615" s="110">
        <f>S615-Q615</f>
        <v>0</v>
      </c>
      <c r="U615" s="59">
        <f t="shared" si="990"/>
        <v>0</v>
      </c>
      <c r="V615" s="83"/>
      <c r="W615" s="83">
        <f>2146</f>
        <v>2146</v>
      </c>
      <c r="X615" s="110">
        <f>W615-M615</f>
        <v>-13</v>
      </c>
      <c r="Y615" s="110"/>
      <c r="Z615" s="110"/>
      <c r="AA615" s="110"/>
      <c r="AB615" s="83"/>
      <c r="AC615" s="106"/>
      <c r="AD615" s="106"/>
      <c r="AE615" s="100">
        <f t="shared" si="963"/>
        <v>4.1988416988416988E-2</v>
      </c>
      <c r="AF615" s="90"/>
      <c r="AG615" s="109">
        <f t="shared" si="964"/>
        <v>0</v>
      </c>
      <c r="AH615" s="100">
        <f t="shared" si="965"/>
        <v>3.5714285714285712E-2</v>
      </c>
      <c r="AI615" s="100">
        <f t="shared" si="966"/>
        <v>3.5714285714285712E-2</v>
      </c>
    </row>
    <row r="616" spans="1:35" s="86" customFormat="1" ht="18.75" customHeight="1" x14ac:dyDescent="0.3">
      <c r="A616" s="106"/>
      <c r="B616" s="106" t="s">
        <v>52</v>
      </c>
      <c r="C616" s="118" t="s">
        <v>428</v>
      </c>
      <c r="D616" s="311"/>
      <c r="E616" s="157" t="s">
        <v>430</v>
      </c>
      <c r="F616" s="83">
        <v>2072</v>
      </c>
      <c r="G616" s="83"/>
      <c r="H616" s="83"/>
      <c r="I616" s="83"/>
      <c r="J616" s="83"/>
      <c r="K616" s="83"/>
      <c r="L616" s="83"/>
      <c r="M616" s="83">
        <f>500+272+1388</f>
        <v>2160</v>
      </c>
      <c r="N616" s="110">
        <f>M616-F616</f>
        <v>88</v>
      </c>
      <c r="O616" s="110" t="s">
        <v>100</v>
      </c>
      <c r="P616" s="83"/>
      <c r="Q616" s="83">
        <f>767+1385</f>
        <v>2152</v>
      </c>
      <c r="R616" s="83"/>
      <c r="S616" s="83">
        <f>1990+161</f>
        <v>2151</v>
      </c>
      <c r="T616" s="110">
        <f>S616-Q616</f>
        <v>-1</v>
      </c>
      <c r="U616" s="59">
        <f t="shared" si="990"/>
        <v>5</v>
      </c>
      <c r="V616" s="83"/>
      <c r="W616" s="83">
        <v>2146</v>
      </c>
      <c r="X616" s="110">
        <f>W616-M616</f>
        <v>-14</v>
      </c>
      <c r="Y616" s="110"/>
      <c r="Z616" s="110"/>
      <c r="AA616" s="110"/>
      <c r="AB616" s="83"/>
      <c r="AC616" s="106"/>
      <c r="AD616" s="106"/>
      <c r="AE616" s="100">
        <f t="shared" si="963"/>
        <v>4.2471042471042469E-2</v>
      </c>
      <c r="AF616" s="90"/>
      <c r="AG616" s="109">
        <f t="shared" si="964"/>
        <v>0</v>
      </c>
      <c r="AH616" s="100">
        <f t="shared" si="965"/>
        <v>3.8127413127413128E-2</v>
      </c>
      <c r="AI616" s="100">
        <f t="shared" si="966"/>
        <v>3.5714285714285712E-2</v>
      </c>
    </row>
    <row r="617" spans="1:35" s="86" customFormat="1" ht="18.75" customHeight="1" x14ac:dyDescent="0.3">
      <c r="A617" s="106"/>
      <c r="B617" s="106" t="s">
        <v>52</v>
      </c>
      <c r="C617" s="118" t="s">
        <v>428</v>
      </c>
      <c r="D617" s="311"/>
      <c r="E617" s="157" t="s">
        <v>431</v>
      </c>
      <c r="F617" s="83">
        <v>2898</v>
      </c>
      <c r="G617" s="83"/>
      <c r="H617" s="83"/>
      <c r="I617" s="83"/>
      <c r="J617" s="83"/>
      <c r="K617" s="83"/>
      <c r="L617" s="83"/>
      <c r="M617" s="83">
        <f>714+500+1137+662</f>
        <v>3013</v>
      </c>
      <c r="N617" s="110">
        <f>M617-F617</f>
        <v>115</v>
      </c>
      <c r="O617" s="110" t="s">
        <v>100</v>
      </c>
      <c r="P617" s="83"/>
      <c r="Q617" s="83">
        <f>1209+1124+657</f>
        <v>2990</v>
      </c>
      <c r="R617" s="83"/>
      <c r="S617" s="83">
        <f>2324+652</f>
        <v>2976</v>
      </c>
      <c r="T617" s="110">
        <f>S617-Q617</f>
        <v>-14</v>
      </c>
      <c r="U617" s="59">
        <f t="shared" ref="U617" si="991">IF(Q617&gt;0,S617-W617,M617-W617)</f>
        <v>0</v>
      </c>
      <c r="V617" s="83"/>
      <c r="W617" s="83">
        <f>1056+106+1814</f>
        <v>2976</v>
      </c>
      <c r="X617" s="110">
        <f>W617-M617</f>
        <v>-37</v>
      </c>
      <c r="Y617" s="110"/>
      <c r="Z617" s="110"/>
      <c r="AA617" s="110"/>
      <c r="AB617" s="83"/>
      <c r="AC617" s="106"/>
      <c r="AD617" s="106"/>
      <c r="AE617" s="100">
        <f t="shared" ref="AE617" si="992">N617/F617</f>
        <v>3.968253968253968E-2</v>
      </c>
      <c r="AF617" s="90"/>
      <c r="AG617" s="109">
        <f t="shared" ref="AG617" si="993">IF(N617&lt;0,N617,0)</f>
        <v>0</v>
      </c>
      <c r="AH617" s="100">
        <f t="shared" ref="AH617" si="994">(S617-F617)/F617</f>
        <v>2.6915113871635612E-2</v>
      </c>
      <c r="AI617" s="100">
        <f t="shared" ref="AI617" si="995">(W617-F617)/F617</f>
        <v>2.6915113871635612E-2</v>
      </c>
    </row>
    <row r="618" spans="1:35" s="86" customFormat="1" ht="18.75" customHeight="1" x14ac:dyDescent="0.3">
      <c r="A618" s="106"/>
      <c r="B618" s="106" t="s">
        <v>52</v>
      </c>
      <c r="C618" s="118" t="s">
        <v>428</v>
      </c>
      <c r="D618" s="311"/>
      <c r="E618" s="157" t="s">
        <v>424</v>
      </c>
      <c r="F618" s="83">
        <v>2898</v>
      </c>
      <c r="G618" s="83"/>
      <c r="H618" s="83"/>
      <c r="I618" s="83"/>
      <c r="J618" s="83"/>
      <c r="K618" s="83"/>
      <c r="L618" s="83"/>
      <c r="M618" s="83">
        <f>1568+354+1056</f>
        <v>2978</v>
      </c>
      <c r="N618" s="110">
        <f>M618-F618</f>
        <v>80</v>
      </c>
      <c r="O618" s="110" t="s">
        <v>100</v>
      </c>
      <c r="P618" s="83"/>
      <c r="Q618" s="83">
        <f>1568+1054+356</f>
        <v>2978</v>
      </c>
      <c r="R618" s="83"/>
      <c r="S618" s="83">
        <v>2978</v>
      </c>
      <c r="T618" s="110">
        <f>S618-Q618</f>
        <v>0</v>
      </c>
      <c r="U618" s="59">
        <f t="shared" si="990"/>
        <v>0</v>
      </c>
      <c r="V618" s="83"/>
      <c r="W618" s="83">
        <v>2978</v>
      </c>
      <c r="X618" s="110">
        <f>W618-M618</f>
        <v>0</v>
      </c>
      <c r="Y618" s="110"/>
      <c r="Z618" s="110"/>
      <c r="AA618" s="110"/>
      <c r="AB618" s="83"/>
      <c r="AC618" s="106"/>
      <c r="AD618" s="106"/>
      <c r="AE618" s="100">
        <f t="shared" si="963"/>
        <v>2.7605244996549344E-2</v>
      </c>
      <c r="AF618" s="90"/>
      <c r="AG618" s="109">
        <f t="shared" si="964"/>
        <v>0</v>
      </c>
      <c r="AH618" s="100">
        <f t="shared" si="965"/>
        <v>2.7605244996549344E-2</v>
      </c>
      <c r="AI618" s="100">
        <f t="shared" si="966"/>
        <v>2.7605244996549344E-2</v>
      </c>
    </row>
    <row r="619" spans="1:35" s="82" customFormat="1" ht="16.5" customHeight="1" x14ac:dyDescent="0.3">
      <c r="A619" s="90" t="s">
        <v>46</v>
      </c>
      <c r="B619" s="90" t="s">
        <v>52</v>
      </c>
      <c r="C619" s="137"/>
      <c r="D619" s="90"/>
      <c r="E619" s="80"/>
      <c r="F619" s="81">
        <f>SUM(F615:F618)</f>
        <v>9940</v>
      </c>
      <c r="G619" s="81"/>
      <c r="H619" s="81" t="s">
        <v>50</v>
      </c>
      <c r="I619" s="81"/>
      <c r="J619" s="81" t="s">
        <v>58</v>
      </c>
      <c r="K619" s="85" t="s">
        <v>290</v>
      </c>
      <c r="L619" s="81">
        <f>SUM(L615:L618)</f>
        <v>0</v>
      </c>
      <c r="M619" s="81">
        <f>SUM(M615:M618)</f>
        <v>10310</v>
      </c>
      <c r="N619" s="81">
        <f>SUM(N615:N618)</f>
        <v>370</v>
      </c>
      <c r="O619" s="81" t="s">
        <v>540</v>
      </c>
      <c r="P619" s="81">
        <f>SUM(P615:P618)</f>
        <v>0</v>
      </c>
      <c r="Q619" s="81">
        <f>SUM(Q615:Q618)</f>
        <v>10266</v>
      </c>
      <c r="R619" s="81">
        <f>SUM(R615:R618)</f>
        <v>0</v>
      </c>
      <c r="S619" s="81">
        <f>SUM(S615:S618)</f>
        <v>10251</v>
      </c>
      <c r="T619" s="81">
        <f>SUM(T615:T618)</f>
        <v>-15</v>
      </c>
      <c r="U619" s="59">
        <f t="shared" si="990"/>
        <v>5</v>
      </c>
      <c r="V619" s="81">
        <f>SUM(V615:V618)</f>
        <v>0</v>
      </c>
      <c r="W619" s="81">
        <f>SUM(W615:W618)</f>
        <v>10246</v>
      </c>
      <c r="X619" s="81">
        <f>SUM(X615:X618)</f>
        <v>-64</v>
      </c>
      <c r="Y619" s="81" t="s">
        <v>47</v>
      </c>
      <c r="Z619" s="110" t="s">
        <v>45</v>
      </c>
      <c r="AA619" s="110"/>
      <c r="AB619" s="84"/>
      <c r="AC619" s="136"/>
      <c r="AD619" s="136"/>
      <c r="AE619" s="100">
        <f t="shared" si="963"/>
        <v>3.722334004024145E-2</v>
      </c>
      <c r="AF619" s="90"/>
      <c r="AG619" s="109">
        <f t="shared" si="964"/>
        <v>0</v>
      </c>
      <c r="AH619" s="100">
        <f t="shared" si="965"/>
        <v>3.1287726358148894E-2</v>
      </c>
      <c r="AI619" s="100">
        <f t="shared" si="966"/>
        <v>3.0784708249496983E-2</v>
      </c>
    </row>
    <row r="620" spans="1:35" s="86" customFormat="1" ht="18.75" customHeight="1" x14ac:dyDescent="0.3">
      <c r="A620" s="106"/>
      <c r="B620" s="106" t="s">
        <v>52</v>
      </c>
      <c r="C620" s="118">
        <v>48045</v>
      </c>
      <c r="D620" s="310">
        <v>13263716</v>
      </c>
      <c r="E620" s="157" t="s">
        <v>157</v>
      </c>
      <c r="F620" s="83">
        <v>804</v>
      </c>
      <c r="G620" s="83"/>
      <c r="H620" s="83"/>
      <c r="I620" s="83"/>
      <c r="J620" s="83"/>
      <c r="K620" s="83"/>
      <c r="L620" s="83"/>
      <c r="M620" s="83">
        <f>480+152+154+39+6</f>
        <v>831</v>
      </c>
      <c r="N620" s="110">
        <f>M620-F620</f>
        <v>27</v>
      </c>
      <c r="O620" s="110" t="s">
        <v>100</v>
      </c>
      <c r="P620" s="83"/>
      <c r="Q620" s="83"/>
      <c r="R620" s="83"/>
      <c r="S620" s="83"/>
      <c r="T620" s="110">
        <f>S620-Q620</f>
        <v>0</v>
      </c>
      <c r="U620" s="59">
        <f t="shared" si="990"/>
        <v>0</v>
      </c>
      <c r="V620" s="83"/>
      <c r="W620" s="83">
        <f>632+199</f>
        <v>831</v>
      </c>
      <c r="X620" s="110">
        <f>W620-M620</f>
        <v>0</v>
      </c>
      <c r="Y620" s="110"/>
      <c r="Z620" s="110"/>
      <c r="AA620" s="110"/>
      <c r="AB620" s="83"/>
      <c r="AC620" s="106"/>
      <c r="AD620" s="106"/>
      <c r="AE620" s="100">
        <f t="shared" ref="AE620:AE624" si="996">N620/F620</f>
        <v>3.3582089552238806E-2</v>
      </c>
      <c r="AF620" s="90"/>
      <c r="AG620" s="109">
        <f t="shared" ref="AG620:AG624" si="997">IF(N620&lt;0,N620,0)</f>
        <v>0</v>
      </c>
      <c r="AH620" s="100">
        <f t="shared" ref="AH620:AH624" si="998">(S620-F620)/F620</f>
        <v>-1</v>
      </c>
      <c r="AI620" s="100">
        <f t="shared" ref="AI620:AI624" si="999">(W620-F620)/F620</f>
        <v>3.3582089552238806E-2</v>
      </c>
    </row>
    <row r="621" spans="1:35" s="86" customFormat="1" ht="18.75" customHeight="1" x14ac:dyDescent="0.3">
      <c r="A621" s="106"/>
      <c r="B621" s="106" t="s">
        <v>52</v>
      </c>
      <c r="C621" s="118">
        <v>48045</v>
      </c>
      <c r="D621" s="311"/>
      <c r="E621" s="157" t="s">
        <v>474</v>
      </c>
      <c r="F621" s="83">
        <v>813</v>
      </c>
      <c r="G621" s="83"/>
      <c r="H621" s="83"/>
      <c r="I621" s="83"/>
      <c r="J621" s="83"/>
      <c r="K621" s="83"/>
      <c r="L621" s="83"/>
      <c r="M621" s="83">
        <f>336+282+79+168</f>
        <v>865</v>
      </c>
      <c r="N621" s="110">
        <f>M621-F621</f>
        <v>52</v>
      </c>
      <c r="O621" s="110" t="s">
        <v>100</v>
      </c>
      <c r="P621" s="83"/>
      <c r="Q621" s="83"/>
      <c r="R621" s="83"/>
      <c r="S621" s="83"/>
      <c r="T621" s="110">
        <f>S621-Q621</f>
        <v>0</v>
      </c>
      <c r="U621" s="59">
        <f t="shared" si="990"/>
        <v>0</v>
      </c>
      <c r="V621" s="83"/>
      <c r="W621" s="83">
        <v>865</v>
      </c>
      <c r="X621" s="110">
        <f>W621-M621</f>
        <v>0</v>
      </c>
      <c r="Y621" s="110"/>
      <c r="Z621" s="110"/>
      <c r="AA621" s="110"/>
      <c r="AB621" s="83"/>
      <c r="AC621" s="106"/>
      <c r="AD621" s="106"/>
      <c r="AE621" s="100">
        <f t="shared" si="996"/>
        <v>6.3960639606396058E-2</v>
      </c>
      <c r="AF621" s="90"/>
      <c r="AG621" s="109">
        <f t="shared" si="997"/>
        <v>0</v>
      </c>
      <c r="AH621" s="100">
        <f t="shared" si="998"/>
        <v>-1</v>
      </c>
      <c r="AI621" s="100">
        <f t="shared" si="999"/>
        <v>6.3960639606396058E-2</v>
      </c>
    </row>
    <row r="622" spans="1:35" s="86" customFormat="1" ht="18.75" customHeight="1" x14ac:dyDescent="0.3">
      <c r="A622" s="106"/>
      <c r="B622" s="106" t="s">
        <v>52</v>
      </c>
      <c r="C622" s="118">
        <v>48045</v>
      </c>
      <c r="D622" s="311"/>
      <c r="E622" s="157" t="s">
        <v>0</v>
      </c>
      <c r="F622" s="83">
        <v>1791</v>
      </c>
      <c r="G622" s="83"/>
      <c r="H622" s="83"/>
      <c r="I622" s="83"/>
      <c r="J622" s="83"/>
      <c r="K622" s="83"/>
      <c r="L622" s="83"/>
      <c r="M622" s="83">
        <f>567+847+294+148</f>
        <v>1856</v>
      </c>
      <c r="N622" s="110">
        <f>M622-F622</f>
        <v>65</v>
      </c>
      <c r="O622" s="110" t="s">
        <v>100</v>
      </c>
      <c r="P622" s="83"/>
      <c r="Q622" s="83"/>
      <c r="R622" s="83"/>
      <c r="S622" s="83"/>
      <c r="T622" s="110">
        <f>S622-Q622</f>
        <v>0</v>
      </c>
      <c r="U622" s="59">
        <f t="shared" ref="U622" si="1000">IF(Q622&gt;0,S622-W622,M622-W622)</f>
        <v>15</v>
      </c>
      <c r="V622" s="83"/>
      <c r="W622" s="83">
        <f>1693+148</f>
        <v>1841</v>
      </c>
      <c r="X622" s="110">
        <f>W622-M622</f>
        <v>-15</v>
      </c>
      <c r="Y622" s="110"/>
      <c r="Z622" s="110"/>
      <c r="AA622" s="110"/>
      <c r="AB622" s="83"/>
      <c r="AC622" s="106"/>
      <c r="AD622" s="106"/>
      <c r="AE622" s="100">
        <f t="shared" ref="AE622" si="1001">N622/F622</f>
        <v>3.6292573981016193E-2</v>
      </c>
      <c r="AF622" s="90"/>
      <c r="AG622" s="109">
        <f t="shared" ref="AG622" si="1002">IF(N622&lt;0,N622,0)</f>
        <v>0</v>
      </c>
      <c r="AH622" s="100">
        <f t="shared" ref="AH622" si="1003">(S622-F622)/F622</f>
        <v>-1</v>
      </c>
      <c r="AI622" s="100">
        <f t="shared" ref="AI622" si="1004">(W622-F622)/F622</f>
        <v>2.7917364600781685E-2</v>
      </c>
    </row>
    <row r="623" spans="1:35" s="86" customFormat="1" ht="18.75" customHeight="1" x14ac:dyDescent="0.3">
      <c r="A623" s="106"/>
      <c r="B623" s="106" t="s">
        <v>52</v>
      </c>
      <c r="C623" s="118">
        <v>48045</v>
      </c>
      <c r="D623" s="311"/>
      <c r="E623" s="157" t="s">
        <v>364</v>
      </c>
      <c r="F623" s="83">
        <v>2225</v>
      </c>
      <c r="G623" s="83"/>
      <c r="H623" s="83"/>
      <c r="I623" s="83"/>
      <c r="J623" s="83"/>
      <c r="K623" s="83"/>
      <c r="L623" s="83"/>
      <c r="M623" s="83">
        <f>540+512+360+871</f>
        <v>2283</v>
      </c>
      <c r="N623" s="110">
        <f>M623-F623</f>
        <v>58</v>
      </c>
      <c r="O623" s="110" t="s">
        <v>100</v>
      </c>
      <c r="P623" s="83"/>
      <c r="Q623" s="83"/>
      <c r="R623" s="83"/>
      <c r="S623" s="83"/>
      <c r="T623" s="110">
        <f>S623-Q623</f>
        <v>0</v>
      </c>
      <c r="U623" s="59">
        <f t="shared" si="990"/>
        <v>0</v>
      </c>
      <c r="V623" s="83"/>
      <c r="W623" s="83">
        <f>1412+871</f>
        <v>2283</v>
      </c>
      <c r="X623" s="110">
        <f>W623-M623</f>
        <v>0</v>
      </c>
      <c r="Y623" s="110"/>
      <c r="Z623" s="110"/>
      <c r="AA623" s="110"/>
      <c r="AB623" s="83"/>
      <c r="AC623" s="106"/>
      <c r="AD623" s="106"/>
      <c r="AE623" s="100">
        <f t="shared" si="996"/>
        <v>2.6067415730337079E-2</v>
      </c>
      <c r="AF623" s="90"/>
      <c r="AG623" s="109">
        <f t="shared" si="997"/>
        <v>0</v>
      </c>
      <c r="AH623" s="100">
        <f t="shared" si="998"/>
        <v>-1</v>
      </c>
      <c r="AI623" s="100">
        <f t="shared" si="999"/>
        <v>2.6067415730337079E-2</v>
      </c>
    </row>
    <row r="624" spans="1:35" s="82" customFormat="1" ht="16.5" customHeight="1" x14ac:dyDescent="0.3">
      <c r="A624" s="90" t="s">
        <v>46</v>
      </c>
      <c r="B624" s="90" t="s">
        <v>52</v>
      </c>
      <c r="C624" s="137"/>
      <c r="D624" s="90"/>
      <c r="E624" s="80"/>
      <c r="F624" s="81">
        <f>SUM(F620:F623)</f>
        <v>5633</v>
      </c>
      <c r="G624" s="81"/>
      <c r="H624" s="81" t="s">
        <v>50</v>
      </c>
      <c r="I624" s="81"/>
      <c r="J624" s="81" t="s">
        <v>60</v>
      </c>
      <c r="K624" s="85" t="s">
        <v>340</v>
      </c>
      <c r="L624" s="81">
        <f>SUM(L620:L623)</f>
        <v>0</v>
      </c>
      <c r="M624" s="81">
        <f>SUM(M620:M623)</f>
        <v>5835</v>
      </c>
      <c r="N624" s="81">
        <f>SUM(N620:N623)</f>
        <v>202</v>
      </c>
      <c r="O624" s="81"/>
      <c r="P624" s="81">
        <f>SUM(P620:P623)</f>
        <v>0</v>
      </c>
      <c r="Q624" s="81">
        <f>SUM(Q620:Q623)</f>
        <v>0</v>
      </c>
      <c r="R624" s="81">
        <f>SUM(R620:R623)</f>
        <v>0</v>
      </c>
      <c r="S624" s="81">
        <f>SUM(S620:S623)</f>
        <v>0</v>
      </c>
      <c r="T624" s="81">
        <f>SUM(T620:T623)</f>
        <v>0</v>
      </c>
      <c r="U624" s="59">
        <f t="shared" si="990"/>
        <v>15</v>
      </c>
      <c r="V624" s="81">
        <f>SUM(V620:V623)</f>
        <v>0</v>
      </c>
      <c r="W624" s="81">
        <f>SUM(W620:W623)</f>
        <v>5820</v>
      </c>
      <c r="X624" s="81">
        <f>SUM(X620:X623)</f>
        <v>-15</v>
      </c>
      <c r="Y624" s="81"/>
      <c r="Z624" s="110"/>
      <c r="AA624" s="110"/>
      <c r="AB624" s="84"/>
      <c r="AC624" s="136"/>
      <c r="AD624" s="136"/>
      <c r="AE624" s="100">
        <f t="shared" si="996"/>
        <v>3.5860110065684361E-2</v>
      </c>
      <c r="AF624" s="90"/>
      <c r="AG624" s="109">
        <f t="shared" si="997"/>
        <v>0</v>
      </c>
      <c r="AH624" s="100">
        <f t="shared" si="998"/>
        <v>-1</v>
      </c>
      <c r="AI624" s="100">
        <f t="shared" si="999"/>
        <v>3.3197230605361262E-2</v>
      </c>
    </row>
    <row r="625" spans="1:35" s="86" customFormat="1" ht="18.75" customHeight="1" x14ac:dyDescent="0.3">
      <c r="A625" s="106"/>
      <c r="B625" s="106" t="s">
        <v>52</v>
      </c>
      <c r="C625" s="118">
        <v>48092</v>
      </c>
      <c r="D625" s="310">
        <v>13262973</v>
      </c>
      <c r="E625" s="157" t="s">
        <v>513</v>
      </c>
      <c r="F625" s="83">
        <v>1275</v>
      </c>
      <c r="G625" s="83"/>
      <c r="H625" s="83"/>
      <c r="I625" s="83"/>
      <c r="J625" s="83"/>
      <c r="K625" s="83"/>
      <c r="L625" s="83"/>
      <c r="M625" s="83"/>
      <c r="N625" s="110">
        <f>M625-F625</f>
        <v>-1275</v>
      </c>
      <c r="O625" s="110" t="s">
        <v>100</v>
      </c>
      <c r="P625" s="83"/>
      <c r="Q625" s="83"/>
      <c r="R625" s="83"/>
      <c r="S625" s="83"/>
      <c r="T625" s="110">
        <f>S625-Q625</f>
        <v>0</v>
      </c>
      <c r="U625" s="59">
        <f t="shared" si="990"/>
        <v>0</v>
      </c>
      <c r="V625" s="83"/>
      <c r="W625" s="83"/>
      <c r="X625" s="110">
        <f>W625-M625</f>
        <v>0</v>
      </c>
      <c r="Y625" s="110"/>
      <c r="Z625" s="110"/>
      <c r="AA625" s="110"/>
      <c r="AB625" s="83"/>
      <c r="AC625" s="106"/>
      <c r="AD625" s="106"/>
      <c r="AE625" s="100">
        <f t="shared" ref="AE625:AE627" si="1005">N625/F625</f>
        <v>-1</v>
      </c>
      <c r="AF625" s="90"/>
      <c r="AG625" s="109">
        <f t="shared" ref="AG625:AG627" si="1006">IF(N625&lt;0,N625,0)</f>
        <v>-1275</v>
      </c>
      <c r="AH625" s="100">
        <f t="shared" ref="AH625:AH627" si="1007">(S625-F625)/F625</f>
        <v>-1</v>
      </c>
      <c r="AI625" s="100">
        <f t="shared" ref="AI625:AI627" si="1008">(W625-F625)/F625</f>
        <v>-1</v>
      </c>
    </row>
    <row r="626" spans="1:35" s="86" customFormat="1" ht="18.75" customHeight="1" x14ac:dyDescent="0.3">
      <c r="A626" s="106"/>
      <c r="B626" s="106" t="s">
        <v>52</v>
      </c>
      <c r="C626" s="118">
        <v>48092</v>
      </c>
      <c r="D626" s="311"/>
      <c r="E626" s="157" t="s">
        <v>514</v>
      </c>
      <c r="F626" s="83">
        <v>1275</v>
      </c>
      <c r="G626" s="83"/>
      <c r="H626" s="83"/>
      <c r="I626" s="83"/>
      <c r="J626" s="83"/>
      <c r="K626" s="83"/>
      <c r="L626" s="83"/>
      <c r="M626" s="83"/>
      <c r="N626" s="110">
        <f>M626-F626</f>
        <v>-1275</v>
      </c>
      <c r="O626" s="110" t="s">
        <v>100</v>
      </c>
      <c r="P626" s="83"/>
      <c r="Q626" s="83"/>
      <c r="R626" s="83"/>
      <c r="S626" s="83"/>
      <c r="T626" s="110">
        <f>S626-Q626</f>
        <v>0</v>
      </c>
      <c r="U626" s="59">
        <f t="shared" si="990"/>
        <v>0</v>
      </c>
      <c r="V626" s="83"/>
      <c r="W626" s="83"/>
      <c r="X626" s="110">
        <f>W626-M626</f>
        <v>0</v>
      </c>
      <c r="Y626" s="110"/>
      <c r="Z626" s="110"/>
      <c r="AA626" s="110"/>
      <c r="AB626" s="83"/>
      <c r="AC626" s="106"/>
      <c r="AD626" s="106"/>
      <c r="AE626" s="100">
        <f t="shared" si="1005"/>
        <v>-1</v>
      </c>
      <c r="AF626" s="90"/>
      <c r="AG626" s="109">
        <f t="shared" si="1006"/>
        <v>-1275</v>
      </c>
      <c r="AH626" s="100">
        <f t="shared" si="1007"/>
        <v>-1</v>
      </c>
      <c r="AI626" s="100">
        <f t="shared" si="1008"/>
        <v>-1</v>
      </c>
    </row>
    <row r="627" spans="1:35" s="82" customFormat="1" ht="16.5" customHeight="1" x14ac:dyDescent="0.3">
      <c r="A627" s="90" t="s">
        <v>46</v>
      </c>
      <c r="B627" s="90" t="s">
        <v>52</v>
      </c>
      <c r="C627" s="137"/>
      <c r="D627" s="90"/>
      <c r="E627" s="80"/>
      <c r="F627" s="81">
        <f>SUM(F625:F626)</f>
        <v>2550</v>
      </c>
      <c r="G627" s="81"/>
      <c r="H627" s="81" t="s">
        <v>50</v>
      </c>
      <c r="I627" s="81"/>
      <c r="J627" s="81"/>
      <c r="K627" s="85" t="s">
        <v>508</v>
      </c>
      <c r="L627" s="81">
        <f>SUM(L625:L626)</f>
        <v>0</v>
      </c>
      <c r="M627" s="81">
        <f>SUM(M625:M626)</f>
        <v>0</v>
      </c>
      <c r="N627" s="81">
        <f>SUM(N625:N626)</f>
        <v>-2550</v>
      </c>
      <c r="O627" s="81"/>
      <c r="P627" s="81">
        <f>SUM(P625:P626)</f>
        <v>0</v>
      </c>
      <c r="Q627" s="81">
        <f>SUM(Q625:Q626)</f>
        <v>0</v>
      </c>
      <c r="R627" s="81">
        <f>SUM(R625:R626)</f>
        <v>0</v>
      </c>
      <c r="S627" s="81">
        <f>SUM(S625:S626)</f>
        <v>0</v>
      </c>
      <c r="T627" s="81">
        <f>SUM(T625:T626)</f>
        <v>0</v>
      </c>
      <c r="U627" s="59">
        <f t="shared" si="990"/>
        <v>0</v>
      </c>
      <c r="V627" s="81">
        <f>SUM(V625:V626)</f>
        <v>0</v>
      </c>
      <c r="W627" s="81">
        <f>SUM(W625:W626)</f>
        <v>0</v>
      </c>
      <c r="X627" s="81">
        <f>SUM(X625:X626)</f>
        <v>0</v>
      </c>
      <c r="Y627" s="81" t="s">
        <v>47</v>
      </c>
      <c r="Z627" s="110" t="s">
        <v>45</v>
      </c>
      <c r="AA627" s="110"/>
      <c r="AB627" s="84"/>
      <c r="AC627" s="136"/>
      <c r="AD627" s="136"/>
      <c r="AE627" s="100">
        <f t="shared" si="1005"/>
        <v>-1</v>
      </c>
      <c r="AF627" s="90"/>
      <c r="AG627" s="109">
        <f t="shared" si="1006"/>
        <v>-2550</v>
      </c>
      <c r="AH627" s="100">
        <f t="shared" si="1007"/>
        <v>-1</v>
      </c>
      <c r="AI627" s="100">
        <f t="shared" si="1008"/>
        <v>-1</v>
      </c>
    </row>
    <row r="628" spans="1:35" s="86" customFormat="1" ht="18.75" customHeight="1" x14ac:dyDescent="0.3">
      <c r="A628" s="106"/>
      <c r="B628" s="106" t="s">
        <v>52</v>
      </c>
      <c r="C628" s="118">
        <v>47605</v>
      </c>
      <c r="D628" s="310">
        <v>13261626</v>
      </c>
      <c r="E628" s="157" t="s">
        <v>188</v>
      </c>
      <c r="F628" s="83">
        <v>891</v>
      </c>
      <c r="G628" s="83"/>
      <c r="H628" s="83"/>
      <c r="I628" s="83"/>
      <c r="J628" s="83"/>
      <c r="K628" s="83"/>
      <c r="L628" s="83"/>
      <c r="M628" s="83">
        <v>924</v>
      </c>
      <c r="N628" s="110">
        <f>M628-F628</f>
        <v>33</v>
      </c>
      <c r="O628" s="110" t="s">
        <v>100</v>
      </c>
      <c r="P628" s="83"/>
      <c r="Q628" s="83">
        <v>924</v>
      </c>
      <c r="R628" s="83"/>
      <c r="S628" s="83">
        <v>923</v>
      </c>
      <c r="T628" s="110">
        <f>S628-Q628</f>
        <v>-1</v>
      </c>
      <c r="U628" s="59">
        <f t="shared" si="990"/>
        <v>4</v>
      </c>
      <c r="V628" s="83"/>
      <c r="W628" s="83">
        <v>919</v>
      </c>
      <c r="X628" s="110">
        <f>W628-M628</f>
        <v>-5</v>
      </c>
      <c r="Y628" s="110"/>
      <c r="Z628" s="110"/>
      <c r="AA628" s="110"/>
      <c r="AB628" s="83"/>
      <c r="AC628" s="106"/>
      <c r="AD628" s="106"/>
      <c r="AE628" s="100">
        <f t="shared" si="963"/>
        <v>3.7037037037037035E-2</v>
      </c>
      <c r="AF628" s="90"/>
      <c r="AG628" s="109">
        <f t="shared" si="964"/>
        <v>0</v>
      </c>
      <c r="AH628" s="100">
        <f t="shared" si="965"/>
        <v>3.5914702581369251E-2</v>
      </c>
      <c r="AI628" s="100">
        <f t="shared" si="966"/>
        <v>3.1425364758698095E-2</v>
      </c>
    </row>
    <row r="629" spans="1:35" s="86" customFormat="1" ht="18.75" customHeight="1" x14ac:dyDescent="0.3">
      <c r="A629" s="106"/>
      <c r="B629" s="106" t="s">
        <v>52</v>
      </c>
      <c r="C629" s="118">
        <v>47605</v>
      </c>
      <c r="D629" s="311"/>
      <c r="E629" s="157" t="s">
        <v>123</v>
      </c>
      <c r="F629" s="83">
        <v>1926</v>
      </c>
      <c r="G629" s="83"/>
      <c r="H629" s="83"/>
      <c r="I629" s="83"/>
      <c r="J629" s="83"/>
      <c r="K629" s="83"/>
      <c r="L629" s="83"/>
      <c r="M629" s="83">
        <f>337+1649</f>
        <v>1986</v>
      </c>
      <c r="N629" s="110">
        <f>M629-F629</f>
        <v>60</v>
      </c>
      <c r="O629" s="110" t="s">
        <v>100</v>
      </c>
      <c r="P629" s="83"/>
      <c r="Q629" s="83">
        <f>1986</f>
        <v>1986</v>
      </c>
      <c r="R629" s="83"/>
      <c r="S629" s="83">
        <v>1986</v>
      </c>
      <c r="T629" s="110">
        <f>S629-Q629</f>
        <v>0</v>
      </c>
      <c r="U629" s="59">
        <f t="shared" si="990"/>
        <v>3</v>
      </c>
      <c r="V629" s="83"/>
      <c r="W629" s="83">
        <v>1983</v>
      </c>
      <c r="X629" s="110">
        <f>W629-M629</f>
        <v>-3</v>
      </c>
      <c r="Y629" s="110"/>
      <c r="Z629" s="110"/>
      <c r="AA629" s="110"/>
      <c r="AB629" s="83"/>
      <c r="AC629" s="106"/>
      <c r="AD629" s="106"/>
      <c r="AE629" s="100">
        <f t="shared" si="963"/>
        <v>3.1152647975077882E-2</v>
      </c>
      <c r="AF629" s="90"/>
      <c r="AG629" s="109">
        <f t="shared" si="964"/>
        <v>0</v>
      </c>
      <c r="AH629" s="100">
        <f t="shared" si="965"/>
        <v>3.1152647975077882E-2</v>
      </c>
      <c r="AI629" s="100">
        <f t="shared" si="966"/>
        <v>2.9595015576323987E-2</v>
      </c>
    </row>
    <row r="630" spans="1:35" s="82" customFormat="1" ht="16.5" customHeight="1" x14ac:dyDescent="0.3">
      <c r="A630" s="90" t="s">
        <v>46</v>
      </c>
      <c r="B630" s="90" t="s">
        <v>52</v>
      </c>
      <c r="C630" s="137"/>
      <c r="D630" s="90"/>
      <c r="E630" s="80"/>
      <c r="F630" s="81">
        <f>SUM(F628:F629)</f>
        <v>2817</v>
      </c>
      <c r="G630" s="81"/>
      <c r="H630" s="81" t="s">
        <v>50</v>
      </c>
      <c r="I630" s="81"/>
      <c r="J630" s="81" t="s">
        <v>60</v>
      </c>
      <c r="K630" s="85" t="s">
        <v>170</v>
      </c>
      <c r="L630" s="81">
        <f>SUM(L628:L629)</f>
        <v>0</v>
      </c>
      <c r="M630" s="81">
        <f>SUM(M628:M629)</f>
        <v>2910</v>
      </c>
      <c r="N630" s="81">
        <f>SUM(N628:N629)</f>
        <v>93</v>
      </c>
      <c r="O630" s="81" t="s">
        <v>275</v>
      </c>
      <c r="P630" s="81">
        <f>SUM(P628:P629)</f>
        <v>0</v>
      </c>
      <c r="Q630" s="81">
        <f>SUM(Q628:Q629)</f>
        <v>2910</v>
      </c>
      <c r="R630" s="81">
        <f>SUM(R628:R629)</f>
        <v>0</v>
      </c>
      <c r="S630" s="81">
        <f>SUM(S628:S629)</f>
        <v>2909</v>
      </c>
      <c r="T630" s="81">
        <f>SUM(T628:T629)</f>
        <v>-1</v>
      </c>
      <c r="U630" s="59">
        <f t="shared" si="990"/>
        <v>7</v>
      </c>
      <c r="V630" s="81">
        <f>SUM(V628:V629)</f>
        <v>0</v>
      </c>
      <c r="W630" s="81">
        <f>SUM(W628:W629)</f>
        <v>2902</v>
      </c>
      <c r="X630" s="81">
        <f>SUM(X628:X629)</f>
        <v>-8</v>
      </c>
      <c r="Y630" s="81" t="s">
        <v>47</v>
      </c>
      <c r="Z630" s="110" t="s">
        <v>45</v>
      </c>
      <c r="AA630" s="110"/>
      <c r="AB630" s="84"/>
      <c r="AC630" s="136"/>
      <c r="AD630" s="136"/>
      <c r="AE630" s="100">
        <f t="shared" si="963"/>
        <v>3.301384451544196E-2</v>
      </c>
      <c r="AF630" s="90"/>
      <c r="AG630" s="109">
        <f t="shared" si="964"/>
        <v>0</v>
      </c>
      <c r="AH630" s="100">
        <f t="shared" si="965"/>
        <v>3.26588569400071E-2</v>
      </c>
      <c r="AI630" s="100">
        <f t="shared" si="966"/>
        <v>3.017394391196308E-2</v>
      </c>
    </row>
    <row r="631" spans="1:35" s="86" customFormat="1" ht="18.75" customHeight="1" x14ac:dyDescent="0.3">
      <c r="A631" s="106"/>
      <c r="B631" s="106" t="s">
        <v>52</v>
      </c>
      <c r="C631" s="118">
        <v>48041</v>
      </c>
      <c r="D631" s="310">
        <v>13259417</v>
      </c>
      <c r="E631" s="157" t="s">
        <v>274</v>
      </c>
      <c r="F631" s="83">
        <v>1227</v>
      </c>
      <c r="G631" s="83"/>
      <c r="H631" s="83"/>
      <c r="I631" s="83"/>
      <c r="J631" s="83"/>
      <c r="K631" s="83"/>
      <c r="L631" s="83"/>
      <c r="M631" s="83">
        <f>161+1110</f>
        <v>1271</v>
      </c>
      <c r="N631" s="110">
        <f>M631-F631</f>
        <v>44</v>
      </c>
      <c r="O631" s="110" t="s">
        <v>100</v>
      </c>
      <c r="P631" s="83"/>
      <c r="Q631" s="83">
        <f>161+1110</f>
        <v>1271</v>
      </c>
      <c r="R631" s="83"/>
      <c r="S631" s="83">
        <v>1269</v>
      </c>
      <c r="T631" s="110">
        <f>S631-Q631</f>
        <v>-2</v>
      </c>
      <c r="U631" s="59">
        <f t="shared" si="990"/>
        <v>0</v>
      </c>
      <c r="V631" s="83"/>
      <c r="W631" s="83">
        <v>1269</v>
      </c>
      <c r="X631" s="110">
        <f>W631-M631</f>
        <v>-2</v>
      </c>
      <c r="Y631" s="110"/>
      <c r="Z631" s="110"/>
      <c r="AA631" s="110"/>
      <c r="AB631" s="83"/>
      <c r="AC631" s="106"/>
      <c r="AD631" s="106"/>
      <c r="AE631" s="100">
        <f t="shared" si="891"/>
        <v>3.5859820700896494E-2</v>
      </c>
      <c r="AF631" s="90"/>
      <c r="AG631" s="109">
        <f t="shared" si="892"/>
        <v>0</v>
      </c>
      <c r="AH631" s="100">
        <f t="shared" si="893"/>
        <v>3.4229828850855744E-2</v>
      </c>
      <c r="AI631" s="100">
        <f t="shared" si="894"/>
        <v>3.4229828850855744E-2</v>
      </c>
    </row>
    <row r="632" spans="1:35" s="86" customFormat="1" ht="18.75" customHeight="1" x14ac:dyDescent="0.3">
      <c r="A632" s="106"/>
      <c r="B632" s="106" t="s">
        <v>52</v>
      </c>
      <c r="C632" s="118">
        <v>48041</v>
      </c>
      <c r="D632" s="311"/>
      <c r="E632" s="157" t="s">
        <v>157</v>
      </c>
      <c r="F632" s="83">
        <v>799</v>
      </c>
      <c r="G632" s="83"/>
      <c r="H632" s="83"/>
      <c r="I632" s="83"/>
      <c r="J632" s="83"/>
      <c r="K632" s="83"/>
      <c r="L632" s="83"/>
      <c r="M632" s="83">
        <f>744+72</f>
        <v>816</v>
      </c>
      <c r="N632" s="110">
        <f>M632-F632</f>
        <v>17</v>
      </c>
      <c r="O632" s="110" t="s">
        <v>100</v>
      </c>
      <c r="P632" s="83"/>
      <c r="Q632" s="83">
        <f>744+72</f>
        <v>816</v>
      </c>
      <c r="R632" s="83"/>
      <c r="S632" s="83">
        <f>744+70</f>
        <v>814</v>
      </c>
      <c r="T632" s="110">
        <f>S632-Q632</f>
        <v>-2</v>
      </c>
      <c r="U632" s="59">
        <f t="shared" si="990"/>
        <v>0</v>
      </c>
      <c r="V632" s="83"/>
      <c r="W632" s="83">
        <v>814</v>
      </c>
      <c r="X632" s="110">
        <f>W632-M632</f>
        <v>-2</v>
      </c>
      <c r="Y632" s="110"/>
      <c r="Z632" s="110"/>
      <c r="AA632" s="110"/>
      <c r="AB632" s="83"/>
      <c r="AC632" s="106"/>
      <c r="AD632" s="106"/>
      <c r="AE632" s="100">
        <f t="shared" ref="AE632:AE633" si="1009">N632/F632</f>
        <v>2.1276595744680851E-2</v>
      </c>
      <c r="AF632" s="90"/>
      <c r="AG632" s="109">
        <f t="shared" ref="AG632:AG633" si="1010">IF(N632&lt;0,N632,0)</f>
        <v>0</v>
      </c>
      <c r="AH632" s="100">
        <f t="shared" ref="AH632:AH633" si="1011">(S632-F632)/F632</f>
        <v>1.8773466833541929E-2</v>
      </c>
      <c r="AI632" s="100">
        <f t="shared" ref="AI632:AI633" si="1012">(W632-F632)/F632</f>
        <v>1.8773466833541929E-2</v>
      </c>
    </row>
    <row r="633" spans="1:35" s="86" customFormat="1" ht="18.75" customHeight="1" x14ac:dyDescent="0.3">
      <c r="A633" s="106"/>
      <c r="B633" s="106" t="s">
        <v>52</v>
      </c>
      <c r="C633" s="118">
        <v>48041</v>
      </c>
      <c r="D633" s="311"/>
      <c r="E633" s="157" t="s">
        <v>474</v>
      </c>
      <c r="F633" s="83">
        <v>1669</v>
      </c>
      <c r="G633" s="83"/>
      <c r="H633" s="83"/>
      <c r="I633" s="83"/>
      <c r="J633" s="83"/>
      <c r="K633" s="83"/>
      <c r="L633" s="83"/>
      <c r="M633" s="83">
        <f>1500+205</f>
        <v>1705</v>
      </c>
      <c r="N633" s="110">
        <f>M633-F633</f>
        <v>36</v>
      </c>
      <c r="O633" s="110" t="s">
        <v>100</v>
      </c>
      <c r="P633" s="83"/>
      <c r="Q633" s="83">
        <f>1500+205</f>
        <v>1705</v>
      </c>
      <c r="R633" s="83"/>
      <c r="S633" s="83">
        <v>1701</v>
      </c>
      <c r="T633" s="110">
        <f>S633-Q633</f>
        <v>-4</v>
      </c>
      <c r="U633" s="59">
        <f t="shared" ref="U633" si="1013">IF(Q633&gt;0,S633-W633,M633-W633)</f>
        <v>0</v>
      </c>
      <c r="V633" s="83"/>
      <c r="W633" s="83">
        <v>1701</v>
      </c>
      <c r="X633" s="110">
        <f>W633-M633</f>
        <v>-4</v>
      </c>
      <c r="Y633" s="110"/>
      <c r="Z633" s="110"/>
      <c r="AA633" s="110"/>
      <c r="AB633" s="83"/>
      <c r="AC633" s="106"/>
      <c r="AD633" s="106"/>
      <c r="AE633" s="100">
        <f t="shared" si="1009"/>
        <v>2.1569802276812461E-2</v>
      </c>
      <c r="AF633" s="90"/>
      <c r="AG633" s="109">
        <f t="shared" si="1010"/>
        <v>0</v>
      </c>
      <c r="AH633" s="100">
        <f t="shared" si="1011"/>
        <v>1.9173157579388856E-2</v>
      </c>
      <c r="AI633" s="100">
        <f t="shared" si="1012"/>
        <v>1.9173157579388856E-2</v>
      </c>
    </row>
    <row r="634" spans="1:35" s="86" customFormat="1" ht="18.75" customHeight="1" x14ac:dyDescent="0.3">
      <c r="A634" s="106"/>
      <c r="B634" s="106" t="s">
        <v>52</v>
      </c>
      <c r="C634" s="118">
        <v>48041</v>
      </c>
      <c r="D634" s="311"/>
      <c r="E634" s="157" t="s">
        <v>364</v>
      </c>
      <c r="F634" s="83">
        <v>1186</v>
      </c>
      <c r="G634" s="83"/>
      <c r="H634" s="83"/>
      <c r="I634" s="83"/>
      <c r="J634" s="83"/>
      <c r="K634" s="83"/>
      <c r="L634" s="83"/>
      <c r="M634" s="83">
        <v>1216</v>
      </c>
      <c r="N634" s="110">
        <f>M634-F634</f>
        <v>30</v>
      </c>
      <c r="O634" s="110" t="s">
        <v>100</v>
      </c>
      <c r="P634" s="83"/>
      <c r="Q634" s="83">
        <f>1216</f>
        <v>1216</v>
      </c>
      <c r="R634" s="83"/>
      <c r="S634" s="83">
        <v>1216</v>
      </c>
      <c r="T634" s="110">
        <f>S634-Q634</f>
        <v>0</v>
      </c>
      <c r="U634" s="59">
        <f t="shared" si="990"/>
        <v>1</v>
      </c>
      <c r="V634" s="83"/>
      <c r="W634" s="83">
        <v>1215</v>
      </c>
      <c r="X634" s="110">
        <f>W634-M634</f>
        <v>-1</v>
      </c>
      <c r="Y634" s="110"/>
      <c r="Z634" s="110"/>
      <c r="AA634" s="110"/>
      <c r="AB634" s="83"/>
      <c r="AC634" s="106"/>
      <c r="AD634" s="106"/>
      <c r="AE634" s="100">
        <f t="shared" si="891"/>
        <v>2.5295109612141653E-2</v>
      </c>
      <c r="AF634" s="90"/>
      <c r="AG634" s="109">
        <f t="shared" si="892"/>
        <v>0</v>
      </c>
      <c r="AH634" s="100">
        <f t="shared" si="893"/>
        <v>2.5295109612141653E-2</v>
      </c>
      <c r="AI634" s="100">
        <f t="shared" si="894"/>
        <v>2.4451939291736932E-2</v>
      </c>
    </row>
    <row r="635" spans="1:35" s="82" customFormat="1" ht="16.5" customHeight="1" x14ac:dyDescent="0.3">
      <c r="A635" s="90" t="s">
        <v>46</v>
      </c>
      <c r="B635" s="90" t="s">
        <v>52</v>
      </c>
      <c r="C635" s="137"/>
      <c r="D635" s="90"/>
      <c r="E635" s="80"/>
      <c r="F635" s="81">
        <f>SUM(F631:F634)</f>
        <v>4881</v>
      </c>
      <c r="G635" s="81"/>
      <c r="H635" s="81" t="s">
        <v>50</v>
      </c>
      <c r="I635" s="81"/>
      <c r="J635" s="81" t="s">
        <v>60</v>
      </c>
      <c r="K635" s="85" t="s">
        <v>340</v>
      </c>
      <c r="L635" s="81">
        <f>SUM(L631:L634)</f>
        <v>0</v>
      </c>
      <c r="M635" s="81">
        <f>SUM(M631:M634)</f>
        <v>5008</v>
      </c>
      <c r="N635" s="81">
        <f>SUM(N631:N634)</f>
        <v>127</v>
      </c>
      <c r="O635" s="81" t="s">
        <v>208</v>
      </c>
      <c r="P635" s="81">
        <f>SUM(P631:P634)</f>
        <v>0</v>
      </c>
      <c r="Q635" s="81">
        <f>SUM(Q631:Q634)</f>
        <v>5008</v>
      </c>
      <c r="R635" s="81">
        <f>SUM(R631:R634)</f>
        <v>0</v>
      </c>
      <c r="S635" s="81">
        <f>SUM(S631:S634)</f>
        <v>5000</v>
      </c>
      <c r="T635" s="81">
        <f>SUM(T631:T634)</f>
        <v>-8</v>
      </c>
      <c r="U635" s="59">
        <f t="shared" si="990"/>
        <v>1</v>
      </c>
      <c r="V635" s="81">
        <f>SUM(V631:V634)</f>
        <v>0</v>
      </c>
      <c r="W635" s="81">
        <f>SUM(W631:W634)</f>
        <v>4999</v>
      </c>
      <c r="X635" s="81">
        <f>SUM(X631:X634)</f>
        <v>-9</v>
      </c>
      <c r="Y635" s="81" t="s">
        <v>47</v>
      </c>
      <c r="Z635" s="110" t="s">
        <v>45</v>
      </c>
      <c r="AA635" s="110"/>
      <c r="AB635" s="84"/>
      <c r="AC635" s="136"/>
      <c r="AD635" s="136"/>
      <c r="AE635" s="100">
        <f t="shared" si="891"/>
        <v>2.6019258348699038E-2</v>
      </c>
      <c r="AF635" s="90"/>
      <c r="AG635" s="109">
        <f t="shared" si="892"/>
        <v>0</v>
      </c>
      <c r="AH635" s="100">
        <f t="shared" si="893"/>
        <v>2.4380249948780987E-2</v>
      </c>
      <c r="AI635" s="100">
        <f t="shared" si="894"/>
        <v>2.4175373898791232E-2</v>
      </c>
    </row>
    <row r="636" spans="1:35" s="86" customFormat="1" ht="18.75" customHeight="1" x14ac:dyDescent="0.3">
      <c r="A636" s="106"/>
      <c r="B636" s="106" t="s">
        <v>52</v>
      </c>
      <c r="C636" s="118">
        <v>48047</v>
      </c>
      <c r="D636" s="310">
        <v>13264215</v>
      </c>
      <c r="E636" s="157" t="s">
        <v>171</v>
      </c>
      <c r="F636" s="83">
        <v>910</v>
      </c>
      <c r="G636" s="83"/>
      <c r="H636" s="83"/>
      <c r="I636" s="83"/>
      <c r="J636" s="83"/>
      <c r="K636" s="83"/>
      <c r="L636" s="83"/>
      <c r="M636" s="83">
        <f>864+44+37</f>
        <v>945</v>
      </c>
      <c r="N636" s="110">
        <f>M636-F636</f>
        <v>35</v>
      </c>
      <c r="O636" s="110" t="s">
        <v>100</v>
      </c>
      <c r="P636" s="83"/>
      <c r="Q636" s="83">
        <f>864+44+37</f>
        <v>945</v>
      </c>
      <c r="R636" s="83"/>
      <c r="S636" s="83">
        <f>936</f>
        <v>936</v>
      </c>
      <c r="T636" s="110">
        <f>S636-Q636</f>
        <v>-9</v>
      </c>
      <c r="U636" s="59">
        <f t="shared" si="990"/>
        <v>4</v>
      </c>
      <c r="V636" s="83"/>
      <c r="W636" s="83">
        <f>932</f>
        <v>932</v>
      </c>
      <c r="X636" s="110">
        <f>W636-M636</f>
        <v>-13</v>
      </c>
      <c r="Y636" s="110"/>
      <c r="Z636" s="110"/>
      <c r="AA636" s="110"/>
      <c r="AB636" s="83"/>
      <c r="AC636" s="106"/>
      <c r="AD636" s="106"/>
      <c r="AE636" s="100">
        <f t="shared" ref="AE636:AE654" si="1014">N636/F636</f>
        <v>3.8461538461538464E-2</v>
      </c>
      <c r="AF636" s="90"/>
      <c r="AG636" s="109">
        <f t="shared" ref="AG636:AG654" si="1015">IF(N636&lt;0,N636,0)</f>
        <v>0</v>
      </c>
      <c r="AH636" s="100">
        <f t="shared" ref="AH636:AH654" si="1016">(S636-F636)/F636</f>
        <v>2.8571428571428571E-2</v>
      </c>
      <c r="AI636" s="100">
        <f t="shared" ref="AI636:AI654" si="1017">(W636-F636)/F636</f>
        <v>2.4175824175824177E-2</v>
      </c>
    </row>
    <row r="637" spans="1:35" s="86" customFormat="1" ht="18.75" customHeight="1" x14ac:dyDescent="0.3">
      <c r="A637" s="106"/>
      <c r="B637" s="106" t="s">
        <v>52</v>
      </c>
      <c r="C637" s="118">
        <v>48047</v>
      </c>
      <c r="D637" s="311"/>
      <c r="E637" s="157" t="s">
        <v>364</v>
      </c>
      <c r="F637" s="83">
        <v>3046</v>
      </c>
      <c r="G637" s="83"/>
      <c r="H637" s="83"/>
      <c r="I637" s="83"/>
      <c r="J637" s="83"/>
      <c r="K637" s="83"/>
      <c r="L637" s="83"/>
      <c r="M637" s="83">
        <f>760+348+570+1235+7+174</f>
        <v>3094</v>
      </c>
      <c r="N637" s="110">
        <f>M637-F637</f>
        <v>48</v>
      </c>
      <c r="O637" s="110" t="s">
        <v>100</v>
      </c>
      <c r="P637" s="83"/>
      <c r="Q637" s="83">
        <f>348+570+1235+187+7+747</f>
        <v>3094</v>
      </c>
      <c r="R637" s="83"/>
      <c r="S637" s="83">
        <v>3094</v>
      </c>
      <c r="T637" s="110">
        <f>S637-Q637</f>
        <v>0</v>
      </c>
      <c r="U637" s="59">
        <f t="shared" si="990"/>
        <v>2</v>
      </c>
      <c r="V637" s="83"/>
      <c r="W637" s="83">
        <v>3092</v>
      </c>
      <c r="X637" s="110">
        <f>W637-M637</f>
        <v>-2</v>
      </c>
      <c r="Y637" s="110"/>
      <c r="Z637" s="110"/>
      <c r="AA637" s="110"/>
      <c r="AB637" s="83"/>
      <c r="AC637" s="106"/>
      <c r="AD637" s="106"/>
      <c r="AE637" s="100">
        <f t="shared" si="1014"/>
        <v>1.5758371634931056E-2</v>
      </c>
      <c r="AF637" s="90"/>
      <c r="AG637" s="109">
        <f t="shared" si="1015"/>
        <v>0</v>
      </c>
      <c r="AH637" s="100">
        <f t="shared" si="1016"/>
        <v>1.5758371634931056E-2</v>
      </c>
      <c r="AI637" s="100">
        <f t="shared" si="1017"/>
        <v>1.5101772816808929E-2</v>
      </c>
    </row>
    <row r="638" spans="1:35" s="82" customFormat="1" ht="16.5" customHeight="1" x14ac:dyDescent="0.3">
      <c r="A638" s="90" t="s">
        <v>46</v>
      </c>
      <c r="B638" s="90" t="s">
        <v>52</v>
      </c>
      <c r="C638" s="137"/>
      <c r="D638" s="90"/>
      <c r="E638" s="80"/>
      <c r="F638" s="81">
        <f>SUM(F636:F637)</f>
        <v>3956</v>
      </c>
      <c r="G638" s="81"/>
      <c r="H638" s="81" t="s">
        <v>50</v>
      </c>
      <c r="I638" s="81"/>
      <c r="J638" s="81" t="s">
        <v>60</v>
      </c>
      <c r="K638" s="85" t="s">
        <v>226</v>
      </c>
      <c r="L638" s="81">
        <f>SUM(L636:L637)</f>
        <v>0</v>
      </c>
      <c r="M638" s="81">
        <f>SUM(M636:M637)</f>
        <v>4039</v>
      </c>
      <c r="N638" s="81">
        <f>SUM(N636:N637)</f>
        <v>83</v>
      </c>
      <c r="O638" s="81" t="s">
        <v>758</v>
      </c>
      <c r="P638" s="81">
        <f>SUM(P636:P637)</f>
        <v>0</v>
      </c>
      <c r="Q638" s="81">
        <f>SUM(Q636:Q637)</f>
        <v>4039</v>
      </c>
      <c r="R638" s="81">
        <f>SUM(R636:R637)</f>
        <v>0</v>
      </c>
      <c r="S638" s="81">
        <f>SUM(S636:S637)</f>
        <v>4030</v>
      </c>
      <c r="T638" s="81">
        <f>SUM(T636:T637)</f>
        <v>-9</v>
      </c>
      <c r="U638" s="59">
        <f t="shared" si="990"/>
        <v>6</v>
      </c>
      <c r="V638" s="81">
        <f>SUM(V636:V637)</f>
        <v>0</v>
      </c>
      <c r="W638" s="81">
        <f>SUM(W636:W637)</f>
        <v>4024</v>
      </c>
      <c r="X638" s="81">
        <f>SUM(X636:X637)</f>
        <v>-15</v>
      </c>
      <c r="Y638" s="81" t="s">
        <v>47</v>
      </c>
      <c r="Z638" s="110" t="s">
        <v>45</v>
      </c>
      <c r="AA638" s="110"/>
      <c r="AB638" s="84"/>
      <c r="AC638" s="136"/>
      <c r="AD638" s="136"/>
      <c r="AE638" s="100">
        <f t="shared" si="1014"/>
        <v>2.0980788675429726E-2</v>
      </c>
      <c r="AF638" s="90"/>
      <c r="AG638" s="109">
        <f t="shared" si="1015"/>
        <v>0</v>
      </c>
      <c r="AH638" s="100">
        <f t="shared" si="1016"/>
        <v>1.8705763397371081E-2</v>
      </c>
      <c r="AI638" s="100">
        <f t="shared" si="1017"/>
        <v>1.7189079878665317E-2</v>
      </c>
    </row>
    <row r="639" spans="1:35" s="86" customFormat="1" ht="18.75" customHeight="1" x14ac:dyDescent="0.3">
      <c r="A639" s="106"/>
      <c r="B639" s="106" t="s">
        <v>52</v>
      </c>
      <c r="C639" s="118">
        <v>48098</v>
      </c>
      <c r="D639" s="310">
        <v>13262980</v>
      </c>
      <c r="E639" s="157" t="s">
        <v>49</v>
      </c>
      <c r="F639" s="83">
        <v>2328</v>
      </c>
      <c r="G639" s="83"/>
      <c r="H639" s="83"/>
      <c r="I639" s="83"/>
      <c r="J639" s="83"/>
      <c r="K639" s="83"/>
      <c r="L639" s="83"/>
      <c r="M639" s="83"/>
      <c r="N639" s="110">
        <f>M639-F639</f>
        <v>-2328</v>
      </c>
      <c r="O639" s="110"/>
      <c r="P639" s="83"/>
      <c r="Q639" s="83"/>
      <c r="R639" s="83"/>
      <c r="S639" s="83"/>
      <c r="T639" s="110">
        <f>S639-Q639</f>
        <v>0</v>
      </c>
      <c r="U639" s="59">
        <f t="shared" si="990"/>
        <v>0</v>
      </c>
      <c r="V639" s="83"/>
      <c r="W639" s="83"/>
      <c r="X639" s="110">
        <f>W639-M639</f>
        <v>0</v>
      </c>
      <c r="Y639" s="110"/>
      <c r="Z639" s="110"/>
      <c r="AA639" s="110"/>
      <c r="AB639" s="83"/>
      <c r="AC639" s="106"/>
      <c r="AD639" s="106"/>
      <c r="AE639" s="100">
        <f t="shared" si="1014"/>
        <v>-1</v>
      </c>
      <c r="AF639" s="90"/>
      <c r="AG639" s="109">
        <f t="shared" si="1015"/>
        <v>-2328</v>
      </c>
      <c r="AH639" s="100">
        <f t="shared" si="1016"/>
        <v>-1</v>
      </c>
      <c r="AI639" s="100">
        <f t="shared" si="1017"/>
        <v>-1</v>
      </c>
    </row>
    <row r="640" spans="1:35" s="86" customFormat="1" ht="18.75" customHeight="1" x14ac:dyDescent="0.3">
      <c r="A640" s="106"/>
      <c r="B640" s="106" t="s">
        <v>52</v>
      </c>
      <c r="C640" s="118">
        <v>48098</v>
      </c>
      <c r="D640" s="311"/>
      <c r="E640" s="157" t="s">
        <v>679</v>
      </c>
      <c r="F640" s="83">
        <v>2100</v>
      </c>
      <c r="G640" s="83"/>
      <c r="H640" s="83"/>
      <c r="I640" s="83"/>
      <c r="J640" s="83"/>
      <c r="K640" s="83"/>
      <c r="L640" s="83"/>
      <c r="M640" s="83"/>
      <c r="N640" s="110">
        <f>M640-F640</f>
        <v>-2100</v>
      </c>
      <c r="O640" s="110" t="s">
        <v>100</v>
      </c>
      <c r="P640" s="83"/>
      <c r="Q640" s="83"/>
      <c r="R640" s="83"/>
      <c r="S640" s="83"/>
      <c r="T640" s="110">
        <f>S640-Q640</f>
        <v>0</v>
      </c>
      <c r="U640" s="59">
        <f t="shared" si="990"/>
        <v>0</v>
      </c>
      <c r="V640" s="83"/>
      <c r="W640" s="83"/>
      <c r="X640" s="110">
        <f>W640-M640</f>
        <v>0</v>
      </c>
      <c r="Y640" s="110"/>
      <c r="Z640" s="110"/>
      <c r="AA640" s="110"/>
      <c r="AB640" s="83"/>
      <c r="AC640" s="106"/>
      <c r="AD640" s="106"/>
      <c r="AE640" s="100">
        <f t="shared" si="1014"/>
        <v>-1</v>
      </c>
      <c r="AF640" s="90"/>
      <c r="AG640" s="109">
        <f t="shared" si="1015"/>
        <v>-2100</v>
      </c>
      <c r="AH640" s="100">
        <f t="shared" si="1016"/>
        <v>-1</v>
      </c>
      <c r="AI640" s="100">
        <f t="shared" si="1017"/>
        <v>-1</v>
      </c>
    </row>
    <row r="641" spans="1:35" s="82" customFormat="1" ht="16.5" customHeight="1" x14ac:dyDescent="0.3">
      <c r="A641" s="90" t="s">
        <v>46</v>
      </c>
      <c r="B641" s="90" t="s">
        <v>52</v>
      </c>
      <c r="C641" s="137"/>
      <c r="D641" s="90"/>
      <c r="E641" s="80"/>
      <c r="F641" s="81">
        <f>SUM(F639:F640)</f>
        <v>4428</v>
      </c>
      <c r="G641" s="81"/>
      <c r="H641" s="81" t="s">
        <v>50</v>
      </c>
      <c r="I641" s="81"/>
      <c r="J641" s="81"/>
      <c r="K641" s="85" t="s">
        <v>675</v>
      </c>
      <c r="L641" s="81">
        <f>SUM(L639:L640)</f>
        <v>0</v>
      </c>
      <c r="M641" s="81">
        <f>SUM(M639:M640)</f>
        <v>0</v>
      </c>
      <c r="N641" s="81">
        <f>SUM(N639:N640)</f>
        <v>-4428</v>
      </c>
      <c r="O641" s="81"/>
      <c r="P641" s="81">
        <f>SUM(P639:P640)</f>
        <v>0</v>
      </c>
      <c r="Q641" s="81">
        <f>SUM(Q639:Q640)</f>
        <v>0</v>
      </c>
      <c r="R641" s="81">
        <f>SUM(R639:R640)</f>
        <v>0</v>
      </c>
      <c r="S641" s="81">
        <f>SUM(S639:S640)</f>
        <v>0</v>
      </c>
      <c r="T641" s="81">
        <f>SUM(T639:T640)</f>
        <v>0</v>
      </c>
      <c r="U641" s="59">
        <f t="shared" si="990"/>
        <v>0</v>
      </c>
      <c r="V641" s="81">
        <f>SUM(V639:V640)</f>
        <v>0</v>
      </c>
      <c r="W641" s="81">
        <f>SUM(W639:W640)</f>
        <v>0</v>
      </c>
      <c r="X641" s="81">
        <f>SUM(X639:X640)</f>
        <v>0</v>
      </c>
      <c r="Y641" s="81" t="s">
        <v>47</v>
      </c>
      <c r="Z641" s="110" t="s">
        <v>45</v>
      </c>
      <c r="AA641" s="110"/>
      <c r="AB641" s="84"/>
      <c r="AC641" s="136"/>
      <c r="AD641" s="136"/>
      <c r="AE641" s="100">
        <f t="shared" si="1014"/>
        <v>-1</v>
      </c>
      <c r="AF641" s="90"/>
      <c r="AG641" s="109">
        <f t="shared" si="1015"/>
        <v>-4428</v>
      </c>
      <c r="AH641" s="100">
        <f t="shared" si="1016"/>
        <v>-1</v>
      </c>
      <c r="AI641" s="100">
        <f t="shared" si="1017"/>
        <v>-1</v>
      </c>
    </row>
    <row r="642" spans="1:35" s="86" customFormat="1" ht="18.75" customHeight="1" x14ac:dyDescent="0.3">
      <c r="A642" s="106"/>
      <c r="B642" s="106" t="s">
        <v>52</v>
      </c>
      <c r="C642" s="118">
        <v>48095</v>
      </c>
      <c r="D642" s="310">
        <v>13251275</v>
      </c>
      <c r="E642" s="157" t="s">
        <v>676</v>
      </c>
      <c r="F642" s="83">
        <v>1272</v>
      </c>
      <c r="G642" s="83"/>
      <c r="H642" s="83"/>
      <c r="I642" s="83"/>
      <c r="J642" s="83"/>
      <c r="K642" s="83"/>
      <c r="L642" s="83"/>
      <c r="M642" s="83"/>
      <c r="N642" s="110">
        <f>M642-F642</f>
        <v>-1272</v>
      </c>
      <c r="O642" s="110" t="s">
        <v>100</v>
      </c>
      <c r="P642" s="83"/>
      <c r="Q642" s="83"/>
      <c r="R642" s="83"/>
      <c r="S642" s="83"/>
      <c r="T642" s="110">
        <f>S642-Q642</f>
        <v>0</v>
      </c>
      <c r="U642" s="59">
        <f t="shared" si="990"/>
        <v>0</v>
      </c>
      <c r="V642" s="83"/>
      <c r="W642" s="83"/>
      <c r="X642" s="110">
        <f>W642-M642</f>
        <v>0</v>
      </c>
      <c r="Y642" s="110"/>
      <c r="Z642" s="110"/>
      <c r="AA642" s="110"/>
      <c r="AB642" s="83"/>
      <c r="AC642" s="106"/>
      <c r="AD642" s="106"/>
      <c r="AE642" s="100">
        <f t="shared" ref="AE642:AE644" si="1018">N642/F642</f>
        <v>-1</v>
      </c>
      <c r="AF642" s="90"/>
      <c r="AG642" s="109">
        <f t="shared" ref="AG642:AG644" si="1019">IF(N642&lt;0,N642,0)</f>
        <v>-1272</v>
      </c>
      <c r="AH642" s="100">
        <f t="shared" ref="AH642:AH644" si="1020">(S642-F642)/F642</f>
        <v>-1</v>
      </c>
      <c r="AI642" s="100">
        <f t="shared" ref="AI642:AI644" si="1021">(W642-F642)/F642</f>
        <v>-1</v>
      </c>
    </row>
    <row r="643" spans="1:35" s="86" customFormat="1" ht="18.75" customHeight="1" x14ac:dyDescent="0.3">
      <c r="A643" s="106"/>
      <c r="B643" s="106" t="s">
        <v>52</v>
      </c>
      <c r="C643" s="118">
        <v>48095</v>
      </c>
      <c r="D643" s="311"/>
      <c r="E643" s="157" t="s">
        <v>678</v>
      </c>
      <c r="F643" s="83">
        <v>1680</v>
      </c>
      <c r="G643" s="83"/>
      <c r="H643" s="83"/>
      <c r="I643" s="83"/>
      <c r="J643" s="83"/>
      <c r="K643" s="83"/>
      <c r="L643" s="83"/>
      <c r="M643" s="83"/>
      <c r="N643" s="110">
        <f>M643-F643</f>
        <v>-1680</v>
      </c>
      <c r="O643" s="110" t="s">
        <v>100</v>
      </c>
      <c r="P643" s="83"/>
      <c r="Q643" s="83"/>
      <c r="R643" s="83"/>
      <c r="S643" s="83"/>
      <c r="T643" s="110">
        <f>S643-Q643</f>
        <v>0</v>
      </c>
      <c r="U643" s="59">
        <f t="shared" si="990"/>
        <v>0</v>
      </c>
      <c r="V643" s="83"/>
      <c r="W643" s="83"/>
      <c r="X643" s="110">
        <f>W643-M643</f>
        <v>0</v>
      </c>
      <c r="Y643" s="110"/>
      <c r="Z643" s="110"/>
      <c r="AA643" s="110"/>
      <c r="AB643" s="83"/>
      <c r="AC643" s="106"/>
      <c r="AD643" s="106"/>
      <c r="AE643" s="100">
        <f t="shared" si="1018"/>
        <v>-1</v>
      </c>
      <c r="AF643" s="90"/>
      <c r="AG643" s="109">
        <f t="shared" si="1019"/>
        <v>-1680</v>
      </c>
      <c r="AH643" s="100">
        <f t="shared" si="1020"/>
        <v>-1</v>
      </c>
      <c r="AI643" s="100">
        <f t="shared" si="1021"/>
        <v>-1</v>
      </c>
    </row>
    <row r="644" spans="1:35" s="82" customFormat="1" ht="16.5" customHeight="1" x14ac:dyDescent="0.3">
      <c r="A644" s="90" t="s">
        <v>46</v>
      </c>
      <c r="B644" s="90" t="s">
        <v>52</v>
      </c>
      <c r="C644" s="137"/>
      <c r="D644" s="90"/>
      <c r="E644" s="80"/>
      <c r="F644" s="81">
        <f>SUM(F642:F643)</f>
        <v>2952</v>
      </c>
      <c r="G644" s="81"/>
      <c r="H644" s="81" t="s">
        <v>50</v>
      </c>
      <c r="I644" s="81"/>
      <c r="J644" s="81"/>
      <c r="K644" s="85" t="s">
        <v>675</v>
      </c>
      <c r="L644" s="81">
        <f>SUM(L642:L643)</f>
        <v>0</v>
      </c>
      <c r="M644" s="81">
        <f>SUM(M642:M643)</f>
        <v>0</v>
      </c>
      <c r="N644" s="81">
        <f>SUM(N642:N643)</f>
        <v>-2952</v>
      </c>
      <c r="O644" s="81"/>
      <c r="P644" s="81">
        <f t="shared" ref="P644:X644" si="1022">SUM(P642:P643)</f>
        <v>0</v>
      </c>
      <c r="Q644" s="81">
        <f t="shared" si="1022"/>
        <v>0</v>
      </c>
      <c r="R644" s="81">
        <f t="shared" si="1022"/>
        <v>0</v>
      </c>
      <c r="S644" s="81">
        <f t="shared" si="1022"/>
        <v>0</v>
      </c>
      <c r="T644" s="81">
        <f t="shared" si="1022"/>
        <v>0</v>
      </c>
      <c r="U644" s="59">
        <f t="shared" si="1022"/>
        <v>0</v>
      </c>
      <c r="V644" s="81">
        <f t="shared" si="1022"/>
        <v>0</v>
      </c>
      <c r="W644" s="81">
        <f t="shared" si="1022"/>
        <v>0</v>
      </c>
      <c r="X644" s="81">
        <f t="shared" si="1022"/>
        <v>0</v>
      </c>
      <c r="Y644" s="81" t="s">
        <v>47</v>
      </c>
      <c r="Z644" s="110" t="s">
        <v>45</v>
      </c>
      <c r="AA644" s="110"/>
      <c r="AB644" s="84"/>
      <c r="AC644" s="136"/>
      <c r="AD644" s="136"/>
      <c r="AE644" s="100">
        <f t="shared" si="1018"/>
        <v>-1</v>
      </c>
      <c r="AF644" s="90"/>
      <c r="AG644" s="109">
        <f t="shared" si="1019"/>
        <v>-2952</v>
      </c>
      <c r="AH644" s="100">
        <f t="shared" si="1020"/>
        <v>-1</v>
      </c>
      <c r="AI644" s="100">
        <f t="shared" si="1021"/>
        <v>-1</v>
      </c>
    </row>
    <row r="645" spans="1:35" s="86" customFormat="1" ht="18.75" customHeight="1" x14ac:dyDescent="0.3">
      <c r="A645" s="106"/>
      <c r="B645" s="106" t="s">
        <v>52</v>
      </c>
      <c r="C645" s="118">
        <v>48094</v>
      </c>
      <c r="D645" s="310" t="s">
        <v>680</v>
      </c>
      <c r="E645" s="157" t="s">
        <v>681</v>
      </c>
      <c r="F645" s="83">
        <v>2025</v>
      </c>
      <c r="G645" s="83"/>
      <c r="H645" s="83"/>
      <c r="I645" s="83"/>
      <c r="J645" s="83"/>
      <c r="K645" s="83"/>
      <c r="L645" s="83"/>
      <c r="M645" s="83"/>
      <c r="N645" s="110">
        <f>M645-F645</f>
        <v>-2025</v>
      </c>
      <c r="O645" s="110" t="s">
        <v>100</v>
      </c>
      <c r="P645" s="83"/>
      <c r="Q645" s="83"/>
      <c r="R645" s="83"/>
      <c r="S645" s="83"/>
      <c r="T645" s="110">
        <f>S645-Q645</f>
        <v>0</v>
      </c>
      <c r="U645" s="59">
        <f t="shared" si="990"/>
        <v>0</v>
      </c>
      <c r="V645" s="83"/>
      <c r="W645" s="83"/>
      <c r="X645" s="110">
        <f>W645-M645</f>
        <v>0</v>
      </c>
      <c r="Y645" s="110"/>
      <c r="Z645" s="110"/>
      <c r="AA645" s="110"/>
      <c r="AB645" s="83"/>
      <c r="AC645" s="106"/>
      <c r="AD645" s="106"/>
      <c r="AE645" s="100">
        <f t="shared" ref="AE645:AE648" si="1023">N645/F645</f>
        <v>-1</v>
      </c>
      <c r="AF645" s="90"/>
      <c r="AG645" s="109">
        <f t="shared" ref="AG645:AG648" si="1024">IF(N645&lt;0,N645,0)</f>
        <v>-2025</v>
      </c>
      <c r="AH645" s="100">
        <f t="shared" ref="AH645:AH648" si="1025">(S645-F645)/F645</f>
        <v>-1</v>
      </c>
      <c r="AI645" s="100">
        <f t="shared" ref="AI645:AI648" si="1026">(W645-F645)/F645</f>
        <v>-1</v>
      </c>
    </row>
    <row r="646" spans="1:35" s="86" customFormat="1" ht="18.75" customHeight="1" x14ac:dyDescent="0.3">
      <c r="A646" s="106"/>
      <c r="B646" s="106" t="s">
        <v>52</v>
      </c>
      <c r="C646" s="118">
        <v>48094</v>
      </c>
      <c r="D646" s="311"/>
      <c r="E646" s="157" t="s">
        <v>49</v>
      </c>
      <c r="F646" s="83">
        <v>2458</v>
      </c>
      <c r="G646" s="83"/>
      <c r="H646" s="83"/>
      <c r="I646" s="83"/>
      <c r="J646" s="83"/>
      <c r="K646" s="83"/>
      <c r="L646" s="83"/>
      <c r="M646" s="83"/>
      <c r="N646" s="110">
        <f>M646-F646</f>
        <v>-2458</v>
      </c>
      <c r="O646" s="110" t="s">
        <v>100</v>
      </c>
      <c r="P646" s="83"/>
      <c r="Q646" s="83"/>
      <c r="R646" s="83"/>
      <c r="S646" s="83"/>
      <c r="T646" s="110">
        <f>S646-Q646</f>
        <v>0</v>
      </c>
      <c r="U646" s="59">
        <f t="shared" ref="U646" si="1027">IF(Q646&gt;0,S646-W646,M646-W646)</f>
        <v>0</v>
      </c>
      <c r="V646" s="83"/>
      <c r="W646" s="83"/>
      <c r="X646" s="110">
        <f>W646-M646</f>
        <v>0</v>
      </c>
      <c r="Y646" s="110"/>
      <c r="Z646" s="110"/>
      <c r="AA646" s="110"/>
      <c r="AB646" s="83"/>
      <c r="AC646" s="106"/>
      <c r="AD646" s="106"/>
      <c r="AE646" s="100">
        <f t="shared" ref="AE646" si="1028">N646/F646</f>
        <v>-1</v>
      </c>
      <c r="AF646" s="90"/>
      <c r="AG646" s="109">
        <f t="shared" ref="AG646" si="1029">IF(N646&lt;0,N646,0)</f>
        <v>-2458</v>
      </c>
      <c r="AH646" s="100">
        <f t="shared" ref="AH646" si="1030">(S646-F646)/F646</f>
        <v>-1</v>
      </c>
      <c r="AI646" s="100">
        <f t="shared" ref="AI646" si="1031">(W646-F646)/F646</f>
        <v>-1</v>
      </c>
    </row>
    <row r="647" spans="1:35" s="86" customFormat="1" ht="18.75" customHeight="1" x14ac:dyDescent="0.3">
      <c r="A647" s="106"/>
      <c r="B647" s="106" t="s">
        <v>52</v>
      </c>
      <c r="C647" s="118">
        <v>48094</v>
      </c>
      <c r="D647" s="311"/>
      <c r="E647" s="157" t="s">
        <v>682</v>
      </c>
      <c r="F647" s="83">
        <v>1675</v>
      </c>
      <c r="G647" s="83"/>
      <c r="H647" s="83"/>
      <c r="I647" s="83"/>
      <c r="J647" s="83"/>
      <c r="K647" s="83"/>
      <c r="L647" s="83"/>
      <c r="M647" s="83"/>
      <c r="N647" s="110">
        <f>M647-F647</f>
        <v>-1675</v>
      </c>
      <c r="O647" s="110" t="s">
        <v>100</v>
      </c>
      <c r="P647" s="83"/>
      <c r="Q647" s="83"/>
      <c r="R647" s="83"/>
      <c r="S647" s="83"/>
      <c r="T647" s="110">
        <f>S647-Q647</f>
        <v>0</v>
      </c>
      <c r="U647" s="59">
        <f t="shared" si="990"/>
        <v>0</v>
      </c>
      <c r="V647" s="83"/>
      <c r="W647" s="83"/>
      <c r="X647" s="110">
        <f>W647-M647</f>
        <v>0</v>
      </c>
      <c r="Y647" s="110"/>
      <c r="Z647" s="110"/>
      <c r="AA647" s="110"/>
      <c r="AB647" s="83"/>
      <c r="AC647" s="106"/>
      <c r="AD647" s="106"/>
      <c r="AE647" s="100">
        <f t="shared" si="1023"/>
        <v>-1</v>
      </c>
      <c r="AF647" s="90"/>
      <c r="AG647" s="109">
        <f t="shared" si="1024"/>
        <v>-1675</v>
      </c>
      <c r="AH647" s="100">
        <f t="shared" si="1025"/>
        <v>-1</v>
      </c>
      <c r="AI647" s="100">
        <f t="shared" si="1026"/>
        <v>-1</v>
      </c>
    </row>
    <row r="648" spans="1:35" s="82" customFormat="1" ht="16.5" customHeight="1" x14ac:dyDescent="0.3">
      <c r="A648" s="90" t="s">
        <v>46</v>
      </c>
      <c r="B648" s="90" t="s">
        <v>52</v>
      </c>
      <c r="C648" s="137"/>
      <c r="D648" s="90"/>
      <c r="E648" s="80"/>
      <c r="F648" s="81">
        <f>SUM(F645:F647)</f>
        <v>6158</v>
      </c>
      <c r="G648" s="81"/>
      <c r="H648" s="81" t="s">
        <v>50</v>
      </c>
      <c r="I648" s="81"/>
      <c r="J648" s="81"/>
      <c r="K648" s="85" t="s">
        <v>675</v>
      </c>
      <c r="L648" s="81">
        <f>SUM(L645:L647)</f>
        <v>0</v>
      </c>
      <c r="M648" s="81">
        <f>SUM(M645:M647)</f>
        <v>0</v>
      </c>
      <c r="N648" s="81">
        <f>SUM(N645:N647)</f>
        <v>-6158</v>
      </c>
      <c r="O648" s="81"/>
      <c r="P648" s="81">
        <f>SUM(P645:P647)</f>
        <v>0</v>
      </c>
      <c r="Q648" s="81">
        <f>SUM(Q645:Q647)</f>
        <v>0</v>
      </c>
      <c r="R648" s="81">
        <f>SUM(R645:R647)</f>
        <v>0</v>
      </c>
      <c r="S648" s="81">
        <f>SUM(S645:S647)</f>
        <v>0</v>
      </c>
      <c r="T648" s="81">
        <f>SUM(T645:T647)</f>
        <v>0</v>
      </c>
      <c r="U648" s="59">
        <f t="shared" si="990"/>
        <v>0</v>
      </c>
      <c r="V648" s="81">
        <f>SUM(V645:V647)</f>
        <v>0</v>
      </c>
      <c r="W648" s="81">
        <f>SUM(W645:W647)</f>
        <v>0</v>
      </c>
      <c r="X648" s="81">
        <f>SUM(X645:X647)</f>
        <v>0</v>
      </c>
      <c r="Y648" s="81" t="s">
        <v>47</v>
      </c>
      <c r="Z648" s="110" t="s">
        <v>45</v>
      </c>
      <c r="AA648" s="110"/>
      <c r="AB648" s="84"/>
      <c r="AC648" s="136"/>
      <c r="AD648" s="136"/>
      <c r="AE648" s="100">
        <f t="shared" si="1023"/>
        <v>-1</v>
      </c>
      <c r="AF648" s="90"/>
      <c r="AG648" s="109">
        <f t="shared" si="1024"/>
        <v>-6158</v>
      </c>
      <c r="AH648" s="100">
        <f t="shared" si="1025"/>
        <v>-1</v>
      </c>
      <c r="AI648" s="100">
        <f t="shared" si="1026"/>
        <v>-1</v>
      </c>
    </row>
    <row r="649" spans="1:35" s="86" customFormat="1" ht="18.75" customHeight="1" x14ac:dyDescent="0.3">
      <c r="A649" s="106"/>
      <c r="B649" s="106" t="s">
        <v>52</v>
      </c>
      <c r="C649" s="118">
        <v>48091</v>
      </c>
      <c r="D649" s="310">
        <v>13262972</v>
      </c>
      <c r="E649" s="157" t="s">
        <v>513</v>
      </c>
      <c r="F649" s="83">
        <v>1261</v>
      </c>
      <c r="G649" s="83"/>
      <c r="H649" s="83"/>
      <c r="I649" s="83"/>
      <c r="J649" s="83"/>
      <c r="K649" s="83"/>
      <c r="L649" s="83"/>
      <c r="M649" s="83"/>
      <c r="N649" s="110">
        <f>M649-F649</f>
        <v>-1261</v>
      </c>
      <c r="O649" s="110" t="s">
        <v>100</v>
      </c>
      <c r="P649" s="83"/>
      <c r="Q649" s="83"/>
      <c r="R649" s="83"/>
      <c r="S649" s="83"/>
      <c r="T649" s="110">
        <f>S649-Q649</f>
        <v>0</v>
      </c>
      <c r="U649" s="59">
        <f t="shared" si="990"/>
        <v>0</v>
      </c>
      <c r="V649" s="83"/>
      <c r="W649" s="83"/>
      <c r="X649" s="110">
        <f>W649-M649</f>
        <v>0</v>
      </c>
      <c r="Y649" s="110"/>
      <c r="Z649" s="110"/>
      <c r="AA649" s="110"/>
      <c r="AB649" s="83"/>
      <c r="AC649" s="106"/>
      <c r="AD649" s="106"/>
      <c r="AE649" s="100">
        <f t="shared" si="1014"/>
        <v>-1</v>
      </c>
      <c r="AF649" s="90"/>
      <c r="AG649" s="109">
        <f t="shared" si="1015"/>
        <v>-1261</v>
      </c>
      <c r="AH649" s="100">
        <f t="shared" si="1016"/>
        <v>-1</v>
      </c>
      <c r="AI649" s="100">
        <f t="shared" si="1017"/>
        <v>-1</v>
      </c>
    </row>
    <row r="650" spans="1:35" s="86" customFormat="1" ht="18.75" customHeight="1" x14ac:dyDescent="0.3">
      <c r="A650" s="106"/>
      <c r="B650" s="106" t="s">
        <v>52</v>
      </c>
      <c r="C650" s="118">
        <v>48091</v>
      </c>
      <c r="D650" s="311"/>
      <c r="E650" s="157" t="s">
        <v>514</v>
      </c>
      <c r="F650" s="83">
        <v>1011</v>
      </c>
      <c r="G650" s="83"/>
      <c r="H650" s="83"/>
      <c r="I650" s="83"/>
      <c r="J650" s="83"/>
      <c r="K650" s="83"/>
      <c r="L650" s="83"/>
      <c r="M650" s="83"/>
      <c r="N650" s="110">
        <f>M650-F650</f>
        <v>-1011</v>
      </c>
      <c r="O650" s="110" t="s">
        <v>100</v>
      </c>
      <c r="P650" s="83"/>
      <c r="Q650" s="83"/>
      <c r="R650" s="83"/>
      <c r="S650" s="83"/>
      <c r="T650" s="110">
        <f>S650-Q650</f>
        <v>0</v>
      </c>
      <c r="U650" s="59">
        <f t="shared" si="990"/>
        <v>0</v>
      </c>
      <c r="V650" s="83"/>
      <c r="W650" s="83"/>
      <c r="X650" s="110">
        <f>W650-M650</f>
        <v>0</v>
      </c>
      <c r="Y650" s="110"/>
      <c r="Z650" s="110"/>
      <c r="AA650" s="110"/>
      <c r="AB650" s="83"/>
      <c r="AC650" s="106"/>
      <c r="AD650" s="106"/>
      <c r="AE650" s="100">
        <f t="shared" ref="AE650" si="1032">N650/F650</f>
        <v>-1</v>
      </c>
      <c r="AF650" s="90"/>
      <c r="AG650" s="109">
        <f t="shared" ref="AG650" si="1033">IF(N650&lt;0,N650,0)</f>
        <v>-1011</v>
      </c>
      <c r="AH650" s="100">
        <f t="shared" ref="AH650" si="1034">(S650-F650)/F650</f>
        <v>-1</v>
      </c>
      <c r="AI650" s="100">
        <f t="shared" ref="AI650" si="1035">(W650-F650)/F650</f>
        <v>-1</v>
      </c>
    </row>
    <row r="651" spans="1:35" s="82" customFormat="1" ht="16.5" customHeight="1" x14ac:dyDescent="0.3">
      <c r="A651" s="90" t="s">
        <v>46</v>
      </c>
      <c r="B651" s="90" t="s">
        <v>52</v>
      </c>
      <c r="C651" s="137"/>
      <c r="D651" s="90"/>
      <c r="E651" s="80"/>
      <c r="F651" s="81">
        <f>SUM(F649:F650)</f>
        <v>2272</v>
      </c>
      <c r="G651" s="81"/>
      <c r="H651" s="81" t="s">
        <v>50</v>
      </c>
      <c r="I651" s="81"/>
      <c r="J651" s="81"/>
      <c r="K651" s="85" t="s">
        <v>508</v>
      </c>
      <c r="L651" s="81">
        <f>SUM(L649:L650)</f>
        <v>0</v>
      </c>
      <c r="M651" s="81">
        <f>SUM(M649:M650)</f>
        <v>0</v>
      </c>
      <c r="N651" s="81">
        <f>SUM(N649:N650)</f>
        <v>-2272</v>
      </c>
      <c r="O651" s="81"/>
      <c r="P651" s="81">
        <f>SUM(P649:P650)</f>
        <v>0</v>
      </c>
      <c r="Q651" s="81">
        <f>SUM(Q649:Q650)</f>
        <v>0</v>
      </c>
      <c r="R651" s="81">
        <f>SUM(R649:R650)</f>
        <v>0</v>
      </c>
      <c r="S651" s="81">
        <f>SUM(S649:S650)</f>
        <v>0</v>
      </c>
      <c r="T651" s="81">
        <f>SUM(T649:T650)</f>
        <v>0</v>
      </c>
      <c r="U651" s="59">
        <f t="shared" ref="U651:U685" si="1036">IF(Q651&gt;0,S651-W651,M651-W651)</f>
        <v>0</v>
      </c>
      <c r="V651" s="81">
        <f>SUM(V649:V650)</f>
        <v>0</v>
      </c>
      <c r="W651" s="81">
        <f>SUM(W649:W650)</f>
        <v>0</v>
      </c>
      <c r="X651" s="81">
        <f>SUM(X649:X650)</f>
        <v>0</v>
      </c>
      <c r="Y651" s="81" t="s">
        <v>47</v>
      </c>
      <c r="Z651" s="110" t="s">
        <v>45</v>
      </c>
      <c r="AA651" s="110"/>
      <c r="AB651" s="84"/>
      <c r="AC651" s="136"/>
      <c r="AD651" s="136"/>
      <c r="AE651" s="100">
        <f t="shared" si="1014"/>
        <v>-1</v>
      </c>
      <c r="AF651" s="90"/>
      <c r="AG651" s="109">
        <f t="shared" si="1015"/>
        <v>-2272</v>
      </c>
      <c r="AH651" s="100">
        <f t="shared" si="1016"/>
        <v>-1</v>
      </c>
      <c r="AI651" s="100">
        <f t="shared" si="1017"/>
        <v>-1</v>
      </c>
    </row>
    <row r="652" spans="1:35" s="86" customFormat="1" ht="18.75" customHeight="1" x14ac:dyDescent="0.3">
      <c r="A652" s="106"/>
      <c r="B652" s="106" t="s">
        <v>52</v>
      </c>
      <c r="C652" s="118">
        <v>47675</v>
      </c>
      <c r="D652" s="310">
        <v>13261590</v>
      </c>
      <c r="E652" s="157" t="s">
        <v>187</v>
      </c>
      <c r="F652" s="83">
        <v>1836</v>
      </c>
      <c r="G652" s="83"/>
      <c r="H652" s="83"/>
      <c r="I652" s="83"/>
      <c r="J652" s="83"/>
      <c r="K652" s="83"/>
      <c r="L652" s="83"/>
      <c r="M652" s="83">
        <f>385+660+326+396+99</f>
        <v>1866</v>
      </c>
      <c r="N652" s="110">
        <f>M652-F652</f>
        <v>30</v>
      </c>
      <c r="O652" s="110" t="s">
        <v>100</v>
      </c>
      <c r="P652" s="83"/>
      <c r="Q652" s="83"/>
      <c r="R652" s="83"/>
      <c r="S652" s="83"/>
      <c r="T652" s="110">
        <f>S652-Q652</f>
        <v>0</v>
      </c>
      <c r="U652" s="59">
        <f t="shared" si="1036"/>
        <v>0</v>
      </c>
      <c r="V652" s="83"/>
      <c r="W652" s="83">
        <f>1767+99</f>
        <v>1866</v>
      </c>
      <c r="X652" s="110">
        <f>W652-M652</f>
        <v>0</v>
      </c>
      <c r="Y652" s="110"/>
      <c r="Z652" s="110"/>
      <c r="AA652" s="110"/>
      <c r="AB652" s="83"/>
      <c r="AC652" s="106"/>
      <c r="AD652" s="106"/>
      <c r="AE652" s="100">
        <f t="shared" si="1014"/>
        <v>1.6339869281045753E-2</v>
      </c>
      <c r="AF652" s="90"/>
      <c r="AG652" s="109">
        <f t="shared" si="1015"/>
        <v>0</v>
      </c>
      <c r="AH652" s="100">
        <f t="shared" si="1016"/>
        <v>-1</v>
      </c>
      <c r="AI652" s="100">
        <f t="shared" si="1017"/>
        <v>1.6339869281045753E-2</v>
      </c>
    </row>
    <row r="653" spans="1:35" s="86" customFormat="1" ht="18.75" customHeight="1" x14ac:dyDescent="0.3">
      <c r="A653" s="106"/>
      <c r="B653" s="106" t="s">
        <v>52</v>
      </c>
      <c r="C653" s="118">
        <v>47675</v>
      </c>
      <c r="D653" s="311"/>
      <c r="E653" s="157" t="s">
        <v>98</v>
      </c>
      <c r="F653" s="83">
        <v>1761</v>
      </c>
      <c r="G653" s="83"/>
      <c r="H653" s="83"/>
      <c r="I653" s="83"/>
      <c r="J653" s="83"/>
      <c r="K653" s="83"/>
      <c r="L653" s="83"/>
      <c r="M653" s="83">
        <f>1420+374</f>
        <v>1794</v>
      </c>
      <c r="N653" s="110">
        <f>M653-F653</f>
        <v>33</v>
      </c>
      <c r="O653" s="110" t="s">
        <v>100</v>
      </c>
      <c r="P653" s="83"/>
      <c r="Q653" s="83"/>
      <c r="R653" s="83"/>
      <c r="S653" s="83"/>
      <c r="T653" s="110">
        <f>S653-Q653</f>
        <v>0</v>
      </c>
      <c r="U653" s="59">
        <f t="shared" si="1036"/>
        <v>0</v>
      </c>
      <c r="V653" s="83"/>
      <c r="W653" s="83">
        <f>1420+374</f>
        <v>1794</v>
      </c>
      <c r="X653" s="110">
        <f>W653-M653</f>
        <v>0</v>
      </c>
      <c r="Y653" s="110"/>
      <c r="Z653" s="110"/>
      <c r="AA653" s="110"/>
      <c r="AB653" s="83"/>
      <c r="AC653" s="106"/>
      <c r="AD653" s="106"/>
      <c r="AE653" s="100">
        <f t="shared" si="1014"/>
        <v>1.8739352640545145E-2</v>
      </c>
      <c r="AF653" s="90"/>
      <c r="AG653" s="109">
        <f t="shared" si="1015"/>
        <v>0</v>
      </c>
      <c r="AH653" s="100">
        <f t="shared" si="1016"/>
        <v>-1</v>
      </c>
      <c r="AI653" s="100">
        <f t="shared" si="1017"/>
        <v>1.8739352640545145E-2</v>
      </c>
    </row>
    <row r="654" spans="1:35" s="82" customFormat="1" ht="16.5" customHeight="1" x14ac:dyDescent="0.3">
      <c r="A654" s="90" t="s">
        <v>46</v>
      </c>
      <c r="B654" s="90" t="s">
        <v>52</v>
      </c>
      <c r="C654" s="137"/>
      <c r="D654" s="90"/>
      <c r="E654" s="80"/>
      <c r="F654" s="81">
        <f>SUM(F652:F653)</f>
        <v>3597</v>
      </c>
      <c r="G654" s="81"/>
      <c r="H654" s="81" t="s">
        <v>50</v>
      </c>
      <c r="I654" s="81"/>
      <c r="J654" s="81" t="s">
        <v>60</v>
      </c>
      <c r="K654" s="85" t="s">
        <v>170</v>
      </c>
      <c r="L654" s="81">
        <f>SUM(L652:L653)</f>
        <v>0</v>
      </c>
      <c r="M654" s="81">
        <f>SUM(M652:M653)</f>
        <v>3660</v>
      </c>
      <c r="N654" s="81">
        <f>SUM(N652:N653)</f>
        <v>63</v>
      </c>
      <c r="O654" s="81"/>
      <c r="P654" s="81">
        <f>SUM(P652:P653)</f>
        <v>0</v>
      </c>
      <c r="Q654" s="81">
        <f>SUM(Q652:Q653)</f>
        <v>0</v>
      </c>
      <c r="R654" s="81">
        <f>SUM(R652:R653)</f>
        <v>0</v>
      </c>
      <c r="S654" s="81">
        <f>SUM(S652:S653)</f>
        <v>0</v>
      </c>
      <c r="T654" s="81">
        <f>SUM(T652:T653)</f>
        <v>0</v>
      </c>
      <c r="U654" s="59">
        <f t="shared" si="1036"/>
        <v>0</v>
      </c>
      <c r="V654" s="81">
        <f>SUM(V652:V653)</f>
        <v>0</v>
      </c>
      <c r="W654" s="81">
        <f>SUM(W652:W653)</f>
        <v>3660</v>
      </c>
      <c r="X654" s="81">
        <f>SUM(X652:X653)</f>
        <v>0</v>
      </c>
      <c r="Y654" s="81"/>
      <c r="Z654" s="110"/>
      <c r="AA654" s="110"/>
      <c r="AB654" s="84"/>
      <c r="AC654" s="136"/>
      <c r="AD654" s="136"/>
      <c r="AE654" s="100">
        <f t="shared" si="1014"/>
        <v>1.7514595496246871E-2</v>
      </c>
      <c r="AF654" s="90"/>
      <c r="AG654" s="109">
        <f t="shared" si="1015"/>
        <v>0</v>
      </c>
      <c r="AH654" s="100">
        <f t="shared" si="1016"/>
        <v>-1</v>
      </c>
      <c r="AI654" s="100">
        <f t="shared" si="1017"/>
        <v>1.7514595496246871E-2</v>
      </c>
    </row>
    <row r="655" spans="1:35" s="86" customFormat="1" ht="18.75" customHeight="1" x14ac:dyDescent="0.3">
      <c r="A655" s="106"/>
      <c r="B655" s="106" t="s">
        <v>52</v>
      </c>
      <c r="C655" s="118">
        <v>48084</v>
      </c>
      <c r="D655" s="310">
        <v>13251502</v>
      </c>
      <c r="E655" s="157" t="s">
        <v>512</v>
      </c>
      <c r="F655" s="83">
        <v>804</v>
      </c>
      <c r="G655" s="83"/>
      <c r="H655" s="83"/>
      <c r="I655" s="83"/>
      <c r="J655" s="83"/>
      <c r="K655" s="83"/>
      <c r="L655" s="83"/>
      <c r="M655" s="83"/>
      <c r="N655" s="110">
        <f>M655-F655</f>
        <v>-804</v>
      </c>
      <c r="O655" s="110" t="s">
        <v>100</v>
      </c>
      <c r="P655" s="83"/>
      <c r="Q655" s="83"/>
      <c r="R655" s="83"/>
      <c r="S655" s="83"/>
      <c r="T655" s="110">
        <f>S655-Q655</f>
        <v>0</v>
      </c>
      <c r="U655" s="59">
        <f t="shared" si="1036"/>
        <v>0</v>
      </c>
      <c r="V655" s="83"/>
      <c r="W655" s="83"/>
      <c r="X655" s="110">
        <f>W655-M655</f>
        <v>0</v>
      </c>
      <c r="Y655" s="110"/>
      <c r="Z655" s="110"/>
      <c r="AA655" s="110"/>
      <c r="AB655" s="83"/>
      <c r="AC655" s="106"/>
      <c r="AD655" s="106"/>
      <c r="AE655" s="100">
        <f t="shared" ref="AE655:AE1027" si="1037">N655/F655</f>
        <v>-1</v>
      </c>
      <c r="AF655" s="90"/>
      <c r="AG655" s="109">
        <f t="shared" ref="AG655:AG1027" si="1038">IF(N655&lt;0,N655,0)</f>
        <v>-804</v>
      </c>
      <c r="AH655" s="100">
        <f t="shared" ref="AH655:AH1027" si="1039">(S655-F655)/F655</f>
        <v>-1</v>
      </c>
      <c r="AI655" s="100">
        <f t="shared" ref="AI655:AI1027" si="1040">(W655-F655)/F655</f>
        <v>-1</v>
      </c>
    </row>
    <row r="656" spans="1:35" s="86" customFormat="1" ht="18.75" customHeight="1" x14ac:dyDescent="0.3">
      <c r="A656" s="106"/>
      <c r="B656" s="106" t="s">
        <v>52</v>
      </c>
      <c r="C656" s="118">
        <v>48084</v>
      </c>
      <c r="D656" s="311"/>
      <c r="E656" s="157" t="s">
        <v>387</v>
      </c>
      <c r="F656" s="83">
        <v>1004</v>
      </c>
      <c r="G656" s="83"/>
      <c r="H656" s="83"/>
      <c r="I656" s="83"/>
      <c r="J656" s="83"/>
      <c r="K656" s="83"/>
      <c r="L656" s="83"/>
      <c r="M656" s="83"/>
      <c r="N656" s="110">
        <f>M656-F656</f>
        <v>-1004</v>
      </c>
      <c r="O656" s="110" t="s">
        <v>100</v>
      </c>
      <c r="P656" s="83"/>
      <c r="Q656" s="83"/>
      <c r="R656" s="83"/>
      <c r="S656" s="83"/>
      <c r="T656" s="110">
        <f>S656-Q656</f>
        <v>0</v>
      </c>
      <c r="U656" s="59">
        <f t="shared" si="1036"/>
        <v>0</v>
      </c>
      <c r="V656" s="83"/>
      <c r="W656" s="83"/>
      <c r="X656" s="110">
        <f>W656-M656</f>
        <v>0</v>
      </c>
      <c r="Y656" s="110"/>
      <c r="Z656" s="110"/>
      <c r="AA656" s="110"/>
      <c r="AB656" s="83"/>
      <c r="AC656" s="106"/>
      <c r="AD656" s="106"/>
      <c r="AE656" s="100">
        <f t="shared" ref="AE656" si="1041">N656/F656</f>
        <v>-1</v>
      </c>
      <c r="AF656" s="90"/>
      <c r="AG656" s="109">
        <f t="shared" ref="AG656" si="1042">IF(N656&lt;0,N656,0)</f>
        <v>-1004</v>
      </c>
      <c r="AH656" s="100">
        <f t="shared" ref="AH656" si="1043">(S656-F656)/F656</f>
        <v>-1</v>
      </c>
      <c r="AI656" s="100">
        <f t="shared" ref="AI656" si="1044">(W656-F656)/F656</f>
        <v>-1</v>
      </c>
    </row>
    <row r="657" spans="1:35" s="82" customFormat="1" ht="16.5" customHeight="1" x14ac:dyDescent="0.3">
      <c r="A657" s="90" t="s">
        <v>46</v>
      </c>
      <c r="B657" s="90" t="s">
        <v>52</v>
      </c>
      <c r="C657" s="137"/>
      <c r="D657" s="90"/>
      <c r="E657" s="80"/>
      <c r="F657" s="81">
        <f>SUM(F655:F656)</f>
        <v>1808</v>
      </c>
      <c r="G657" s="81"/>
      <c r="H657" s="81" t="s">
        <v>50</v>
      </c>
      <c r="I657" s="81"/>
      <c r="J657" s="81"/>
      <c r="K657" s="85" t="s">
        <v>508</v>
      </c>
      <c r="L657" s="81">
        <f>SUM(L655:L656)</f>
        <v>0</v>
      </c>
      <c r="M657" s="81">
        <f>SUM(M655:M656)</f>
        <v>0</v>
      </c>
      <c r="N657" s="81">
        <f>SUM(N655:N656)</f>
        <v>-1808</v>
      </c>
      <c r="O657" s="81"/>
      <c r="P657" s="81">
        <f>SUM(P655:P656)</f>
        <v>0</v>
      </c>
      <c r="Q657" s="81">
        <f>SUM(Q655:Q656)</f>
        <v>0</v>
      </c>
      <c r="R657" s="81">
        <f>SUM(R655:R656)</f>
        <v>0</v>
      </c>
      <c r="S657" s="81">
        <f>SUM(S655:S656)</f>
        <v>0</v>
      </c>
      <c r="T657" s="81">
        <f>SUM(T655:T656)</f>
        <v>0</v>
      </c>
      <c r="U657" s="59">
        <f t="shared" si="1036"/>
        <v>0</v>
      </c>
      <c r="V657" s="81">
        <f>SUM(V655:V656)</f>
        <v>0</v>
      </c>
      <c r="W657" s="81">
        <f>SUM(W655:W656)</f>
        <v>0</v>
      </c>
      <c r="X657" s="81">
        <f>SUM(X655:X656)</f>
        <v>0</v>
      </c>
      <c r="Y657" s="81" t="s">
        <v>47</v>
      </c>
      <c r="Z657" s="110" t="s">
        <v>45</v>
      </c>
      <c r="AA657" s="110"/>
      <c r="AB657" s="84"/>
      <c r="AC657" s="136"/>
      <c r="AD657" s="136"/>
      <c r="AE657" s="100">
        <f t="shared" si="1037"/>
        <v>-1</v>
      </c>
      <c r="AF657" s="90"/>
      <c r="AG657" s="109">
        <f t="shared" si="1038"/>
        <v>-1808</v>
      </c>
      <c r="AH657" s="100">
        <f t="shared" si="1039"/>
        <v>-1</v>
      </c>
      <c r="AI657" s="100">
        <f t="shared" si="1040"/>
        <v>-1</v>
      </c>
    </row>
    <row r="658" spans="1:35" s="86" customFormat="1" ht="18.75" customHeight="1" x14ac:dyDescent="0.3">
      <c r="A658" s="106"/>
      <c r="B658" s="106" t="s">
        <v>52</v>
      </c>
      <c r="C658" s="118">
        <v>48060</v>
      </c>
      <c r="D658" s="310">
        <v>13264002</v>
      </c>
      <c r="E658" s="157" t="s">
        <v>274</v>
      </c>
      <c r="F658" s="83">
        <v>871</v>
      </c>
      <c r="G658" s="83"/>
      <c r="H658" s="83"/>
      <c r="I658" s="83"/>
      <c r="J658" s="83"/>
      <c r="K658" s="83"/>
      <c r="L658" s="83"/>
      <c r="M658" s="83">
        <v>904</v>
      </c>
      <c r="N658" s="110">
        <f>M658-F658</f>
        <v>33</v>
      </c>
      <c r="O658" s="110" t="s">
        <v>100</v>
      </c>
      <c r="P658" s="83"/>
      <c r="Q658" s="83">
        <v>904</v>
      </c>
      <c r="R658" s="83"/>
      <c r="S658" s="83"/>
      <c r="T658" s="110">
        <f>S658-Q658</f>
        <v>-904</v>
      </c>
      <c r="U658" s="59">
        <f t="shared" si="1036"/>
        <v>0</v>
      </c>
      <c r="V658" s="83"/>
      <c r="W658" s="83"/>
      <c r="X658" s="110">
        <f>W658-M658</f>
        <v>-904</v>
      </c>
      <c r="Y658" s="110"/>
      <c r="Z658" s="110"/>
      <c r="AA658" s="110"/>
      <c r="AB658" s="83"/>
      <c r="AC658" s="106"/>
      <c r="AD658" s="106"/>
      <c r="AE658" s="100">
        <f t="shared" si="1037"/>
        <v>3.7887485648679678E-2</v>
      </c>
      <c r="AF658" s="90"/>
      <c r="AG658" s="109">
        <f t="shared" si="1038"/>
        <v>0</v>
      </c>
      <c r="AH658" s="100">
        <f t="shared" si="1039"/>
        <v>-1</v>
      </c>
      <c r="AI658" s="100">
        <f t="shared" si="1040"/>
        <v>-1</v>
      </c>
    </row>
    <row r="659" spans="1:35" s="86" customFormat="1" ht="18.75" customHeight="1" x14ac:dyDescent="0.3">
      <c r="A659" s="106"/>
      <c r="B659" s="106" t="s">
        <v>52</v>
      </c>
      <c r="C659" s="118">
        <v>48060</v>
      </c>
      <c r="D659" s="311"/>
      <c r="E659" s="157" t="s">
        <v>474</v>
      </c>
      <c r="F659" s="83">
        <v>957</v>
      </c>
      <c r="G659" s="83"/>
      <c r="H659" s="83"/>
      <c r="I659" s="83"/>
      <c r="J659" s="83"/>
      <c r="K659" s="83"/>
      <c r="L659" s="83"/>
      <c r="M659" s="83">
        <f>826+174</f>
        <v>1000</v>
      </c>
      <c r="N659" s="110">
        <f>M659-F659</f>
        <v>43</v>
      </c>
      <c r="O659" s="110" t="s">
        <v>100</v>
      </c>
      <c r="P659" s="83"/>
      <c r="Q659" s="83">
        <f>826+174</f>
        <v>1000</v>
      </c>
      <c r="R659" s="83"/>
      <c r="S659" s="83"/>
      <c r="T659" s="110">
        <f>S659-Q659</f>
        <v>-1000</v>
      </c>
      <c r="U659" s="59">
        <f t="shared" si="1036"/>
        <v>0</v>
      </c>
      <c r="V659" s="83"/>
      <c r="W659" s="83"/>
      <c r="X659" s="110">
        <f>W659-M659</f>
        <v>-1000</v>
      </c>
      <c r="Y659" s="110"/>
      <c r="Z659" s="110"/>
      <c r="AA659" s="110"/>
      <c r="AB659" s="83"/>
      <c r="AC659" s="106"/>
      <c r="AD659" s="106"/>
      <c r="AE659" s="100">
        <f t="shared" si="1037"/>
        <v>4.4932079414838039E-2</v>
      </c>
      <c r="AF659" s="90"/>
      <c r="AG659" s="109">
        <f t="shared" si="1038"/>
        <v>0</v>
      </c>
      <c r="AH659" s="100">
        <f t="shared" si="1039"/>
        <v>-1</v>
      </c>
      <c r="AI659" s="100">
        <f t="shared" si="1040"/>
        <v>-1</v>
      </c>
    </row>
    <row r="660" spans="1:35" s="86" customFormat="1" ht="18.75" customHeight="1" x14ac:dyDescent="0.3">
      <c r="A660" s="106"/>
      <c r="B660" s="106" t="s">
        <v>52</v>
      </c>
      <c r="C660" s="118">
        <v>48060</v>
      </c>
      <c r="D660" s="311"/>
      <c r="E660" s="157" t="s">
        <v>475</v>
      </c>
      <c r="F660" s="83">
        <v>792</v>
      </c>
      <c r="G660" s="83"/>
      <c r="H660" s="83"/>
      <c r="I660" s="83"/>
      <c r="J660" s="83"/>
      <c r="K660" s="83"/>
      <c r="L660" s="83"/>
      <c r="M660" s="83">
        <v>838</v>
      </c>
      <c r="N660" s="110">
        <f>M660-F660</f>
        <v>46</v>
      </c>
      <c r="O660" s="110" t="s">
        <v>100</v>
      </c>
      <c r="P660" s="83"/>
      <c r="Q660" s="83">
        <f>676+162</f>
        <v>838</v>
      </c>
      <c r="R660" s="83"/>
      <c r="S660" s="83"/>
      <c r="T660" s="110">
        <f>S660-Q660</f>
        <v>-838</v>
      </c>
      <c r="U660" s="59">
        <f t="shared" ref="U660" si="1045">IF(Q660&gt;0,S660-W660,M660-W660)</f>
        <v>0</v>
      </c>
      <c r="V660" s="83"/>
      <c r="W660" s="83"/>
      <c r="X660" s="110">
        <f>W660-M660</f>
        <v>-838</v>
      </c>
      <c r="Y660" s="110"/>
      <c r="Z660" s="110"/>
      <c r="AA660" s="110"/>
      <c r="AB660" s="83"/>
      <c r="AC660" s="106"/>
      <c r="AD660" s="106"/>
      <c r="AE660" s="100">
        <f t="shared" ref="AE660" si="1046">N660/F660</f>
        <v>5.808080808080808E-2</v>
      </c>
      <c r="AF660" s="90"/>
      <c r="AG660" s="109">
        <f t="shared" ref="AG660" si="1047">IF(N660&lt;0,N660,0)</f>
        <v>0</v>
      </c>
      <c r="AH660" s="100">
        <f t="shared" ref="AH660" si="1048">(S660-F660)/F660</f>
        <v>-1</v>
      </c>
      <c r="AI660" s="100">
        <f t="shared" ref="AI660" si="1049">(W660-F660)/F660</f>
        <v>-1</v>
      </c>
    </row>
    <row r="661" spans="1:35" s="86" customFormat="1" ht="18.75" customHeight="1" x14ac:dyDescent="0.3">
      <c r="A661" s="106"/>
      <c r="B661" s="106" t="s">
        <v>52</v>
      </c>
      <c r="C661" s="118">
        <v>48060</v>
      </c>
      <c r="D661" s="311"/>
      <c r="E661" s="157" t="s">
        <v>364</v>
      </c>
      <c r="F661" s="83">
        <v>1767</v>
      </c>
      <c r="G661" s="83"/>
      <c r="H661" s="83"/>
      <c r="I661" s="83"/>
      <c r="J661" s="83"/>
      <c r="K661" s="83"/>
      <c r="L661" s="83"/>
      <c r="M661" s="83">
        <f>224+1322+281</f>
        <v>1827</v>
      </c>
      <c r="N661" s="110">
        <f>M661-F661</f>
        <v>60</v>
      </c>
      <c r="O661" s="110" t="s">
        <v>100</v>
      </c>
      <c r="P661" s="83"/>
      <c r="Q661" s="83">
        <f>224+1322+266</f>
        <v>1812</v>
      </c>
      <c r="R661" s="83"/>
      <c r="S661" s="83"/>
      <c r="T661" s="110">
        <f>S661-Q661</f>
        <v>-1812</v>
      </c>
      <c r="U661" s="59">
        <f t="shared" si="1036"/>
        <v>0</v>
      </c>
      <c r="V661" s="83"/>
      <c r="W661" s="83"/>
      <c r="X661" s="110">
        <f>W661-M661</f>
        <v>-1827</v>
      </c>
      <c r="Y661" s="110"/>
      <c r="Z661" s="110"/>
      <c r="AA661" s="110"/>
      <c r="AB661" s="83"/>
      <c r="AC661" s="106"/>
      <c r="AD661" s="106"/>
      <c r="AE661" s="100">
        <f t="shared" si="1037"/>
        <v>3.3955857385398983E-2</v>
      </c>
      <c r="AF661" s="90"/>
      <c r="AG661" s="109">
        <f t="shared" si="1038"/>
        <v>0</v>
      </c>
      <c r="AH661" s="100">
        <f t="shared" si="1039"/>
        <v>-1</v>
      </c>
      <c r="AI661" s="100">
        <f t="shared" si="1040"/>
        <v>-1</v>
      </c>
    </row>
    <row r="662" spans="1:35" s="82" customFormat="1" ht="16.5" customHeight="1" x14ac:dyDescent="0.3">
      <c r="A662" s="90" t="s">
        <v>46</v>
      </c>
      <c r="B662" s="90" t="s">
        <v>52</v>
      </c>
      <c r="C662" s="137"/>
      <c r="D662" s="90"/>
      <c r="E662" s="80"/>
      <c r="F662" s="81">
        <f>SUM(F658:F661)</f>
        <v>4387</v>
      </c>
      <c r="G662" s="81"/>
      <c r="H662" s="81" t="s">
        <v>50</v>
      </c>
      <c r="I662" s="81"/>
      <c r="J662" s="81" t="s">
        <v>60</v>
      </c>
      <c r="K662" s="85" t="s">
        <v>226</v>
      </c>
      <c r="L662" s="81">
        <f>SUM(L658:L661)</f>
        <v>0</v>
      </c>
      <c r="M662" s="81">
        <f>SUM(M658:M661)</f>
        <v>4569</v>
      </c>
      <c r="N662" s="81">
        <f>SUM(N658:N661)</f>
        <v>182</v>
      </c>
      <c r="O662" s="81" t="s">
        <v>272</v>
      </c>
      <c r="P662" s="81">
        <f>SUM(P658:P661)</f>
        <v>0</v>
      </c>
      <c r="Q662" s="81">
        <f>SUM(Q658:Q661)</f>
        <v>4554</v>
      </c>
      <c r="R662" s="81">
        <f>SUM(R658:R661)</f>
        <v>0</v>
      </c>
      <c r="S662" s="81">
        <f>SUM(S658:S661)</f>
        <v>0</v>
      </c>
      <c r="T662" s="81">
        <f>SUM(T658:T661)</f>
        <v>-4554</v>
      </c>
      <c r="U662" s="59">
        <f t="shared" si="1036"/>
        <v>0</v>
      </c>
      <c r="V662" s="81">
        <f>SUM(V658:V661)</f>
        <v>0</v>
      </c>
      <c r="W662" s="81">
        <f>SUM(W658:W661)</f>
        <v>0</v>
      </c>
      <c r="X662" s="81">
        <f>SUM(X658:X661)</f>
        <v>-4569</v>
      </c>
      <c r="Y662" s="81" t="s">
        <v>47</v>
      </c>
      <c r="Z662" s="110" t="s">
        <v>45</v>
      </c>
      <c r="AA662" s="110"/>
      <c r="AB662" s="84"/>
      <c r="AC662" s="136"/>
      <c r="AD662" s="136"/>
      <c r="AE662" s="100">
        <f t="shared" si="1037"/>
        <v>4.1486209254615908E-2</v>
      </c>
      <c r="AF662" s="90"/>
      <c r="AG662" s="109">
        <f t="shared" si="1038"/>
        <v>0</v>
      </c>
      <c r="AH662" s="100">
        <f t="shared" si="1039"/>
        <v>-1</v>
      </c>
      <c r="AI662" s="100">
        <f t="shared" si="1040"/>
        <v>-1</v>
      </c>
    </row>
    <row r="663" spans="1:35" s="86" customFormat="1" ht="18.75" customHeight="1" x14ac:dyDescent="0.3">
      <c r="A663" s="106"/>
      <c r="B663" s="106" t="s">
        <v>52</v>
      </c>
      <c r="C663" s="118">
        <v>48019</v>
      </c>
      <c r="D663" s="310">
        <v>13251961</v>
      </c>
      <c r="E663" s="157" t="s">
        <v>240</v>
      </c>
      <c r="F663" s="83">
        <v>931</v>
      </c>
      <c r="G663" s="83"/>
      <c r="H663" s="83"/>
      <c r="I663" s="83"/>
      <c r="J663" s="83"/>
      <c r="K663" s="83"/>
      <c r="L663" s="83"/>
      <c r="M663" s="83">
        <f>972</f>
        <v>972</v>
      </c>
      <c r="N663" s="110">
        <f>M663-F663</f>
        <v>41</v>
      </c>
      <c r="O663" s="110" t="s">
        <v>100</v>
      </c>
      <c r="P663" s="83"/>
      <c r="Q663" s="83">
        <v>972</v>
      </c>
      <c r="R663" s="83"/>
      <c r="S663" s="83">
        <v>972</v>
      </c>
      <c r="T663" s="110">
        <f>S663-Q663</f>
        <v>0</v>
      </c>
      <c r="U663" s="59">
        <f t="shared" si="1036"/>
        <v>8</v>
      </c>
      <c r="V663" s="83"/>
      <c r="W663" s="83">
        <v>964</v>
      </c>
      <c r="X663" s="110">
        <f>W663-M663</f>
        <v>-8</v>
      </c>
      <c r="Y663" s="110"/>
      <c r="Z663" s="110"/>
      <c r="AA663" s="110"/>
      <c r="AB663" s="83"/>
      <c r="AC663" s="106"/>
      <c r="AD663" s="106"/>
      <c r="AE663" s="100">
        <f t="shared" si="1037"/>
        <v>4.4038668098818477E-2</v>
      </c>
      <c r="AF663" s="90"/>
      <c r="AG663" s="109">
        <f t="shared" si="1038"/>
        <v>0</v>
      </c>
      <c r="AH663" s="100">
        <f t="shared" si="1039"/>
        <v>4.4038668098818477E-2</v>
      </c>
      <c r="AI663" s="100">
        <f t="shared" si="1040"/>
        <v>3.5445757250268529E-2</v>
      </c>
    </row>
    <row r="664" spans="1:35" s="86" customFormat="1" ht="18.75" customHeight="1" x14ac:dyDescent="0.3">
      <c r="A664" s="106"/>
      <c r="B664" s="106" t="s">
        <v>52</v>
      </c>
      <c r="C664" s="118">
        <v>48019</v>
      </c>
      <c r="D664" s="311"/>
      <c r="E664" s="157" t="s">
        <v>49</v>
      </c>
      <c r="F664" s="83">
        <v>531</v>
      </c>
      <c r="G664" s="83"/>
      <c r="H664" s="83"/>
      <c r="I664" s="83"/>
      <c r="J664" s="83"/>
      <c r="K664" s="83"/>
      <c r="L664" s="83"/>
      <c r="M664" s="83">
        <v>592</v>
      </c>
      <c r="N664" s="110">
        <f>M664-F664</f>
        <v>61</v>
      </c>
      <c r="O664" s="110" t="s">
        <v>100</v>
      </c>
      <c r="P664" s="83"/>
      <c r="Q664" s="83">
        <v>592</v>
      </c>
      <c r="R664" s="83"/>
      <c r="S664" s="83">
        <v>592</v>
      </c>
      <c r="T664" s="110">
        <f>S664-Q664</f>
        <v>0</v>
      </c>
      <c r="U664" s="59">
        <f t="shared" ref="U664" si="1050">IF(Q664&gt;0,S664-W664,M664-W664)</f>
        <v>40</v>
      </c>
      <c r="V664" s="83"/>
      <c r="W664" s="83">
        <v>552</v>
      </c>
      <c r="X664" s="110">
        <f>W664-M664</f>
        <v>-40</v>
      </c>
      <c r="Y664" s="110"/>
      <c r="Z664" s="110"/>
      <c r="AA664" s="110"/>
      <c r="AB664" s="83"/>
      <c r="AC664" s="106"/>
      <c r="AD664" s="106"/>
      <c r="AE664" s="100">
        <f t="shared" ref="AE664" si="1051">N664/F664</f>
        <v>0.11487758945386065</v>
      </c>
      <c r="AF664" s="90"/>
      <c r="AG664" s="109">
        <f t="shared" ref="AG664" si="1052">IF(N664&lt;0,N664,0)</f>
        <v>0</v>
      </c>
      <c r="AH664" s="100">
        <f t="shared" ref="AH664" si="1053">(S664-F664)/F664</f>
        <v>0.11487758945386065</v>
      </c>
      <c r="AI664" s="100">
        <f t="shared" ref="AI664" si="1054">(W664-F664)/F664</f>
        <v>3.954802259887006E-2</v>
      </c>
    </row>
    <row r="665" spans="1:35" s="86" customFormat="1" ht="18.75" customHeight="1" x14ac:dyDescent="0.3">
      <c r="A665" s="106"/>
      <c r="B665" s="106" t="s">
        <v>52</v>
      </c>
      <c r="C665" s="118">
        <v>48019</v>
      </c>
      <c r="D665" s="311"/>
      <c r="E665" s="157" t="s">
        <v>452</v>
      </c>
      <c r="F665" s="83">
        <v>531</v>
      </c>
      <c r="G665" s="83"/>
      <c r="H665" s="83"/>
      <c r="I665" s="83"/>
      <c r="J665" s="83"/>
      <c r="K665" s="83"/>
      <c r="L665" s="83"/>
      <c r="M665" s="83">
        <f>554+10</f>
        <v>564</v>
      </c>
      <c r="N665" s="110">
        <f>M665-F665</f>
        <v>33</v>
      </c>
      <c r="O665" s="110" t="s">
        <v>100</v>
      </c>
      <c r="P665" s="83"/>
      <c r="Q665" s="83">
        <f>532+32</f>
        <v>564</v>
      </c>
      <c r="R665" s="83"/>
      <c r="S665" s="83">
        <v>555</v>
      </c>
      <c r="T665" s="110">
        <f>S665-Q665</f>
        <v>-9</v>
      </c>
      <c r="U665" s="59">
        <f t="shared" si="1036"/>
        <v>9</v>
      </c>
      <c r="V665" s="83"/>
      <c r="W665" s="83">
        <v>546</v>
      </c>
      <c r="X665" s="110">
        <f>W665-M665</f>
        <v>-18</v>
      </c>
      <c r="Y665" s="110"/>
      <c r="Z665" s="110"/>
      <c r="AA665" s="110"/>
      <c r="AB665" s="83"/>
      <c r="AC665" s="106"/>
      <c r="AD665" s="106"/>
      <c r="AE665" s="100">
        <f t="shared" si="1037"/>
        <v>6.2146892655367235E-2</v>
      </c>
      <c r="AF665" s="90"/>
      <c r="AG665" s="109">
        <f t="shared" si="1038"/>
        <v>0</v>
      </c>
      <c r="AH665" s="100">
        <f t="shared" si="1039"/>
        <v>4.519774011299435E-2</v>
      </c>
      <c r="AI665" s="100">
        <f t="shared" si="1040"/>
        <v>2.8248587570621469E-2</v>
      </c>
    </row>
    <row r="666" spans="1:35" s="82" customFormat="1" ht="16.5" customHeight="1" x14ac:dyDescent="0.3">
      <c r="A666" s="90" t="s">
        <v>46</v>
      </c>
      <c r="B666" s="90" t="s">
        <v>52</v>
      </c>
      <c r="C666" s="137"/>
      <c r="D666" s="90"/>
      <c r="E666" s="80"/>
      <c r="F666" s="81">
        <f>SUM(F663:F665)</f>
        <v>1993</v>
      </c>
      <c r="G666" s="81"/>
      <c r="H666" s="81" t="s">
        <v>50</v>
      </c>
      <c r="I666" s="81"/>
      <c r="J666" s="81" t="s">
        <v>60</v>
      </c>
      <c r="K666" s="85" t="s">
        <v>226</v>
      </c>
      <c r="L666" s="81">
        <f>SUM(L663:L665)</f>
        <v>0</v>
      </c>
      <c r="M666" s="81">
        <f>SUM(M663:M665)</f>
        <v>2128</v>
      </c>
      <c r="N666" s="81">
        <f>SUM(N663:N665)</f>
        <v>135</v>
      </c>
      <c r="O666" s="81" t="s">
        <v>238</v>
      </c>
      <c r="P666" s="81">
        <f>SUM(P663:P665)</f>
        <v>0</v>
      </c>
      <c r="Q666" s="81">
        <f>SUM(Q663:Q665)</f>
        <v>2128</v>
      </c>
      <c r="R666" s="81">
        <f>SUM(R663:R665)</f>
        <v>0</v>
      </c>
      <c r="S666" s="81">
        <f>SUM(S663:S665)</f>
        <v>2119</v>
      </c>
      <c r="T666" s="81">
        <f>SUM(T663:T665)</f>
        <v>-9</v>
      </c>
      <c r="U666" s="59">
        <f t="shared" si="1036"/>
        <v>57</v>
      </c>
      <c r="V666" s="81">
        <f>SUM(V663:V665)</f>
        <v>0</v>
      </c>
      <c r="W666" s="81">
        <f>SUM(W663:W665)</f>
        <v>2062</v>
      </c>
      <c r="X666" s="81">
        <f>SUM(X663:X665)</f>
        <v>-66</v>
      </c>
      <c r="Y666" s="81" t="s">
        <v>47</v>
      </c>
      <c r="Z666" s="110" t="s">
        <v>45</v>
      </c>
      <c r="AA666" s="110"/>
      <c r="AB666" s="84"/>
      <c r="AC666" s="136"/>
      <c r="AD666" s="136"/>
      <c r="AE666" s="100">
        <f t="shared" si="1037"/>
        <v>6.7737079779227299E-2</v>
      </c>
      <c r="AF666" s="90"/>
      <c r="AG666" s="109">
        <f t="shared" si="1038"/>
        <v>0</v>
      </c>
      <c r="AH666" s="100">
        <f t="shared" si="1039"/>
        <v>6.322127446061214E-2</v>
      </c>
      <c r="AI666" s="100">
        <f t="shared" si="1040"/>
        <v>3.4621174109382841E-2</v>
      </c>
    </row>
    <row r="667" spans="1:35" s="86" customFormat="1" ht="18.75" customHeight="1" x14ac:dyDescent="0.3">
      <c r="A667" s="106"/>
      <c r="B667" s="106" t="s">
        <v>52</v>
      </c>
      <c r="C667" s="118">
        <v>48020</v>
      </c>
      <c r="D667" s="310">
        <v>13251951</v>
      </c>
      <c r="E667" s="157" t="s">
        <v>452</v>
      </c>
      <c r="F667" s="83">
        <v>799</v>
      </c>
      <c r="G667" s="83"/>
      <c r="H667" s="83"/>
      <c r="I667" s="83"/>
      <c r="J667" s="83"/>
      <c r="K667" s="83"/>
      <c r="L667" s="83"/>
      <c r="M667" s="83">
        <f>734</f>
        <v>734</v>
      </c>
      <c r="N667" s="110">
        <f>M667-F667</f>
        <v>-65</v>
      </c>
      <c r="O667" s="110" t="s">
        <v>100</v>
      </c>
      <c r="P667" s="83"/>
      <c r="Q667" s="83"/>
      <c r="R667" s="83"/>
      <c r="S667" s="83"/>
      <c r="T667" s="110">
        <f>S667-Q667</f>
        <v>0</v>
      </c>
      <c r="U667" s="59">
        <f t="shared" si="1036"/>
        <v>70</v>
      </c>
      <c r="V667" s="83"/>
      <c r="W667" s="83">
        <v>664</v>
      </c>
      <c r="X667" s="110">
        <f>W667-M667</f>
        <v>-70</v>
      </c>
      <c r="Y667" s="110"/>
      <c r="Z667" s="110"/>
      <c r="AA667" s="110"/>
      <c r="AB667" s="83"/>
      <c r="AC667" s="106"/>
      <c r="AD667" s="106"/>
      <c r="AE667" s="100">
        <f t="shared" ref="AE667:AE672" si="1055">N667/F667</f>
        <v>-8.1351689612015013E-2</v>
      </c>
      <c r="AF667" s="90"/>
      <c r="AG667" s="109">
        <f t="shared" ref="AG667:AG672" si="1056">IF(N667&lt;0,N667,0)</f>
        <v>-65</v>
      </c>
      <c r="AH667" s="100">
        <f t="shared" ref="AH667:AH672" si="1057">(S667-F667)/F667</f>
        <v>-1</v>
      </c>
      <c r="AI667" s="100">
        <f t="shared" ref="AI667:AI672" si="1058">(W667-F667)/F667</f>
        <v>-0.16896120150187735</v>
      </c>
    </row>
    <row r="668" spans="1:35" s="86" customFormat="1" ht="18.75" customHeight="1" x14ac:dyDescent="0.3">
      <c r="A668" s="106"/>
      <c r="B668" s="106" t="s">
        <v>52</v>
      </c>
      <c r="C668" s="118">
        <v>48020</v>
      </c>
      <c r="D668" s="311"/>
      <c r="E668" s="157" t="s">
        <v>240</v>
      </c>
      <c r="F668" s="83">
        <v>549</v>
      </c>
      <c r="G668" s="83"/>
      <c r="H668" s="83"/>
      <c r="I668" s="83"/>
      <c r="J668" s="83"/>
      <c r="K668" s="83"/>
      <c r="L668" s="83"/>
      <c r="M668" s="83">
        <f>567</f>
        <v>567</v>
      </c>
      <c r="N668" s="110">
        <f>M668-F668</f>
        <v>18</v>
      </c>
      <c r="O668" s="110" t="s">
        <v>100</v>
      </c>
      <c r="P668" s="83"/>
      <c r="Q668" s="83"/>
      <c r="R668" s="83"/>
      <c r="S668" s="83"/>
      <c r="T668" s="110">
        <f>S668-Q668</f>
        <v>0</v>
      </c>
      <c r="U668" s="59">
        <f t="shared" si="1036"/>
        <v>0</v>
      </c>
      <c r="V668" s="83"/>
      <c r="W668" s="83">
        <v>567</v>
      </c>
      <c r="X668" s="110">
        <f>W668-M668</f>
        <v>0</v>
      </c>
      <c r="Y668" s="110"/>
      <c r="Z668" s="110"/>
      <c r="AA668" s="110"/>
      <c r="AB668" s="83"/>
      <c r="AC668" s="106"/>
      <c r="AD668" s="106"/>
      <c r="AE668" s="100">
        <f t="shared" si="1055"/>
        <v>3.2786885245901641E-2</v>
      </c>
      <c r="AF668" s="90"/>
      <c r="AG668" s="109">
        <f t="shared" si="1056"/>
        <v>0</v>
      </c>
      <c r="AH668" s="100">
        <f t="shared" si="1057"/>
        <v>-1</v>
      </c>
      <c r="AI668" s="100">
        <f t="shared" si="1058"/>
        <v>3.2786885245901641E-2</v>
      </c>
    </row>
    <row r="669" spans="1:35" s="82" customFormat="1" ht="16.5" customHeight="1" x14ac:dyDescent="0.3">
      <c r="A669" s="90" t="s">
        <v>46</v>
      </c>
      <c r="B669" s="90" t="s">
        <v>52</v>
      </c>
      <c r="C669" s="137"/>
      <c r="D669" s="90"/>
      <c r="E669" s="80"/>
      <c r="F669" s="81">
        <f>SUM(F667:F668)</f>
        <v>1348</v>
      </c>
      <c r="G669" s="81"/>
      <c r="H669" s="81" t="s">
        <v>50</v>
      </c>
      <c r="I669" s="81"/>
      <c r="J669" s="81" t="s">
        <v>60</v>
      </c>
      <c r="K669" s="85" t="s">
        <v>226</v>
      </c>
      <c r="L669" s="81">
        <f>SUM(L667:L668)</f>
        <v>0</v>
      </c>
      <c r="M669" s="81">
        <f>SUM(M667:M668)</f>
        <v>1301</v>
      </c>
      <c r="N669" s="81">
        <f>SUM(N667:N668)</f>
        <v>-47</v>
      </c>
      <c r="O669" s="81"/>
      <c r="P669" s="81">
        <f>SUM(P667:P668)</f>
        <v>0</v>
      </c>
      <c r="Q669" s="81">
        <f>SUM(Q667:Q668)</f>
        <v>0</v>
      </c>
      <c r="R669" s="81">
        <f>SUM(R667:R668)</f>
        <v>0</v>
      </c>
      <c r="S669" s="81">
        <f>SUM(S667:S668)</f>
        <v>0</v>
      </c>
      <c r="T669" s="81">
        <f>SUM(T667:T668)</f>
        <v>0</v>
      </c>
      <c r="U669" s="59">
        <f t="shared" si="1036"/>
        <v>70</v>
      </c>
      <c r="V669" s="81">
        <f>SUM(V667:V668)</f>
        <v>0</v>
      </c>
      <c r="W669" s="81">
        <f>SUM(W667:W668)</f>
        <v>1231</v>
      </c>
      <c r="X669" s="81">
        <f>SUM(X667:X668)</f>
        <v>-70</v>
      </c>
      <c r="Y669" s="81"/>
      <c r="Z669" s="110"/>
      <c r="AA669" s="110"/>
      <c r="AB669" s="84"/>
      <c r="AC669" s="136"/>
      <c r="AD669" s="136"/>
      <c r="AE669" s="100">
        <f t="shared" si="1055"/>
        <v>-3.4866468842729974E-2</v>
      </c>
      <c r="AF669" s="90"/>
      <c r="AG669" s="109">
        <f t="shared" si="1056"/>
        <v>-47</v>
      </c>
      <c r="AH669" s="100">
        <f t="shared" si="1057"/>
        <v>-1</v>
      </c>
      <c r="AI669" s="100">
        <f t="shared" si="1058"/>
        <v>-8.6795252225519287E-2</v>
      </c>
    </row>
    <row r="670" spans="1:35" s="86" customFormat="1" ht="18.75" customHeight="1" x14ac:dyDescent="0.3">
      <c r="A670" s="106"/>
      <c r="B670" s="106" t="s">
        <v>52</v>
      </c>
      <c r="C670" s="118">
        <v>47955</v>
      </c>
      <c r="D670" s="310">
        <v>13263825</v>
      </c>
      <c r="E670" s="157" t="s">
        <v>408</v>
      </c>
      <c r="F670" s="83">
        <v>1456</v>
      </c>
      <c r="G670" s="83"/>
      <c r="H670" s="83"/>
      <c r="I670" s="83"/>
      <c r="J670" s="83"/>
      <c r="K670" s="83"/>
      <c r="L670" s="83"/>
      <c r="M670" s="83">
        <f>450+678+224+141</f>
        <v>1493</v>
      </c>
      <c r="N670" s="110">
        <f>M670-F670</f>
        <v>37</v>
      </c>
      <c r="O670" s="110" t="s">
        <v>100</v>
      </c>
      <c r="P670" s="83"/>
      <c r="Q670" s="83">
        <f>630+863</f>
        <v>1493</v>
      </c>
      <c r="R670" s="83">
        <v>443</v>
      </c>
      <c r="S670" s="83">
        <f>235+443</f>
        <v>678</v>
      </c>
      <c r="T670" s="110">
        <f>S670-Q670</f>
        <v>-815</v>
      </c>
      <c r="U670" s="59">
        <f t="shared" si="1036"/>
        <v>678</v>
      </c>
      <c r="V670" s="83"/>
      <c r="W670" s="83"/>
      <c r="X670" s="110">
        <f>W670-M670</f>
        <v>-1493</v>
      </c>
      <c r="Y670" s="110"/>
      <c r="Z670" s="110"/>
      <c r="AA670" s="110"/>
      <c r="AB670" s="83"/>
      <c r="AC670" s="106"/>
      <c r="AD670" s="106"/>
      <c r="AE670" s="100">
        <f t="shared" si="1055"/>
        <v>2.5412087912087912E-2</v>
      </c>
      <c r="AF670" s="90"/>
      <c r="AG670" s="109">
        <f t="shared" si="1056"/>
        <v>0</v>
      </c>
      <c r="AH670" s="100">
        <f t="shared" si="1057"/>
        <v>-0.53434065934065933</v>
      </c>
      <c r="AI670" s="100">
        <f t="shared" si="1058"/>
        <v>-1</v>
      </c>
    </row>
    <row r="671" spans="1:35" s="86" customFormat="1" ht="18.75" customHeight="1" x14ac:dyDescent="0.3">
      <c r="A671" s="106"/>
      <c r="B671" s="106" t="s">
        <v>52</v>
      </c>
      <c r="C671" s="118">
        <v>47955</v>
      </c>
      <c r="D671" s="311"/>
      <c r="E671" s="157" t="s">
        <v>204</v>
      </c>
      <c r="F671" s="83">
        <v>784</v>
      </c>
      <c r="G671" s="83"/>
      <c r="H671" s="83"/>
      <c r="I671" s="83"/>
      <c r="J671" s="83"/>
      <c r="K671" s="83"/>
      <c r="L671" s="83"/>
      <c r="M671" s="83">
        <f>138+680</f>
        <v>818</v>
      </c>
      <c r="N671" s="110">
        <f>M671-F671</f>
        <v>34</v>
      </c>
      <c r="O671" s="110" t="s">
        <v>100</v>
      </c>
      <c r="P671" s="83"/>
      <c r="Q671" s="83">
        <f>29+828</f>
        <v>857</v>
      </c>
      <c r="R671" s="83"/>
      <c r="S671" s="83"/>
      <c r="T671" s="110">
        <f>S671-Q671</f>
        <v>-857</v>
      </c>
      <c r="U671" s="59">
        <f t="shared" si="1036"/>
        <v>0</v>
      </c>
      <c r="V671" s="83"/>
      <c r="W671" s="83"/>
      <c r="X671" s="110">
        <f>W671-M671</f>
        <v>-818</v>
      </c>
      <c r="Y671" s="110"/>
      <c r="Z671" s="110"/>
      <c r="AA671" s="110"/>
      <c r="AB671" s="83"/>
      <c r="AC671" s="106"/>
      <c r="AD671" s="106"/>
      <c r="AE671" s="100">
        <f t="shared" si="1055"/>
        <v>4.336734693877551E-2</v>
      </c>
      <c r="AF671" s="90"/>
      <c r="AG671" s="109">
        <f t="shared" si="1056"/>
        <v>0</v>
      </c>
      <c r="AH671" s="100">
        <f t="shared" si="1057"/>
        <v>-1</v>
      </c>
      <c r="AI671" s="100">
        <f t="shared" si="1058"/>
        <v>-1</v>
      </c>
    </row>
    <row r="672" spans="1:35" s="82" customFormat="1" ht="16.5" customHeight="1" x14ac:dyDescent="0.3">
      <c r="A672" s="90" t="s">
        <v>46</v>
      </c>
      <c r="B672" s="90" t="s">
        <v>52</v>
      </c>
      <c r="C672" s="137"/>
      <c r="D672" s="90"/>
      <c r="E672" s="80"/>
      <c r="F672" s="81">
        <f>SUM(F670:F671)</f>
        <v>2240</v>
      </c>
      <c r="G672" s="81"/>
      <c r="H672" s="81" t="s">
        <v>50</v>
      </c>
      <c r="I672" s="81"/>
      <c r="J672" s="81" t="s">
        <v>60</v>
      </c>
      <c r="K672" s="85" t="s">
        <v>226</v>
      </c>
      <c r="L672" s="81">
        <f>SUM(L670:L671)</f>
        <v>0</v>
      </c>
      <c r="M672" s="81">
        <f>SUM(M670:M671)</f>
        <v>2311</v>
      </c>
      <c r="N672" s="81">
        <f>SUM(N670:N671)</f>
        <v>71</v>
      </c>
      <c r="O672" s="81" t="s">
        <v>272</v>
      </c>
      <c r="P672" s="81">
        <f>SUM(P670:P671)</f>
        <v>0</v>
      </c>
      <c r="Q672" s="81">
        <f>SUM(Q670:Q671)</f>
        <v>2350</v>
      </c>
      <c r="R672" s="81">
        <f>SUM(R670:R671)</f>
        <v>443</v>
      </c>
      <c r="S672" s="81">
        <f>SUM(S670:S671)</f>
        <v>678</v>
      </c>
      <c r="T672" s="81">
        <f>SUM(T670:T671)</f>
        <v>-1672</v>
      </c>
      <c r="U672" s="59">
        <f t="shared" si="1036"/>
        <v>678</v>
      </c>
      <c r="V672" s="81">
        <f>SUM(V670:V671)</f>
        <v>0</v>
      </c>
      <c r="W672" s="81">
        <f>SUM(W670:W671)</f>
        <v>0</v>
      </c>
      <c r="X672" s="81">
        <f>SUM(X670:X671)</f>
        <v>-2311</v>
      </c>
      <c r="Y672" s="81" t="s">
        <v>47</v>
      </c>
      <c r="Z672" s="110" t="s">
        <v>45</v>
      </c>
      <c r="AA672" s="110"/>
      <c r="AB672" s="84"/>
      <c r="AC672" s="136"/>
      <c r="AD672" s="136"/>
      <c r="AE672" s="100">
        <f t="shared" si="1055"/>
        <v>3.169642857142857E-2</v>
      </c>
      <c r="AF672" s="90"/>
      <c r="AG672" s="109">
        <f t="shared" si="1056"/>
        <v>0</v>
      </c>
      <c r="AH672" s="100">
        <f t="shared" si="1057"/>
        <v>-0.69732142857142854</v>
      </c>
      <c r="AI672" s="100">
        <f t="shared" si="1058"/>
        <v>-1</v>
      </c>
    </row>
    <row r="673" spans="1:35" s="86" customFormat="1" ht="18.75" customHeight="1" x14ac:dyDescent="0.3">
      <c r="A673" s="106"/>
      <c r="B673" s="106" t="s">
        <v>52</v>
      </c>
      <c r="C673" s="118">
        <v>48014</v>
      </c>
      <c r="D673" s="310">
        <v>13249094</v>
      </c>
      <c r="E673" s="157" t="s">
        <v>202</v>
      </c>
      <c r="F673" s="83">
        <v>803</v>
      </c>
      <c r="G673" s="83"/>
      <c r="H673" s="83"/>
      <c r="I673" s="83"/>
      <c r="J673" s="83"/>
      <c r="K673" s="83"/>
      <c r="L673" s="83"/>
      <c r="M673" s="83">
        <v>829</v>
      </c>
      <c r="N673" s="110">
        <f>M673-F673</f>
        <v>26</v>
      </c>
      <c r="O673" s="110" t="s">
        <v>100</v>
      </c>
      <c r="P673" s="83"/>
      <c r="Q673" s="83">
        <v>829</v>
      </c>
      <c r="R673" s="83"/>
      <c r="S673" s="83">
        <v>829</v>
      </c>
      <c r="T673" s="110">
        <f>S673-Q673</f>
        <v>0</v>
      </c>
      <c r="U673" s="59">
        <f t="shared" si="1036"/>
        <v>5</v>
      </c>
      <c r="V673" s="83"/>
      <c r="W673" s="83">
        <v>824</v>
      </c>
      <c r="X673" s="110">
        <f>W673-M673</f>
        <v>-5</v>
      </c>
      <c r="Y673" s="110"/>
      <c r="Z673" s="110"/>
      <c r="AA673" s="110"/>
      <c r="AB673" s="83"/>
      <c r="AC673" s="106"/>
      <c r="AD673" s="106"/>
      <c r="AE673" s="100">
        <f t="shared" ref="AE673:AE675" si="1059">N673/F673</f>
        <v>3.2378580323785801E-2</v>
      </c>
      <c r="AF673" s="90"/>
      <c r="AG673" s="109">
        <f t="shared" ref="AG673:AG675" si="1060">IF(N673&lt;0,N673,0)</f>
        <v>0</v>
      </c>
      <c r="AH673" s="100">
        <f t="shared" ref="AH673:AH675" si="1061">(S673-F673)/F673</f>
        <v>3.2378580323785801E-2</v>
      </c>
      <c r="AI673" s="100">
        <f t="shared" ref="AI673:AI675" si="1062">(W673-F673)/F673</f>
        <v>2.6151930261519303E-2</v>
      </c>
    </row>
    <row r="674" spans="1:35" s="86" customFormat="1" ht="18.75" customHeight="1" x14ac:dyDescent="0.3">
      <c r="A674" s="106"/>
      <c r="B674" s="106" t="s">
        <v>52</v>
      </c>
      <c r="C674" s="118">
        <v>48014</v>
      </c>
      <c r="D674" s="311"/>
      <c r="E674" s="157" t="s">
        <v>402</v>
      </c>
      <c r="F674" s="83">
        <v>803</v>
      </c>
      <c r="G674" s="83"/>
      <c r="H674" s="83"/>
      <c r="I674" s="83"/>
      <c r="J674" s="83"/>
      <c r="K674" s="83"/>
      <c r="L674" s="83"/>
      <c r="M674" s="83">
        <f>700+126</f>
        <v>826</v>
      </c>
      <c r="N674" s="110">
        <f>M674-F674</f>
        <v>23</v>
      </c>
      <c r="O674" s="110" t="s">
        <v>100</v>
      </c>
      <c r="P674" s="83"/>
      <c r="Q674" s="83">
        <f>805+21</f>
        <v>826</v>
      </c>
      <c r="R674" s="83"/>
      <c r="S674" s="83">
        <f>802+19</f>
        <v>821</v>
      </c>
      <c r="T674" s="110">
        <f>S674-Q674</f>
        <v>-5</v>
      </c>
      <c r="U674" s="59">
        <f t="shared" si="1036"/>
        <v>0</v>
      </c>
      <c r="V674" s="83"/>
      <c r="W674" s="83">
        <v>821</v>
      </c>
      <c r="X674" s="110">
        <f>W674-M674</f>
        <v>-5</v>
      </c>
      <c r="Y674" s="110"/>
      <c r="Z674" s="110"/>
      <c r="AA674" s="110"/>
      <c r="AB674" s="83"/>
      <c r="AC674" s="106"/>
      <c r="AD674" s="106"/>
      <c r="AE674" s="100">
        <f t="shared" ref="AE674" si="1063">N674/F674</f>
        <v>2.8642590286425903E-2</v>
      </c>
      <c r="AF674" s="90"/>
      <c r="AG674" s="109">
        <f t="shared" ref="AG674" si="1064">IF(N674&lt;0,N674,0)</f>
        <v>0</v>
      </c>
      <c r="AH674" s="100">
        <f t="shared" ref="AH674" si="1065">(S674-F674)/F674</f>
        <v>2.2415940224159402E-2</v>
      </c>
      <c r="AI674" s="100">
        <f t="shared" ref="AI674" si="1066">(W674-F674)/F674</f>
        <v>2.2415940224159402E-2</v>
      </c>
    </row>
    <row r="675" spans="1:35" s="82" customFormat="1" ht="16.5" customHeight="1" x14ac:dyDescent="0.3">
      <c r="A675" s="90" t="s">
        <v>46</v>
      </c>
      <c r="B675" s="90" t="s">
        <v>52</v>
      </c>
      <c r="C675" s="137"/>
      <c r="D675" s="90"/>
      <c r="E675" s="80"/>
      <c r="F675" s="81">
        <f>SUM(F673:F674)</f>
        <v>1606</v>
      </c>
      <c r="G675" s="81"/>
      <c r="H675" s="81" t="s">
        <v>50</v>
      </c>
      <c r="I675" s="81"/>
      <c r="J675" s="81" t="s">
        <v>60</v>
      </c>
      <c r="K675" s="85" t="s">
        <v>226</v>
      </c>
      <c r="L675" s="81">
        <f>SUM(L673:L674)</f>
        <v>0</v>
      </c>
      <c r="M675" s="81">
        <f>SUM(M673:M674)</f>
        <v>1655</v>
      </c>
      <c r="N675" s="81">
        <f>SUM(N673:N674)</f>
        <v>49</v>
      </c>
      <c r="O675" s="81" t="s">
        <v>763</v>
      </c>
      <c r="P675" s="81">
        <f>SUM(P673:P674)</f>
        <v>0</v>
      </c>
      <c r="Q675" s="81">
        <f>SUM(Q673:Q674)</f>
        <v>1655</v>
      </c>
      <c r="R675" s="81">
        <f>SUM(R673:R674)</f>
        <v>0</v>
      </c>
      <c r="S675" s="81">
        <f>SUM(S673:S674)</f>
        <v>1650</v>
      </c>
      <c r="T675" s="81">
        <f>SUM(T673:T674)</f>
        <v>-5</v>
      </c>
      <c r="U675" s="59">
        <f t="shared" si="1036"/>
        <v>5</v>
      </c>
      <c r="V675" s="81">
        <f>SUM(V673:V674)</f>
        <v>0</v>
      </c>
      <c r="W675" s="81">
        <f>SUM(W673:W674)</f>
        <v>1645</v>
      </c>
      <c r="X675" s="81">
        <f>SUM(X673:X674)</f>
        <v>-10</v>
      </c>
      <c r="Y675" s="81" t="s">
        <v>47</v>
      </c>
      <c r="Z675" s="110" t="s">
        <v>45</v>
      </c>
      <c r="AA675" s="110"/>
      <c r="AB675" s="84"/>
      <c r="AC675" s="136"/>
      <c r="AD675" s="136"/>
      <c r="AE675" s="100">
        <f t="shared" si="1059"/>
        <v>3.0510585305105854E-2</v>
      </c>
      <c r="AF675" s="90"/>
      <c r="AG675" s="109">
        <f t="shared" si="1060"/>
        <v>0</v>
      </c>
      <c r="AH675" s="100">
        <f t="shared" si="1061"/>
        <v>2.7397260273972601E-2</v>
      </c>
      <c r="AI675" s="100">
        <f t="shared" si="1062"/>
        <v>2.4283935242839352E-2</v>
      </c>
    </row>
    <row r="676" spans="1:35" s="86" customFormat="1" ht="18.75" customHeight="1" x14ac:dyDescent="0.3">
      <c r="A676" s="106"/>
      <c r="B676" s="106" t="s">
        <v>52</v>
      </c>
      <c r="C676" s="118">
        <v>48017</v>
      </c>
      <c r="D676" s="310">
        <v>13226052</v>
      </c>
      <c r="E676" s="157" t="s">
        <v>202</v>
      </c>
      <c r="F676" s="83">
        <v>795</v>
      </c>
      <c r="G676" s="83"/>
      <c r="H676" s="83"/>
      <c r="I676" s="83"/>
      <c r="J676" s="83"/>
      <c r="K676" s="83"/>
      <c r="L676" s="83"/>
      <c r="M676" s="83">
        <f>868</f>
        <v>868</v>
      </c>
      <c r="N676" s="110">
        <f>M676-F676</f>
        <v>73</v>
      </c>
      <c r="O676" s="110" t="s">
        <v>100</v>
      </c>
      <c r="P676" s="83"/>
      <c r="Q676" s="83">
        <v>830</v>
      </c>
      <c r="R676" s="83"/>
      <c r="S676" s="83">
        <v>825</v>
      </c>
      <c r="T676" s="110">
        <f>S676-Q676</f>
        <v>-5</v>
      </c>
      <c r="U676" s="59">
        <f t="shared" si="1036"/>
        <v>6</v>
      </c>
      <c r="V676" s="83"/>
      <c r="W676" s="83">
        <v>819</v>
      </c>
      <c r="X676" s="110">
        <f>W676-M676</f>
        <v>-49</v>
      </c>
      <c r="Y676" s="110"/>
      <c r="Z676" s="110"/>
      <c r="AA676" s="110"/>
      <c r="AB676" s="83"/>
      <c r="AC676" s="106"/>
      <c r="AD676" s="106"/>
      <c r="AE676" s="100">
        <f t="shared" si="1037"/>
        <v>9.1823899371069176E-2</v>
      </c>
      <c r="AF676" s="90"/>
      <c r="AG676" s="109">
        <f t="shared" si="1038"/>
        <v>0</v>
      </c>
      <c r="AH676" s="100">
        <f t="shared" si="1039"/>
        <v>3.7735849056603772E-2</v>
      </c>
      <c r="AI676" s="100">
        <f t="shared" si="1040"/>
        <v>3.0188679245283019E-2</v>
      </c>
    </row>
    <row r="677" spans="1:35" s="86" customFormat="1" ht="18.75" customHeight="1" x14ac:dyDescent="0.3">
      <c r="A677" s="106"/>
      <c r="B677" s="106" t="s">
        <v>52</v>
      </c>
      <c r="C677" s="118">
        <v>48017</v>
      </c>
      <c r="D677" s="311"/>
      <c r="E677" s="157" t="s">
        <v>240</v>
      </c>
      <c r="F677" s="83">
        <v>795</v>
      </c>
      <c r="G677" s="83"/>
      <c r="H677" s="83"/>
      <c r="I677" s="83"/>
      <c r="J677" s="83"/>
      <c r="K677" s="83"/>
      <c r="L677" s="83"/>
      <c r="M677" s="83">
        <f>600+250+140</f>
        <v>990</v>
      </c>
      <c r="N677" s="110">
        <f>M677-F677</f>
        <v>195</v>
      </c>
      <c r="O677" s="110" t="s">
        <v>100</v>
      </c>
      <c r="P677" s="83"/>
      <c r="Q677" s="83">
        <f>837+6+140</f>
        <v>983</v>
      </c>
      <c r="R677" s="83"/>
      <c r="S677" s="83">
        <f>804+39+140</f>
        <v>983</v>
      </c>
      <c r="T677" s="110">
        <f>S677-Q677</f>
        <v>0</v>
      </c>
      <c r="U677" s="59">
        <f t="shared" si="1036"/>
        <v>14</v>
      </c>
      <c r="V677" s="83"/>
      <c r="W677" s="83">
        <f>829+140</f>
        <v>969</v>
      </c>
      <c r="X677" s="110">
        <f>W677-M677</f>
        <v>-21</v>
      </c>
      <c r="Y677" s="110"/>
      <c r="Z677" s="110"/>
      <c r="AA677" s="110"/>
      <c r="AB677" s="83"/>
      <c r="AC677" s="106"/>
      <c r="AD677" s="106"/>
      <c r="AE677" s="100">
        <f t="shared" si="1037"/>
        <v>0.24528301886792453</v>
      </c>
      <c r="AF677" s="90"/>
      <c r="AG677" s="109">
        <f t="shared" si="1038"/>
        <v>0</v>
      </c>
      <c r="AH677" s="100">
        <f t="shared" si="1039"/>
        <v>0.23647798742138365</v>
      </c>
      <c r="AI677" s="100">
        <f t="shared" si="1040"/>
        <v>0.21886792452830189</v>
      </c>
    </row>
    <row r="678" spans="1:35" s="82" customFormat="1" ht="16.5" customHeight="1" x14ac:dyDescent="0.3">
      <c r="A678" s="90" t="s">
        <v>46</v>
      </c>
      <c r="B678" s="90" t="s">
        <v>52</v>
      </c>
      <c r="C678" s="137"/>
      <c r="D678" s="90"/>
      <c r="E678" s="80"/>
      <c r="F678" s="81">
        <f>SUM(F676:F677)</f>
        <v>1590</v>
      </c>
      <c r="G678" s="81"/>
      <c r="H678" s="81" t="s">
        <v>50</v>
      </c>
      <c r="I678" s="81"/>
      <c r="J678" s="81" t="s">
        <v>60</v>
      </c>
      <c r="K678" s="85" t="s">
        <v>226</v>
      </c>
      <c r="L678" s="81">
        <f>SUM(L676:L677)</f>
        <v>0</v>
      </c>
      <c r="M678" s="81">
        <f>SUM(M676:M677)</f>
        <v>1858</v>
      </c>
      <c r="N678" s="81">
        <f>SUM(N676:N677)</f>
        <v>268</v>
      </c>
      <c r="O678" s="81" t="s">
        <v>287</v>
      </c>
      <c r="P678" s="81">
        <f>SUM(P676:P677)</f>
        <v>0</v>
      </c>
      <c r="Q678" s="81">
        <f>SUM(Q676:Q677)</f>
        <v>1813</v>
      </c>
      <c r="R678" s="81">
        <f>SUM(R676:R677)</f>
        <v>0</v>
      </c>
      <c r="S678" s="81">
        <f>SUM(S676:S677)</f>
        <v>1808</v>
      </c>
      <c r="T678" s="81">
        <f>SUM(T676:T677)</f>
        <v>-5</v>
      </c>
      <c r="U678" s="59">
        <f t="shared" si="1036"/>
        <v>20</v>
      </c>
      <c r="V678" s="81">
        <f>SUM(V676:V677)</f>
        <v>0</v>
      </c>
      <c r="W678" s="81">
        <f>SUM(W676:W677)</f>
        <v>1788</v>
      </c>
      <c r="X678" s="81">
        <f>SUM(X676:X677)</f>
        <v>-70</v>
      </c>
      <c r="Y678" s="81" t="s">
        <v>47</v>
      </c>
      <c r="Z678" s="110" t="s">
        <v>45</v>
      </c>
      <c r="AA678" s="110"/>
      <c r="AB678" s="84"/>
      <c r="AC678" s="136"/>
      <c r="AD678" s="136"/>
      <c r="AE678" s="100">
        <f t="shared" si="1037"/>
        <v>0.16855345911949685</v>
      </c>
      <c r="AF678" s="90"/>
      <c r="AG678" s="109">
        <f t="shared" si="1038"/>
        <v>0</v>
      </c>
      <c r="AH678" s="100">
        <f t="shared" si="1039"/>
        <v>0.13710691823899371</v>
      </c>
      <c r="AI678" s="100">
        <f t="shared" si="1040"/>
        <v>0.12452830188679245</v>
      </c>
    </row>
    <row r="679" spans="1:35" s="86" customFormat="1" ht="18.75" customHeight="1" x14ac:dyDescent="0.3">
      <c r="A679" s="106"/>
      <c r="B679" s="106" t="s">
        <v>52</v>
      </c>
      <c r="C679" s="118">
        <v>48024</v>
      </c>
      <c r="D679" s="310">
        <v>13255270</v>
      </c>
      <c r="E679" s="157" t="s">
        <v>456</v>
      </c>
      <c r="F679" s="83">
        <v>405</v>
      </c>
      <c r="G679" s="83"/>
      <c r="H679" s="83"/>
      <c r="I679" s="83"/>
      <c r="J679" s="83"/>
      <c r="K679" s="83"/>
      <c r="L679" s="83"/>
      <c r="M679" s="83">
        <v>432</v>
      </c>
      <c r="N679" s="110">
        <f>M679-F679</f>
        <v>27</v>
      </c>
      <c r="O679" s="110" t="s">
        <v>100</v>
      </c>
      <c r="P679" s="83"/>
      <c r="Q679" s="83">
        <v>432</v>
      </c>
      <c r="R679" s="83"/>
      <c r="S679" s="83">
        <v>432</v>
      </c>
      <c r="T679" s="110">
        <f>S679-Q679</f>
        <v>0</v>
      </c>
      <c r="U679" s="59">
        <f t="shared" si="1036"/>
        <v>7</v>
      </c>
      <c r="V679" s="83"/>
      <c r="W679" s="83">
        <v>425</v>
      </c>
      <c r="X679" s="110">
        <f>W679-M679</f>
        <v>-7</v>
      </c>
      <c r="Y679" s="110"/>
      <c r="Z679" s="110"/>
      <c r="AA679" s="110"/>
      <c r="AB679" s="83"/>
      <c r="AC679" s="106"/>
      <c r="AD679" s="106"/>
      <c r="AE679" s="100">
        <f t="shared" si="1037"/>
        <v>6.6666666666666666E-2</v>
      </c>
      <c r="AF679" s="90"/>
      <c r="AG679" s="109">
        <f t="shared" si="1038"/>
        <v>0</v>
      </c>
      <c r="AH679" s="100">
        <f t="shared" si="1039"/>
        <v>6.6666666666666666E-2</v>
      </c>
      <c r="AI679" s="100">
        <f t="shared" si="1040"/>
        <v>4.9382716049382713E-2</v>
      </c>
    </row>
    <row r="680" spans="1:35" s="86" customFormat="1" ht="18.75" customHeight="1" x14ac:dyDescent="0.3">
      <c r="A680" s="106"/>
      <c r="B680" s="106" t="s">
        <v>52</v>
      </c>
      <c r="C680" s="118">
        <v>48024</v>
      </c>
      <c r="D680" s="311"/>
      <c r="E680" s="157" t="s">
        <v>457</v>
      </c>
      <c r="F680" s="83">
        <v>405</v>
      </c>
      <c r="G680" s="83"/>
      <c r="H680" s="83"/>
      <c r="I680" s="83"/>
      <c r="J680" s="83"/>
      <c r="K680" s="83"/>
      <c r="L680" s="83"/>
      <c r="M680" s="83">
        <v>432</v>
      </c>
      <c r="N680" s="110">
        <f>M680-F680</f>
        <v>27</v>
      </c>
      <c r="O680" s="110" t="s">
        <v>100</v>
      </c>
      <c r="P680" s="83"/>
      <c r="Q680" s="83">
        <f>432</f>
        <v>432</v>
      </c>
      <c r="R680" s="83"/>
      <c r="S680" s="83">
        <v>432</v>
      </c>
      <c r="T680" s="110">
        <f>S680-Q680</f>
        <v>0</v>
      </c>
      <c r="U680" s="59">
        <f t="shared" si="1036"/>
        <v>1</v>
      </c>
      <c r="V680" s="83"/>
      <c r="W680" s="83">
        <v>431</v>
      </c>
      <c r="X680" s="110">
        <f>W680-M680</f>
        <v>-1</v>
      </c>
      <c r="Y680" s="110"/>
      <c r="Z680" s="110"/>
      <c r="AA680" s="110"/>
      <c r="AB680" s="83"/>
      <c r="AC680" s="106"/>
      <c r="AD680" s="106"/>
      <c r="AE680" s="100">
        <f t="shared" ref="AE680:AE681" si="1067">N680/F680</f>
        <v>6.6666666666666666E-2</v>
      </c>
      <c r="AF680" s="90"/>
      <c r="AG680" s="109">
        <f t="shared" ref="AG680:AG681" si="1068">IF(N680&lt;0,N680,0)</f>
        <v>0</v>
      </c>
      <c r="AH680" s="100">
        <f t="shared" ref="AH680:AH681" si="1069">(S680-F680)/F680</f>
        <v>6.6666666666666666E-2</v>
      </c>
      <c r="AI680" s="100">
        <f t="shared" ref="AI680:AI681" si="1070">(W680-F680)/F680</f>
        <v>6.4197530864197536E-2</v>
      </c>
    </row>
    <row r="681" spans="1:35" s="86" customFormat="1" ht="18.75" customHeight="1" x14ac:dyDescent="0.3">
      <c r="A681" s="106"/>
      <c r="B681" s="106" t="s">
        <v>52</v>
      </c>
      <c r="C681" s="118">
        <v>48024</v>
      </c>
      <c r="D681" s="311"/>
      <c r="E681" s="157" t="s">
        <v>453</v>
      </c>
      <c r="F681" s="83">
        <v>930</v>
      </c>
      <c r="G681" s="83"/>
      <c r="H681" s="83"/>
      <c r="I681" s="83"/>
      <c r="J681" s="83"/>
      <c r="K681" s="83"/>
      <c r="L681" s="83"/>
      <c r="M681" s="83">
        <v>966</v>
      </c>
      <c r="N681" s="110">
        <f>M681-F681</f>
        <v>36</v>
      </c>
      <c r="O681" s="110" t="s">
        <v>100</v>
      </c>
      <c r="P681" s="83"/>
      <c r="Q681" s="83"/>
      <c r="R681" s="83"/>
      <c r="S681" s="83"/>
      <c r="T681" s="110">
        <f>S681-Q681</f>
        <v>0</v>
      </c>
      <c r="U681" s="59">
        <f t="shared" ref="U681" si="1071">IF(Q681&gt;0,S681-W681,M681-W681)</f>
        <v>0</v>
      </c>
      <c r="V681" s="83"/>
      <c r="W681" s="83">
        <v>966</v>
      </c>
      <c r="X681" s="110">
        <f>W681-M681</f>
        <v>0</v>
      </c>
      <c r="Y681" s="110"/>
      <c r="Z681" s="110"/>
      <c r="AA681" s="110"/>
      <c r="AB681" s="83"/>
      <c r="AC681" s="106"/>
      <c r="AD681" s="106"/>
      <c r="AE681" s="100">
        <f t="shared" si="1067"/>
        <v>3.870967741935484E-2</v>
      </c>
      <c r="AF681" s="90"/>
      <c r="AG681" s="109">
        <f t="shared" si="1068"/>
        <v>0</v>
      </c>
      <c r="AH681" s="100">
        <f t="shared" si="1069"/>
        <v>-1</v>
      </c>
      <c r="AI681" s="100">
        <f t="shared" si="1070"/>
        <v>3.870967741935484E-2</v>
      </c>
    </row>
    <row r="682" spans="1:35" s="86" customFormat="1" ht="18.75" customHeight="1" x14ac:dyDescent="0.3">
      <c r="A682" s="106"/>
      <c r="B682" s="106" t="s">
        <v>52</v>
      </c>
      <c r="C682" s="118">
        <v>48024</v>
      </c>
      <c r="D682" s="311"/>
      <c r="E682" s="157" t="s">
        <v>455</v>
      </c>
      <c r="F682" s="83">
        <v>930</v>
      </c>
      <c r="G682" s="83"/>
      <c r="H682" s="83"/>
      <c r="I682" s="83"/>
      <c r="J682" s="83"/>
      <c r="K682" s="83"/>
      <c r="L682" s="83"/>
      <c r="M682" s="83">
        <v>966</v>
      </c>
      <c r="N682" s="110">
        <f>M682-F682</f>
        <v>36</v>
      </c>
      <c r="O682" s="110" t="s">
        <v>100</v>
      </c>
      <c r="P682" s="83"/>
      <c r="Q682" s="83"/>
      <c r="R682" s="83"/>
      <c r="S682" s="83"/>
      <c r="T682" s="110">
        <f>S682-Q682</f>
        <v>0</v>
      </c>
      <c r="U682" s="59">
        <f t="shared" si="1036"/>
        <v>0</v>
      </c>
      <c r="V682" s="83"/>
      <c r="W682" s="83">
        <v>966</v>
      </c>
      <c r="X682" s="110">
        <f>W682-M682</f>
        <v>0</v>
      </c>
      <c r="Y682" s="110"/>
      <c r="Z682" s="110"/>
      <c r="AA682" s="110"/>
      <c r="AB682" s="83"/>
      <c r="AC682" s="106"/>
      <c r="AD682" s="106"/>
      <c r="AE682" s="100">
        <f t="shared" si="1037"/>
        <v>3.870967741935484E-2</v>
      </c>
      <c r="AF682" s="90"/>
      <c r="AG682" s="109">
        <f t="shared" si="1038"/>
        <v>0</v>
      </c>
      <c r="AH682" s="100">
        <f t="shared" si="1039"/>
        <v>-1</v>
      </c>
      <c r="AI682" s="100">
        <f t="shared" si="1040"/>
        <v>3.870967741935484E-2</v>
      </c>
    </row>
    <row r="683" spans="1:35" s="82" customFormat="1" ht="16.5" customHeight="1" x14ac:dyDescent="0.3">
      <c r="A683" s="90" t="s">
        <v>46</v>
      </c>
      <c r="B683" s="90" t="s">
        <v>52</v>
      </c>
      <c r="C683" s="137"/>
      <c r="D683" s="90"/>
      <c r="E683" s="80"/>
      <c r="F683" s="81">
        <f>SUM(F679:F682)</f>
        <v>2670</v>
      </c>
      <c r="G683" s="81"/>
      <c r="H683" s="81" t="s">
        <v>50</v>
      </c>
      <c r="I683" s="81"/>
      <c r="J683" s="81" t="s">
        <v>60</v>
      </c>
      <c r="K683" s="85" t="s">
        <v>226</v>
      </c>
      <c r="L683" s="81">
        <f>SUM(L679:L682)</f>
        <v>0</v>
      </c>
      <c r="M683" s="81">
        <f>SUM(M679:M682)</f>
        <v>2796</v>
      </c>
      <c r="N683" s="81">
        <f>SUM(N679:N682)</f>
        <v>126</v>
      </c>
      <c r="O683" s="81" t="s">
        <v>763</v>
      </c>
      <c r="P683" s="81">
        <f t="shared" ref="P683:X683" si="1072">SUM(P679:P682)</f>
        <v>0</v>
      </c>
      <c r="Q683" s="81">
        <f t="shared" si="1072"/>
        <v>864</v>
      </c>
      <c r="R683" s="81">
        <f t="shared" si="1072"/>
        <v>0</v>
      </c>
      <c r="S683" s="81">
        <f t="shared" si="1072"/>
        <v>864</v>
      </c>
      <c r="T683" s="81">
        <f t="shared" si="1072"/>
        <v>0</v>
      </c>
      <c r="U683" s="81">
        <f t="shared" si="1072"/>
        <v>8</v>
      </c>
      <c r="V683" s="81">
        <f t="shared" si="1072"/>
        <v>0</v>
      </c>
      <c r="W683" s="81">
        <f t="shared" si="1072"/>
        <v>2788</v>
      </c>
      <c r="X683" s="81">
        <f t="shared" si="1072"/>
        <v>-8</v>
      </c>
      <c r="Y683" s="81" t="s">
        <v>47</v>
      </c>
      <c r="Z683" s="110" t="s">
        <v>45</v>
      </c>
      <c r="AA683" s="110"/>
      <c r="AB683" s="84"/>
      <c r="AC683" s="136"/>
      <c r="AD683" s="136"/>
      <c r="AE683" s="100">
        <f t="shared" si="1037"/>
        <v>4.7191011235955059E-2</v>
      </c>
      <c r="AF683" s="90"/>
      <c r="AG683" s="109">
        <f t="shared" si="1038"/>
        <v>0</v>
      </c>
      <c r="AH683" s="100">
        <f t="shared" si="1039"/>
        <v>-0.67640449438202244</v>
      </c>
      <c r="AI683" s="100">
        <f t="shared" si="1040"/>
        <v>4.4194756554307116E-2</v>
      </c>
    </row>
    <row r="684" spans="1:35" s="86" customFormat="1" ht="18.75" customHeight="1" x14ac:dyDescent="0.3">
      <c r="A684" s="106"/>
      <c r="B684" s="106" t="s">
        <v>52</v>
      </c>
      <c r="C684" s="118">
        <v>48021</v>
      </c>
      <c r="D684" s="310">
        <v>13251906</v>
      </c>
      <c r="E684" s="157" t="s">
        <v>402</v>
      </c>
      <c r="F684" s="83">
        <v>1012</v>
      </c>
      <c r="G684" s="83"/>
      <c r="H684" s="83"/>
      <c r="I684" s="83"/>
      <c r="J684" s="83"/>
      <c r="K684" s="83"/>
      <c r="L684" s="83">
        <v>180</v>
      </c>
      <c r="M684" s="83">
        <f>989+80</f>
        <v>1069</v>
      </c>
      <c r="N684" s="110">
        <f>M684-F684</f>
        <v>57</v>
      </c>
      <c r="O684" s="110" t="s">
        <v>100</v>
      </c>
      <c r="P684" s="83"/>
      <c r="Q684" s="83"/>
      <c r="R684" s="83"/>
      <c r="S684" s="83"/>
      <c r="T684" s="110">
        <f>S684-Q684</f>
        <v>0</v>
      </c>
      <c r="U684" s="59">
        <f t="shared" si="1036"/>
        <v>16</v>
      </c>
      <c r="V684" s="83">
        <v>1053</v>
      </c>
      <c r="W684" s="83">
        <v>1053</v>
      </c>
      <c r="X684" s="110">
        <f>W684-M684</f>
        <v>-16</v>
      </c>
      <c r="Y684" s="110"/>
      <c r="Z684" s="110"/>
      <c r="AA684" s="110"/>
      <c r="AB684" s="83"/>
      <c r="AC684" s="106"/>
      <c r="AD684" s="106"/>
      <c r="AE684" s="100">
        <f t="shared" si="1037"/>
        <v>5.632411067193676E-2</v>
      </c>
      <c r="AF684" s="90"/>
      <c r="AG684" s="109">
        <f t="shared" si="1038"/>
        <v>0</v>
      </c>
      <c r="AH684" s="100">
        <f t="shared" si="1039"/>
        <v>-1</v>
      </c>
      <c r="AI684" s="100">
        <f t="shared" si="1040"/>
        <v>4.0513833992094864E-2</v>
      </c>
    </row>
    <row r="685" spans="1:35" s="86" customFormat="1" ht="18.75" customHeight="1" x14ac:dyDescent="0.3">
      <c r="A685" s="106"/>
      <c r="B685" s="106" t="s">
        <v>52</v>
      </c>
      <c r="C685" s="118">
        <v>48021</v>
      </c>
      <c r="D685" s="311"/>
      <c r="E685" s="157" t="s">
        <v>202</v>
      </c>
      <c r="F685" s="83">
        <v>877</v>
      </c>
      <c r="G685" s="83"/>
      <c r="H685" s="83"/>
      <c r="I685" s="83"/>
      <c r="J685" s="83"/>
      <c r="K685" s="83"/>
      <c r="L685" s="83"/>
      <c r="M685" s="83">
        <v>923</v>
      </c>
      <c r="N685" s="110">
        <f>M685-F685</f>
        <v>46</v>
      </c>
      <c r="O685" s="110" t="s">
        <v>100</v>
      </c>
      <c r="P685" s="83"/>
      <c r="Q685" s="83">
        <f>919+4</f>
        <v>923</v>
      </c>
      <c r="R685" s="83"/>
      <c r="S685" s="83">
        <v>923</v>
      </c>
      <c r="T685" s="110">
        <f>S685-Q685</f>
        <v>0</v>
      </c>
      <c r="U685" s="59">
        <f t="shared" si="1036"/>
        <v>923</v>
      </c>
      <c r="V685" s="83"/>
      <c r="W685" s="83"/>
      <c r="X685" s="110">
        <f>W685-M685</f>
        <v>-923</v>
      </c>
      <c r="Y685" s="110"/>
      <c r="Z685" s="110"/>
      <c r="AA685" s="110"/>
      <c r="AB685" s="83"/>
      <c r="AC685" s="106"/>
      <c r="AD685" s="106"/>
      <c r="AE685" s="100">
        <f t="shared" ref="AE685" si="1073">N685/F685</f>
        <v>5.2451539338654506E-2</v>
      </c>
      <c r="AF685" s="90"/>
      <c r="AG685" s="109">
        <f t="shared" ref="AG685" si="1074">IF(N685&lt;0,N685,0)</f>
        <v>0</v>
      </c>
      <c r="AH685" s="100">
        <f t="shared" ref="AH685" si="1075">(S685-F685)/F685</f>
        <v>5.2451539338654506E-2</v>
      </c>
      <c r="AI685" s="100">
        <f t="shared" ref="AI685" si="1076">(W685-F685)/F685</f>
        <v>-1</v>
      </c>
    </row>
    <row r="686" spans="1:35" s="86" customFormat="1" ht="18.75" customHeight="1" x14ac:dyDescent="0.3">
      <c r="A686" s="106"/>
      <c r="B686" s="106" t="s">
        <v>52</v>
      </c>
      <c r="C686" s="118">
        <v>48021</v>
      </c>
      <c r="D686" s="311"/>
      <c r="E686" s="157" t="s">
        <v>240</v>
      </c>
      <c r="F686" s="83">
        <v>706</v>
      </c>
      <c r="G686" s="83"/>
      <c r="H686" s="83"/>
      <c r="I686" s="83"/>
      <c r="J686" s="83"/>
      <c r="K686" s="83"/>
      <c r="L686" s="83"/>
      <c r="M686" s="83">
        <v>728</v>
      </c>
      <c r="N686" s="110">
        <f>M686-F686</f>
        <v>22</v>
      </c>
      <c r="O686" s="110" t="s">
        <v>100</v>
      </c>
      <c r="P686" s="83"/>
      <c r="Q686" s="83"/>
      <c r="R686" s="83"/>
      <c r="S686" s="83"/>
      <c r="T686" s="110">
        <f>S686-Q686</f>
        <v>0</v>
      </c>
      <c r="U686" s="59">
        <f t="shared" ref="U686:U753" si="1077">IF(Q686&gt;0,S686-W686,M686-W686)</f>
        <v>728</v>
      </c>
      <c r="V686" s="83"/>
      <c r="W686" s="83"/>
      <c r="X686" s="110">
        <f>W686-M686</f>
        <v>-728</v>
      </c>
      <c r="Y686" s="110"/>
      <c r="Z686" s="110"/>
      <c r="AA686" s="110"/>
      <c r="AB686" s="83"/>
      <c r="AC686" s="106"/>
      <c r="AD686" s="106"/>
      <c r="AE686" s="100">
        <f t="shared" si="1037"/>
        <v>3.1161473087818695E-2</v>
      </c>
      <c r="AF686" s="90"/>
      <c r="AG686" s="109">
        <f t="shared" si="1038"/>
        <v>0</v>
      </c>
      <c r="AH686" s="100">
        <f t="shared" si="1039"/>
        <v>-1</v>
      </c>
      <c r="AI686" s="100">
        <f t="shared" si="1040"/>
        <v>-1</v>
      </c>
    </row>
    <row r="687" spans="1:35" s="82" customFormat="1" ht="16.5" customHeight="1" x14ac:dyDescent="0.3">
      <c r="A687" s="90" t="s">
        <v>46</v>
      </c>
      <c r="B687" s="90" t="s">
        <v>52</v>
      </c>
      <c r="C687" s="137"/>
      <c r="D687" s="90"/>
      <c r="E687" s="80"/>
      <c r="F687" s="81">
        <f>SUM(F684:F686)</f>
        <v>2595</v>
      </c>
      <c r="G687" s="81"/>
      <c r="H687" s="81" t="s">
        <v>50</v>
      </c>
      <c r="I687" s="81"/>
      <c r="J687" s="81" t="s">
        <v>60</v>
      </c>
      <c r="K687" s="85" t="s">
        <v>226</v>
      </c>
      <c r="L687" s="81">
        <f>SUM(L684:L686)</f>
        <v>180</v>
      </c>
      <c r="M687" s="81">
        <f>SUM(M684:M686)</f>
        <v>2720</v>
      </c>
      <c r="N687" s="81">
        <f>SUM(N684:N686)</f>
        <v>125</v>
      </c>
      <c r="O687" s="81" t="s">
        <v>758</v>
      </c>
      <c r="P687" s="81">
        <f t="shared" ref="P687:X687" si="1078">SUM(P684:P686)</f>
        <v>0</v>
      </c>
      <c r="Q687" s="81">
        <f t="shared" si="1078"/>
        <v>923</v>
      </c>
      <c r="R687" s="81">
        <f t="shared" si="1078"/>
        <v>0</v>
      </c>
      <c r="S687" s="81">
        <f t="shared" si="1078"/>
        <v>923</v>
      </c>
      <c r="T687" s="81">
        <f t="shared" si="1078"/>
        <v>0</v>
      </c>
      <c r="U687" s="59">
        <f t="shared" si="1078"/>
        <v>1667</v>
      </c>
      <c r="V687" s="81">
        <f t="shared" si="1078"/>
        <v>1053</v>
      </c>
      <c r="W687" s="81">
        <f t="shared" si="1078"/>
        <v>1053</v>
      </c>
      <c r="X687" s="81">
        <f t="shared" si="1078"/>
        <v>-1667</v>
      </c>
      <c r="Y687" s="81" t="s">
        <v>47</v>
      </c>
      <c r="Z687" s="110" t="s">
        <v>45</v>
      </c>
      <c r="AA687" s="110"/>
      <c r="AB687" s="84"/>
      <c r="AC687" s="136"/>
      <c r="AD687" s="136"/>
      <c r="AE687" s="100">
        <f t="shared" si="1037"/>
        <v>4.8169556840077073E-2</v>
      </c>
      <c r="AF687" s="90"/>
      <c r="AG687" s="109">
        <f t="shared" si="1038"/>
        <v>0</v>
      </c>
      <c r="AH687" s="100">
        <f t="shared" si="1039"/>
        <v>-0.64431599229287095</v>
      </c>
      <c r="AI687" s="100">
        <f t="shared" si="1040"/>
        <v>-0.59421965317919079</v>
      </c>
    </row>
    <row r="688" spans="1:35" s="86" customFormat="1" ht="18.75" customHeight="1" x14ac:dyDescent="0.3">
      <c r="A688" s="106"/>
      <c r="B688" s="106" t="s">
        <v>52</v>
      </c>
      <c r="C688" s="118">
        <v>48018</v>
      </c>
      <c r="D688" s="310">
        <v>13253735</v>
      </c>
      <c r="E688" s="157" t="s">
        <v>458</v>
      </c>
      <c r="F688" s="83">
        <v>405</v>
      </c>
      <c r="G688" s="83"/>
      <c r="H688" s="83"/>
      <c r="I688" s="83"/>
      <c r="J688" s="83"/>
      <c r="K688" s="83"/>
      <c r="L688" s="83"/>
      <c r="M688" s="83">
        <v>426</v>
      </c>
      <c r="N688" s="110">
        <f>M688-F688</f>
        <v>21</v>
      </c>
      <c r="O688" s="110" t="s">
        <v>100</v>
      </c>
      <c r="P688" s="83"/>
      <c r="Q688" s="83">
        <f>426</f>
        <v>426</v>
      </c>
      <c r="R688" s="83"/>
      <c r="S688" s="83">
        <v>426</v>
      </c>
      <c r="T688" s="110">
        <f>S688-Q688</f>
        <v>0</v>
      </c>
      <c r="U688" s="59">
        <f t="shared" si="1077"/>
        <v>0</v>
      </c>
      <c r="V688" s="83"/>
      <c r="W688" s="83">
        <v>426</v>
      </c>
      <c r="X688" s="110">
        <f>W688-M688</f>
        <v>0</v>
      </c>
      <c r="Y688" s="110"/>
      <c r="Z688" s="110"/>
      <c r="AA688" s="110"/>
      <c r="AB688" s="83"/>
      <c r="AC688" s="106"/>
      <c r="AD688" s="106"/>
      <c r="AE688" s="100">
        <f t="shared" ref="AE688:AE927" si="1079">N688/F688</f>
        <v>5.185185185185185E-2</v>
      </c>
      <c r="AF688" s="90"/>
      <c r="AG688" s="109">
        <f t="shared" ref="AG688:AG927" si="1080">IF(N688&lt;0,N688,0)</f>
        <v>0</v>
      </c>
      <c r="AH688" s="100">
        <f t="shared" ref="AH688:AH927" si="1081">(S688-F688)/F688</f>
        <v>5.185185185185185E-2</v>
      </c>
      <c r="AI688" s="100">
        <f t="shared" ref="AI688:AI927" si="1082">(W688-F688)/F688</f>
        <v>5.185185185185185E-2</v>
      </c>
    </row>
    <row r="689" spans="1:35" s="86" customFormat="1" ht="18.75" customHeight="1" x14ac:dyDescent="0.3">
      <c r="A689" s="106"/>
      <c r="B689" s="106" t="s">
        <v>52</v>
      </c>
      <c r="C689" s="118">
        <v>48018</v>
      </c>
      <c r="D689" s="311"/>
      <c r="E689" s="157" t="s">
        <v>459</v>
      </c>
      <c r="F689" s="83">
        <v>405</v>
      </c>
      <c r="G689" s="83"/>
      <c r="H689" s="83"/>
      <c r="I689" s="83"/>
      <c r="J689" s="83"/>
      <c r="K689" s="83"/>
      <c r="L689" s="83"/>
      <c r="M689" s="83">
        <f>426</f>
        <v>426</v>
      </c>
      <c r="N689" s="110">
        <f>M689-F689</f>
        <v>21</v>
      </c>
      <c r="O689" s="110" t="s">
        <v>100</v>
      </c>
      <c r="P689" s="83"/>
      <c r="Q689" s="83">
        <v>426</v>
      </c>
      <c r="R689" s="83"/>
      <c r="S689" s="83">
        <v>426</v>
      </c>
      <c r="T689" s="110">
        <f>S689-Q689</f>
        <v>0</v>
      </c>
      <c r="U689" s="59">
        <f t="shared" si="1077"/>
        <v>2</v>
      </c>
      <c r="V689" s="83"/>
      <c r="W689" s="83">
        <v>424</v>
      </c>
      <c r="X689" s="110">
        <f>W689-M689</f>
        <v>-2</v>
      </c>
      <c r="Y689" s="110"/>
      <c r="Z689" s="110"/>
      <c r="AA689" s="110"/>
      <c r="AB689" s="83"/>
      <c r="AC689" s="106"/>
      <c r="AD689" s="106"/>
      <c r="AE689" s="100">
        <f t="shared" si="1079"/>
        <v>5.185185185185185E-2</v>
      </c>
      <c r="AF689" s="90"/>
      <c r="AG689" s="109">
        <f t="shared" si="1080"/>
        <v>0</v>
      </c>
      <c r="AH689" s="100">
        <f t="shared" si="1081"/>
        <v>5.185185185185185E-2</v>
      </c>
      <c r="AI689" s="100">
        <f t="shared" si="1082"/>
        <v>4.6913580246913583E-2</v>
      </c>
    </row>
    <row r="690" spans="1:35" s="82" customFormat="1" ht="16.5" customHeight="1" x14ac:dyDescent="0.3">
      <c r="A690" s="90" t="s">
        <v>46</v>
      </c>
      <c r="B690" s="90" t="s">
        <v>52</v>
      </c>
      <c r="C690" s="137"/>
      <c r="D690" s="90"/>
      <c r="E690" s="80"/>
      <c r="F690" s="81">
        <f>SUM(F688:F689)</f>
        <v>810</v>
      </c>
      <c r="G690" s="81"/>
      <c r="H690" s="81" t="s">
        <v>50</v>
      </c>
      <c r="I690" s="81"/>
      <c r="J690" s="81" t="s">
        <v>60</v>
      </c>
      <c r="K690" s="85" t="s">
        <v>226</v>
      </c>
      <c r="L690" s="81">
        <f>SUM(L688:L689)</f>
        <v>0</v>
      </c>
      <c r="M690" s="81">
        <f>SUM(M688:M689)</f>
        <v>852</v>
      </c>
      <c r="N690" s="81">
        <f>SUM(N688:N689)</f>
        <v>42</v>
      </c>
      <c r="O690" s="81" t="s">
        <v>248</v>
      </c>
      <c r="P690" s="81">
        <f>SUM(P688:P689)</f>
        <v>0</v>
      </c>
      <c r="Q690" s="81">
        <f>SUM(Q688:Q689)</f>
        <v>852</v>
      </c>
      <c r="R690" s="81">
        <f>SUM(R688:R689)</f>
        <v>0</v>
      </c>
      <c r="S690" s="81">
        <f>SUM(S688:S689)</f>
        <v>852</v>
      </c>
      <c r="T690" s="81">
        <f>SUM(T688:T689)</f>
        <v>0</v>
      </c>
      <c r="U690" s="59">
        <f t="shared" si="1077"/>
        <v>2</v>
      </c>
      <c r="V690" s="81">
        <f>SUM(V688:V689)</f>
        <v>0</v>
      </c>
      <c r="W690" s="81">
        <f>SUM(W688:W689)</f>
        <v>850</v>
      </c>
      <c r="X690" s="81">
        <f>SUM(X688:X689)</f>
        <v>-2</v>
      </c>
      <c r="Y690" s="81" t="s">
        <v>47</v>
      </c>
      <c r="Z690" s="110" t="s">
        <v>45</v>
      </c>
      <c r="AA690" s="110"/>
      <c r="AB690" s="84"/>
      <c r="AC690" s="136"/>
      <c r="AD690" s="136"/>
      <c r="AE690" s="100">
        <f t="shared" si="1079"/>
        <v>5.185185185185185E-2</v>
      </c>
      <c r="AF690" s="90"/>
      <c r="AG690" s="109">
        <f t="shared" si="1080"/>
        <v>0</v>
      </c>
      <c r="AH690" s="100">
        <f t="shared" si="1081"/>
        <v>5.185185185185185E-2</v>
      </c>
      <c r="AI690" s="100">
        <f t="shared" si="1082"/>
        <v>4.9382716049382713E-2</v>
      </c>
    </row>
    <row r="691" spans="1:35" s="86" customFormat="1" ht="18.75" customHeight="1" x14ac:dyDescent="0.3">
      <c r="A691" s="106"/>
      <c r="B691" s="106" t="s">
        <v>52</v>
      </c>
      <c r="C691" s="118">
        <v>48016</v>
      </c>
      <c r="D691" s="310">
        <v>13266985</v>
      </c>
      <c r="E691" s="157" t="s">
        <v>408</v>
      </c>
      <c r="F691" s="83">
        <v>510</v>
      </c>
      <c r="G691" s="83"/>
      <c r="H691" s="83"/>
      <c r="I691" s="83"/>
      <c r="J691" s="83"/>
      <c r="K691" s="83"/>
      <c r="L691" s="83"/>
      <c r="M691" s="83">
        <v>548</v>
      </c>
      <c r="N691" s="110">
        <f>M691-F691</f>
        <v>38</v>
      </c>
      <c r="O691" s="110" t="s">
        <v>100</v>
      </c>
      <c r="P691" s="83"/>
      <c r="Q691" s="83">
        <f>528+20</f>
        <v>548</v>
      </c>
      <c r="R691" s="83"/>
      <c r="S691" s="83">
        <f>523+20</f>
        <v>543</v>
      </c>
      <c r="T691" s="110">
        <f>S691-Q691</f>
        <v>-5</v>
      </c>
      <c r="U691" s="59">
        <f t="shared" si="1077"/>
        <v>1</v>
      </c>
      <c r="V691" s="83"/>
      <c r="W691" s="83">
        <f>522+20</f>
        <v>542</v>
      </c>
      <c r="X691" s="110">
        <f>W691-M691</f>
        <v>-6</v>
      </c>
      <c r="Y691" s="110"/>
      <c r="Z691" s="110"/>
      <c r="AA691" s="110"/>
      <c r="AB691" s="83"/>
      <c r="AC691" s="106"/>
      <c r="AD691" s="106"/>
      <c r="AE691" s="100">
        <f t="shared" si="1079"/>
        <v>7.4509803921568626E-2</v>
      </c>
      <c r="AF691" s="90"/>
      <c r="AG691" s="109">
        <f t="shared" si="1080"/>
        <v>0</v>
      </c>
      <c r="AH691" s="100">
        <f t="shared" si="1081"/>
        <v>6.4705882352941183E-2</v>
      </c>
      <c r="AI691" s="100">
        <f t="shared" si="1082"/>
        <v>6.2745098039215685E-2</v>
      </c>
    </row>
    <row r="692" spans="1:35" s="86" customFormat="1" ht="18.75" customHeight="1" x14ac:dyDescent="0.3">
      <c r="A692" s="106"/>
      <c r="B692" s="106" t="s">
        <v>52</v>
      </c>
      <c r="C692" s="118">
        <v>48016</v>
      </c>
      <c r="D692" s="311"/>
      <c r="E692" s="157" t="s">
        <v>451</v>
      </c>
      <c r="F692" s="83">
        <v>510</v>
      </c>
      <c r="G692" s="83"/>
      <c r="H692" s="83"/>
      <c r="I692" s="83"/>
      <c r="J692" s="83"/>
      <c r="K692" s="83"/>
      <c r="L692" s="83"/>
      <c r="M692" s="83">
        <v>540</v>
      </c>
      <c r="N692" s="110">
        <f>M692-F692</f>
        <v>30</v>
      </c>
      <c r="O692" s="110" t="s">
        <v>100</v>
      </c>
      <c r="P692" s="83"/>
      <c r="Q692" s="83">
        <v>540</v>
      </c>
      <c r="R692" s="83"/>
      <c r="S692" s="83">
        <f>533+4</f>
        <v>537</v>
      </c>
      <c r="T692" s="110">
        <f>S692-Q692</f>
        <v>-3</v>
      </c>
      <c r="U692" s="59">
        <f t="shared" si="1077"/>
        <v>0</v>
      </c>
      <c r="V692" s="83"/>
      <c r="W692" s="83">
        <v>537</v>
      </c>
      <c r="X692" s="110">
        <f>W692-M692</f>
        <v>-3</v>
      </c>
      <c r="Y692" s="110"/>
      <c r="Z692" s="110"/>
      <c r="AA692" s="110"/>
      <c r="AB692" s="83"/>
      <c r="AC692" s="106"/>
      <c r="AD692" s="106"/>
      <c r="AE692" s="100">
        <f t="shared" si="1079"/>
        <v>5.8823529411764705E-2</v>
      </c>
      <c r="AF692" s="90"/>
      <c r="AG692" s="109">
        <f t="shared" si="1080"/>
        <v>0</v>
      </c>
      <c r="AH692" s="100">
        <f t="shared" si="1081"/>
        <v>5.2941176470588235E-2</v>
      </c>
      <c r="AI692" s="100">
        <f t="shared" si="1082"/>
        <v>5.2941176470588235E-2</v>
      </c>
    </row>
    <row r="693" spans="1:35" s="82" customFormat="1" ht="16.5" customHeight="1" x14ac:dyDescent="0.3">
      <c r="A693" s="90" t="s">
        <v>46</v>
      </c>
      <c r="B693" s="90" t="s">
        <v>52</v>
      </c>
      <c r="C693" s="137"/>
      <c r="D693" s="90"/>
      <c r="E693" s="80"/>
      <c r="F693" s="81">
        <f>SUM(F691:F692)</f>
        <v>1020</v>
      </c>
      <c r="G693" s="81"/>
      <c r="H693" s="81" t="s">
        <v>50</v>
      </c>
      <c r="I693" s="81"/>
      <c r="J693" s="81" t="s">
        <v>60</v>
      </c>
      <c r="K693" s="85" t="s">
        <v>226</v>
      </c>
      <c r="L693" s="81">
        <f>SUM(L691:L692)</f>
        <v>0</v>
      </c>
      <c r="M693" s="81">
        <f>SUM(M691:M692)</f>
        <v>1088</v>
      </c>
      <c r="N693" s="81">
        <f>SUM(N691:N692)</f>
        <v>68</v>
      </c>
      <c r="O693" s="81" t="s">
        <v>504</v>
      </c>
      <c r="P693" s="81">
        <f>SUM(P691:P692)</f>
        <v>0</v>
      </c>
      <c r="Q693" s="81">
        <f>SUM(Q691:Q692)</f>
        <v>1088</v>
      </c>
      <c r="R693" s="81">
        <f>SUM(R691:R692)</f>
        <v>0</v>
      </c>
      <c r="S693" s="81">
        <f>SUM(S691:S692)</f>
        <v>1080</v>
      </c>
      <c r="T693" s="81">
        <f>SUM(T691:T692)</f>
        <v>-8</v>
      </c>
      <c r="U693" s="59">
        <f t="shared" si="1077"/>
        <v>1</v>
      </c>
      <c r="V693" s="81">
        <f>SUM(V691:V692)</f>
        <v>0</v>
      </c>
      <c r="W693" s="81">
        <f>SUM(W691:W692)</f>
        <v>1079</v>
      </c>
      <c r="X693" s="81">
        <f>SUM(X691:X692)</f>
        <v>-9</v>
      </c>
      <c r="Y693" s="81" t="s">
        <v>47</v>
      </c>
      <c r="Z693" s="110" t="s">
        <v>45</v>
      </c>
      <c r="AA693" s="110"/>
      <c r="AB693" s="84"/>
      <c r="AC693" s="136"/>
      <c r="AD693" s="136"/>
      <c r="AE693" s="100">
        <f t="shared" si="1079"/>
        <v>6.6666666666666666E-2</v>
      </c>
      <c r="AF693" s="90"/>
      <c r="AG693" s="109">
        <f t="shared" si="1080"/>
        <v>0</v>
      </c>
      <c r="AH693" s="100">
        <f t="shared" si="1081"/>
        <v>5.8823529411764705E-2</v>
      </c>
      <c r="AI693" s="100">
        <f t="shared" si="1082"/>
        <v>5.7843137254901963E-2</v>
      </c>
    </row>
    <row r="694" spans="1:35" s="86" customFormat="1" ht="18.75" customHeight="1" x14ac:dyDescent="0.3">
      <c r="A694" s="106"/>
      <c r="B694" s="106" t="s">
        <v>52</v>
      </c>
      <c r="C694" s="118">
        <v>48057</v>
      </c>
      <c r="D694" s="310">
        <v>13263652</v>
      </c>
      <c r="E694" s="157" t="s">
        <v>157</v>
      </c>
      <c r="F694" s="83">
        <v>3482</v>
      </c>
      <c r="G694" s="83"/>
      <c r="H694" s="83"/>
      <c r="I694" s="83"/>
      <c r="J694" s="83"/>
      <c r="K694" s="83"/>
      <c r="L694" s="83"/>
      <c r="M694" s="83">
        <f>560+2117+877</f>
        <v>3554</v>
      </c>
      <c r="N694" s="110">
        <f>M694-F694</f>
        <v>72</v>
      </c>
      <c r="O694" s="110" t="s">
        <v>100</v>
      </c>
      <c r="P694" s="83"/>
      <c r="Q694" s="83">
        <f>2310+1244</f>
        <v>3554</v>
      </c>
      <c r="R694" s="83">
        <v>47</v>
      </c>
      <c r="S694" s="83">
        <f>1930+1015+490+47</f>
        <v>3482</v>
      </c>
      <c r="T694" s="110">
        <f>S694-Q694</f>
        <v>-72</v>
      </c>
      <c r="U694" s="59">
        <f t="shared" si="1077"/>
        <v>3482</v>
      </c>
      <c r="V694" s="83"/>
      <c r="W694" s="83"/>
      <c r="X694" s="110">
        <f>W694-M694</f>
        <v>-3554</v>
      </c>
      <c r="Y694" s="110"/>
      <c r="Z694" s="110"/>
      <c r="AA694" s="110"/>
      <c r="AB694" s="83"/>
      <c r="AC694" s="106"/>
      <c r="AD694" s="106"/>
      <c r="AE694" s="100">
        <f t="shared" ref="AE694:AE696" si="1083">N694/F694</f>
        <v>2.067777139574957E-2</v>
      </c>
      <c r="AF694" s="90"/>
      <c r="AG694" s="109">
        <f t="shared" ref="AG694:AG696" si="1084">IF(N694&lt;0,N694,0)</f>
        <v>0</v>
      </c>
      <c r="AH694" s="100">
        <f t="shared" ref="AH694:AH696" si="1085">(S694-F694)/F694</f>
        <v>0</v>
      </c>
      <c r="AI694" s="100">
        <f t="shared" ref="AI694:AI696" si="1086">(W694-F694)/F694</f>
        <v>-1</v>
      </c>
    </row>
    <row r="695" spans="1:35" s="86" customFormat="1" ht="18.75" customHeight="1" x14ac:dyDescent="0.3">
      <c r="A695" s="106"/>
      <c r="B695" s="106" t="s">
        <v>52</v>
      </c>
      <c r="C695" s="118">
        <v>48057</v>
      </c>
      <c r="D695" s="311"/>
      <c r="E695" s="157" t="s">
        <v>364</v>
      </c>
      <c r="F695" s="83">
        <v>2126</v>
      </c>
      <c r="G695" s="83"/>
      <c r="H695" s="83"/>
      <c r="I695" s="83"/>
      <c r="J695" s="83"/>
      <c r="K695" s="83"/>
      <c r="L695" s="83"/>
      <c r="M695" s="83">
        <f>868+1137+123+111</f>
        <v>2239</v>
      </c>
      <c r="N695" s="110">
        <f>M695-F695</f>
        <v>113</v>
      </c>
      <c r="O695" s="110" t="s">
        <v>100</v>
      </c>
      <c r="P695" s="83"/>
      <c r="Q695" s="83">
        <f>1750+223+115+111</f>
        <v>2199</v>
      </c>
      <c r="R695" s="83">
        <v>1038</v>
      </c>
      <c r="S695" s="83">
        <f>1038</f>
        <v>1038</v>
      </c>
      <c r="T695" s="110">
        <f>S695-Q695</f>
        <v>-1161</v>
      </c>
      <c r="U695" s="59">
        <f t="shared" si="1077"/>
        <v>1038</v>
      </c>
      <c r="V695" s="83"/>
      <c r="W695" s="83"/>
      <c r="X695" s="110">
        <f>W695-M695</f>
        <v>-2239</v>
      </c>
      <c r="Y695" s="110"/>
      <c r="Z695" s="110"/>
      <c r="AA695" s="110"/>
      <c r="AB695" s="83"/>
      <c r="AC695" s="106"/>
      <c r="AD695" s="106"/>
      <c r="AE695" s="100">
        <f t="shared" si="1083"/>
        <v>5.3151458137347132E-2</v>
      </c>
      <c r="AF695" s="90"/>
      <c r="AG695" s="109">
        <f t="shared" si="1084"/>
        <v>0</v>
      </c>
      <c r="AH695" s="100">
        <f t="shared" si="1085"/>
        <v>-0.51175917215428035</v>
      </c>
      <c r="AI695" s="100">
        <f t="shared" si="1086"/>
        <v>-1</v>
      </c>
    </row>
    <row r="696" spans="1:35" s="82" customFormat="1" ht="16.5" customHeight="1" x14ac:dyDescent="0.3">
      <c r="A696" s="90" t="s">
        <v>46</v>
      </c>
      <c r="B696" s="90" t="s">
        <v>52</v>
      </c>
      <c r="C696" s="137"/>
      <c r="D696" s="90"/>
      <c r="E696" s="80"/>
      <c r="F696" s="81">
        <f>SUM(F694:F695)</f>
        <v>5608</v>
      </c>
      <c r="G696" s="81"/>
      <c r="H696" s="81" t="s">
        <v>50</v>
      </c>
      <c r="I696" s="81"/>
      <c r="J696" s="81" t="s">
        <v>60</v>
      </c>
      <c r="K696" s="85" t="s">
        <v>226</v>
      </c>
      <c r="L696" s="81">
        <f>SUM(L694:L695)</f>
        <v>0</v>
      </c>
      <c r="M696" s="81">
        <f>SUM(M694:M695)</f>
        <v>5793</v>
      </c>
      <c r="N696" s="81">
        <f>SUM(N694:N695)</f>
        <v>185</v>
      </c>
      <c r="O696" s="81"/>
      <c r="P696" s="81">
        <f>SUM(P694:P695)</f>
        <v>0</v>
      </c>
      <c r="Q696" s="81">
        <f>SUM(Q694:Q695)</f>
        <v>5753</v>
      </c>
      <c r="R696" s="81">
        <f>SUM(R694:R695)</f>
        <v>1085</v>
      </c>
      <c r="S696" s="81">
        <f>SUM(S694:S695)</f>
        <v>4520</v>
      </c>
      <c r="T696" s="81">
        <f>SUM(T694:T695)</f>
        <v>-1233</v>
      </c>
      <c r="U696" s="59">
        <f t="shared" si="1077"/>
        <v>4520</v>
      </c>
      <c r="V696" s="81">
        <f>SUM(V694:V695)</f>
        <v>0</v>
      </c>
      <c r="W696" s="81">
        <f>SUM(W694:W695)</f>
        <v>0</v>
      </c>
      <c r="X696" s="81">
        <f>SUM(X694:X695)</f>
        <v>-5793</v>
      </c>
      <c r="Y696" s="81" t="s">
        <v>47</v>
      </c>
      <c r="Z696" s="110" t="s">
        <v>45</v>
      </c>
      <c r="AA696" s="110"/>
      <c r="AB696" s="84"/>
      <c r="AC696" s="136"/>
      <c r="AD696" s="136"/>
      <c r="AE696" s="100">
        <f t="shared" si="1083"/>
        <v>3.2988587731811694E-2</v>
      </c>
      <c r="AF696" s="90"/>
      <c r="AG696" s="109">
        <f t="shared" si="1084"/>
        <v>0</v>
      </c>
      <c r="AH696" s="100">
        <f t="shared" si="1085"/>
        <v>-0.19400855920114124</v>
      </c>
      <c r="AI696" s="100">
        <f t="shared" si="1086"/>
        <v>-1</v>
      </c>
    </row>
    <row r="697" spans="1:35" s="86" customFormat="1" ht="18.75" customHeight="1" x14ac:dyDescent="0.3">
      <c r="A697" s="106"/>
      <c r="B697" s="106" t="s">
        <v>52</v>
      </c>
      <c r="C697" s="118">
        <v>48063</v>
      </c>
      <c r="D697" s="310">
        <v>13264487</v>
      </c>
      <c r="E697" s="157" t="s">
        <v>402</v>
      </c>
      <c r="F697" s="83">
        <v>2694</v>
      </c>
      <c r="G697" s="83"/>
      <c r="H697" s="83"/>
      <c r="I697" s="83"/>
      <c r="J697" s="83"/>
      <c r="K697" s="83"/>
      <c r="L697" s="83"/>
      <c r="M697" s="83"/>
      <c r="N697" s="110">
        <f>M697-F697</f>
        <v>-2694</v>
      </c>
      <c r="O697" s="110" t="s">
        <v>100</v>
      </c>
      <c r="P697" s="83"/>
      <c r="Q697" s="83"/>
      <c r="R697" s="83"/>
      <c r="S697" s="83"/>
      <c r="T697" s="110">
        <f>S697-Q697</f>
        <v>0</v>
      </c>
      <c r="U697" s="59">
        <f t="shared" si="1077"/>
        <v>0</v>
      </c>
      <c r="V697" s="83"/>
      <c r="W697" s="83"/>
      <c r="X697" s="110">
        <f>W697-M697</f>
        <v>0</v>
      </c>
      <c r="Y697" s="110"/>
      <c r="Z697" s="110"/>
      <c r="AA697" s="110"/>
      <c r="AB697" s="83"/>
      <c r="AC697" s="106"/>
      <c r="AD697" s="106"/>
      <c r="AE697" s="100">
        <f t="shared" si="1079"/>
        <v>-1</v>
      </c>
      <c r="AF697" s="90"/>
      <c r="AG697" s="109">
        <f t="shared" si="1080"/>
        <v>-2694</v>
      </c>
      <c r="AH697" s="100">
        <f t="shared" si="1081"/>
        <v>-1</v>
      </c>
      <c r="AI697" s="100">
        <f t="shared" si="1082"/>
        <v>-1</v>
      </c>
    </row>
    <row r="698" spans="1:35" s="86" customFormat="1" ht="18.75" customHeight="1" x14ac:dyDescent="0.3">
      <c r="A698" s="106"/>
      <c r="B698" s="106" t="s">
        <v>52</v>
      </c>
      <c r="C698" s="118">
        <v>48063</v>
      </c>
      <c r="D698" s="311"/>
      <c r="E698" s="157" t="s">
        <v>123</v>
      </c>
      <c r="F698" s="83">
        <v>2014</v>
      </c>
      <c r="G698" s="83"/>
      <c r="H698" s="83"/>
      <c r="I698" s="83"/>
      <c r="J698" s="83"/>
      <c r="K698" s="83"/>
      <c r="L698" s="83"/>
      <c r="M698" s="83"/>
      <c r="N698" s="110">
        <f>M698-F698</f>
        <v>-2014</v>
      </c>
      <c r="O698" s="110" t="s">
        <v>100</v>
      </c>
      <c r="P698" s="83"/>
      <c r="Q698" s="83"/>
      <c r="R698" s="83"/>
      <c r="S698" s="83"/>
      <c r="T698" s="110">
        <f>S698-Q698</f>
        <v>0</v>
      </c>
      <c r="U698" s="59">
        <f t="shared" si="1077"/>
        <v>0</v>
      </c>
      <c r="V698" s="83"/>
      <c r="W698" s="83"/>
      <c r="X698" s="110">
        <f>W698-M698</f>
        <v>0</v>
      </c>
      <c r="Y698" s="110"/>
      <c r="Z698" s="110"/>
      <c r="AA698" s="110"/>
      <c r="AB698" s="83"/>
      <c r="AC698" s="106"/>
      <c r="AD698" s="106"/>
      <c r="AE698" s="100">
        <f t="shared" si="1079"/>
        <v>-1</v>
      </c>
      <c r="AF698" s="90"/>
      <c r="AG698" s="109">
        <f t="shared" si="1080"/>
        <v>-2014</v>
      </c>
      <c r="AH698" s="100">
        <f t="shared" si="1081"/>
        <v>-1</v>
      </c>
      <c r="AI698" s="100">
        <f t="shared" si="1082"/>
        <v>-1</v>
      </c>
    </row>
    <row r="699" spans="1:35" s="82" customFormat="1" ht="16.5" customHeight="1" x14ac:dyDescent="0.3">
      <c r="A699" s="90" t="s">
        <v>46</v>
      </c>
      <c r="B699" s="90" t="s">
        <v>52</v>
      </c>
      <c r="C699" s="137"/>
      <c r="D699" s="90"/>
      <c r="E699" s="80"/>
      <c r="F699" s="81">
        <f>SUM(F697:F698)</f>
        <v>4708</v>
      </c>
      <c r="G699" s="81"/>
      <c r="H699" s="81" t="s">
        <v>50</v>
      </c>
      <c r="I699" s="81"/>
      <c r="J699" s="81" t="s">
        <v>60</v>
      </c>
      <c r="K699" s="85" t="s">
        <v>330</v>
      </c>
      <c r="L699" s="81">
        <f>SUM(L697:L698)</f>
        <v>0</v>
      </c>
      <c r="M699" s="81">
        <f>SUM(M697:M698)</f>
        <v>0</v>
      </c>
      <c r="N699" s="81">
        <f>SUM(N697:N698)</f>
        <v>-4708</v>
      </c>
      <c r="O699" s="81"/>
      <c r="P699" s="81">
        <f>SUM(P697:P698)</f>
        <v>0</v>
      </c>
      <c r="Q699" s="81">
        <f>SUM(Q697:Q698)</f>
        <v>0</v>
      </c>
      <c r="R699" s="81">
        <f>SUM(R697:R698)</f>
        <v>0</v>
      </c>
      <c r="S699" s="81">
        <f>SUM(S697:S698)</f>
        <v>0</v>
      </c>
      <c r="T699" s="81">
        <f>SUM(T697:T698)</f>
        <v>0</v>
      </c>
      <c r="U699" s="59">
        <f t="shared" si="1077"/>
        <v>0</v>
      </c>
      <c r="V699" s="81">
        <f>SUM(V697:V698)</f>
        <v>0</v>
      </c>
      <c r="W699" s="81">
        <f>SUM(W697:W698)</f>
        <v>0</v>
      </c>
      <c r="X699" s="81">
        <f>SUM(X697:X698)</f>
        <v>0</v>
      </c>
      <c r="Y699" s="81" t="s">
        <v>47</v>
      </c>
      <c r="Z699" s="110" t="s">
        <v>45</v>
      </c>
      <c r="AA699" s="110"/>
      <c r="AB699" s="84"/>
      <c r="AC699" s="136"/>
      <c r="AD699" s="136"/>
      <c r="AE699" s="100">
        <f t="shared" si="1079"/>
        <v>-1</v>
      </c>
      <c r="AF699" s="90"/>
      <c r="AG699" s="109">
        <f t="shared" si="1080"/>
        <v>-4708</v>
      </c>
      <c r="AH699" s="100">
        <f t="shared" si="1081"/>
        <v>-1</v>
      </c>
      <c r="AI699" s="100">
        <f t="shared" si="1082"/>
        <v>-1</v>
      </c>
    </row>
    <row r="700" spans="1:35" s="86" customFormat="1" ht="18.75" customHeight="1" x14ac:dyDescent="0.3">
      <c r="A700" s="106"/>
      <c r="B700" s="106" t="s">
        <v>52</v>
      </c>
      <c r="C700" s="118">
        <v>48061</v>
      </c>
      <c r="D700" s="310">
        <v>13264486</v>
      </c>
      <c r="E700" s="157" t="s">
        <v>402</v>
      </c>
      <c r="F700" s="83">
        <v>2533</v>
      </c>
      <c r="G700" s="83"/>
      <c r="H700" s="83"/>
      <c r="I700" s="83"/>
      <c r="J700" s="83"/>
      <c r="K700" s="83"/>
      <c r="L700" s="83"/>
      <c r="M700" s="83"/>
      <c r="N700" s="110">
        <f>M700-F700</f>
        <v>-2533</v>
      </c>
      <c r="O700" s="110" t="s">
        <v>100</v>
      </c>
      <c r="P700" s="83"/>
      <c r="Q700" s="83"/>
      <c r="R700" s="83"/>
      <c r="S700" s="83"/>
      <c r="T700" s="110">
        <f>S700-Q700</f>
        <v>0</v>
      </c>
      <c r="U700" s="59">
        <f t="shared" si="1077"/>
        <v>0</v>
      </c>
      <c r="V700" s="83"/>
      <c r="W700" s="83"/>
      <c r="X700" s="110">
        <f>W700-M700</f>
        <v>0</v>
      </c>
      <c r="Y700" s="110"/>
      <c r="Z700" s="110"/>
      <c r="AA700" s="110"/>
      <c r="AB700" s="83"/>
      <c r="AC700" s="106"/>
      <c r="AD700" s="106"/>
      <c r="AE700" s="100">
        <f t="shared" ref="AE700:AE705" si="1087">N700/F700</f>
        <v>-1</v>
      </c>
      <c r="AF700" s="90"/>
      <c r="AG700" s="109">
        <f t="shared" ref="AG700:AG705" si="1088">IF(N700&lt;0,N700,0)</f>
        <v>-2533</v>
      </c>
      <c r="AH700" s="100">
        <f t="shared" ref="AH700:AH705" si="1089">(S700-F700)/F700</f>
        <v>-1</v>
      </c>
      <c r="AI700" s="100">
        <f t="shared" ref="AI700:AI705" si="1090">(W700-F700)/F700</f>
        <v>-1</v>
      </c>
    </row>
    <row r="701" spans="1:35" s="86" customFormat="1" ht="18.75" customHeight="1" x14ac:dyDescent="0.3">
      <c r="A701" s="106"/>
      <c r="B701" s="106" t="s">
        <v>52</v>
      </c>
      <c r="C701" s="118">
        <v>48061</v>
      </c>
      <c r="D701" s="311"/>
      <c r="E701" s="157" t="s">
        <v>123</v>
      </c>
      <c r="F701" s="83">
        <v>1838</v>
      </c>
      <c r="G701" s="83"/>
      <c r="H701" s="83"/>
      <c r="I701" s="83"/>
      <c r="J701" s="83"/>
      <c r="K701" s="83"/>
      <c r="L701" s="83"/>
      <c r="M701" s="83"/>
      <c r="N701" s="110">
        <f>M701-F701</f>
        <v>-1838</v>
      </c>
      <c r="O701" s="110" t="s">
        <v>100</v>
      </c>
      <c r="P701" s="83"/>
      <c r="Q701" s="83"/>
      <c r="R701" s="83"/>
      <c r="S701" s="83"/>
      <c r="T701" s="110">
        <f>S701-Q701</f>
        <v>0</v>
      </c>
      <c r="U701" s="59">
        <f t="shared" si="1077"/>
        <v>0</v>
      </c>
      <c r="V701" s="83"/>
      <c r="W701" s="83"/>
      <c r="X701" s="110">
        <f>W701-M701</f>
        <v>0</v>
      </c>
      <c r="Y701" s="110"/>
      <c r="Z701" s="110"/>
      <c r="AA701" s="110"/>
      <c r="AB701" s="83"/>
      <c r="AC701" s="106"/>
      <c r="AD701" s="106"/>
      <c r="AE701" s="100">
        <f t="shared" si="1087"/>
        <v>-1</v>
      </c>
      <c r="AF701" s="90"/>
      <c r="AG701" s="109">
        <f t="shared" si="1088"/>
        <v>-1838</v>
      </c>
      <c r="AH701" s="100">
        <f t="shared" si="1089"/>
        <v>-1</v>
      </c>
      <c r="AI701" s="100">
        <f t="shared" si="1090"/>
        <v>-1</v>
      </c>
    </row>
    <row r="702" spans="1:35" s="82" customFormat="1" ht="16.5" customHeight="1" x14ac:dyDescent="0.3">
      <c r="A702" s="90" t="s">
        <v>46</v>
      </c>
      <c r="B702" s="90" t="s">
        <v>52</v>
      </c>
      <c r="C702" s="137"/>
      <c r="D702" s="90"/>
      <c r="E702" s="80"/>
      <c r="F702" s="81">
        <f>SUM(F700:F701)</f>
        <v>4371</v>
      </c>
      <c r="G702" s="81"/>
      <c r="H702" s="81" t="s">
        <v>50</v>
      </c>
      <c r="I702" s="81"/>
      <c r="J702" s="81"/>
      <c r="K702" s="85" t="s">
        <v>330</v>
      </c>
      <c r="L702" s="81">
        <f>SUM(L700:L701)</f>
        <v>0</v>
      </c>
      <c r="M702" s="81">
        <f>SUM(M700:M701)</f>
        <v>0</v>
      </c>
      <c r="N702" s="81">
        <f>SUM(N700:N701)</f>
        <v>-4371</v>
      </c>
      <c r="O702" s="81"/>
      <c r="P702" s="81">
        <f>SUM(P700:P701)</f>
        <v>0</v>
      </c>
      <c r="Q702" s="81">
        <f>SUM(Q700:Q701)</f>
        <v>0</v>
      </c>
      <c r="R702" s="81">
        <f>SUM(R700:R701)</f>
        <v>0</v>
      </c>
      <c r="S702" s="81">
        <f>SUM(S700:S701)</f>
        <v>0</v>
      </c>
      <c r="T702" s="81">
        <f>SUM(T700:T701)</f>
        <v>0</v>
      </c>
      <c r="U702" s="59">
        <f t="shared" si="1077"/>
        <v>0</v>
      </c>
      <c r="V702" s="81">
        <f>SUM(V700:V701)</f>
        <v>0</v>
      </c>
      <c r="W702" s="81">
        <f>SUM(W700:W701)</f>
        <v>0</v>
      </c>
      <c r="X702" s="81">
        <f>SUM(X700:X701)</f>
        <v>0</v>
      </c>
      <c r="Y702" s="81" t="s">
        <v>47</v>
      </c>
      <c r="Z702" s="110" t="s">
        <v>45</v>
      </c>
      <c r="AA702" s="110"/>
      <c r="AB702" s="84"/>
      <c r="AC702" s="136"/>
      <c r="AD702" s="136"/>
      <c r="AE702" s="100">
        <f t="shared" si="1087"/>
        <v>-1</v>
      </c>
      <c r="AF702" s="90"/>
      <c r="AG702" s="109">
        <f t="shared" si="1088"/>
        <v>-4371</v>
      </c>
      <c r="AH702" s="100">
        <f t="shared" si="1089"/>
        <v>-1</v>
      </c>
      <c r="AI702" s="100">
        <f t="shared" si="1090"/>
        <v>-1</v>
      </c>
    </row>
    <row r="703" spans="1:35" s="86" customFormat="1" ht="18.75" customHeight="1" x14ac:dyDescent="0.3">
      <c r="A703" s="106"/>
      <c r="B703" s="106" t="s">
        <v>52</v>
      </c>
      <c r="C703" s="118">
        <v>48062</v>
      </c>
      <c r="D703" s="310">
        <v>13264488</v>
      </c>
      <c r="E703" s="157" t="s">
        <v>402</v>
      </c>
      <c r="F703" s="83">
        <v>2012</v>
      </c>
      <c r="G703" s="83"/>
      <c r="H703" s="83"/>
      <c r="I703" s="83"/>
      <c r="J703" s="83"/>
      <c r="K703" s="83"/>
      <c r="L703" s="83"/>
      <c r="M703" s="83"/>
      <c r="N703" s="110">
        <f>M703-F703</f>
        <v>-2012</v>
      </c>
      <c r="O703" s="110" t="s">
        <v>100</v>
      </c>
      <c r="P703" s="83"/>
      <c r="Q703" s="83"/>
      <c r="R703" s="83"/>
      <c r="S703" s="83"/>
      <c r="T703" s="110">
        <f>S703-Q703</f>
        <v>0</v>
      </c>
      <c r="U703" s="59">
        <f t="shared" si="1077"/>
        <v>0</v>
      </c>
      <c r="V703" s="83"/>
      <c r="W703" s="83"/>
      <c r="X703" s="110">
        <f>W703-M703</f>
        <v>0</v>
      </c>
      <c r="Y703" s="110"/>
      <c r="Z703" s="110"/>
      <c r="AA703" s="110"/>
      <c r="AB703" s="83"/>
      <c r="AC703" s="106"/>
      <c r="AD703" s="106"/>
      <c r="AE703" s="100">
        <f t="shared" si="1087"/>
        <v>-1</v>
      </c>
      <c r="AF703" s="90"/>
      <c r="AG703" s="109">
        <f t="shared" si="1088"/>
        <v>-2012</v>
      </c>
      <c r="AH703" s="100">
        <f t="shared" si="1089"/>
        <v>-1</v>
      </c>
      <c r="AI703" s="100">
        <f t="shared" si="1090"/>
        <v>-1</v>
      </c>
    </row>
    <row r="704" spans="1:35" s="86" customFormat="1" ht="18.75" customHeight="1" x14ac:dyDescent="0.3">
      <c r="A704" s="106"/>
      <c r="B704" s="106" t="s">
        <v>52</v>
      </c>
      <c r="C704" s="118">
        <v>48062</v>
      </c>
      <c r="D704" s="311"/>
      <c r="E704" s="157" t="s">
        <v>123</v>
      </c>
      <c r="F704" s="83">
        <v>1667</v>
      </c>
      <c r="G704" s="83"/>
      <c r="H704" s="83"/>
      <c r="I704" s="83"/>
      <c r="J704" s="83"/>
      <c r="K704" s="83"/>
      <c r="L704" s="83"/>
      <c r="M704" s="83"/>
      <c r="N704" s="110">
        <f>M704-F704</f>
        <v>-1667</v>
      </c>
      <c r="O704" s="110" t="s">
        <v>100</v>
      </c>
      <c r="P704" s="83"/>
      <c r="Q704" s="83"/>
      <c r="R704" s="83"/>
      <c r="S704" s="83"/>
      <c r="T704" s="110">
        <f>S704-Q704</f>
        <v>0</v>
      </c>
      <c r="U704" s="59">
        <f t="shared" si="1077"/>
        <v>0</v>
      </c>
      <c r="V704" s="83"/>
      <c r="W704" s="83"/>
      <c r="X704" s="110">
        <f>W704-M704</f>
        <v>0</v>
      </c>
      <c r="Y704" s="110"/>
      <c r="Z704" s="110"/>
      <c r="AA704" s="110"/>
      <c r="AB704" s="83"/>
      <c r="AC704" s="106"/>
      <c r="AD704" s="106"/>
      <c r="AE704" s="100">
        <f t="shared" si="1087"/>
        <v>-1</v>
      </c>
      <c r="AF704" s="90"/>
      <c r="AG704" s="109">
        <f t="shared" si="1088"/>
        <v>-1667</v>
      </c>
      <c r="AH704" s="100">
        <f t="shared" si="1089"/>
        <v>-1</v>
      </c>
      <c r="AI704" s="100">
        <f t="shared" si="1090"/>
        <v>-1</v>
      </c>
    </row>
    <row r="705" spans="1:35" s="82" customFormat="1" ht="16.5" customHeight="1" x14ac:dyDescent="0.3">
      <c r="A705" s="90" t="s">
        <v>46</v>
      </c>
      <c r="B705" s="90" t="s">
        <v>52</v>
      </c>
      <c r="C705" s="137"/>
      <c r="D705" s="90"/>
      <c r="E705" s="80"/>
      <c r="F705" s="81">
        <f>SUM(F703:F704)</f>
        <v>3679</v>
      </c>
      <c r="G705" s="81"/>
      <c r="H705" s="81" t="s">
        <v>50</v>
      </c>
      <c r="I705" s="81"/>
      <c r="J705" s="81"/>
      <c r="K705" s="85" t="s">
        <v>330</v>
      </c>
      <c r="L705" s="81">
        <f>SUM(L703:L704)</f>
        <v>0</v>
      </c>
      <c r="M705" s="81">
        <f>SUM(M703:M704)</f>
        <v>0</v>
      </c>
      <c r="N705" s="81">
        <f>SUM(N703:N704)</f>
        <v>-3679</v>
      </c>
      <c r="O705" s="81"/>
      <c r="P705" s="81">
        <f>SUM(P703:P704)</f>
        <v>0</v>
      </c>
      <c r="Q705" s="81">
        <f>SUM(Q703:Q704)</f>
        <v>0</v>
      </c>
      <c r="R705" s="81">
        <f>SUM(R703:R704)</f>
        <v>0</v>
      </c>
      <c r="S705" s="81">
        <f>SUM(S703:S704)</f>
        <v>0</v>
      </c>
      <c r="T705" s="81">
        <f>SUM(T703:T704)</f>
        <v>0</v>
      </c>
      <c r="U705" s="59">
        <f t="shared" si="1077"/>
        <v>0</v>
      </c>
      <c r="V705" s="81">
        <f>SUM(V703:V704)</f>
        <v>0</v>
      </c>
      <c r="W705" s="81">
        <f>SUM(W703:W704)</f>
        <v>0</v>
      </c>
      <c r="X705" s="81">
        <f>SUM(X703:X704)</f>
        <v>0</v>
      </c>
      <c r="Y705" s="81" t="s">
        <v>47</v>
      </c>
      <c r="Z705" s="110" t="s">
        <v>45</v>
      </c>
      <c r="AA705" s="110"/>
      <c r="AB705" s="84"/>
      <c r="AC705" s="136"/>
      <c r="AD705" s="136"/>
      <c r="AE705" s="100">
        <f t="shared" si="1087"/>
        <v>-1</v>
      </c>
      <c r="AF705" s="90"/>
      <c r="AG705" s="109">
        <f t="shared" si="1088"/>
        <v>-3679</v>
      </c>
      <c r="AH705" s="100">
        <f t="shared" si="1089"/>
        <v>-1</v>
      </c>
      <c r="AI705" s="100">
        <f t="shared" si="1090"/>
        <v>-1</v>
      </c>
    </row>
    <row r="706" spans="1:35" s="86" customFormat="1" ht="18.75" customHeight="1" x14ac:dyDescent="0.3">
      <c r="A706" s="106"/>
      <c r="B706" s="106" t="s">
        <v>52</v>
      </c>
      <c r="C706" s="118">
        <v>48059</v>
      </c>
      <c r="D706" s="310">
        <v>13264005</v>
      </c>
      <c r="E706" s="157" t="s">
        <v>274</v>
      </c>
      <c r="F706" s="83">
        <v>1005</v>
      </c>
      <c r="G706" s="83"/>
      <c r="H706" s="83"/>
      <c r="I706" s="83"/>
      <c r="J706" s="83"/>
      <c r="K706" s="83"/>
      <c r="L706" s="83"/>
      <c r="M706" s="83">
        <f>1046</f>
        <v>1046</v>
      </c>
      <c r="N706" s="110">
        <f>M706-F706</f>
        <v>41</v>
      </c>
      <c r="O706" s="110" t="s">
        <v>100</v>
      </c>
      <c r="P706" s="83"/>
      <c r="Q706" s="83">
        <v>1046</v>
      </c>
      <c r="R706" s="83"/>
      <c r="S706" s="83">
        <v>1043</v>
      </c>
      <c r="T706" s="110">
        <f>S706-Q706</f>
        <v>-3</v>
      </c>
      <c r="U706" s="59">
        <f t="shared" si="1077"/>
        <v>1043</v>
      </c>
      <c r="V706" s="83"/>
      <c r="W706" s="83"/>
      <c r="X706" s="110">
        <f>W706-M706</f>
        <v>-1046</v>
      </c>
      <c r="Y706" s="110"/>
      <c r="Z706" s="110"/>
      <c r="AA706" s="110"/>
      <c r="AB706" s="83"/>
      <c r="AC706" s="106"/>
      <c r="AD706" s="106"/>
      <c r="AE706" s="100">
        <f t="shared" si="1079"/>
        <v>4.0796019900497513E-2</v>
      </c>
      <c r="AF706" s="90"/>
      <c r="AG706" s="109">
        <f t="shared" si="1080"/>
        <v>0</v>
      </c>
      <c r="AH706" s="100">
        <f t="shared" si="1081"/>
        <v>3.7810945273631838E-2</v>
      </c>
      <c r="AI706" s="100">
        <f t="shared" si="1082"/>
        <v>-1</v>
      </c>
    </row>
    <row r="707" spans="1:35" s="86" customFormat="1" ht="18.75" customHeight="1" x14ac:dyDescent="0.3">
      <c r="A707" s="106"/>
      <c r="B707" s="106" t="s">
        <v>52</v>
      </c>
      <c r="C707" s="118">
        <v>48059</v>
      </c>
      <c r="D707" s="311"/>
      <c r="E707" s="157" t="s">
        <v>157</v>
      </c>
      <c r="F707" s="83">
        <v>300</v>
      </c>
      <c r="G707" s="83"/>
      <c r="H707" s="83"/>
      <c r="I707" s="83"/>
      <c r="J707" s="83"/>
      <c r="K707" s="83"/>
      <c r="L707" s="83"/>
      <c r="M707" s="83"/>
      <c r="N707" s="110">
        <f>M707-F707</f>
        <v>-300</v>
      </c>
      <c r="O707" s="110" t="s">
        <v>100</v>
      </c>
      <c r="P707" s="83"/>
      <c r="Q707" s="83"/>
      <c r="R707" s="83"/>
      <c r="S707" s="83"/>
      <c r="T707" s="110">
        <f>S707-Q707</f>
        <v>0</v>
      </c>
      <c r="U707" s="59">
        <f t="shared" ref="U707" si="1091">IF(Q707&gt;0,S707-W707,M707-W707)</f>
        <v>0</v>
      </c>
      <c r="V707" s="83"/>
      <c r="W707" s="83"/>
      <c r="X707" s="110">
        <f>W707-M707</f>
        <v>0</v>
      </c>
      <c r="Y707" s="110"/>
      <c r="Z707" s="110"/>
      <c r="AA707" s="110"/>
      <c r="AB707" s="83"/>
      <c r="AC707" s="106"/>
      <c r="AD707" s="106"/>
      <c r="AE707" s="100">
        <f t="shared" ref="AE707" si="1092">N707/F707</f>
        <v>-1</v>
      </c>
      <c r="AF707" s="90"/>
      <c r="AG707" s="109">
        <f t="shared" ref="AG707" si="1093">IF(N707&lt;0,N707,0)</f>
        <v>-300</v>
      </c>
      <c r="AH707" s="100">
        <f t="shared" ref="AH707" si="1094">(S707-F707)/F707</f>
        <v>-1</v>
      </c>
      <c r="AI707" s="100">
        <f t="shared" ref="AI707" si="1095">(W707-F707)/F707</f>
        <v>-1</v>
      </c>
    </row>
    <row r="708" spans="1:35" s="86" customFormat="1" ht="18.75" customHeight="1" x14ac:dyDescent="0.3">
      <c r="A708" s="106"/>
      <c r="B708" s="106" t="s">
        <v>52</v>
      </c>
      <c r="C708" s="118">
        <v>48059</v>
      </c>
      <c r="D708" s="311"/>
      <c r="E708" s="157" t="s">
        <v>364</v>
      </c>
      <c r="F708" s="83">
        <v>1302</v>
      </c>
      <c r="G708" s="83"/>
      <c r="H708" s="83"/>
      <c r="I708" s="83"/>
      <c r="J708" s="83"/>
      <c r="K708" s="83"/>
      <c r="L708" s="83">
        <v>941</v>
      </c>
      <c r="M708" s="83">
        <f>941</f>
        <v>941</v>
      </c>
      <c r="N708" s="110">
        <f>M708-F708</f>
        <v>-361</v>
      </c>
      <c r="O708" s="110" t="s">
        <v>100</v>
      </c>
      <c r="P708" s="83">
        <v>938</v>
      </c>
      <c r="Q708" s="83">
        <f>939</f>
        <v>939</v>
      </c>
      <c r="R708" s="83">
        <v>939</v>
      </c>
      <c r="S708" s="83">
        <v>939</v>
      </c>
      <c r="T708" s="110">
        <f>S708-Q708</f>
        <v>0</v>
      </c>
      <c r="U708" s="59">
        <f t="shared" si="1077"/>
        <v>939</v>
      </c>
      <c r="V708" s="83"/>
      <c r="W708" s="83"/>
      <c r="X708" s="110">
        <f>W708-M708</f>
        <v>-941</v>
      </c>
      <c r="Y708" s="110"/>
      <c r="Z708" s="110"/>
      <c r="AA708" s="110"/>
      <c r="AB708" s="83"/>
      <c r="AC708" s="106"/>
      <c r="AD708" s="106"/>
      <c r="AE708" s="100">
        <f t="shared" si="1079"/>
        <v>-0.27726574500768048</v>
      </c>
      <c r="AF708" s="90"/>
      <c r="AG708" s="109">
        <f t="shared" si="1080"/>
        <v>-361</v>
      </c>
      <c r="AH708" s="100">
        <f t="shared" si="1081"/>
        <v>-0.27880184331797236</v>
      </c>
      <c r="AI708" s="100">
        <f t="shared" si="1082"/>
        <v>-1</v>
      </c>
    </row>
    <row r="709" spans="1:35" s="82" customFormat="1" ht="16.5" customHeight="1" x14ac:dyDescent="0.3">
      <c r="A709" s="90" t="s">
        <v>46</v>
      </c>
      <c r="B709" s="90" t="s">
        <v>52</v>
      </c>
      <c r="C709" s="137"/>
      <c r="D709" s="90"/>
      <c r="E709" s="80"/>
      <c r="F709" s="81">
        <f>SUM(F706:F708)</f>
        <v>2607</v>
      </c>
      <c r="G709" s="81"/>
      <c r="H709" s="81" t="s">
        <v>50</v>
      </c>
      <c r="I709" s="81"/>
      <c r="J709" s="81" t="s">
        <v>60</v>
      </c>
      <c r="K709" s="85" t="s">
        <v>226</v>
      </c>
      <c r="L709" s="81">
        <f>SUM(L706:L708)</f>
        <v>941</v>
      </c>
      <c r="M709" s="81">
        <f>SUM(M706:M708)</f>
        <v>1987</v>
      </c>
      <c r="N709" s="81">
        <f>SUM(N706:N708)</f>
        <v>-620</v>
      </c>
      <c r="O709" s="81" t="s">
        <v>1028</v>
      </c>
      <c r="P709" s="81">
        <f>SUM(P706:P708)</f>
        <v>938</v>
      </c>
      <c r="Q709" s="81">
        <f>SUM(Q706:Q708)</f>
        <v>1985</v>
      </c>
      <c r="R709" s="81">
        <f>SUM(R706:R708)</f>
        <v>939</v>
      </c>
      <c r="S709" s="81">
        <f>SUM(S706:S708)</f>
        <v>1982</v>
      </c>
      <c r="T709" s="81">
        <f>SUM(T706:T708)</f>
        <v>-3</v>
      </c>
      <c r="U709" s="59">
        <f t="shared" si="1077"/>
        <v>1982</v>
      </c>
      <c r="V709" s="81">
        <f>SUM(V706:V708)</f>
        <v>0</v>
      </c>
      <c r="W709" s="81">
        <f>SUM(W706:W708)</f>
        <v>0</v>
      </c>
      <c r="X709" s="81">
        <f>SUM(X706:X708)</f>
        <v>-1987</v>
      </c>
      <c r="Y709" s="81" t="s">
        <v>47</v>
      </c>
      <c r="Z709" s="110" t="s">
        <v>45</v>
      </c>
      <c r="AA709" s="110"/>
      <c r="AB709" s="84"/>
      <c r="AC709" s="136"/>
      <c r="AD709" s="136"/>
      <c r="AE709" s="100">
        <f t="shared" si="1079"/>
        <v>-0.23782125047947833</v>
      </c>
      <c r="AF709" s="90"/>
      <c r="AG709" s="109">
        <f t="shared" si="1080"/>
        <v>-620</v>
      </c>
      <c r="AH709" s="100">
        <f t="shared" si="1081"/>
        <v>-0.23973916378979671</v>
      </c>
      <c r="AI709" s="100">
        <f t="shared" si="1082"/>
        <v>-1</v>
      </c>
    </row>
    <row r="710" spans="1:35" s="86" customFormat="1" ht="18.75" customHeight="1" x14ac:dyDescent="0.3">
      <c r="A710" s="106"/>
      <c r="B710" s="106" t="s">
        <v>52</v>
      </c>
      <c r="C710" s="118">
        <v>48056</v>
      </c>
      <c r="D710" s="310">
        <v>13263670</v>
      </c>
      <c r="E710" s="157" t="s">
        <v>171</v>
      </c>
      <c r="F710" s="83">
        <v>935</v>
      </c>
      <c r="G710" s="83"/>
      <c r="H710" s="83"/>
      <c r="I710" s="83"/>
      <c r="J710" s="83"/>
      <c r="K710" s="83"/>
      <c r="L710" s="83"/>
      <c r="M710" s="83">
        <f>549+417</f>
        <v>966</v>
      </c>
      <c r="N710" s="110">
        <f>M710-F710</f>
        <v>31</v>
      </c>
      <c r="O710" s="110" t="s">
        <v>100</v>
      </c>
      <c r="P710" s="83"/>
      <c r="Q710" s="83">
        <f>549+417</f>
        <v>966</v>
      </c>
      <c r="R710" s="83"/>
      <c r="S710" s="83">
        <v>966</v>
      </c>
      <c r="T710" s="110">
        <f>S710-Q710</f>
        <v>0</v>
      </c>
      <c r="U710" s="59">
        <f t="shared" si="1077"/>
        <v>5</v>
      </c>
      <c r="V710" s="83"/>
      <c r="W710" s="83">
        <v>961</v>
      </c>
      <c r="X710" s="110">
        <f>W710-M710</f>
        <v>-5</v>
      </c>
      <c r="Y710" s="110"/>
      <c r="Z710" s="110"/>
      <c r="AA710" s="110"/>
      <c r="AB710" s="83"/>
      <c r="AC710" s="106"/>
      <c r="AD710" s="106"/>
      <c r="AE710" s="100">
        <f t="shared" ref="AE710:AE715" si="1096">N710/F710</f>
        <v>3.3155080213903745E-2</v>
      </c>
      <c r="AF710" s="90"/>
      <c r="AG710" s="109">
        <f t="shared" ref="AG710:AG715" si="1097">IF(N710&lt;0,N710,0)</f>
        <v>0</v>
      </c>
      <c r="AH710" s="100">
        <f t="shared" ref="AH710:AH715" si="1098">(S710-F710)/F710</f>
        <v>3.3155080213903745E-2</v>
      </c>
      <c r="AI710" s="100">
        <f t="shared" ref="AI710:AI715" si="1099">(W710-F710)/F710</f>
        <v>2.7807486631016044E-2</v>
      </c>
    </row>
    <row r="711" spans="1:35" s="86" customFormat="1" ht="18.75" customHeight="1" x14ac:dyDescent="0.3">
      <c r="A711" s="106"/>
      <c r="B711" s="106" t="s">
        <v>52</v>
      </c>
      <c r="C711" s="118">
        <v>48056</v>
      </c>
      <c r="D711" s="311"/>
      <c r="E711" s="157" t="s">
        <v>364</v>
      </c>
      <c r="F711" s="83">
        <v>905</v>
      </c>
      <c r="G711" s="83"/>
      <c r="H711" s="83"/>
      <c r="I711" s="83"/>
      <c r="J711" s="83"/>
      <c r="K711" s="83"/>
      <c r="L711" s="83"/>
      <c r="M711" s="83">
        <f>600+329</f>
        <v>929</v>
      </c>
      <c r="N711" s="110">
        <f>M711-F711</f>
        <v>24</v>
      </c>
      <c r="O711" s="110" t="s">
        <v>100</v>
      </c>
      <c r="P711" s="83"/>
      <c r="Q711" s="83">
        <f>600+329</f>
        <v>929</v>
      </c>
      <c r="R711" s="83"/>
      <c r="S711" s="83">
        <f>600+329</f>
        <v>929</v>
      </c>
      <c r="T711" s="110">
        <f>S711-Q711</f>
        <v>0</v>
      </c>
      <c r="U711" s="59">
        <f t="shared" si="1077"/>
        <v>3</v>
      </c>
      <c r="V711" s="83"/>
      <c r="W711" s="83">
        <v>926</v>
      </c>
      <c r="X711" s="110">
        <f>W711-M711</f>
        <v>-3</v>
      </c>
      <c r="Y711" s="110"/>
      <c r="Z711" s="110"/>
      <c r="AA711" s="110"/>
      <c r="AB711" s="83"/>
      <c r="AC711" s="106"/>
      <c r="AD711" s="106"/>
      <c r="AE711" s="100">
        <f t="shared" si="1096"/>
        <v>2.6519337016574586E-2</v>
      </c>
      <c r="AF711" s="90"/>
      <c r="AG711" s="109">
        <f t="shared" si="1097"/>
        <v>0</v>
      </c>
      <c r="AH711" s="100">
        <f t="shared" si="1098"/>
        <v>2.6519337016574586E-2</v>
      </c>
      <c r="AI711" s="100">
        <f t="shared" si="1099"/>
        <v>2.3204419889502764E-2</v>
      </c>
    </row>
    <row r="712" spans="1:35" s="82" customFormat="1" ht="16.5" customHeight="1" x14ac:dyDescent="0.3">
      <c r="A712" s="90" t="s">
        <v>46</v>
      </c>
      <c r="B712" s="90" t="s">
        <v>52</v>
      </c>
      <c r="C712" s="137"/>
      <c r="D712" s="90"/>
      <c r="E712" s="80"/>
      <c r="F712" s="81">
        <f>SUM(F710:F711)</f>
        <v>1840</v>
      </c>
      <c r="G712" s="81"/>
      <c r="H712" s="81" t="s">
        <v>50</v>
      </c>
      <c r="I712" s="81"/>
      <c r="J712" s="81" t="s">
        <v>60</v>
      </c>
      <c r="K712" s="85" t="s">
        <v>226</v>
      </c>
      <c r="L712" s="81">
        <f>SUM(L710:L711)</f>
        <v>0</v>
      </c>
      <c r="M712" s="81">
        <f>SUM(M710:M711)</f>
        <v>1895</v>
      </c>
      <c r="N712" s="81">
        <f>SUM(N710:N711)</f>
        <v>55</v>
      </c>
      <c r="O712" s="81"/>
      <c r="P712" s="81">
        <f>SUM(P710:P711)</f>
        <v>0</v>
      </c>
      <c r="Q712" s="81">
        <f>SUM(Q710:Q711)</f>
        <v>1895</v>
      </c>
      <c r="R712" s="81">
        <f>SUM(R710:R711)</f>
        <v>0</v>
      </c>
      <c r="S712" s="81">
        <f>SUM(S710:S711)</f>
        <v>1895</v>
      </c>
      <c r="T712" s="81">
        <f>SUM(T710:T711)</f>
        <v>0</v>
      </c>
      <c r="U712" s="59">
        <f t="shared" si="1077"/>
        <v>8</v>
      </c>
      <c r="V712" s="81">
        <f>SUM(V710:V711)</f>
        <v>0</v>
      </c>
      <c r="W712" s="81">
        <f>SUM(W710:W711)</f>
        <v>1887</v>
      </c>
      <c r="X712" s="81">
        <f>SUM(X710:X711)</f>
        <v>-8</v>
      </c>
      <c r="Y712" s="81" t="s">
        <v>47</v>
      </c>
      <c r="Z712" s="110" t="s">
        <v>45</v>
      </c>
      <c r="AA712" s="110"/>
      <c r="AB712" s="84"/>
      <c r="AC712" s="136"/>
      <c r="AD712" s="136"/>
      <c r="AE712" s="100">
        <f t="shared" si="1096"/>
        <v>2.9891304347826088E-2</v>
      </c>
      <c r="AF712" s="90"/>
      <c r="AG712" s="109">
        <f t="shared" si="1097"/>
        <v>0</v>
      </c>
      <c r="AH712" s="100">
        <f t="shared" si="1098"/>
        <v>2.9891304347826088E-2</v>
      </c>
      <c r="AI712" s="100">
        <f t="shared" si="1099"/>
        <v>2.5543478260869567E-2</v>
      </c>
    </row>
    <row r="713" spans="1:35" s="86" customFormat="1" ht="18.75" customHeight="1" x14ac:dyDescent="0.3">
      <c r="A713" s="106"/>
      <c r="B713" s="106" t="s">
        <v>52</v>
      </c>
      <c r="C713" s="118">
        <v>48027</v>
      </c>
      <c r="D713" s="310">
        <v>13226053</v>
      </c>
      <c r="E713" s="157" t="s">
        <v>202</v>
      </c>
      <c r="F713" s="83">
        <v>708</v>
      </c>
      <c r="G713" s="83"/>
      <c r="H713" s="83"/>
      <c r="I713" s="83"/>
      <c r="J713" s="83"/>
      <c r="K713" s="83"/>
      <c r="L713" s="83"/>
      <c r="M713" s="83">
        <f>756</f>
        <v>756</v>
      </c>
      <c r="N713" s="110">
        <f>M713-F713</f>
        <v>48</v>
      </c>
      <c r="O713" s="110" t="s">
        <v>100</v>
      </c>
      <c r="P713" s="83"/>
      <c r="Q713" s="83">
        <v>756</v>
      </c>
      <c r="R713" s="83"/>
      <c r="S713" s="83">
        <v>750</v>
      </c>
      <c r="T713" s="110">
        <f>S713-Q713</f>
        <v>-6</v>
      </c>
      <c r="U713" s="59">
        <f t="shared" si="1077"/>
        <v>3</v>
      </c>
      <c r="V713" s="83"/>
      <c r="W713" s="83">
        <v>747</v>
      </c>
      <c r="X713" s="110">
        <f>W713-M713</f>
        <v>-9</v>
      </c>
      <c r="Y713" s="110"/>
      <c r="Z713" s="110"/>
      <c r="AA713" s="110"/>
      <c r="AB713" s="83"/>
      <c r="AC713" s="106"/>
      <c r="AD713" s="106"/>
      <c r="AE713" s="100">
        <f t="shared" si="1096"/>
        <v>6.7796610169491525E-2</v>
      </c>
      <c r="AF713" s="90"/>
      <c r="AG713" s="109">
        <f t="shared" si="1097"/>
        <v>0</v>
      </c>
      <c r="AH713" s="100">
        <f t="shared" si="1098"/>
        <v>5.9322033898305086E-2</v>
      </c>
      <c r="AI713" s="100">
        <f t="shared" si="1099"/>
        <v>5.5084745762711863E-2</v>
      </c>
    </row>
    <row r="714" spans="1:35" s="86" customFormat="1" ht="18.75" customHeight="1" x14ac:dyDescent="0.3">
      <c r="A714" s="106"/>
      <c r="B714" s="106" t="s">
        <v>52</v>
      </c>
      <c r="C714" s="118">
        <v>48027</v>
      </c>
      <c r="D714" s="311"/>
      <c r="E714" s="157" t="s">
        <v>402</v>
      </c>
      <c r="F714" s="83">
        <v>708</v>
      </c>
      <c r="G714" s="83"/>
      <c r="H714" s="83"/>
      <c r="I714" s="83"/>
      <c r="J714" s="83"/>
      <c r="K714" s="83"/>
      <c r="L714" s="83"/>
      <c r="M714" s="83">
        <v>744</v>
      </c>
      <c r="N714" s="110">
        <f>M714-F714</f>
        <v>36</v>
      </c>
      <c r="O714" s="110" t="s">
        <v>100</v>
      </c>
      <c r="P714" s="83"/>
      <c r="Q714" s="83">
        <v>737</v>
      </c>
      <c r="R714" s="83"/>
      <c r="S714" s="83">
        <v>727</v>
      </c>
      <c r="T714" s="110">
        <f>S714-Q714</f>
        <v>-10</v>
      </c>
      <c r="U714" s="59">
        <f t="shared" si="1077"/>
        <v>1</v>
      </c>
      <c r="V714" s="83"/>
      <c r="W714" s="83">
        <v>726</v>
      </c>
      <c r="X714" s="110">
        <f>W714-M714</f>
        <v>-18</v>
      </c>
      <c r="Y714" s="110"/>
      <c r="Z714" s="110"/>
      <c r="AA714" s="110"/>
      <c r="AB714" s="83"/>
      <c r="AC714" s="106"/>
      <c r="AD714" s="106"/>
      <c r="AE714" s="100">
        <f t="shared" si="1096"/>
        <v>5.0847457627118647E-2</v>
      </c>
      <c r="AF714" s="90"/>
      <c r="AG714" s="109">
        <f t="shared" si="1097"/>
        <v>0</v>
      </c>
      <c r="AH714" s="100">
        <f t="shared" si="1098"/>
        <v>2.6836158192090395E-2</v>
      </c>
      <c r="AI714" s="100">
        <f t="shared" si="1099"/>
        <v>2.5423728813559324E-2</v>
      </c>
    </row>
    <row r="715" spans="1:35" s="82" customFormat="1" ht="16.5" customHeight="1" x14ac:dyDescent="0.3">
      <c r="A715" s="90" t="s">
        <v>46</v>
      </c>
      <c r="B715" s="90" t="s">
        <v>52</v>
      </c>
      <c r="C715" s="137"/>
      <c r="D715" s="90"/>
      <c r="E715" s="80"/>
      <c r="F715" s="81">
        <f>SUM(F713:F714)</f>
        <v>1416</v>
      </c>
      <c r="G715" s="81"/>
      <c r="H715" s="81" t="s">
        <v>50</v>
      </c>
      <c r="I715" s="81"/>
      <c r="J715" s="81" t="s">
        <v>60</v>
      </c>
      <c r="K715" s="85" t="s">
        <v>226</v>
      </c>
      <c r="L715" s="81">
        <f>SUM(L713:L714)</f>
        <v>0</v>
      </c>
      <c r="M715" s="81">
        <f>SUM(M713:M714)</f>
        <v>1500</v>
      </c>
      <c r="N715" s="81">
        <f>SUM(N713:N714)</f>
        <v>84</v>
      </c>
      <c r="O715" s="81" t="s">
        <v>175</v>
      </c>
      <c r="P715" s="81">
        <f>SUM(P713:P714)</f>
        <v>0</v>
      </c>
      <c r="Q715" s="81">
        <f>SUM(Q713:Q714)</f>
        <v>1493</v>
      </c>
      <c r="R715" s="81">
        <f>SUM(R713:R714)</f>
        <v>0</v>
      </c>
      <c r="S715" s="81">
        <f>SUM(S713:S714)</f>
        <v>1477</v>
      </c>
      <c r="T715" s="81">
        <f>SUM(T713:T714)</f>
        <v>-16</v>
      </c>
      <c r="U715" s="59">
        <f t="shared" si="1077"/>
        <v>4</v>
      </c>
      <c r="V715" s="81">
        <f>SUM(V713:V714)</f>
        <v>0</v>
      </c>
      <c r="W715" s="81">
        <f>SUM(W713:W714)</f>
        <v>1473</v>
      </c>
      <c r="X715" s="81">
        <f>SUM(X713:X714)</f>
        <v>-27</v>
      </c>
      <c r="Y715" s="81" t="s">
        <v>47</v>
      </c>
      <c r="Z715" s="110" t="s">
        <v>45</v>
      </c>
      <c r="AA715" s="110"/>
      <c r="AB715" s="84"/>
      <c r="AC715" s="136"/>
      <c r="AD715" s="136"/>
      <c r="AE715" s="100">
        <f t="shared" si="1096"/>
        <v>5.9322033898305086E-2</v>
      </c>
      <c r="AF715" s="90"/>
      <c r="AG715" s="109">
        <f t="shared" si="1097"/>
        <v>0</v>
      </c>
      <c r="AH715" s="100">
        <f t="shared" si="1098"/>
        <v>4.3079096045197739E-2</v>
      </c>
      <c r="AI715" s="100">
        <f t="shared" si="1099"/>
        <v>4.025423728813559E-2</v>
      </c>
    </row>
    <row r="716" spans="1:35" s="86" customFormat="1" ht="18.75" customHeight="1" x14ac:dyDescent="0.3">
      <c r="A716" s="106"/>
      <c r="B716" s="106" t="s">
        <v>52</v>
      </c>
      <c r="C716" s="118">
        <v>48034</v>
      </c>
      <c r="D716" s="310">
        <v>13251904</v>
      </c>
      <c r="E716" s="157" t="s">
        <v>202</v>
      </c>
      <c r="F716" s="83">
        <v>605</v>
      </c>
      <c r="G716" s="83"/>
      <c r="H716" s="83"/>
      <c r="I716" s="83"/>
      <c r="J716" s="83"/>
      <c r="K716" s="83"/>
      <c r="L716" s="83"/>
      <c r="M716" s="83">
        <v>637</v>
      </c>
      <c r="N716" s="110">
        <f>M716-F716</f>
        <v>32</v>
      </c>
      <c r="O716" s="110" t="s">
        <v>100</v>
      </c>
      <c r="P716" s="83"/>
      <c r="Q716" s="83">
        <v>625</v>
      </c>
      <c r="R716" s="83"/>
      <c r="S716" s="83">
        <v>625</v>
      </c>
      <c r="T716" s="110">
        <f>S716-Q716</f>
        <v>0</v>
      </c>
      <c r="U716" s="59">
        <f t="shared" si="1077"/>
        <v>2</v>
      </c>
      <c r="V716" s="83"/>
      <c r="W716" s="83">
        <v>623</v>
      </c>
      <c r="X716" s="110">
        <f>W716-M716</f>
        <v>-14</v>
      </c>
      <c r="Y716" s="110"/>
      <c r="Z716" s="110"/>
      <c r="AA716" s="110"/>
      <c r="AB716" s="83"/>
      <c r="AC716" s="106"/>
      <c r="AD716" s="106"/>
      <c r="AE716" s="100">
        <f t="shared" si="1079"/>
        <v>5.2892561983471073E-2</v>
      </c>
      <c r="AF716" s="90"/>
      <c r="AG716" s="109">
        <f t="shared" si="1080"/>
        <v>0</v>
      </c>
      <c r="AH716" s="100">
        <f t="shared" si="1081"/>
        <v>3.3057851239669422E-2</v>
      </c>
      <c r="AI716" s="100">
        <f t="shared" si="1082"/>
        <v>2.9752066115702479E-2</v>
      </c>
    </row>
    <row r="717" spans="1:35" s="86" customFormat="1" ht="18.75" customHeight="1" x14ac:dyDescent="0.3">
      <c r="A717" s="106"/>
      <c r="B717" s="106" t="s">
        <v>52</v>
      </c>
      <c r="C717" s="118">
        <v>48034</v>
      </c>
      <c r="D717" s="311"/>
      <c r="E717" s="157" t="s">
        <v>240</v>
      </c>
      <c r="F717" s="83">
        <v>715</v>
      </c>
      <c r="G717" s="83"/>
      <c r="H717" s="83"/>
      <c r="I717" s="83"/>
      <c r="J717" s="83"/>
      <c r="K717" s="83"/>
      <c r="L717" s="83"/>
      <c r="M717" s="83">
        <v>735</v>
      </c>
      <c r="N717" s="110">
        <f>M717-F717</f>
        <v>20</v>
      </c>
      <c r="O717" s="110" t="s">
        <v>100</v>
      </c>
      <c r="P717" s="83"/>
      <c r="Q717" s="83"/>
      <c r="R717" s="83"/>
      <c r="S717" s="83"/>
      <c r="T717" s="110">
        <f>S717-Q717</f>
        <v>0</v>
      </c>
      <c r="U717" s="59">
        <f t="shared" si="1077"/>
        <v>0</v>
      </c>
      <c r="V717" s="83"/>
      <c r="W717" s="83">
        <v>735</v>
      </c>
      <c r="X717" s="110">
        <f>W717-M717</f>
        <v>0</v>
      </c>
      <c r="Y717" s="110"/>
      <c r="Z717" s="110"/>
      <c r="AA717" s="110"/>
      <c r="AB717" s="83"/>
      <c r="AC717" s="106"/>
      <c r="AD717" s="106"/>
      <c r="AE717" s="100">
        <f t="shared" si="1079"/>
        <v>2.7972027972027972E-2</v>
      </c>
      <c r="AF717" s="90"/>
      <c r="AG717" s="109">
        <f t="shared" si="1080"/>
        <v>0</v>
      </c>
      <c r="AH717" s="100">
        <f t="shared" si="1081"/>
        <v>-1</v>
      </c>
      <c r="AI717" s="100">
        <f t="shared" si="1082"/>
        <v>2.7972027972027972E-2</v>
      </c>
    </row>
    <row r="718" spans="1:35" s="82" customFormat="1" ht="16.5" customHeight="1" x14ac:dyDescent="0.3">
      <c r="A718" s="90" t="s">
        <v>46</v>
      </c>
      <c r="B718" s="90" t="s">
        <v>52</v>
      </c>
      <c r="C718" s="137"/>
      <c r="D718" s="90"/>
      <c r="E718" s="80"/>
      <c r="F718" s="81">
        <f>SUM(F716:F717)</f>
        <v>1320</v>
      </c>
      <c r="G718" s="81"/>
      <c r="H718" s="81" t="s">
        <v>50</v>
      </c>
      <c r="I718" s="81"/>
      <c r="J718" s="81" t="s">
        <v>60</v>
      </c>
      <c r="K718" s="85" t="s">
        <v>226</v>
      </c>
      <c r="L718" s="81">
        <f>SUM(L716:L717)</f>
        <v>0</v>
      </c>
      <c r="M718" s="81">
        <f>SUM(M716:M717)</f>
        <v>1372</v>
      </c>
      <c r="N718" s="81">
        <f>SUM(N716:N717)</f>
        <v>52</v>
      </c>
      <c r="O718" s="81" t="s">
        <v>808</v>
      </c>
      <c r="P718" s="81">
        <f t="shared" ref="P718:X718" si="1100">SUM(P716:P717)</f>
        <v>0</v>
      </c>
      <c r="Q718" s="81">
        <f t="shared" si="1100"/>
        <v>625</v>
      </c>
      <c r="R718" s="81">
        <f t="shared" si="1100"/>
        <v>0</v>
      </c>
      <c r="S718" s="81">
        <f t="shared" si="1100"/>
        <v>625</v>
      </c>
      <c r="T718" s="81">
        <f t="shared" si="1100"/>
        <v>0</v>
      </c>
      <c r="U718" s="59">
        <f t="shared" si="1100"/>
        <v>2</v>
      </c>
      <c r="V718" s="81">
        <f t="shared" si="1100"/>
        <v>0</v>
      </c>
      <c r="W718" s="81">
        <f t="shared" si="1100"/>
        <v>1358</v>
      </c>
      <c r="X718" s="81">
        <f t="shared" si="1100"/>
        <v>-14</v>
      </c>
      <c r="Y718" s="81" t="s">
        <v>47</v>
      </c>
      <c r="Z718" s="110" t="s">
        <v>45</v>
      </c>
      <c r="AA718" s="110"/>
      <c r="AB718" s="84"/>
      <c r="AC718" s="136"/>
      <c r="AD718" s="136"/>
      <c r="AE718" s="100">
        <f t="shared" si="1079"/>
        <v>3.9393939393939391E-2</v>
      </c>
      <c r="AF718" s="90"/>
      <c r="AG718" s="109">
        <f t="shared" si="1080"/>
        <v>0</v>
      </c>
      <c r="AH718" s="100">
        <f t="shared" si="1081"/>
        <v>-0.52651515151515149</v>
      </c>
      <c r="AI718" s="100">
        <f t="shared" si="1082"/>
        <v>2.8787878787878789E-2</v>
      </c>
    </row>
    <row r="719" spans="1:35" s="86" customFormat="1" ht="18.75" customHeight="1" x14ac:dyDescent="0.3">
      <c r="A719" s="106"/>
      <c r="B719" s="106" t="s">
        <v>52</v>
      </c>
      <c r="C719" s="118">
        <v>48033</v>
      </c>
      <c r="D719" s="310">
        <v>13230043</v>
      </c>
      <c r="E719" s="157" t="s">
        <v>402</v>
      </c>
      <c r="F719" s="83">
        <v>405</v>
      </c>
      <c r="G719" s="83"/>
      <c r="H719" s="83"/>
      <c r="I719" s="83"/>
      <c r="J719" s="83"/>
      <c r="K719" s="83"/>
      <c r="L719" s="83"/>
      <c r="M719" s="83">
        <v>440</v>
      </c>
      <c r="N719" s="110">
        <f>M719-F719</f>
        <v>35</v>
      </c>
      <c r="O719" s="110" t="s">
        <v>100</v>
      </c>
      <c r="P719" s="83"/>
      <c r="Q719" s="83">
        <v>440</v>
      </c>
      <c r="R719" s="83"/>
      <c r="S719" s="83">
        <v>428</v>
      </c>
      <c r="T719" s="110">
        <f>S719-Q719</f>
        <v>-12</v>
      </c>
      <c r="U719" s="59">
        <f t="shared" si="1077"/>
        <v>4</v>
      </c>
      <c r="V719" s="83"/>
      <c r="W719" s="83">
        <v>424</v>
      </c>
      <c r="X719" s="110">
        <f>W719-M719</f>
        <v>-16</v>
      </c>
      <c r="Y719" s="110"/>
      <c r="Z719" s="110"/>
      <c r="AA719" s="110"/>
      <c r="AB719" s="83"/>
      <c r="AC719" s="106"/>
      <c r="AD719" s="106"/>
      <c r="AE719" s="100">
        <f t="shared" si="1079"/>
        <v>8.6419753086419748E-2</v>
      </c>
      <c r="AF719" s="90"/>
      <c r="AG719" s="109">
        <f t="shared" si="1080"/>
        <v>0</v>
      </c>
      <c r="AH719" s="100">
        <f t="shared" si="1081"/>
        <v>5.6790123456790124E-2</v>
      </c>
      <c r="AI719" s="100">
        <f t="shared" si="1082"/>
        <v>4.6913580246913583E-2</v>
      </c>
    </row>
    <row r="720" spans="1:35" s="86" customFormat="1" ht="18.75" customHeight="1" x14ac:dyDescent="0.3">
      <c r="A720" s="106"/>
      <c r="B720" s="106" t="s">
        <v>52</v>
      </c>
      <c r="C720" s="118">
        <v>48033</v>
      </c>
      <c r="D720" s="311"/>
      <c r="E720" s="157" t="s">
        <v>202</v>
      </c>
      <c r="F720" s="83">
        <v>405</v>
      </c>
      <c r="G720" s="83"/>
      <c r="H720" s="83"/>
      <c r="I720" s="83"/>
      <c r="J720" s="83"/>
      <c r="K720" s="83"/>
      <c r="L720" s="83"/>
      <c r="M720" s="83">
        <v>440</v>
      </c>
      <c r="N720" s="110">
        <f>M720-F720</f>
        <v>35</v>
      </c>
      <c r="O720" s="110" t="s">
        <v>100</v>
      </c>
      <c r="P720" s="83"/>
      <c r="Q720" s="83">
        <v>440</v>
      </c>
      <c r="R720" s="83"/>
      <c r="S720" s="83">
        <v>440</v>
      </c>
      <c r="T720" s="110">
        <f>S720-Q720</f>
        <v>0</v>
      </c>
      <c r="U720" s="59">
        <f t="shared" si="1077"/>
        <v>5</v>
      </c>
      <c r="V720" s="83"/>
      <c r="W720" s="83">
        <v>435</v>
      </c>
      <c r="X720" s="110">
        <f>W720-M720</f>
        <v>-5</v>
      </c>
      <c r="Y720" s="110"/>
      <c r="Z720" s="110"/>
      <c r="AA720" s="110"/>
      <c r="AB720" s="83"/>
      <c r="AC720" s="106"/>
      <c r="AD720" s="106"/>
      <c r="AE720" s="100">
        <f t="shared" si="1079"/>
        <v>8.6419753086419748E-2</v>
      </c>
      <c r="AF720" s="90"/>
      <c r="AG720" s="109">
        <f t="shared" si="1080"/>
        <v>0</v>
      </c>
      <c r="AH720" s="100">
        <f t="shared" si="1081"/>
        <v>8.6419753086419748E-2</v>
      </c>
      <c r="AI720" s="100">
        <f t="shared" si="1082"/>
        <v>7.407407407407407E-2</v>
      </c>
    </row>
    <row r="721" spans="1:35" s="82" customFormat="1" ht="16.5" customHeight="1" x14ac:dyDescent="0.3">
      <c r="A721" s="90" t="s">
        <v>46</v>
      </c>
      <c r="B721" s="90" t="s">
        <v>52</v>
      </c>
      <c r="C721" s="137"/>
      <c r="D721" s="90"/>
      <c r="E721" s="80"/>
      <c r="F721" s="81">
        <f>SUM(F719:F720)</f>
        <v>810</v>
      </c>
      <c r="G721" s="81"/>
      <c r="H721" s="81" t="s">
        <v>50</v>
      </c>
      <c r="I721" s="81"/>
      <c r="J721" s="81" t="s">
        <v>60</v>
      </c>
      <c r="K721" s="85" t="s">
        <v>226</v>
      </c>
      <c r="L721" s="81">
        <f>SUM(L719:L720)</f>
        <v>0</v>
      </c>
      <c r="M721" s="81">
        <f>SUM(M719:M720)</f>
        <v>880</v>
      </c>
      <c r="N721" s="81">
        <f>SUM(N719:N720)</f>
        <v>70</v>
      </c>
      <c r="O721" s="81" t="s">
        <v>175</v>
      </c>
      <c r="P721" s="81">
        <f>SUM(P719:P720)</f>
        <v>0</v>
      </c>
      <c r="Q721" s="81">
        <f>SUM(Q719:Q720)</f>
        <v>880</v>
      </c>
      <c r="R721" s="81">
        <f>SUM(R719:R720)</f>
        <v>0</v>
      </c>
      <c r="S721" s="81">
        <f>SUM(S719:S720)</f>
        <v>868</v>
      </c>
      <c r="T721" s="81">
        <f>SUM(T719:T720)</f>
        <v>-12</v>
      </c>
      <c r="U721" s="59">
        <f t="shared" si="1077"/>
        <v>9</v>
      </c>
      <c r="V721" s="81">
        <f>SUM(V719:V720)</f>
        <v>0</v>
      </c>
      <c r="W721" s="81">
        <f>SUM(W719:W720)</f>
        <v>859</v>
      </c>
      <c r="X721" s="81">
        <f>SUM(X719:X720)</f>
        <v>-21</v>
      </c>
      <c r="Y721" s="81" t="s">
        <v>47</v>
      </c>
      <c r="Z721" s="110" t="s">
        <v>45</v>
      </c>
      <c r="AA721" s="110"/>
      <c r="AB721" s="84"/>
      <c r="AC721" s="136"/>
      <c r="AD721" s="136"/>
      <c r="AE721" s="100">
        <f t="shared" si="1079"/>
        <v>8.6419753086419748E-2</v>
      </c>
      <c r="AF721" s="90"/>
      <c r="AG721" s="109">
        <f t="shared" si="1080"/>
        <v>0</v>
      </c>
      <c r="AH721" s="100">
        <f t="shared" si="1081"/>
        <v>7.160493827160494E-2</v>
      </c>
      <c r="AI721" s="100">
        <f t="shared" si="1082"/>
        <v>6.0493827160493827E-2</v>
      </c>
    </row>
    <row r="722" spans="1:35" s="86" customFormat="1" ht="18.75" customHeight="1" x14ac:dyDescent="0.3">
      <c r="A722" s="106"/>
      <c r="B722" s="106" t="s">
        <v>52</v>
      </c>
      <c r="C722" s="118">
        <v>48031</v>
      </c>
      <c r="D722" s="310">
        <v>13255268</v>
      </c>
      <c r="E722" s="157" t="s">
        <v>453</v>
      </c>
      <c r="F722" s="83">
        <v>930</v>
      </c>
      <c r="G722" s="83"/>
      <c r="H722" s="83"/>
      <c r="I722" s="83"/>
      <c r="J722" s="83"/>
      <c r="K722" s="83"/>
      <c r="L722" s="83"/>
      <c r="M722" s="83">
        <f>964</f>
        <v>964</v>
      </c>
      <c r="N722" s="110">
        <f>M722-F722</f>
        <v>34</v>
      </c>
      <c r="O722" s="110" t="s">
        <v>100</v>
      </c>
      <c r="P722" s="83"/>
      <c r="Q722" s="83"/>
      <c r="R722" s="83"/>
      <c r="S722" s="83"/>
      <c r="T722" s="110">
        <f>S722-Q722</f>
        <v>0</v>
      </c>
      <c r="U722" s="59">
        <f t="shared" si="1077"/>
        <v>7</v>
      </c>
      <c r="V722" s="83"/>
      <c r="W722" s="83">
        <v>957</v>
      </c>
      <c r="X722" s="110">
        <f>W722-M722</f>
        <v>-7</v>
      </c>
      <c r="Y722" s="110"/>
      <c r="Z722" s="110"/>
      <c r="AA722" s="110"/>
      <c r="AB722" s="83"/>
      <c r="AC722" s="106"/>
      <c r="AD722" s="106"/>
      <c r="AE722" s="100">
        <f t="shared" si="1079"/>
        <v>3.6559139784946237E-2</v>
      </c>
      <c r="AF722" s="90"/>
      <c r="AG722" s="109">
        <f t="shared" si="1080"/>
        <v>0</v>
      </c>
      <c r="AH722" s="100">
        <f t="shared" si="1081"/>
        <v>-1</v>
      </c>
      <c r="AI722" s="100">
        <f t="shared" si="1082"/>
        <v>2.903225806451613E-2</v>
      </c>
    </row>
    <row r="723" spans="1:35" s="86" customFormat="1" ht="18.75" customHeight="1" x14ac:dyDescent="0.3">
      <c r="A723" s="106"/>
      <c r="B723" s="106" t="s">
        <v>52</v>
      </c>
      <c r="C723" s="118">
        <v>48031</v>
      </c>
      <c r="D723" s="311"/>
      <c r="E723" s="157" t="s">
        <v>455</v>
      </c>
      <c r="F723" s="83">
        <v>930</v>
      </c>
      <c r="G723" s="83"/>
      <c r="H723" s="83"/>
      <c r="I723" s="83"/>
      <c r="J723" s="83"/>
      <c r="K723" s="83"/>
      <c r="L723" s="83"/>
      <c r="M723" s="83">
        <v>964</v>
      </c>
      <c r="N723" s="110">
        <f>M723-F723</f>
        <v>34</v>
      </c>
      <c r="O723" s="110" t="s">
        <v>100</v>
      </c>
      <c r="P723" s="83"/>
      <c r="Q723" s="83"/>
      <c r="R723" s="83"/>
      <c r="S723" s="83"/>
      <c r="T723" s="110">
        <f>S723-Q723</f>
        <v>0</v>
      </c>
      <c r="U723" s="59">
        <f t="shared" si="1077"/>
        <v>4</v>
      </c>
      <c r="V723" s="83"/>
      <c r="W723" s="83">
        <v>960</v>
      </c>
      <c r="X723" s="110">
        <f>W723-M723</f>
        <v>-4</v>
      </c>
      <c r="Y723" s="110"/>
      <c r="Z723" s="110"/>
      <c r="AA723" s="110"/>
      <c r="AB723" s="83"/>
      <c r="AC723" s="106"/>
      <c r="AD723" s="106"/>
      <c r="AE723" s="100">
        <f t="shared" si="1079"/>
        <v>3.6559139784946237E-2</v>
      </c>
      <c r="AF723" s="90"/>
      <c r="AG723" s="109">
        <f t="shared" si="1080"/>
        <v>0</v>
      </c>
      <c r="AH723" s="100">
        <f t="shared" si="1081"/>
        <v>-1</v>
      </c>
      <c r="AI723" s="100">
        <f t="shared" si="1082"/>
        <v>3.2258064516129031E-2</v>
      </c>
    </row>
    <row r="724" spans="1:35" s="82" customFormat="1" ht="16.5" customHeight="1" x14ac:dyDescent="0.3">
      <c r="A724" s="90" t="s">
        <v>46</v>
      </c>
      <c r="B724" s="90" t="s">
        <v>52</v>
      </c>
      <c r="C724" s="137"/>
      <c r="D724" s="90"/>
      <c r="E724" s="80"/>
      <c r="F724" s="81">
        <f>SUM(F722:F723)</f>
        <v>1860</v>
      </c>
      <c r="G724" s="81"/>
      <c r="H724" s="81" t="s">
        <v>50</v>
      </c>
      <c r="I724" s="81"/>
      <c r="J724" s="81" t="s">
        <v>60</v>
      </c>
      <c r="K724" s="85" t="s">
        <v>226</v>
      </c>
      <c r="L724" s="81">
        <f>SUM(L722:L723)</f>
        <v>0</v>
      </c>
      <c r="M724" s="81">
        <f>SUM(M722:M723)</f>
        <v>1928</v>
      </c>
      <c r="N724" s="81">
        <f>SUM(N722:N723)</f>
        <v>68</v>
      </c>
      <c r="O724" s="81"/>
      <c r="P724" s="81">
        <f>SUM(P722:P723)</f>
        <v>0</v>
      </c>
      <c r="Q724" s="81">
        <f>SUM(Q722:Q723)</f>
        <v>0</v>
      </c>
      <c r="R724" s="81">
        <f>SUM(R722:R723)</f>
        <v>0</v>
      </c>
      <c r="S724" s="81">
        <f>SUM(S722:S723)</f>
        <v>0</v>
      </c>
      <c r="T724" s="81">
        <f>SUM(T722:T723)</f>
        <v>0</v>
      </c>
      <c r="U724" s="59">
        <f t="shared" si="1077"/>
        <v>11</v>
      </c>
      <c r="V724" s="81">
        <f>SUM(V722:V723)</f>
        <v>0</v>
      </c>
      <c r="W724" s="81">
        <f>SUM(W722:W723)</f>
        <v>1917</v>
      </c>
      <c r="X724" s="81">
        <f>SUM(X722:X723)</f>
        <v>-11</v>
      </c>
      <c r="Y724" s="81"/>
      <c r="Z724" s="110"/>
      <c r="AA724" s="110"/>
      <c r="AB724" s="84"/>
      <c r="AC724" s="136"/>
      <c r="AD724" s="136"/>
      <c r="AE724" s="100">
        <f t="shared" si="1079"/>
        <v>3.6559139784946237E-2</v>
      </c>
      <c r="AF724" s="90"/>
      <c r="AG724" s="109">
        <f t="shared" si="1080"/>
        <v>0</v>
      </c>
      <c r="AH724" s="100">
        <f t="shared" si="1081"/>
        <v>-1</v>
      </c>
      <c r="AI724" s="100">
        <f t="shared" si="1082"/>
        <v>3.0645161290322579E-2</v>
      </c>
    </row>
    <row r="725" spans="1:35" s="86" customFormat="1" ht="18.75" customHeight="1" x14ac:dyDescent="0.3">
      <c r="A725" s="106"/>
      <c r="B725" s="106" t="s">
        <v>52</v>
      </c>
      <c r="C725" s="118">
        <v>48025</v>
      </c>
      <c r="D725" s="310">
        <v>13251958</v>
      </c>
      <c r="E725" s="157" t="s">
        <v>408</v>
      </c>
      <c r="F725" s="83">
        <v>1010</v>
      </c>
      <c r="G725" s="83"/>
      <c r="H725" s="83"/>
      <c r="I725" s="83"/>
      <c r="J725" s="83"/>
      <c r="K725" s="83"/>
      <c r="L725" s="83"/>
      <c r="M725" s="83">
        <f>899+170</f>
        <v>1069</v>
      </c>
      <c r="N725" s="110">
        <f>M725-F725</f>
        <v>59</v>
      </c>
      <c r="O725" s="110" t="s">
        <v>100</v>
      </c>
      <c r="P725" s="83"/>
      <c r="Q725" s="83">
        <f>899+170</f>
        <v>1069</v>
      </c>
      <c r="R725" s="83"/>
      <c r="S725" s="83">
        <v>1061</v>
      </c>
      <c r="T725" s="110">
        <f>S725-Q725</f>
        <v>-8</v>
      </c>
      <c r="U725" s="59">
        <f t="shared" si="1077"/>
        <v>1</v>
      </c>
      <c r="V725" s="83"/>
      <c r="W725" s="83">
        <f>1060</f>
        <v>1060</v>
      </c>
      <c r="X725" s="110">
        <f>W725-M725</f>
        <v>-9</v>
      </c>
      <c r="Y725" s="110"/>
      <c r="Z725" s="110"/>
      <c r="AA725" s="110"/>
      <c r="AB725" s="83"/>
      <c r="AC725" s="106"/>
      <c r="AD725" s="106"/>
      <c r="AE725" s="100">
        <f t="shared" ref="AE725:AE728" si="1101">N725/F725</f>
        <v>5.8415841584158419E-2</v>
      </c>
      <c r="AF725" s="90"/>
      <c r="AG725" s="109">
        <f t="shared" ref="AG725:AG728" si="1102">IF(N725&lt;0,N725,0)</f>
        <v>0</v>
      </c>
      <c r="AH725" s="100">
        <f t="shared" ref="AH725:AH728" si="1103">(S725-F725)/F725</f>
        <v>5.0495049504950498E-2</v>
      </c>
      <c r="AI725" s="100">
        <f t="shared" ref="AI725:AI728" si="1104">(W725-F725)/F725</f>
        <v>4.9504950495049507E-2</v>
      </c>
    </row>
    <row r="726" spans="1:35" s="86" customFormat="1" ht="18.75" customHeight="1" x14ac:dyDescent="0.3">
      <c r="A726" s="106"/>
      <c r="B726" s="106" t="s">
        <v>52</v>
      </c>
      <c r="C726" s="118">
        <v>48025</v>
      </c>
      <c r="D726" s="311"/>
      <c r="E726" s="157" t="s">
        <v>187</v>
      </c>
      <c r="F726" s="83">
        <v>844</v>
      </c>
      <c r="G726" s="83"/>
      <c r="H726" s="83"/>
      <c r="I726" s="83"/>
      <c r="J726" s="83"/>
      <c r="K726" s="83"/>
      <c r="L726" s="83"/>
      <c r="M726" s="83">
        <f>888</f>
        <v>888</v>
      </c>
      <c r="N726" s="110">
        <f>M726-F726</f>
        <v>44</v>
      </c>
      <c r="O726" s="110" t="s">
        <v>100</v>
      </c>
      <c r="P726" s="83"/>
      <c r="Q726" s="83">
        <v>888</v>
      </c>
      <c r="R726" s="83"/>
      <c r="S726" s="83">
        <f>886</f>
        <v>886</v>
      </c>
      <c r="T726" s="110">
        <f>S726-Q726</f>
        <v>-2</v>
      </c>
      <c r="U726" s="59">
        <f t="shared" ref="U726" si="1105">IF(Q726&gt;0,S726-W726,M726-W726)</f>
        <v>4</v>
      </c>
      <c r="V726" s="83"/>
      <c r="W726" s="83">
        <f>882</f>
        <v>882</v>
      </c>
      <c r="X726" s="110">
        <f>W726-M726</f>
        <v>-6</v>
      </c>
      <c r="Y726" s="110"/>
      <c r="Z726" s="110"/>
      <c r="AA726" s="110"/>
      <c r="AB726" s="83"/>
      <c r="AC726" s="106"/>
      <c r="AD726" s="106"/>
      <c r="AE726" s="100">
        <f t="shared" ref="AE726" si="1106">N726/F726</f>
        <v>5.2132701421800945E-2</v>
      </c>
      <c r="AF726" s="90"/>
      <c r="AG726" s="109">
        <f t="shared" ref="AG726" si="1107">IF(N726&lt;0,N726,0)</f>
        <v>0</v>
      </c>
      <c r="AH726" s="100">
        <f t="shared" ref="AH726" si="1108">(S726-F726)/F726</f>
        <v>4.9763033175355451E-2</v>
      </c>
      <c r="AI726" s="100">
        <f t="shared" ref="AI726" si="1109">(W726-F726)/F726</f>
        <v>4.5023696682464455E-2</v>
      </c>
    </row>
    <row r="727" spans="1:35" s="86" customFormat="1" ht="18.75" customHeight="1" x14ac:dyDescent="0.3">
      <c r="A727" s="106"/>
      <c r="B727" s="106" t="s">
        <v>52</v>
      </c>
      <c r="C727" s="118">
        <v>48025</v>
      </c>
      <c r="D727" s="311"/>
      <c r="E727" s="157" t="s">
        <v>451</v>
      </c>
      <c r="F727" s="83">
        <v>1114</v>
      </c>
      <c r="G727" s="83"/>
      <c r="H727" s="83"/>
      <c r="I727" s="83"/>
      <c r="J727" s="83"/>
      <c r="K727" s="83"/>
      <c r="L727" s="83"/>
      <c r="M727" s="83">
        <f>700+476</f>
        <v>1176</v>
      </c>
      <c r="N727" s="110">
        <f>M727-F727</f>
        <v>62</v>
      </c>
      <c r="O727" s="110" t="s">
        <v>100</v>
      </c>
      <c r="P727" s="83"/>
      <c r="Q727" s="83">
        <v>1176</v>
      </c>
      <c r="R727" s="83"/>
      <c r="S727" s="83">
        <v>1168</v>
      </c>
      <c r="T727" s="110">
        <f>S727-Q727</f>
        <v>-8</v>
      </c>
      <c r="U727" s="59">
        <f t="shared" si="1077"/>
        <v>0</v>
      </c>
      <c r="V727" s="83"/>
      <c r="W727" s="83">
        <f>1168</f>
        <v>1168</v>
      </c>
      <c r="X727" s="110">
        <f>W727-M727</f>
        <v>-8</v>
      </c>
      <c r="Y727" s="110"/>
      <c r="Z727" s="110"/>
      <c r="AA727" s="110"/>
      <c r="AB727" s="83"/>
      <c r="AC727" s="106"/>
      <c r="AD727" s="106"/>
      <c r="AE727" s="100">
        <f t="shared" si="1101"/>
        <v>5.565529622980251E-2</v>
      </c>
      <c r="AF727" s="90"/>
      <c r="AG727" s="109">
        <f t="shared" si="1102"/>
        <v>0</v>
      </c>
      <c r="AH727" s="100">
        <f t="shared" si="1103"/>
        <v>4.8473967684021541E-2</v>
      </c>
      <c r="AI727" s="100">
        <f t="shared" si="1104"/>
        <v>4.8473967684021541E-2</v>
      </c>
    </row>
    <row r="728" spans="1:35" s="82" customFormat="1" ht="16.5" customHeight="1" x14ac:dyDescent="0.3">
      <c r="A728" s="90" t="s">
        <v>46</v>
      </c>
      <c r="B728" s="90" t="s">
        <v>52</v>
      </c>
      <c r="C728" s="137"/>
      <c r="D728" s="90"/>
      <c r="E728" s="80"/>
      <c r="F728" s="81">
        <f>SUM(F725:F727)</f>
        <v>2968</v>
      </c>
      <c r="G728" s="81"/>
      <c r="H728" s="81" t="s">
        <v>50</v>
      </c>
      <c r="I728" s="81"/>
      <c r="J728" s="81" t="s">
        <v>60</v>
      </c>
      <c r="K728" s="85" t="s">
        <v>226</v>
      </c>
      <c r="L728" s="81">
        <f>SUM(L725:L727)</f>
        <v>0</v>
      </c>
      <c r="M728" s="81">
        <f>SUM(M725:M727)</f>
        <v>3133</v>
      </c>
      <c r="N728" s="81">
        <f>SUM(N725:N727)</f>
        <v>165</v>
      </c>
      <c r="O728" s="81" t="s">
        <v>316</v>
      </c>
      <c r="P728" s="81">
        <f>SUM(P725:P727)</f>
        <v>0</v>
      </c>
      <c r="Q728" s="81">
        <f>SUM(Q725:Q727)</f>
        <v>3133</v>
      </c>
      <c r="R728" s="81">
        <f>SUM(R725:R727)</f>
        <v>0</v>
      </c>
      <c r="S728" s="81">
        <f>SUM(S725:S727)</f>
        <v>3115</v>
      </c>
      <c r="T728" s="81">
        <f>SUM(T725:T727)</f>
        <v>-18</v>
      </c>
      <c r="U728" s="59">
        <f t="shared" si="1077"/>
        <v>5</v>
      </c>
      <c r="V728" s="81">
        <f>SUM(V725:V727)</f>
        <v>0</v>
      </c>
      <c r="W728" s="81">
        <f>SUM(W725:W727)</f>
        <v>3110</v>
      </c>
      <c r="X728" s="81">
        <f>SUM(X725:X727)</f>
        <v>-23</v>
      </c>
      <c r="Y728" s="81" t="s">
        <v>47</v>
      </c>
      <c r="Z728" s="110" t="s">
        <v>45</v>
      </c>
      <c r="AA728" s="110"/>
      <c r="AB728" s="84"/>
      <c r="AC728" s="136"/>
      <c r="AD728" s="136"/>
      <c r="AE728" s="100">
        <f t="shared" si="1101"/>
        <v>5.5592991913746628E-2</v>
      </c>
      <c r="AF728" s="90"/>
      <c r="AG728" s="109">
        <f t="shared" si="1102"/>
        <v>0</v>
      </c>
      <c r="AH728" s="100">
        <f t="shared" si="1103"/>
        <v>4.9528301886792456E-2</v>
      </c>
      <c r="AI728" s="100">
        <f t="shared" si="1104"/>
        <v>4.7843665768194071E-2</v>
      </c>
    </row>
    <row r="729" spans="1:35" s="86" customFormat="1" ht="18.75" customHeight="1" x14ac:dyDescent="0.3">
      <c r="A729" s="106"/>
      <c r="B729" s="106" t="s">
        <v>52</v>
      </c>
      <c r="C729" s="118">
        <v>48028</v>
      </c>
      <c r="D729" s="310">
        <v>13226054</v>
      </c>
      <c r="E729" s="157" t="s">
        <v>402</v>
      </c>
      <c r="F729" s="83">
        <v>918</v>
      </c>
      <c r="G729" s="83"/>
      <c r="H729" s="83"/>
      <c r="I729" s="83"/>
      <c r="J729" s="83"/>
      <c r="K729" s="83"/>
      <c r="L729" s="83"/>
      <c r="M729" s="83">
        <f>900+50</f>
        <v>950</v>
      </c>
      <c r="N729" s="110">
        <f>M729-F729</f>
        <v>32</v>
      </c>
      <c r="O729" s="110" t="s">
        <v>100</v>
      </c>
      <c r="P729" s="83"/>
      <c r="Q729" s="83">
        <v>950</v>
      </c>
      <c r="R729" s="83"/>
      <c r="S729" s="83">
        <v>949</v>
      </c>
      <c r="T729" s="110">
        <f>S729-Q729</f>
        <v>-1</v>
      </c>
      <c r="U729" s="59">
        <f t="shared" si="1077"/>
        <v>4</v>
      </c>
      <c r="V729" s="83"/>
      <c r="W729" s="83">
        <v>945</v>
      </c>
      <c r="X729" s="110">
        <f>W729-M729</f>
        <v>-5</v>
      </c>
      <c r="Y729" s="110"/>
      <c r="Z729" s="110"/>
      <c r="AA729" s="110"/>
      <c r="AB729" s="83"/>
      <c r="AC729" s="106"/>
      <c r="AD729" s="106"/>
      <c r="AE729" s="100">
        <f t="shared" si="1079"/>
        <v>3.4858387799564274E-2</v>
      </c>
      <c r="AF729" s="90"/>
      <c r="AG729" s="109">
        <f t="shared" si="1080"/>
        <v>0</v>
      </c>
      <c r="AH729" s="100">
        <f t="shared" si="1081"/>
        <v>3.3769063180827889E-2</v>
      </c>
      <c r="AI729" s="100">
        <f t="shared" si="1082"/>
        <v>2.9411764705882353E-2</v>
      </c>
    </row>
    <row r="730" spans="1:35" s="86" customFormat="1" ht="18.75" customHeight="1" x14ac:dyDescent="0.3">
      <c r="A730" s="106"/>
      <c r="B730" s="106" t="s">
        <v>52</v>
      </c>
      <c r="C730" s="118">
        <v>48028</v>
      </c>
      <c r="D730" s="311"/>
      <c r="E730" s="157" t="s">
        <v>202</v>
      </c>
      <c r="F730" s="83">
        <v>918</v>
      </c>
      <c r="G730" s="83"/>
      <c r="H730" s="83"/>
      <c r="I730" s="83"/>
      <c r="J730" s="83"/>
      <c r="K730" s="83"/>
      <c r="L730" s="83"/>
      <c r="M730" s="83">
        <f>947+7</f>
        <v>954</v>
      </c>
      <c r="N730" s="110">
        <f>M730-F730</f>
        <v>36</v>
      </c>
      <c r="O730" s="110" t="s">
        <v>100</v>
      </c>
      <c r="P730" s="83"/>
      <c r="Q730" s="83">
        <f>947+7</f>
        <v>954</v>
      </c>
      <c r="R730" s="83"/>
      <c r="S730" s="83">
        <f>803+70+81</f>
        <v>954</v>
      </c>
      <c r="T730" s="110">
        <f>S730-Q730</f>
        <v>0</v>
      </c>
      <c r="U730" s="59">
        <f t="shared" ref="U730" si="1110">IF(Q730&gt;0,S730-W730,M730-W730)</f>
        <v>1</v>
      </c>
      <c r="V730" s="83"/>
      <c r="W730" s="83">
        <f>801+71+81</f>
        <v>953</v>
      </c>
      <c r="X730" s="110">
        <f>W730-M730</f>
        <v>-1</v>
      </c>
      <c r="Y730" s="110"/>
      <c r="Z730" s="110"/>
      <c r="AA730" s="110"/>
      <c r="AB730" s="83"/>
      <c r="AC730" s="106"/>
      <c r="AD730" s="106"/>
      <c r="AE730" s="100">
        <f t="shared" ref="AE730" si="1111">N730/F730</f>
        <v>3.9215686274509803E-2</v>
      </c>
      <c r="AF730" s="90"/>
      <c r="AG730" s="109">
        <f t="shared" ref="AG730" si="1112">IF(N730&lt;0,N730,0)</f>
        <v>0</v>
      </c>
      <c r="AH730" s="100">
        <f t="shared" ref="AH730" si="1113">(S730-F730)/F730</f>
        <v>3.9215686274509803E-2</v>
      </c>
      <c r="AI730" s="100">
        <f t="shared" ref="AI730" si="1114">(W730-F730)/F730</f>
        <v>3.8126361655773419E-2</v>
      </c>
    </row>
    <row r="731" spans="1:35" s="86" customFormat="1" ht="18.75" customHeight="1" x14ac:dyDescent="0.3">
      <c r="A731" s="106"/>
      <c r="B731" s="106" t="s">
        <v>52</v>
      </c>
      <c r="C731" s="118">
        <v>48028</v>
      </c>
      <c r="D731" s="311"/>
      <c r="E731" s="157" t="s">
        <v>240</v>
      </c>
      <c r="F731" s="83">
        <v>801</v>
      </c>
      <c r="G731" s="83"/>
      <c r="H731" s="83"/>
      <c r="I731" s="83"/>
      <c r="J731" s="83"/>
      <c r="K731" s="83"/>
      <c r="L731" s="83"/>
      <c r="M731" s="83">
        <f>726+108</f>
        <v>834</v>
      </c>
      <c r="N731" s="110">
        <f>M731-F731</f>
        <v>33</v>
      </c>
      <c r="O731" s="110" t="s">
        <v>100</v>
      </c>
      <c r="P731" s="83"/>
      <c r="Q731" s="83">
        <f>726+108</f>
        <v>834</v>
      </c>
      <c r="R731" s="83"/>
      <c r="S731" s="83">
        <f>721+113</f>
        <v>834</v>
      </c>
      <c r="T731" s="110">
        <f>S731-Q731</f>
        <v>0</v>
      </c>
      <c r="U731" s="59">
        <f t="shared" si="1077"/>
        <v>9</v>
      </c>
      <c r="V731" s="83"/>
      <c r="W731" s="83">
        <v>825</v>
      </c>
      <c r="X731" s="110">
        <f>W731-M731</f>
        <v>-9</v>
      </c>
      <c r="Y731" s="110"/>
      <c r="Z731" s="110"/>
      <c r="AA731" s="110"/>
      <c r="AB731" s="83"/>
      <c r="AC731" s="106"/>
      <c r="AD731" s="106"/>
      <c r="AE731" s="100">
        <f t="shared" si="1079"/>
        <v>4.1198501872659173E-2</v>
      </c>
      <c r="AF731" s="90"/>
      <c r="AG731" s="109">
        <f t="shared" si="1080"/>
        <v>0</v>
      </c>
      <c r="AH731" s="100">
        <f t="shared" si="1081"/>
        <v>4.1198501872659173E-2</v>
      </c>
      <c r="AI731" s="100">
        <f t="shared" si="1082"/>
        <v>2.9962546816479401E-2</v>
      </c>
    </row>
    <row r="732" spans="1:35" s="82" customFormat="1" ht="16.5" customHeight="1" x14ac:dyDescent="0.3">
      <c r="A732" s="90" t="s">
        <v>46</v>
      </c>
      <c r="B732" s="90" t="s">
        <v>52</v>
      </c>
      <c r="C732" s="137"/>
      <c r="D732" s="90"/>
      <c r="E732" s="80"/>
      <c r="F732" s="81">
        <f>SUM(F729:F731)</f>
        <v>2637</v>
      </c>
      <c r="G732" s="81"/>
      <c r="H732" s="81" t="s">
        <v>50</v>
      </c>
      <c r="I732" s="81"/>
      <c r="J732" s="81" t="s">
        <v>60</v>
      </c>
      <c r="K732" s="85" t="s">
        <v>226</v>
      </c>
      <c r="L732" s="81">
        <f>SUM(L729:L731)</f>
        <v>0</v>
      </c>
      <c r="M732" s="81">
        <f>SUM(M729:M731)</f>
        <v>2738</v>
      </c>
      <c r="N732" s="81">
        <f>SUM(N729:N731)</f>
        <v>101</v>
      </c>
      <c r="O732" s="81" t="s">
        <v>245</v>
      </c>
      <c r="P732" s="81">
        <f>SUM(P729:P731)</f>
        <v>0</v>
      </c>
      <c r="Q732" s="81">
        <f>SUM(Q729:Q731)</f>
        <v>2738</v>
      </c>
      <c r="R732" s="81">
        <f>SUM(R729:R731)</f>
        <v>0</v>
      </c>
      <c r="S732" s="81">
        <f>SUM(S729:S731)</f>
        <v>2737</v>
      </c>
      <c r="T732" s="81">
        <f>SUM(T729:T731)</f>
        <v>-1</v>
      </c>
      <c r="U732" s="59">
        <f t="shared" si="1077"/>
        <v>14</v>
      </c>
      <c r="V732" s="81">
        <f>SUM(V729:V731)</f>
        <v>0</v>
      </c>
      <c r="W732" s="81">
        <f>SUM(W729:W731)</f>
        <v>2723</v>
      </c>
      <c r="X732" s="81">
        <f>SUM(X729:X731)</f>
        <v>-15</v>
      </c>
      <c r="Y732" s="81" t="s">
        <v>47</v>
      </c>
      <c r="Z732" s="110" t="s">
        <v>45</v>
      </c>
      <c r="AA732" s="110"/>
      <c r="AB732" s="84"/>
      <c r="AC732" s="136"/>
      <c r="AD732" s="136"/>
      <c r="AE732" s="100">
        <f t="shared" si="1079"/>
        <v>3.8301099734546831E-2</v>
      </c>
      <c r="AF732" s="90"/>
      <c r="AG732" s="109">
        <f t="shared" si="1080"/>
        <v>0</v>
      </c>
      <c r="AH732" s="100">
        <f t="shared" si="1081"/>
        <v>3.7921880925293895E-2</v>
      </c>
      <c r="AI732" s="100">
        <f t="shared" si="1082"/>
        <v>3.2612817595752748E-2</v>
      </c>
    </row>
    <row r="733" spans="1:35" s="86" customFormat="1" ht="18.75" customHeight="1" x14ac:dyDescent="0.3">
      <c r="A733" s="106"/>
      <c r="B733" s="106" t="s">
        <v>52</v>
      </c>
      <c r="C733" s="118">
        <v>48030</v>
      </c>
      <c r="D733" s="310">
        <v>13268149</v>
      </c>
      <c r="E733" s="157" t="s">
        <v>453</v>
      </c>
      <c r="F733" s="83">
        <v>405</v>
      </c>
      <c r="G733" s="83"/>
      <c r="H733" s="83"/>
      <c r="I733" s="83"/>
      <c r="J733" s="83"/>
      <c r="K733" s="83"/>
      <c r="L733" s="83"/>
      <c r="M733" s="83">
        <f>437</f>
        <v>437</v>
      </c>
      <c r="N733" s="110">
        <f>M733-F733</f>
        <v>32</v>
      </c>
      <c r="O733" s="110" t="s">
        <v>100</v>
      </c>
      <c r="P733" s="83"/>
      <c r="Q733" s="83">
        <f>417+20</f>
        <v>437</v>
      </c>
      <c r="R733" s="83"/>
      <c r="S733" s="83">
        <v>437</v>
      </c>
      <c r="T733" s="110">
        <f>S733-Q733</f>
        <v>0</v>
      </c>
      <c r="U733" s="59">
        <f t="shared" si="1077"/>
        <v>6</v>
      </c>
      <c r="V733" s="83"/>
      <c r="W733" s="83">
        <v>431</v>
      </c>
      <c r="X733" s="110">
        <f>W733-M733</f>
        <v>-6</v>
      </c>
      <c r="Y733" s="110"/>
      <c r="Z733" s="110"/>
      <c r="AA733" s="110"/>
      <c r="AB733" s="83"/>
      <c r="AC733" s="106"/>
      <c r="AD733" s="106"/>
      <c r="AE733" s="100">
        <f t="shared" si="1079"/>
        <v>7.9012345679012344E-2</v>
      </c>
      <c r="AF733" s="90"/>
      <c r="AG733" s="109">
        <f t="shared" si="1080"/>
        <v>0</v>
      </c>
      <c r="AH733" s="100">
        <f t="shared" si="1081"/>
        <v>7.9012345679012344E-2</v>
      </c>
      <c r="AI733" s="100">
        <f t="shared" si="1082"/>
        <v>6.4197530864197536E-2</v>
      </c>
    </row>
    <row r="734" spans="1:35" s="86" customFormat="1" ht="18.75" customHeight="1" x14ac:dyDescent="0.3">
      <c r="A734" s="106"/>
      <c r="B734" s="106" t="s">
        <v>52</v>
      </c>
      <c r="C734" s="118">
        <v>48030</v>
      </c>
      <c r="D734" s="311"/>
      <c r="E734" s="157" t="s">
        <v>454</v>
      </c>
      <c r="F734" s="83">
        <v>405</v>
      </c>
      <c r="G734" s="83"/>
      <c r="H734" s="83"/>
      <c r="I734" s="83"/>
      <c r="J734" s="83"/>
      <c r="K734" s="83"/>
      <c r="L734" s="83"/>
      <c r="M734" s="83">
        <v>437</v>
      </c>
      <c r="N734" s="110">
        <f>M734-F734</f>
        <v>32</v>
      </c>
      <c r="O734" s="110" t="s">
        <v>100</v>
      </c>
      <c r="P734" s="83"/>
      <c r="Q734" s="83">
        <v>437</v>
      </c>
      <c r="R734" s="83"/>
      <c r="S734" s="83">
        <v>437</v>
      </c>
      <c r="T734" s="110">
        <f>S734-Q734</f>
        <v>0</v>
      </c>
      <c r="U734" s="59">
        <f t="shared" si="1077"/>
        <v>5</v>
      </c>
      <c r="V734" s="83"/>
      <c r="W734" s="83">
        <v>432</v>
      </c>
      <c r="X734" s="110">
        <f>W734-M734</f>
        <v>-5</v>
      </c>
      <c r="Y734" s="110"/>
      <c r="Z734" s="110"/>
      <c r="AA734" s="110"/>
      <c r="AB734" s="83"/>
      <c r="AC734" s="106"/>
      <c r="AD734" s="106"/>
      <c r="AE734" s="100">
        <f t="shared" si="1079"/>
        <v>7.9012345679012344E-2</v>
      </c>
      <c r="AF734" s="90"/>
      <c r="AG734" s="109">
        <f t="shared" si="1080"/>
        <v>0</v>
      </c>
      <c r="AH734" s="100">
        <f t="shared" si="1081"/>
        <v>7.9012345679012344E-2</v>
      </c>
      <c r="AI734" s="100">
        <f t="shared" si="1082"/>
        <v>6.6666666666666666E-2</v>
      </c>
    </row>
    <row r="735" spans="1:35" s="82" customFormat="1" ht="16.5" customHeight="1" x14ac:dyDescent="0.3">
      <c r="A735" s="90" t="s">
        <v>46</v>
      </c>
      <c r="B735" s="90" t="s">
        <v>52</v>
      </c>
      <c r="C735" s="137"/>
      <c r="D735" s="90"/>
      <c r="E735" s="80"/>
      <c r="F735" s="81">
        <f>SUM(F733:F734)</f>
        <v>810</v>
      </c>
      <c r="G735" s="81"/>
      <c r="H735" s="81" t="s">
        <v>50</v>
      </c>
      <c r="I735" s="81"/>
      <c r="J735" s="81" t="s">
        <v>60</v>
      </c>
      <c r="K735" s="85" t="s">
        <v>226</v>
      </c>
      <c r="L735" s="81">
        <f>SUM(L733:L734)</f>
        <v>0</v>
      </c>
      <c r="M735" s="81">
        <f>SUM(M733:M734)</f>
        <v>874</v>
      </c>
      <c r="N735" s="81">
        <f>SUM(N733:N734)</f>
        <v>64</v>
      </c>
      <c r="O735" s="81" t="s">
        <v>666</v>
      </c>
      <c r="P735" s="81">
        <f>SUM(P733:P734)</f>
        <v>0</v>
      </c>
      <c r="Q735" s="81">
        <f>SUM(Q733:Q734)</f>
        <v>874</v>
      </c>
      <c r="R735" s="81">
        <f>SUM(R733:R734)</f>
        <v>0</v>
      </c>
      <c r="S735" s="81">
        <f>SUM(S733:S734)</f>
        <v>874</v>
      </c>
      <c r="T735" s="81">
        <f>SUM(T733:T734)</f>
        <v>0</v>
      </c>
      <c r="U735" s="59">
        <f t="shared" si="1077"/>
        <v>11</v>
      </c>
      <c r="V735" s="81">
        <f>SUM(V733:V734)</f>
        <v>0</v>
      </c>
      <c r="W735" s="81">
        <f>SUM(W733:W734)</f>
        <v>863</v>
      </c>
      <c r="X735" s="81">
        <f>SUM(X733:X734)</f>
        <v>-11</v>
      </c>
      <c r="Y735" s="81" t="s">
        <v>47</v>
      </c>
      <c r="Z735" s="110" t="s">
        <v>45</v>
      </c>
      <c r="AA735" s="110"/>
      <c r="AB735" s="84"/>
      <c r="AC735" s="136"/>
      <c r="AD735" s="136"/>
      <c r="AE735" s="100">
        <f t="shared" si="1079"/>
        <v>7.9012345679012344E-2</v>
      </c>
      <c r="AF735" s="90"/>
      <c r="AG735" s="109">
        <f t="shared" si="1080"/>
        <v>0</v>
      </c>
      <c r="AH735" s="100">
        <f t="shared" si="1081"/>
        <v>7.9012345679012344E-2</v>
      </c>
      <c r="AI735" s="100">
        <f t="shared" si="1082"/>
        <v>6.5432098765432101E-2</v>
      </c>
    </row>
    <row r="736" spans="1:35" s="86" customFormat="1" ht="18.75" customHeight="1" x14ac:dyDescent="0.3">
      <c r="A736" s="106"/>
      <c r="B736" s="106" t="s">
        <v>52</v>
      </c>
      <c r="C736" s="118">
        <v>48032</v>
      </c>
      <c r="D736" s="310">
        <v>13253726</v>
      </c>
      <c r="E736" s="157" t="s">
        <v>49</v>
      </c>
      <c r="F736" s="83">
        <v>405</v>
      </c>
      <c r="G736" s="83"/>
      <c r="H736" s="83"/>
      <c r="I736" s="83"/>
      <c r="J736" s="83"/>
      <c r="K736" s="83"/>
      <c r="L736" s="83"/>
      <c r="M736" s="83">
        <f>446</f>
        <v>446</v>
      </c>
      <c r="N736" s="110">
        <f>M736-F736</f>
        <v>41</v>
      </c>
      <c r="O736" s="110" t="s">
        <v>100</v>
      </c>
      <c r="P736" s="83"/>
      <c r="Q736" s="83">
        <f>129+312</f>
        <v>441</v>
      </c>
      <c r="R736" s="83"/>
      <c r="S736" s="83">
        <v>441</v>
      </c>
      <c r="T736" s="110">
        <f>S736-Q736</f>
        <v>0</v>
      </c>
      <c r="U736" s="59">
        <f t="shared" si="1077"/>
        <v>6</v>
      </c>
      <c r="V736" s="83"/>
      <c r="W736" s="83">
        <v>435</v>
      </c>
      <c r="X736" s="110">
        <f>W736-M736</f>
        <v>-11</v>
      </c>
      <c r="Y736" s="110"/>
      <c r="Z736" s="110"/>
      <c r="AA736" s="110"/>
      <c r="AB736" s="83"/>
      <c r="AC736" s="106"/>
      <c r="AD736" s="106"/>
      <c r="AE736" s="100">
        <f t="shared" si="1079"/>
        <v>0.10123456790123457</v>
      </c>
      <c r="AF736" s="90"/>
      <c r="AG736" s="109">
        <f t="shared" si="1080"/>
        <v>0</v>
      </c>
      <c r="AH736" s="100">
        <f t="shared" si="1081"/>
        <v>8.8888888888888892E-2</v>
      </c>
      <c r="AI736" s="100">
        <f t="shared" si="1082"/>
        <v>7.407407407407407E-2</v>
      </c>
    </row>
    <row r="737" spans="1:35" s="86" customFormat="1" ht="18.75" customHeight="1" x14ac:dyDescent="0.3">
      <c r="A737" s="106"/>
      <c r="B737" s="106" t="s">
        <v>52</v>
      </c>
      <c r="C737" s="118">
        <v>48032</v>
      </c>
      <c r="D737" s="311"/>
      <c r="E737" s="157" t="s">
        <v>452</v>
      </c>
      <c r="F737" s="83">
        <v>405</v>
      </c>
      <c r="G737" s="83"/>
      <c r="H737" s="83"/>
      <c r="I737" s="83"/>
      <c r="J737" s="83"/>
      <c r="K737" s="83"/>
      <c r="L737" s="83"/>
      <c r="M737" s="83">
        <v>435</v>
      </c>
      <c r="N737" s="110">
        <f>M737-F737</f>
        <v>30</v>
      </c>
      <c r="O737" s="110" t="s">
        <v>100</v>
      </c>
      <c r="P737" s="83"/>
      <c r="Q737" s="83">
        <v>435</v>
      </c>
      <c r="R737" s="83"/>
      <c r="S737" s="83">
        <v>433</v>
      </c>
      <c r="T737" s="110">
        <f>S737-Q737</f>
        <v>-2</v>
      </c>
      <c r="U737" s="59">
        <f t="shared" si="1077"/>
        <v>0</v>
      </c>
      <c r="V737" s="83"/>
      <c r="W737" s="83">
        <v>433</v>
      </c>
      <c r="X737" s="110">
        <f>W737-M737</f>
        <v>-2</v>
      </c>
      <c r="Y737" s="110"/>
      <c r="Z737" s="110"/>
      <c r="AA737" s="110"/>
      <c r="AB737" s="83"/>
      <c r="AC737" s="106"/>
      <c r="AD737" s="106"/>
      <c r="AE737" s="100">
        <f t="shared" si="1079"/>
        <v>7.407407407407407E-2</v>
      </c>
      <c r="AF737" s="90"/>
      <c r="AG737" s="109">
        <f t="shared" si="1080"/>
        <v>0</v>
      </c>
      <c r="AH737" s="100">
        <f t="shared" si="1081"/>
        <v>6.9135802469135796E-2</v>
      </c>
      <c r="AI737" s="100">
        <f t="shared" si="1082"/>
        <v>6.9135802469135796E-2</v>
      </c>
    </row>
    <row r="738" spans="1:35" s="82" customFormat="1" ht="16.5" customHeight="1" x14ac:dyDescent="0.3">
      <c r="A738" s="90" t="s">
        <v>46</v>
      </c>
      <c r="B738" s="90" t="s">
        <v>52</v>
      </c>
      <c r="C738" s="137"/>
      <c r="D738" s="90"/>
      <c r="E738" s="80"/>
      <c r="F738" s="81">
        <f>SUM(F736:F737)</f>
        <v>810</v>
      </c>
      <c r="G738" s="81"/>
      <c r="H738" s="81" t="s">
        <v>50</v>
      </c>
      <c r="I738" s="81"/>
      <c r="J738" s="81" t="s">
        <v>60</v>
      </c>
      <c r="K738" s="85" t="s">
        <v>226</v>
      </c>
      <c r="L738" s="81">
        <f>SUM(L736:L737)</f>
        <v>0</v>
      </c>
      <c r="M738" s="81">
        <f>SUM(M736:M737)</f>
        <v>881</v>
      </c>
      <c r="N738" s="81">
        <f>SUM(N736:N737)</f>
        <v>71</v>
      </c>
      <c r="O738" s="81" t="s">
        <v>832</v>
      </c>
      <c r="P738" s="81">
        <f>SUM(P736:P737)</f>
        <v>0</v>
      </c>
      <c r="Q738" s="81">
        <f>SUM(Q736:Q737)</f>
        <v>876</v>
      </c>
      <c r="R738" s="81">
        <f>SUM(R736:R737)</f>
        <v>0</v>
      </c>
      <c r="S738" s="81">
        <f>SUM(S736:S737)</f>
        <v>874</v>
      </c>
      <c r="T738" s="81">
        <f>SUM(T736:T737)</f>
        <v>-2</v>
      </c>
      <c r="U738" s="59">
        <f t="shared" si="1077"/>
        <v>6</v>
      </c>
      <c r="V738" s="81">
        <f>SUM(V736:V737)</f>
        <v>0</v>
      </c>
      <c r="W738" s="81">
        <f>SUM(W736:W737)</f>
        <v>868</v>
      </c>
      <c r="X738" s="81">
        <f>SUM(X736:X737)</f>
        <v>-13</v>
      </c>
      <c r="Y738" s="81" t="s">
        <v>47</v>
      </c>
      <c r="Z738" s="110" t="s">
        <v>45</v>
      </c>
      <c r="AA738" s="110"/>
      <c r="AB738" s="84"/>
      <c r="AC738" s="136"/>
      <c r="AD738" s="136"/>
      <c r="AE738" s="100">
        <f t="shared" si="1079"/>
        <v>8.7654320987654327E-2</v>
      </c>
      <c r="AF738" s="90"/>
      <c r="AG738" s="109">
        <f t="shared" si="1080"/>
        <v>0</v>
      </c>
      <c r="AH738" s="100">
        <f t="shared" si="1081"/>
        <v>7.9012345679012344E-2</v>
      </c>
      <c r="AI738" s="100">
        <f t="shared" si="1082"/>
        <v>7.160493827160494E-2</v>
      </c>
    </row>
    <row r="739" spans="1:35" s="86" customFormat="1" ht="18.75" customHeight="1" x14ac:dyDescent="0.3">
      <c r="A739" s="106"/>
      <c r="B739" s="106" t="s">
        <v>52</v>
      </c>
      <c r="C739" s="118">
        <v>48029</v>
      </c>
      <c r="D739" s="310">
        <v>13226065</v>
      </c>
      <c r="E739" s="157" t="s">
        <v>408</v>
      </c>
      <c r="F739" s="83">
        <v>804</v>
      </c>
      <c r="G739" s="83"/>
      <c r="H739" s="83"/>
      <c r="I739" s="83"/>
      <c r="J739" s="83"/>
      <c r="K739" s="83"/>
      <c r="L739" s="83"/>
      <c r="M739" s="83">
        <v>836</v>
      </c>
      <c r="N739" s="110">
        <f>M739-F739</f>
        <v>32</v>
      </c>
      <c r="O739" s="110" t="s">
        <v>100</v>
      </c>
      <c r="P739" s="83"/>
      <c r="Q739" s="83">
        <v>836</v>
      </c>
      <c r="R739" s="83"/>
      <c r="S739" s="83">
        <f>790+43</f>
        <v>833</v>
      </c>
      <c r="T739" s="110">
        <f>S739-Q739</f>
        <v>-3</v>
      </c>
      <c r="U739" s="59">
        <f t="shared" si="1077"/>
        <v>0</v>
      </c>
      <c r="V739" s="83"/>
      <c r="W739" s="83">
        <v>833</v>
      </c>
      <c r="X739" s="110">
        <f>W739-M739</f>
        <v>-3</v>
      </c>
      <c r="Y739" s="110"/>
      <c r="Z739" s="110"/>
      <c r="AA739" s="110"/>
      <c r="AB739" s="83"/>
      <c r="AC739" s="106"/>
      <c r="AD739" s="106"/>
      <c r="AE739" s="100">
        <f t="shared" ref="AE739:AE741" si="1115">N739/F739</f>
        <v>3.9800995024875621E-2</v>
      </c>
      <c r="AF739" s="90"/>
      <c r="AG739" s="109">
        <f t="shared" ref="AG739:AG741" si="1116">IF(N739&lt;0,N739,0)</f>
        <v>0</v>
      </c>
      <c r="AH739" s="100">
        <f t="shared" ref="AH739:AH741" si="1117">(S739-F739)/F739</f>
        <v>3.6069651741293535E-2</v>
      </c>
      <c r="AI739" s="100">
        <f t="shared" ref="AI739:AI741" si="1118">(W739-F739)/F739</f>
        <v>3.6069651741293535E-2</v>
      </c>
    </row>
    <row r="740" spans="1:35" s="86" customFormat="1" ht="18.75" customHeight="1" x14ac:dyDescent="0.3">
      <c r="A740" s="106"/>
      <c r="B740" s="106" t="s">
        <v>52</v>
      </c>
      <c r="C740" s="118">
        <v>48029</v>
      </c>
      <c r="D740" s="311"/>
      <c r="E740" s="157" t="s">
        <v>451</v>
      </c>
      <c r="F740" s="83">
        <v>804</v>
      </c>
      <c r="G740" s="83"/>
      <c r="H740" s="83"/>
      <c r="I740" s="83"/>
      <c r="J740" s="83"/>
      <c r="K740" s="83"/>
      <c r="L740" s="83"/>
      <c r="M740" s="83">
        <f>822+48</f>
        <v>870</v>
      </c>
      <c r="N740" s="110">
        <f>M740-F740</f>
        <v>66</v>
      </c>
      <c r="O740" s="110" t="s">
        <v>100</v>
      </c>
      <c r="P740" s="83"/>
      <c r="Q740" s="83">
        <f>815+48</f>
        <v>863</v>
      </c>
      <c r="R740" s="83"/>
      <c r="S740" s="83">
        <v>863</v>
      </c>
      <c r="T740" s="110">
        <f>S740-Q740</f>
        <v>0</v>
      </c>
      <c r="U740" s="59">
        <f t="shared" si="1077"/>
        <v>18</v>
      </c>
      <c r="V740" s="83"/>
      <c r="W740" s="83">
        <v>845</v>
      </c>
      <c r="X740" s="110">
        <f>W740-M740</f>
        <v>-25</v>
      </c>
      <c r="Y740" s="110"/>
      <c r="Z740" s="110"/>
      <c r="AA740" s="110"/>
      <c r="AB740" s="83"/>
      <c r="AC740" s="106"/>
      <c r="AD740" s="106"/>
      <c r="AE740" s="100">
        <f t="shared" si="1115"/>
        <v>8.2089552238805971E-2</v>
      </c>
      <c r="AF740" s="90"/>
      <c r="AG740" s="109">
        <f t="shared" si="1116"/>
        <v>0</v>
      </c>
      <c r="AH740" s="100">
        <f t="shared" si="1117"/>
        <v>7.3383084577114427E-2</v>
      </c>
      <c r="AI740" s="100">
        <f t="shared" si="1118"/>
        <v>5.0995024875621887E-2</v>
      </c>
    </row>
    <row r="741" spans="1:35" s="82" customFormat="1" ht="16.5" customHeight="1" x14ac:dyDescent="0.3">
      <c r="A741" s="90" t="s">
        <v>46</v>
      </c>
      <c r="B741" s="90" t="s">
        <v>52</v>
      </c>
      <c r="C741" s="137"/>
      <c r="D741" s="90"/>
      <c r="E741" s="80"/>
      <c r="F741" s="81">
        <f>SUM(F739:F740)</f>
        <v>1608</v>
      </c>
      <c r="G741" s="81"/>
      <c r="H741" s="81" t="s">
        <v>50</v>
      </c>
      <c r="I741" s="81"/>
      <c r="J741" s="81" t="s">
        <v>60</v>
      </c>
      <c r="K741" s="85" t="s">
        <v>226</v>
      </c>
      <c r="L741" s="81">
        <f>SUM(L739:L740)</f>
        <v>0</v>
      </c>
      <c r="M741" s="81">
        <f>SUM(M739:M740)</f>
        <v>1706</v>
      </c>
      <c r="N741" s="81">
        <f>SUM(N739:N740)</f>
        <v>98</v>
      </c>
      <c r="O741" s="81" t="s">
        <v>287</v>
      </c>
      <c r="P741" s="81">
        <f>SUM(P739:P740)</f>
        <v>0</v>
      </c>
      <c r="Q741" s="81">
        <f>SUM(Q739:Q740)</f>
        <v>1699</v>
      </c>
      <c r="R741" s="81">
        <f>SUM(R739:R740)</f>
        <v>0</v>
      </c>
      <c r="S741" s="81">
        <f>SUM(S739:S740)</f>
        <v>1696</v>
      </c>
      <c r="T741" s="81">
        <f>SUM(T739:T740)</f>
        <v>-3</v>
      </c>
      <c r="U741" s="59">
        <f t="shared" si="1077"/>
        <v>18</v>
      </c>
      <c r="V741" s="81">
        <f>SUM(V739:V740)</f>
        <v>0</v>
      </c>
      <c r="W741" s="81">
        <f>SUM(W739:W740)</f>
        <v>1678</v>
      </c>
      <c r="X741" s="81">
        <f>SUM(X739:X740)</f>
        <v>-28</v>
      </c>
      <c r="Y741" s="81" t="s">
        <v>47</v>
      </c>
      <c r="Z741" s="110" t="s">
        <v>45</v>
      </c>
      <c r="AA741" s="110"/>
      <c r="AB741" s="84"/>
      <c r="AC741" s="136"/>
      <c r="AD741" s="136"/>
      <c r="AE741" s="100">
        <f t="shared" si="1115"/>
        <v>6.0945273631840796E-2</v>
      </c>
      <c r="AF741" s="90"/>
      <c r="AG741" s="109">
        <f t="shared" si="1116"/>
        <v>0</v>
      </c>
      <c r="AH741" s="100">
        <f t="shared" si="1117"/>
        <v>5.4726368159203981E-2</v>
      </c>
      <c r="AI741" s="100">
        <f t="shared" si="1118"/>
        <v>4.3532338308457715E-2</v>
      </c>
    </row>
    <row r="742" spans="1:35" s="86" customFormat="1" ht="18.75" customHeight="1" x14ac:dyDescent="0.3">
      <c r="A742" s="106"/>
      <c r="B742" s="106" t="s">
        <v>52</v>
      </c>
      <c r="C742" s="118">
        <v>48080</v>
      </c>
      <c r="D742" s="310">
        <v>13262919</v>
      </c>
      <c r="E742" s="157" t="s">
        <v>145</v>
      </c>
      <c r="F742" s="83">
        <v>780</v>
      </c>
      <c r="G742" s="83"/>
      <c r="H742" s="83"/>
      <c r="I742" s="83"/>
      <c r="J742" s="83"/>
      <c r="K742" s="83"/>
      <c r="L742" s="83"/>
      <c r="M742" s="83">
        <f>288+340+199</f>
        <v>827</v>
      </c>
      <c r="N742" s="110">
        <f>M742-F742</f>
        <v>47</v>
      </c>
      <c r="O742" s="110" t="s">
        <v>100</v>
      </c>
      <c r="P742" s="83"/>
      <c r="Q742" s="83">
        <f>628+199</f>
        <v>827</v>
      </c>
      <c r="R742" s="83"/>
      <c r="S742" s="83">
        <v>827</v>
      </c>
      <c r="T742" s="110">
        <f>S742-Q742</f>
        <v>0</v>
      </c>
      <c r="U742" s="59">
        <f t="shared" si="1077"/>
        <v>827</v>
      </c>
      <c r="V742" s="83"/>
      <c r="W742" s="83"/>
      <c r="X742" s="110">
        <f>W742-M742</f>
        <v>-827</v>
      </c>
      <c r="Y742" s="110"/>
      <c r="Z742" s="110"/>
      <c r="AA742" s="110"/>
      <c r="AB742" s="83"/>
      <c r="AC742" s="106"/>
      <c r="AD742" s="106"/>
      <c r="AE742" s="100">
        <f t="shared" si="1079"/>
        <v>6.0256410256410257E-2</v>
      </c>
      <c r="AF742" s="90"/>
      <c r="AG742" s="109">
        <f t="shared" si="1080"/>
        <v>0</v>
      </c>
      <c r="AH742" s="100">
        <f t="shared" si="1081"/>
        <v>6.0256410256410257E-2</v>
      </c>
      <c r="AI742" s="100">
        <f t="shared" si="1082"/>
        <v>-1</v>
      </c>
    </row>
    <row r="743" spans="1:35" s="86" customFormat="1" ht="18.75" customHeight="1" x14ac:dyDescent="0.3">
      <c r="A743" s="106"/>
      <c r="B743" s="106" t="s">
        <v>52</v>
      </c>
      <c r="C743" s="118">
        <v>48080</v>
      </c>
      <c r="D743" s="311"/>
      <c r="E743" s="157" t="s">
        <v>332</v>
      </c>
      <c r="F743" s="83">
        <v>780</v>
      </c>
      <c r="G743" s="83"/>
      <c r="H743" s="83"/>
      <c r="I743" s="83"/>
      <c r="J743" s="83"/>
      <c r="K743" s="83"/>
      <c r="L743" s="83"/>
      <c r="M743" s="83">
        <f>628+192</f>
        <v>820</v>
      </c>
      <c r="N743" s="110">
        <f>M743-F743</f>
        <v>40</v>
      </c>
      <c r="O743" s="110" t="s">
        <v>100</v>
      </c>
      <c r="P743" s="83"/>
      <c r="Q743" s="83">
        <f>628+192</f>
        <v>820</v>
      </c>
      <c r="R743" s="83"/>
      <c r="S743" s="83">
        <v>820</v>
      </c>
      <c r="T743" s="110">
        <f>S743-Q743</f>
        <v>0</v>
      </c>
      <c r="U743" s="59">
        <f t="shared" si="1077"/>
        <v>820</v>
      </c>
      <c r="V743" s="83"/>
      <c r="W743" s="83"/>
      <c r="X743" s="110">
        <f>W743-M743</f>
        <v>-820</v>
      </c>
      <c r="Y743" s="110"/>
      <c r="Z743" s="110"/>
      <c r="AA743" s="110"/>
      <c r="AB743" s="83"/>
      <c r="AC743" s="106"/>
      <c r="AD743" s="106"/>
      <c r="AE743" s="100">
        <f t="shared" si="1079"/>
        <v>5.128205128205128E-2</v>
      </c>
      <c r="AF743" s="90"/>
      <c r="AG743" s="109">
        <f t="shared" si="1080"/>
        <v>0</v>
      </c>
      <c r="AH743" s="100">
        <f t="shared" si="1081"/>
        <v>5.128205128205128E-2</v>
      </c>
      <c r="AI743" s="100">
        <f t="shared" si="1082"/>
        <v>-1</v>
      </c>
    </row>
    <row r="744" spans="1:35" s="82" customFormat="1" ht="16.5" customHeight="1" x14ac:dyDescent="0.3">
      <c r="A744" s="90" t="s">
        <v>46</v>
      </c>
      <c r="B744" s="90" t="s">
        <v>52</v>
      </c>
      <c r="C744" s="137"/>
      <c r="D744" s="90"/>
      <c r="E744" s="80"/>
      <c r="F744" s="81">
        <f>SUM(F742:F743)</f>
        <v>1560</v>
      </c>
      <c r="G744" s="81"/>
      <c r="H744" s="81" t="s">
        <v>50</v>
      </c>
      <c r="I744" s="81"/>
      <c r="J744" s="81" t="s">
        <v>60</v>
      </c>
      <c r="K744" s="85" t="s">
        <v>341</v>
      </c>
      <c r="L744" s="81">
        <f>SUM(L742:L743)</f>
        <v>0</v>
      </c>
      <c r="M744" s="81">
        <f>SUM(M742:M743)</f>
        <v>1647</v>
      </c>
      <c r="N744" s="81">
        <f>SUM(N742:N743)</f>
        <v>87</v>
      </c>
      <c r="O744" s="81" t="s">
        <v>758</v>
      </c>
      <c r="P744" s="81">
        <f>SUM(P742:P743)</f>
        <v>0</v>
      </c>
      <c r="Q744" s="81">
        <f>SUM(Q742:Q743)</f>
        <v>1647</v>
      </c>
      <c r="R744" s="81">
        <f>SUM(R742:R743)</f>
        <v>0</v>
      </c>
      <c r="S744" s="81">
        <f>SUM(S742:S743)</f>
        <v>1647</v>
      </c>
      <c r="T744" s="81">
        <f>SUM(T742:T743)</f>
        <v>0</v>
      </c>
      <c r="U744" s="59">
        <f t="shared" si="1077"/>
        <v>1647</v>
      </c>
      <c r="V744" s="81">
        <f>SUM(V742:V743)</f>
        <v>0</v>
      </c>
      <c r="W744" s="81">
        <f>SUM(W742:W743)</f>
        <v>0</v>
      </c>
      <c r="X744" s="81">
        <f>SUM(X742:X743)</f>
        <v>-1647</v>
      </c>
      <c r="Y744" s="81" t="s">
        <v>47</v>
      </c>
      <c r="Z744" s="110" t="s">
        <v>45</v>
      </c>
      <c r="AA744" s="110"/>
      <c r="AB744" s="84"/>
      <c r="AC744" s="136"/>
      <c r="AD744" s="136"/>
      <c r="AE744" s="100">
        <f t="shared" si="1079"/>
        <v>5.5769230769230772E-2</v>
      </c>
      <c r="AF744" s="90"/>
      <c r="AG744" s="109">
        <f t="shared" si="1080"/>
        <v>0</v>
      </c>
      <c r="AH744" s="100">
        <f t="shared" si="1081"/>
        <v>5.5769230769230772E-2</v>
      </c>
      <c r="AI744" s="100">
        <f t="shared" si="1082"/>
        <v>-1</v>
      </c>
    </row>
    <row r="745" spans="1:35" s="86" customFormat="1" ht="18.75" customHeight="1" x14ac:dyDescent="0.3">
      <c r="A745" s="106"/>
      <c r="B745" s="106" t="s">
        <v>52</v>
      </c>
      <c r="C745" s="118">
        <v>48073</v>
      </c>
      <c r="D745" s="310">
        <v>13263395</v>
      </c>
      <c r="E745" s="157" t="s">
        <v>98</v>
      </c>
      <c r="F745" s="83">
        <v>2352</v>
      </c>
      <c r="G745" s="83"/>
      <c r="H745" s="83"/>
      <c r="I745" s="83"/>
      <c r="J745" s="83"/>
      <c r="K745" s="83"/>
      <c r="L745" s="83"/>
      <c r="M745" s="83">
        <f>520+710+320+432+432</f>
        <v>2414</v>
      </c>
      <c r="N745" s="110">
        <f>M745-F745</f>
        <v>62</v>
      </c>
      <c r="O745" s="110" t="s">
        <v>100</v>
      </c>
      <c r="P745" s="83"/>
      <c r="Q745" s="83">
        <f>1550+432+432</f>
        <v>2414</v>
      </c>
      <c r="R745" s="83"/>
      <c r="S745" s="83">
        <f>2316+39+20</f>
        <v>2375</v>
      </c>
      <c r="T745" s="110">
        <f>S745-Q745</f>
        <v>-39</v>
      </c>
      <c r="U745" s="59">
        <f t="shared" si="1077"/>
        <v>0</v>
      </c>
      <c r="V745" s="83"/>
      <c r="W745" s="83">
        <v>2375</v>
      </c>
      <c r="X745" s="110">
        <f>W745-M745</f>
        <v>-39</v>
      </c>
      <c r="Y745" s="110"/>
      <c r="Z745" s="110"/>
      <c r="AA745" s="110"/>
      <c r="AB745" s="83"/>
      <c r="AC745" s="106"/>
      <c r="AD745" s="106"/>
      <c r="AE745" s="100">
        <f t="shared" si="1079"/>
        <v>2.6360544217687076E-2</v>
      </c>
      <c r="AF745" s="90"/>
      <c r="AG745" s="109">
        <f t="shared" si="1080"/>
        <v>0</v>
      </c>
      <c r="AH745" s="100">
        <f t="shared" si="1081"/>
        <v>9.7789115646258508E-3</v>
      </c>
      <c r="AI745" s="100">
        <f t="shared" si="1082"/>
        <v>9.7789115646258508E-3</v>
      </c>
    </row>
    <row r="746" spans="1:35" s="86" customFormat="1" ht="18.75" customHeight="1" x14ac:dyDescent="0.3">
      <c r="A746" s="106"/>
      <c r="B746" s="106" t="s">
        <v>52</v>
      </c>
      <c r="C746" s="118">
        <v>48073</v>
      </c>
      <c r="D746" s="311"/>
      <c r="E746" s="157" t="s">
        <v>137</v>
      </c>
      <c r="F746" s="83">
        <v>2748</v>
      </c>
      <c r="G746" s="83"/>
      <c r="H746" s="83"/>
      <c r="I746" s="83"/>
      <c r="J746" s="83"/>
      <c r="K746" s="83"/>
      <c r="L746" s="83"/>
      <c r="M746" s="83">
        <f>432+1214+1172</f>
        <v>2818</v>
      </c>
      <c r="N746" s="110">
        <f>M746-F746</f>
        <v>70</v>
      </c>
      <c r="O746" s="110" t="s">
        <v>100</v>
      </c>
      <c r="P746" s="83"/>
      <c r="Q746" s="83">
        <f>432+1214+1172</f>
        <v>2818</v>
      </c>
      <c r="R746" s="83"/>
      <c r="S746" s="83">
        <f>2791</f>
        <v>2791</v>
      </c>
      <c r="T746" s="110">
        <f>S746-Q746</f>
        <v>-27</v>
      </c>
      <c r="U746" s="59">
        <f t="shared" si="1077"/>
        <v>4</v>
      </c>
      <c r="V746" s="83"/>
      <c r="W746" s="83">
        <v>2787</v>
      </c>
      <c r="X746" s="110">
        <f>W746-M746</f>
        <v>-31</v>
      </c>
      <c r="Y746" s="110"/>
      <c r="Z746" s="110"/>
      <c r="AA746" s="110"/>
      <c r="AB746" s="83"/>
      <c r="AC746" s="106"/>
      <c r="AD746" s="106"/>
      <c r="AE746" s="100">
        <f t="shared" ref="AE746" si="1119">N746/F746</f>
        <v>2.5473071324599708E-2</v>
      </c>
      <c r="AF746" s="90"/>
      <c r="AG746" s="109">
        <f t="shared" ref="AG746" si="1120">IF(N746&lt;0,N746,0)</f>
        <v>0</v>
      </c>
      <c r="AH746" s="100">
        <f t="shared" ref="AH746" si="1121">(S746-F746)/F746</f>
        <v>1.5647743813682679E-2</v>
      </c>
      <c r="AI746" s="100">
        <f t="shared" ref="AI746" si="1122">(W746-F746)/F746</f>
        <v>1.4192139737991267E-2</v>
      </c>
    </row>
    <row r="747" spans="1:35" s="82" customFormat="1" ht="16.5" customHeight="1" x14ac:dyDescent="0.3">
      <c r="A747" s="90" t="s">
        <v>46</v>
      </c>
      <c r="B747" s="90" t="s">
        <v>52</v>
      </c>
      <c r="C747" s="137"/>
      <c r="D747" s="90"/>
      <c r="E747" s="80"/>
      <c r="F747" s="81">
        <f>SUM(F745:F746)</f>
        <v>5100</v>
      </c>
      <c r="G747" s="81"/>
      <c r="H747" s="81" t="s">
        <v>50</v>
      </c>
      <c r="I747" s="81"/>
      <c r="J747" s="81" t="s">
        <v>60</v>
      </c>
      <c r="K747" s="85" t="s">
        <v>340</v>
      </c>
      <c r="L747" s="81">
        <f>SUM(L745:L746)</f>
        <v>0</v>
      </c>
      <c r="M747" s="81">
        <f>SUM(M745:M746)</f>
        <v>5232</v>
      </c>
      <c r="N747" s="81">
        <f>SUM(N745:N746)</f>
        <v>132</v>
      </c>
      <c r="O747" s="81" t="s">
        <v>473</v>
      </c>
      <c r="P747" s="81">
        <f>SUM(P745:P746)</f>
        <v>0</v>
      </c>
      <c r="Q747" s="81">
        <f>SUM(Q745:Q746)</f>
        <v>5232</v>
      </c>
      <c r="R747" s="81">
        <f>SUM(R745:R746)</f>
        <v>0</v>
      </c>
      <c r="S747" s="81">
        <f>SUM(S745:S746)</f>
        <v>5166</v>
      </c>
      <c r="T747" s="81">
        <f>SUM(T745:T746)</f>
        <v>-66</v>
      </c>
      <c r="U747" s="59">
        <f t="shared" si="1077"/>
        <v>4</v>
      </c>
      <c r="V747" s="81">
        <f>SUM(V745:V746)</f>
        <v>0</v>
      </c>
      <c r="W747" s="81">
        <f>SUM(W745:W746)</f>
        <v>5162</v>
      </c>
      <c r="X747" s="81">
        <f>SUM(X745:X746)</f>
        <v>-70</v>
      </c>
      <c r="Y747" s="81" t="s">
        <v>47</v>
      </c>
      <c r="Z747" s="110" t="s">
        <v>45</v>
      </c>
      <c r="AA747" s="110"/>
      <c r="AB747" s="84"/>
      <c r="AC747" s="136"/>
      <c r="AD747" s="136"/>
      <c r="AE747" s="100">
        <f t="shared" si="1079"/>
        <v>2.5882352941176471E-2</v>
      </c>
      <c r="AF747" s="90"/>
      <c r="AG747" s="109">
        <f t="shared" si="1080"/>
        <v>0</v>
      </c>
      <c r="AH747" s="100">
        <f t="shared" si="1081"/>
        <v>1.2941176470588235E-2</v>
      </c>
      <c r="AI747" s="100">
        <f t="shared" si="1082"/>
        <v>1.215686274509804E-2</v>
      </c>
    </row>
    <row r="748" spans="1:35" s="86" customFormat="1" ht="18.75" customHeight="1" x14ac:dyDescent="0.3">
      <c r="A748" s="106"/>
      <c r="B748" s="106" t="s">
        <v>52</v>
      </c>
      <c r="C748" s="118">
        <v>47686</v>
      </c>
      <c r="D748" s="310">
        <v>13262865</v>
      </c>
      <c r="E748" s="157" t="s">
        <v>206</v>
      </c>
      <c r="F748" s="83">
        <v>1190</v>
      </c>
      <c r="G748" s="83"/>
      <c r="H748" s="83"/>
      <c r="I748" s="83"/>
      <c r="J748" s="83"/>
      <c r="K748" s="83"/>
      <c r="L748" s="83"/>
      <c r="M748" s="83">
        <f>374+424+400+40</f>
        <v>1238</v>
      </c>
      <c r="N748" s="110">
        <f>M748-F748</f>
        <v>48</v>
      </c>
      <c r="O748" s="110" t="s">
        <v>100</v>
      </c>
      <c r="P748" s="83"/>
      <c r="Q748" s="83"/>
      <c r="R748" s="83"/>
      <c r="S748" s="83"/>
      <c r="T748" s="110">
        <f>S748-Q748</f>
        <v>0</v>
      </c>
      <c r="U748" s="59">
        <f t="shared" si="1077"/>
        <v>0</v>
      </c>
      <c r="V748" s="83"/>
      <c r="W748" s="83">
        <v>1238</v>
      </c>
      <c r="X748" s="110">
        <f>W748-M748</f>
        <v>0</v>
      </c>
      <c r="Y748" s="110"/>
      <c r="Z748" s="110"/>
      <c r="AA748" s="110"/>
      <c r="AB748" s="83"/>
      <c r="AC748" s="106"/>
      <c r="AD748" s="106"/>
      <c r="AE748" s="100">
        <f t="shared" ref="AE748:AE794" si="1123">N748/F748</f>
        <v>4.0336134453781515E-2</v>
      </c>
      <c r="AF748" s="90"/>
      <c r="AG748" s="109">
        <f t="shared" ref="AG748:AG794" si="1124">IF(N748&lt;0,N748,0)</f>
        <v>0</v>
      </c>
      <c r="AH748" s="100">
        <f t="shared" ref="AH748:AH794" si="1125">(S748-F748)/F748</f>
        <v>-1</v>
      </c>
      <c r="AI748" s="100">
        <f t="shared" ref="AI748:AI794" si="1126">(W748-F748)/F748</f>
        <v>4.0336134453781515E-2</v>
      </c>
    </row>
    <row r="749" spans="1:35" s="86" customFormat="1" ht="18.75" customHeight="1" x14ac:dyDescent="0.3">
      <c r="A749" s="106"/>
      <c r="B749" s="106" t="s">
        <v>52</v>
      </c>
      <c r="C749" s="118">
        <v>47686</v>
      </c>
      <c r="D749" s="311"/>
      <c r="E749" s="157" t="s">
        <v>160</v>
      </c>
      <c r="F749" s="83">
        <v>2120</v>
      </c>
      <c r="G749" s="83"/>
      <c r="H749" s="83"/>
      <c r="I749" s="83"/>
      <c r="J749" s="83"/>
      <c r="K749" s="83"/>
      <c r="L749" s="83"/>
      <c r="M749" s="83">
        <f>888+420+744+120</f>
        <v>2172</v>
      </c>
      <c r="N749" s="110">
        <f>M749-F749</f>
        <v>52</v>
      </c>
      <c r="O749" s="110" t="s">
        <v>100</v>
      </c>
      <c r="P749" s="83"/>
      <c r="Q749" s="83"/>
      <c r="R749" s="83"/>
      <c r="S749" s="83"/>
      <c r="T749" s="110">
        <f>S749-Q749</f>
        <v>0</v>
      </c>
      <c r="U749" s="59">
        <f t="shared" si="1077"/>
        <v>6</v>
      </c>
      <c r="V749" s="83"/>
      <c r="W749" s="83">
        <f>888+1278</f>
        <v>2166</v>
      </c>
      <c r="X749" s="110">
        <f>W749-M749</f>
        <v>-6</v>
      </c>
      <c r="Y749" s="110"/>
      <c r="Z749" s="110"/>
      <c r="AA749" s="110"/>
      <c r="AB749" s="83"/>
      <c r="AC749" s="106"/>
      <c r="AD749" s="106"/>
      <c r="AE749" s="100">
        <f t="shared" si="1123"/>
        <v>2.4528301886792454E-2</v>
      </c>
      <c r="AF749" s="90"/>
      <c r="AG749" s="109">
        <f t="shared" si="1124"/>
        <v>0</v>
      </c>
      <c r="AH749" s="100">
        <f t="shared" si="1125"/>
        <v>-1</v>
      </c>
      <c r="AI749" s="100">
        <f t="shared" si="1126"/>
        <v>2.1698113207547168E-2</v>
      </c>
    </row>
    <row r="750" spans="1:35" s="82" customFormat="1" ht="16.5" customHeight="1" x14ac:dyDescent="0.3">
      <c r="A750" s="90" t="s">
        <v>46</v>
      </c>
      <c r="B750" s="90" t="s">
        <v>52</v>
      </c>
      <c r="C750" s="137"/>
      <c r="D750" s="90"/>
      <c r="E750" s="80"/>
      <c r="F750" s="81">
        <f>SUM(F748:F749)</f>
        <v>3310</v>
      </c>
      <c r="G750" s="81"/>
      <c r="H750" s="81" t="s">
        <v>50</v>
      </c>
      <c r="I750" s="81"/>
      <c r="J750" s="81" t="s">
        <v>60</v>
      </c>
      <c r="K750" s="85" t="s">
        <v>238</v>
      </c>
      <c r="L750" s="81">
        <f>SUM(L748:L749)</f>
        <v>0</v>
      </c>
      <c r="M750" s="81">
        <f>SUM(M748:M749)</f>
        <v>3410</v>
      </c>
      <c r="N750" s="81">
        <f>SUM(N748:N749)</f>
        <v>100</v>
      </c>
      <c r="O750" s="81"/>
      <c r="P750" s="81">
        <f>SUM(P748:P749)</f>
        <v>0</v>
      </c>
      <c r="Q750" s="81">
        <f>SUM(Q748:Q749)</f>
        <v>0</v>
      </c>
      <c r="R750" s="81">
        <f>SUM(R748:R749)</f>
        <v>0</v>
      </c>
      <c r="S750" s="81">
        <f>SUM(S748:S749)</f>
        <v>0</v>
      </c>
      <c r="T750" s="81">
        <f>SUM(T748:T749)</f>
        <v>0</v>
      </c>
      <c r="U750" s="59">
        <f t="shared" si="1077"/>
        <v>6</v>
      </c>
      <c r="V750" s="81">
        <f>SUM(V748:V749)</f>
        <v>0</v>
      </c>
      <c r="W750" s="81">
        <f>SUM(W748:W749)</f>
        <v>3404</v>
      </c>
      <c r="X750" s="81">
        <f>SUM(X748:X749)</f>
        <v>-6</v>
      </c>
      <c r="Y750" s="81"/>
      <c r="Z750" s="110"/>
      <c r="AA750" s="110"/>
      <c r="AB750" s="84"/>
      <c r="AC750" s="136"/>
      <c r="AD750" s="136"/>
      <c r="AE750" s="100">
        <f t="shared" si="1123"/>
        <v>3.0211480362537766E-2</v>
      </c>
      <c r="AF750" s="90"/>
      <c r="AG750" s="109">
        <f t="shared" si="1124"/>
        <v>0</v>
      </c>
      <c r="AH750" s="100">
        <f t="shared" si="1125"/>
        <v>-1</v>
      </c>
      <c r="AI750" s="100">
        <f t="shared" si="1126"/>
        <v>2.8398791540785499E-2</v>
      </c>
    </row>
    <row r="751" spans="1:35" s="86" customFormat="1" ht="18.75" customHeight="1" x14ac:dyDescent="0.3">
      <c r="A751" s="106"/>
      <c r="B751" s="106" t="s">
        <v>52</v>
      </c>
      <c r="C751" s="118">
        <v>48075</v>
      </c>
      <c r="D751" s="310" t="s">
        <v>339</v>
      </c>
      <c r="E751" s="157" t="s">
        <v>338</v>
      </c>
      <c r="F751" s="83">
        <v>2645</v>
      </c>
      <c r="G751" s="83"/>
      <c r="H751" s="83"/>
      <c r="I751" s="83"/>
      <c r="J751" s="83"/>
      <c r="K751" s="83"/>
      <c r="L751" s="83"/>
      <c r="M751" s="83">
        <f>434+1280+1000</f>
        <v>2714</v>
      </c>
      <c r="N751" s="110">
        <f>M751-F751</f>
        <v>69</v>
      </c>
      <c r="O751" s="110" t="s">
        <v>100</v>
      </c>
      <c r="P751" s="83"/>
      <c r="Q751" s="83">
        <f>1280+434+1000</f>
        <v>2714</v>
      </c>
      <c r="R751" s="83"/>
      <c r="S751" s="83">
        <v>2708</v>
      </c>
      <c r="T751" s="110">
        <f>S751-Q751</f>
        <v>-6</v>
      </c>
      <c r="U751" s="59">
        <f t="shared" si="1077"/>
        <v>2708</v>
      </c>
      <c r="V751" s="83"/>
      <c r="W751" s="83"/>
      <c r="X751" s="110">
        <f>W751-M751</f>
        <v>-2714</v>
      </c>
      <c r="Y751" s="110"/>
      <c r="Z751" s="110"/>
      <c r="AA751" s="110"/>
      <c r="AB751" s="83"/>
      <c r="AC751" s="106"/>
      <c r="AD751" s="106"/>
      <c r="AE751" s="100">
        <f t="shared" ref="AE751:AE755" si="1127">N751/F751</f>
        <v>2.6086956521739129E-2</v>
      </c>
      <c r="AF751" s="90"/>
      <c r="AG751" s="109">
        <f t="shared" ref="AG751:AG755" si="1128">IF(N751&lt;0,N751,0)</f>
        <v>0</v>
      </c>
      <c r="AH751" s="100">
        <f t="shared" ref="AH751:AH755" si="1129">(S751-F751)/F751</f>
        <v>2.3818525519848772E-2</v>
      </c>
      <c r="AI751" s="100">
        <f t="shared" ref="AI751:AI755" si="1130">(W751-F751)/F751</f>
        <v>-1</v>
      </c>
    </row>
    <row r="752" spans="1:35" s="86" customFormat="1" ht="18.75" customHeight="1" x14ac:dyDescent="0.3">
      <c r="A752" s="106"/>
      <c r="B752" s="106" t="s">
        <v>52</v>
      </c>
      <c r="C752" s="118">
        <v>48075</v>
      </c>
      <c r="D752" s="311"/>
      <c r="E752" s="157" t="s">
        <v>145</v>
      </c>
      <c r="F752" s="83">
        <v>1902</v>
      </c>
      <c r="G752" s="83"/>
      <c r="H752" s="83"/>
      <c r="I752" s="83"/>
      <c r="J752" s="83"/>
      <c r="K752" s="83"/>
      <c r="L752" s="83"/>
      <c r="M752" s="83">
        <f>792+792+332</f>
        <v>1916</v>
      </c>
      <c r="N752" s="110">
        <f>M752-F752</f>
        <v>14</v>
      </c>
      <c r="O752" s="110" t="s">
        <v>100</v>
      </c>
      <c r="P752" s="83"/>
      <c r="Q752" s="83">
        <f>332+792+792</f>
        <v>1916</v>
      </c>
      <c r="R752" s="83"/>
      <c r="S752" s="83"/>
      <c r="T752" s="110">
        <f>S752-Q752</f>
        <v>-1916</v>
      </c>
      <c r="U752" s="59">
        <f t="shared" ref="U752" si="1131">IF(Q752&gt;0,S752-W752,M752-W752)</f>
        <v>0</v>
      </c>
      <c r="V752" s="83"/>
      <c r="W752" s="83"/>
      <c r="X752" s="110">
        <f>W752-M752</f>
        <v>-1916</v>
      </c>
      <c r="Y752" s="110"/>
      <c r="Z752" s="110"/>
      <c r="AA752" s="110"/>
      <c r="AB752" s="83"/>
      <c r="AC752" s="106"/>
      <c r="AD752" s="106"/>
      <c r="AE752" s="100">
        <f t="shared" si="1127"/>
        <v>7.3606729758149319E-3</v>
      </c>
      <c r="AF752" s="90"/>
      <c r="AG752" s="109">
        <f t="shared" si="1128"/>
        <v>0</v>
      </c>
      <c r="AH752" s="100">
        <f t="shared" si="1129"/>
        <v>-1</v>
      </c>
      <c r="AI752" s="100">
        <f t="shared" si="1130"/>
        <v>-1</v>
      </c>
    </row>
    <row r="753" spans="1:35" s="86" customFormat="1" ht="18.75" customHeight="1" x14ac:dyDescent="0.3">
      <c r="A753" s="106"/>
      <c r="B753" s="106" t="s">
        <v>52</v>
      </c>
      <c r="C753" s="118">
        <v>48075</v>
      </c>
      <c r="D753" s="311"/>
      <c r="E753" s="157" t="s">
        <v>39</v>
      </c>
      <c r="F753" s="83">
        <v>2588</v>
      </c>
      <c r="G753" s="83"/>
      <c r="H753" s="83"/>
      <c r="I753" s="83"/>
      <c r="J753" s="83"/>
      <c r="K753" s="83"/>
      <c r="L753" s="83"/>
      <c r="M753" s="83">
        <f>1538+1130</f>
        <v>2668</v>
      </c>
      <c r="N753" s="110">
        <f>M753-F753</f>
        <v>80</v>
      </c>
      <c r="O753" s="110" t="s">
        <v>100</v>
      </c>
      <c r="P753" s="83"/>
      <c r="Q753" s="83">
        <f>1120+1548</f>
        <v>2668</v>
      </c>
      <c r="R753" s="83"/>
      <c r="S753" s="83"/>
      <c r="T753" s="110">
        <f>S753-Q753</f>
        <v>-2668</v>
      </c>
      <c r="U753" s="59">
        <f t="shared" si="1077"/>
        <v>0</v>
      </c>
      <c r="V753" s="83"/>
      <c r="W753" s="83"/>
      <c r="X753" s="110">
        <f>W753-M753</f>
        <v>-2668</v>
      </c>
      <c r="Y753" s="110"/>
      <c r="Z753" s="110"/>
      <c r="AA753" s="110"/>
      <c r="AB753" s="83"/>
      <c r="AC753" s="106"/>
      <c r="AD753" s="106"/>
      <c r="AE753" s="100">
        <f t="shared" ref="AE753" si="1132">N753/F753</f>
        <v>3.0911901081916538E-2</v>
      </c>
      <c r="AF753" s="90"/>
      <c r="AG753" s="109">
        <f t="shared" ref="AG753" si="1133">IF(N753&lt;0,N753,0)</f>
        <v>0</v>
      </c>
      <c r="AH753" s="100">
        <f t="shared" ref="AH753" si="1134">(S753-F753)/F753</f>
        <v>-1</v>
      </c>
      <c r="AI753" s="100">
        <f t="shared" ref="AI753" si="1135">(W753-F753)/F753</f>
        <v>-1</v>
      </c>
    </row>
    <row r="754" spans="1:35" s="86" customFormat="1" ht="18.75" customHeight="1" x14ac:dyDescent="0.3">
      <c r="A754" s="106"/>
      <c r="B754" s="106" t="s">
        <v>52</v>
      </c>
      <c r="C754" s="118">
        <v>48075</v>
      </c>
      <c r="D754" s="311"/>
      <c r="E754" s="157" t="s">
        <v>332</v>
      </c>
      <c r="F754" s="83">
        <v>2933</v>
      </c>
      <c r="G754" s="83"/>
      <c r="H754" s="83"/>
      <c r="I754" s="83"/>
      <c r="J754" s="83"/>
      <c r="K754" s="83"/>
      <c r="L754" s="83"/>
      <c r="M754" s="83">
        <f>2190+394+100+257+91</f>
        <v>3032</v>
      </c>
      <c r="N754" s="110">
        <f>M754-F754</f>
        <v>99</v>
      </c>
      <c r="O754" s="110" t="s">
        <v>100</v>
      </c>
      <c r="P754" s="83"/>
      <c r="Q754" s="83">
        <f>1170+1020+394+357+91</f>
        <v>3032</v>
      </c>
      <c r="R754" s="83"/>
      <c r="S754" s="83">
        <v>2934</v>
      </c>
      <c r="T754" s="110">
        <f>S754-Q754</f>
        <v>-98</v>
      </c>
      <c r="U754" s="59">
        <f t="shared" ref="U754:U1060" si="1136">IF(Q754&gt;0,S754-W754,M754-W754)</f>
        <v>2934</v>
      </c>
      <c r="V754" s="83"/>
      <c r="W754" s="83"/>
      <c r="X754" s="110">
        <f>W754-M754</f>
        <v>-3032</v>
      </c>
      <c r="Y754" s="110"/>
      <c r="Z754" s="110"/>
      <c r="AA754" s="110"/>
      <c r="AB754" s="83"/>
      <c r="AC754" s="106"/>
      <c r="AD754" s="106"/>
      <c r="AE754" s="100">
        <f t="shared" si="1127"/>
        <v>3.3753835663143536E-2</v>
      </c>
      <c r="AF754" s="90"/>
      <c r="AG754" s="109">
        <f t="shared" si="1128"/>
        <v>0</v>
      </c>
      <c r="AH754" s="100">
        <f t="shared" si="1129"/>
        <v>3.4094783498124785E-4</v>
      </c>
      <c r="AI754" s="100">
        <f t="shared" si="1130"/>
        <v>-1</v>
      </c>
    </row>
    <row r="755" spans="1:35" s="82" customFormat="1" ht="16.5" customHeight="1" x14ac:dyDescent="0.3">
      <c r="A755" s="90" t="s">
        <v>46</v>
      </c>
      <c r="B755" s="90" t="s">
        <v>52</v>
      </c>
      <c r="C755" s="137"/>
      <c r="D755" s="90"/>
      <c r="E755" s="80"/>
      <c r="F755" s="81">
        <f>SUM(F751:F754)</f>
        <v>10068</v>
      </c>
      <c r="G755" s="81"/>
      <c r="H755" s="81" t="s">
        <v>50</v>
      </c>
      <c r="I755" s="81"/>
      <c r="J755" s="81" t="s">
        <v>60</v>
      </c>
      <c r="K755" s="85" t="s">
        <v>333</v>
      </c>
      <c r="L755" s="81">
        <f>SUM(L751:L754)</f>
        <v>0</v>
      </c>
      <c r="M755" s="81">
        <f>SUM(M751:M754)</f>
        <v>10330</v>
      </c>
      <c r="N755" s="81">
        <f>SUM(N751:N754)</f>
        <v>262</v>
      </c>
      <c r="O755" s="81" t="s">
        <v>530</v>
      </c>
      <c r="P755" s="81">
        <f>SUM(P751:P754)</f>
        <v>0</v>
      </c>
      <c r="Q755" s="81">
        <f>SUM(Q751:Q754)</f>
        <v>10330</v>
      </c>
      <c r="R755" s="81">
        <f>SUM(R751:R754)</f>
        <v>0</v>
      </c>
      <c r="S755" s="81">
        <f>SUM(S751:S754)</f>
        <v>5642</v>
      </c>
      <c r="T755" s="81">
        <f>SUM(T751:T754)</f>
        <v>-4688</v>
      </c>
      <c r="U755" s="59">
        <f t="shared" si="1136"/>
        <v>5642</v>
      </c>
      <c r="V755" s="81">
        <f>SUM(V751:V754)</f>
        <v>0</v>
      </c>
      <c r="W755" s="81">
        <f>SUM(W751:W754)</f>
        <v>0</v>
      </c>
      <c r="X755" s="81">
        <f>SUM(X751:X754)</f>
        <v>-10330</v>
      </c>
      <c r="Y755" s="81" t="s">
        <v>47</v>
      </c>
      <c r="Z755" s="110" t="s">
        <v>45</v>
      </c>
      <c r="AA755" s="110"/>
      <c r="AB755" s="84"/>
      <c r="AC755" s="136"/>
      <c r="AD755" s="136"/>
      <c r="AE755" s="100">
        <f t="shared" si="1127"/>
        <v>2.6023043305522447E-2</v>
      </c>
      <c r="AF755" s="90"/>
      <c r="AG755" s="109">
        <f t="shared" si="1128"/>
        <v>0</v>
      </c>
      <c r="AH755" s="100">
        <f t="shared" si="1129"/>
        <v>-0.43961064759634483</v>
      </c>
      <c r="AI755" s="100">
        <f t="shared" si="1130"/>
        <v>-1</v>
      </c>
    </row>
    <row r="756" spans="1:35" s="86" customFormat="1" ht="18.75" customHeight="1" x14ac:dyDescent="0.3">
      <c r="A756" s="106"/>
      <c r="B756" s="106" t="s">
        <v>52</v>
      </c>
      <c r="C756" s="118">
        <v>48076</v>
      </c>
      <c r="D756" s="310" t="s">
        <v>337</v>
      </c>
      <c r="E756" s="157" t="s">
        <v>338</v>
      </c>
      <c r="F756" s="83">
        <v>2688</v>
      </c>
      <c r="G756" s="83"/>
      <c r="H756" s="83"/>
      <c r="I756" s="83"/>
      <c r="J756" s="83"/>
      <c r="K756" s="83"/>
      <c r="L756" s="83">
        <v>138</v>
      </c>
      <c r="M756" s="83">
        <f>2644+138</f>
        <v>2782</v>
      </c>
      <c r="N756" s="110">
        <f>M756-F756</f>
        <v>94</v>
      </c>
      <c r="O756" s="110" t="s">
        <v>100</v>
      </c>
      <c r="P756" s="83">
        <v>138</v>
      </c>
      <c r="Q756" s="83">
        <f>298+2346+138</f>
        <v>2782</v>
      </c>
      <c r="R756" s="83"/>
      <c r="S756" s="83">
        <f>2612</f>
        <v>2612</v>
      </c>
      <c r="T756" s="110">
        <f>S756-Q756</f>
        <v>-170</v>
      </c>
      <c r="U756" s="59">
        <f t="shared" si="1136"/>
        <v>2612</v>
      </c>
      <c r="V756" s="83"/>
      <c r="W756" s="83"/>
      <c r="X756" s="110">
        <f>W756-M756</f>
        <v>-2782</v>
      </c>
      <c r="Y756" s="110"/>
      <c r="Z756" s="110"/>
      <c r="AA756" s="110"/>
      <c r="AB756" s="83"/>
      <c r="AC756" s="106"/>
      <c r="AD756" s="106"/>
      <c r="AE756" s="100">
        <f t="shared" si="1123"/>
        <v>3.4970238095238096E-2</v>
      </c>
      <c r="AF756" s="90"/>
      <c r="AG756" s="109">
        <f t="shared" si="1124"/>
        <v>0</v>
      </c>
      <c r="AH756" s="100">
        <f t="shared" si="1125"/>
        <v>-2.8273809523809524E-2</v>
      </c>
      <c r="AI756" s="100">
        <f t="shared" si="1126"/>
        <v>-1</v>
      </c>
    </row>
    <row r="757" spans="1:35" s="86" customFormat="1" ht="18.75" customHeight="1" x14ac:dyDescent="0.3">
      <c r="A757" s="106"/>
      <c r="B757" s="106" t="s">
        <v>52</v>
      </c>
      <c r="C757" s="118">
        <v>48076</v>
      </c>
      <c r="D757" s="311"/>
      <c r="E757" s="157" t="s">
        <v>331</v>
      </c>
      <c r="F757" s="83">
        <v>2752</v>
      </c>
      <c r="G757" s="83"/>
      <c r="H757" s="83"/>
      <c r="I757" s="83"/>
      <c r="J757" s="83"/>
      <c r="K757" s="83"/>
      <c r="L757" s="83"/>
      <c r="M757" s="83">
        <f>2116+752</f>
        <v>2868</v>
      </c>
      <c r="N757" s="110">
        <f>M757-F757</f>
        <v>116</v>
      </c>
      <c r="O757" s="110" t="s">
        <v>100</v>
      </c>
      <c r="P757" s="83"/>
      <c r="Q757" s="83">
        <f>2116+737</f>
        <v>2853</v>
      </c>
      <c r="R757" s="83"/>
      <c r="S757" s="83">
        <f>1879+226+737</f>
        <v>2842</v>
      </c>
      <c r="T757" s="110">
        <f>S757-Q757</f>
        <v>-11</v>
      </c>
      <c r="U757" s="59">
        <f t="shared" ref="U757:U758" si="1137">IF(Q757&gt;0,S757-W757,M757-W757)</f>
        <v>2842</v>
      </c>
      <c r="V757" s="83"/>
      <c r="W757" s="83"/>
      <c r="X757" s="110">
        <f>W757-M757</f>
        <v>-2868</v>
      </c>
      <c r="Y757" s="110"/>
      <c r="Z757" s="110"/>
      <c r="AA757" s="110"/>
      <c r="AB757" s="83"/>
      <c r="AC757" s="106"/>
      <c r="AD757" s="106"/>
      <c r="AE757" s="100">
        <f t="shared" ref="AE757:AE758" si="1138">N757/F757</f>
        <v>4.2151162790697673E-2</v>
      </c>
      <c r="AF757" s="90"/>
      <c r="AG757" s="109">
        <f t="shared" ref="AG757:AG758" si="1139">IF(N757&lt;0,N757,0)</f>
        <v>0</v>
      </c>
      <c r="AH757" s="100">
        <f t="shared" ref="AH757:AH758" si="1140">(S757-F757)/F757</f>
        <v>3.2703488372093026E-2</v>
      </c>
      <c r="AI757" s="100">
        <f t="shared" ref="AI757:AI758" si="1141">(W757-F757)/F757</f>
        <v>-1</v>
      </c>
    </row>
    <row r="758" spans="1:35" s="86" customFormat="1" ht="18.75" customHeight="1" x14ac:dyDescent="0.3">
      <c r="A758" s="106"/>
      <c r="B758" s="106" t="s">
        <v>52</v>
      </c>
      <c r="C758" s="118">
        <v>48076</v>
      </c>
      <c r="D758" s="311"/>
      <c r="E758" s="157" t="s">
        <v>39</v>
      </c>
      <c r="F758" s="83">
        <v>2340</v>
      </c>
      <c r="G758" s="83"/>
      <c r="H758" s="83"/>
      <c r="I758" s="83"/>
      <c r="J758" s="83"/>
      <c r="K758" s="83"/>
      <c r="L758" s="83"/>
      <c r="M758" s="83">
        <f>950+1458</f>
        <v>2408</v>
      </c>
      <c r="N758" s="110">
        <f>M758-F758</f>
        <v>68</v>
      </c>
      <c r="O758" s="110" t="s">
        <v>100</v>
      </c>
      <c r="P758" s="83"/>
      <c r="Q758" s="83">
        <f>950+1458</f>
        <v>2408</v>
      </c>
      <c r="R758" s="83"/>
      <c r="S758" s="83">
        <v>2408</v>
      </c>
      <c r="T758" s="110">
        <f>S758-Q758</f>
        <v>0</v>
      </c>
      <c r="U758" s="59">
        <f t="shared" si="1137"/>
        <v>2408</v>
      </c>
      <c r="V758" s="83"/>
      <c r="W758" s="83"/>
      <c r="X758" s="110">
        <f>W758-M758</f>
        <v>-2408</v>
      </c>
      <c r="Y758" s="110"/>
      <c r="Z758" s="110"/>
      <c r="AA758" s="110"/>
      <c r="AB758" s="83"/>
      <c r="AC758" s="106"/>
      <c r="AD758" s="106"/>
      <c r="AE758" s="100">
        <f t="shared" si="1138"/>
        <v>2.9059829059829061E-2</v>
      </c>
      <c r="AF758" s="90"/>
      <c r="AG758" s="109">
        <f t="shared" si="1139"/>
        <v>0</v>
      </c>
      <c r="AH758" s="100">
        <f t="shared" si="1140"/>
        <v>2.9059829059829061E-2</v>
      </c>
      <c r="AI758" s="100">
        <f t="shared" si="1141"/>
        <v>-1</v>
      </c>
    </row>
    <row r="759" spans="1:35" s="86" customFormat="1" ht="18.75" customHeight="1" x14ac:dyDescent="0.3">
      <c r="A759" s="106"/>
      <c r="B759" s="106" t="s">
        <v>52</v>
      </c>
      <c r="C759" s="118">
        <v>48076</v>
      </c>
      <c r="D759" s="311"/>
      <c r="E759" s="157" t="s">
        <v>332</v>
      </c>
      <c r="F759" s="83">
        <v>3166</v>
      </c>
      <c r="G759" s="83"/>
      <c r="H759" s="83"/>
      <c r="I759" s="83"/>
      <c r="J759" s="83"/>
      <c r="K759" s="83"/>
      <c r="L759" s="83"/>
      <c r="M759" s="83">
        <f>2037+360+861</f>
        <v>3258</v>
      </c>
      <c r="N759" s="110">
        <f>M759-F759</f>
        <v>92</v>
      </c>
      <c r="O759" s="110" t="s">
        <v>100</v>
      </c>
      <c r="P759" s="83"/>
      <c r="Q759" s="83">
        <f>2037+1221</f>
        <v>3258</v>
      </c>
      <c r="R759" s="83"/>
      <c r="S759" s="83"/>
      <c r="T759" s="110">
        <f>S759-Q759</f>
        <v>-3258</v>
      </c>
      <c r="U759" s="59">
        <f t="shared" si="1136"/>
        <v>0</v>
      </c>
      <c r="V759" s="83"/>
      <c r="W759" s="83"/>
      <c r="X759" s="110">
        <f>W759-M759</f>
        <v>-3258</v>
      </c>
      <c r="Y759" s="110"/>
      <c r="Z759" s="110"/>
      <c r="AA759" s="110"/>
      <c r="AB759" s="83"/>
      <c r="AC759" s="106"/>
      <c r="AD759" s="106"/>
      <c r="AE759" s="100">
        <f t="shared" si="1123"/>
        <v>2.9058749210360075E-2</v>
      </c>
      <c r="AF759" s="90"/>
      <c r="AG759" s="109">
        <f t="shared" si="1124"/>
        <v>0</v>
      </c>
      <c r="AH759" s="100">
        <f t="shared" si="1125"/>
        <v>-1</v>
      </c>
      <c r="AI759" s="100">
        <f t="shared" si="1126"/>
        <v>-1</v>
      </c>
    </row>
    <row r="760" spans="1:35" s="82" customFormat="1" ht="16.5" customHeight="1" x14ac:dyDescent="0.3">
      <c r="A760" s="90" t="s">
        <v>46</v>
      </c>
      <c r="B760" s="90" t="s">
        <v>52</v>
      </c>
      <c r="C760" s="137"/>
      <c r="D760" s="90"/>
      <c r="E760" s="80"/>
      <c r="F760" s="81">
        <f>SUM(F756:F759)</f>
        <v>10946</v>
      </c>
      <c r="G760" s="81"/>
      <c r="H760" s="81" t="s">
        <v>50</v>
      </c>
      <c r="I760" s="81"/>
      <c r="J760" s="81" t="s">
        <v>60</v>
      </c>
      <c r="K760" s="85" t="s">
        <v>333</v>
      </c>
      <c r="L760" s="81">
        <f>SUM(L756:L759)</f>
        <v>138</v>
      </c>
      <c r="M760" s="81">
        <f>SUM(M756:M759)</f>
        <v>11316</v>
      </c>
      <c r="N760" s="81">
        <f>SUM(N756:N759)</f>
        <v>370</v>
      </c>
      <c r="O760" s="81" t="s">
        <v>415</v>
      </c>
      <c r="P760" s="81">
        <f>SUM(P756:P759)</f>
        <v>138</v>
      </c>
      <c r="Q760" s="81">
        <f>SUM(Q756:Q759)</f>
        <v>11301</v>
      </c>
      <c r="R760" s="81">
        <f>SUM(R756:R759)</f>
        <v>0</v>
      </c>
      <c r="S760" s="81">
        <f>SUM(S756:S759)</f>
        <v>7862</v>
      </c>
      <c r="T760" s="81">
        <f>SUM(T756:T759)</f>
        <v>-3439</v>
      </c>
      <c r="U760" s="59">
        <f t="shared" si="1136"/>
        <v>7862</v>
      </c>
      <c r="V760" s="81">
        <f>SUM(V756:V759)</f>
        <v>0</v>
      </c>
      <c r="W760" s="81">
        <f>SUM(W756:W759)</f>
        <v>0</v>
      </c>
      <c r="X760" s="81">
        <f>SUM(X756:X759)</f>
        <v>-11316</v>
      </c>
      <c r="Y760" s="81" t="s">
        <v>47</v>
      </c>
      <c r="Z760" s="110" t="s">
        <v>45</v>
      </c>
      <c r="AA760" s="110"/>
      <c r="AB760" s="84"/>
      <c r="AC760" s="136"/>
      <c r="AD760" s="136"/>
      <c r="AE760" s="100">
        <f t="shared" si="1123"/>
        <v>3.3802302210853279E-2</v>
      </c>
      <c r="AF760" s="90"/>
      <c r="AG760" s="109">
        <f t="shared" si="1124"/>
        <v>0</v>
      </c>
      <c r="AH760" s="100">
        <f t="shared" si="1125"/>
        <v>-0.28174675680613925</v>
      </c>
      <c r="AI760" s="100">
        <f t="shared" si="1126"/>
        <v>-1</v>
      </c>
    </row>
    <row r="761" spans="1:35" s="86" customFormat="1" ht="18.75" customHeight="1" x14ac:dyDescent="0.3">
      <c r="A761" s="106"/>
      <c r="B761" s="106" t="s">
        <v>52</v>
      </c>
      <c r="C761" s="118">
        <v>48077</v>
      </c>
      <c r="D761" s="310">
        <v>13251213</v>
      </c>
      <c r="E761" s="157" t="s">
        <v>49</v>
      </c>
      <c r="F761" s="83">
        <f>2968+780</f>
        <v>3748</v>
      </c>
      <c r="G761" s="83"/>
      <c r="H761" s="83"/>
      <c r="I761" s="83"/>
      <c r="J761" s="83"/>
      <c r="K761" s="83"/>
      <c r="L761" s="83"/>
      <c r="M761" s="83">
        <f>1854+1200+830</f>
        <v>3884</v>
      </c>
      <c r="N761" s="110">
        <f>M761-F761</f>
        <v>136</v>
      </c>
      <c r="O761" s="110" t="s">
        <v>100</v>
      </c>
      <c r="P761" s="83"/>
      <c r="Q761" s="83">
        <f>3054+780</f>
        <v>3834</v>
      </c>
      <c r="R761" s="83"/>
      <c r="S761" s="83">
        <v>3829</v>
      </c>
      <c r="T761" s="110">
        <f>S761-Q761</f>
        <v>-5</v>
      </c>
      <c r="U761" s="59">
        <f t="shared" ref="U761:U801" si="1142">IF(Q761&gt;0,S761-W761,M761-W761)</f>
        <v>3829</v>
      </c>
      <c r="V761" s="83"/>
      <c r="W761" s="83"/>
      <c r="X761" s="110">
        <f>W761-M761</f>
        <v>-3884</v>
      </c>
      <c r="Y761" s="110"/>
      <c r="Z761" s="110"/>
      <c r="AA761" s="110"/>
      <c r="AB761" s="83"/>
      <c r="AC761" s="106"/>
      <c r="AD761" s="106"/>
      <c r="AE761" s="100">
        <f t="shared" si="1123"/>
        <v>3.6286019210245463E-2</v>
      </c>
      <c r="AF761" s="90"/>
      <c r="AG761" s="109">
        <f t="shared" si="1124"/>
        <v>0</v>
      </c>
      <c r="AH761" s="100">
        <f t="shared" si="1125"/>
        <v>2.1611526147278549E-2</v>
      </c>
      <c r="AI761" s="100">
        <f t="shared" si="1126"/>
        <v>-1</v>
      </c>
    </row>
    <row r="762" spans="1:35" s="86" customFormat="1" ht="18.75" customHeight="1" x14ac:dyDescent="0.3">
      <c r="A762" s="106"/>
      <c r="B762" s="106" t="s">
        <v>52</v>
      </c>
      <c r="C762" s="118">
        <v>48077</v>
      </c>
      <c r="D762" s="311"/>
      <c r="E762" s="157" t="s">
        <v>303</v>
      </c>
      <c r="F762" s="83">
        <f>2968+780</f>
        <v>3748</v>
      </c>
      <c r="G762" s="83"/>
      <c r="H762" s="83"/>
      <c r="I762" s="83"/>
      <c r="J762" s="83"/>
      <c r="K762" s="83"/>
      <c r="L762" s="83"/>
      <c r="M762" s="83">
        <f>800+372+1200+784+770</f>
        <v>3926</v>
      </c>
      <c r="N762" s="110">
        <f>M762-F762</f>
        <v>178</v>
      </c>
      <c r="O762" s="110" t="s">
        <v>100</v>
      </c>
      <c r="P762" s="83"/>
      <c r="Q762" s="83">
        <f>2372+810+682</f>
        <v>3864</v>
      </c>
      <c r="R762" s="83"/>
      <c r="S762" s="83"/>
      <c r="T762" s="110">
        <f>S762-Q762</f>
        <v>-3864</v>
      </c>
      <c r="U762" s="59">
        <f t="shared" ref="U762" si="1143">IF(Q762&gt;0,S762-W762,M762-W762)</f>
        <v>0</v>
      </c>
      <c r="V762" s="83"/>
      <c r="W762" s="83"/>
      <c r="X762" s="110">
        <f>W762-M762</f>
        <v>-3926</v>
      </c>
      <c r="Y762" s="110"/>
      <c r="Z762" s="110"/>
      <c r="AA762" s="110"/>
      <c r="AB762" s="83"/>
      <c r="AC762" s="106"/>
      <c r="AD762" s="106"/>
      <c r="AE762" s="100">
        <f t="shared" ref="AE762" si="1144">N762/F762</f>
        <v>4.7491995731056565E-2</v>
      </c>
      <c r="AF762" s="90"/>
      <c r="AG762" s="109">
        <f t="shared" ref="AG762" si="1145">IF(N762&lt;0,N762,0)</f>
        <v>0</v>
      </c>
      <c r="AH762" s="100">
        <f t="shared" ref="AH762" si="1146">(S762-F762)/F762</f>
        <v>-1</v>
      </c>
      <c r="AI762" s="100">
        <f t="shared" ref="AI762" si="1147">(W762-F762)/F762</f>
        <v>-1</v>
      </c>
    </row>
    <row r="763" spans="1:35" s="86" customFormat="1" ht="18.75" customHeight="1" x14ac:dyDescent="0.3">
      <c r="A763" s="106"/>
      <c r="B763" s="106" t="s">
        <v>52</v>
      </c>
      <c r="C763" s="118">
        <v>48077</v>
      </c>
      <c r="D763" s="311"/>
      <c r="E763" s="157" t="s">
        <v>304</v>
      </c>
      <c r="F763" s="83">
        <v>2413</v>
      </c>
      <c r="G763" s="83"/>
      <c r="H763" s="83"/>
      <c r="I763" s="83"/>
      <c r="J763" s="83"/>
      <c r="K763" s="83"/>
      <c r="L763" s="83"/>
      <c r="M763" s="83">
        <f>1392+728</f>
        <v>2120</v>
      </c>
      <c r="N763" s="110">
        <f>M763-F763</f>
        <v>-293</v>
      </c>
      <c r="O763" s="110" t="s">
        <v>100</v>
      </c>
      <c r="P763" s="83"/>
      <c r="Q763" s="83">
        <f>2120</f>
        <v>2120</v>
      </c>
      <c r="R763" s="83"/>
      <c r="S763" s="83"/>
      <c r="T763" s="110">
        <f>S763-Q763</f>
        <v>-2120</v>
      </c>
      <c r="U763" s="59">
        <f t="shared" si="1142"/>
        <v>0</v>
      </c>
      <c r="V763" s="83"/>
      <c r="W763" s="83"/>
      <c r="X763" s="110">
        <f>W763-M763</f>
        <v>-2120</v>
      </c>
      <c r="Y763" s="110"/>
      <c r="Z763" s="110"/>
      <c r="AA763" s="110"/>
      <c r="AB763" s="83"/>
      <c r="AC763" s="106"/>
      <c r="AD763" s="106"/>
      <c r="AE763" s="100">
        <f t="shared" si="1123"/>
        <v>-0.12142561127227518</v>
      </c>
      <c r="AF763" s="90"/>
      <c r="AG763" s="109">
        <f t="shared" si="1124"/>
        <v>-293</v>
      </c>
      <c r="AH763" s="100">
        <f t="shared" si="1125"/>
        <v>-1</v>
      </c>
      <c r="AI763" s="100">
        <f t="shared" si="1126"/>
        <v>-1</v>
      </c>
    </row>
    <row r="764" spans="1:35" s="82" customFormat="1" ht="16.5" customHeight="1" x14ac:dyDescent="0.3">
      <c r="A764" s="90" t="s">
        <v>46</v>
      </c>
      <c r="B764" s="90" t="s">
        <v>52</v>
      </c>
      <c r="C764" s="137"/>
      <c r="D764" s="90"/>
      <c r="E764" s="80"/>
      <c r="F764" s="81">
        <f>SUM(F761:F763)</f>
        <v>9909</v>
      </c>
      <c r="G764" s="81"/>
      <c r="H764" s="81" t="s">
        <v>50</v>
      </c>
      <c r="I764" s="81"/>
      <c r="J764" s="81" t="s">
        <v>60</v>
      </c>
      <c r="K764" s="85" t="s">
        <v>333</v>
      </c>
      <c r="L764" s="81">
        <f>SUM(L761:L763)</f>
        <v>0</v>
      </c>
      <c r="M764" s="81">
        <f>SUM(M761:M763)</f>
        <v>9930</v>
      </c>
      <c r="N764" s="81">
        <f>SUM(N761:N763)</f>
        <v>21</v>
      </c>
      <c r="O764" s="81" t="s">
        <v>832</v>
      </c>
      <c r="P764" s="81">
        <f>SUM(P761:P763)</f>
        <v>0</v>
      </c>
      <c r="Q764" s="81">
        <f>SUM(Q761:Q763)</f>
        <v>9818</v>
      </c>
      <c r="R764" s="81">
        <f>SUM(R761:R763)</f>
        <v>0</v>
      </c>
      <c r="S764" s="81">
        <f>SUM(S761:S763)</f>
        <v>3829</v>
      </c>
      <c r="T764" s="81">
        <f>SUM(T761:T763)</f>
        <v>-5989</v>
      </c>
      <c r="U764" s="59">
        <f t="shared" si="1142"/>
        <v>3829</v>
      </c>
      <c r="V764" s="81">
        <f>SUM(V761:V763)</f>
        <v>0</v>
      </c>
      <c r="W764" s="81">
        <f>SUM(W761:W763)</f>
        <v>0</v>
      </c>
      <c r="X764" s="81">
        <f>SUM(X761:X763)</f>
        <v>-9930</v>
      </c>
      <c r="Y764" s="81" t="s">
        <v>47</v>
      </c>
      <c r="Z764" s="110" t="s">
        <v>45</v>
      </c>
      <c r="AA764" s="110"/>
      <c r="AB764" s="84"/>
      <c r="AC764" s="136"/>
      <c r="AD764" s="136"/>
      <c r="AE764" s="100">
        <f t="shared" si="1123"/>
        <v>2.119285498032092E-3</v>
      </c>
      <c r="AF764" s="90"/>
      <c r="AG764" s="109">
        <f t="shared" si="1124"/>
        <v>0</v>
      </c>
      <c r="AH764" s="100">
        <f t="shared" si="1125"/>
        <v>-0.61358361085881519</v>
      </c>
      <c r="AI764" s="100">
        <f t="shared" si="1126"/>
        <v>-1</v>
      </c>
    </row>
    <row r="765" spans="1:35" s="86" customFormat="1" ht="18.75" customHeight="1" x14ac:dyDescent="0.3">
      <c r="A765" s="106"/>
      <c r="B765" s="106" t="s">
        <v>52</v>
      </c>
      <c r="C765" s="118">
        <v>48009</v>
      </c>
      <c r="D765" s="310">
        <v>13264403</v>
      </c>
      <c r="E765" s="157" t="s">
        <v>408</v>
      </c>
      <c r="F765" s="83">
        <v>1891</v>
      </c>
      <c r="G765" s="83"/>
      <c r="H765" s="83"/>
      <c r="I765" s="83"/>
      <c r="J765" s="83"/>
      <c r="K765" s="83"/>
      <c r="L765" s="83"/>
      <c r="M765" s="83"/>
      <c r="N765" s="110">
        <f>M765-F765</f>
        <v>-1891</v>
      </c>
      <c r="O765" s="110" t="s">
        <v>100</v>
      </c>
      <c r="P765" s="83"/>
      <c r="Q765" s="83"/>
      <c r="R765" s="83"/>
      <c r="S765" s="83"/>
      <c r="T765" s="110">
        <f>S765-Q765</f>
        <v>0</v>
      </c>
      <c r="U765" s="59">
        <f t="shared" si="1142"/>
        <v>0</v>
      </c>
      <c r="V765" s="83"/>
      <c r="W765" s="83"/>
      <c r="X765" s="110">
        <f>W765-M765</f>
        <v>0</v>
      </c>
      <c r="Y765" s="110"/>
      <c r="Z765" s="110"/>
      <c r="AA765" s="110"/>
      <c r="AB765" s="83"/>
      <c r="AC765" s="106"/>
      <c r="AD765" s="106"/>
      <c r="AE765" s="100">
        <f t="shared" si="1123"/>
        <v>-1</v>
      </c>
      <c r="AF765" s="90"/>
      <c r="AG765" s="109">
        <f t="shared" si="1124"/>
        <v>-1891</v>
      </c>
      <c r="AH765" s="100">
        <f t="shared" si="1125"/>
        <v>-1</v>
      </c>
      <c r="AI765" s="100">
        <f t="shared" si="1126"/>
        <v>-1</v>
      </c>
    </row>
    <row r="766" spans="1:35" s="86" customFormat="1" ht="18.75" customHeight="1" x14ac:dyDescent="0.3">
      <c r="A766" s="106"/>
      <c r="B766" s="106" t="s">
        <v>52</v>
      </c>
      <c r="C766" s="118">
        <v>48009</v>
      </c>
      <c r="D766" s="311"/>
      <c r="E766" s="157" t="s">
        <v>452</v>
      </c>
      <c r="F766" s="83">
        <v>1561</v>
      </c>
      <c r="G766" s="83"/>
      <c r="H766" s="83"/>
      <c r="I766" s="83"/>
      <c r="J766" s="83"/>
      <c r="K766" s="83"/>
      <c r="L766" s="83"/>
      <c r="M766" s="83"/>
      <c r="N766" s="110">
        <f>M766-F766</f>
        <v>-1561</v>
      </c>
      <c r="O766" s="110" t="s">
        <v>100</v>
      </c>
      <c r="P766" s="83"/>
      <c r="Q766" s="83"/>
      <c r="R766" s="83"/>
      <c r="S766" s="83"/>
      <c r="T766" s="110">
        <f>S766-Q766</f>
        <v>0</v>
      </c>
      <c r="U766" s="59">
        <f t="shared" si="1142"/>
        <v>0</v>
      </c>
      <c r="V766" s="83"/>
      <c r="W766" s="83"/>
      <c r="X766" s="110">
        <f>W766-M766</f>
        <v>0</v>
      </c>
      <c r="Y766" s="110"/>
      <c r="Z766" s="110"/>
      <c r="AA766" s="110"/>
      <c r="AB766" s="83"/>
      <c r="AC766" s="106"/>
      <c r="AD766" s="106"/>
      <c r="AE766" s="100">
        <f t="shared" si="1123"/>
        <v>-1</v>
      </c>
      <c r="AF766" s="90"/>
      <c r="AG766" s="109">
        <f t="shared" si="1124"/>
        <v>-1561</v>
      </c>
      <c r="AH766" s="100">
        <f t="shared" si="1125"/>
        <v>-1</v>
      </c>
      <c r="AI766" s="100">
        <f t="shared" si="1126"/>
        <v>-1</v>
      </c>
    </row>
    <row r="767" spans="1:35" s="82" customFormat="1" ht="16.5" customHeight="1" x14ac:dyDescent="0.3">
      <c r="A767" s="90" t="s">
        <v>46</v>
      </c>
      <c r="B767" s="90" t="s">
        <v>52</v>
      </c>
      <c r="C767" s="137"/>
      <c r="D767" s="90"/>
      <c r="E767" s="80"/>
      <c r="F767" s="81">
        <f>SUM(F765:F766)</f>
        <v>3452</v>
      </c>
      <c r="G767" s="81"/>
      <c r="H767" s="81" t="s">
        <v>50</v>
      </c>
      <c r="I767" s="81"/>
      <c r="J767" s="81" t="s">
        <v>60</v>
      </c>
      <c r="K767" s="85" t="s">
        <v>765</v>
      </c>
      <c r="L767" s="81">
        <f>SUM(L765:L766)</f>
        <v>0</v>
      </c>
      <c r="M767" s="81">
        <f>SUM(M765:M766)</f>
        <v>0</v>
      </c>
      <c r="N767" s="81">
        <f>SUM(N765:N766)</f>
        <v>-3452</v>
      </c>
      <c r="O767" s="81"/>
      <c r="P767" s="81">
        <f>SUM(P765:P766)</f>
        <v>0</v>
      </c>
      <c r="Q767" s="81">
        <f>SUM(Q765:Q766)</f>
        <v>0</v>
      </c>
      <c r="R767" s="81">
        <f>SUM(R765:R766)</f>
        <v>0</v>
      </c>
      <c r="S767" s="81">
        <f>SUM(S765:S766)</f>
        <v>0</v>
      </c>
      <c r="T767" s="81">
        <f>SUM(T765:T766)</f>
        <v>0</v>
      </c>
      <c r="U767" s="59">
        <f t="shared" si="1142"/>
        <v>0</v>
      </c>
      <c r="V767" s="81">
        <f>SUM(V765:V766)</f>
        <v>0</v>
      </c>
      <c r="W767" s="81">
        <f>SUM(W765:W766)</f>
        <v>0</v>
      </c>
      <c r="X767" s="81">
        <f>SUM(X765:X766)</f>
        <v>0</v>
      </c>
      <c r="Y767" s="81" t="s">
        <v>47</v>
      </c>
      <c r="Z767" s="110" t="s">
        <v>45</v>
      </c>
      <c r="AA767" s="110"/>
      <c r="AB767" s="84"/>
      <c r="AC767" s="136"/>
      <c r="AD767" s="136"/>
      <c r="AE767" s="100">
        <f t="shared" si="1123"/>
        <v>-1</v>
      </c>
      <c r="AF767" s="90"/>
      <c r="AG767" s="109">
        <f t="shared" si="1124"/>
        <v>-3452</v>
      </c>
      <c r="AH767" s="100">
        <f t="shared" si="1125"/>
        <v>-1</v>
      </c>
      <c r="AI767" s="100">
        <f t="shared" si="1126"/>
        <v>-1</v>
      </c>
    </row>
    <row r="768" spans="1:35" s="86" customFormat="1" ht="18.75" customHeight="1" x14ac:dyDescent="0.3">
      <c r="A768" s="106"/>
      <c r="B768" s="106" t="s">
        <v>52</v>
      </c>
      <c r="C768" s="118">
        <v>48001</v>
      </c>
      <c r="D768" s="261">
        <v>13264343</v>
      </c>
      <c r="E768" s="157" t="s">
        <v>123</v>
      </c>
      <c r="F768" s="83">
        <v>1865</v>
      </c>
      <c r="G768" s="83"/>
      <c r="H768" s="83"/>
      <c r="I768" s="83"/>
      <c r="J768" s="83"/>
      <c r="K768" s="83"/>
      <c r="L768" s="83"/>
      <c r="M768" s="83"/>
      <c r="N768" s="110">
        <f>M768-F768</f>
        <v>-1865</v>
      </c>
      <c r="O768" s="110" t="s">
        <v>100</v>
      </c>
      <c r="P768" s="83"/>
      <c r="Q768" s="83"/>
      <c r="R768" s="83"/>
      <c r="S768" s="83"/>
      <c r="T768" s="110">
        <f>S768-Q768</f>
        <v>0</v>
      </c>
      <c r="U768" s="59">
        <f t="shared" si="1142"/>
        <v>0</v>
      </c>
      <c r="V768" s="83"/>
      <c r="W768" s="83"/>
      <c r="X768" s="110">
        <f>W768-M768</f>
        <v>0</v>
      </c>
      <c r="Y768" s="110"/>
      <c r="Z768" s="110"/>
      <c r="AA768" s="110"/>
      <c r="AB768" s="83"/>
      <c r="AC768" s="106"/>
      <c r="AD768" s="106"/>
      <c r="AE768" s="100">
        <f t="shared" si="1123"/>
        <v>-1</v>
      </c>
      <c r="AF768" s="90"/>
      <c r="AG768" s="109">
        <f t="shared" si="1124"/>
        <v>-1865</v>
      </c>
      <c r="AH768" s="100">
        <f t="shared" si="1125"/>
        <v>-1</v>
      </c>
      <c r="AI768" s="100">
        <f t="shared" si="1126"/>
        <v>-1</v>
      </c>
    </row>
    <row r="769" spans="1:35" s="82" customFormat="1" ht="16.5" customHeight="1" x14ac:dyDescent="0.3">
      <c r="A769" s="90" t="s">
        <v>46</v>
      </c>
      <c r="B769" s="90" t="s">
        <v>52</v>
      </c>
      <c r="C769" s="137"/>
      <c r="D769" s="90"/>
      <c r="E769" s="80"/>
      <c r="F769" s="81">
        <f>SUM(F768:F768)</f>
        <v>1865</v>
      </c>
      <c r="G769" s="81"/>
      <c r="H769" s="81" t="s">
        <v>50</v>
      </c>
      <c r="I769" s="81"/>
      <c r="J769" s="81" t="s">
        <v>60</v>
      </c>
      <c r="K769" s="85" t="s">
        <v>764</v>
      </c>
      <c r="L769" s="81">
        <f>SUM(L768:L768)</f>
        <v>0</v>
      </c>
      <c r="M769" s="81">
        <f>SUM(M768:M768)</f>
        <v>0</v>
      </c>
      <c r="N769" s="81">
        <f>SUM(N768:N768)</f>
        <v>-1865</v>
      </c>
      <c r="O769" s="81"/>
      <c r="P769" s="81">
        <f>SUM(P768:P768)</f>
        <v>0</v>
      </c>
      <c r="Q769" s="81">
        <f>SUM(Q768:Q768)</f>
        <v>0</v>
      </c>
      <c r="R769" s="81">
        <f>SUM(R768:R768)</f>
        <v>0</v>
      </c>
      <c r="S769" s="81">
        <f>SUM(S768:S768)</f>
        <v>0</v>
      </c>
      <c r="T769" s="81">
        <f>SUM(T768:T768)</f>
        <v>0</v>
      </c>
      <c r="U769" s="59">
        <f t="shared" si="1142"/>
        <v>0</v>
      </c>
      <c r="V769" s="81">
        <f>SUM(V768:V768)</f>
        <v>0</v>
      </c>
      <c r="W769" s="81">
        <f>SUM(W768:W768)</f>
        <v>0</v>
      </c>
      <c r="X769" s="81">
        <f>SUM(X768:X768)</f>
        <v>0</v>
      </c>
      <c r="Y769" s="81" t="s">
        <v>57</v>
      </c>
      <c r="Z769" s="110" t="s">
        <v>45</v>
      </c>
      <c r="AA769" s="110"/>
      <c r="AB769" s="84"/>
      <c r="AC769" s="136"/>
      <c r="AD769" s="136"/>
      <c r="AE769" s="100">
        <f t="shared" si="1123"/>
        <v>-1</v>
      </c>
      <c r="AF769" s="90"/>
      <c r="AG769" s="109">
        <f t="shared" si="1124"/>
        <v>-1865</v>
      </c>
      <c r="AH769" s="100">
        <f t="shared" si="1125"/>
        <v>-1</v>
      </c>
      <c r="AI769" s="100">
        <f t="shared" si="1126"/>
        <v>-1</v>
      </c>
    </row>
    <row r="770" spans="1:35" s="86" customFormat="1" ht="18.75" customHeight="1" x14ac:dyDescent="0.3">
      <c r="A770" s="106"/>
      <c r="B770" s="106" t="s">
        <v>52</v>
      </c>
      <c r="C770" s="118">
        <v>48081</v>
      </c>
      <c r="D770" s="310" t="s">
        <v>509</v>
      </c>
      <c r="E770" s="157" t="s">
        <v>98</v>
      </c>
      <c r="F770" s="83">
        <v>3740</v>
      </c>
      <c r="G770" s="83"/>
      <c r="H770" s="83"/>
      <c r="I770" s="83"/>
      <c r="J770" s="83"/>
      <c r="K770" s="83"/>
      <c r="L770" s="83"/>
      <c r="M770" s="83"/>
      <c r="N770" s="110">
        <f>M770-F770</f>
        <v>-3740</v>
      </c>
      <c r="O770" s="110" t="s">
        <v>100</v>
      </c>
      <c r="P770" s="83"/>
      <c r="Q770" s="83"/>
      <c r="R770" s="83"/>
      <c r="S770" s="83"/>
      <c r="T770" s="110">
        <f>S770-Q770</f>
        <v>0</v>
      </c>
      <c r="U770" s="59">
        <f t="shared" si="1142"/>
        <v>0</v>
      </c>
      <c r="V770" s="83"/>
      <c r="W770" s="83"/>
      <c r="X770" s="110">
        <f>W770-M770</f>
        <v>0</v>
      </c>
      <c r="Y770" s="110"/>
      <c r="Z770" s="110"/>
      <c r="AA770" s="110"/>
      <c r="AB770" s="83"/>
      <c r="AC770" s="106"/>
      <c r="AD770" s="106"/>
      <c r="AE770" s="100">
        <f t="shared" si="1123"/>
        <v>-1</v>
      </c>
      <c r="AF770" s="90"/>
      <c r="AG770" s="109">
        <f t="shared" si="1124"/>
        <v>-3740</v>
      </c>
      <c r="AH770" s="100">
        <f t="shared" si="1125"/>
        <v>-1</v>
      </c>
      <c r="AI770" s="100">
        <f t="shared" si="1126"/>
        <v>-1</v>
      </c>
    </row>
    <row r="771" spans="1:35" s="86" customFormat="1" ht="18.75" customHeight="1" x14ac:dyDescent="0.3">
      <c r="A771" s="106"/>
      <c r="B771" s="106" t="s">
        <v>52</v>
      </c>
      <c r="C771" s="118">
        <v>48081</v>
      </c>
      <c r="D771" s="311"/>
      <c r="E771" s="157" t="s">
        <v>510</v>
      </c>
      <c r="F771" s="83">
        <v>3356</v>
      </c>
      <c r="G771" s="83"/>
      <c r="H771" s="83"/>
      <c r="I771" s="83"/>
      <c r="J771" s="83"/>
      <c r="K771" s="83"/>
      <c r="L771" s="83"/>
      <c r="M771" s="83"/>
      <c r="N771" s="110">
        <f>M771-F771</f>
        <v>-3356</v>
      </c>
      <c r="O771" s="110" t="s">
        <v>100</v>
      </c>
      <c r="P771" s="83"/>
      <c r="Q771" s="83"/>
      <c r="R771" s="83"/>
      <c r="S771" s="83"/>
      <c r="T771" s="110">
        <f>S771-Q771</f>
        <v>0</v>
      </c>
      <c r="U771" s="59">
        <f t="shared" ref="U771" si="1148">IF(Q771&gt;0,S771-W771,M771-W771)</f>
        <v>0</v>
      </c>
      <c r="V771" s="83"/>
      <c r="W771" s="83"/>
      <c r="X771" s="110">
        <f>W771-M771</f>
        <v>0</v>
      </c>
      <c r="Y771" s="110"/>
      <c r="Z771" s="110"/>
      <c r="AA771" s="110"/>
      <c r="AB771" s="83"/>
      <c r="AC771" s="106"/>
      <c r="AD771" s="106"/>
      <c r="AE771" s="100">
        <f t="shared" ref="AE771" si="1149">N771/F771</f>
        <v>-1</v>
      </c>
      <c r="AF771" s="90"/>
      <c r="AG771" s="109">
        <f t="shared" ref="AG771" si="1150">IF(N771&lt;0,N771,0)</f>
        <v>-3356</v>
      </c>
      <c r="AH771" s="100">
        <f t="shared" ref="AH771" si="1151">(S771-F771)/F771</f>
        <v>-1</v>
      </c>
      <c r="AI771" s="100">
        <f t="shared" ref="AI771" si="1152">(W771-F771)/F771</f>
        <v>-1</v>
      </c>
    </row>
    <row r="772" spans="1:35" s="86" customFormat="1" ht="18.75" customHeight="1" x14ac:dyDescent="0.3">
      <c r="A772" s="106"/>
      <c r="B772" s="106" t="s">
        <v>52</v>
      </c>
      <c r="C772" s="118">
        <v>48081</v>
      </c>
      <c r="D772" s="311"/>
      <c r="E772" s="157" t="s">
        <v>511</v>
      </c>
      <c r="F772" s="83">
        <v>2616</v>
      </c>
      <c r="G772" s="83"/>
      <c r="H772" s="83"/>
      <c r="I772" s="83"/>
      <c r="J772" s="83"/>
      <c r="K772" s="83"/>
      <c r="L772" s="83"/>
      <c r="M772" s="83"/>
      <c r="N772" s="110">
        <f>M772-F772</f>
        <v>-2616</v>
      </c>
      <c r="O772" s="110" t="s">
        <v>100</v>
      </c>
      <c r="P772" s="83"/>
      <c r="Q772" s="83"/>
      <c r="R772" s="83"/>
      <c r="S772" s="83"/>
      <c r="T772" s="110">
        <f>S772-Q772</f>
        <v>0</v>
      </c>
      <c r="U772" s="59">
        <f t="shared" si="1142"/>
        <v>0</v>
      </c>
      <c r="V772" s="83"/>
      <c r="W772" s="83"/>
      <c r="X772" s="110">
        <f>W772-M772</f>
        <v>0</v>
      </c>
      <c r="Y772" s="110"/>
      <c r="Z772" s="110"/>
      <c r="AA772" s="110"/>
      <c r="AB772" s="83"/>
      <c r="AC772" s="106"/>
      <c r="AD772" s="106"/>
      <c r="AE772" s="100">
        <f t="shared" si="1123"/>
        <v>-1</v>
      </c>
      <c r="AF772" s="90"/>
      <c r="AG772" s="109">
        <f t="shared" si="1124"/>
        <v>-2616</v>
      </c>
      <c r="AH772" s="100">
        <f t="shared" si="1125"/>
        <v>-1</v>
      </c>
      <c r="AI772" s="100">
        <f t="shared" si="1126"/>
        <v>-1</v>
      </c>
    </row>
    <row r="773" spans="1:35" s="82" customFormat="1" ht="16.5" customHeight="1" x14ac:dyDescent="0.3">
      <c r="A773" s="90" t="s">
        <v>46</v>
      </c>
      <c r="B773" s="90" t="s">
        <v>52</v>
      </c>
      <c r="C773" s="137"/>
      <c r="D773" s="90"/>
      <c r="E773" s="80"/>
      <c r="F773" s="81">
        <f>SUM(F770:F772)</f>
        <v>9712</v>
      </c>
      <c r="G773" s="81"/>
      <c r="H773" s="81" t="s">
        <v>50</v>
      </c>
      <c r="I773" s="81"/>
      <c r="J773" s="81"/>
      <c r="K773" s="85" t="s">
        <v>508</v>
      </c>
      <c r="L773" s="81">
        <f>SUM(L770:L772)</f>
        <v>0</v>
      </c>
      <c r="M773" s="81">
        <f>SUM(M770:M772)</f>
        <v>0</v>
      </c>
      <c r="N773" s="81">
        <f>SUM(N770:N772)</f>
        <v>-9712</v>
      </c>
      <c r="O773" s="81"/>
      <c r="P773" s="81">
        <f>SUM(P770:P772)</f>
        <v>0</v>
      </c>
      <c r="Q773" s="81">
        <f>SUM(Q770:Q772)</f>
        <v>0</v>
      </c>
      <c r="R773" s="81">
        <f>SUM(R770:R772)</f>
        <v>0</v>
      </c>
      <c r="S773" s="81">
        <f>SUM(S770:S772)</f>
        <v>0</v>
      </c>
      <c r="T773" s="81">
        <f>SUM(T770:T772)</f>
        <v>0</v>
      </c>
      <c r="U773" s="59">
        <f t="shared" si="1142"/>
        <v>0</v>
      </c>
      <c r="V773" s="81">
        <f>SUM(V770:V772)</f>
        <v>0</v>
      </c>
      <c r="W773" s="81">
        <f>SUM(W770:W772)</f>
        <v>0</v>
      </c>
      <c r="X773" s="81">
        <f>SUM(X770:X772)</f>
        <v>0</v>
      </c>
      <c r="Y773" s="81" t="s">
        <v>57</v>
      </c>
      <c r="Z773" s="110" t="s">
        <v>45</v>
      </c>
      <c r="AA773" s="110"/>
      <c r="AB773" s="84"/>
      <c r="AC773" s="136"/>
      <c r="AD773" s="136"/>
      <c r="AE773" s="100">
        <f t="shared" si="1123"/>
        <v>-1</v>
      </c>
      <c r="AF773" s="90"/>
      <c r="AG773" s="109">
        <f t="shared" si="1124"/>
        <v>-9712</v>
      </c>
      <c r="AH773" s="100">
        <f t="shared" si="1125"/>
        <v>-1</v>
      </c>
      <c r="AI773" s="100">
        <f t="shared" si="1126"/>
        <v>-1</v>
      </c>
    </row>
    <row r="774" spans="1:35" s="86" customFormat="1" ht="18.75" customHeight="1" x14ac:dyDescent="0.3">
      <c r="A774" s="106"/>
      <c r="B774" s="106" t="s">
        <v>52</v>
      </c>
      <c r="C774" s="118">
        <v>48079</v>
      </c>
      <c r="D774" s="310">
        <v>13262914</v>
      </c>
      <c r="E774" s="157" t="s">
        <v>331</v>
      </c>
      <c r="F774" s="83">
        <v>863</v>
      </c>
      <c r="G774" s="83"/>
      <c r="H774" s="83"/>
      <c r="I774" s="83"/>
      <c r="J774" s="83"/>
      <c r="K774" s="83"/>
      <c r="L774" s="83"/>
      <c r="M774" s="83">
        <f>664+226</f>
        <v>890</v>
      </c>
      <c r="N774" s="110">
        <f>M774-F774</f>
        <v>27</v>
      </c>
      <c r="O774" s="110" t="s">
        <v>100</v>
      </c>
      <c r="P774" s="83"/>
      <c r="Q774" s="83">
        <f>890</f>
        <v>890</v>
      </c>
      <c r="R774" s="83">
        <v>876</v>
      </c>
      <c r="S774" s="83">
        <v>876</v>
      </c>
      <c r="T774" s="110">
        <f>S774-Q774</f>
        <v>-14</v>
      </c>
      <c r="U774" s="59">
        <f t="shared" si="1142"/>
        <v>876</v>
      </c>
      <c r="V774" s="83"/>
      <c r="W774" s="83"/>
      <c r="X774" s="110">
        <f>W774-M774</f>
        <v>-890</v>
      </c>
      <c r="Y774" s="110"/>
      <c r="Z774" s="110"/>
      <c r="AA774" s="110"/>
      <c r="AB774" s="83"/>
      <c r="AC774" s="106"/>
      <c r="AD774" s="106"/>
      <c r="AE774" s="100">
        <f t="shared" si="1123"/>
        <v>3.1286210892236384E-2</v>
      </c>
      <c r="AF774" s="90"/>
      <c r="AG774" s="109">
        <f t="shared" si="1124"/>
        <v>0</v>
      </c>
      <c r="AH774" s="100">
        <f t="shared" si="1125"/>
        <v>1.5063731170336037E-2</v>
      </c>
      <c r="AI774" s="100">
        <f t="shared" si="1126"/>
        <v>-1</v>
      </c>
    </row>
    <row r="775" spans="1:35" s="86" customFormat="1" ht="18.75" customHeight="1" x14ac:dyDescent="0.3">
      <c r="A775" s="106"/>
      <c r="B775" s="106" t="s">
        <v>52</v>
      </c>
      <c r="C775" s="118">
        <v>48079</v>
      </c>
      <c r="D775" s="311"/>
      <c r="E775" s="157" t="s">
        <v>145</v>
      </c>
      <c r="F775" s="83">
        <v>1231</v>
      </c>
      <c r="G775" s="83"/>
      <c r="H775" s="83"/>
      <c r="I775" s="83"/>
      <c r="J775" s="83"/>
      <c r="K775" s="83"/>
      <c r="L775" s="83"/>
      <c r="M775" s="83">
        <f>488+376+416</f>
        <v>1280</v>
      </c>
      <c r="N775" s="110">
        <f>M775-F775</f>
        <v>49</v>
      </c>
      <c r="O775" s="110" t="s">
        <v>100</v>
      </c>
      <c r="P775" s="83"/>
      <c r="Q775" s="83">
        <f>864+416</f>
        <v>1280</v>
      </c>
      <c r="R775" s="83"/>
      <c r="S775" s="83">
        <v>1280</v>
      </c>
      <c r="T775" s="110">
        <f>S775-Q775</f>
        <v>0</v>
      </c>
      <c r="U775" s="59">
        <f t="shared" si="1142"/>
        <v>1280</v>
      </c>
      <c r="V775" s="83"/>
      <c r="W775" s="83"/>
      <c r="X775" s="110">
        <f>W775-M775</f>
        <v>-1280</v>
      </c>
      <c r="Y775" s="110"/>
      <c r="Z775" s="110"/>
      <c r="AA775" s="110"/>
      <c r="AB775" s="83"/>
      <c r="AC775" s="106"/>
      <c r="AD775" s="106"/>
      <c r="AE775" s="100">
        <f t="shared" si="1123"/>
        <v>3.9805036555645816E-2</v>
      </c>
      <c r="AF775" s="90"/>
      <c r="AG775" s="109">
        <f t="shared" si="1124"/>
        <v>0</v>
      </c>
      <c r="AH775" s="100">
        <f t="shared" si="1125"/>
        <v>3.9805036555645816E-2</v>
      </c>
      <c r="AI775" s="100">
        <f t="shared" si="1126"/>
        <v>-1</v>
      </c>
    </row>
    <row r="776" spans="1:35" s="86" customFormat="1" ht="18.75" customHeight="1" x14ac:dyDescent="0.3">
      <c r="A776" s="106"/>
      <c r="B776" s="106" t="s">
        <v>52</v>
      </c>
      <c r="C776" s="118">
        <v>48079</v>
      </c>
      <c r="D776" s="311"/>
      <c r="E776" s="157" t="s">
        <v>332</v>
      </c>
      <c r="F776" s="83">
        <v>1150</v>
      </c>
      <c r="G776" s="83"/>
      <c r="H776" s="83"/>
      <c r="I776" s="83"/>
      <c r="J776" s="83"/>
      <c r="K776" s="83"/>
      <c r="L776" s="83"/>
      <c r="M776" s="83">
        <f>557+176+456</f>
        <v>1189</v>
      </c>
      <c r="N776" s="110">
        <f>M776-F776</f>
        <v>39</v>
      </c>
      <c r="O776" s="110" t="s">
        <v>100</v>
      </c>
      <c r="P776" s="83"/>
      <c r="Q776" s="83">
        <f>733+456</f>
        <v>1189</v>
      </c>
      <c r="R776" s="83"/>
      <c r="S776" s="83">
        <v>1166</v>
      </c>
      <c r="T776" s="110">
        <f>S776-Q776</f>
        <v>-23</v>
      </c>
      <c r="U776" s="59">
        <f t="shared" si="1142"/>
        <v>1166</v>
      </c>
      <c r="V776" s="83"/>
      <c r="W776" s="83"/>
      <c r="X776" s="110">
        <f>W776-M776</f>
        <v>-1189</v>
      </c>
      <c r="Y776" s="110"/>
      <c r="Z776" s="110"/>
      <c r="AA776" s="110"/>
      <c r="AB776" s="83"/>
      <c r="AC776" s="106"/>
      <c r="AD776" s="106"/>
      <c r="AE776" s="100">
        <f t="shared" si="1123"/>
        <v>3.3913043478260872E-2</v>
      </c>
      <c r="AF776" s="90"/>
      <c r="AG776" s="109">
        <f t="shared" si="1124"/>
        <v>0</v>
      </c>
      <c r="AH776" s="100">
        <f t="shared" si="1125"/>
        <v>1.391304347826087E-2</v>
      </c>
      <c r="AI776" s="100">
        <f t="shared" si="1126"/>
        <v>-1</v>
      </c>
    </row>
    <row r="777" spans="1:35" s="82" customFormat="1" ht="16.5" customHeight="1" x14ac:dyDescent="0.3">
      <c r="A777" s="90" t="s">
        <v>46</v>
      </c>
      <c r="B777" s="90" t="s">
        <v>52</v>
      </c>
      <c r="C777" s="137"/>
      <c r="D777" s="90"/>
      <c r="E777" s="80"/>
      <c r="F777" s="81">
        <f>SUM(F774:F776)</f>
        <v>3244</v>
      </c>
      <c r="G777" s="81"/>
      <c r="H777" s="81" t="s">
        <v>50</v>
      </c>
      <c r="I777" s="81"/>
      <c r="J777" s="81" t="s">
        <v>60</v>
      </c>
      <c r="K777" s="85" t="s">
        <v>330</v>
      </c>
      <c r="L777" s="81">
        <f>SUM(L774:L776)</f>
        <v>0</v>
      </c>
      <c r="M777" s="81">
        <f>SUM(M774:M776)</f>
        <v>3359</v>
      </c>
      <c r="N777" s="81">
        <f>SUM(N774:N776)</f>
        <v>115</v>
      </c>
      <c r="O777" s="81" t="s">
        <v>238</v>
      </c>
      <c r="P777" s="81">
        <f>SUM(P774:P776)</f>
        <v>0</v>
      </c>
      <c r="Q777" s="81">
        <f>SUM(Q774:Q776)</f>
        <v>3359</v>
      </c>
      <c r="R777" s="81">
        <f>SUM(R774:R776)</f>
        <v>876</v>
      </c>
      <c r="S777" s="81">
        <f>SUM(S774:S776)</f>
        <v>3322</v>
      </c>
      <c r="T777" s="81">
        <f>SUM(T774:T776)</f>
        <v>-37</v>
      </c>
      <c r="U777" s="59">
        <f t="shared" si="1142"/>
        <v>3322</v>
      </c>
      <c r="V777" s="81">
        <f>SUM(V774:V776)</f>
        <v>0</v>
      </c>
      <c r="W777" s="81">
        <f>SUM(W774:W776)</f>
        <v>0</v>
      </c>
      <c r="X777" s="81">
        <f>SUM(X774:X776)</f>
        <v>-3359</v>
      </c>
      <c r="Y777" s="81" t="s">
        <v>47</v>
      </c>
      <c r="Z777" s="110" t="s">
        <v>45</v>
      </c>
      <c r="AA777" s="110"/>
      <c r="AB777" s="84"/>
      <c r="AC777" s="136"/>
      <c r="AD777" s="136"/>
      <c r="AE777" s="100">
        <f t="shared" si="1123"/>
        <v>3.5450061652281137E-2</v>
      </c>
      <c r="AF777" s="90"/>
      <c r="AG777" s="109">
        <f t="shared" si="1124"/>
        <v>0</v>
      </c>
      <c r="AH777" s="100">
        <f t="shared" si="1125"/>
        <v>2.4044389642416768E-2</v>
      </c>
      <c r="AI777" s="100">
        <f t="shared" si="1126"/>
        <v>-1</v>
      </c>
    </row>
    <row r="778" spans="1:35" s="86" customFormat="1" ht="18.75" customHeight="1" x14ac:dyDescent="0.3">
      <c r="A778" s="106"/>
      <c r="B778" s="106" t="s">
        <v>52</v>
      </c>
      <c r="C778" s="118">
        <v>48078</v>
      </c>
      <c r="D778" s="310" t="s">
        <v>334</v>
      </c>
      <c r="E778" s="157" t="s">
        <v>302</v>
      </c>
      <c r="F778" s="83">
        <v>3028</v>
      </c>
      <c r="G778" s="83"/>
      <c r="H778" s="83"/>
      <c r="I778" s="83"/>
      <c r="J778" s="83"/>
      <c r="K778" s="83"/>
      <c r="L778" s="83"/>
      <c r="M778" s="83">
        <v>3129</v>
      </c>
      <c r="N778" s="110">
        <f>M778-F778</f>
        <v>101</v>
      </c>
      <c r="O778" s="110" t="s">
        <v>100</v>
      </c>
      <c r="P778" s="83"/>
      <c r="Q778" s="83">
        <f>3129</f>
        <v>3129</v>
      </c>
      <c r="R778" s="83"/>
      <c r="S778" s="83"/>
      <c r="T778" s="110">
        <f>S778-Q778</f>
        <v>-3129</v>
      </c>
      <c r="U778" s="59">
        <f t="shared" ref="U778:U782" si="1153">IF(Q778&gt;0,S778-W778,M778-W778)</f>
        <v>0</v>
      </c>
      <c r="V778" s="83"/>
      <c r="W778" s="83"/>
      <c r="X778" s="110">
        <f>W778-M778</f>
        <v>-3129</v>
      </c>
      <c r="Y778" s="110"/>
      <c r="Z778" s="110"/>
      <c r="AA778" s="110"/>
      <c r="AB778" s="83"/>
      <c r="AC778" s="106"/>
      <c r="AD778" s="106"/>
      <c r="AE778" s="100">
        <f t="shared" ref="AE778:AE782" si="1154">N778/F778</f>
        <v>3.3355350066050199E-2</v>
      </c>
      <c r="AF778" s="90"/>
      <c r="AG778" s="109">
        <f t="shared" ref="AG778:AG782" si="1155">IF(N778&lt;0,N778,0)</f>
        <v>0</v>
      </c>
      <c r="AH778" s="100">
        <f t="shared" ref="AH778:AH782" si="1156">(S778-F778)/F778</f>
        <v>-1</v>
      </c>
      <c r="AI778" s="100">
        <f t="shared" ref="AI778:AI782" si="1157">(W778-F778)/F778</f>
        <v>-1</v>
      </c>
    </row>
    <row r="779" spans="1:35" s="86" customFormat="1" ht="18.75" customHeight="1" x14ac:dyDescent="0.3">
      <c r="A779" s="106"/>
      <c r="B779" s="106" t="s">
        <v>52</v>
      </c>
      <c r="C779" s="118">
        <v>48078</v>
      </c>
      <c r="D779" s="311"/>
      <c r="E779" s="157" t="s">
        <v>335</v>
      </c>
      <c r="F779" s="83">
        <v>5940</v>
      </c>
      <c r="G779" s="83"/>
      <c r="H779" s="83"/>
      <c r="I779" s="83"/>
      <c r="J779" s="83"/>
      <c r="K779" s="83"/>
      <c r="L779" s="83"/>
      <c r="M779" s="83">
        <f>4360+1728</f>
        <v>6088</v>
      </c>
      <c r="N779" s="110">
        <f>M779-F779</f>
        <v>148</v>
      </c>
      <c r="O779" s="110" t="s">
        <v>100</v>
      </c>
      <c r="P779" s="83"/>
      <c r="Q779" s="83">
        <f>4360</f>
        <v>4360</v>
      </c>
      <c r="R779" s="83"/>
      <c r="S779" s="83"/>
      <c r="T779" s="110">
        <f>S779-Q779</f>
        <v>-4360</v>
      </c>
      <c r="U779" s="59">
        <f t="shared" si="1153"/>
        <v>0</v>
      </c>
      <c r="V779" s="83"/>
      <c r="W779" s="83"/>
      <c r="X779" s="110">
        <f>W779-M779</f>
        <v>-6088</v>
      </c>
      <c r="Y779" s="110"/>
      <c r="Z779" s="110"/>
      <c r="AA779" s="110"/>
      <c r="AB779" s="83"/>
      <c r="AC779" s="106"/>
      <c r="AD779" s="106"/>
      <c r="AE779" s="100">
        <f t="shared" si="1154"/>
        <v>2.4915824915824916E-2</v>
      </c>
      <c r="AF779" s="90"/>
      <c r="AG779" s="109">
        <f t="shared" si="1155"/>
        <v>0</v>
      </c>
      <c r="AH779" s="100">
        <f t="shared" si="1156"/>
        <v>-1</v>
      </c>
      <c r="AI779" s="100">
        <f t="shared" si="1157"/>
        <v>-1</v>
      </c>
    </row>
    <row r="780" spans="1:35" s="86" customFormat="1" ht="18.75" customHeight="1" x14ac:dyDescent="0.3">
      <c r="A780" s="106"/>
      <c r="B780" s="106" t="s">
        <v>52</v>
      </c>
      <c r="C780" s="118">
        <v>48078</v>
      </c>
      <c r="D780" s="311"/>
      <c r="E780" s="157" t="s">
        <v>303</v>
      </c>
      <c r="F780" s="83">
        <v>6015</v>
      </c>
      <c r="G780" s="83"/>
      <c r="H780" s="83"/>
      <c r="I780" s="83"/>
      <c r="J780" s="83"/>
      <c r="K780" s="83"/>
      <c r="L780" s="83"/>
      <c r="M780" s="83">
        <f>1400+481+1320+1566+1000+144+75</f>
        <v>5986</v>
      </c>
      <c r="N780" s="110">
        <f>M780-F780</f>
        <v>-29</v>
      </c>
      <c r="O780" s="110" t="s">
        <v>100</v>
      </c>
      <c r="P780" s="83"/>
      <c r="Q780" s="83">
        <f>1400+2886+1481+114+75</f>
        <v>5956</v>
      </c>
      <c r="R780" s="83"/>
      <c r="S780" s="83"/>
      <c r="T780" s="110">
        <f>S780-Q780</f>
        <v>-5956</v>
      </c>
      <c r="U780" s="59">
        <f t="shared" ref="U780" si="1158">IF(Q780&gt;0,S780-W780,M780-W780)</f>
        <v>0</v>
      </c>
      <c r="V780" s="83"/>
      <c r="W780" s="83"/>
      <c r="X780" s="110">
        <f>W780-M780</f>
        <v>-5986</v>
      </c>
      <c r="Y780" s="110"/>
      <c r="Z780" s="110"/>
      <c r="AA780" s="110"/>
      <c r="AB780" s="83"/>
      <c r="AC780" s="106"/>
      <c r="AD780" s="106"/>
      <c r="AE780" s="100">
        <f t="shared" ref="AE780" si="1159">N780/F780</f>
        <v>-4.8212801330008315E-3</v>
      </c>
      <c r="AF780" s="90"/>
      <c r="AG780" s="109">
        <f t="shared" ref="AG780" si="1160">IF(N780&lt;0,N780,0)</f>
        <v>-29</v>
      </c>
      <c r="AH780" s="100">
        <f t="shared" ref="AH780" si="1161">(S780-F780)/F780</f>
        <v>-1</v>
      </c>
      <c r="AI780" s="100">
        <f t="shared" ref="AI780" si="1162">(W780-F780)/F780</f>
        <v>-1</v>
      </c>
    </row>
    <row r="781" spans="1:35" s="86" customFormat="1" ht="18.75" customHeight="1" x14ac:dyDescent="0.3">
      <c r="A781" s="106"/>
      <c r="B781" s="106" t="s">
        <v>52</v>
      </c>
      <c r="C781" s="118">
        <v>48078</v>
      </c>
      <c r="D781" s="311"/>
      <c r="E781" s="157" t="s">
        <v>336</v>
      </c>
      <c r="F781" s="83">
        <v>4826</v>
      </c>
      <c r="G781" s="83"/>
      <c r="H781" s="83"/>
      <c r="I781" s="83"/>
      <c r="J781" s="83"/>
      <c r="K781" s="83"/>
      <c r="L781" s="83"/>
      <c r="M781" s="83">
        <f>500+1512+1191+1140+174</f>
        <v>4517</v>
      </c>
      <c r="N781" s="110">
        <f>M781-F781</f>
        <v>-309</v>
      </c>
      <c r="O781" s="110" t="s">
        <v>100</v>
      </c>
      <c r="P781" s="83"/>
      <c r="Q781" s="83">
        <f>2012+855+336+1140+174</f>
        <v>4517</v>
      </c>
      <c r="R781" s="83"/>
      <c r="S781" s="83"/>
      <c r="T781" s="110">
        <f>S781-Q781</f>
        <v>-4517</v>
      </c>
      <c r="U781" s="59">
        <f t="shared" si="1153"/>
        <v>0</v>
      </c>
      <c r="V781" s="83"/>
      <c r="W781" s="83"/>
      <c r="X781" s="110">
        <f>W781-M781</f>
        <v>-4517</v>
      </c>
      <c r="Y781" s="110"/>
      <c r="Z781" s="110"/>
      <c r="AA781" s="110"/>
      <c r="AB781" s="83"/>
      <c r="AC781" s="106"/>
      <c r="AD781" s="106"/>
      <c r="AE781" s="100">
        <f t="shared" si="1154"/>
        <v>-6.402818068794032E-2</v>
      </c>
      <c r="AF781" s="90"/>
      <c r="AG781" s="109">
        <f t="shared" si="1155"/>
        <v>-309</v>
      </c>
      <c r="AH781" s="100">
        <f t="shared" si="1156"/>
        <v>-1</v>
      </c>
      <c r="AI781" s="100">
        <f t="shared" si="1157"/>
        <v>-1</v>
      </c>
    </row>
    <row r="782" spans="1:35" s="82" customFormat="1" ht="16.5" customHeight="1" x14ac:dyDescent="0.3">
      <c r="A782" s="90" t="s">
        <v>46</v>
      </c>
      <c r="B782" s="90" t="s">
        <v>52</v>
      </c>
      <c r="C782" s="137"/>
      <c r="D782" s="90"/>
      <c r="E782" s="80"/>
      <c r="F782" s="81">
        <f>SUM(F778:F781)</f>
        <v>19809</v>
      </c>
      <c r="G782" s="81"/>
      <c r="H782" s="81" t="s">
        <v>50</v>
      </c>
      <c r="I782" s="81"/>
      <c r="J782" s="81" t="s">
        <v>60</v>
      </c>
      <c r="K782" s="85" t="s">
        <v>333</v>
      </c>
      <c r="L782" s="81">
        <f>SUM(L778:L781)</f>
        <v>0</v>
      </c>
      <c r="M782" s="81">
        <f>SUM(M778:M781)</f>
        <v>19720</v>
      </c>
      <c r="N782" s="81">
        <f>SUM(N778:N781)</f>
        <v>-89</v>
      </c>
      <c r="O782" s="81" t="s">
        <v>851</v>
      </c>
      <c r="P782" s="81">
        <f>SUM(P778:P781)</f>
        <v>0</v>
      </c>
      <c r="Q782" s="81">
        <f>SUM(Q778:Q781)</f>
        <v>17962</v>
      </c>
      <c r="R782" s="81">
        <f>SUM(R778:R781)</f>
        <v>0</v>
      </c>
      <c r="S782" s="81">
        <f>SUM(S778:S781)</f>
        <v>0</v>
      </c>
      <c r="T782" s="81">
        <f>SUM(T778:T781)</f>
        <v>-17962</v>
      </c>
      <c r="U782" s="59">
        <f t="shared" si="1153"/>
        <v>0</v>
      </c>
      <c r="V782" s="81">
        <f>SUM(V778:V781)</f>
        <v>0</v>
      </c>
      <c r="W782" s="81">
        <f>SUM(W778:W781)</f>
        <v>0</v>
      </c>
      <c r="X782" s="81">
        <f>SUM(X778:X781)</f>
        <v>-19720</v>
      </c>
      <c r="Y782" s="81" t="s">
        <v>47</v>
      </c>
      <c r="Z782" s="110" t="s">
        <v>45</v>
      </c>
      <c r="AA782" s="110"/>
      <c r="AB782" s="84"/>
      <c r="AC782" s="136"/>
      <c r="AD782" s="136"/>
      <c r="AE782" s="100">
        <f t="shared" si="1154"/>
        <v>-4.492907264374779E-3</v>
      </c>
      <c r="AF782" s="90"/>
      <c r="AG782" s="109">
        <f t="shared" si="1155"/>
        <v>-89</v>
      </c>
      <c r="AH782" s="100">
        <f t="shared" si="1156"/>
        <v>-1</v>
      </c>
      <c r="AI782" s="100">
        <f t="shared" si="1157"/>
        <v>-1</v>
      </c>
    </row>
    <row r="783" spans="1:35" s="86" customFormat="1" ht="18.75" customHeight="1" x14ac:dyDescent="0.3">
      <c r="A783" s="106"/>
      <c r="B783" s="106" t="s">
        <v>52</v>
      </c>
      <c r="C783" s="118">
        <v>47956</v>
      </c>
      <c r="D783" s="310">
        <v>13263826</v>
      </c>
      <c r="E783" s="157" t="s">
        <v>488</v>
      </c>
      <c r="F783" s="83">
        <v>804</v>
      </c>
      <c r="G783" s="83"/>
      <c r="H783" s="83"/>
      <c r="I783" s="83"/>
      <c r="J783" s="83"/>
      <c r="K783" s="83"/>
      <c r="L783" s="83"/>
      <c r="M783" s="83">
        <f>634+200+37</f>
        <v>871</v>
      </c>
      <c r="N783" s="110">
        <f>M783-F783</f>
        <v>67</v>
      </c>
      <c r="O783" s="110" t="s">
        <v>100</v>
      </c>
      <c r="P783" s="83"/>
      <c r="Q783" s="83">
        <f>616+181+37</f>
        <v>834</v>
      </c>
      <c r="R783" s="83"/>
      <c r="S783" s="83">
        <v>834</v>
      </c>
      <c r="T783" s="110">
        <f>S783-Q783</f>
        <v>0</v>
      </c>
      <c r="U783" s="59">
        <f t="shared" si="1142"/>
        <v>4</v>
      </c>
      <c r="V783" s="83"/>
      <c r="W783" s="83">
        <f>830</f>
        <v>830</v>
      </c>
      <c r="X783" s="110">
        <f>W783-M783</f>
        <v>-41</v>
      </c>
      <c r="Y783" s="110"/>
      <c r="Z783" s="110"/>
      <c r="AA783" s="110"/>
      <c r="AB783" s="83"/>
      <c r="AC783" s="106"/>
      <c r="AD783" s="106"/>
      <c r="AE783" s="100">
        <f t="shared" si="1123"/>
        <v>8.3333333333333329E-2</v>
      </c>
      <c r="AF783" s="90"/>
      <c r="AG783" s="109">
        <f t="shared" si="1124"/>
        <v>0</v>
      </c>
      <c r="AH783" s="100">
        <f t="shared" si="1125"/>
        <v>3.7313432835820892E-2</v>
      </c>
      <c r="AI783" s="100">
        <f t="shared" si="1126"/>
        <v>3.2338308457711441E-2</v>
      </c>
    </row>
    <row r="784" spans="1:35" s="86" customFormat="1" ht="18.75" customHeight="1" x14ac:dyDescent="0.3">
      <c r="A784" s="106"/>
      <c r="B784" s="106" t="s">
        <v>52</v>
      </c>
      <c r="C784" s="118">
        <v>47956</v>
      </c>
      <c r="D784" s="311"/>
      <c r="E784" s="157" t="s">
        <v>408</v>
      </c>
      <c r="F784" s="83">
        <v>1310</v>
      </c>
      <c r="G784" s="83"/>
      <c r="H784" s="83"/>
      <c r="I784" s="83"/>
      <c r="J784" s="83"/>
      <c r="K784" s="83"/>
      <c r="L784" s="83"/>
      <c r="M784" s="83">
        <f>350+434+196+378</f>
        <v>1358</v>
      </c>
      <c r="N784" s="110">
        <f>M784-F784</f>
        <v>48</v>
      </c>
      <c r="O784" s="110" t="s">
        <v>100</v>
      </c>
      <c r="P784" s="83"/>
      <c r="Q784" s="83">
        <f>350+630+378</f>
        <v>1358</v>
      </c>
      <c r="R784" s="83"/>
      <c r="S784" s="83">
        <v>1358</v>
      </c>
      <c r="T784" s="110">
        <f>S784-Q784</f>
        <v>0</v>
      </c>
      <c r="U784" s="59">
        <f t="shared" si="1142"/>
        <v>14</v>
      </c>
      <c r="V784" s="83"/>
      <c r="W784" s="83">
        <v>1344</v>
      </c>
      <c r="X784" s="110">
        <f>W784-M784</f>
        <v>-14</v>
      </c>
      <c r="Y784" s="110"/>
      <c r="Z784" s="110"/>
      <c r="AA784" s="110"/>
      <c r="AB784" s="83"/>
      <c r="AC784" s="106"/>
      <c r="AD784" s="106"/>
      <c r="AE784" s="100">
        <f t="shared" si="1123"/>
        <v>3.6641221374045803E-2</v>
      </c>
      <c r="AF784" s="90"/>
      <c r="AG784" s="109">
        <f t="shared" si="1124"/>
        <v>0</v>
      </c>
      <c r="AH784" s="100">
        <f t="shared" si="1125"/>
        <v>3.6641221374045803E-2</v>
      </c>
      <c r="AI784" s="100">
        <f t="shared" si="1126"/>
        <v>2.5954198473282442E-2</v>
      </c>
    </row>
    <row r="785" spans="1:35" s="86" customFormat="1" ht="18.75" customHeight="1" x14ac:dyDescent="0.3">
      <c r="A785" s="106"/>
      <c r="B785" s="106" t="s">
        <v>52</v>
      </c>
      <c r="C785" s="118">
        <v>47956</v>
      </c>
      <c r="D785" s="311"/>
      <c r="E785" s="157" t="s">
        <v>116</v>
      </c>
      <c r="F785" s="83">
        <v>795</v>
      </c>
      <c r="G785" s="83"/>
      <c r="H785" s="83"/>
      <c r="I785" s="83"/>
      <c r="J785" s="83"/>
      <c r="K785" s="83"/>
      <c r="L785" s="83"/>
      <c r="M785" s="83">
        <f>300+275+229+32</f>
        <v>836</v>
      </c>
      <c r="N785" s="110">
        <f>M785-F785</f>
        <v>41</v>
      </c>
      <c r="O785" s="110" t="s">
        <v>100</v>
      </c>
      <c r="P785" s="83"/>
      <c r="Q785" s="83">
        <f>300+275+223+32</f>
        <v>830</v>
      </c>
      <c r="R785" s="83"/>
      <c r="S785" s="83">
        <v>830</v>
      </c>
      <c r="T785" s="110">
        <f>S785-Q785</f>
        <v>0</v>
      </c>
      <c r="U785" s="59">
        <f t="shared" ref="U785" si="1163">IF(Q785&gt;0,S785-W785,M785-W785)</f>
        <v>2</v>
      </c>
      <c r="V785" s="83"/>
      <c r="W785" s="83">
        <v>828</v>
      </c>
      <c r="X785" s="110">
        <f>W785-M785</f>
        <v>-8</v>
      </c>
      <c r="Y785" s="110"/>
      <c r="Z785" s="110"/>
      <c r="AA785" s="110"/>
      <c r="AB785" s="83"/>
      <c r="AC785" s="106"/>
      <c r="AD785" s="106"/>
      <c r="AE785" s="100">
        <f t="shared" ref="AE785" si="1164">N785/F785</f>
        <v>5.157232704402516E-2</v>
      </c>
      <c r="AF785" s="90"/>
      <c r="AG785" s="109">
        <f t="shared" ref="AG785" si="1165">IF(N785&lt;0,N785,0)</f>
        <v>0</v>
      </c>
      <c r="AH785" s="100">
        <f t="shared" ref="AH785" si="1166">(S785-F785)/F785</f>
        <v>4.40251572327044E-2</v>
      </c>
      <c r="AI785" s="100">
        <f t="shared" ref="AI785" si="1167">(W785-F785)/F785</f>
        <v>4.1509433962264149E-2</v>
      </c>
    </row>
    <row r="786" spans="1:35" s="82" customFormat="1" ht="16.5" customHeight="1" x14ac:dyDescent="0.3">
      <c r="A786" s="90" t="s">
        <v>46</v>
      </c>
      <c r="B786" s="90" t="s">
        <v>52</v>
      </c>
      <c r="C786" s="137"/>
      <c r="D786" s="90"/>
      <c r="E786" s="80"/>
      <c r="F786" s="81">
        <f>SUM(F783:F785)</f>
        <v>2909</v>
      </c>
      <c r="G786" s="81"/>
      <c r="H786" s="81" t="s">
        <v>50</v>
      </c>
      <c r="I786" s="81"/>
      <c r="J786" s="81" t="s">
        <v>60</v>
      </c>
      <c r="K786" s="85" t="s">
        <v>226</v>
      </c>
      <c r="L786" s="81">
        <f>SUM(L783:L785)</f>
        <v>0</v>
      </c>
      <c r="M786" s="81">
        <f>SUM(M783:M785)</f>
        <v>3065</v>
      </c>
      <c r="N786" s="81">
        <f>SUM(N783:N785)</f>
        <v>156</v>
      </c>
      <c r="O786" s="81" t="s">
        <v>757</v>
      </c>
      <c r="P786" s="81">
        <f>SUM(P783:P785)</f>
        <v>0</v>
      </c>
      <c r="Q786" s="81">
        <f>SUM(Q783:Q785)</f>
        <v>3022</v>
      </c>
      <c r="R786" s="81">
        <f>SUM(R783:R785)</f>
        <v>0</v>
      </c>
      <c r="S786" s="81">
        <f>SUM(S783:S785)</f>
        <v>3022</v>
      </c>
      <c r="T786" s="81">
        <f>SUM(T783:T785)</f>
        <v>0</v>
      </c>
      <c r="U786" s="59">
        <f t="shared" si="1142"/>
        <v>20</v>
      </c>
      <c r="V786" s="81">
        <f>SUM(V783:V785)</f>
        <v>0</v>
      </c>
      <c r="W786" s="81">
        <f>SUM(W783:W785)</f>
        <v>3002</v>
      </c>
      <c r="X786" s="81">
        <f>SUM(X783:X785)</f>
        <v>-63</v>
      </c>
      <c r="Y786" s="81" t="s">
        <v>47</v>
      </c>
      <c r="Z786" s="110" t="s">
        <v>45</v>
      </c>
      <c r="AA786" s="110"/>
      <c r="AB786" s="84"/>
      <c r="AC786" s="136"/>
      <c r="AD786" s="136"/>
      <c r="AE786" s="100">
        <f t="shared" si="1123"/>
        <v>5.3626675833619804E-2</v>
      </c>
      <c r="AF786" s="90"/>
      <c r="AG786" s="109">
        <f t="shared" si="1124"/>
        <v>0</v>
      </c>
      <c r="AH786" s="100">
        <f t="shared" si="1125"/>
        <v>3.8844963905122036E-2</v>
      </c>
      <c r="AI786" s="100">
        <f t="shared" si="1126"/>
        <v>3.1969749054657957E-2</v>
      </c>
    </row>
    <row r="787" spans="1:35" s="86" customFormat="1" ht="18.75" customHeight="1" x14ac:dyDescent="0.3">
      <c r="A787" s="106"/>
      <c r="B787" s="106" t="s">
        <v>52</v>
      </c>
      <c r="C787" s="118">
        <v>48069</v>
      </c>
      <c r="D787" s="310">
        <v>13263273</v>
      </c>
      <c r="E787" s="157" t="s">
        <v>49</v>
      </c>
      <c r="F787" s="83">
        <v>2703</v>
      </c>
      <c r="G787" s="83"/>
      <c r="H787" s="83"/>
      <c r="I787" s="83"/>
      <c r="J787" s="83"/>
      <c r="K787" s="83"/>
      <c r="L787" s="83"/>
      <c r="M787" s="83">
        <f>1044+1152+312+184+44+26+44</f>
        <v>2806</v>
      </c>
      <c r="N787" s="110">
        <f>M787-F787</f>
        <v>103</v>
      </c>
      <c r="O787" s="110" t="s">
        <v>100</v>
      </c>
      <c r="P787" s="83"/>
      <c r="Q787" s="83">
        <f>1044+1091+312+184+131+44</f>
        <v>2806</v>
      </c>
      <c r="R787" s="83"/>
      <c r="S787" s="83">
        <f>2427+305+40</f>
        <v>2772</v>
      </c>
      <c r="T787" s="110">
        <f>S787-Q787</f>
        <v>-34</v>
      </c>
      <c r="U787" s="59">
        <f t="shared" si="1142"/>
        <v>8</v>
      </c>
      <c r="V787" s="83"/>
      <c r="W787" s="83">
        <f>2722+42</f>
        <v>2764</v>
      </c>
      <c r="X787" s="110">
        <f>W787-M787</f>
        <v>-42</v>
      </c>
      <c r="Y787" s="110"/>
      <c r="Z787" s="110"/>
      <c r="AA787" s="110"/>
      <c r="AB787" s="83"/>
      <c r="AC787" s="106"/>
      <c r="AD787" s="106"/>
      <c r="AE787" s="100">
        <f t="shared" si="1123"/>
        <v>3.8105808361080282E-2</v>
      </c>
      <c r="AF787" s="90"/>
      <c r="AG787" s="109">
        <f t="shared" si="1124"/>
        <v>0</v>
      </c>
      <c r="AH787" s="100">
        <f t="shared" si="1125"/>
        <v>2.5527192008879023E-2</v>
      </c>
      <c r="AI787" s="100">
        <f t="shared" si="1126"/>
        <v>2.2567517573066964E-2</v>
      </c>
    </row>
    <row r="788" spans="1:35" s="86" customFormat="1" ht="18.75" customHeight="1" x14ac:dyDescent="0.3">
      <c r="A788" s="106"/>
      <c r="B788" s="106" t="s">
        <v>52</v>
      </c>
      <c r="C788" s="118">
        <v>48069</v>
      </c>
      <c r="D788" s="311"/>
      <c r="E788" s="157" t="s">
        <v>306</v>
      </c>
      <c r="F788" s="83">
        <v>2415</v>
      </c>
      <c r="G788" s="83"/>
      <c r="H788" s="83"/>
      <c r="I788" s="83"/>
      <c r="J788" s="83"/>
      <c r="K788" s="83"/>
      <c r="L788" s="83"/>
      <c r="M788" s="83">
        <v>2484</v>
      </c>
      <c r="N788" s="110">
        <f>M788-F788</f>
        <v>69</v>
      </c>
      <c r="O788" s="110" t="s">
        <v>100</v>
      </c>
      <c r="P788" s="83"/>
      <c r="Q788" s="83">
        <v>2484</v>
      </c>
      <c r="R788" s="83"/>
      <c r="S788" s="83">
        <f>2247+218</f>
        <v>2465</v>
      </c>
      <c r="T788" s="110">
        <f>S788-Q788</f>
        <v>-19</v>
      </c>
      <c r="U788" s="59">
        <f t="shared" si="1142"/>
        <v>11</v>
      </c>
      <c r="V788" s="83"/>
      <c r="W788" s="83">
        <v>2454</v>
      </c>
      <c r="X788" s="110">
        <f>W788-M788</f>
        <v>-30</v>
      </c>
      <c r="Y788" s="110"/>
      <c r="Z788" s="110"/>
      <c r="AA788" s="110"/>
      <c r="AB788" s="83"/>
      <c r="AC788" s="106"/>
      <c r="AD788" s="106"/>
      <c r="AE788" s="100">
        <f t="shared" si="1123"/>
        <v>2.8571428571428571E-2</v>
      </c>
      <c r="AF788" s="90"/>
      <c r="AG788" s="109">
        <f t="shared" si="1124"/>
        <v>0</v>
      </c>
      <c r="AH788" s="100">
        <f t="shared" si="1125"/>
        <v>2.0703933747412008E-2</v>
      </c>
      <c r="AI788" s="100">
        <f t="shared" si="1126"/>
        <v>1.6149068322981366E-2</v>
      </c>
    </row>
    <row r="789" spans="1:35" s="82" customFormat="1" ht="16.5" customHeight="1" x14ac:dyDescent="0.3">
      <c r="A789" s="90" t="s">
        <v>46</v>
      </c>
      <c r="B789" s="90" t="s">
        <v>52</v>
      </c>
      <c r="C789" s="137"/>
      <c r="D789" s="90"/>
      <c r="E789" s="80"/>
      <c r="F789" s="81">
        <f>SUM(F787:F788)</f>
        <v>5118</v>
      </c>
      <c r="G789" s="81"/>
      <c r="H789" s="81" t="s">
        <v>50</v>
      </c>
      <c r="I789" s="81"/>
      <c r="J789" s="81" t="s">
        <v>60</v>
      </c>
      <c r="K789" s="85" t="s">
        <v>305</v>
      </c>
      <c r="L789" s="81">
        <f>SUM(L787:L788)</f>
        <v>0</v>
      </c>
      <c r="M789" s="81">
        <f>SUM(M787:M788)</f>
        <v>5290</v>
      </c>
      <c r="N789" s="81">
        <f>SUM(N787:N788)</f>
        <v>172</v>
      </c>
      <c r="O789" s="81" t="s">
        <v>196</v>
      </c>
      <c r="P789" s="81">
        <f>SUM(P787:P788)</f>
        <v>0</v>
      </c>
      <c r="Q789" s="81">
        <f>SUM(Q787:Q788)</f>
        <v>5290</v>
      </c>
      <c r="R789" s="81">
        <f>SUM(R787:R788)</f>
        <v>0</v>
      </c>
      <c r="S789" s="81">
        <f>SUM(S787:S788)</f>
        <v>5237</v>
      </c>
      <c r="T789" s="81">
        <f>SUM(T787:T788)</f>
        <v>-53</v>
      </c>
      <c r="U789" s="59">
        <f t="shared" si="1142"/>
        <v>19</v>
      </c>
      <c r="V789" s="81">
        <f>SUM(V787:V788)</f>
        <v>0</v>
      </c>
      <c r="W789" s="81">
        <f>SUM(W787:W788)</f>
        <v>5218</v>
      </c>
      <c r="X789" s="81">
        <f>SUM(X787:X788)</f>
        <v>-72</v>
      </c>
      <c r="Y789" s="81" t="s">
        <v>47</v>
      </c>
      <c r="Z789" s="110" t="s">
        <v>45</v>
      </c>
      <c r="AA789" s="110"/>
      <c r="AB789" s="84"/>
      <c r="AC789" s="136"/>
      <c r="AD789" s="136"/>
      <c r="AE789" s="100">
        <f t="shared" si="1123"/>
        <v>3.3606877686596329E-2</v>
      </c>
      <c r="AF789" s="90"/>
      <c r="AG789" s="109">
        <f t="shared" si="1124"/>
        <v>0</v>
      </c>
      <c r="AH789" s="100">
        <f t="shared" si="1125"/>
        <v>2.3251270027354436E-2</v>
      </c>
      <c r="AI789" s="100">
        <f t="shared" si="1126"/>
        <v>1.9538882375928098E-2</v>
      </c>
    </row>
    <row r="790" spans="1:35" s="86" customFormat="1" ht="18.75" customHeight="1" x14ac:dyDescent="0.3">
      <c r="A790" s="106"/>
      <c r="B790" s="106" t="s">
        <v>52</v>
      </c>
      <c r="C790" s="118">
        <v>48003</v>
      </c>
      <c r="D790" s="310">
        <v>13264348</v>
      </c>
      <c r="E790" s="157" t="s">
        <v>402</v>
      </c>
      <c r="F790" s="83">
        <v>1960</v>
      </c>
      <c r="G790" s="83"/>
      <c r="H790" s="83"/>
      <c r="I790" s="83"/>
      <c r="J790" s="83"/>
      <c r="K790" s="83"/>
      <c r="L790" s="83"/>
      <c r="M790" s="83"/>
      <c r="N790" s="110">
        <f>M790-F790</f>
        <v>-1960</v>
      </c>
      <c r="O790" s="110" t="s">
        <v>100</v>
      </c>
      <c r="P790" s="83"/>
      <c r="Q790" s="83"/>
      <c r="R790" s="83"/>
      <c r="S790" s="83"/>
      <c r="T790" s="110">
        <f>S790-Q790</f>
        <v>0</v>
      </c>
      <c r="U790" s="59">
        <f t="shared" si="1142"/>
        <v>0</v>
      </c>
      <c r="V790" s="83"/>
      <c r="W790" s="83"/>
      <c r="X790" s="110">
        <f>W790-M790</f>
        <v>0</v>
      </c>
      <c r="Y790" s="110"/>
      <c r="Z790" s="110"/>
      <c r="AA790" s="110"/>
      <c r="AB790" s="83"/>
      <c r="AC790" s="106"/>
      <c r="AD790" s="106"/>
      <c r="AE790" s="100">
        <f t="shared" si="1123"/>
        <v>-1</v>
      </c>
      <c r="AF790" s="90"/>
      <c r="AG790" s="109">
        <f t="shared" si="1124"/>
        <v>-1960</v>
      </c>
      <c r="AH790" s="100">
        <f t="shared" si="1125"/>
        <v>-1</v>
      </c>
      <c r="AI790" s="100">
        <f t="shared" si="1126"/>
        <v>-1</v>
      </c>
    </row>
    <row r="791" spans="1:35" s="86" customFormat="1" ht="18.75" customHeight="1" x14ac:dyDescent="0.3">
      <c r="A791" s="106"/>
      <c r="B791" s="106" t="s">
        <v>52</v>
      </c>
      <c r="C791" s="118">
        <v>48003</v>
      </c>
      <c r="D791" s="311"/>
      <c r="E791" s="157" t="s">
        <v>123</v>
      </c>
      <c r="F791" s="83">
        <v>2174</v>
      </c>
      <c r="G791" s="83"/>
      <c r="H791" s="83"/>
      <c r="I791" s="83"/>
      <c r="J791" s="83"/>
      <c r="K791" s="83"/>
      <c r="L791" s="83"/>
      <c r="M791" s="83">
        <f>825+825+582</f>
        <v>2232</v>
      </c>
      <c r="N791" s="110">
        <f>M791-F791</f>
        <v>58</v>
      </c>
      <c r="O791" s="110" t="s">
        <v>100</v>
      </c>
      <c r="P791" s="83"/>
      <c r="Q791" s="83">
        <f>825+1407</f>
        <v>2232</v>
      </c>
      <c r="R791" s="83"/>
      <c r="S791" s="83">
        <v>2226</v>
      </c>
      <c r="T791" s="110">
        <f>S791-Q791</f>
        <v>-6</v>
      </c>
      <c r="U791" s="59">
        <f t="shared" ref="U791" si="1168">IF(Q791&gt;0,S791-W791,M791-W791)</f>
        <v>2226</v>
      </c>
      <c r="V791" s="83"/>
      <c r="W791" s="83"/>
      <c r="X791" s="110">
        <f>W791-M791</f>
        <v>-2232</v>
      </c>
      <c r="Y791" s="110"/>
      <c r="Z791" s="110"/>
      <c r="AA791" s="110"/>
      <c r="AB791" s="83"/>
      <c r="AC791" s="106"/>
      <c r="AD791" s="106"/>
      <c r="AE791" s="100">
        <f t="shared" ref="AE791" si="1169">N791/F791</f>
        <v>2.6678932842686291E-2</v>
      </c>
      <c r="AF791" s="90"/>
      <c r="AG791" s="109">
        <f t="shared" ref="AG791" si="1170">IF(N791&lt;0,N791,0)</f>
        <v>0</v>
      </c>
      <c r="AH791" s="100">
        <f t="shared" ref="AH791" si="1171">(S791-F791)/F791</f>
        <v>2.391904323827047E-2</v>
      </c>
      <c r="AI791" s="100">
        <f t="shared" ref="AI791" si="1172">(W791-F791)/F791</f>
        <v>-1</v>
      </c>
    </row>
    <row r="792" spans="1:35" s="82" customFormat="1" ht="16.5" customHeight="1" x14ac:dyDescent="0.3">
      <c r="A792" s="90" t="s">
        <v>46</v>
      </c>
      <c r="B792" s="90" t="s">
        <v>52</v>
      </c>
      <c r="C792" s="137"/>
      <c r="D792" s="90"/>
      <c r="E792" s="80"/>
      <c r="F792" s="81">
        <f>SUM(F790:F791)</f>
        <v>4134</v>
      </c>
      <c r="G792" s="81"/>
      <c r="H792" s="81" t="s">
        <v>50</v>
      </c>
      <c r="I792" s="81"/>
      <c r="J792" s="81" t="s">
        <v>60</v>
      </c>
      <c r="K792" s="85" t="s">
        <v>764</v>
      </c>
      <c r="L792" s="81">
        <f>SUM(L790:L791)</f>
        <v>0</v>
      </c>
      <c r="M792" s="81">
        <f>SUM(M790:M791)</f>
        <v>2232</v>
      </c>
      <c r="N792" s="81">
        <f>SUM(N790:N791)</f>
        <v>-1902</v>
      </c>
      <c r="O792" s="81" t="s">
        <v>530</v>
      </c>
      <c r="P792" s="81">
        <f>SUM(P790:P791)</f>
        <v>0</v>
      </c>
      <c r="Q792" s="81">
        <f>SUM(Q790:Q791)</f>
        <v>2232</v>
      </c>
      <c r="R792" s="81">
        <f>SUM(R790:R791)</f>
        <v>0</v>
      </c>
      <c r="S792" s="81">
        <f>SUM(S790:S791)</f>
        <v>2226</v>
      </c>
      <c r="T792" s="81">
        <f>SUM(T790:T791)</f>
        <v>-6</v>
      </c>
      <c r="U792" s="59">
        <f t="shared" si="1142"/>
        <v>2226</v>
      </c>
      <c r="V792" s="81">
        <f>SUM(V790:V791)</f>
        <v>0</v>
      </c>
      <c r="W792" s="81">
        <f>SUM(W790:W791)</f>
        <v>0</v>
      </c>
      <c r="X792" s="81">
        <f>SUM(X790:X791)</f>
        <v>-2232</v>
      </c>
      <c r="Y792" s="81" t="s">
        <v>47</v>
      </c>
      <c r="Z792" s="110" t="s">
        <v>45</v>
      </c>
      <c r="AA792" s="110"/>
      <c r="AB792" s="84"/>
      <c r="AC792" s="136"/>
      <c r="AD792" s="136"/>
      <c r="AE792" s="100">
        <f t="shared" si="1123"/>
        <v>-0.46008708272859217</v>
      </c>
      <c r="AF792" s="90"/>
      <c r="AG792" s="109">
        <f t="shared" si="1124"/>
        <v>-1902</v>
      </c>
      <c r="AH792" s="100">
        <f t="shared" si="1125"/>
        <v>-0.46153846153846156</v>
      </c>
      <c r="AI792" s="100">
        <f t="shared" si="1126"/>
        <v>-1</v>
      </c>
    </row>
    <row r="793" spans="1:35" s="86" customFormat="1" ht="18.75" customHeight="1" x14ac:dyDescent="0.3">
      <c r="A793" s="106"/>
      <c r="B793" s="106" t="s">
        <v>52</v>
      </c>
      <c r="C793" s="118">
        <v>48099</v>
      </c>
      <c r="D793" s="310" t="s">
        <v>685</v>
      </c>
      <c r="E793" s="157" t="s">
        <v>686</v>
      </c>
      <c r="F793" s="83">
        <v>1007</v>
      </c>
      <c r="G793" s="83"/>
      <c r="H793" s="83"/>
      <c r="I793" s="83"/>
      <c r="J793" s="83"/>
      <c r="K793" s="83"/>
      <c r="L793" s="83"/>
      <c r="M793" s="83"/>
      <c r="N793" s="110">
        <f>M793-F793</f>
        <v>-1007</v>
      </c>
      <c r="O793" s="110" t="s">
        <v>100</v>
      </c>
      <c r="P793" s="83"/>
      <c r="Q793" s="83"/>
      <c r="R793" s="83"/>
      <c r="S793" s="83"/>
      <c r="T793" s="110">
        <f>S793-Q793</f>
        <v>0</v>
      </c>
      <c r="U793" s="59">
        <f t="shared" si="1142"/>
        <v>0</v>
      </c>
      <c r="V793" s="83"/>
      <c r="W793" s="83"/>
      <c r="X793" s="110">
        <f>W793-M793</f>
        <v>0</v>
      </c>
      <c r="Y793" s="110"/>
      <c r="Z793" s="110"/>
      <c r="AA793" s="110"/>
      <c r="AB793" s="83"/>
      <c r="AC793" s="106"/>
      <c r="AD793" s="106"/>
      <c r="AE793" s="100">
        <f t="shared" si="1123"/>
        <v>-1</v>
      </c>
      <c r="AF793" s="90"/>
      <c r="AG793" s="109">
        <f t="shared" si="1124"/>
        <v>-1007</v>
      </c>
      <c r="AH793" s="100">
        <f t="shared" si="1125"/>
        <v>-1</v>
      </c>
      <c r="AI793" s="100">
        <f t="shared" si="1126"/>
        <v>-1</v>
      </c>
    </row>
    <row r="794" spans="1:35" s="86" customFormat="1" ht="18.75" customHeight="1" x14ac:dyDescent="0.3">
      <c r="A794" s="106"/>
      <c r="B794" s="106" t="s">
        <v>52</v>
      </c>
      <c r="C794" s="118">
        <v>48099</v>
      </c>
      <c r="D794" s="311"/>
      <c r="E794" s="157" t="s">
        <v>49</v>
      </c>
      <c r="F794" s="83">
        <v>624</v>
      </c>
      <c r="G794" s="83"/>
      <c r="H794" s="83"/>
      <c r="I794" s="83"/>
      <c r="J794" s="83"/>
      <c r="K794" s="83"/>
      <c r="L794" s="83"/>
      <c r="M794" s="83"/>
      <c r="N794" s="110">
        <f>M794-F794</f>
        <v>-624</v>
      </c>
      <c r="O794" s="110" t="s">
        <v>100</v>
      </c>
      <c r="P794" s="83"/>
      <c r="Q794" s="83"/>
      <c r="R794" s="83"/>
      <c r="S794" s="83"/>
      <c r="T794" s="110">
        <f>S794-Q794</f>
        <v>0</v>
      </c>
      <c r="U794" s="59">
        <f t="shared" si="1142"/>
        <v>0</v>
      </c>
      <c r="V794" s="83"/>
      <c r="W794" s="83"/>
      <c r="X794" s="110">
        <f>W794-M794</f>
        <v>0</v>
      </c>
      <c r="Y794" s="110"/>
      <c r="Z794" s="110"/>
      <c r="AA794" s="110"/>
      <c r="AB794" s="83"/>
      <c r="AC794" s="106"/>
      <c r="AD794" s="106"/>
      <c r="AE794" s="100">
        <f t="shared" si="1123"/>
        <v>-1</v>
      </c>
      <c r="AF794" s="90"/>
      <c r="AG794" s="109">
        <f t="shared" si="1124"/>
        <v>-624</v>
      </c>
      <c r="AH794" s="100">
        <f t="shared" si="1125"/>
        <v>-1</v>
      </c>
      <c r="AI794" s="100">
        <f t="shared" si="1126"/>
        <v>-1</v>
      </c>
    </row>
    <row r="795" spans="1:35" s="86" customFormat="1" ht="18.75" customHeight="1" x14ac:dyDescent="0.3">
      <c r="A795" s="106"/>
      <c r="B795" s="106" t="s">
        <v>52</v>
      </c>
      <c r="C795" s="118">
        <v>48099</v>
      </c>
      <c r="D795" s="311"/>
      <c r="E795" s="157" t="s">
        <v>679</v>
      </c>
      <c r="F795" s="83">
        <v>1151</v>
      </c>
      <c r="G795" s="83"/>
      <c r="H795" s="83"/>
      <c r="I795" s="83"/>
      <c r="J795" s="83"/>
      <c r="K795" s="83"/>
      <c r="L795" s="83"/>
      <c r="M795" s="83"/>
      <c r="N795" s="110">
        <f>M795-F795</f>
        <v>-1151</v>
      </c>
      <c r="O795" s="110" t="s">
        <v>100</v>
      </c>
      <c r="P795" s="83"/>
      <c r="Q795" s="83"/>
      <c r="R795" s="83"/>
      <c r="S795" s="83"/>
      <c r="T795" s="110">
        <f>S795-Q795</f>
        <v>0</v>
      </c>
      <c r="U795" s="59">
        <f t="shared" si="1142"/>
        <v>0</v>
      </c>
      <c r="V795" s="83"/>
      <c r="W795" s="83"/>
      <c r="X795" s="110">
        <f>W795-M795</f>
        <v>0</v>
      </c>
      <c r="Y795" s="110"/>
      <c r="Z795" s="110"/>
      <c r="AA795" s="110"/>
      <c r="AB795" s="83"/>
      <c r="AC795" s="106"/>
      <c r="AD795" s="106"/>
      <c r="AE795" s="100">
        <f t="shared" ref="AE795:AE906" si="1173">N795/F795</f>
        <v>-1</v>
      </c>
      <c r="AF795" s="90"/>
      <c r="AG795" s="109">
        <f t="shared" ref="AG795:AG906" si="1174">IF(N795&lt;0,N795,0)</f>
        <v>-1151</v>
      </c>
      <c r="AH795" s="100">
        <f t="shared" ref="AH795:AH906" si="1175">(S795-F795)/F795</f>
        <v>-1</v>
      </c>
      <c r="AI795" s="100">
        <f t="shared" ref="AI795:AI906" si="1176">(W795-F795)/F795</f>
        <v>-1</v>
      </c>
    </row>
    <row r="796" spans="1:35" s="86" customFormat="1" ht="18.75" customHeight="1" x14ac:dyDescent="0.3">
      <c r="A796" s="106"/>
      <c r="B796" s="106" t="s">
        <v>52</v>
      </c>
      <c r="C796" s="118">
        <v>48099</v>
      </c>
      <c r="D796" s="311"/>
      <c r="E796" s="157" t="s">
        <v>682</v>
      </c>
      <c r="F796" s="83">
        <v>624</v>
      </c>
      <c r="G796" s="83"/>
      <c r="H796" s="83"/>
      <c r="I796" s="83"/>
      <c r="J796" s="83"/>
      <c r="K796" s="83"/>
      <c r="L796" s="83"/>
      <c r="M796" s="83"/>
      <c r="N796" s="110">
        <f>M796-F796</f>
        <v>-624</v>
      </c>
      <c r="O796" s="110" t="s">
        <v>100</v>
      </c>
      <c r="P796" s="83"/>
      <c r="Q796" s="83"/>
      <c r="R796" s="83"/>
      <c r="S796" s="83"/>
      <c r="T796" s="110">
        <f>S796-Q796</f>
        <v>0</v>
      </c>
      <c r="U796" s="59">
        <f t="shared" si="1142"/>
        <v>0</v>
      </c>
      <c r="V796" s="83"/>
      <c r="W796" s="83"/>
      <c r="X796" s="110">
        <f>W796-M796</f>
        <v>0</v>
      </c>
      <c r="Y796" s="110"/>
      <c r="Z796" s="110"/>
      <c r="AA796" s="110"/>
      <c r="AB796" s="83"/>
      <c r="AC796" s="106"/>
      <c r="AD796" s="106"/>
      <c r="AE796" s="100">
        <f t="shared" si="1173"/>
        <v>-1</v>
      </c>
      <c r="AF796" s="90"/>
      <c r="AG796" s="109">
        <f t="shared" si="1174"/>
        <v>-624</v>
      </c>
      <c r="AH796" s="100">
        <f t="shared" si="1175"/>
        <v>-1</v>
      </c>
      <c r="AI796" s="100">
        <f t="shared" si="1176"/>
        <v>-1</v>
      </c>
    </row>
    <row r="797" spans="1:35" s="82" customFormat="1" ht="16.5" customHeight="1" x14ac:dyDescent="0.3">
      <c r="A797" s="90" t="s">
        <v>46</v>
      </c>
      <c r="B797" s="90" t="s">
        <v>52</v>
      </c>
      <c r="C797" s="137"/>
      <c r="D797" s="90"/>
      <c r="E797" s="80"/>
      <c r="F797" s="81">
        <f>SUM(F793:F796)</f>
        <v>3406</v>
      </c>
      <c r="G797" s="81"/>
      <c r="H797" s="81" t="s">
        <v>50</v>
      </c>
      <c r="I797" s="81"/>
      <c r="J797" s="81"/>
      <c r="K797" s="85" t="s">
        <v>675</v>
      </c>
      <c r="L797" s="81">
        <f>SUM(L793:L796)</f>
        <v>0</v>
      </c>
      <c r="M797" s="81">
        <f>SUM(M793:M796)</f>
        <v>0</v>
      </c>
      <c r="N797" s="81">
        <f>SUM(N793:N796)</f>
        <v>-3406</v>
      </c>
      <c r="O797" s="81"/>
      <c r="P797" s="81">
        <f>SUM(P793:P796)</f>
        <v>0</v>
      </c>
      <c r="Q797" s="81">
        <f>SUM(Q793:Q796)</f>
        <v>0</v>
      </c>
      <c r="R797" s="81">
        <f>SUM(R793:R796)</f>
        <v>0</v>
      </c>
      <c r="S797" s="81">
        <f>SUM(S793:S796)</f>
        <v>0</v>
      </c>
      <c r="T797" s="81">
        <f>SUM(T793:T796)</f>
        <v>0</v>
      </c>
      <c r="U797" s="59">
        <f t="shared" si="1142"/>
        <v>0</v>
      </c>
      <c r="V797" s="81">
        <f>SUM(V793:V796)</f>
        <v>0</v>
      </c>
      <c r="W797" s="81">
        <f>SUM(W793:W796)</f>
        <v>0</v>
      </c>
      <c r="X797" s="81">
        <f>SUM(X793:X796)</f>
        <v>0</v>
      </c>
      <c r="Y797" s="81" t="s">
        <v>47</v>
      </c>
      <c r="Z797" s="110" t="s">
        <v>45</v>
      </c>
      <c r="AA797" s="110"/>
      <c r="AB797" s="84"/>
      <c r="AC797" s="136"/>
      <c r="AD797" s="136"/>
      <c r="AE797" s="100">
        <f t="shared" si="1173"/>
        <v>-1</v>
      </c>
      <c r="AF797" s="90"/>
      <c r="AG797" s="109">
        <f t="shared" si="1174"/>
        <v>-3406</v>
      </c>
      <c r="AH797" s="100">
        <f t="shared" si="1175"/>
        <v>-1</v>
      </c>
      <c r="AI797" s="100">
        <f t="shared" si="1176"/>
        <v>-1</v>
      </c>
    </row>
    <row r="798" spans="1:35" s="86" customFormat="1" ht="18.75" customHeight="1" x14ac:dyDescent="0.3">
      <c r="A798" s="106"/>
      <c r="B798" s="106" t="s">
        <v>52</v>
      </c>
      <c r="C798" s="118">
        <v>48013</v>
      </c>
      <c r="D798" s="310">
        <v>13267227</v>
      </c>
      <c r="E798" s="157" t="s">
        <v>408</v>
      </c>
      <c r="F798" s="83">
        <v>1932</v>
      </c>
      <c r="G798" s="83"/>
      <c r="H798" s="83"/>
      <c r="I798" s="83"/>
      <c r="J798" s="83"/>
      <c r="K798" s="83"/>
      <c r="L798" s="83"/>
      <c r="M798" s="83"/>
      <c r="N798" s="110">
        <f>M798-F798</f>
        <v>-1932</v>
      </c>
      <c r="O798" s="110" t="s">
        <v>100</v>
      </c>
      <c r="P798" s="83"/>
      <c r="Q798" s="83"/>
      <c r="R798" s="83"/>
      <c r="S798" s="83"/>
      <c r="T798" s="110">
        <f>S798-Q798</f>
        <v>0</v>
      </c>
      <c r="U798" s="59">
        <f t="shared" si="1142"/>
        <v>0</v>
      </c>
      <c r="V798" s="83"/>
      <c r="W798" s="83"/>
      <c r="X798" s="110">
        <f>W798-M798</f>
        <v>0</v>
      </c>
      <c r="Y798" s="110"/>
      <c r="Z798" s="110"/>
      <c r="AA798" s="110"/>
      <c r="AB798" s="83"/>
      <c r="AC798" s="106"/>
      <c r="AD798" s="106"/>
      <c r="AE798" s="100">
        <f t="shared" si="1173"/>
        <v>-1</v>
      </c>
      <c r="AF798" s="90"/>
      <c r="AG798" s="109">
        <f t="shared" si="1174"/>
        <v>-1932</v>
      </c>
      <c r="AH798" s="100">
        <f t="shared" si="1175"/>
        <v>-1</v>
      </c>
      <c r="AI798" s="100">
        <f t="shared" si="1176"/>
        <v>-1</v>
      </c>
    </row>
    <row r="799" spans="1:35" s="86" customFormat="1" ht="18.75" customHeight="1" x14ac:dyDescent="0.3">
      <c r="A799" s="106"/>
      <c r="B799" s="106" t="s">
        <v>52</v>
      </c>
      <c r="C799" s="118">
        <v>48013</v>
      </c>
      <c r="D799" s="311"/>
      <c r="E799" s="157" t="s">
        <v>452</v>
      </c>
      <c r="F799" s="83">
        <v>1047</v>
      </c>
      <c r="G799" s="83"/>
      <c r="H799" s="83"/>
      <c r="I799" s="83"/>
      <c r="J799" s="83"/>
      <c r="K799" s="83"/>
      <c r="L799" s="83"/>
      <c r="M799" s="83"/>
      <c r="N799" s="110">
        <f>M799-F799</f>
        <v>-1047</v>
      </c>
      <c r="O799" s="110" t="s">
        <v>100</v>
      </c>
      <c r="P799" s="83"/>
      <c r="Q799" s="83"/>
      <c r="R799" s="83"/>
      <c r="S799" s="83"/>
      <c r="T799" s="110">
        <f>S799-Q799</f>
        <v>0</v>
      </c>
      <c r="U799" s="59">
        <f t="shared" si="1142"/>
        <v>0</v>
      </c>
      <c r="V799" s="83"/>
      <c r="W799" s="83"/>
      <c r="X799" s="110">
        <f>W799-M799</f>
        <v>0</v>
      </c>
      <c r="Y799" s="110"/>
      <c r="Z799" s="110"/>
      <c r="AA799" s="110"/>
      <c r="AB799" s="83"/>
      <c r="AC799" s="106"/>
      <c r="AD799" s="106"/>
      <c r="AE799" s="100">
        <f t="shared" si="1173"/>
        <v>-1</v>
      </c>
      <c r="AF799" s="90"/>
      <c r="AG799" s="109">
        <f t="shared" si="1174"/>
        <v>-1047</v>
      </c>
      <c r="AH799" s="100">
        <f t="shared" si="1175"/>
        <v>-1</v>
      </c>
      <c r="AI799" s="100">
        <f t="shared" si="1176"/>
        <v>-1</v>
      </c>
    </row>
    <row r="800" spans="1:35" s="82" customFormat="1" ht="16.5" customHeight="1" x14ac:dyDescent="0.3">
      <c r="A800" s="90" t="s">
        <v>46</v>
      </c>
      <c r="B800" s="90" t="s">
        <v>52</v>
      </c>
      <c r="C800" s="137"/>
      <c r="D800" s="90"/>
      <c r="E800" s="80"/>
      <c r="F800" s="81">
        <f>SUM(F798:F799)</f>
        <v>2979</v>
      </c>
      <c r="G800" s="81"/>
      <c r="H800" s="81" t="s">
        <v>50</v>
      </c>
      <c r="I800" s="81"/>
      <c r="J800" s="81"/>
      <c r="K800" s="85" t="s">
        <v>330</v>
      </c>
      <c r="L800" s="81">
        <f>SUM(L798:L799)</f>
        <v>0</v>
      </c>
      <c r="M800" s="81">
        <f>SUM(M798:M799)</f>
        <v>0</v>
      </c>
      <c r="N800" s="81">
        <f>SUM(N798:N799)</f>
        <v>-2979</v>
      </c>
      <c r="O800" s="81"/>
      <c r="P800" s="81">
        <f>SUM(P798:P799)</f>
        <v>0</v>
      </c>
      <c r="Q800" s="81">
        <f>SUM(Q798:Q799)</f>
        <v>0</v>
      </c>
      <c r="R800" s="81">
        <f>SUM(R798:R799)</f>
        <v>0</v>
      </c>
      <c r="S800" s="81">
        <f>SUM(S798:S799)</f>
        <v>0</v>
      </c>
      <c r="T800" s="81">
        <f>SUM(T798:T799)</f>
        <v>0</v>
      </c>
      <c r="U800" s="59">
        <f t="shared" si="1142"/>
        <v>0</v>
      </c>
      <c r="V800" s="81">
        <f>SUM(V798:V799)</f>
        <v>0</v>
      </c>
      <c r="W800" s="81">
        <f>SUM(W798:W799)</f>
        <v>0</v>
      </c>
      <c r="X800" s="81">
        <f>SUM(X798:X799)</f>
        <v>0</v>
      </c>
      <c r="Y800" s="81" t="s">
        <v>57</v>
      </c>
      <c r="Z800" s="110" t="s">
        <v>45</v>
      </c>
      <c r="AA800" s="110"/>
      <c r="AB800" s="84"/>
      <c r="AC800" s="136"/>
      <c r="AD800" s="136"/>
      <c r="AE800" s="100">
        <f t="shared" si="1173"/>
        <v>-1</v>
      </c>
      <c r="AF800" s="90"/>
      <c r="AG800" s="109">
        <f t="shared" si="1174"/>
        <v>-2979</v>
      </c>
      <c r="AH800" s="100">
        <f t="shared" si="1175"/>
        <v>-1</v>
      </c>
      <c r="AI800" s="100">
        <f t="shared" si="1176"/>
        <v>-1</v>
      </c>
    </row>
    <row r="801" spans="1:35" s="86" customFormat="1" ht="18.75" customHeight="1" x14ac:dyDescent="0.3">
      <c r="A801" s="106"/>
      <c r="B801" s="106" t="s">
        <v>52</v>
      </c>
      <c r="C801" s="118">
        <v>48010</v>
      </c>
      <c r="D801" s="310">
        <v>13264405</v>
      </c>
      <c r="E801" s="157" t="s">
        <v>408</v>
      </c>
      <c r="F801" s="83">
        <v>2641</v>
      </c>
      <c r="G801" s="83"/>
      <c r="H801" s="83"/>
      <c r="I801" s="83"/>
      <c r="J801" s="83"/>
      <c r="K801" s="83"/>
      <c r="L801" s="83"/>
      <c r="M801" s="83">
        <f>1024+564+1104</f>
        <v>2692</v>
      </c>
      <c r="N801" s="110">
        <f>M801-F801</f>
        <v>51</v>
      </c>
      <c r="O801" s="110" t="s">
        <v>100</v>
      </c>
      <c r="P801" s="83"/>
      <c r="Q801" s="83">
        <f>1024+564+1104</f>
        <v>2692</v>
      </c>
      <c r="R801" s="83"/>
      <c r="S801" s="83">
        <v>2685</v>
      </c>
      <c r="T801" s="110">
        <f>S801-Q801</f>
        <v>-7</v>
      </c>
      <c r="U801" s="59">
        <f t="shared" si="1142"/>
        <v>2685</v>
      </c>
      <c r="V801" s="83"/>
      <c r="W801" s="83"/>
      <c r="X801" s="110">
        <f>W801-M801</f>
        <v>-2692</v>
      </c>
      <c r="Y801" s="110"/>
      <c r="Z801" s="110"/>
      <c r="AA801" s="110"/>
      <c r="AB801" s="83"/>
      <c r="AC801" s="106"/>
      <c r="AD801" s="106"/>
      <c r="AE801" s="100">
        <f t="shared" si="1173"/>
        <v>1.9310867095797046E-2</v>
      </c>
      <c r="AF801" s="90"/>
      <c r="AG801" s="109">
        <f t="shared" si="1174"/>
        <v>0</v>
      </c>
      <c r="AH801" s="100">
        <f t="shared" si="1175"/>
        <v>1.6660355925785686E-2</v>
      </c>
      <c r="AI801" s="100">
        <f t="shared" si="1176"/>
        <v>-1</v>
      </c>
    </row>
    <row r="802" spans="1:35" s="86" customFormat="1" ht="18.75" customHeight="1" x14ac:dyDescent="0.3">
      <c r="A802" s="106"/>
      <c r="B802" s="106" t="s">
        <v>52</v>
      </c>
      <c r="C802" s="118">
        <v>48010</v>
      </c>
      <c r="D802" s="311"/>
      <c r="E802" s="157" t="s">
        <v>452</v>
      </c>
      <c r="F802" s="83">
        <v>2354</v>
      </c>
      <c r="G802" s="83"/>
      <c r="H802" s="83"/>
      <c r="I802" s="83"/>
      <c r="J802" s="83"/>
      <c r="K802" s="83"/>
      <c r="L802" s="83"/>
      <c r="M802" s="83">
        <f>364+990+1050</f>
        <v>2404</v>
      </c>
      <c r="N802" s="110">
        <f>M802-F802</f>
        <v>50</v>
      </c>
      <c r="O802" s="110" t="s">
        <v>100</v>
      </c>
      <c r="P802" s="83"/>
      <c r="Q802" s="83">
        <f>364+990+1050</f>
        <v>2404</v>
      </c>
      <c r="R802" s="83"/>
      <c r="S802" s="83">
        <v>2400</v>
      </c>
      <c r="T802" s="110">
        <f>S802-Q802</f>
        <v>-4</v>
      </c>
      <c r="U802" s="59">
        <f t="shared" ref="U802:U906" si="1177">IF(Q802&gt;0,S802-W802,M802-W802)</f>
        <v>2400</v>
      </c>
      <c r="V802" s="83"/>
      <c r="W802" s="83"/>
      <c r="X802" s="110">
        <f>W802-M802</f>
        <v>-2404</v>
      </c>
      <c r="Y802" s="110"/>
      <c r="Z802" s="110"/>
      <c r="AA802" s="110"/>
      <c r="AB802" s="83"/>
      <c r="AC802" s="106"/>
      <c r="AD802" s="106"/>
      <c r="AE802" s="100">
        <f t="shared" si="1173"/>
        <v>2.1240441801189464E-2</v>
      </c>
      <c r="AF802" s="90"/>
      <c r="AG802" s="109">
        <f t="shared" si="1174"/>
        <v>0</v>
      </c>
      <c r="AH802" s="100">
        <f t="shared" si="1175"/>
        <v>1.9541206457094309E-2</v>
      </c>
      <c r="AI802" s="100">
        <f t="shared" si="1176"/>
        <v>-1</v>
      </c>
    </row>
    <row r="803" spans="1:35" s="82" customFormat="1" ht="16.5" customHeight="1" x14ac:dyDescent="0.3">
      <c r="A803" s="90" t="s">
        <v>46</v>
      </c>
      <c r="B803" s="90" t="s">
        <v>52</v>
      </c>
      <c r="C803" s="137"/>
      <c r="D803" s="90"/>
      <c r="E803" s="80"/>
      <c r="F803" s="81">
        <f>SUM(F801:F802)</f>
        <v>4995</v>
      </c>
      <c r="G803" s="81"/>
      <c r="H803" s="81" t="s">
        <v>50</v>
      </c>
      <c r="I803" s="81"/>
      <c r="J803" s="81" t="s">
        <v>60</v>
      </c>
      <c r="K803" s="85" t="s">
        <v>330</v>
      </c>
      <c r="L803" s="81">
        <f>SUM(L801:L802)</f>
        <v>0</v>
      </c>
      <c r="M803" s="81">
        <f>SUM(M801:M802)</f>
        <v>5096</v>
      </c>
      <c r="N803" s="81">
        <f>SUM(N801:N802)</f>
        <v>101</v>
      </c>
      <c r="O803" s="81" t="s">
        <v>530</v>
      </c>
      <c r="P803" s="81">
        <f>SUM(P801:P802)</f>
        <v>0</v>
      </c>
      <c r="Q803" s="81">
        <f>SUM(Q801:Q802)</f>
        <v>5096</v>
      </c>
      <c r="R803" s="81">
        <f>SUM(R801:R802)</f>
        <v>0</v>
      </c>
      <c r="S803" s="81">
        <f>SUM(S801:S802)</f>
        <v>5085</v>
      </c>
      <c r="T803" s="81">
        <f>SUM(T801:T802)</f>
        <v>-11</v>
      </c>
      <c r="U803" s="59">
        <f t="shared" si="1177"/>
        <v>5085</v>
      </c>
      <c r="V803" s="81">
        <f>SUM(V801:V802)</f>
        <v>0</v>
      </c>
      <c r="W803" s="81">
        <f>SUM(W801:W802)</f>
        <v>0</v>
      </c>
      <c r="X803" s="81">
        <f>SUM(X801:X802)</f>
        <v>-5096</v>
      </c>
      <c r="Y803" s="81"/>
      <c r="Z803" s="110"/>
      <c r="AA803" s="110"/>
      <c r="AB803" s="84"/>
      <c r="AC803" s="136"/>
      <c r="AD803" s="136"/>
      <c r="AE803" s="100">
        <f t="shared" si="1173"/>
        <v>2.0220220220220221E-2</v>
      </c>
      <c r="AF803" s="90"/>
      <c r="AG803" s="109">
        <f t="shared" si="1174"/>
        <v>0</v>
      </c>
      <c r="AH803" s="100">
        <f t="shared" si="1175"/>
        <v>1.8018018018018018E-2</v>
      </c>
      <c r="AI803" s="100">
        <f t="shared" si="1176"/>
        <v>-1</v>
      </c>
    </row>
    <row r="804" spans="1:35" s="86" customFormat="1" ht="18.75" customHeight="1" x14ac:dyDescent="0.3">
      <c r="A804" s="106"/>
      <c r="B804" s="106" t="s">
        <v>52</v>
      </c>
      <c r="C804" s="118">
        <v>48066</v>
      </c>
      <c r="D804" s="310">
        <v>13262926</v>
      </c>
      <c r="E804" s="157" t="s">
        <v>302</v>
      </c>
      <c r="F804" s="83">
        <v>1188</v>
      </c>
      <c r="G804" s="83"/>
      <c r="H804" s="83"/>
      <c r="I804" s="83"/>
      <c r="J804" s="83"/>
      <c r="K804" s="83"/>
      <c r="L804" s="83"/>
      <c r="M804" s="83">
        <v>1237</v>
      </c>
      <c r="N804" s="110">
        <f>M804-F804</f>
        <v>49</v>
      </c>
      <c r="O804" s="110" t="s">
        <v>100</v>
      </c>
      <c r="P804" s="83"/>
      <c r="Q804" s="83">
        <v>1237</v>
      </c>
      <c r="R804" s="83"/>
      <c r="S804" s="83">
        <v>1235</v>
      </c>
      <c r="T804" s="110">
        <f>S804-Q804</f>
        <v>-2</v>
      </c>
      <c r="U804" s="59">
        <f t="shared" si="1177"/>
        <v>1235</v>
      </c>
      <c r="V804" s="83"/>
      <c r="W804" s="83"/>
      <c r="X804" s="110">
        <f>W804-M804</f>
        <v>-1237</v>
      </c>
      <c r="Y804" s="110"/>
      <c r="Z804" s="110"/>
      <c r="AA804" s="110"/>
      <c r="AB804" s="83"/>
      <c r="AC804" s="106"/>
      <c r="AD804" s="106"/>
      <c r="AE804" s="100">
        <f t="shared" si="1173"/>
        <v>4.1245791245791245E-2</v>
      </c>
      <c r="AF804" s="90"/>
      <c r="AG804" s="109">
        <f t="shared" si="1174"/>
        <v>0</v>
      </c>
      <c r="AH804" s="100">
        <f t="shared" si="1175"/>
        <v>3.9562289562289563E-2</v>
      </c>
      <c r="AI804" s="100">
        <f t="shared" si="1176"/>
        <v>-1</v>
      </c>
    </row>
    <row r="805" spans="1:35" s="86" customFormat="1" ht="18.75" customHeight="1" x14ac:dyDescent="0.3">
      <c r="A805" s="106"/>
      <c r="B805" s="106" t="s">
        <v>52</v>
      </c>
      <c r="C805" s="118">
        <v>48066</v>
      </c>
      <c r="D805" s="311"/>
      <c r="E805" s="157" t="s">
        <v>303</v>
      </c>
      <c r="F805" s="83">
        <v>1188</v>
      </c>
      <c r="G805" s="83"/>
      <c r="H805" s="83"/>
      <c r="I805" s="83"/>
      <c r="J805" s="83"/>
      <c r="K805" s="83"/>
      <c r="L805" s="83"/>
      <c r="M805" s="83">
        <f>1022+201</f>
        <v>1223</v>
      </c>
      <c r="N805" s="110">
        <f>M805-F805</f>
        <v>35</v>
      </c>
      <c r="O805" s="110" t="s">
        <v>100</v>
      </c>
      <c r="P805" s="83"/>
      <c r="Q805" s="83">
        <f>1022+201</f>
        <v>1223</v>
      </c>
      <c r="R805" s="83"/>
      <c r="S805" s="83">
        <v>1223</v>
      </c>
      <c r="T805" s="110">
        <f>S805-Q805</f>
        <v>0</v>
      </c>
      <c r="U805" s="59">
        <f t="shared" ref="U805" si="1178">IF(Q805&gt;0,S805-W805,M805-W805)</f>
        <v>1223</v>
      </c>
      <c r="V805" s="83"/>
      <c r="W805" s="83"/>
      <c r="X805" s="110">
        <f>W805-M805</f>
        <v>-1223</v>
      </c>
      <c r="Y805" s="110"/>
      <c r="Z805" s="110"/>
      <c r="AA805" s="110"/>
      <c r="AB805" s="83"/>
      <c r="AC805" s="106"/>
      <c r="AD805" s="106"/>
      <c r="AE805" s="100">
        <f t="shared" ref="AE805" si="1179">N805/F805</f>
        <v>2.9461279461279462E-2</v>
      </c>
      <c r="AF805" s="90"/>
      <c r="AG805" s="109">
        <f t="shared" ref="AG805" si="1180">IF(N805&lt;0,N805,0)</f>
        <v>0</v>
      </c>
      <c r="AH805" s="100">
        <f t="shared" ref="AH805" si="1181">(S805-F805)/F805</f>
        <v>2.9461279461279462E-2</v>
      </c>
      <c r="AI805" s="100">
        <f t="shared" ref="AI805" si="1182">(W805-F805)/F805</f>
        <v>-1</v>
      </c>
    </row>
    <row r="806" spans="1:35" s="86" customFormat="1" ht="18.75" customHeight="1" x14ac:dyDescent="0.3">
      <c r="A806" s="106"/>
      <c r="B806" s="106" t="s">
        <v>52</v>
      </c>
      <c r="C806" s="118">
        <v>48066</v>
      </c>
      <c r="D806" s="311"/>
      <c r="E806" s="157" t="s">
        <v>304</v>
      </c>
      <c r="F806" s="83">
        <v>984</v>
      </c>
      <c r="G806" s="83"/>
      <c r="H806" s="83"/>
      <c r="I806" s="83"/>
      <c r="J806" s="83"/>
      <c r="K806" s="83"/>
      <c r="L806" s="83"/>
      <c r="M806" s="83">
        <f>1014</f>
        <v>1014</v>
      </c>
      <c r="N806" s="110">
        <f>M806-F806</f>
        <v>30</v>
      </c>
      <c r="O806" s="110" t="s">
        <v>100</v>
      </c>
      <c r="P806" s="83"/>
      <c r="Q806" s="83">
        <v>1012</v>
      </c>
      <c r="R806" s="83"/>
      <c r="S806" s="83">
        <f>1003</f>
        <v>1003</v>
      </c>
      <c r="T806" s="110">
        <f>S806-Q806</f>
        <v>-9</v>
      </c>
      <c r="U806" s="59">
        <f t="shared" si="1177"/>
        <v>1003</v>
      </c>
      <c r="V806" s="83"/>
      <c r="W806" s="83"/>
      <c r="X806" s="110">
        <f>W806-M806</f>
        <v>-1014</v>
      </c>
      <c r="Y806" s="110"/>
      <c r="Z806" s="110"/>
      <c r="AA806" s="110"/>
      <c r="AB806" s="83"/>
      <c r="AC806" s="106"/>
      <c r="AD806" s="106"/>
      <c r="AE806" s="100">
        <f t="shared" si="1173"/>
        <v>3.048780487804878E-2</v>
      </c>
      <c r="AF806" s="90"/>
      <c r="AG806" s="109">
        <f t="shared" si="1174"/>
        <v>0</v>
      </c>
      <c r="AH806" s="100">
        <f t="shared" si="1175"/>
        <v>1.9308943089430895E-2</v>
      </c>
      <c r="AI806" s="100">
        <f t="shared" si="1176"/>
        <v>-1</v>
      </c>
    </row>
    <row r="807" spans="1:35" s="82" customFormat="1" ht="16.5" customHeight="1" x14ac:dyDescent="0.3">
      <c r="A807" s="90" t="s">
        <v>46</v>
      </c>
      <c r="B807" s="90" t="s">
        <v>52</v>
      </c>
      <c r="C807" s="137"/>
      <c r="D807" s="90"/>
      <c r="E807" s="80"/>
      <c r="F807" s="81">
        <f>SUM(F804:F806)</f>
        <v>3360</v>
      </c>
      <c r="G807" s="81"/>
      <c r="H807" s="81" t="s">
        <v>50</v>
      </c>
      <c r="I807" s="81"/>
      <c r="J807" s="81" t="s">
        <v>60</v>
      </c>
      <c r="K807" s="85" t="s">
        <v>301</v>
      </c>
      <c r="L807" s="81">
        <f>SUM(L804:L806)</f>
        <v>0</v>
      </c>
      <c r="M807" s="81">
        <f>SUM(M804:M806)</f>
        <v>3474</v>
      </c>
      <c r="N807" s="81">
        <f>SUM(N804:N806)</f>
        <v>114</v>
      </c>
      <c r="O807" s="81" t="s">
        <v>808</v>
      </c>
      <c r="P807" s="81">
        <f>SUM(P804:P806)</f>
        <v>0</v>
      </c>
      <c r="Q807" s="81">
        <f>SUM(Q804:Q806)</f>
        <v>3472</v>
      </c>
      <c r="R807" s="81">
        <f>SUM(R804:R806)</f>
        <v>0</v>
      </c>
      <c r="S807" s="81">
        <f>SUM(S804:S806)</f>
        <v>3461</v>
      </c>
      <c r="T807" s="81">
        <f>SUM(T804:T806)</f>
        <v>-11</v>
      </c>
      <c r="U807" s="59">
        <f t="shared" si="1177"/>
        <v>3461</v>
      </c>
      <c r="V807" s="81">
        <f>SUM(V804:V806)</f>
        <v>0</v>
      </c>
      <c r="W807" s="81">
        <f>SUM(W804:W806)</f>
        <v>0</v>
      </c>
      <c r="X807" s="81">
        <f>SUM(X804:X806)</f>
        <v>-3474</v>
      </c>
      <c r="Y807" s="81" t="s">
        <v>47</v>
      </c>
      <c r="Z807" s="110" t="s">
        <v>45</v>
      </c>
      <c r="AA807" s="110"/>
      <c r="AB807" s="84"/>
      <c r="AC807" s="136"/>
      <c r="AD807" s="136"/>
      <c r="AE807" s="100">
        <f t="shared" si="1173"/>
        <v>3.3928571428571426E-2</v>
      </c>
      <c r="AF807" s="90"/>
      <c r="AG807" s="109">
        <f t="shared" si="1174"/>
        <v>0</v>
      </c>
      <c r="AH807" s="100">
        <f t="shared" si="1175"/>
        <v>3.005952380952381E-2</v>
      </c>
      <c r="AI807" s="100">
        <f t="shared" si="1176"/>
        <v>-1</v>
      </c>
    </row>
    <row r="808" spans="1:35" s="86" customFormat="1" ht="18.75" customHeight="1" x14ac:dyDescent="0.3">
      <c r="A808" s="106"/>
      <c r="B808" s="106" t="s">
        <v>52</v>
      </c>
      <c r="C808" s="118">
        <v>47584</v>
      </c>
      <c r="D808" s="310">
        <v>13262617</v>
      </c>
      <c r="E808" s="157" t="s">
        <v>123</v>
      </c>
      <c r="F808" s="83">
        <v>1000</v>
      </c>
      <c r="G808" s="83"/>
      <c r="H808" s="83"/>
      <c r="I808" s="83"/>
      <c r="J808" s="83"/>
      <c r="K808" s="83"/>
      <c r="L808" s="83"/>
      <c r="M808" s="83">
        <v>1031</v>
      </c>
      <c r="N808" s="110">
        <f>M808-F808</f>
        <v>31</v>
      </c>
      <c r="O808" s="110" t="s">
        <v>100</v>
      </c>
      <c r="P808" s="83"/>
      <c r="Q808" s="83">
        <v>1031</v>
      </c>
      <c r="R808" s="83"/>
      <c r="S808" s="83">
        <v>1031</v>
      </c>
      <c r="T808" s="110">
        <f>S808-Q808</f>
        <v>0</v>
      </c>
      <c r="U808" s="59">
        <f t="shared" si="1177"/>
        <v>1</v>
      </c>
      <c r="V808" s="83"/>
      <c r="W808" s="83">
        <v>1030</v>
      </c>
      <c r="X808" s="110">
        <f>W808-M808</f>
        <v>-1</v>
      </c>
      <c r="Y808" s="110"/>
      <c r="Z808" s="110"/>
      <c r="AA808" s="110"/>
      <c r="AB808" s="83"/>
      <c r="AC808" s="106"/>
      <c r="AD808" s="106"/>
      <c r="AE808" s="100">
        <f t="shared" si="1173"/>
        <v>3.1E-2</v>
      </c>
      <c r="AF808" s="90"/>
      <c r="AG808" s="109">
        <f t="shared" si="1174"/>
        <v>0</v>
      </c>
      <c r="AH808" s="100">
        <f t="shared" si="1175"/>
        <v>3.1E-2</v>
      </c>
      <c r="AI808" s="100">
        <f t="shared" si="1176"/>
        <v>0.03</v>
      </c>
    </row>
    <row r="809" spans="1:35" s="86" customFormat="1" ht="18.75" customHeight="1" x14ac:dyDescent="0.3">
      <c r="A809" s="106"/>
      <c r="B809" s="106" t="s">
        <v>52</v>
      </c>
      <c r="C809" s="118">
        <v>47584</v>
      </c>
      <c r="D809" s="311"/>
      <c r="E809" s="157" t="s">
        <v>188</v>
      </c>
      <c r="F809" s="83">
        <v>910</v>
      </c>
      <c r="G809" s="83"/>
      <c r="H809" s="83"/>
      <c r="I809" s="83"/>
      <c r="J809" s="83"/>
      <c r="K809" s="83"/>
      <c r="L809" s="83"/>
      <c r="M809" s="83">
        <v>950</v>
      </c>
      <c r="N809" s="110">
        <f>M809-F809</f>
        <v>40</v>
      </c>
      <c r="O809" s="110" t="s">
        <v>100</v>
      </c>
      <c r="P809" s="83"/>
      <c r="Q809" s="83">
        <v>950</v>
      </c>
      <c r="R809" s="83"/>
      <c r="S809" s="83">
        <v>950</v>
      </c>
      <c r="T809" s="110">
        <f>S809-Q809</f>
        <v>0</v>
      </c>
      <c r="U809" s="59">
        <f t="shared" si="1177"/>
        <v>5</v>
      </c>
      <c r="V809" s="83"/>
      <c r="W809" s="83">
        <v>945</v>
      </c>
      <c r="X809" s="110">
        <f>W809-M809</f>
        <v>-5</v>
      </c>
      <c r="Y809" s="110"/>
      <c r="Z809" s="110"/>
      <c r="AA809" s="110"/>
      <c r="AB809" s="83"/>
      <c r="AC809" s="106"/>
      <c r="AD809" s="106"/>
      <c r="AE809" s="100">
        <f t="shared" si="1173"/>
        <v>4.3956043956043959E-2</v>
      </c>
      <c r="AF809" s="90"/>
      <c r="AG809" s="109">
        <f t="shared" si="1174"/>
        <v>0</v>
      </c>
      <c r="AH809" s="100">
        <f t="shared" si="1175"/>
        <v>4.3956043956043959E-2</v>
      </c>
      <c r="AI809" s="100">
        <f t="shared" si="1176"/>
        <v>3.8461538461538464E-2</v>
      </c>
    </row>
    <row r="810" spans="1:35" s="82" customFormat="1" ht="16.5" customHeight="1" x14ac:dyDescent="0.3">
      <c r="A810" s="90" t="s">
        <v>46</v>
      </c>
      <c r="B810" s="90" t="s">
        <v>52</v>
      </c>
      <c r="C810" s="137"/>
      <c r="D810" s="90"/>
      <c r="E810" s="80"/>
      <c r="F810" s="81">
        <f>SUM(F808:F809)</f>
        <v>1910</v>
      </c>
      <c r="G810" s="81"/>
      <c r="H810" s="81" t="s">
        <v>50</v>
      </c>
      <c r="I810" s="81"/>
      <c r="J810" s="81" t="s">
        <v>60</v>
      </c>
      <c r="K810" s="85" t="s">
        <v>238</v>
      </c>
      <c r="L810" s="81">
        <f>SUM(L808:L809)</f>
        <v>0</v>
      </c>
      <c r="M810" s="81">
        <f>SUM(M808:M809)</f>
        <v>1981</v>
      </c>
      <c r="N810" s="81">
        <f>SUM(N808:N809)</f>
        <v>71</v>
      </c>
      <c r="O810" s="81" t="s">
        <v>450</v>
      </c>
      <c r="P810" s="81">
        <f>SUM(P808:P809)</f>
        <v>0</v>
      </c>
      <c r="Q810" s="81">
        <f>SUM(Q808:Q809)</f>
        <v>1981</v>
      </c>
      <c r="R810" s="81">
        <f>SUM(R808:R809)</f>
        <v>0</v>
      </c>
      <c r="S810" s="81">
        <f>SUM(S808:S809)</f>
        <v>1981</v>
      </c>
      <c r="T810" s="81">
        <f>SUM(T808:T809)</f>
        <v>0</v>
      </c>
      <c r="U810" s="59">
        <f t="shared" si="1177"/>
        <v>6</v>
      </c>
      <c r="V810" s="81">
        <f>SUM(V808:V809)</f>
        <v>0</v>
      </c>
      <c r="W810" s="81">
        <f>SUM(W808:W809)</f>
        <v>1975</v>
      </c>
      <c r="X810" s="81">
        <f>SUM(X808:X809)</f>
        <v>-6</v>
      </c>
      <c r="Y810" s="81" t="s">
        <v>48</v>
      </c>
      <c r="Z810" s="110" t="s">
        <v>45</v>
      </c>
      <c r="AA810" s="110"/>
      <c r="AB810" s="84"/>
      <c r="AC810" s="136"/>
      <c r="AD810" s="136"/>
      <c r="AE810" s="100">
        <f t="shared" si="1173"/>
        <v>3.7172774869109949E-2</v>
      </c>
      <c r="AF810" s="90"/>
      <c r="AG810" s="109">
        <f t="shared" si="1174"/>
        <v>0</v>
      </c>
      <c r="AH810" s="100">
        <f t="shared" si="1175"/>
        <v>3.7172774869109949E-2</v>
      </c>
      <c r="AI810" s="100">
        <f t="shared" si="1176"/>
        <v>3.4031413612565446E-2</v>
      </c>
    </row>
    <row r="811" spans="1:35" s="86" customFormat="1" ht="18.75" customHeight="1" x14ac:dyDescent="0.3">
      <c r="A811" s="106"/>
      <c r="B811" s="106" t="s">
        <v>52</v>
      </c>
      <c r="C811" s="118">
        <v>47581</v>
      </c>
      <c r="D811" s="310">
        <v>13262614</v>
      </c>
      <c r="E811" s="157" t="s">
        <v>188</v>
      </c>
      <c r="F811" s="83">
        <v>804</v>
      </c>
      <c r="G811" s="83"/>
      <c r="H811" s="83"/>
      <c r="I811" s="83"/>
      <c r="J811" s="83"/>
      <c r="K811" s="83"/>
      <c r="L811" s="83"/>
      <c r="M811" s="83">
        <v>850</v>
      </c>
      <c r="N811" s="110">
        <f>M811-F811</f>
        <v>46</v>
      </c>
      <c r="O811" s="110" t="s">
        <v>100</v>
      </c>
      <c r="P811" s="83"/>
      <c r="Q811" s="83"/>
      <c r="R811" s="83"/>
      <c r="S811" s="83"/>
      <c r="T811" s="110">
        <f>S811-Q811</f>
        <v>0</v>
      </c>
      <c r="U811" s="59">
        <f t="shared" si="1177"/>
        <v>0</v>
      </c>
      <c r="V811" s="83"/>
      <c r="W811" s="83">
        <v>850</v>
      </c>
      <c r="X811" s="110">
        <f>W811-M811</f>
        <v>0</v>
      </c>
      <c r="Y811" s="110"/>
      <c r="Z811" s="110"/>
      <c r="AA811" s="110"/>
      <c r="AB811" s="83"/>
      <c r="AC811" s="106"/>
      <c r="AD811" s="106"/>
      <c r="AE811" s="100">
        <f t="shared" si="1173"/>
        <v>5.721393034825871E-2</v>
      </c>
      <c r="AF811" s="90"/>
      <c r="AG811" s="109">
        <f t="shared" si="1174"/>
        <v>0</v>
      </c>
      <c r="AH811" s="100">
        <f t="shared" si="1175"/>
        <v>-1</v>
      </c>
      <c r="AI811" s="100">
        <f t="shared" si="1176"/>
        <v>5.721393034825871E-2</v>
      </c>
    </row>
    <row r="812" spans="1:35" s="86" customFormat="1" ht="18.75" customHeight="1" x14ac:dyDescent="0.3">
      <c r="A812" s="106"/>
      <c r="B812" s="106" t="s">
        <v>52</v>
      </c>
      <c r="C812" s="118">
        <v>47581</v>
      </c>
      <c r="D812" s="311"/>
      <c r="E812" s="157" t="s">
        <v>123</v>
      </c>
      <c r="F812" s="83">
        <v>804</v>
      </c>
      <c r="G812" s="83"/>
      <c r="H812" s="83"/>
      <c r="I812" s="83"/>
      <c r="J812" s="83"/>
      <c r="K812" s="83"/>
      <c r="L812" s="83"/>
      <c r="M812" s="83">
        <v>850</v>
      </c>
      <c r="N812" s="110">
        <f>M812-F812</f>
        <v>46</v>
      </c>
      <c r="O812" s="110" t="s">
        <v>100</v>
      </c>
      <c r="P812" s="83"/>
      <c r="Q812" s="83"/>
      <c r="R812" s="83"/>
      <c r="S812" s="83"/>
      <c r="T812" s="110">
        <f>S812-Q812</f>
        <v>0</v>
      </c>
      <c r="U812" s="59">
        <f t="shared" si="1177"/>
        <v>0</v>
      </c>
      <c r="V812" s="83"/>
      <c r="W812" s="83">
        <v>850</v>
      </c>
      <c r="X812" s="110">
        <f>W812-M812</f>
        <v>0</v>
      </c>
      <c r="Y812" s="110"/>
      <c r="Z812" s="110"/>
      <c r="AA812" s="110"/>
      <c r="AB812" s="83"/>
      <c r="AC812" s="106"/>
      <c r="AD812" s="106"/>
      <c r="AE812" s="100">
        <f t="shared" si="1173"/>
        <v>5.721393034825871E-2</v>
      </c>
      <c r="AF812" s="90"/>
      <c r="AG812" s="109">
        <f t="shared" si="1174"/>
        <v>0</v>
      </c>
      <c r="AH812" s="100">
        <f t="shared" si="1175"/>
        <v>-1</v>
      </c>
      <c r="AI812" s="100">
        <f t="shared" si="1176"/>
        <v>5.721393034825871E-2</v>
      </c>
    </row>
    <row r="813" spans="1:35" s="82" customFormat="1" ht="16.5" customHeight="1" x14ac:dyDescent="0.3">
      <c r="A813" s="90" t="s">
        <v>46</v>
      </c>
      <c r="B813" s="90" t="s">
        <v>52</v>
      </c>
      <c r="C813" s="137"/>
      <c r="D813" s="90"/>
      <c r="E813" s="80"/>
      <c r="F813" s="81">
        <f>SUM(F811:F812)</f>
        <v>1608</v>
      </c>
      <c r="G813" s="81"/>
      <c r="H813" s="81" t="s">
        <v>50</v>
      </c>
      <c r="I813" s="81"/>
      <c r="J813" s="81" t="s">
        <v>60</v>
      </c>
      <c r="K813" s="85" t="s">
        <v>238</v>
      </c>
      <c r="L813" s="81">
        <f>SUM(L811:L812)</f>
        <v>0</v>
      </c>
      <c r="M813" s="81">
        <f>SUM(M811:M812)</f>
        <v>1700</v>
      </c>
      <c r="N813" s="81">
        <f>SUM(N811:N812)</f>
        <v>92</v>
      </c>
      <c r="O813" s="81"/>
      <c r="P813" s="81">
        <f>SUM(P811:P812)</f>
        <v>0</v>
      </c>
      <c r="Q813" s="81">
        <f>SUM(Q811:Q812)</f>
        <v>0</v>
      </c>
      <c r="R813" s="81">
        <f>SUM(R811:R812)</f>
        <v>0</v>
      </c>
      <c r="S813" s="81">
        <f>SUM(S811:S812)</f>
        <v>0</v>
      </c>
      <c r="T813" s="81">
        <f>SUM(T811:T812)</f>
        <v>0</v>
      </c>
      <c r="U813" s="59">
        <f t="shared" si="1177"/>
        <v>0</v>
      </c>
      <c r="V813" s="81">
        <f>SUM(V811:V812)</f>
        <v>0</v>
      </c>
      <c r="W813" s="81">
        <f>SUM(W811:W812)</f>
        <v>1700</v>
      </c>
      <c r="X813" s="81">
        <f>SUM(X811:X812)</f>
        <v>0</v>
      </c>
      <c r="Y813" s="81"/>
      <c r="Z813" s="110"/>
      <c r="AA813" s="110"/>
      <c r="AB813" s="84"/>
      <c r="AC813" s="136"/>
      <c r="AD813" s="136"/>
      <c r="AE813" s="100">
        <f t="shared" si="1173"/>
        <v>5.721393034825871E-2</v>
      </c>
      <c r="AF813" s="90"/>
      <c r="AG813" s="109">
        <f t="shared" si="1174"/>
        <v>0</v>
      </c>
      <c r="AH813" s="100">
        <f t="shared" si="1175"/>
        <v>-1</v>
      </c>
      <c r="AI813" s="100">
        <f t="shared" si="1176"/>
        <v>5.721393034825871E-2</v>
      </c>
    </row>
    <row r="814" spans="1:35" s="86" customFormat="1" ht="18.75" customHeight="1" x14ac:dyDescent="0.3">
      <c r="A814" s="106"/>
      <c r="B814" s="106" t="s">
        <v>52</v>
      </c>
      <c r="C814" s="118">
        <v>48038</v>
      </c>
      <c r="D814" s="310">
        <v>13264383</v>
      </c>
      <c r="E814" s="157" t="s">
        <v>0</v>
      </c>
      <c r="F814" s="83">
        <v>2265</v>
      </c>
      <c r="G814" s="83"/>
      <c r="H814" s="83"/>
      <c r="I814" s="83"/>
      <c r="J814" s="83"/>
      <c r="K814" s="83"/>
      <c r="L814" s="83"/>
      <c r="M814" s="83">
        <f>1089+1199+104+190</f>
        <v>2582</v>
      </c>
      <c r="N814" s="110">
        <f>M814-F814</f>
        <v>317</v>
      </c>
      <c r="O814" s="110" t="s">
        <v>100</v>
      </c>
      <c r="P814" s="83"/>
      <c r="Q814" s="83"/>
      <c r="R814" s="83"/>
      <c r="S814" s="83"/>
      <c r="T814" s="110">
        <f>S814-Q814</f>
        <v>0</v>
      </c>
      <c r="U814" s="59">
        <f t="shared" si="1177"/>
        <v>0</v>
      </c>
      <c r="V814" s="83"/>
      <c r="W814" s="83">
        <f>1199+1193+190</f>
        <v>2582</v>
      </c>
      <c r="X814" s="110">
        <f>W814-M814</f>
        <v>0</v>
      </c>
      <c r="Y814" s="110"/>
      <c r="Z814" s="110"/>
      <c r="AA814" s="110"/>
      <c r="AB814" s="83"/>
      <c r="AC814" s="106"/>
      <c r="AD814" s="106"/>
      <c r="AE814" s="100">
        <f t="shared" si="1173"/>
        <v>0.13995584988962473</v>
      </c>
      <c r="AF814" s="90"/>
      <c r="AG814" s="109">
        <f t="shared" si="1174"/>
        <v>0</v>
      </c>
      <c r="AH814" s="100">
        <f t="shared" si="1175"/>
        <v>-1</v>
      </c>
      <c r="AI814" s="100">
        <f t="shared" si="1176"/>
        <v>0.13995584988962473</v>
      </c>
    </row>
    <row r="815" spans="1:35" s="86" customFormat="1" ht="18.75" customHeight="1" x14ac:dyDescent="0.3">
      <c r="A815" s="106"/>
      <c r="B815" s="106" t="s">
        <v>52</v>
      </c>
      <c r="C815" s="118">
        <v>48038</v>
      </c>
      <c r="D815" s="311"/>
      <c r="E815" s="157" t="s">
        <v>225</v>
      </c>
      <c r="F815" s="83">
        <v>2503</v>
      </c>
      <c r="G815" s="83"/>
      <c r="H815" s="83"/>
      <c r="I815" s="83"/>
      <c r="J815" s="83"/>
      <c r="K815" s="83"/>
      <c r="L815" s="83"/>
      <c r="M815" s="83">
        <f>1331+406+898+24+110+82</f>
        <v>2851</v>
      </c>
      <c r="N815" s="110">
        <f>M815-F815</f>
        <v>348</v>
      </c>
      <c r="O815" s="110" t="s">
        <v>100</v>
      </c>
      <c r="P815" s="83"/>
      <c r="Q815" s="83"/>
      <c r="R815" s="83"/>
      <c r="S815" s="83"/>
      <c r="T815" s="110">
        <f>S815-Q815</f>
        <v>0</v>
      </c>
      <c r="U815" s="59">
        <f t="shared" si="1177"/>
        <v>0</v>
      </c>
      <c r="V815" s="83"/>
      <c r="W815" s="83">
        <f>2635+24+110+82</f>
        <v>2851</v>
      </c>
      <c r="X815" s="110">
        <f>W815-M815</f>
        <v>0</v>
      </c>
      <c r="Y815" s="110"/>
      <c r="Z815" s="110"/>
      <c r="AA815" s="110"/>
      <c r="AB815" s="83"/>
      <c r="AC815" s="106"/>
      <c r="AD815" s="106"/>
      <c r="AE815" s="100">
        <f t="shared" si="1173"/>
        <v>0.13903316020775069</v>
      </c>
      <c r="AF815" s="90"/>
      <c r="AG815" s="109">
        <f t="shared" si="1174"/>
        <v>0</v>
      </c>
      <c r="AH815" s="100">
        <f t="shared" si="1175"/>
        <v>-1</v>
      </c>
      <c r="AI815" s="100">
        <f t="shared" si="1176"/>
        <v>0.13903316020775069</v>
      </c>
    </row>
    <row r="816" spans="1:35" s="82" customFormat="1" ht="16.5" customHeight="1" x14ac:dyDescent="0.3">
      <c r="A816" s="90" t="s">
        <v>46</v>
      </c>
      <c r="B816" s="90" t="s">
        <v>52</v>
      </c>
      <c r="C816" s="137"/>
      <c r="D816" s="90"/>
      <c r="E816" s="80"/>
      <c r="F816" s="81">
        <f>SUM(F814:F815)</f>
        <v>4768</v>
      </c>
      <c r="G816" s="81"/>
      <c r="H816" s="81" t="s">
        <v>50</v>
      </c>
      <c r="I816" s="81"/>
      <c r="J816" s="81" t="s">
        <v>60</v>
      </c>
      <c r="K816" s="85" t="s">
        <v>226</v>
      </c>
      <c r="L816" s="81">
        <f>SUM(L814:L815)</f>
        <v>0</v>
      </c>
      <c r="M816" s="81">
        <f>SUM(M814:M815)</f>
        <v>5433</v>
      </c>
      <c r="N816" s="81">
        <f>SUM(N814:N815)</f>
        <v>665</v>
      </c>
      <c r="O816" s="81"/>
      <c r="P816" s="81">
        <f>SUM(P814:P815)</f>
        <v>0</v>
      </c>
      <c r="Q816" s="81">
        <f>SUM(Q814:Q815)</f>
        <v>0</v>
      </c>
      <c r="R816" s="81">
        <f>SUM(R814:R815)</f>
        <v>0</v>
      </c>
      <c r="S816" s="81">
        <f>SUM(S814:S815)</f>
        <v>0</v>
      </c>
      <c r="T816" s="81">
        <f>SUM(T814:T815)</f>
        <v>0</v>
      </c>
      <c r="U816" s="59">
        <f t="shared" si="1177"/>
        <v>0</v>
      </c>
      <c r="V816" s="81">
        <f>SUM(V814:V815)</f>
        <v>0</v>
      </c>
      <c r="W816" s="81">
        <f>SUM(W814:W815)</f>
        <v>5433</v>
      </c>
      <c r="X816" s="81">
        <f>SUM(X814:X815)</f>
        <v>0</v>
      </c>
      <c r="Y816" s="81" t="s">
        <v>47</v>
      </c>
      <c r="Z816" s="110" t="s">
        <v>45</v>
      </c>
      <c r="AA816" s="110"/>
      <c r="AB816" s="84"/>
      <c r="AC816" s="136"/>
      <c r="AD816" s="136"/>
      <c r="AE816" s="100">
        <f t="shared" si="1173"/>
        <v>0.13947147651006711</v>
      </c>
      <c r="AF816" s="90"/>
      <c r="AG816" s="109">
        <f t="shared" si="1174"/>
        <v>0</v>
      </c>
      <c r="AH816" s="100">
        <f t="shared" si="1175"/>
        <v>-1</v>
      </c>
      <c r="AI816" s="100">
        <f t="shared" si="1176"/>
        <v>0.13947147651006711</v>
      </c>
    </row>
    <row r="817" spans="1:35" s="86" customFormat="1" ht="18.75" customHeight="1" x14ac:dyDescent="0.3">
      <c r="A817" s="106"/>
      <c r="B817" s="106" t="s">
        <v>52</v>
      </c>
      <c r="C817" s="118">
        <v>48039</v>
      </c>
      <c r="D817" s="310">
        <v>13264387</v>
      </c>
      <c r="E817" s="157" t="s">
        <v>402</v>
      </c>
      <c r="F817" s="83">
        <v>1080</v>
      </c>
      <c r="G817" s="83"/>
      <c r="H817" s="83"/>
      <c r="I817" s="83"/>
      <c r="J817" s="83"/>
      <c r="K817" s="83"/>
      <c r="L817" s="83"/>
      <c r="M817" s="83">
        <v>1108</v>
      </c>
      <c r="N817" s="110">
        <f>M817-F817</f>
        <v>28</v>
      </c>
      <c r="O817" s="110" t="s">
        <v>100</v>
      </c>
      <c r="P817" s="83"/>
      <c r="Q817" s="83">
        <v>1108</v>
      </c>
      <c r="R817" s="83"/>
      <c r="S817" s="83">
        <v>1108</v>
      </c>
      <c r="T817" s="110">
        <f>S817-Q817</f>
        <v>0</v>
      </c>
      <c r="U817" s="59">
        <f t="shared" ref="U817:U819" si="1183">IF(Q817&gt;0,S817-W817,M817-W817)</f>
        <v>5</v>
      </c>
      <c r="V817" s="83"/>
      <c r="W817" s="83">
        <v>1103</v>
      </c>
      <c r="X817" s="110">
        <f>W817-M817</f>
        <v>-5</v>
      </c>
      <c r="Y817" s="110"/>
      <c r="Z817" s="110"/>
      <c r="AA817" s="110"/>
      <c r="AB817" s="83"/>
      <c r="AC817" s="106"/>
      <c r="AD817" s="106"/>
      <c r="AE817" s="100">
        <f t="shared" ref="AE817:AE819" si="1184">N817/F817</f>
        <v>2.5925925925925925E-2</v>
      </c>
      <c r="AF817" s="90"/>
      <c r="AG817" s="109">
        <f t="shared" ref="AG817:AG819" si="1185">IF(N817&lt;0,N817,0)</f>
        <v>0</v>
      </c>
      <c r="AH817" s="100">
        <f t="shared" ref="AH817:AH819" si="1186">(S817-F817)/F817</f>
        <v>2.5925925925925925E-2</v>
      </c>
      <c r="AI817" s="100">
        <f t="shared" ref="AI817:AI819" si="1187">(W817-F817)/F817</f>
        <v>2.1296296296296296E-2</v>
      </c>
    </row>
    <row r="818" spans="1:35" s="86" customFormat="1" ht="18.75" customHeight="1" x14ac:dyDescent="0.3">
      <c r="A818" s="106"/>
      <c r="B818" s="106" t="s">
        <v>52</v>
      </c>
      <c r="C818" s="118">
        <v>48039</v>
      </c>
      <c r="D818" s="311"/>
      <c r="E818" s="157" t="s">
        <v>49</v>
      </c>
      <c r="F818" s="83">
        <v>1080</v>
      </c>
      <c r="G818" s="83"/>
      <c r="H818" s="83"/>
      <c r="I818" s="83"/>
      <c r="J818" s="83"/>
      <c r="K818" s="83"/>
      <c r="L818" s="83"/>
      <c r="M818" s="83">
        <f>1108</f>
        <v>1108</v>
      </c>
      <c r="N818" s="110">
        <f>M818-F818</f>
        <v>28</v>
      </c>
      <c r="O818" s="110" t="s">
        <v>100</v>
      </c>
      <c r="P818" s="83"/>
      <c r="Q818" s="83">
        <v>1108</v>
      </c>
      <c r="R818" s="83"/>
      <c r="S818" s="83">
        <v>1108</v>
      </c>
      <c r="T818" s="110">
        <f>S818-Q818</f>
        <v>0</v>
      </c>
      <c r="U818" s="59">
        <f t="shared" si="1183"/>
        <v>4</v>
      </c>
      <c r="V818" s="83"/>
      <c r="W818" s="83">
        <v>1104</v>
      </c>
      <c r="X818" s="110">
        <f>W818-M818</f>
        <v>-4</v>
      </c>
      <c r="Y818" s="110"/>
      <c r="Z818" s="110"/>
      <c r="AA818" s="110"/>
      <c r="AB818" s="83"/>
      <c r="AC818" s="106"/>
      <c r="AD818" s="106"/>
      <c r="AE818" s="100">
        <f t="shared" si="1184"/>
        <v>2.5925925925925925E-2</v>
      </c>
      <c r="AF818" s="90"/>
      <c r="AG818" s="109">
        <f t="shared" si="1185"/>
        <v>0</v>
      </c>
      <c r="AH818" s="100">
        <f t="shared" si="1186"/>
        <v>2.5925925925925925E-2</v>
      </c>
      <c r="AI818" s="100">
        <f t="shared" si="1187"/>
        <v>2.2222222222222223E-2</v>
      </c>
    </row>
    <row r="819" spans="1:35" s="82" customFormat="1" ht="16.5" customHeight="1" x14ac:dyDescent="0.3">
      <c r="A819" s="90" t="s">
        <v>46</v>
      </c>
      <c r="B819" s="90" t="s">
        <v>52</v>
      </c>
      <c r="C819" s="137"/>
      <c r="D819" s="90"/>
      <c r="E819" s="80"/>
      <c r="F819" s="81">
        <f>SUM(F817:F818)</f>
        <v>2160</v>
      </c>
      <c r="G819" s="81"/>
      <c r="H819" s="81" t="s">
        <v>50</v>
      </c>
      <c r="I819" s="81"/>
      <c r="J819" s="81" t="s">
        <v>60</v>
      </c>
      <c r="K819" s="85" t="s">
        <v>226</v>
      </c>
      <c r="L819" s="81">
        <f>SUM(L817:L818)</f>
        <v>0</v>
      </c>
      <c r="M819" s="81">
        <f>SUM(M817:M818)</f>
        <v>2216</v>
      </c>
      <c r="N819" s="81">
        <f>SUM(N817:N818)</f>
        <v>56</v>
      </c>
      <c r="O819" s="81" t="s">
        <v>531</v>
      </c>
      <c r="P819" s="81">
        <f>SUM(P817:P818)</f>
        <v>0</v>
      </c>
      <c r="Q819" s="81">
        <f>SUM(Q817:Q818)</f>
        <v>2216</v>
      </c>
      <c r="R819" s="81">
        <f>SUM(R817:R818)</f>
        <v>0</v>
      </c>
      <c r="S819" s="81">
        <f>SUM(S817:S818)</f>
        <v>2216</v>
      </c>
      <c r="T819" s="81">
        <f>SUM(T817:T818)</f>
        <v>0</v>
      </c>
      <c r="U819" s="59">
        <f t="shared" si="1183"/>
        <v>9</v>
      </c>
      <c r="V819" s="81">
        <f>SUM(V817:V818)</f>
        <v>0</v>
      </c>
      <c r="W819" s="81">
        <f>SUM(W817:W818)</f>
        <v>2207</v>
      </c>
      <c r="X819" s="81">
        <f>SUM(X817:X818)</f>
        <v>-9</v>
      </c>
      <c r="Y819" s="81" t="s">
        <v>57</v>
      </c>
      <c r="Z819" s="110" t="s">
        <v>45</v>
      </c>
      <c r="AA819" s="110"/>
      <c r="AB819" s="84"/>
      <c r="AC819" s="136"/>
      <c r="AD819" s="136"/>
      <c r="AE819" s="100">
        <f t="shared" si="1184"/>
        <v>2.5925925925925925E-2</v>
      </c>
      <c r="AF819" s="90"/>
      <c r="AG819" s="109">
        <f t="shared" si="1185"/>
        <v>0</v>
      </c>
      <c r="AH819" s="100">
        <f t="shared" si="1186"/>
        <v>2.5925925925925925E-2</v>
      </c>
      <c r="AI819" s="100">
        <f t="shared" si="1187"/>
        <v>2.1759259259259259E-2</v>
      </c>
    </row>
    <row r="820" spans="1:35" s="86" customFormat="1" ht="18.75" customHeight="1" x14ac:dyDescent="0.3">
      <c r="A820" s="106"/>
      <c r="B820" s="106" t="s">
        <v>52</v>
      </c>
      <c r="C820" s="118">
        <v>48065</v>
      </c>
      <c r="D820" s="310">
        <v>13262924</v>
      </c>
      <c r="E820" s="157" t="s">
        <v>302</v>
      </c>
      <c r="F820" s="83">
        <v>1036</v>
      </c>
      <c r="G820" s="83"/>
      <c r="H820" s="83"/>
      <c r="I820" s="83"/>
      <c r="J820" s="83"/>
      <c r="K820" s="83"/>
      <c r="L820" s="83"/>
      <c r="M820" s="83">
        <f>1066+15</f>
        <v>1081</v>
      </c>
      <c r="N820" s="110">
        <f>M820-F820</f>
        <v>45</v>
      </c>
      <c r="O820" s="110" t="s">
        <v>100</v>
      </c>
      <c r="P820" s="83"/>
      <c r="Q820" s="83">
        <f>1066+15</f>
        <v>1081</v>
      </c>
      <c r="R820" s="83"/>
      <c r="S820" s="83">
        <f>1061+15</f>
        <v>1076</v>
      </c>
      <c r="T820" s="110">
        <f>S820-Q820</f>
        <v>-5</v>
      </c>
      <c r="U820" s="59">
        <f t="shared" si="1177"/>
        <v>6</v>
      </c>
      <c r="V820" s="83"/>
      <c r="W820" s="83">
        <f>1055+15</f>
        <v>1070</v>
      </c>
      <c r="X820" s="110">
        <f>W820-M820</f>
        <v>-11</v>
      </c>
      <c r="Y820" s="110"/>
      <c r="Z820" s="110"/>
      <c r="AA820" s="110"/>
      <c r="AB820" s="83"/>
      <c r="AC820" s="106"/>
      <c r="AD820" s="106"/>
      <c r="AE820" s="100">
        <f t="shared" si="1173"/>
        <v>4.343629343629344E-2</v>
      </c>
      <c r="AF820" s="90"/>
      <c r="AG820" s="109">
        <f t="shared" si="1174"/>
        <v>0</v>
      </c>
      <c r="AH820" s="100">
        <f t="shared" si="1175"/>
        <v>3.8610038610038609E-2</v>
      </c>
      <c r="AI820" s="100">
        <f t="shared" si="1176"/>
        <v>3.2818532818532815E-2</v>
      </c>
    </row>
    <row r="821" spans="1:35" s="86" customFormat="1" ht="18.75" customHeight="1" x14ac:dyDescent="0.3">
      <c r="A821" s="106"/>
      <c r="B821" s="106" t="s">
        <v>52</v>
      </c>
      <c r="C821" s="118">
        <v>48065</v>
      </c>
      <c r="D821" s="311"/>
      <c r="E821" s="157" t="s">
        <v>303</v>
      </c>
      <c r="F821" s="83">
        <v>1036</v>
      </c>
      <c r="G821" s="83"/>
      <c r="H821" s="83"/>
      <c r="I821" s="83"/>
      <c r="J821" s="83"/>
      <c r="K821" s="83"/>
      <c r="L821" s="83"/>
      <c r="M821" s="83">
        <f>1064</f>
        <v>1064</v>
      </c>
      <c r="N821" s="110">
        <f>M821-F821</f>
        <v>28</v>
      </c>
      <c r="O821" s="110" t="s">
        <v>100</v>
      </c>
      <c r="P821" s="83"/>
      <c r="Q821" s="83">
        <v>1064</v>
      </c>
      <c r="R821" s="83"/>
      <c r="S821" s="83">
        <v>1053</v>
      </c>
      <c r="T821" s="110">
        <f>S821-Q821</f>
        <v>-11</v>
      </c>
      <c r="U821" s="59">
        <f t="shared" si="1177"/>
        <v>0</v>
      </c>
      <c r="V821" s="83"/>
      <c r="W821" s="83">
        <v>1053</v>
      </c>
      <c r="X821" s="110">
        <f>W821-M821</f>
        <v>-11</v>
      </c>
      <c r="Y821" s="110"/>
      <c r="Z821" s="110"/>
      <c r="AA821" s="110"/>
      <c r="AB821" s="83"/>
      <c r="AC821" s="106"/>
      <c r="AD821" s="106"/>
      <c r="AE821" s="100">
        <f t="shared" si="1173"/>
        <v>2.7027027027027029E-2</v>
      </c>
      <c r="AF821" s="90"/>
      <c r="AG821" s="109">
        <f t="shared" si="1174"/>
        <v>0</v>
      </c>
      <c r="AH821" s="100">
        <f t="shared" si="1175"/>
        <v>1.6409266409266408E-2</v>
      </c>
      <c r="AI821" s="100">
        <f t="shared" si="1176"/>
        <v>1.6409266409266408E-2</v>
      </c>
    </row>
    <row r="822" spans="1:35" s="86" customFormat="1" ht="18.75" customHeight="1" x14ac:dyDescent="0.3">
      <c r="A822" s="106"/>
      <c r="B822" s="106" t="s">
        <v>52</v>
      </c>
      <c r="C822" s="118">
        <v>48065</v>
      </c>
      <c r="D822" s="311"/>
      <c r="E822" s="157" t="s">
        <v>304</v>
      </c>
      <c r="F822" s="83">
        <v>808</v>
      </c>
      <c r="G822" s="83"/>
      <c r="H822" s="83"/>
      <c r="I822" s="83"/>
      <c r="J822" s="83"/>
      <c r="K822" s="83"/>
      <c r="L822" s="83"/>
      <c r="M822" s="83">
        <f>844</f>
        <v>844</v>
      </c>
      <c r="N822" s="110">
        <f>M822-F822</f>
        <v>36</v>
      </c>
      <c r="O822" s="110" t="s">
        <v>100</v>
      </c>
      <c r="P822" s="83"/>
      <c r="Q822" s="83">
        <v>844</v>
      </c>
      <c r="R822" s="83"/>
      <c r="S822" s="83">
        <v>842</v>
      </c>
      <c r="T822" s="110">
        <f>S822-Q822</f>
        <v>-2</v>
      </c>
      <c r="U822" s="59">
        <f t="shared" si="1177"/>
        <v>2</v>
      </c>
      <c r="V822" s="83"/>
      <c r="W822" s="83">
        <v>840</v>
      </c>
      <c r="X822" s="110">
        <f>W822-M822</f>
        <v>-4</v>
      </c>
      <c r="Y822" s="110"/>
      <c r="Z822" s="110"/>
      <c r="AA822" s="110"/>
      <c r="AB822" s="83"/>
      <c r="AC822" s="106"/>
      <c r="AD822" s="106"/>
      <c r="AE822" s="100">
        <f t="shared" si="1173"/>
        <v>4.4554455445544552E-2</v>
      </c>
      <c r="AF822" s="90"/>
      <c r="AG822" s="109">
        <f t="shared" si="1174"/>
        <v>0</v>
      </c>
      <c r="AH822" s="100">
        <f t="shared" si="1175"/>
        <v>4.2079207920792082E-2</v>
      </c>
      <c r="AI822" s="100">
        <f t="shared" si="1176"/>
        <v>3.9603960396039604E-2</v>
      </c>
    </row>
    <row r="823" spans="1:35" s="82" customFormat="1" ht="16.5" customHeight="1" x14ac:dyDescent="0.3">
      <c r="A823" s="90" t="s">
        <v>46</v>
      </c>
      <c r="B823" s="90" t="s">
        <v>52</v>
      </c>
      <c r="C823" s="137"/>
      <c r="D823" s="90"/>
      <c r="E823" s="80"/>
      <c r="F823" s="81">
        <f>SUM(F820:F822)</f>
        <v>2880</v>
      </c>
      <c r="G823" s="81"/>
      <c r="H823" s="81" t="s">
        <v>50</v>
      </c>
      <c r="I823" s="81"/>
      <c r="J823" s="81" t="s">
        <v>60</v>
      </c>
      <c r="K823" s="85" t="s">
        <v>301</v>
      </c>
      <c r="L823" s="81">
        <f>SUM(L820:L822)</f>
        <v>0</v>
      </c>
      <c r="M823" s="81">
        <f>SUM(M820:M822)</f>
        <v>2989</v>
      </c>
      <c r="N823" s="81">
        <f>SUM(N820:N822)</f>
        <v>109</v>
      </c>
      <c r="O823" s="81" t="s">
        <v>210</v>
      </c>
      <c r="P823" s="81">
        <f>SUM(P820:P822)</f>
        <v>0</v>
      </c>
      <c r="Q823" s="81">
        <f>SUM(Q820:Q822)</f>
        <v>2989</v>
      </c>
      <c r="R823" s="81">
        <f>SUM(R820:R822)</f>
        <v>0</v>
      </c>
      <c r="S823" s="81">
        <f>SUM(S820:S822)</f>
        <v>2971</v>
      </c>
      <c r="T823" s="81">
        <f>SUM(T820:T822)</f>
        <v>-18</v>
      </c>
      <c r="U823" s="59">
        <f t="shared" si="1177"/>
        <v>8</v>
      </c>
      <c r="V823" s="81">
        <f>SUM(V820:V822)</f>
        <v>0</v>
      </c>
      <c r="W823" s="81">
        <f>SUM(W820:W822)</f>
        <v>2963</v>
      </c>
      <c r="X823" s="81">
        <f>SUM(X820:X822)</f>
        <v>-26</v>
      </c>
      <c r="Y823" s="81" t="s">
        <v>47</v>
      </c>
      <c r="Z823" s="110" t="s">
        <v>45</v>
      </c>
      <c r="AA823" s="110"/>
      <c r="AB823" s="84"/>
      <c r="AC823" s="136"/>
      <c r="AD823" s="136"/>
      <c r="AE823" s="100">
        <f t="shared" si="1173"/>
        <v>3.784722222222222E-2</v>
      </c>
      <c r="AF823" s="90"/>
      <c r="AG823" s="109">
        <f t="shared" si="1174"/>
        <v>0</v>
      </c>
      <c r="AH823" s="100">
        <f t="shared" si="1175"/>
        <v>3.1597222222222221E-2</v>
      </c>
      <c r="AI823" s="100">
        <f t="shared" si="1176"/>
        <v>2.8819444444444446E-2</v>
      </c>
    </row>
    <row r="824" spans="1:35" s="86" customFormat="1" ht="18.75" customHeight="1" x14ac:dyDescent="0.3">
      <c r="A824" s="106"/>
      <c r="B824" s="106" t="s">
        <v>52</v>
      </c>
      <c r="C824" s="118">
        <v>47981</v>
      </c>
      <c r="D824" s="310">
        <v>13263755</v>
      </c>
      <c r="E824" s="157" t="s">
        <v>489</v>
      </c>
      <c r="F824" s="83">
        <v>899</v>
      </c>
      <c r="G824" s="83"/>
      <c r="H824" s="83"/>
      <c r="I824" s="83"/>
      <c r="J824" s="83"/>
      <c r="K824" s="83"/>
      <c r="L824" s="83"/>
      <c r="M824" s="83">
        <f>894+30</f>
        <v>924</v>
      </c>
      <c r="N824" s="110">
        <f>M824-F824</f>
        <v>25</v>
      </c>
      <c r="O824" s="110" t="s">
        <v>100</v>
      </c>
      <c r="P824" s="83"/>
      <c r="Q824" s="83">
        <f>894+30</f>
        <v>924</v>
      </c>
      <c r="R824" s="83"/>
      <c r="S824" s="83">
        <v>924</v>
      </c>
      <c r="T824" s="110">
        <f>S824-Q824</f>
        <v>0</v>
      </c>
      <c r="U824" s="59">
        <f t="shared" si="1177"/>
        <v>2</v>
      </c>
      <c r="V824" s="83">
        <v>9</v>
      </c>
      <c r="W824" s="83">
        <f>913+9</f>
        <v>922</v>
      </c>
      <c r="X824" s="110">
        <f>W824-M824</f>
        <v>-2</v>
      </c>
      <c r="Y824" s="110"/>
      <c r="Z824" s="110"/>
      <c r="AA824" s="110"/>
      <c r="AB824" s="83"/>
      <c r="AC824" s="106"/>
      <c r="AD824" s="106"/>
      <c r="AE824" s="100">
        <f t="shared" si="1173"/>
        <v>2.7808676307007785E-2</v>
      </c>
      <c r="AF824" s="90"/>
      <c r="AG824" s="109">
        <f t="shared" si="1174"/>
        <v>0</v>
      </c>
      <c r="AH824" s="100">
        <f t="shared" si="1175"/>
        <v>2.7808676307007785E-2</v>
      </c>
      <c r="AI824" s="100">
        <f t="shared" si="1176"/>
        <v>2.5583982202447165E-2</v>
      </c>
    </row>
    <row r="825" spans="1:35" s="86" customFormat="1" ht="18.75" customHeight="1" x14ac:dyDescent="0.3">
      <c r="A825" s="106"/>
      <c r="B825" s="106" t="s">
        <v>52</v>
      </c>
      <c r="C825" s="118">
        <v>47981</v>
      </c>
      <c r="D825" s="311"/>
      <c r="E825" s="157" t="s">
        <v>123</v>
      </c>
      <c r="F825" s="83">
        <v>822</v>
      </c>
      <c r="G825" s="83"/>
      <c r="H825" s="83"/>
      <c r="I825" s="83"/>
      <c r="J825" s="83"/>
      <c r="K825" s="83"/>
      <c r="L825" s="83"/>
      <c r="M825" s="83">
        <v>852</v>
      </c>
      <c r="N825" s="110">
        <f>M825-F825</f>
        <v>30</v>
      </c>
      <c r="O825" s="110" t="s">
        <v>100</v>
      </c>
      <c r="P825" s="83"/>
      <c r="Q825" s="83">
        <v>852</v>
      </c>
      <c r="R825" s="83"/>
      <c r="S825" s="83">
        <f>822+27</f>
        <v>849</v>
      </c>
      <c r="T825" s="110">
        <f>S825-Q825</f>
        <v>-3</v>
      </c>
      <c r="U825" s="59">
        <f t="shared" si="1177"/>
        <v>4</v>
      </c>
      <c r="V825" s="83"/>
      <c r="W825" s="83">
        <v>845</v>
      </c>
      <c r="X825" s="110">
        <f>W825-M825</f>
        <v>-7</v>
      </c>
      <c r="Y825" s="110"/>
      <c r="Z825" s="110"/>
      <c r="AA825" s="110"/>
      <c r="AB825" s="83"/>
      <c r="AC825" s="106"/>
      <c r="AD825" s="106"/>
      <c r="AE825" s="100">
        <f t="shared" si="1173"/>
        <v>3.6496350364963501E-2</v>
      </c>
      <c r="AF825" s="90"/>
      <c r="AG825" s="109">
        <f t="shared" si="1174"/>
        <v>0</v>
      </c>
      <c r="AH825" s="100">
        <f t="shared" si="1175"/>
        <v>3.2846715328467155E-2</v>
      </c>
      <c r="AI825" s="100">
        <f t="shared" si="1176"/>
        <v>2.7980535279805353E-2</v>
      </c>
    </row>
    <row r="826" spans="1:35" s="82" customFormat="1" ht="16.5" customHeight="1" x14ac:dyDescent="0.3">
      <c r="A826" s="90" t="s">
        <v>46</v>
      </c>
      <c r="B826" s="90" t="s">
        <v>52</v>
      </c>
      <c r="C826" s="137"/>
      <c r="D826" s="90"/>
      <c r="E826" s="80"/>
      <c r="F826" s="81">
        <f>SUM(F824:F825)</f>
        <v>1721</v>
      </c>
      <c r="G826" s="81"/>
      <c r="H826" s="81" t="s">
        <v>50</v>
      </c>
      <c r="I826" s="81"/>
      <c r="J826" s="81" t="s">
        <v>60</v>
      </c>
      <c r="K826" s="85" t="s">
        <v>340</v>
      </c>
      <c r="L826" s="81">
        <f>SUM(L824:L825)</f>
        <v>0</v>
      </c>
      <c r="M826" s="81">
        <f>SUM(M824:M825)</f>
        <v>1776</v>
      </c>
      <c r="N826" s="81">
        <f>SUM(N824:N825)</f>
        <v>55</v>
      </c>
      <c r="O826" s="81" t="s">
        <v>531</v>
      </c>
      <c r="P826" s="81">
        <f>SUM(P824:P825)</f>
        <v>0</v>
      </c>
      <c r="Q826" s="81">
        <f>SUM(Q824:Q825)</f>
        <v>1776</v>
      </c>
      <c r="R826" s="81">
        <f>SUM(R824:R825)</f>
        <v>0</v>
      </c>
      <c r="S826" s="81">
        <f>SUM(S824:S825)</f>
        <v>1773</v>
      </c>
      <c r="T826" s="81">
        <f>SUM(T824:T825)</f>
        <v>-3</v>
      </c>
      <c r="U826" s="59">
        <f t="shared" si="1177"/>
        <v>6</v>
      </c>
      <c r="V826" s="81">
        <f>SUM(V824:V825)</f>
        <v>9</v>
      </c>
      <c r="W826" s="81">
        <f>SUM(W824:W825)</f>
        <v>1767</v>
      </c>
      <c r="X826" s="81">
        <f>SUM(X824:X825)</f>
        <v>-9</v>
      </c>
      <c r="Y826" s="81" t="s">
        <v>57</v>
      </c>
      <c r="Z826" s="110" t="s">
        <v>45</v>
      </c>
      <c r="AA826" s="110"/>
      <c r="AB826" s="84"/>
      <c r="AC826" s="136"/>
      <c r="AD826" s="136"/>
      <c r="AE826" s="100">
        <f t="shared" si="1173"/>
        <v>3.1958163858221963E-2</v>
      </c>
      <c r="AF826" s="90"/>
      <c r="AG826" s="109">
        <f t="shared" si="1174"/>
        <v>0</v>
      </c>
      <c r="AH826" s="100">
        <f t="shared" si="1175"/>
        <v>3.0214991284137131E-2</v>
      </c>
      <c r="AI826" s="100">
        <f t="shared" si="1176"/>
        <v>2.6728646135967461E-2</v>
      </c>
    </row>
    <row r="827" spans="1:35" s="86" customFormat="1" ht="18.75" customHeight="1" x14ac:dyDescent="0.3">
      <c r="A827" s="106"/>
      <c r="B827" s="106" t="s">
        <v>52</v>
      </c>
      <c r="C827" s="118">
        <v>47993</v>
      </c>
      <c r="D827" s="310">
        <v>13263836</v>
      </c>
      <c r="E827" s="157" t="s">
        <v>202</v>
      </c>
      <c r="F827" s="83">
        <v>2030</v>
      </c>
      <c r="G827" s="83"/>
      <c r="H827" s="83"/>
      <c r="I827" s="83"/>
      <c r="J827" s="83"/>
      <c r="K827" s="83"/>
      <c r="L827" s="83"/>
      <c r="M827" s="83">
        <f>840+1238</f>
        <v>2078</v>
      </c>
      <c r="N827" s="110">
        <f>M827-F827</f>
        <v>48</v>
      </c>
      <c r="O827" s="110" t="s">
        <v>100</v>
      </c>
      <c r="P827" s="83"/>
      <c r="Q827" s="83">
        <f>840+1238</f>
        <v>2078</v>
      </c>
      <c r="R827" s="83"/>
      <c r="S827" s="83">
        <f>1377+686</f>
        <v>2063</v>
      </c>
      <c r="T827" s="110">
        <f>S827-Q827</f>
        <v>-15</v>
      </c>
      <c r="U827" s="59">
        <f t="shared" si="1177"/>
        <v>0</v>
      </c>
      <c r="V827" s="83"/>
      <c r="W827" s="83">
        <f>2063</f>
        <v>2063</v>
      </c>
      <c r="X827" s="110">
        <f>W827-M827</f>
        <v>-15</v>
      </c>
      <c r="Y827" s="110"/>
      <c r="Z827" s="110"/>
      <c r="AA827" s="110"/>
      <c r="AB827" s="83"/>
      <c r="AC827" s="106"/>
      <c r="AD827" s="106"/>
      <c r="AE827" s="100">
        <f t="shared" si="1173"/>
        <v>2.3645320197044337E-2</v>
      </c>
      <c r="AF827" s="90"/>
      <c r="AG827" s="109">
        <f t="shared" si="1174"/>
        <v>0</v>
      </c>
      <c r="AH827" s="100">
        <f t="shared" si="1175"/>
        <v>1.6256157635467981E-2</v>
      </c>
      <c r="AI827" s="100">
        <f t="shared" si="1176"/>
        <v>1.6256157635467981E-2</v>
      </c>
    </row>
    <row r="828" spans="1:35" s="86" customFormat="1" ht="18.75" customHeight="1" x14ac:dyDescent="0.3">
      <c r="A828" s="106"/>
      <c r="B828" s="106" t="s">
        <v>52</v>
      </c>
      <c r="C828" s="118">
        <v>47993</v>
      </c>
      <c r="D828" s="311"/>
      <c r="E828" s="157" t="s">
        <v>123</v>
      </c>
      <c r="F828" s="83">
        <v>798</v>
      </c>
      <c r="G828" s="83"/>
      <c r="H828" s="83"/>
      <c r="I828" s="83"/>
      <c r="J828" s="83"/>
      <c r="K828" s="83"/>
      <c r="L828" s="83"/>
      <c r="M828" s="83">
        <f>196+630</f>
        <v>826</v>
      </c>
      <c r="N828" s="110">
        <f>M828-F828</f>
        <v>28</v>
      </c>
      <c r="O828" s="110" t="s">
        <v>100</v>
      </c>
      <c r="P828" s="83"/>
      <c r="Q828" s="83">
        <f>196+630</f>
        <v>826</v>
      </c>
      <c r="R828" s="83"/>
      <c r="S828" s="83">
        <v>820</v>
      </c>
      <c r="T828" s="110">
        <f>S828-Q828</f>
        <v>-6</v>
      </c>
      <c r="U828" s="59">
        <f t="shared" si="1177"/>
        <v>2</v>
      </c>
      <c r="V828" s="83"/>
      <c r="W828" s="83">
        <f>818</f>
        <v>818</v>
      </c>
      <c r="X828" s="110">
        <f>W828-M828</f>
        <v>-8</v>
      </c>
      <c r="Y828" s="110"/>
      <c r="Z828" s="110"/>
      <c r="AA828" s="110"/>
      <c r="AB828" s="83"/>
      <c r="AC828" s="106"/>
      <c r="AD828" s="106"/>
      <c r="AE828" s="100">
        <f t="shared" si="1173"/>
        <v>3.5087719298245612E-2</v>
      </c>
      <c r="AF828" s="90"/>
      <c r="AG828" s="109">
        <f t="shared" si="1174"/>
        <v>0</v>
      </c>
      <c r="AH828" s="100">
        <f t="shared" si="1175"/>
        <v>2.7568922305764409E-2</v>
      </c>
      <c r="AI828" s="100">
        <f t="shared" si="1176"/>
        <v>2.5062656641604009E-2</v>
      </c>
    </row>
    <row r="829" spans="1:35" s="82" customFormat="1" ht="16.5" customHeight="1" x14ac:dyDescent="0.3">
      <c r="A829" s="90" t="s">
        <v>46</v>
      </c>
      <c r="B829" s="90" t="s">
        <v>52</v>
      </c>
      <c r="C829" s="137"/>
      <c r="D829" s="90"/>
      <c r="E829" s="80"/>
      <c r="F829" s="81">
        <f>SUM(F827:F828)</f>
        <v>2828</v>
      </c>
      <c r="G829" s="81"/>
      <c r="H829" s="81" t="s">
        <v>50</v>
      </c>
      <c r="I829" s="81"/>
      <c r="J829" s="81" t="s">
        <v>60</v>
      </c>
      <c r="K829" s="85" t="s">
        <v>226</v>
      </c>
      <c r="L829" s="81">
        <f>SUM(L827:L828)</f>
        <v>0</v>
      </c>
      <c r="M829" s="81">
        <f>SUM(M827:M828)</f>
        <v>2904</v>
      </c>
      <c r="N829" s="81">
        <f>SUM(N827:N828)</f>
        <v>76</v>
      </c>
      <c r="O829" s="81" t="s">
        <v>264</v>
      </c>
      <c r="P829" s="81">
        <f>SUM(P827:P828)</f>
        <v>0</v>
      </c>
      <c r="Q829" s="81">
        <f>SUM(Q827:Q828)</f>
        <v>2904</v>
      </c>
      <c r="R829" s="81">
        <f>SUM(R827:R828)</f>
        <v>0</v>
      </c>
      <c r="S829" s="81">
        <f>SUM(S827:S828)</f>
        <v>2883</v>
      </c>
      <c r="T829" s="81">
        <f>SUM(T827:T828)</f>
        <v>-21</v>
      </c>
      <c r="U829" s="59">
        <f t="shared" si="1177"/>
        <v>2</v>
      </c>
      <c r="V829" s="81">
        <f>SUM(V827:V828)</f>
        <v>0</v>
      </c>
      <c r="W829" s="81">
        <f>SUM(W827:W828)</f>
        <v>2881</v>
      </c>
      <c r="X829" s="81">
        <f>SUM(X827:X828)</f>
        <v>-23</v>
      </c>
      <c r="Y829" s="81" t="s">
        <v>57</v>
      </c>
      <c r="Z829" s="110" t="s">
        <v>45</v>
      </c>
      <c r="AA829" s="110"/>
      <c r="AB829" s="84"/>
      <c r="AC829" s="136"/>
      <c r="AD829" s="136"/>
      <c r="AE829" s="100">
        <f t="shared" si="1173"/>
        <v>2.6874115983026876E-2</v>
      </c>
      <c r="AF829" s="90"/>
      <c r="AG829" s="109">
        <f t="shared" si="1174"/>
        <v>0</v>
      </c>
      <c r="AH829" s="100">
        <f t="shared" si="1175"/>
        <v>1.9448373408769447E-2</v>
      </c>
      <c r="AI829" s="100">
        <f t="shared" si="1176"/>
        <v>1.8741159830268739E-2</v>
      </c>
    </row>
    <row r="830" spans="1:35" s="86" customFormat="1" ht="18.75" customHeight="1" x14ac:dyDescent="0.3">
      <c r="A830" s="106"/>
      <c r="B830" s="106" t="s">
        <v>52</v>
      </c>
      <c r="C830" s="118">
        <v>47980</v>
      </c>
      <c r="D830" s="310">
        <v>13263753</v>
      </c>
      <c r="E830" s="157" t="s">
        <v>408</v>
      </c>
      <c r="F830" s="83">
        <v>1372</v>
      </c>
      <c r="G830" s="83"/>
      <c r="H830" s="83"/>
      <c r="I830" s="83"/>
      <c r="J830" s="83"/>
      <c r="K830" s="83"/>
      <c r="L830" s="83"/>
      <c r="M830" s="83">
        <v>1416</v>
      </c>
      <c r="N830" s="110">
        <f>M830-F830</f>
        <v>44</v>
      </c>
      <c r="O830" s="110" t="s">
        <v>100</v>
      </c>
      <c r="P830" s="83"/>
      <c r="Q830" s="83">
        <f>1416</f>
        <v>1416</v>
      </c>
      <c r="R830" s="83"/>
      <c r="S830" s="83">
        <v>1416</v>
      </c>
      <c r="T830" s="110">
        <f>S830-Q830</f>
        <v>0</v>
      </c>
      <c r="U830" s="59">
        <f t="shared" si="1177"/>
        <v>1</v>
      </c>
      <c r="V830" s="83"/>
      <c r="W830" s="83">
        <v>1415</v>
      </c>
      <c r="X830" s="110">
        <f>W830-M830</f>
        <v>-1</v>
      </c>
      <c r="Y830" s="110"/>
      <c r="Z830" s="110"/>
      <c r="AA830" s="110"/>
      <c r="AB830" s="83"/>
      <c r="AC830" s="106"/>
      <c r="AD830" s="106"/>
      <c r="AE830" s="100">
        <f t="shared" si="1173"/>
        <v>3.2069970845481049E-2</v>
      </c>
      <c r="AF830" s="90"/>
      <c r="AG830" s="109">
        <f t="shared" si="1174"/>
        <v>0</v>
      </c>
      <c r="AH830" s="100">
        <f t="shared" si="1175"/>
        <v>3.2069970845481049E-2</v>
      </c>
      <c r="AI830" s="100">
        <f t="shared" si="1176"/>
        <v>3.134110787172012E-2</v>
      </c>
    </row>
    <row r="831" spans="1:35" s="86" customFormat="1" ht="18.75" customHeight="1" x14ac:dyDescent="0.3">
      <c r="A831" s="106"/>
      <c r="B831" s="106" t="s">
        <v>52</v>
      </c>
      <c r="C831" s="118">
        <v>47980</v>
      </c>
      <c r="D831" s="311"/>
      <c r="E831" s="157" t="s">
        <v>123</v>
      </c>
      <c r="F831" s="83">
        <v>922</v>
      </c>
      <c r="G831" s="83"/>
      <c r="H831" s="83"/>
      <c r="I831" s="83"/>
      <c r="J831" s="83"/>
      <c r="K831" s="83"/>
      <c r="L831" s="83"/>
      <c r="M831" s="83">
        <v>949</v>
      </c>
      <c r="N831" s="110">
        <f>M831-F831</f>
        <v>27</v>
      </c>
      <c r="O831" s="110" t="s">
        <v>100</v>
      </c>
      <c r="P831" s="83"/>
      <c r="Q831" s="83">
        <f>949</f>
        <v>949</v>
      </c>
      <c r="R831" s="83"/>
      <c r="S831" s="83">
        <v>949</v>
      </c>
      <c r="T831" s="110">
        <f>S831-Q831</f>
        <v>0</v>
      </c>
      <c r="U831" s="59">
        <f t="shared" si="1177"/>
        <v>7</v>
      </c>
      <c r="V831" s="83"/>
      <c r="W831" s="83">
        <v>942</v>
      </c>
      <c r="X831" s="110">
        <f>W831-M831</f>
        <v>-7</v>
      </c>
      <c r="Y831" s="110"/>
      <c r="Z831" s="110"/>
      <c r="AA831" s="110"/>
      <c r="AB831" s="83"/>
      <c r="AC831" s="106"/>
      <c r="AD831" s="106"/>
      <c r="AE831" s="100">
        <f t="shared" si="1173"/>
        <v>2.9284164859002169E-2</v>
      </c>
      <c r="AF831" s="90"/>
      <c r="AG831" s="109">
        <f t="shared" si="1174"/>
        <v>0</v>
      </c>
      <c r="AH831" s="100">
        <f t="shared" si="1175"/>
        <v>2.9284164859002169E-2</v>
      </c>
      <c r="AI831" s="100">
        <f t="shared" si="1176"/>
        <v>2.1691973969631236E-2</v>
      </c>
    </row>
    <row r="832" spans="1:35" s="82" customFormat="1" ht="16.5" customHeight="1" x14ac:dyDescent="0.3">
      <c r="A832" s="90" t="s">
        <v>46</v>
      </c>
      <c r="B832" s="90" t="s">
        <v>52</v>
      </c>
      <c r="C832" s="137"/>
      <c r="D832" s="90"/>
      <c r="E832" s="80"/>
      <c r="F832" s="81">
        <f>SUM(F830:F831)</f>
        <v>2294</v>
      </c>
      <c r="G832" s="81"/>
      <c r="H832" s="81" t="s">
        <v>50</v>
      </c>
      <c r="I832" s="81"/>
      <c r="J832" s="81" t="s">
        <v>60</v>
      </c>
      <c r="K832" s="85" t="s">
        <v>340</v>
      </c>
      <c r="L832" s="81">
        <f>SUM(L830:L831)</f>
        <v>0</v>
      </c>
      <c r="M832" s="81">
        <f>SUM(M830:M831)</f>
        <v>2365</v>
      </c>
      <c r="N832" s="81">
        <f>SUM(N830:N831)</f>
        <v>71</v>
      </c>
      <c r="O832" s="81" t="s">
        <v>208</v>
      </c>
      <c r="P832" s="81">
        <f>SUM(P830:P831)</f>
        <v>0</v>
      </c>
      <c r="Q832" s="81">
        <f>SUM(Q830:Q831)</f>
        <v>2365</v>
      </c>
      <c r="R832" s="81">
        <f>SUM(R830:R831)</f>
        <v>0</v>
      </c>
      <c r="S832" s="81">
        <f>SUM(S830:S831)</f>
        <v>2365</v>
      </c>
      <c r="T832" s="81">
        <f>SUM(T830:T831)</f>
        <v>0</v>
      </c>
      <c r="U832" s="59">
        <f t="shared" si="1177"/>
        <v>8</v>
      </c>
      <c r="V832" s="81">
        <f>SUM(V830:V831)</f>
        <v>0</v>
      </c>
      <c r="W832" s="81">
        <f>SUM(W830:W831)</f>
        <v>2357</v>
      </c>
      <c r="X832" s="81">
        <f>SUM(X830:X831)</f>
        <v>-8</v>
      </c>
      <c r="Y832" s="81" t="s">
        <v>47</v>
      </c>
      <c r="Z832" s="110" t="s">
        <v>45</v>
      </c>
      <c r="AA832" s="110"/>
      <c r="AB832" s="84"/>
      <c r="AC832" s="136"/>
      <c r="AD832" s="136"/>
      <c r="AE832" s="100">
        <f t="shared" si="1173"/>
        <v>3.0950305143853531E-2</v>
      </c>
      <c r="AF832" s="90"/>
      <c r="AG832" s="109">
        <f t="shared" si="1174"/>
        <v>0</v>
      </c>
      <c r="AH832" s="100">
        <f t="shared" si="1175"/>
        <v>3.0950305143853531E-2</v>
      </c>
      <c r="AI832" s="100">
        <f t="shared" si="1176"/>
        <v>2.7462946817785529E-2</v>
      </c>
    </row>
    <row r="833" spans="1:35" s="86" customFormat="1" ht="18.75" customHeight="1" x14ac:dyDescent="0.3">
      <c r="A833" s="106"/>
      <c r="B833" s="106" t="s">
        <v>52</v>
      </c>
      <c r="C833" s="118">
        <v>47985</v>
      </c>
      <c r="D833" s="310">
        <v>13263814</v>
      </c>
      <c r="E833" s="157" t="s">
        <v>123</v>
      </c>
      <c r="F833" s="83">
        <v>2457</v>
      </c>
      <c r="G833" s="83"/>
      <c r="H833" s="83"/>
      <c r="I833" s="83"/>
      <c r="J833" s="83"/>
      <c r="K833" s="83"/>
      <c r="L833" s="83"/>
      <c r="M833" s="83">
        <f>1026+950+533</f>
        <v>2509</v>
      </c>
      <c r="N833" s="110">
        <f>M833-F833</f>
        <v>52</v>
      </c>
      <c r="O833" s="110" t="s">
        <v>100</v>
      </c>
      <c r="P833" s="83"/>
      <c r="Q833" s="83"/>
      <c r="R833" s="83"/>
      <c r="S833" s="83"/>
      <c r="T833" s="110">
        <f>S833-Q833</f>
        <v>0</v>
      </c>
      <c r="U833" s="59">
        <f t="shared" ref="U833:U877" si="1188">IF(Q833&gt;0,S833-W833,M833-W833)</f>
        <v>0</v>
      </c>
      <c r="V833" s="83"/>
      <c r="W833" s="83">
        <v>2509</v>
      </c>
      <c r="X833" s="110">
        <f>W833-M833</f>
        <v>0</v>
      </c>
      <c r="Y833" s="110"/>
      <c r="Z833" s="110"/>
      <c r="AA833" s="110"/>
      <c r="AB833" s="83"/>
      <c r="AC833" s="106"/>
      <c r="AD833" s="106"/>
      <c r="AE833" s="100">
        <f t="shared" ref="AE833:AE877" si="1189">N833/F833</f>
        <v>2.1164021164021163E-2</v>
      </c>
      <c r="AF833" s="90"/>
      <c r="AG833" s="109">
        <f t="shared" ref="AG833:AG877" si="1190">IF(N833&lt;0,N833,0)</f>
        <v>0</v>
      </c>
      <c r="AH833" s="100">
        <f t="shared" ref="AH833:AH877" si="1191">(S833-F833)/F833</f>
        <v>-1</v>
      </c>
      <c r="AI833" s="100">
        <f t="shared" ref="AI833:AI877" si="1192">(W833-F833)/F833</f>
        <v>2.1164021164021163E-2</v>
      </c>
    </row>
    <row r="834" spans="1:35" s="86" customFormat="1" ht="18.75" customHeight="1" x14ac:dyDescent="0.3">
      <c r="A834" s="106"/>
      <c r="B834" s="106" t="s">
        <v>52</v>
      </c>
      <c r="C834" s="118">
        <v>47985</v>
      </c>
      <c r="D834" s="311"/>
      <c r="E834" s="157" t="s">
        <v>402</v>
      </c>
      <c r="F834" s="83">
        <v>1227</v>
      </c>
      <c r="G834" s="83"/>
      <c r="H834" s="83"/>
      <c r="I834" s="83"/>
      <c r="J834" s="83"/>
      <c r="K834" s="83"/>
      <c r="L834" s="83"/>
      <c r="M834" s="83">
        <f>1176+104</f>
        <v>1280</v>
      </c>
      <c r="N834" s="110">
        <f>M834-F834</f>
        <v>53</v>
      </c>
      <c r="O834" s="110" t="s">
        <v>100</v>
      </c>
      <c r="P834" s="83"/>
      <c r="Q834" s="83">
        <f>1176+104</f>
        <v>1280</v>
      </c>
      <c r="R834" s="83"/>
      <c r="S834" s="83">
        <v>1280</v>
      </c>
      <c r="T834" s="110">
        <f>S834-Q834</f>
        <v>0</v>
      </c>
      <c r="U834" s="59">
        <f t="shared" si="1188"/>
        <v>5</v>
      </c>
      <c r="V834" s="83"/>
      <c r="W834" s="83">
        <v>1275</v>
      </c>
      <c r="X834" s="110">
        <f>W834-M834</f>
        <v>-5</v>
      </c>
      <c r="Y834" s="110"/>
      <c r="Z834" s="110"/>
      <c r="AA834" s="110"/>
      <c r="AB834" s="83"/>
      <c r="AC834" s="106"/>
      <c r="AD834" s="106"/>
      <c r="AE834" s="100">
        <f t="shared" si="1189"/>
        <v>4.3194784026079867E-2</v>
      </c>
      <c r="AF834" s="90"/>
      <c r="AG834" s="109">
        <f t="shared" si="1190"/>
        <v>0</v>
      </c>
      <c r="AH834" s="100">
        <f t="shared" si="1191"/>
        <v>4.3194784026079867E-2</v>
      </c>
      <c r="AI834" s="100">
        <f t="shared" si="1192"/>
        <v>3.9119804400977995E-2</v>
      </c>
    </row>
    <row r="835" spans="1:35" s="82" customFormat="1" ht="16.5" customHeight="1" x14ac:dyDescent="0.3">
      <c r="A835" s="90" t="s">
        <v>46</v>
      </c>
      <c r="B835" s="90" t="s">
        <v>52</v>
      </c>
      <c r="C835" s="137"/>
      <c r="D835" s="90"/>
      <c r="E835" s="80"/>
      <c r="F835" s="81">
        <f>SUM(F833:F834)</f>
        <v>3684</v>
      </c>
      <c r="G835" s="81"/>
      <c r="H835" s="81" t="s">
        <v>50</v>
      </c>
      <c r="I835" s="81"/>
      <c r="J835" s="81" t="s">
        <v>60</v>
      </c>
      <c r="K835" s="85" t="s">
        <v>340</v>
      </c>
      <c r="L835" s="81">
        <f>SUM(L833:L834)</f>
        <v>0</v>
      </c>
      <c r="M835" s="81">
        <f>SUM(M833:M834)</f>
        <v>3789</v>
      </c>
      <c r="N835" s="81">
        <f>SUM(N833:N834)</f>
        <v>105</v>
      </c>
      <c r="O835" s="81" t="s">
        <v>479</v>
      </c>
      <c r="P835" s="81">
        <f t="shared" ref="P835:X835" si="1193">SUM(P833:P834)</f>
        <v>0</v>
      </c>
      <c r="Q835" s="81">
        <f t="shared" si="1193"/>
        <v>1280</v>
      </c>
      <c r="R835" s="81">
        <f t="shared" si="1193"/>
        <v>0</v>
      </c>
      <c r="S835" s="81">
        <f t="shared" si="1193"/>
        <v>1280</v>
      </c>
      <c r="T835" s="81">
        <f t="shared" si="1193"/>
        <v>0</v>
      </c>
      <c r="U835" s="59">
        <f t="shared" si="1193"/>
        <v>5</v>
      </c>
      <c r="V835" s="81">
        <f t="shared" si="1193"/>
        <v>0</v>
      </c>
      <c r="W835" s="81">
        <f t="shared" si="1193"/>
        <v>3784</v>
      </c>
      <c r="X835" s="81">
        <f t="shared" si="1193"/>
        <v>-5</v>
      </c>
      <c r="Y835" s="81"/>
      <c r="Z835" s="110"/>
      <c r="AA835" s="110"/>
      <c r="AB835" s="84"/>
      <c r="AC835" s="136"/>
      <c r="AD835" s="136"/>
      <c r="AE835" s="100">
        <f t="shared" si="1189"/>
        <v>2.8501628664495113E-2</v>
      </c>
      <c r="AF835" s="90"/>
      <c r="AG835" s="109">
        <f t="shared" si="1190"/>
        <v>0</v>
      </c>
      <c r="AH835" s="100">
        <f t="shared" si="1191"/>
        <v>-0.65255157437567857</v>
      </c>
      <c r="AI835" s="100">
        <f t="shared" si="1192"/>
        <v>2.714440825190011E-2</v>
      </c>
    </row>
    <row r="836" spans="1:35" s="86" customFormat="1" ht="18.75" customHeight="1" x14ac:dyDescent="0.3">
      <c r="A836" s="106"/>
      <c r="B836" s="106" t="s">
        <v>52</v>
      </c>
      <c r="C836" s="118">
        <v>47986</v>
      </c>
      <c r="D836" s="310">
        <v>13263816</v>
      </c>
      <c r="E836" s="157" t="s">
        <v>123</v>
      </c>
      <c r="F836" s="83">
        <v>2491</v>
      </c>
      <c r="G836" s="83"/>
      <c r="H836" s="83"/>
      <c r="I836" s="83"/>
      <c r="J836" s="83"/>
      <c r="K836" s="83"/>
      <c r="L836" s="83"/>
      <c r="M836" s="83">
        <v>2546</v>
      </c>
      <c r="N836" s="110">
        <f>M836-F836</f>
        <v>55</v>
      </c>
      <c r="O836" s="110" t="s">
        <v>100</v>
      </c>
      <c r="P836" s="83"/>
      <c r="Q836" s="83"/>
      <c r="R836" s="83"/>
      <c r="S836" s="83"/>
      <c r="T836" s="110">
        <f>S836-Q836</f>
        <v>0</v>
      </c>
      <c r="U836" s="59">
        <f t="shared" si="1188"/>
        <v>0</v>
      </c>
      <c r="V836" s="83"/>
      <c r="W836" s="83">
        <v>2546</v>
      </c>
      <c r="X836" s="110">
        <f>W836-M836</f>
        <v>0</v>
      </c>
      <c r="Y836" s="110"/>
      <c r="Z836" s="110"/>
      <c r="AA836" s="110"/>
      <c r="AB836" s="83"/>
      <c r="AC836" s="106"/>
      <c r="AD836" s="106"/>
      <c r="AE836" s="100">
        <f t="shared" si="1189"/>
        <v>2.2079486150140507E-2</v>
      </c>
      <c r="AF836" s="90"/>
      <c r="AG836" s="109">
        <f t="shared" si="1190"/>
        <v>0</v>
      </c>
      <c r="AH836" s="100">
        <f t="shared" si="1191"/>
        <v>-1</v>
      </c>
      <c r="AI836" s="100">
        <f t="shared" si="1192"/>
        <v>2.2079486150140507E-2</v>
      </c>
    </row>
    <row r="837" spans="1:35" s="86" customFormat="1" ht="18.75" customHeight="1" x14ac:dyDescent="0.3">
      <c r="A837" s="106"/>
      <c r="B837" s="106" t="s">
        <v>52</v>
      </c>
      <c r="C837" s="118">
        <v>47986</v>
      </c>
      <c r="D837" s="311"/>
      <c r="E837" s="157" t="s">
        <v>402</v>
      </c>
      <c r="F837" s="83">
        <v>1716</v>
      </c>
      <c r="G837" s="83"/>
      <c r="H837" s="83"/>
      <c r="I837" s="83"/>
      <c r="J837" s="83"/>
      <c r="K837" s="83"/>
      <c r="L837" s="83"/>
      <c r="M837" s="83">
        <f>1778</f>
        <v>1778</v>
      </c>
      <c r="N837" s="110">
        <f>M837-F837</f>
        <v>62</v>
      </c>
      <c r="O837" s="110" t="s">
        <v>100</v>
      </c>
      <c r="P837" s="83"/>
      <c r="Q837" s="83">
        <v>1778</v>
      </c>
      <c r="R837" s="83"/>
      <c r="S837" s="83">
        <v>1778</v>
      </c>
      <c r="T837" s="110">
        <f>S837-Q837</f>
        <v>0</v>
      </c>
      <c r="U837" s="59">
        <f t="shared" si="1188"/>
        <v>0</v>
      </c>
      <c r="V837" s="83"/>
      <c r="W837" s="83">
        <v>1778</v>
      </c>
      <c r="X837" s="110">
        <f>W837-M837</f>
        <v>0</v>
      </c>
      <c r="Y837" s="110"/>
      <c r="Z837" s="110"/>
      <c r="AA837" s="110"/>
      <c r="AB837" s="83"/>
      <c r="AC837" s="106"/>
      <c r="AD837" s="106"/>
      <c r="AE837" s="100">
        <f t="shared" si="1189"/>
        <v>3.6130536130536128E-2</v>
      </c>
      <c r="AF837" s="90"/>
      <c r="AG837" s="109">
        <f t="shared" si="1190"/>
        <v>0</v>
      </c>
      <c r="AH837" s="100">
        <f t="shared" si="1191"/>
        <v>3.6130536130536128E-2</v>
      </c>
      <c r="AI837" s="100">
        <f t="shared" si="1192"/>
        <v>3.6130536130536128E-2</v>
      </c>
    </row>
    <row r="838" spans="1:35" s="82" customFormat="1" ht="16.5" customHeight="1" x14ac:dyDescent="0.3">
      <c r="A838" s="90" t="s">
        <v>46</v>
      </c>
      <c r="B838" s="90" t="s">
        <v>52</v>
      </c>
      <c r="C838" s="137"/>
      <c r="D838" s="90"/>
      <c r="E838" s="80"/>
      <c r="F838" s="81">
        <f>SUM(F836:F837)</f>
        <v>4207</v>
      </c>
      <c r="G838" s="81"/>
      <c r="H838" s="81" t="s">
        <v>50</v>
      </c>
      <c r="I838" s="81"/>
      <c r="J838" s="81" t="s">
        <v>60</v>
      </c>
      <c r="K838" s="85" t="s">
        <v>340</v>
      </c>
      <c r="L838" s="81">
        <f>SUM(L836:L837)</f>
        <v>0</v>
      </c>
      <c r="M838" s="81">
        <f>SUM(M836:M837)</f>
        <v>4324</v>
      </c>
      <c r="N838" s="81">
        <f>SUM(N836:N837)</f>
        <v>117</v>
      </c>
      <c r="O838" s="81" t="s">
        <v>316</v>
      </c>
      <c r="P838" s="81">
        <f t="shared" ref="P838:X838" si="1194">SUM(P836:P837)</f>
        <v>0</v>
      </c>
      <c r="Q838" s="81">
        <f t="shared" si="1194"/>
        <v>1778</v>
      </c>
      <c r="R838" s="81">
        <f t="shared" si="1194"/>
        <v>0</v>
      </c>
      <c r="S838" s="81">
        <f t="shared" si="1194"/>
        <v>1778</v>
      </c>
      <c r="T838" s="81">
        <f t="shared" si="1194"/>
        <v>0</v>
      </c>
      <c r="U838" s="81">
        <f t="shared" si="1194"/>
        <v>0</v>
      </c>
      <c r="V838" s="81">
        <f t="shared" si="1194"/>
        <v>0</v>
      </c>
      <c r="W838" s="81">
        <f t="shared" si="1194"/>
        <v>4324</v>
      </c>
      <c r="X838" s="81">
        <f t="shared" si="1194"/>
        <v>0</v>
      </c>
      <c r="Y838" s="81"/>
      <c r="Z838" s="110"/>
      <c r="AA838" s="110"/>
      <c r="AB838" s="84"/>
      <c r="AC838" s="136"/>
      <c r="AD838" s="136"/>
      <c r="AE838" s="100">
        <f t="shared" si="1189"/>
        <v>2.7810791537913004E-2</v>
      </c>
      <c r="AF838" s="90"/>
      <c r="AG838" s="109">
        <f t="shared" si="1190"/>
        <v>0</v>
      </c>
      <c r="AH838" s="100">
        <f t="shared" si="1191"/>
        <v>-0.57737104825291186</v>
      </c>
      <c r="AI838" s="100">
        <f t="shared" si="1192"/>
        <v>2.7810791537913004E-2</v>
      </c>
    </row>
    <row r="839" spans="1:35" s="86" customFormat="1" ht="18.75" customHeight="1" x14ac:dyDescent="0.3">
      <c r="A839" s="106"/>
      <c r="B839" s="106" t="s">
        <v>52</v>
      </c>
      <c r="C839" s="118">
        <v>47897</v>
      </c>
      <c r="D839" s="310" t="s">
        <v>203</v>
      </c>
      <c r="E839" s="157" t="s">
        <v>204</v>
      </c>
      <c r="F839" s="83">
        <v>1855</v>
      </c>
      <c r="G839" s="83"/>
      <c r="H839" s="83"/>
      <c r="I839" s="83"/>
      <c r="J839" s="83"/>
      <c r="K839" s="83"/>
      <c r="L839" s="83"/>
      <c r="M839" s="83">
        <f>1488+423</f>
        <v>1911</v>
      </c>
      <c r="N839" s="110">
        <f>M839-F839</f>
        <v>56</v>
      </c>
      <c r="O839" s="110" t="s">
        <v>100</v>
      </c>
      <c r="P839" s="83"/>
      <c r="Q839" s="83">
        <f>804+1107</f>
        <v>1911</v>
      </c>
      <c r="R839" s="83"/>
      <c r="S839" s="83">
        <v>1907</v>
      </c>
      <c r="T839" s="110">
        <f>S839-Q839</f>
        <v>-4</v>
      </c>
      <c r="U839" s="59">
        <f t="shared" si="1188"/>
        <v>1</v>
      </c>
      <c r="V839" s="83"/>
      <c r="W839" s="83">
        <f>1906</f>
        <v>1906</v>
      </c>
      <c r="X839" s="110">
        <f>W839-M839</f>
        <v>-5</v>
      </c>
      <c r="Y839" s="110"/>
      <c r="Z839" s="110"/>
      <c r="AA839" s="110"/>
      <c r="AB839" s="83"/>
      <c r="AC839" s="106"/>
      <c r="AD839" s="106"/>
      <c r="AE839" s="100">
        <f t="shared" si="1189"/>
        <v>3.0188679245283019E-2</v>
      </c>
      <c r="AF839" s="90"/>
      <c r="AG839" s="109">
        <f t="shared" si="1190"/>
        <v>0</v>
      </c>
      <c r="AH839" s="100">
        <f t="shared" si="1191"/>
        <v>2.8032345013477088E-2</v>
      </c>
      <c r="AI839" s="100">
        <f t="shared" si="1192"/>
        <v>2.7493261455525605E-2</v>
      </c>
    </row>
    <row r="840" spans="1:35" s="86" customFormat="1" ht="18.75" customHeight="1" x14ac:dyDescent="0.3">
      <c r="A840" s="106"/>
      <c r="B840" s="106" t="s">
        <v>52</v>
      </c>
      <c r="C840" s="118">
        <v>47897</v>
      </c>
      <c r="D840" s="311"/>
      <c r="E840" s="157" t="s">
        <v>187</v>
      </c>
      <c r="F840" s="83">
        <v>1070</v>
      </c>
      <c r="G840" s="83"/>
      <c r="H840" s="83"/>
      <c r="I840" s="83"/>
      <c r="J840" s="83"/>
      <c r="K840" s="83"/>
      <c r="L840" s="83"/>
      <c r="M840" s="83">
        <f>660+457</f>
        <v>1117</v>
      </c>
      <c r="N840" s="110">
        <f>M840-F840</f>
        <v>47</v>
      </c>
      <c r="O840" s="110" t="s">
        <v>100</v>
      </c>
      <c r="P840" s="83"/>
      <c r="Q840" s="83">
        <f>660+457</f>
        <v>1117</v>
      </c>
      <c r="R840" s="83"/>
      <c r="S840" s="83">
        <v>1117</v>
      </c>
      <c r="T840" s="110">
        <f>S840-Q840</f>
        <v>0</v>
      </c>
      <c r="U840" s="59">
        <f t="shared" si="1188"/>
        <v>4</v>
      </c>
      <c r="V840" s="83"/>
      <c r="W840" s="83">
        <f>1113</f>
        <v>1113</v>
      </c>
      <c r="X840" s="110">
        <f>W840-M840</f>
        <v>-4</v>
      </c>
      <c r="Y840" s="110"/>
      <c r="Z840" s="110"/>
      <c r="AA840" s="110"/>
      <c r="AB840" s="83"/>
      <c r="AC840" s="106"/>
      <c r="AD840" s="106"/>
      <c r="AE840" s="100">
        <f t="shared" si="1189"/>
        <v>4.3925233644859812E-2</v>
      </c>
      <c r="AF840" s="90"/>
      <c r="AG840" s="109">
        <f t="shared" si="1190"/>
        <v>0</v>
      </c>
      <c r="AH840" s="100">
        <f t="shared" si="1191"/>
        <v>4.3925233644859812E-2</v>
      </c>
      <c r="AI840" s="100">
        <f t="shared" si="1192"/>
        <v>4.018691588785047E-2</v>
      </c>
    </row>
    <row r="841" spans="1:35" s="86" customFormat="1" ht="18.75" customHeight="1" x14ac:dyDescent="0.3">
      <c r="A841" s="106"/>
      <c r="B841" s="106" t="s">
        <v>52</v>
      </c>
      <c r="C841" s="118">
        <v>47897</v>
      </c>
      <c r="D841" s="311"/>
      <c r="E841" s="157" t="s">
        <v>452</v>
      </c>
      <c r="F841" s="83">
        <v>1455</v>
      </c>
      <c r="G841" s="83"/>
      <c r="H841" s="83"/>
      <c r="I841" s="83"/>
      <c r="J841" s="83"/>
      <c r="K841" s="83"/>
      <c r="L841" s="83"/>
      <c r="M841" s="83">
        <f>72+828+612</f>
        <v>1512</v>
      </c>
      <c r="N841" s="110">
        <f>M841-F841</f>
        <v>57</v>
      </c>
      <c r="O841" s="110" t="s">
        <v>100</v>
      </c>
      <c r="P841" s="83"/>
      <c r="Q841" s="83">
        <f>72+1440</f>
        <v>1512</v>
      </c>
      <c r="R841" s="83"/>
      <c r="S841" s="83">
        <v>1506</v>
      </c>
      <c r="T841" s="110">
        <f>S841-Q841</f>
        <v>-6</v>
      </c>
      <c r="U841" s="59">
        <f t="shared" si="1188"/>
        <v>1</v>
      </c>
      <c r="V841" s="83"/>
      <c r="W841" s="83">
        <f>1505</f>
        <v>1505</v>
      </c>
      <c r="X841" s="110">
        <f>W841-M841</f>
        <v>-7</v>
      </c>
      <c r="Y841" s="110"/>
      <c r="Z841" s="110"/>
      <c r="AA841" s="110"/>
      <c r="AB841" s="83"/>
      <c r="AC841" s="106"/>
      <c r="AD841" s="106"/>
      <c r="AE841" s="100">
        <f t="shared" si="1189"/>
        <v>3.9175257731958762E-2</v>
      </c>
      <c r="AF841" s="90"/>
      <c r="AG841" s="109">
        <f t="shared" si="1190"/>
        <v>0</v>
      </c>
      <c r="AH841" s="100">
        <f t="shared" si="1191"/>
        <v>3.5051546391752578E-2</v>
      </c>
      <c r="AI841" s="100">
        <f t="shared" si="1192"/>
        <v>3.4364261168384883E-2</v>
      </c>
    </row>
    <row r="842" spans="1:35" s="82" customFormat="1" ht="16.5" customHeight="1" x14ac:dyDescent="0.3">
      <c r="A842" s="90" t="s">
        <v>46</v>
      </c>
      <c r="B842" s="90" t="s">
        <v>52</v>
      </c>
      <c r="C842" s="137"/>
      <c r="D842" s="90"/>
      <c r="E842" s="80"/>
      <c r="F842" s="81">
        <f>SUM(F839:F841)</f>
        <v>4380</v>
      </c>
      <c r="G842" s="81"/>
      <c r="H842" s="81" t="s">
        <v>50</v>
      </c>
      <c r="I842" s="81"/>
      <c r="J842" s="81" t="s">
        <v>60</v>
      </c>
      <c r="K842" s="85" t="s">
        <v>305</v>
      </c>
      <c r="L842" s="81">
        <f>SUM(L839:L841)</f>
        <v>0</v>
      </c>
      <c r="M842" s="81">
        <f>SUM(M839:M841)</f>
        <v>4540</v>
      </c>
      <c r="N842" s="81">
        <f>SUM(N839:N841)</f>
        <v>160</v>
      </c>
      <c r="O842" s="81" t="s">
        <v>208</v>
      </c>
      <c r="P842" s="81">
        <f>SUM(P839:P841)</f>
        <v>0</v>
      </c>
      <c r="Q842" s="81">
        <f>SUM(Q839:Q841)</f>
        <v>4540</v>
      </c>
      <c r="R842" s="81">
        <f>SUM(R839:R841)</f>
        <v>0</v>
      </c>
      <c r="S842" s="81">
        <f>SUM(S839:S841)</f>
        <v>4530</v>
      </c>
      <c r="T842" s="81">
        <f>SUM(T839:T841)</f>
        <v>-10</v>
      </c>
      <c r="U842" s="59">
        <f t="shared" si="1188"/>
        <v>6</v>
      </c>
      <c r="V842" s="81">
        <f>SUM(V839:V841)</f>
        <v>0</v>
      </c>
      <c r="W842" s="81">
        <f>SUM(W839:W841)</f>
        <v>4524</v>
      </c>
      <c r="X842" s="81">
        <f>SUM(X839:X841)</f>
        <v>-16</v>
      </c>
      <c r="Y842" s="81" t="s">
        <v>47</v>
      </c>
      <c r="Z842" s="110" t="s">
        <v>45</v>
      </c>
      <c r="AA842" s="110"/>
      <c r="AB842" s="84"/>
      <c r="AC842" s="136"/>
      <c r="AD842" s="136"/>
      <c r="AE842" s="100">
        <f t="shared" si="1189"/>
        <v>3.6529680365296802E-2</v>
      </c>
      <c r="AF842" s="90"/>
      <c r="AG842" s="109">
        <f t="shared" si="1190"/>
        <v>0</v>
      </c>
      <c r="AH842" s="100">
        <f t="shared" si="1191"/>
        <v>3.4246575342465752E-2</v>
      </c>
      <c r="AI842" s="100">
        <f t="shared" si="1192"/>
        <v>3.287671232876712E-2</v>
      </c>
    </row>
    <row r="843" spans="1:35" s="86" customFormat="1" ht="18.75" customHeight="1" x14ac:dyDescent="0.3">
      <c r="A843" s="106"/>
      <c r="B843" s="106" t="s">
        <v>52</v>
      </c>
      <c r="C843" s="118">
        <v>47899</v>
      </c>
      <c r="D843" s="310" t="s">
        <v>495</v>
      </c>
      <c r="E843" s="157" t="s">
        <v>451</v>
      </c>
      <c r="F843" s="83">
        <v>1991</v>
      </c>
      <c r="G843" s="83"/>
      <c r="H843" s="83"/>
      <c r="I843" s="83"/>
      <c r="J843" s="83"/>
      <c r="K843" s="83"/>
      <c r="L843" s="83"/>
      <c r="M843" s="83">
        <v>2051</v>
      </c>
      <c r="N843" s="110">
        <f>M843-F843</f>
        <v>60</v>
      </c>
      <c r="O843" s="110" t="s">
        <v>100</v>
      </c>
      <c r="P843" s="83"/>
      <c r="Q843" s="83">
        <v>2051</v>
      </c>
      <c r="R843" s="83"/>
      <c r="S843" s="83">
        <v>2039</v>
      </c>
      <c r="T843" s="110">
        <f>S843-Q843</f>
        <v>-12</v>
      </c>
      <c r="U843" s="59">
        <f t="shared" ref="U843:U845" si="1195">IF(Q843&gt;0,S843-W843,M843-W843)</f>
        <v>0</v>
      </c>
      <c r="V843" s="83"/>
      <c r="W843" s="83">
        <v>2039</v>
      </c>
      <c r="X843" s="110">
        <f>W843-M843</f>
        <v>-12</v>
      </c>
      <c r="Y843" s="110"/>
      <c r="Z843" s="110"/>
      <c r="AA843" s="110"/>
      <c r="AB843" s="83"/>
      <c r="AC843" s="106"/>
      <c r="AD843" s="106"/>
      <c r="AE843" s="100">
        <f t="shared" ref="AE843:AE845" si="1196">N843/F843</f>
        <v>3.0135610246107485E-2</v>
      </c>
      <c r="AF843" s="90"/>
      <c r="AG843" s="109">
        <f t="shared" ref="AG843:AG845" si="1197">IF(N843&lt;0,N843,0)</f>
        <v>0</v>
      </c>
      <c r="AH843" s="100">
        <f t="shared" ref="AH843:AH845" si="1198">(S843-F843)/F843</f>
        <v>2.4108488196885988E-2</v>
      </c>
      <c r="AI843" s="100">
        <f t="shared" ref="AI843:AI845" si="1199">(W843-F843)/F843</f>
        <v>2.4108488196885988E-2</v>
      </c>
    </row>
    <row r="844" spans="1:35" s="86" customFormat="1" ht="18.75" customHeight="1" x14ac:dyDescent="0.3">
      <c r="A844" s="106"/>
      <c r="B844" s="106" t="s">
        <v>52</v>
      </c>
      <c r="C844" s="118">
        <v>47899</v>
      </c>
      <c r="D844" s="311"/>
      <c r="E844" s="157" t="s">
        <v>49</v>
      </c>
      <c r="F844" s="83">
        <v>2141</v>
      </c>
      <c r="G844" s="83"/>
      <c r="H844" s="83"/>
      <c r="I844" s="83"/>
      <c r="J844" s="83"/>
      <c r="K844" s="83"/>
      <c r="L844" s="83"/>
      <c r="M844" s="83">
        <v>2201</v>
      </c>
      <c r="N844" s="110">
        <f>M844-F844</f>
        <v>60</v>
      </c>
      <c r="O844" s="110" t="s">
        <v>100</v>
      </c>
      <c r="P844" s="83"/>
      <c r="Q844" s="83">
        <v>2201</v>
      </c>
      <c r="R844" s="83"/>
      <c r="S844" s="83">
        <v>2201</v>
      </c>
      <c r="T844" s="110">
        <f>S844-Q844</f>
        <v>0</v>
      </c>
      <c r="U844" s="59">
        <f t="shared" si="1195"/>
        <v>3</v>
      </c>
      <c r="V844" s="83"/>
      <c r="W844" s="83">
        <v>2198</v>
      </c>
      <c r="X844" s="110">
        <f>W844-M844</f>
        <v>-3</v>
      </c>
      <c r="Y844" s="110"/>
      <c r="Z844" s="110"/>
      <c r="AA844" s="110"/>
      <c r="AB844" s="83"/>
      <c r="AC844" s="106"/>
      <c r="AD844" s="106"/>
      <c r="AE844" s="100">
        <f t="shared" si="1196"/>
        <v>2.802428771602055E-2</v>
      </c>
      <c r="AF844" s="90"/>
      <c r="AG844" s="109">
        <f t="shared" si="1197"/>
        <v>0</v>
      </c>
      <c r="AH844" s="100">
        <f t="shared" si="1198"/>
        <v>2.802428771602055E-2</v>
      </c>
      <c r="AI844" s="100">
        <f t="shared" si="1199"/>
        <v>2.6623073330219522E-2</v>
      </c>
    </row>
    <row r="845" spans="1:35" s="82" customFormat="1" ht="16.5" customHeight="1" x14ac:dyDescent="0.3">
      <c r="A845" s="90" t="s">
        <v>46</v>
      </c>
      <c r="B845" s="90" t="s">
        <v>52</v>
      </c>
      <c r="C845" s="137"/>
      <c r="D845" s="90"/>
      <c r="E845" s="80"/>
      <c r="F845" s="81">
        <f>SUM(F843:F844)</f>
        <v>4132</v>
      </c>
      <c r="G845" s="81"/>
      <c r="H845" s="81" t="s">
        <v>50</v>
      </c>
      <c r="I845" s="81"/>
      <c r="J845" s="81" t="s">
        <v>60</v>
      </c>
      <c r="K845" s="85" t="s">
        <v>226</v>
      </c>
      <c r="L845" s="81">
        <f>SUM(L843:L844)</f>
        <v>0</v>
      </c>
      <c r="M845" s="81">
        <f>SUM(M843:M844)</f>
        <v>4252</v>
      </c>
      <c r="N845" s="81">
        <f>SUM(N843:N844)</f>
        <v>120</v>
      </c>
      <c r="O845" s="81" t="s">
        <v>248</v>
      </c>
      <c r="P845" s="81">
        <f>SUM(P843:P844)</f>
        <v>0</v>
      </c>
      <c r="Q845" s="81">
        <f>SUM(Q843:Q844)</f>
        <v>4252</v>
      </c>
      <c r="R845" s="81">
        <f>SUM(R843:R844)</f>
        <v>0</v>
      </c>
      <c r="S845" s="81">
        <f>SUM(S843:S844)</f>
        <v>4240</v>
      </c>
      <c r="T845" s="81">
        <f>SUM(T843:T844)</f>
        <v>-12</v>
      </c>
      <c r="U845" s="59">
        <f t="shared" si="1195"/>
        <v>3</v>
      </c>
      <c r="V845" s="81">
        <f>SUM(V843:V844)</f>
        <v>0</v>
      </c>
      <c r="W845" s="81">
        <f>SUM(W843:W844)</f>
        <v>4237</v>
      </c>
      <c r="X845" s="81">
        <f>SUM(X843:X844)</f>
        <v>-15</v>
      </c>
      <c r="Y845" s="81" t="s">
        <v>47</v>
      </c>
      <c r="Z845" s="110" t="s">
        <v>45</v>
      </c>
      <c r="AA845" s="110"/>
      <c r="AB845" s="84"/>
      <c r="AC845" s="136"/>
      <c r="AD845" s="136"/>
      <c r="AE845" s="100">
        <f t="shared" si="1196"/>
        <v>2.904162633107454E-2</v>
      </c>
      <c r="AF845" s="90"/>
      <c r="AG845" s="109">
        <f t="shared" si="1197"/>
        <v>0</v>
      </c>
      <c r="AH845" s="100">
        <f t="shared" si="1198"/>
        <v>2.6137463697967087E-2</v>
      </c>
      <c r="AI845" s="100">
        <f t="shared" si="1199"/>
        <v>2.5411423039690222E-2</v>
      </c>
    </row>
    <row r="846" spans="1:35" s="86" customFormat="1" ht="18.75" customHeight="1" x14ac:dyDescent="0.3">
      <c r="A846" s="106"/>
      <c r="B846" s="106" t="s">
        <v>52</v>
      </c>
      <c r="C846" s="118">
        <v>47901</v>
      </c>
      <c r="D846" s="310" t="s">
        <v>494</v>
      </c>
      <c r="E846" s="157" t="s">
        <v>488</v>
      </c>
      <c r="F846" s="83">
        <v>1511</v>
      </c>
      <c r="G846" s="83"/>
      <c r="H846" s="83"/>
      <c r="I846" s="83"/>
      <c r="J846" s="83"/>
      <c r="K846" s="83"/>
      <c r="L846" s="83"/>
      <c r="M846" s="83">
        <f>1576</f>
        <v>1576</v>
      </c>
      <c r="N846" s="110">
        <f>M846-F846</f>
        <v>65</v>
      </c>
      <c r="O846" s="110" t="s">
        <v>100</v>
      </c>
      <c r="P846" s="83"/>
      <c r="Q846" s="83">
        <v>1575</v>
      </c>
      <c r="R846" s="83"/>
      <c r="S846" s="83">
        <f>1481+94</f>
        <v>1575</v>
      </c>
      <c r="T846" s="110">
        <f>S846-Q846</f>
        <v>0</v>
      </c>
      <c r="U846" s="59">
        <f t="shared" si="1188"/>
        <v>11</v>
      </c>
      <c r="V846" s="83"/>
      <c r="W846" s="83">
        <f>1467+97</f>
        <v>1564</v>
      </c>
      <c r="X846" s="110">
        <f>W846-M846</f>
        <v>-12</v>
      </c>
      <c r="Y846" s="110"/>
      <c r="Z846" s="110"/>
      <c r="AA846" s="110"/>
      <c r="AB846" s="83"/>
      <c r="AC846" s="106"/>
      <c r="AD846" s="106"/>
      <c r="AE846" s="100">
        <f t="shared" si="1189"/>
        <v>4.3017868960953012E-2</v>
      </c>
      <c r="AF846" s="90"/>
      <c r="AG846" s="109">
        <f t="shared" si="1190"/>
        <v>0</v>
      </c>
      <c r="AH846" s="100">
        <f t="shared" si="1191"/>
        <v>4.2356055592322965E-2</v>
      </c>
      <c r="AI846" s="100">
        <f t="shared" si="1192"/>
        <v>3.5076108537392459E-2</v>
      </c>
    </row>
    <row r="847" spans="1:35" s="86" customFormat="1" ht="18.75" customHeight="1" x14ac:dyDescent="0.3">
      <c r="A847" s="106"/>
      <c r="B847" s="106" t="s">
        <v>52</v>
      </c>
      <c r="C847" s="118">
        <v>47901</v>
      </c>
      <c r="D847" s="311"/>
      <c r="E847" s="157" t="s">
        <v>408</v>
      </c>
      <c r="F847" s="83">
        <v>2415</v>
      </c>
      <c r="G847" s="83"/>
      <c r="H847" s="83"/>
      <c r="I847" s="83"/>
      <c r="J847" s="83"/>
      <c r="K847" s="83"/>
      <c r="L847" s="83"/>
      <c r="M847" s="83">
        <f>1422+1080</f>
        <v>2502</v>
      </c>
      <c r="N847" s="110">
        <f>M847-F847</f>
        <v>87</v>
      </c>
      <c r="O847" s="110" t="s">
        <v>100</v>
      </c>
      <c r="P847" s="83"/>
      <c r="Q847" s="83">
        <v>2502</v>
      </c>
      <c r="R847" s="83"/>
      <c r="S847" s="83">
        <f>2395+87</f>
        <v>2482</v>
      </c>
      <c r="T847" s="110">
        <f>S847-Q847</f>
        <v>-20</v>
      </c>
      <c r="U847" s="59">
        <f>IF(Q847&gt;0,S847-W847,M847-W847)</f>
        <v>4</v>
      </c>
      <c r="V847" s="83"/>
      <c r="W847" s="83">
        <v>2478</v>
      </c>
      <c r="X847" s="110">
        <f>W847-M847</f>
        <v>-24</v>
      </c>
      <c r="Y847" s="110"/>
      <c r="Z847" s="110"/>
      <c r="AA847" s="110"/>
      <c r="AB847" s="83"/>
      <c r="AC847" s="106"/>
      <c r="AD847" s="106"/>
      <c r="AE847" s="100">
        <f t="shared" si="1189"/>
        <v>3.6024844720496892E-2</v>
      </c>
      <c r="AF847" s="90"/>
      <c r="AG847" s="109">
        <f t="shared" si="1190"/>
        <v>0</v>
      </c>
      <c r="AH847" s="100">
        <f>(S847-F847)/F847</f>
        <v>2.7743271221532091E-2</v>
      </c>
      <c r="AI847" s="100">
        <f t="shared" si="1192"/>
        <v>2.6086956521739129E-2</v>
      </c>
    </row>
    <row r="848" spans="1:35" s="86" customFormat="1" ht="18.75" customHeight="1" x14ac:dyDescent="0.3">
      <c r="A848" s="106"/>
      <c r="B848" s="106" t="s">
        <v>52</v>
      </c>
      <c r="C848" s="118">
        <v>47901</v>
      </c>
      <c r="D848" s="311"/>
      <c r="E848" s="157" t="s">
        <v>187</v>
      </c>
      <c r="F848" s="83">
        <v>2379</v>
      </c>
      <c r="G848" s="83"/>
      <c r="H848" s="83"/>
      <c r="I848" s="83"/>
      <c r="J848" s="83"/>
      <c r="K848" s="83"/>
      <c r="L848" s="83"/>
      <c r="M848" s="83">
        <f>1422+243+792</f>
        <v>2457</v>
      </c>
      <c r="N848" s="110">
        <f>M848-F848</f>
        <v>78</v>
      </c>
      <c r="O848" s="110" t="s">
        <v>100</v>
      </c>
      <c r="P848" s="83"/>
      <c r="Q848" s="83">
        <f>1422+1035</f>
        <v>2457</v>
      </c>
      <c r="R848" s="83"/>
      <c r="S848" s="83">
        <v>2457</v>
      </c>
      <c r="T848" s="110">
        <f>S848-Q848</f>
        <v>0</v>
      </c>
      <c r="U848" s="59">
        <f t="shared" si="1188"/>
        <v>9</v>
      </c>
      <c r="V848" s="83"/>
      <c r="W848" s="83">
        <v>2448</v>
      </c>
      <c r="X848" s="110">
        <f>W848-M848</f>
        <v>-9</v>
      </c>
      <c r="Y848" s="110"/>
      <c r="Z848" s="110"/>
      <c r="AA848" s="110"/>
      <c r="AB848" s="83"/>
      <c r="AC848" s="106"/>
      <c r="AD848" s="106"/>
      <c r="AE848" s="100">
        <f t="shared" si="1189"/>
        <v>3.2786885245901641E-2</v>
      </c>
      <c r="AF848" s="90"/>
      <c r="AG848" s="109">
        <f t="shared" si="1190"/>
        <v>0</v>
      </c>
      <c r="AH848" s="100">
        <f t="shared" si="1191"/>
        <v>3.2786885245901641E-2</v>
      </c>
      <c r="AI848" s="100">
        <f t="shared" si="1192"/>
        <v>2.9003783102143757E-2</v>
      </c>
    </row>
    <row r="849" spans="1:35" s="82" customFormat="1" ht="16.5" customHeight="1" x14ac:dyDescent="0.3">
      <c r="A849" s="90" t="s">
        <v>46</v>
      </c>
      <c r="B849" s="90" t="s">
        <v>52</v>
      </c>
      <c r="C849" s="137"/>
      <c r="D849" s="90"/>
      <c r="E849" s="80"/>
      <c r="F849" s="81">
        <f>SUM(F846:F848)</f>
        <v>6305</v>
      </c>
      <c r="G849" s="81"/>
      <c r="H849" s="81" t="s">
        <v>50</v>
      </c>
      <c r="I849" s="81"/>
      <c r="J849" s="81" t="s">
        <v>60</v>
      </c>
      <c r="K849" s="85" t="s">
        <v>226</v>
      </c>
      <c r="L849" s="81">
        <f>SUM(L846:L848)</f>
        <v>0</v>
      </c>
      <c r="M849" s="81">
        <f>SUM(M846:M848)</f>
        <v>6535</v>
      </c>
      <c r="N849" s="81">
        <f>SUM(N846:N848)</f>
        <v>230</v>
      </c>
      <c r="O849" s="81" t="s">
        <v>245</v>
      </c>
      <c r="P849" s="81">
        <f>SUM(P846:P848)</f>
        <v>0</v>
      </c>
      <c r="Q849" s="81">
        <f>SUM(Q846:Q848)</f>
        <v>6534</v>
      </c>
      <c r="R849" s="81">
        <f>SUM(R846:R848)</f>
        <v>0</v>
      </c>
      <c r="S849" s="81">
        <f>SUM(S846:S848)</f>
        <v>6514</v>
      </c>
      <c r="T849" s="81">
        <f>SUM(T846:T848)</f>
        <v>-20</v>
      </c>
      <c r="U849" s="59">
        <f t="shared" si="1188"/>
        <v>24</v>
      </c>
      <c r="V849" s="81">
        <f>SUM(V846:V848)</f>
        <v>0</v>
      </c>
      <c r="W849" s="81">
        <f>SUM(W846:W848)</f>
        <v>6490</v>
      </c>
      <c r="X849" s="81">
        <f>SUM(X846:X848)</f>
        <v>-45</v>
      </c>
      <c r="Y849" s="81" t="s">
        <v>47</v>
      </c>
      <c r="Z849" s="110" t="s">
        <v>45</v>
      </c>
      <c r="AA849" s="110"/>
      <c r="AB849" s="84"/>
      <c r="AC849" s="136"/>
      <c r="AD849" s="136"/>
      <c r="AE849" s="100">
        <f t="shared" si="1189"/>
        <v>3.6478984932593182E-2</v>
      </c>
      <c r="AF849" s="90"/>
      <c r="AG849" s="109">
        <f t="shared" si="1190"/>
        <v>0</v>
      </c>
      <c r="AH849" s="100">
        <f t="shared" si="1191"/>
        <v>3.3148295003965107E-2</v>
      </c>
      <c r="AI849" s="100">
        <f t="shared" si="1192"/>
        <v>2.9341792228390166E-2</v>
      </c>
    </row>
    <row r="850" spans="1:35" s="86" customFormat="1" ht="18.75" customHeight="1" x14ac:dyDescent="0.3">
      <c r="A850" s="106"/>
      <c r="B850" s="106" t="s">
        <v>52</v>
      </c>
      <c r="C850" s="118">
        <v>47902</v>
      </c>
      <c r="D850" s="310">
        <v>13238389</v>
      </c>
      <c r="E850" s="157" t="s">
        <v>202</v>
      </c>
      <c r="F850" s="83">
        <v>1288</v>
      </c>
      <c r="G850" s="83"/>
      <c r="H850" s="83"/>
      <c r="I850" s="83"/>
      <c r="J850" s="83"/>
      <c r="K850" s="83"/>
      <c r="L850" s="83"/>
      <c r="M850" s="83">
        <f>1152+184</f>
        <v>1336</v>
      </c>
      <c r="N850" s="110">
        <f>M850-F850</f>
        <v>48</v>
      </c>
      <c r="O850" s="110" t="s">
        <v>100</v>
      </c>
      <c r="P850" s="83"/>
      <c r="Q850" s="83">
        <f>1336</f>
        <v>1336</v>
      </c>
      <c r="R850" s="83"/>
      <c r="S850" s="83">
        <v>1336</v>
      </c>
      <c r="T850" s="110">
        <f>S850-Q850</f>
        <v>0</v>
      </c>
      <c r="U850" s="59">
        <f t="shared" ref="U850:U853" si="1200">IF(Q850&gt;0,S850-W850,M850-W850)</f>
        <v>0</v>
      </c>
      <c r="V850" s="83"/>
      <c r="W850" s="83">
        <f>1336</f>
        <v>1336</v>
      </c>
      <c r="X850" s="110">
        <f>W850-M850</f>
        <v>0</v>
      </c>
      <c r="Y850" s="110"/>
      <c r="Z850" s="110"/>
      <c r="AA850" s="110"/>
      <c r="AB850" s="83"/>
      <c r="AC850" s="106"/>
      <c r="AD850" s="106"/>
      <c r="AE850" s="100">
        <f t="shared" ref="AE850:AE853" si="1201">N850/F850</f>
        <v>3.7267080745341616E-2</v>
      </c>
      <c r="AF850" s="90"/>
      <c r="AG850" s="109">
        <f t="shared" ref="AG850:AG853" si="1202">IF(N850&lt;0,N850,0)</f>
        <v>0</v>
      </c>
      <c r="AH850" s="100">
        <f t="shared" ref="AH850:AH853" si="1203">(S850-F850)/F850</f>
        <v>3.7267080745341616E-2</v>
      </c>
      <c r="AI850" s="100">
        <f t="shared" ref="AI850:AI853" si="1204">(W850-F850)/F850</f>
        <v>3.7267080745341616E-2</v>
      </c>
    </row>
    <row r="851" spans="1:35" s="86" customFormat="1" ht="18.75" customHeight="1" x14ac:dyDescent="0.3">
      <c r="A851" s="106"/>
      <c r="B851" s="106" t="s">
        <v>52</v>
      </c>
      <c r="C851" s="118">
        <v>47902</v>
      </c>
      <c r="D851" s="311"/>
      <c r="E851" s="157" t="s">
        <v>171</v>
      </c>
      <c r="F851" s="83">
        <v>2727</v>
      </c>
      <c r="G851" s="83"/>
      <c r="H851" s="83"/>
      <c r="I851" s="83"/>
      <c r="J851" s="83"/>
      <c r="K851" s="83"/>
      <c r="L851" s="83"/>
      <c r="M851" s="83">
        <f>1170+309+1336</f>
        <v>2815</v>
      </c>
      <c r="N851" s="110">
        <f>M851-F851</f>
        <v>88</v>
      </c>
      <c r="O851" s="110" t="s">
        <v>100</v>
      </c>
      <c r="P851" s="83"/>
      <c r="Q851" s="83">
        <f>1336+1479</f>
        <v>2815</v>
      </c>
      <c r="R851" s="83"/>
      <c r="S851" s="83">
        <v>2807</v>
      </c>
      <c r="T851" s="110">
        <f>S851-Q851</f>
        <v>-8</v>
      </c>
      <c r="U851" s="59">
        <f t="shared" si="1200"/>
        <v>3</v>
      </c>
      <c r="V851" s="83"/>
      <c r="W851" s="83">
        <f>2804</f>
        <v>2804</v>
      </c>
      <c r="X851" s="110">
        <f>W851-M851</f>
        <v>-11</v>
      </c>
      <c r="Y851" s="110"/>
      <c r="Z851" s="110"/>
      <c r="AA851" s="110"/>
      <c r="AB851" s="83"/>
      <c r="AC851" s="106"/>
      <c r="AD851" s="106"/>
      <c r="AE851" s="100">
        <f t="shared" si="1201"/>
        <v>3.2269893656032271E-2</v>
      </c>
      <c r="AF851" s="90"/>
      <c r="AG851" s="109">
        <f t="shared" si="1202"/>
        <v>0</v>
      </c>
      <c r="AH851" s="100">
        <f t="shared" si="1203"/>
        <v>2.9336266960029337E-2</v>
      </c>
      <c r="AI851" s="100">
        <f t="shared" si="1204"/>
        <v>2.8236156949028236E-2</v>
      </c>
    </row>
    <row r="852" spans="1:35" s="86" customFormat="1" ht="18.75" customHeight="1" x14ac:dyDescent="0.3">
      <c r="A852" s="106"/>
      <c r="B852" s="106" t="s">
        <v>52</v>
      </c>
      <c r="C852" s="118">
        <v>47902</v>
      </c>
      <c r="D852" s="311"/>
      <c r="E852" s="157" t="s">
        <v>402</v>
      </c>
      <c r="F852" s="83">
        <v>3035</v>
      </c>
      <c r="G852" s="83"/>
      <c r="H852" s="83"/>
      <c r="I852" s="83"/>
      <c r="J852" s="83"/>
      <c r="K852" s="83"/>
      <c r="L852" s="83"/>
      <c r="M852" s="83">
        <f>1336+1806</f>
        <v>3142</v>
      </c>
      <c r="N852" s="110">
        <f>M852-F852</f>
        <v>107</v>
      </c>
      <c r="O852" s="110" t="s">
        <v>100</v>
      </c>
      <c r="P852" s="83"/>
      <c r="Q852" s="83">
        <f>1336+1806</f>
        <v>3142</v>
      </c>
      <c r="R852" s="83"/>
      <c r="S852" s="83">
        <f>2993+146</f>
        <v>3139</v>
      </c>
      <c r="T852" s="110">
        <f>S852-Q852</f>
        <v>-3</v>
      </c>
      <c r="U852" s="59">
        <f t="shared" si="1200"/>
        <v>7</v>
      </c>
      <c r="V852" s="83"/>
      <c r="W852" s="83">
        <v>3132</v>
      </c>
      <c r="X852" s="110">
        <f>W852-M852</f>
        <v>-10</v>
      </c>
      <c r="Y852" s="110"/>
      <c r="Z852" s="110"/>
      <c r="AA852" s="110"/>
      <c r="AB852" s="83"/>
      <c r="AC852" s="106"/>
      <c r="AD852" s="106"/>
      <c r="AE852" s="100">
        <f t="shared" si="1201"/>
        <v>3.5255354200988465E-2</v>
      </c>
      <c r="AF852" s="90"/>
      <c r="AG852" s="109">
        <f t="shared" si="1202"/>
        <v>0</v>
      </c>
      <c r="AH852" s="100">
        <f t="shared" si="1203"/>
        <v>3.4266886326194401E-2</v>
      </c>
      <c r="AI852" s="100">
        <f t="shared" si="1204"/>
        <v>3.1960461285008235E-2</v>
      </c>
    </row>
    <row r="853" spans="1:35" s="82" customFormat="1" ht="16.5" customHeight="1" x14ac:dyDescent="0.3">
      <c r="A853" s="90" t="s">
        <v>46</v>
      </c>
      <c r="B853" s="90" t="s">
        <v>52</v>
      </c>
      <c r="C853" s="137"/>
      <c r="D853" s="90"/>
      <c r="E853" s="80"/>
      <c r="F853" s="81">
        <f>SUM(F850:F852)</f>
        <v>7050</v>
      </c>
      <c r="G853" s="81"/>
      <c r="H853" s="81" t="s">
        <v>50</v>
      </c>
      <c r="I853" s="81"/>
      <c r="J853" s="81" t="s">
        <v>60</v>
      </c>
      <c r="K853" s="85" t="s">
        <v>226</v>
      </c>
      <c r="L853" s="81">
        <f>SUM(L850:L852)</f>
        <v>0</v>
      </c>
      <c r="M853" s="81">
        <f>SUM(M850:M852)</f>
        <v>7293</v>
      </c>
      <c r="N853" s="81">
        <f>SUM(N850:N852)</f>
        <v>243</v>
      </c>
      <c r="O853" s="81" t="s">
        <v>248</v>
      </c>
      <c r="P853" s="81">
        <f>SUM(P850:P852)</f>
        <v>0</v>
      </c>
      <c r="Q853" s="81">
        <f>SUM(Q850:Q852)</f>
        <v>7293</v>
      </c>
      <c r="R853" s="81">
        <f>SUM(R850:R852)</f>
        <v>0</v>
      </c>
      <c r="S853" s="81">
        <f>SUM(S850:S852)</f>
        <v>7282</v>
      </c>
      <c r="T853" s="81">
        <f>SUM(T850:T852)</f>
        <v>-11</v>
      </c>
      <c r="U853" s="59">
        <f t="shared" si="1200"/>
        <v>10</v>
      </c>
      <c r="V853" s="81">
        <f>SUM(V850:V852)</f>
        <v>0</v>
      </c>
      <c r="W853" s="81">
        <f>SUM(W850:W852)</f>
        <v>7272</v>
      </c>
      <c r="X853" s="81">
        <f>SUM(X850:X852)</f>
        <v>-21</v>
      </c>
      <c r="Y853" s="81" t="s">
        <v>47</v>
      </c>
      <c r="Z853" s="110" t="s">
        <v>45</v>
      </c>
      <c r="AA853" s="110"/>
      <c r="AB853" s="84"/>
      <c r="AC853" s="136"/>
      <c r="AD853" s="136"/>
      <c r="AE853" s="100">
        <f t="shared" si="1201"/>
        <v>3.4468085106382981E-2</v>
      </c>
      <c r="AF853" s="90"/>
      <c r="AG853" s="109">
        <f t="shared" si="1202"/>
        <v>0</v>
      </c>
      <c r="AH853" s="100">
        <f t="shared" si="1203"/>
        <v>3.2907801418439714E-2</v>
      </c>
      <c r="AI853" s="100">
        <f t="shared" si="1204"/>
        <v>3.1489361702127662E-2</v>
      </c>
    </row>
    <row r="854" spans="1:35" s="86" customFormat="1" ht="18.75" customHeight="1" x14ac:dyDescent="0.3">
      <c r="A854" s="106"/>
      <c r="B854" s="106" t="s">
        <v>52</v>
      </c>
      <c r="C854" s="118">
        <v>47914</v>
      </c>
      <c r="D854" s="310">
        <v>13265511</v>
      </c>
      <c r="E854" s="157" t="s">
        <v>157</v>
      </c>
      <c r="F854" s="83">
        <v>1056</v>
      </c>
      <c r="G854" s="83"/>
      <c r="H854" s="83"/>
      <c r="I854" s="83"/>
      <c r="J854" s="83"/>
      <c r="K854" s="83"/>
      <c r="L854" s="83"/>
      <c r="M854" s="83">
        <f>459+280+360</f>
        <v>1099</v>
      </c>
      <c r="N854" s="110">
        <f>M854-F854</f>
        <v>43</v>
      </c>
      <c r="O854" s="110" t="s">
        <v>100</v>
      </c>
      <c r="P854" s="83"/>
      <c r="Q854" s="83">
        <f>459+280+360</f>
        <v>1099</v>
      </c>
      <c r="R854" s="83"/>
      <c r="S854" s="83">
        <v>1099</v>
      </c>
      <c r="T854" s="110">
        <f>S854-Q854</f>
        <v>0</v>
      </c>
      <c r="U854" s="59">
        <f t="shared" si="1188"/>
        <v>0</v>
      </c>
      <c r="V854" s="83"/>
      <c r="W854" s="83">
        <v>1099</v>
      </c>
      <c r="X854" s="110">
        <f>W854-M854</f>
        <v>0</v>
      </c>
      <c r="Y854" s="110"/>
      <c r="Z854" s="110"/>
      <c r="AA854" s="110"/>
      <c r="AB854" s="83"/>
      <c r="AC854" s="106"/>
      <c r="AD854" s="106"/>
      <c r="AE854" s="100">
        <f t="shared" si="1189"/>
        <v>4.0719696969696968E-2</v>
      </c>
      <c r="AF854" s="90"/>
      <c r="AG854" s="109">
        <f t="shared" si="1190"/>
        <v>0</v>
      </c>
      <c r="AH854" s="100">
        <f t="shared" si="1191"/>
        <v>4.0719696969696968E-2</v>
      </c>
      <c r="AI854" s="100">
        <f t="shared" si="1192"/>
        <v>4.0719696969696968E-2</v>
      </c>
    </row>
    <row r="855" spans="1:35" s="86" customFormat="1" ht="18.75" customHeight="1" x14ac:dyDescent="0.3">
      <c r="A855" s="106"/>
      <c r="B855" s="106" t="s">
        <v>52</v>
      </c>
      <c r="C855" s="118">
        <v>47914</v>
      </c>
      <c r="D855" s="311"/>
      <c r="E855" s="157" t="s">
        <v>202</v>
      </c>
      <c r="F855" s="83">
        <v>2100</v>
      </c>
      <c r="G855" s="83"/>
      <c r="H855" s="83"/>
      <c r="I855" s="83"/>
      <c r="J855" s="83"/>
      <c r="K855" s="83"/>
      <c r="L855" s="83"/>
      <c r="M855" s="83">
        <f>650+1149+380</f>
        <v>2179</v>
      </c>
      <c r="N855" s="110">
        <f>M855-F855</f>
        <v>79</v>
      </c>
      <c r="O855" s="110" t="s">
        <v>100</v>
      </c>
      <c r="P855" s="83"/>
      <c r="Q855" s="83">
        <f>1723+453</f>
        <v>2176</v>
      </c>
      <c r="R855" s="83"/>
      <c r="S855" s="83">
        <v>2169</v>
      </c>
      <c r="T855" s="110">
        <f>S855-Q855</f>
        <v>-7</v>
      </c>
      <c r="U855" s="59">
        <f t="shared" si="1188"/>
        <v>8</v>
      </c>
      <c r="V855" s="83"/>
      <c r="W855" s="83">
        <f>1293+868</f>
        <v>2161</v>
      </c>
      <c r="X855" s="110">
        <f>W855-M855</f>
        <v>-18</v>
      </c>
      <c r="Y855" s="110"/>
      <c r="Z855" s="110"/>
      <c r="AA855" s="110"/>
      <c r="AB855" s="83"/>
      <c r="AC855" s="106"/>
      <c r="AD855" s="106"/>
      <c r="AE855" s="100">
        <f t="shared" si="1189"/>
        <v>3.7619047619047621E-2</v>
      </c>
      <c r="AF855" s="90"/>
      <c r="AG855" s="109">
        <f t="shared" si="1190"/>
        <v>0</v>
      </c>
      <c r="AH855" s="100">
        <f t="shared" si="1191"/>
        <v>3.2857142857142856E-2</v>
      </c>
      <c r="AI855" s="100">
        <f t="shared" si="1192"/>
        <v>2.9047619047619048E-2</v>
      </c>
    </row>
    <row r="856" spans="1:35" s="86" customFormat="1" ht="18.75" customHeight="1" x14ac:dyDescent="0.3">
      <c r="A856" s="106"/>
      <c r="B856" s="106" t="s">
        <v>52</v>
      </c>
      <c r="C856" s="118">
        <v>47914</v>
      </c>
      <c r="D856" s="311"/>
      <c r="E856" s="157" t="s">
        <v>171</v>
      </c>
      <c r="F856" s="83">
        <v>1968</v>
      </c>
      <c r="G856" s="83"/>
      <c r="H856" s="83"/>
      <c r="I856" s="83"/>
      <c r="J856" s="83"/>
      <c r="K856" s="83"/>
      <c r="L856" s="83"/>
      <c r="M856" s="83">
        <f>213+153+1678</f>
        <v>2044</v>
      </c>
      <c r="N856" s="110">
        <f>M856-F856</f>
        <v>76</v>
      </c>
      <c r="O856" s="110" t="s">
        <v>100</v>
      </c>
      <c r="P856" s="83"/>
      <c r="Q856" s="83">
        <f>728+650+213+453</f>
        <v>2044</v>
      </c>
      <c r="R856" s="83"/>
      <c r="S856" s="83">
        <f>1578+453</f>
        <v>2031</v>
      </c>
      <c r="T856" s="110">
        <f>S856-Q856</f>
        <v>-13</v>
      </c>
      <c r="U856" s="59">
        <f t="shared" si="1188"/>
        <v>0</v>
      </c>
      <c r="V856" s="83"/>
      <c r="W856" s="83">
        <f>2031</f>
        <v>2031</v>
      </c>
      <c r="X856" s="110">
        <f>W856-M856</f>
        <v>-13</v>
      </c>
      <c r="Y856" s="110"/>
      <c r="Z856" s="110"/>
      <c r="AA856" s="110"/>
      <c r="AB856" s="83"/>
      <c r="AC856" s="106"/>
      <c r="AD856" s="106"/>
      <c r="AE856" s="100">
        <f t="shared" si="1189"/>
        <v>3.8617886178861791E-2</v>
      </c>
      <c r="AF856" s="90"/>
      <c r="AG856" s="109">
        <f t="shared" si="1190"/>
        <v>0</v>
      </c>
      <c r="AH856" s="100">
        <f t="shared" si="1191"/>
        <v>3.201219512195122E-2</v>
      </c>
      <c r="AI856" s="100">
        <f t="shared" si="1192"/>
        <v>3.201219512195122E-2</v>
      </c>
    </row>
    <row r="857" spans="1:35" s="82" customFormat="1" ht="16.5" customHeight="1" x14ac:dyDescent="0.3">
      <c r="A857" s="90" t="s">
        <v>46</v>
      </c>
      <c r="B857" s="90" t="s">
        <v>52</v>
      </c>
      <c r="C857" s="137"/>
      <c r="D857" s="90"/>
      <c r="E857" s="80"/>
      <c r="F857" s="81">
        <f>SUM(F854:F856)</f>
        <v>5124</v>
      </c>
      <c r="G857" s="81"/>
      <c r="H857" s="81" t="s">
        <v>50</v>
      </c>
      <c r="I857" s="81"/>
      <c r="J857" s="81" t="s">
        <v>60</v>
      </c>
      <c r="K857" s="85" t="s">
        <v>401</v>
      </c>
      <c r="L857" s="81">
        <f>SUM(L854:L856)</f>
        <v>0</v>
      </c>
      <c r="M857" s="81">
        <f>SUM(M854:M856)</f>
        <v>5322</v>
      </c>
      <c r="N857" s="81">
        <f>SUM(N854:N856)</f>
        <v>198</v>
      </c>
      <c r="O857" s="81" t="s">
        <v>540</v>
      </c>
      <c r="P857" s="81">
        <f>SUM(P854:P856)</f>
        <v>0</v>
      </c>
      <c r="Q857" s="81">
        <f>SUM(Q854:Q856)</f>
        <v>5319</v>
      </c>
      <c r="R857" s="81">
        <f>SUM(R854:R856)</f>
        <v>0</v>
      </c>
      <c r="S857" s="81">
        <f>SUM(S854:S856)</f>
        <v>5299</v>
      </c>
      <c r="T857" s="81">
        <f>SUM(T854:T856)</f>
        <v>-20</v>
      </c>
      <c r="U857" s="59">
        <f t="shared" si="1188"/>
        <v>8</v>
      </c>
      <c r="V857" s="81">
        <f>SUM(V854:V856)</f>
        <v>0</v>
      </c>
      <c r="W857" s="81">
        <f>SUM(W854:W856)</f>
        <v>5291</v>
      </c>
      <c r="X857" s="81">
        <f>SUM(X854:X856)</f>
        <v>-31</v>
      </c>
      <c r="Y857" s="81" t="s">
        <v>47</v>
      </c>
      <c r="Z857" s="110" t="s">
        <v>45</v>
      </c>
      <c r="AA857" s="110"/>
      <c r="AB857" s="84"/>
      <c r="AC857" s="136"/>
      <c r="AD857" s="136"/>
      <c r="AE857" s="100">
        <f t="shared" si="1189"/>
        <v>3.864168618266979E-2</v>
      </c>
      <c r="AF857" s="90"/>
      <c r="AG857" s="109">
        <f t="shared" si="1190"/>
        <v>0</v>
      </c>
      <c r="AH857" s="100">
        <f t="shared" si="1191"/>
        <v>3.4153005464480878E-2</v>
      </c>
      <c r="AI857" s="100">
        <f t="shared" si="1192"/>
        <v>3.2591725214676036E-2</v>
      </c>
    </row>
    <row r="858" spans="1:35" s="86" customFormat="1" ht="18.75" customHeight="1" x14ac:dyDescent="0.3">
      <c r="A858" s="106"/>
      <c r="B858" s="106" t="s">
        <v>52</v>
      </c>
      <c r="C858" s="118">
        <v>47915</v>
      </c>
      <c r="D858" s="310">
        <v>13238448</v>
      </c>
      <c r="E858" s="157" t="s">
        <v>157</v>
      </c>
      <c r="F858" s="83">
        <v>794</v>
      </c>
      <c r="G858" s="83"/>
      <c r="H858" s="83"/>
      <c r="I858" s="83"/>
      <c r="J858" s="83"/>
      <c r="K858" s="83"/>
      <c r="L858" s="83"/>
      <c r="M858" s="83">
        <f>343+483</f>
        <v>826</v>
      </c>
      <c r="N858" s="110">
        <f>M858-F858</f>
        <v>32</v>
      </c>
      <c r="O858" s="110" t="s">
        <v>100</v>
      </c>
      <c r="P858" s="83"/>
      <c r="Q858" s="83">
        <f>483+343</f>
        <v>826</v>
      </c>
      <c r="R858" s="83">
        <v>824</v>
      </c>
      <c r="S858" s="83">
        <v>824</v>
      </c>
      <c r="T858" s="110">
        <f>S858-Q858</f>
        <v>-2</v>
      </c>
      <c r="U858" s="59">
        <f t="shared" si="1188"/>
        <v>824</v>
      </c>
      <c r="V858" s="83"/>
      <c r="W858" s="83"/>
      <c r="X858" s="110">
        <f>W858-M858</f>
        <v>-826</v>
      </c>
      <c r="Y858" s="110"/>
      <c r="Z858" s="110"/>
      <c r="AA858" s="110"/>
      <c r="AB858" s="83"/>
      <c r="AC858" s="106"/>
      <c r="AD858" s="106"/>
      <c r="AE858" s="100">
        <f t="shared" si="1189"/>
        <v>4.0302267002518891E-2</v>
      </c>
      <c r="AF858" s="90"/>
      <c r="AG858" s="109">
        <f t="shared" si="1190"/>
        <v>0</v>
      </c>
      <c r="AH858" s="100">
        <f t="shared" si="1191"/>
        <v>3.7783375314861464E-2</v>
      </c>
      <c r="AI858" s="100">
        <f t="shared" si="1192"/>
        <v>-1</v>
      </c>
    </row>
    <row r="859" spans="1:35" s="86" customFormat="1" ht="18.75" customHeight="1" x14ac:dyDescent="0.3">
      <c r="A859" s="106"/>
      <c r="B859" s="106" t="s">
        <v>52</v>
      </c>
      <c r="C859" s="118">
        <v>47915</v>
      </c>
      <c r="D859" s="311"/>
      <c r="E859" s="157" t="s">
        <v>202</v>
      </c>
      <c r="F859" s="83">
        <v>1120</v>
      </c>
      <c r="G859" s="83"/>
      <c r="H859" s="83"/>
      <c r="I859" s="83"/>
      <c r="J859" s="83"/>
      <c r="K859" s="83"/>
      <c r="L859" s="83"/>
      <c r="M859" s="83">
        <f>477+432+247</f>
        <v>1156</v>
      </c>
      <c r="N859" s="110">
        <f>M859-F859</f>
        <v>36</v>
      </c>
      <c r="O859" s="110" t="s">
        <v>100</v>
      </c>
      <c r="P859" s="83"/>
      <c r="Q859" s="83">
        <v>1156</v>
      </c>
      <c r="R859" s="83">
        <v>1156</v>
      </c>
      <c r="S859" s="83">
        <v>1156</v>
      </c>
      <c r="T859" s="110">
        <f>S859-Q859</f>
        <v>0</v>
      </c>
      <c r="U859" s="59">
        <f t="shared" si="1188"/>
        <v>1156</v>
      </c>
      <c r="V859" s="83"/>
      <c r="W859" s="83"/>
      <c r="X859" s="110">
        <f>W859-M859</f>
        <v>-1156</v>
      </c>
      <c r="Y859" s="110"/>
      <c r="Z859" s="110"/>
      <c r="AA859" s="110"/>
      <c r="AB859" s="83"/>
      <c r="AC859" s="106"/>
      <c r="AD859" s="106"/>
      <c r="AE859" s="100">
        <f t="shared" si="1189"/>
        <v>3.214285714285714E-2</v>
      </c>
      <c r="AF859" s="90"/>
      <c r="AG859" s="109">
        <f t="shared" si="1190"/>
        <v>0</v>
      </c>
      <c r="AH859" s="100">
        <f t="shared" si="1191"/>
        <v>3.214285714285714E-2</v>
      </c>
      <c r="AI859" s="100">
        <f t="shared" si="1192"/>
        <v>-1</v>
      </c>
    </row>
    <row r="860" spans="1:35" s="86" customFormat="1" ht="18.75" customHeight="1" x14ac:dyDescent="0.3">
      <c r="A860" s="106"/>
      <c r="B860" s="106" t="s">
        <v>52</v>
      </c>
      <c r="C860" s="118">
        <v>47915</v>
      </c>
      <c r="D860" s="311"/>
      <c r="E860" s="157" t="s">
        <v>171</v>
      </c>
      <c r="F860" s="83">
        <v>799</v>
      </c>
      <c r="G860" s="83"/>
      <c r="H860" s="83"/>
      <c r="I860" s="83"/>
      <c r="J860" s="83"/>
      <c r="K860" s="83"/>
      <c r="L860" s="83">
        <v>24</v>
      </c>
      <c r="M860" s="83">
        <f>368+439+24</f>
        <v>831</v>
      </c>
      <c r="N860" s="110">
        <f>M860-F860</f>
        <v>32</v>
      </c>
      <c r="O860" s="110" t="s">
        <v>100</v>
      </c>
      <c r="P860" s="83"/>
      <c r="Q860" s="83">
        <f>807+24</f>
        <v>831</v>
      </c>
      <c r="R860" s="83">
        <v>804</v>
      </c>
      <c r="S860" s="83">
        <f>804</f>
        <v>804</v>
      </c>
      <c r="T860" s="110">
        <f>S860-Q860</f>
        <v>-27</v>
      </c>
      <c r="U860" s="59">
        <f t="shared" si="1188"/>
        <v>804</v>
      </c>
      <c r="V860" s="83"/>
      <c r="W860" s="83"/>
      <c r="X860" s="110">
        <f>W860-M860</f>
        <v>-831</v>
      </c>
      <c r="Y860" s="110"/>
      <c r="Z860" s="110"/>
      <c r="AA860" s="110"/>
      <c r="AB860" s="83"/>
      <c r="AC860" s="106"/>
      <c r="AD860" s="106"/>
      <c r="AE860" s="100">
        <f t="shared" si="1189"/>
        <v>4.005006257822278E-2</v>
      </c>
      <c r="AF860" s="90"/>
      <c r="AG860" s="109">
        <f t="shared" si="1190"/>
        <v>0</v>
      </c>
      <c r="AH860" s="100">
        <f t="shared" si="1191"/>
        <v>6.2578222778473091E-3</v>
      </c>
      <c r="AI860" s="100">
        <f t="shared" si="1192"/>
        <v>-1</v>
      </c>
    </row>
    <row r="861" spans="1:35" s="82" customFormat="1" ht="16.5" customHeight="1" x14ac:dyDescent="0.3">
      <c r="A861" s="90" t="s">
        <v>46</v>
      </c>
      <c r="B861" s="90" t="s">
        <v>52</v>
      </c>
      <c r="C861" s="137"/>
      <c r="D861" s="90"/>
      <c r="E861" s="80"/>
      <c r="F861" s="81">
        <f>SUM(F858:F860)</f>
        <v>2713</v>
      </c>
      <c r="G861" s="81"/>
      <c r="H861" s="81" t="s">
        <v>50</v>
      </c>
      <c r="I861" s="81"/>
      <c r="J861" s="81" t="s">
        <v>60</v>
      </c>
      <c r="K861" s="85" t="s">
        <v>401</v>
      </c>
      <c r="L861" s="81">
        <f>SUM(L858:L860)</f>
        <v>24</v>
      </c>
      <c r="M861" s="81">
        <f>SUM(M858:M860)</f>
        <v>2813</v>
      </c>
      <c r="N861" s="81">
        <f>SUM(N858:N860)</f>
        <v>100</v>
      </c>
      <c r="O861" s="81" t="s">
        <v>290</v>
      </c>
      <c r="P861" s="81">
        <f>SUM(P858:P860)</f>
        <v>0</v>
      </c>
      <c r="Q861" s="81">
        <f>SUM(Q858:Q860)</f>
        <v>2813</v>
      </c>
      <c r="R861" s="81">
        <f>SUM(R858:R860)</f>
        <v>2784</v>
      </c>
      <c r="S861" s="81">
        <f>SUM(S858:S860)</f>
        <v>2784</v>
      </c>
      <c r="T861" s="81">
        <f>SUM(T858:T860)</f>
        <v>-29</v>
      </c>
      <c r="U861" s="59">
        <f t="shared" si="1188"/>
        <v>2784</v>
      </c>
      <c r="V861" s="81">
        <f>SUM(V858:V860)</f>
        <v>0</v>
      </c>
      <c r="W861" s="81">
        <f>SUM(W858:W860)</f>
        <v>0</v>
      </c>
      <c r="X861" s="81">
        <f>SUM(X858:X860)</f>
        <v>-2813</v>
      </c>
      <c r="Y861" s="81" t="s">
        <v>47</v>
      </c>
      <c r="Z861" s="110" t="s">
        <v>45</v>
      </c>
      <c r="AA861" s="110"/>
      <c r="AB861" s="84"/>
      <c r="AC861" s="136"/>
      <c r="AD861" s="136"/>
      <c r="AE861" s="100">
        <f t="shared" si="1189"/>
        <v>3.6859565057132324E-2</v>
      </c>
      <c r="AF861" s="90"/>
      <c r="AG861" s="109">
        <f t="shared" si="1190"/>
        <v>0</v>
      </c>
      <c r="AH861" s="100">
        <f t="shared" si="1191"/>
        <v>2.6170291190563952E-2</v>
      </c>
      <c r="AI861" s="100">
        <f t="shared" si="1192"/>
        <v>-1</v>
      </c>
    </row>
    <row r="862" spans="1:35" s="86" customFormat="1" ht="18.75" customHeight="1" x14ac:dyDescent="0.3">
      <c r="A862" s="106"/>
      <c r="B862" s="106" t="s">
        <v>52</v>
      </c>
      <c r="C862" s="118">
        <v>47916</v>
      </c>
      <c r="D862" s="310">
        <v>13266539</v>
      </c>
      <c r="E862" s="157" t="s">
        <v>157</v>
      </c>
      <c r="F862" s="83">
        <v>813</v>
      </c>
      <c r="G862" s="83"/>
      <c r="H862" s="83"/>
      <c r="I862" s="83"/>
      <c r="J862" s="83"/>
      <c r="K862" s="83"/>
      <c r="L862" s="83"/>
      <c r="M862" s="83">
        <f>845</f>
        <v>845</v>
      </c>
      <c r="N862" s="110">
        <f>M862-F862</f>
        <v>32</v>
      </c>
      <c r="O862" s="110" t="s">
        <v>100</v>
      </c>
      <c r="P862" s="83"/>
      <c r="Q862" s="83">
        <f>845</f>
        <v>845</v>
      </c>
      <c r="R862" s="83"/>
      <c r="S862" s="83">
        <v>845</v>
      </c>
      <c r="T862" s="110">
        <f>S862-Q862</f>
        <v>0</v>
      </c>
      <c r="U862" s="59">
        <f t="shared" ref="U862:U868" si="1205">IF(Q862&gt;0,S862-W862,M862-W862)</f>
        <v>4</v>
      </c>
      <c r="V862" s="83"/>
      <c r="W862" s="83">
        <f>841</f>
        <v>841</v>
      </c>
      <c r="X862" s="110">
        <f>W862-M862</f>
        <v>-4</v>
      </c>
      <c r="Y862" s="110"/>
      <c r="Z862" s="110"/>
      <c r="AA862" s="110"/>
      <c r="AB862" s="83"/>
      <c r="AC862" s="106"/>
      <c r="AD862" s="106"/>
      <c r="AE862" s="100">
        <f t="shared" ref="AE862:AE868" si="1206">N862/F862</f>
        <v>3.9360393603936041E-2</v>
      </c>
      <c r="AF862" s="90"/>
      <c r="AG862" s="109">
        <f t="shared" ref="AG862:AG868" si="1207">IF(N862&lt;0,N862,0)</f>
        <v>0</v>
      </c>
      <c r="AH862" s="100">
        <f t="shared" ref="AH862:AH868" si="1208">(S862-F862)/F862</f>
        <v>3.9360393603936041E-2</v>
      </c>
      <c r="AI862" s="100">
        <f t="shared" ref="AI862:AI868" si="1209">(W862-F862)/F862</f>
        <v>3.4440344403444033E-2</v>
      </c>
    </row>
    <row r="863" spans="1:35" s="86" customFormat="1" ht="18.75" customHeight="1" x14ac:dyDescent="0.3">
      <c r="A863" s="106"/>
      <c r="B863" s="106" t="s">
        <v>52</v>
      </c>
      <c r="C863" s="118">
        <v>47916</v>
      </c>
      <c r="D863" s="311"/>
      <c r="E863" s="157" t="s">
        <v>202</v>
      </c>
      <c r="F863" s="83">
        <v>1023</v>
      </c>
      <c r="G863" s="83"/>
      <c r="H863" s="83"/>
      <c r="I863" s="83"/>
      <c r="J863" s="83"/>
      <c r="K863" s="83"/>
      <c r="L863" s="83"/>
      <c r="M863" s="83">
        <f>793+272</f>
        <v>1065</v>
      </c>
      <c r="N863" s="110">
        <f>M863-F863</f>
        <v>42</v>
      </c>
      <c r="O863" s="110" t="s">
        <v>100</v>
      </c>
      <c r="P863" s="83"/>
      <c r="Q863" s="83">
        <v>1065</v>
      </c>
      <c r="R863" s="83"/>
      <c r="S863" s="83">
        <v>1051</v>
      </c>
      <c r="T863" s="110">
        <f>S863-Q863</f>
        <v>-14</v>
      </c>
      <c r="U863" s="59">
        <f t="shared" ref="U863" si="1210">IF(Q863&gt;0,S863-W863,M863-W863)</f>
        <v>2</v>
      </c>
      <c r="V863" s="83"/>
      <c r="W863" s="83">
        <v>1049</v>
      </c>
      <c r="X863" s="110">
        <f>W863-M863</f>
        <v>-16</v>
      </c>
      <c r="Y863" s="110"/>
      <c r="Z863" s="110"/>
      <c r="AA863" s="110"/>
      <c r="AB863" s="83"/>
      <c r="AC863" s="106"/>
      <c r="AD863" s="106"/>
      <c r="AE863" s="100">
        <f t="shared" ref="AE863" si="1211">N863/F863</f>
        <v>4.1055718475073312E-2</v>
      </c>
      <c r="AF863" s="90"/>
      <c r="AG863" s="109">
        <f t="shared" ref="AG863" si="1212">IF(N863&lt;0,N863,0)</f>
        <v>0</v>
      </c>
      <c r="AH863" s="100">
        <f t="shared" ref="AH863" si="1213">(S863-F863)/F863</f>
        <v>2.7370478983382209E-2</v>
      </c>
      <c r="AI863" s="100">
        <f t="shared" ref="AI863" si="1214">(W863-F863)/F863</f>
        <v>2.5415444770283482E-2</v>
      </c>
    </row>
    <row r="864" spans="1:35" s="86" customFormat="1" ht="18.75" customHeight="1" x14ac:dyDescent="0.3">
      <c r="A864" s="106"/>
      <c r="B864" s="106" t="s">
        <v>52</v>
      </c>
      <c r="C864" s="118">
        <v>47916</v>
      </c>
      <c r="D864" s="311"/>
      <c r="E864" s="157" t="s">
        <v>171</v>
      </c>
      <c r="F864" s="83">
        <v>834</v>
      </c>
      <c r="G864" s="83"/>
      <c r="H864" s="83"/>
      <c r="I864" s="83"/>
      <c r="J864" s="83"/>
      <c r="K864" s="83"/>
      <c r="L864" s="83"/>
      <c r="M864" s="83">
        <v>864</v>
      </c>
      <c r="N864" s="110">
        <f>M864-F864</f>
        <v>30</v>
      </c>
      <c r="O864" s="110" t="s">
        <v>100</v>
      </c>
      <c r="P864" s="83"/>
      <c r="Q864" s="83">
        <f>864</f>
        <v>864</v>
      </c>
      <c r="R864" s="83"/>
      <c r="S864" s="83">
        <v>854</v>
      </c>
      <c r="T864" s="110">
        <f>S864-Q864</f>
        <v>-10</v>
      </c>
      <c r="U864" s="59">
        <f t="shared" si="1205"/>
        <v>2</v>
      </c>
      <c r="V864" s="83"/>
      <c r="W864" s="83">
        <v>852</v>
      </c>
      <c r="X864" s="110">
        <f>W864-M864</f>
        <v>-12</v>
      </c>
      <c r="Y864" s="110"/>
      <c r="Z864" s="110"/>
      <c r="AA864" s="110"/>
      <c r="AB864" s="83"/>
      <c r="AC864" s="106"/>
      <c r="AD864" s="106"/>
      <c r="AE864" s="100">
        <f t="shared" si="1206"/>
        <v>3.5971223021582732E-2</v>
      </c>
      <c r="AF864" s="90"/>
      <c r="AG864" s="109">
        <f t="shared" si="1207"/>
        <v>0</v>
      </c>
      <c r="AH864" s="100">
        <f t="shared" si="1208"/>
        <v>2.3980815347721823E-2</v>
      </c>
      <c r="AI864" s="100">
        <f t="shared" si="1209"/>
        <v>2.1582733812949641E-2</v>
      </c>
    </row>
    <row r="865" spans="1:35" s="82" customFormat="1" ht="16.5" customHeight="1" x14ac:dyDescent="0.3">
      <c r="A865" s="90" t="s">
        <v>46</v>
      </c>
      <c r="B865" s="90" t="s">
        <v>52</v>
      </c>
      <c r="C865" s="137"/>
      <c r="D865" s="90"/>
      <c r="E865" s="80"/>
      <c r="F865" s="81">
        <f>SUM(F862:F864)</f>
        <v>2670</v>
      </c>
      <c r="G865" s="81"/>
      <c r="H865" s="81" t="s">
        <v>50</v>
      </c>
      <c r="I865" s="81"/>
      <c r="J865" s="81" t="s">
        <v>60</v>
      </c>
      <c r="K865" s="85" t="s">
        <v>401</v>
      </c>
      <c r="L865" s="81">
        <f>SUM(L862:L864)</f>
        <v>0</v>
      </c>
      <c r="M865" s="81">
        <f>SUM(M862:M864)</f>
        <v>2774</v>
      </c>
      <c r="N865" s="81">
        <f>SUM(N862:N864)</f>
        <v>104</v>
      </c>
      <c r="O865" s="81" t="s">
        <v>540</v>
      </c>
      <c r="P865" s="81">
        <f>SUM(P862:P864)</f>
        <v>0</v>
      </c>
      <c r="Q865" s="81">
        <f>SUM(Q862:Q864)</f>
        <v>2774</v>
      </c>
      <c r="R865" s="81">
        <f>SUM(R862:R864)</f>
        <v>0</v>
      </c>
      <c r="S865" s="81">
        <f>SUM(S862:S864)</f>
        <v>2750</v>
      </c>
      <c r="T865" s="81">
        <f>SUM(T862:T864)</f>
        <v>-24</v>
      </c>
      <c r="U865" s="59">
        <f t="shared" si="1205"/>
        <v>8</v>
      </c>
      <c r="V865" s="81">
        <f>SUM(V862:V864)</f>
        <v>0</v>
      </c>
      <c r="W865" s="81">
        <f>SUM(W862:W864)</f>
        <v>2742</v>
      </c>
      <c r="X865" s="81">
        <f>SUM(X862:X864)</f>
        <v>-32</v>
      </c>
      <c r="Y865" s="81" t="s">
        <v>47</v>
      </c>
      <c r="Z865" s="110" t="s">
        <v>45</v>
      </c>
      <c r="AA865" s="110"/>
      <c r="AB865" s="84"/>
      <c r="AC865" s="136"/>
      <c r="AD865" s="136"/>
      <c r="AE865" s="100">
        <f t="shared" si="1206"/>
        <v>3.895131086142322E-2</v>
      </c>
      <c r="AF865" s="90"/>
      <c r="AG865" s="109">
        <f t="shared" si="1207"/>
        <v>0</v>
      </c>
      <c r="AH865" s="100">
        <f t="shared" si="1208"/>
        <v>2.9962546816479401E-2</v>
      </c>
      <c r="AI865" s="100">
        <f t="shared" si="1209"/>
        <v>2.6966292134831461E-2</v>
      </c>
    </row>
    <row r="866" spans="1:35" s="86" customFormat="1" ht="18.75" customHeight="1" x14ac:dyDescent="0.3">
      <c r="A866" s="106"/>
      <c r="B866" s="106" t="s">
        <v>52</v>
      </c>
      <c r="C866" s="118">
        <v>47918</v>
      </c>
      <c r="D866" s="310" t="s">
        <v>492</v>
      </c>
      <c r="E866" s="157" t="s">
        <v>202</v>
      </c>
      <c r="F866" s="83">
        <v>2052</v>
      </c>
      <c r="G866" s="83"/>
      <c r="H866" s="83"/>
      <c r="I866" s="83"/>
      <c r="J866" s="83"/>
      <c r="K866" s="83"/>
      <c r="L866" s="83"/>
      <c r="M866" s="83">
        <f>1318+816</f>
        <v>2134</v>
      </c>
      <c r="N866" s="110">
        <f>M866-F866</f>
        <v>82</v>
      </c>
      <c r="O866" s="110" t="s">
        <v>100</v>
      </c>
      <c r="P866" s="83"/>
      <c r="Q866" s="83">
        <v>2128</v>
      </c>
      <c r="R866" s="83"/>
      <c r="S866" s="83">
        <f>1492+622</f>
        <v>2114</v>
      </c>
      <c r="T866" s="110">
        <f>S866-Q866</f>
        <v>-14</v>
      </c>
      <c r="U866" s="59">
        <f t="shared" si="1205"/>
        <v>0</v>
      </c>
      <c r="V866" s="83"/>
      <c r="W866" s="83">
        <f>1308+806</f>
        <v>2114</v>
      </c>
      <c r="X866" s="110">
        <f>W866-M866</f>
        <v>-20</v>
      </c>
      <c r="Y866" s="110"/>
      <c r="Z866" s="110"/>
      <c r="AA866" s="110"/>
      <c r="AB866" s="83"/>
      <c r="AC866" s="106"/>
      <c r="AD866" s="106"/>
      <c r="AE866" s="100">
        <f t="shared" si="1206"/>
        <v>3.9961013645224169E-2</v>
      </c>
      <c r="AF866" s="90"/>
      <c r="AG866" s="109">
        <f t="shared" si="1207"/>
        <v>0</v>
      </c>
      <c r="AH866" s="100">
        <f t="shared" si="1208"/>
        <v>3.0214424951267055E-2</v>
      </c>
      <c r="AI866" s="100">
        <f t="shared" si="1209"/>
        <v>3.0214424951267055E-2</v>
      </c>
    </row>
    <row r="867" spans="1:35" s="86" customFormat="1" ht="18.75" customHeight="1" x14ac:dyDescent="0.3">
      <c r="A867" s="106"/>
      <c r="B867" s="106" t="s">
        <v>52</v>
      </c>
      <c r="C867" s="118">
        <v>47918</v>
      </c>
      <c r="D867" s="311"/>
      <c r="E867" s="157" t="s">
        <v>402</v>
      </c>
      <c r="F867" s="83">
        <v>1977</v>
      </c>
      <c r="G867" s="83"/>
      <c r="H867" s="83"/>
      <c r="I867" s="83"/>
      <c r="J867" s="83"/>
      <c r="K867" s="83"/>
      <c r="L867" s="83"/>
      <c r="M867" s="83">
        <f>960+1091+15</f>
        <v>2066</v>
      </c>
      <c r="N867" s="110">
        <f>M867-F867</f>
        <v>89</v>
      </c>
      <c r="O867" s="110" t="s">
        <v>100</v>
      </c>
      <c r="P867" s="83"/>
      <c r="Q867" s="83">
        <f>2051+15</f>
        <v>2066</v>
      </c>
      <c r="R867" s="83"/>
      <c r="S867" s="83">
        <f>2048+15</f>
        <v>2063</v>
      </c>
      <c r="T867" s="110">
        <f>S867-Q867</f>
        <v>-3</v>
      </c>
      <c r="U867" s="59">
        <f t="shared" si="1205"/>
        <v>15</v>
      </c>
      <c r="V867" s="83"/>
      <c r="W867" s="83">
        <v>2048</v>
      </c>
      <c r="X867" s="110">
        <f>W867-M867</f>
        <v>-18</v>
      </c>
      <c r="Y867" s="110"/>
      <c r="Z867" s="110"/>
      <c r="AA867" s="110"/>
      <c r="AB867" s="83"/>
      <c r="AC867" s="106"/>
      <c r="AD867" s="106"/>
      <c r="AE867" s="100">
        <f t="shared" si="1206"/>
        <v>4.5017703591299953E-2</v>
      </c>
      <c r="AF867" s="90"/>
      <c r="AG867" s="109">
        <f t="shared" si="1207"/>
        <v>0</v>
      </c>
      <c r="AH867" s="100">
        <f t="shared" si="1208"/>
        <v>4.350025290844714E-2</v>
      </c>
      <c r="AI867" s="100">
        <f t="shared" si="1209"/>
        <v>3.5912999494183105E-2</v>
      </c>
    </row>
    <row r="868" spans="1:35" s="82" customFormat="1" ht="16.5" customHeight="1" x14ac:dyDescent="0.3">
      <c r="A868" s="90" t="s">
        <v>46</v>
      </c>
      <c r="B868" s="90" t="s">
        <v>52</v>
      </c>
      <c r="C868" s="137"/>
      <c r="D868" s="90"/>
      <c r="E868" s="80"/>
      <c r="F868" s="81">
        <f>SUM(F866:F867)</f>
        <v>4029</v>
      </c>
      <c r="G868" s="81"/>
      <c r="H868" s="81" t="s">
        <v>50</v>
      </c>
      <c r="I868" s="81"/>
      <c r="J868" s="81" t="s">
        <v>60</v>
      </c>
      <c r="K868" s="85" t="s">
        <v>493</v>
      </c>
      <c r="L868" s="81">
        <f>SUM(L866:L867)</f>
        <v>0</v>
      </c>
      <c r="M868" s="81">
        <f>SUM(M866:M867)</f>
        <v>4200</v>
      </c>
      <c r="N868" s="81">
        <f>SUM(N866:N867)</f>
        <v>171</v>
      </c>
      <c r="O868" s="81" t="s">
        <v>504</v>
      </c>
      <c r="P868" s="81">
        <f>SUM(P866:P867)</f>
        <v>0</v>
      </c>
      <c r="Q868" s="81">
        <f>SUM(Q866:Q867)</f>
        <v>4194</v>
      </c>
      <c r="R868" s="81">
        <f>SUM(R866:R867)</f>
        <v>0</v>
      </c>
      <c r="S868" s="81">
        <f>SUM(S866:S867)</f>
        <v>4177</v>
      </c>
      <c r="T868" s="81">
        <f>SUM(T866:T867)</f>
        <v>-17</v>
      </c>
      <c r="U868" s="59">
        <f t="shared" si="1205"/>
        <v>15</v>
      </c>
      <c r="V868" s="81">
        <f>SUM(V866:V867)</f>
        <v>0</v>
      </c>
      <c r="W868" s="81">
        <f>SUM(W866:W867)</f>
        <v>4162</v>
      </c>
      <c r="X868" s="81">
        <f>SUM(X866:X867)</f>
        <v>-38</v>
      </c>
      <c r="Y868" s="81" t="s">
        <v>47</v>
      </c>
      <c r="Z868" s="110" t="s">
        <v>45</v>
      </c>
      <c r="AA868" s="110"/>
      <c r="AB868" s="84"/>
      <c r="AC868" s="136"/>
      <c r="AD868" s="136"/>
      <c r="AE868" s="100">
        <f t="shared" si="1206"/>
        <v>4.244229337304542E-2</v>
      </c>
      <c r="AF868" s="90"/>
      <c r="AG868" s="109">
        <f t="shared" si="1207"/>
        <v>0</v>
      </c>
      <c r="AH868" s="100">
        <f t="shared" si="1208"/>
        <v>3.6733680814097794E-2</v>
      </c>
      <c r="AI868" s="100">
        <f t="shared" si="1209"/>
        <v>3.3010672623479773E-2</v>
      </c>
    </row>
    <row r="869" spans="1:35" s="86" customFormat="1" ht="18.75" customHeight="1" x14ac:dyDescent="0.3">
      <c r="A869" s="106"/>
      <c r="B869" s="106" t="s">
        <v>52</v>
      </c>
      <c r="C869" s="118">
        <v>47896</v>
      </c>
      <c r="D869" s="310" t="s">
        <v>205</v>
      </c>
      <c r="E869" s="157" t="s">
        <v>488</v>
      </c>
      <c r="F869" s="83">
        <v>1552</v>
      </c>
      <c r="G869" s="83"/>
      <c r="H869" s="83"/>
      <c r="I869" s="83"/>
      <c r="J869" s="83"/>
      <c r="K869" s="83"/>
      <c r="L869" s="83"/>
      <c r="M869" s="83">
        <f>578+1018</f>
        <v>1596</v>
      </c>
      <c r="N869" s="110">
        <f>M869-F869</f>
        <v>44</v>
      </c>
      <c r="O869" s="110" t="s">
        <v>100</v>
      </c>
      <c r="P869" s="83"/>
      <c r="Q869" s="83">
        <f>578+1018</f>
        <v>1596</v>
      </c>
      <c r="R869" s="83"/>
      <c r="S869" s="83">
        <f>1588+8</f>
        <v>1596</v>
      </c>
      <c r="T869" s="110">
        <f>S869-Q869</f>
        <v>0</v>
      </c>
      <c r="U869" s="59">
        <f t="shared" si="1188"/>
        <v>16</v>
      </c>
      <c r="V869" s="83"/>
      <c r="W869" s="83">
        <f>1572+8</f>
        <v>1580</v>
      </c>
      <c r="X869" s="110">
        <f>W869-M869</f>
        <v>-16</v>
      </c>
      <c r="Y869" s="110"/>
      <c r="Z869" s="110"/>
      <c r="AA869" s="110"/>
      <c r="AB869" s="83"/>
      <c r="AC869" s="106"/>
      <c r="AD869" s="106"/>
      <c r="AE869" s="100">
        <f t="shared" si="1189"/>
        <v>2.8350515463917526E-2</v>
      </c>
      <c r="AF869" s="90"/>
      <c r="AG869" s="109">
        <f t="shared" si="1190"/>
        <v>0</v>
      </c>
      <c r="AH869" s="100">
        <f t="shared" si="1191"/>
        <v>2.8350515463917526E-2</v>
      </c>
      <c r="AI869" s="100">
        <f t="shared" si="1192"/>
        <v>1.804123711340206E-2</v>
      </c>
    </row>
    <row r="870" spans="1:35" s="86" customFormat="1" ht="18.75" customHeight="1" x14ac:dyDescent="0.3">
      <c r="A870" s="106"/>
      <c r="B870" s="106" t="s">
        <v>52</v>
      </c>
      <c r="C870" s="118">
        <v>47896</v>
      </c>
      <c r="D870" s="311"/>
      <c r="E870" s="157" t="s">
        <v>452</v>
      </c>
      <c r="F870" s="83">
        <v>1552</v>
      </c>
      <c r="G870" s="83"/>
      <c r="H870" s="83"/>
      <c r="I870" s="83"/>
      <c r="J870" s="83"/>
      <c r="K870" s="83"/>
      <c r="L870" s="83"/>
      <c r="M870" s="83">
        <f>578+1012</f>
        <v>1590</v>
      </c>
      <c r="N870" s="110">
        <f>M870-F870</f>
        <v>38</v>
      </c>
      <c r="O870" s="110" t="s">
        <v>100</v>
      </c>
      <c r="P870" s="83"/>
      <c r="Q870" s="83">
        <v>1590</v>
      </c>
      <c r="R870" s="83"/>
      <c r="S870" s="83">
        <v>1584</v>
      </c>
      <c r="T870" s="110">
        <f>S870-Q870</f>
        <v>-6</v>
      </c>
      <c r="U870" s="59">
        <f t="shared" si="1188"/>
        <v>0</v>
      </c>
      <c r="V870" s="83"/>
      <c r="W870" s="83">
        <v>1584</v>
      </c>
      <c r="X870" s="110">
        <f>W870-M870</f>
        <v>-6</v>
      </c>
      <c r="Y870" s="110"/>
      <c r="Z870" s="110"/>
      <c r="AA870" s="110"/>
      <c r="AB870" s="83"/>
      <c r="AC870" s="106"/>
      <c r="AD870" s="106"/>
      <c r="AE870" s="100">
        <f t="shared" si="1189"/>
        <v>2.4484536082474227E-2</v>
      </c>
      <c r="AF870" s="90"/>
      <c r="AG870" s="109">
        <f t="shared" si="1190"/>
        <v>0</v>
      </c>
      <c r="AH870" s="100">
        <f t="shared" si="1191"/>
        <v>2.0618556701030927E-2</v>
      </c>
      <c r="AI870" s="100">
        <f t="shared" si="1192"/>
        <v>2.0618556701030927E-2</v>
      </c>
    </row>
    <row r="871" spans="1:35" s="82" customFormat="1" ht="16.5" customHeight="1" x14ac:dyDescent="0.3">
      <c r="A871" s="90" t="s">
        <v>46</v>
      </c>
      <c r="B871" s="90" t="s">
        <v>52</v>
      </c>
      <c r="C871" s="137"/>
      <c r="D871" s="90"/>
      <c r="E871" s="80"/>
      <c r="F871" s="81">
        <f>SUM(F869:F870)</f>
        <v>3104</v>
      </c>
      <c r="G871" s="81"/>
      <c r="H871" s="81" t="s">
        <v>50</v>
      </c>
      <c r="I871" s="81"/>
      <c r="J871" s="81" t="s">
        <v>60</v>
      </c>
      <c r="K871" s="85" t="s">
        <v>305</v>
      </c>
      <c r="L871" s="81">
        <f>SUM(L869:L870)</f>
        <v>0</v>
      </c>
      <c r="M871" s="81">
        <f>SUM(M869:M870)</f>
        <v>3186</v>
      </c>
      <c r="N871" s="81">
        <f>SUM(N869:N870)</f>
        <v>82</v>
      </c>
      <c r="O871" s="81" t="s">
        <v>248</v>
      </c>
      <c r="P871" s="81">
        <f>SUM(P869:P870)</f>
        <v>0</v>
      </c>
      <c r="Q871" s="81">
        <f>SUM(Q869:Q870)</f>
        <v>3186</v>
      </c>
      <c r="R871" s="81">
        <f>SUM(R869:R870)</f>
        <v>0</v>
      </c>
      <c r="S871" s="81">
        <f>SUM(S869:S870)</f>
        <v>3180</v>
      </c>
      <c r="T871" s="81">
        <f>SUM(T869:T870)</f>
        <v>-6</v>
      </c>
      <c r="U871" s="59">
        <f t="shared" si="1188"/>
        <v>16</v>
      </c>
      <c r="V871" s="81">
        <f>SUM(V869:V870)</f>
        <v>0</v>
      </c>
      <c r="W871" s="81">
        <f>SUM(W869:W870)</f>
        <v>3164</v>
      </c>
      <c r="X871" s="81">
        <f>SUM(X869:X870)</f>
        <v>-22</v>
      </c>
      <c r="Y871" s="81" t="s">
        <v>47</v>
      </c>
      <c r="Z871" s="110" t="s">
        <v>45</v>
      </c>
      <c r="AA871" s="110"/>
      <c r="AB871" s="84"/>
      <c r="AC871" s="136"/>
      <c r="AD871" s="136"/>
      <c r="AE871" s="100">
        <f t="shared" si="1189"/>
        <v>2.6417525773195876E-2</v>
      </c>
      <c r="AF871" s="90"/>
      <c r="AG871" s="109">
        <f t="shared" si="1190"/>
        <v>0</v>
      </c>
      <c r="AH871" s="100">
        <f t="shared" si="1191"/>
        <v>2.4484536082474227E-2</v>
      </c>
      <c r="AI871" s="100">
        <f t="shared" si="1192"/>
        <v>1.9329896907216496E-2</v>
      </c>
    </row>
    <row r="872" spans="1:35" s="86" customFormat="1" ht="18.75" customHeight="1" x14ac:dyDescent="0.3">
      <c r="A872" s="106"/>
      <c r="B872" s="106" t="s">
        <v>52</v>
      </c>
      <c r="C872" s="118">
        <v>47898</v>
      </c>
      <c r="D872" s="310" t="s">
        <v>491</v>
      </c>
      <c r="E872" s="157" t="s">
        <v>171</v>
      </c>
      <c r="F872" s="83">
        <v>1302</v>
      </c>
      <c r="G872" s="83"/>
      <c r="H872" s="83"/>
      <c r="I872" s="83"/>
      <c r="J872" s="83"/>
      <c r="K872" s="83"/>
      <c r="L872" s="83"/>
      <c r="M872" s="83">
        <v>1361</v>
      </c>
      <c r="N872" s="110">
        <f>M872-F872</f>
        <v>59</v>
      </c>
      <c r="O872" s="110" t="s">
        <v>100</v>
      </c>
      <c r="P872" s="83"/>
      <c r="Q872" s="83">
        <v>1361</v>
      </c>
      <c r="R872" s="83"/>
      <c r="S872" s="83">
        <v>1353</v>
      </c>
      <c r="T872" s="110">
        <f>S872-Q872</f>
        <v>-8</v>
      </c>
      <c r="U872" s="59">
        <f t="shared" ref="U872:U874" si="1215">IF(Q872&gt;0,S872-W872,M872-W872)</f>
        <v>1</v>
      </c>
      <c r="V872" s="83"/>
      <c r="W872" s="83">
        <f>1352</f>
        <v>1352</v>
      </c>
      <c r="X872" s="110">
        <f>W872-M872</f>
        <v>-9</v>
      </c>
      <c r="Y872" s="110"/>
      <c r="Z872" s="110"/>
      <c r="AA872" s="110"/>
      <c r="AB872" s="83"/>
      <c r="AC872" s="106"/>
      <c r="AD872" s="106"/>
      <c r="AE872" s="100">
        <f t="shared" ref="AE872:AE874" si="1216">N872/F872</f>
        <v>4.5314900153609831E-2</v>
      </c>
      <c r="AF872" s="90"/>
      <c r="AG872" s="109">
        <f t="shared" ref="AG872:AG874" si="1217">IF(N872&lt;0,N872,0)</f>
        <v>0</v>
      </c>
      <c r="AH872" s="100">
        <f t="shared" ref="AH872:AH874" si="1218">(S872-F872)/F872</f>
        <v>3.9170506912442393E-2</v>
      </c>
      <c r="AI872" s="100">
        <f t="shared" ref="AI872:AI874" si="1219">(W872-F872)/F872</f>
        <v>3.840245775729647E-2</v>
      </c>
    </row>
    <row r="873" spans="1:35" s="86" customFormat="1" ht="18.75" customHeight="1" x14ac:dyDescent="0.3">
      <c r="A873" s="106"/>
      <c r="B873" s="106" t="s">
        <v>52</v>
      </c>
      <c r="C873" s="118">
        <v>47898</v>
      </c>
      <c r="D873" s="311"/>
      <c r="E873" s="157" t="s">
        <v>364</v>
      </c>
      <c r="F873" s="83">
        <v>1302</v>
      </c>
      <c r="G873" s="83"/>
      <c r="H873" s="83"/>
      <c r="I873" s="83"/>
      <c r="J873" s="83"/>
      <c r="K873" s="83"/>
      <c r="L873" s="83"/>
      <c r="M873" s="83">
        <f>611+620+130</f>
        <v>1361</v>
      </c>
      <c r="N873" s="110">
        <f>M873-F873</f>
        <v>59</v>
      </c>
      <c r="O873" s="110" t="s">
        <v>100</v>
      </c>
      <c r="P873" s="83"/>
      <c r="Q873" s="83">
        <v>1361</v>
      </c>
      <c r="R873" s="83"/>
      <c r="S873" s="83">
        <v>1352</v>
      </c>
      <c r="T873" s="110">
        <f>S873-Q873</f>
        <v>-9</v>
      </c>
      <c r="U873" s="59">
        <f t="shared" si="1215"/>
        <v>4</v>
      </c>
      <c r="V873" s="83"/>
      <c r="W873" s="83">
        <f>1348</f>
        <v>1348</v>
      </c>
      <c r="X873" s="110">
        <f>W873-M873</f>
        <v>-13</v>
      </c>
      <c r="Y873" s="110"/>
      <c r="Z873" s="110"/>
      <c r="AA873" s="110"/>
      <c r="AB873" s="83"/>
      <c r="AC873" s="106"/>
      <c r="AD873" s="106"/>
      <c r="AE873" s="100">
        <f t="shared" si="1216"/>
        <v>4.5314900153609831E-2</v>
      </c>
      <c r="AF873" s="90"/>
      <c r="AG873" s="109">
        <f t="shared" si="1217"/>
        <v>0</v>
      </c>
      <c r="AH873" s="100">
        <f t="shared" si="1218"/>
        <v>3.840245775729647E-2</v>
      </c>
      <c r="AI873" s="100">
        <f t="shared" si="1219"/>
        <v>3.5330261136712747E-2</v>
      </c>
    </row>
    <row r="874" spans="1:35" s="82" customFormat="1" ht="16.5" customHeight="1" x14ac:dyDescent="0.3">
      <c r="A874" s="90" t="s">
        <v>46</v>
      </c>
      <c r="B874" s="90" t="s">
        <v>52</v>
      </c>
      <c r="C874" s="137"/>
      <c r="D874" s="90"/>
      <c r="E874" s="80"/>
      <c r="F874" s="81">
        <f>SUM(F872:F873)</f>
        <v>2604</v>
      </c>
      <c r="G874" s="81"/>
      <c r="H874" s="81" t="s">
        <v>50</v>
      </c>
      <c r="I874" s="81"/>
      <c r="J874" s="81" t="s">
        <v>60</v>
      </c>
      <c r="K874" s="85" t="s">
        <v>226</v>
      </c>
      <c r="L874" s="81">
        <f>SUM(L872:L873)</f>
        <v>0</v>
      </c>
      <c r="M874" s="81">
        <f>SUM(M872:M873)</f>
        <v>2722</v>
      </c>
      <c r="N874" s="81">
        <f>SUM(N872:N873)</f>
        <v>118</v>
      </c>
      <c r="O874" s="81" t="s">
        <v>248</v>
      </c>
      <c r="P874" s="81">
        <f>SUM(P872:P873)</f>
        <v>0</v>
      </c>
      <c r="Q874" s="81">
        <f>SUM(Q872:Q873)</f>
        <v>2722</v>
      </c>
      <c r="R874" s="81">
        <f>SUM(R872:R873)</f>
        <v>0</v>
      </c>
      <c r="S874" s="81">
        <f>SUM(S872:S873)</f>
        <v>2705</v>
      </c>
      <c r="T874" s="81">
        <f>SUM(T872:T873)</f>
        <v>-17</v>
      </c>
      <c r="U874" s="59">
        <f t="shared" si="1215"/>
        <v>5</v>
      </c>
      <c r="V874" s="81">
        <f>SUM(V872:V873)</f>
        <v>0</v>
      </c>
      <c r="W874" s="81">
        <f>SUM(W872:W873)</f>
        <v>2700</v>
      </c>
      <c r="X874" s="81">
        <f>SUM(X872:X873)</f>
        <v>-22</v>
      </c>
      <c r="Y874" s="81" t="s">
        <v>47</v>
      </c>
      <c r="Z874" s="110" t="s">
        <v>45</v>
      </c>
      <c r="AA874" s="110"/>
      <c r="AB874" s="84"/>
      <c r="AC874" s="136"/>
      <c r="AD874" s="136"/>
      <c r="AE874" s="100">
        <f t="shared" si="1216"/>
        <v>4.5314900153609831E-2</v>
      </c>
      <c r="AF874" s="90"/>
      <c r="AG874" s="109">
        <f t="shared" si="1217"/>
        <v>0</v>
      </c>
      <c r="AH874" s="100">
        <f t="shared" si="1218"/>
        <v>3.8786482334869435E-2</v>
      </c>
      <c r="AI874" s="100">
        <f t="shared" si="1219"/>
        <v>3.6866359447004608E-2</v>
      </c>
    </row>
    <row r="875" spans="1:35" s="86" customFormat="1" ht="18.75" customHeight="1" x14ac:dyDescent="0.3">
      <c r="A875" s="106"/>
      <c r="B875" s="106" t="s">
        <v>52</v>
      </c>
      <c r="C875" s="118">
        <v>47903</v>
      </c>
      <c r="D875" s="310">
        <v>13264519</v>
      </c>
      <c r="E875" s="157" t="s">
        <v>171</v>
      </c>
      <c r="F875" s="83">
        <v>828</v>
      </c>
      <c r="G875" s="83"/>
      <c r="H875" s="83"/>
      <c r="I875" s="83"/>
      <c r="J875" s="83"/>
      <c r="K875" s="83"/>
      <c r="L875" s="83"/>
      <c r="M875" s="83">
        <f>792+72</f>
        <v>864</v>
      </c>
      <c r="N875" s="110">
        <f>M875-F875</f>
        <v>36</v>
      </c>
      <c r="O875" s="110" t="s">
        <v>100</v>
      </c>
      <c r="P875" s="83"/>
      <c r="Q875" s="83">
        <v>864</v>
      </c>
      <c r="R875" s="83"/>
      <c r="S875" s="83">
        <v>864</v>
      </c>
      <c r="T875" s="110">
        <f>S875-Q875</f>
        <v>0</v>
      </c>
      <c r="U875" s="59">
        <f t="shared" si="1188"/>
        <v>4</v>
      </c>
      <c r="V875" s="83"/>
      <c r="W875" s="83">
        <v>860</v>
      </c>
      <c r="X875" s="110">
        <f>W875-M875</f>
        <v>-4</v>
      </c>
      <c r="Y875" s="110"/>
      <c r="Z875" s="110"/>
      <c r="AA875" s="110"/>
      <c r="AB875" s="83"/>
      <c r="AC875" s="106"/>
      <c r="AD875" s="106"/>
      <c r="AE875" s="100">
        <f t="shared" si="1189"/>
        <v>4.3478260869565216E-2</v>
      </c>
      <c r="AF875" s="90"/>
      <c r="AG875" s="109">
        <f t="shared" si="1190"/>
        <v>0</v>
      </c>
      <c r="AH875" s="100">
        <f t="shared" si="1191"/>
        <v>4.3478260869565216E-2</v>
      </c>
      <c r="AI875" s="100">
        <f t="shared" si="1192"/>
        <v>3.864734299516908E-2</v>
      </c>
    </row>
    <row r="876" spans="1:35" s="86" customFormat="1" ht="18.75" customHeight="1" x14ac:dyDescent="0.3">
      <c r="A876" s="106"/>
      <c r="B876" s="106" t="s">
        <v>52</v>
      </c>
      <c r="C876" s="118">
        <v>47903</v>
      </c>
      <c r="D876" s="311"/>
      <c r="E876" s="157" t="s">
        <v>490</v>
      </c>
      <c r="F876" s="83">
        <v>1188</v>
      </c>
      <c r="G876" s="83"/>
      <c r="H876" s="83"/>
      <c r="I876" s="83"/>
      <c r="J876" s="83"/>
      <c r="K876" s="83"/>
      <c r="L876" s="83"/>
      <c r="M876" s="83">
        <v>1238</v>
      </c>
      <c r="N876" s="110">
        <f>M876-F876</f>
        <v>50</v>
      </c>
      <c r="O876" s="110" t="s">
        <v>100</v>
      </c>
      <c r="P876" s="83"/>
      <c r="Q876" s="83">
        <v>1232</v>
      </c>
      <c r="R876" s="83"/>
      <c r="S876" s="83">
        <v>1232</v>
      </c>
      <c r="T876" s="110">
        <f>S876-Q876</f>
        <v>0</v>
      </c>
      <c r="U876" s="59">
        <f t="shared" si="1188"/>
        <v>7</v>
      </c>
      <c r="V876" s="83"/>
      <c r="W876" s="83">
        <v>1225</v>
      </c>
      <c r="X876" s="110">
        <f>W876-M876</f>
        <v>-13</v>
      </c>
      <c r="Y876" s="110"/>
      <c r="Z876" s="110"/>
      <c r="AA876" s="110"/>
      <c r="AB876" s="83"/>
      <c r="AC876" s="106"/>
      <c r="AD876" s="106"/>
      <c r="AE876" s="100">
        <f t="shared" si="1189"/>
        <v>4.208754208754209E-2</v>
      </c>
      <c r="AF876" s="90"/>
      <c r="AG876" s="109">
        <f t="shared" si="1190"/>
        <v>0</v>
      </c>
      <c r="AH876" s="100">
        <f t="shared" si="1191"/>
        <v>3.7037037037037035E-2</v>
      </c>
      <c r="AI876" s="100">
        <f t="shared" si="1192"/>
        <v>3.1144781144781145E-2</v>
      </c>
    </row>
    <row r="877" spans="1:35" s="82" customFormat="1" ht="16.5" customHeight="1" x14ac:dyDescent="0.3">
      <c r="A877" s="90" t="s">
        <v>46</v>
      </c>
      <c r="B877" s="90" t="s">
        <v>52</v>
      </c>
      <c r="C877" s="137"/>
      <c r="D877" s="90"/>
      <c r="E877" s="80"/>
      <c r="F877" s="81">
        <f>SUM(F875:F876)</f>
        <v>2016</v>
      </c>
      <c r="G877" s="81"/>
      <c r="H877" s="81" t="s">
        <v>50</v>
      </c>
      <c r="I877" s="81"/>
      <c r="J877" s="81" t="s">
        <v>60</v>
      </c>
      <c r="K877" s="85" t="s">
        <v>226</v>
      </c>
      <c r="L877" s="81">
        <f>SUM(L875:L876)</f>
        <v>0</v>
      </c>
      <c r="M877" s="81">
        <f>SUM(M875:M876)</f>
        <v>2102</v>
      </c>
      <c r="N877" s="81">
        <f>SUM(N875:N876)</f>
        <v>86</v>
      </c>
      <c r="O877" s="81" t="s">
        <v>763</v>
      </c>
      <c r="P877" s="81">
        <f>SUM(P875:P876)</f>
        <v>0</v>
      </c>
      <c r="Q877" s="81">
        <f>SUM(Q875:Q876)</f>
        <v>2096</v>
      </c>
      <c r="R877" s="81">
        <f>SUM(R875:R876)</f>
        <v>0</v>
      </c>
      <c r="S877" s="81">
        <f>SUM(S875:S876)</f>
        <v>2096</v>
      </c>
      <c r="T877" s="81">
        <f>SUM(T875:T876)</f>
        <v>0</v>
      </c>
      <c r="U877" s="59">
        <f t="shared" si="1188"/>
        <v>11</v>
      </c>
      <c r="V877" s="81">
        <f>SUM(V875:V876)</f>
        <v>0</v>
      </c>
      <c r="W877" s="81">
        <f>SUM(W875:W876)</f>
        <v>2085</v>
      </c>
      <c r="X877" s="81">
        <f>SUM(X875:X876)</f>
        <v>-17</v>
      </c>
      <c r="Y877" s="81" t="s">
        <v>47</v>
      </c>
      <c r="Z877" s="110" t="s">
        <v>45</v>
      </c>
      <c r="AA877" s="110"/>
      <c r="AB877" s="84"/>
      <c r="AC877" s="136"/>
      <c r="AD877" s="136"/>
      <c r="AE877" s="100">
        <f t="shared" si="1189"/>
        <v>4.265873015873016E-2</v>
      </c>
      <c r="AF877" s="90"/>
      <c r="AG877" s="109">
        <f t="shared" si="1190"/>
        <v>0</v>
      </c>
      <c r="AH877" s="100">
        <f t="shared" si="1191"/>
        <v>3.968253968253968E-2</v>
      </c>
      <c r="AI877" s="100">
        <f t="shared" si="1192"/>
        <v>3.4226190476190479E-2</v>
      </c>
    </row>
    <row r="878" spans="1:35" s="86" customFormat="1" ht="18.75" customHeight="1" x14ac:dyDescent="0.3">
      <c r="A878" s="106"/>
      <c r="B878" s="106" t="s">
        <v>52</v>
      </c>
      <c r="C878" s="118">
        <v>47991</v>
      </c>
      <c r="D878" s="310">
        <v>13263834</v>
      </c>
      <c r="E878" s="157" t="s">
        <v>408</v>
      </c>
      <c r="F878" s="83">
        <v>848</v>
      </c>
      <c r="G878" s="83"/>
      <c r="H878" s="83"/>
      <c r="I878" s="83"/>
      <c r="J878" s="83"/>
      <c r="K878" s="83"/>
      <c r="L878" s="83"/>
      <c r="M878" s="83">
        <f>920</f>
        <v>920</v>
      </c>
      <c r="N878" s="110">
        <f>M878-F878</f>
        <v>72</v>
      </c>
      <c r="O878" s="110" t="s">
        <v>100</v>
      </c>
      <c r="P878" s="83"/>
      <c r="Q878" s="83">
        <v>920</v>
      </c>
      <c r="R878" s="83"/>
      <c r="S878" s="83">
        <v>910</v>
      </c>
      <c r="T878" s="110">
        <f>S878-Q878</f>
        <v>-10</v>
      </c>
      <c r="U878" s="59">
        <f t="shared" si="1177"/>
        <v>0</v>
      </c>
      <c r="V878" s="83"/>
      <c r="W878" s="83">
        <f>910</f>
        <v>910</v>
      </c>
      <c r="X878" s="110">
        <f>W878-M878</f>
        <v>-10</v>
      </c>
      <c r="Y878" s="110"/>
      <c r="Z878" s="110"/>
      <c r="AA878" s="110"/>
      <c r="AB878" s="83"/>
      <c r="AC878" s="106"/>
      <c r="AD878" s="106"/>
      <c r="AE878" s="100">
        <f t="shared" si="1173"/>
        <v>8.4905660377358486E-2</v>
      </c>
      <c r="AF878" s="90"/>
      <c r="AG878" s="109">
        <f t="shared" si="1174"/>
        <v>0</v>
      </c>
      <c r="AH878" s="100">
        <f t="shared" si="1175"/>
        <v>7.3113207547169809E-2</v>
      </c>
      <c r="AI878" s="100">
        <f t="shared" si="1176"/>
        <v>7.3113207547169809E-2</v>
      </c>
    </row>
    <row r="879" spans="1:35" s="86" customFormat="1" ht="18.75" customHeight="1" x14ac:dyDescent="0.3">
      <c r="A879" s="106"/>
      <c r="B879" s="106" t="s">
        <v>52</v>
      </c>
      <c r="C879" s="118">
        <v>47991</v>
      </c>
      <c r="D879" s="311"/>
      <c r="E879" s="157" t="s">
        <v>452</v>
      </c>
      <c r="F879" s="83">
        <v>1034</v>
      </c>
      <c r="G879" s="83"/>
      <c r="H879" s="83"/>
      <c r="I879" s="83"/>
      <c r="J879" s="83"/>
      <c r="K879" s="83"/>
      <c r="L879" s="83"/>
      <c r="M879" s="83">
        <f>1120</f>
        <v>1120</v>
      </c>
      <c r="N879" s="110">
        <f>M879-F879</f>
        <v>86</v>
      </c>
      <c r="O879" s="110" t="s">
        <v>100</v>
      </c>
      <c r="P879" s="83"/>
      <c r="Q879" s="83">
        <v>1120</v>
      </c>
      <c r="R879" s="83"/>
      <c r="S879" s="83">
        <v>1116</v>
      </c>
      <c r="T879" s="110">
        <f>S879-Q879</f>
        <v>-4</v>
      </c>
      <c r="U879" s="59">
        <f t="shared" si="1177"/>
        <v>6</v>
      </c>
      <c r="V879" s="83"/>
      <c r="W879" s="83">
        <f>1110</f>
        <v>1110</v>
      </c>
      <c r="X879" s="110">
        <f>W879-M879</f>
        <v>-10</v>
      </c>
      <c r="Y879" s="110"/>
      <c r="Z879" s="110"/>
      <c r="AA879" s="110"/>
      <c r="AB879" s="83"/>
      <c r="AC879" s="106"/>
      <c r="AD879" s="106"/>
      <c r="AE879" s="100">
        <f t="shared" si="1173"/>
        <v>8.3172147001934232E-2</v>
      </c>
      <c r="AF879" s="90"/>
      <c r="AG879" s="109">
        <f t="shared" si="1174"/>
        <v>0</v>
      </c>
      <c r="AH879" s="100">
        <f t="shared" si="1175"/>
        <v>7.9303675048355893E-2</v>
      </c>
      <c r="AI879" s="100">
        <f t="shared" si="1176"/>
        <v>7.3500967117988397E-2</v>
      </c>
    </row>
    <row r="880" spans="1:35" s="82" customFormat="1" ht="16.5" customHeight="1" x14ac:dyDescent="0.3">
      <c r="A880" s="90" t="s">
        <v>46</v>
      </c>
      <c r="B880" s="90" t="s">
        <v>52</v>
      </c>
      <c r="C880" s="137"/>
      <c r="D880" s="90"/>
      <c r="E880" s="80"/>
      <c r="F880" s="81">
        <f>SUM(F878:F879)</f>
        <v>1882</v>
      </c>
      <c r="G880" s="81"/>
      <c r="H880" s="81" t="s">
        <v>50</v>
      </c>
      <c r="I880" s="81"/>
      <c r="J880" s="81" t="s">
        <v>60</v>
      </c>
      <c r="K880" s="85" t="s">
        <v>226</v>
      </c>
      <c r="L880" s="81">
        <f>SUM(L878:L879)</f>
        <v>0</v>
      </c>
      <c r="M880" s="81">
        <f>SUM(M878:M879)</f>
        <v>2040</v>
      </c>
      <c r="N880" s="81">
        <f>SUM(N878:N879)</f>
        <v>158</v>
      </c>
      <c r="O880" s="81" t="s">
        <v>531</v>
      </c>
      <c r="P880" s="81">
        <f>SUM(P878:P879)</f>
        <v>0</v>
      </c>
      <c r="Q880" s="81">
        <f>SUM(Q878:Q879)</f>
        <v>2040</v>
      </c>
      <c r="R880" s="81">
        <f>SUM(R878:R879)</f>
        <v>0</v>
      </c>
      <c r="S880" s="81">
        <f>SUM(S878:S879)</f>
        <v>2026</v>
      </c>
      <c r="T880" s="81">
        <f>SUM(T878:T879)</f>
        <v>-14</v>
      </c>
      <c r="U880" s="59">
        <f t="shared" si="1177"/>
        <v>6</v>
      </c>
      <c r="V880" s="81">
        <f>SUM(V878:V879)</f>
        <v>0</v>
      </c>
      <c r="W880" s="81">
        <f>SUM(W878:W879)</f>
        <v>2020</v>
      </c>
      <c r="X880" s="81">
        <f>SUM(X878:X879)</f>
        <v>-20</v>
      </c>
      <c r="Y880" s="81" t="s">
        <v>48</v>
      </c>
      <c r="Z880" s="110" t="s">
        <v>45</v>
      </c>
      <c r="AA880" s="110"/>
      <c r="AB880" s="84"/>
      <c r="AC880" s="136"/>
      <c r="AD880" s="136"/>
      <c r="AE880" s="100">
        <f t="shared" si="1173"/>
        <v>8.3953241232731138E-2</v>
      </c>
      <c r="AF880" s="90"/>
      <c r="AG880" s="109">
        <f t="shared" si="1174"/>
        <v>0</v>
      </c>
      <c r="AH880" s="100">
        <f t="shared" si="1175"/>
        <v>7.6514346439957498E-2</v>
      </c>
      <c r="AI880" s="100">
        <f t="shared" si="1176"/>
        <v>7.3326248671625932E-2</v>
      </c>
    </row>
    <row r="881" spans="1:35" s="86" customFormat="1" ht="18.75" customHeight="1" x14ac:dyDescent="0.3">
      <c r="A881" s="106"/>
      <c r="B881" s="106" t="s">
        <v>52</v>
      </c>
      <c r="C881" s="118">
        <v>48026</v>
      </c>
      <c r="D881" s="310">
        <v>13252211</v>
      </c>
      <c r="E881" s="157" t="s">
        <v>202</v>
      </c>
      <c r="F881" s="83">
        <v>918</v>
      </c>
      <c r="G881" s="83"/>
      <c r="H881" s="83"/>
      <c r="I881" s="83"/>
      <c r="J881" s="83"/>
      <c r="K881" s="83"/>
      <c r="L881" s="83"/>
      <c r="M881" s="83">
        <f>948+12</f>
        <v>960</v>
      </c>
      <c r="N881" s="110">
        <f>M881-F881</f>
        <v>42</v>
      </c>
      <c r="O881" s="110" t="s">
        <v>100</v>
      </c>
      <c r="P881" s="83"/>
      <c r="Q881" s="83">
        <v>960</v>
      </c>
      <c r="R881" s="83"/>
      <c r="S881" s="83">
        <v>941</v>
      </c>
      <c r="T881" s="110">
        <f>S881-Q881</f>
        <v>-19</v>
      </c>
      <c r="U881" s="59">
        <f t="shared" si="1177"/>
        <v>0</v>
      </c>
      <c r="V881" s="83">
        <v>941</v>
      </c>
      <c r="W881" s="83">
        <v>941</v>
      </c>
      <c r="X881" s="110">
        <f>W881-M881</f>
        <v>-19</v>
      </c>
      <c r="Y881" s="110"/>
      <c r="Z881" s="110"/>
      <c r="AA881" s="110"/>
      <c r="AB881" s="83"/>
      <c r="AC881" s="106"/>
      <c r="AD881" s="106"/>
      <c r="AE881" s="100">
        <f t="shared" si="1173"/>
        <v>4.5751633986928102E-2</v>
      </c>
      <c r="AF881" s="90"/>
      <c r="AG881" s="109">
        <f t="shared" si="1174"/>
        <v>0</v>
      </c>
      <c r="AH881" s="100">
        <f t="shared" si="1175"/>
        <v>2.5054466230936819E-2</v>
      </c>
      <c r="AI881" s="100">
        <f t="shared" si="1176"/>
        <v>2.5054466230936819E-2</v>
      </c>
    </row>
    <row r="882" spans="1:35" s="86" customFormat="1" ht="18.75" customHeight="1" x14ac:dyDescent="0.3">
      <c r="A882" s="106"/>
      <c r="B882" s="106" t="s">
        <v>52</v>
      </c>
      <c r="C882" s="118">
        <v>48026</v>
      </c>
      <c r="D882" s="311"/>
      <c r="E882" s="157" t="s">
        <v>240</v>
      </c>
      <c r="F882" s="83">
        <v>918</v>
      </c>
      <c r="G882" s="83"/>
      <c r="H882" s="83"/>
      <c r="I882" s="83"/>
      <c r="J882" s="83"/>
      <c r="K882" s="83"/>
      <c r="L882" s="83"/>
      <c r="M882" s="83">
        <v>948</v>
      </c>
      <c r="N882" s="110">
        <f>M882-F882</f>
        <v>30</v>
      </c>
      <c r="O882" s="110" t="s">
        <v>100</v>
      </c>
      <c r="P882" s="83"/>
      <c r="Q882" s="83">
        <v>948</v>
      </c>
      <c r="R882" s="83"/>
      <c r="S882" s="83">
        <v>945</v>
      </c>
      <c r="T882" s="110">
        <f>S882-Q882</f>
        <v>-3</v>
      </c>
      <c r="U882" s="59">
        <f t="shared" si="1177"/>
        <v>2</v>
      </c>
      <c r="V882" s="83">
        <v>943</v>
      </c>
      <c r="W882" s="83">
        <v>943</v>
      </c>
      <c r="X882" s="110">
        <f>W882-M882</f>
        <v>-5</v>
      </c>
      <c r="Y882" s="110"/>
      <c r="Z882" s="110"/>
      <c r="AA882" s="110"/>
      <c r="AB882" s="83"/>
      <c r="AC882" s="106"/>
      <c r="AD882" s="106"/>
      <c r="AE882" s="100">
        <f t="shared" si="1173"/>
        <v>3.2679738562091505E-2</v>
      </c>
      <c r="AF882" s="90"/>
      <c r="AG882" s="109">
        <f t="shared" si="1174"/>
        <v>0</v>
      </c>
      <c r="AH882" s="100">
        <f t="shared" si="1175"/>
        <v>2.9411764705882353E-2</v>
      </c>
      <c r="AI882" s="100">
        <f t="shared" si="1176"/>
        <v>2.7233115468409588E-2</v>
      </c>
    </row>
    <row r="883" spans="1:35" s="82" customFormat="1" ht="16.5" customHeight="1" x14ac:dyDescent="0.3">
      <c r="A883" s="90" t="s">
        <v>46</v>
      </c>
      <c r="B883" s="90" t="s">
        <v>52</v>
      </c>
      <c r="C883" s="137"/>
      <c r="D883" s="90"/>
      <c r="E883" s="80"/>
      <c r="F883" s="81">
        <f>SUM(F881:F882)</f>
        <v>1836</v>
      </c>
      <c r="G883" s="81"/>
      <c r="H883" s="81" t="s">
        <v>50</v>
      </c>
      <c r="I883" s="81"/>
      <c r="J883" s="81" t="s">
        <v>60</v>
      </c>
      <c r="K883" s="85" t="s">
        <v>226</v>
      </c>
      <c r="L883" s="81">
        <f>SUM(L881:L882)</f>
        <v>0</v>
      </c>
      <c r="M883" s="81">
        <f>SUM(M881:M882)</f>
        <v>1908</v>
      </c>
      <c r="N883" s="81">
        <f>SUM(N881:N882)</f>
        <v>72</v>
      </c>
      <c r="O883" s="81" t="s">
        <v>821</v>
      </c>
      <c r="P883" s="81">
        <f>SUM(P881:P882)</f>
        <v>0</v>
      </c>
      <c r="Q883" s="81">
        <f>SUM(Q881:Q882)</f>
        <v>1908</v>
      </c>
      <c r="R883" s="81">
        <f>SUM(R881:R882)</f>
        <v>0</v>
      </c>
      <c r="S883" s="81">
        <f>SUM(S881:S882)</f>
        <v>1886</v>
      </c>
      <c r="T883" s="81">
        <f>SUM(T881:T882)</f>
        <v>-22</v>
      </c>
      <c r="U883" s="59">
        <f t="shared" si="1177"/>
        <v>2</v>
      </c>
      <c r="V883" s="81">
        <f>SUM(V881:V882)</f>
        <v>1884</v>
      </c>
      <c r="W883" s="81">
        <f>SUM(W881:W882)</f>
        <v>1884</v>
      </c>
      <c r="X883" s="81">
        <f>SUM(X881:X882)</f>
        <v>-24</v>
      </c>
      <c r="Y883" s="81" t="s">
        <v>47</v>
      </c>
      <c r="Z883" s="110" t="s">
        <v>45</v>
      </c>
      <c r="AA883" s="110"/>
      <c r="AB883" s="84"/>
      <c r="AC883" s="136"/>
      <c r="AD883" s="136"/>
      <c r="AE883" s="100">
        <f t="shared" si="1173"/>
        <v>3.9215686274509803E-2</v>
      </c>
      <c r="AF883" s="90"/>
      <c r="AG883" s="109">
        <f t="shared" si="1174"/>
        <v>0</v>
      </c>
      <c r="AH883" s="100">
        <f t="shared" si="1175"/>
        <v>2.7233115468409588E-2</v>
      </c>
      <c r="AI883" s="100">
        <f t="shared" si="1176"/>
        <v>2.6143790849673203E-2</v>
      </c>
    </row>
    <row r="884" spans="1:35" s="86" customFormat="1" ht="18.75" customHeight="1" x14ac:dyDescent="0.3">
      <c r="A884" s="106"/>
      <c r="B884" s="106" t="s">
        <v>52</v>
      </c>
      <c r="C884" s="118" t="s">
        <v>734</v>
      </c>
      <c r="D884" s="310">
        <v>13224921</v>
      </c>
      <c r="E884" s="157" t="s">
        <v>38</v>
      </c>
      <c r="F884" s="83">
        <v>1000</v>
      </c>
      <c r="G884" s="83"/>
      <c r="H884" s="83"/>
      <c r="I884" s="83"/>
      <c r="J884" s="83"/>
      <c r="K884" s="83"/>
      <c r="L884" s="83"/>
      <c r="M884" s="83">
        <f>324+618+57</f>
        <v>999</v>
      </c>
      <c r="N884" s="110">
        <f>M884-F884</f>
        <v>-1</v>
      </c>
      <c r="O884" s="110" t="s">
        <v>100</v>
      </c>
      <c r="P884" s="83"/>
      <c r="Q884" s="83"/>
      <c r="R884" s="83"/>
      <c r="S884" s="83"/>
      <c r="T884" s="110">
        <f>S884-Q884</f>
        <v>0</v>
      </c>
      <c r="U884" s="59">
        <f t="shared" ref="U884:U886" si="1220">IF(Q884&gt;0,S884-W884,M884-W884)</f>
        <v>999</v>
      </c>
      <c r="V884" s="83"/>
      <c r="W884" s="83"/>
      <c r="X884" s="110">
        <f>W884-M884</f>
        <v>-999</v>
      </c>
      <c r="Y884" s="110"/>
      <c r="Z884" s="110"/>
      <c r="AA884" s="110"/>
      <c r="AB884" s="83"/>
      <c r="AC884" s="106"/>
      <c r="AD884" s="106"/>
      <c r="AE884" s="100">
        <f t="shared" ref="AE884:AE886" si="1221">N884/F884</f>
        <v>-1E-3</v>
      </c>
      <c r="AF884" s="90"/>
      <c r="AG884" s="109">
        <f t="shared" ref="AG884:AG886" si="1222">IF(N884&lt;0,N884,0)</f>
        <v>-1</v>
      </c>
      <c r="AH884" s="100">
        <f t="shared" ref="AH884:AH886" si="1223">(S884-F884)/F884</f>
        <v>-1</v>
      </c>
      <c r="AI884" s="100">
        <f t="shared" ref="AI884:AI886" si="1224">(W884-F884)/F884</f>
        <v>-1</v>
      </c>
    </row>
    <row r="885" spans="1:35" s="86" customFormat="1" ht="18.75" customHeight="1" x14ac:dyDescent="0.3">
      <c r="A885" s="106"/>
      <c r="B885" s="106" t="s">
        <v>52</v>
      </c>
      <c r="C885" s="118" t="s">
        <v>734</v>
      </c>
      <c r="D885" s="311"/>
      <c r="E885" s="157" t="s">
        <v>0</v>
      </c>
      <c r="F885" s="83">
        <v>1000</v>
      </c>
      <c r="G885" s="83"/>
      <c r="H885" s="83"/>
      <c r="I885" s="83"/>
      <c r="J885" s="83"/>
      <c r="K885" s="83"/>
      <c r="L885" s="83"/>
      <c r="M885" s="83">
        <f>384+526</f>
        <v>910</v>
      </c>
      <c r="N885" s="110">
        <f>M885-F885</f>
        <v>-90</v>
      </c>
      <c r="O885" s="110" t="s">
        <v>100</v>
      </c>
      <c r="P885" s="83"/>
      <c r="Q885" s="83"/>
      <c r="R885" s="83"/>
      <c r="S885" s="83"/>
      <c r="T885" s="110">
        <f>S885-Q885</f>
        <v>0</v>
      </c>
      <c r="U885" s="59">
        <f t="shared" si="1220"/>
        <v>910</v>
      </c>
      <c r="V885" s="83"/>
      <c r="W885" s="83"/>
      <c r="X885" s="110">
        <f>W885-M885</f>
        <v>-910</v>
      </c>
      <c r="Y885" s="110"/>
      <c r="Z885" s="110"/>
      <c r="AA885" s="110"/>
      <c r="AB885" s="83"/>
      <c r="AC885" s="106"/>
      <c r="AD885" s="106"/>
      <c r="AE885" s="100">
        <f t="shared" si="1221"/>
        <v>-0.09</v>
      </c>
      <c r="AF885" s="90"/>
      <c r="AG885" s="109">
        <f t="shared" si="1222"/>
        <v>-90</v>
      </c>
      <c r="AH885" s="100">
        <f t="shared" si="1223"/>
        <v>-1</v>
      </c>
      <c r="AI885" s="100">
        <f t="shared" si="1224"/>
        <v>-1</v>
      </c>
    </row>
    <row r="886" spans="1:35" s="82" customFormat="1" ht="16.5" customHeight="1" x14ac:dyDescent="0.3">
      <c r="A886" s="90" t="s">
        <v>46</v>
      </c>
      <c r="B886" s="90" t="s">
        <v>52</v>
      </c>
      <c r="C886" s="137"/>
      <c r="D886" s="90"/>
      <c r="E886" s="80"/>
      <c r="F886" s="81">
        <f>SUM(F884:F885)</f>
        <v>2000</v>
      </c>
      <c r="G886" s="81"/>
      <c r="H886" s="81" t="s">
        <v>50</v>
      </c>
      <c r="I886" s="81"/>
      <c r="J886" s="81" t="s">
        <v>60</v>
      </c>
      <c r="K886" s="85" t="s">
        <v>377</v>
      </c>
      <c r="L886" s="81">
        <f>SUM(L884:L885)</f>
        <v>0</v>
      </c>
      <c r="M886" s="81">
        <f>SUM(M884:M885)</f>
        <v>1909</v>
      </c>
      <c r="N886" s="81">
        <f>SUM(N884:N885)</f>
        <v>-91</v>
      </c>
      <c r="O886" s="81"/>
      <c r="P886" s="81">
        <f>SUM(P884:P885)</f>
        <v>0</v>
      </c>
      <c r="Q886" s="81">
        <f>SUM(Q884:Q885)</f>
        <v>0</v>
      </c>
      <c r="R886" s="81">
        <f>SUM(R884:R885)</f>
        <v>0</v>
      </c>
      <c r="S886" s="81">
        <f>SUM(S884:S885)</f>
        <v>0</v>
      </c>
      <c r="T886" s="81">
        <f>SUM(T884:T885)</f>
        <v>0</v>
      </c>
      <c r="U886" s="59">
        <f t="shared" si="1220"/>
        <v>1909</v>
      </c>
      <c r="V886" s="81">
        <f>SUM(V884:V885)</f>
        <v>0</v>
      </c>
      <c r="W886" s="81">
        <f>SUM(W884:W885)</f>
        <v>0</v>
      </c>
      <c r="X886" s="81">
        <f>SUM(X884:X885)</f>
        <v>-1909</v>
      </c>
      <c r="Y886" s="81"/>
      <c r="Z886" s="110"/>
      <c r="AA886" s="110"/>
      <c r="AB886" s="84"/>
      <c r="AC886" s="136"/>
      <c r="AD886" s="136"/>
      <c r="AE886" s="100">
        <f t="shared" si="1221"/>
        <v>-4.5499999999999999E-2</v>
      </c>
      <c r="AF886" s="90"/>
      <c r="AG886" s="109">
        <f t="shared" si="1222"/>
        <v>-91</v>
      </c>
      <c r="AH886" s="100">
        <f t="shared" si="1223"/>
        <v>-1</v>
      </c>
      <c r="AI886" s="100">
        <f t="shared" si="1224"/>
        <v>-1</v>
      </c>
    </row>
    <row r="887" spans="1:35" s="86" customFormat="1" ht="18.75" customHeight="1" x14ac:dyDescent="0.3">
      <c r="A887" s="106"/>
      <c r="B887" s="106" t="s">
        <v>52</v>
      </c>
      <c r="C887" s="118">
        <v>47990</v>
      </c>
      <c r="D887" s="310">
        <v>13263833</v>
      </c>
      <c r="E887" s="157" t="s">
        <v>408</v>
      </c>
      <c r="F887" s="83">
        <v>504</v>
      </c>
      <c r="G887" s="83"/>
      <c r="H887" s="83"/>
      <c r="I887" s="83"/>
      <c r="J887" s="83"/>
      <c r="K887" s="83"/>
      <c r="L887" s="83"/>
      <c r="M887" s="83">
        <f>552</f>
        <v>552</v>
      </c>
      <c r="N887" s="110">
        <f>M887-F887</f>
        <v>48</v>
      </c>
      <c r="O887" s="110" t="s">
        <v>100</v>
      </c>
      <c r="P887" s="83"/>
      <c r="Q887" s="83">
        <v>552</v>
      </c>
      <c r="R887" s="83"/>
      <c r="S887" s="83">
        <v>552</v>
      </c>
      <c r="T887" s="110">
        <f>S887-Q887</f>
        <v>0</v>
      </c>
      <c r="U887" s="59">
        <f t="shared" si="1177"/>
        <v>0</v>
      </c>
      <c r="V887" s="83"/>
      <c r="W887" s="83">
        <v>552</v>
      </c>
      <c r="X887" s="110">
        <f>W887-M887</f>
        <v>0</v>
      </c>
      <c r="Y887" s="110"/>
      <c r="Z887" s="110"/>
      <c r="AA887" s="110"/>
      <c r="AB887" s="83"/>
      <c r="AC887" s="106"/>
      <c r="AD887" s="106"/>
      <c r="AE887" s="100">
        <f t="shared" si="1173"/>
        <v>9.5238095238095233E-2</v>
      </c>
      <c r="AF887" s="90"/>
      <c r="AG887" s="109">
        <f t="shared" si="1174"/>
        <v>0</v>
      </c>
      <c r="AH887" s="100">
        <f t="shared" si="1175"/>
        <v>9.5238095238095233E-2</v>
      </c>
      <c r="AI887" s="100">
        <f t="shared" si="1176"/>
        <v>9.5238095238095233E-2</v>
      </c>
    </row>
    <row r="888" spans="1:35" s="86" customFormat="1" ht="18.75" customHeight="1" x14ac:dyDescent="0.3">
      <c r="A888" s="106"/>
      <c r="B888" s="106" t="s">
        <v>52</v>
      </c>
      <c r="C888" s="118">
        <v>47990</v>
      </c>
      <c r="D888" s="311"/>
      <c r="E888" s="157" t="s">
        <v>452</v>
      </c>
      <c r="F888" s="83">
        <v>504</v>
      </c>
      <c r="G888" s="83"/>
      <c r="H888" s="83"/>
      <c r="I888" s="83"/>
      <c r="J888" s="83"/>
      <c r="K888" s="83"/>
      <c r="L888" s="83"/>
      <c r="M888" s="83">
        <v>559</v>
      </c>
      <c r="N888" s="110">
        <f>M888-F888</f>
        <v>55</v>
      </c>
      <c r="O888" s="110" t="s">
        <v>100</v>
      </c>
      <c r="P888" s="83"/>
      <c r="Q888" s="83">
        <v>559</v>
      </c>
      <c r="R888" s="83"/>
      <c r="S888" s="83">
        <v>559</v>
      </c>
      <c r="T888" s="110">
        <f>S888-Q888</f>
        <v>0</v>
      </c>
      <c r="U888" s="59">
        <f t="shared" si="1177"/>
        <v>0</v>
      </c>
      <c r="V888" s="83"/>
      <c r="W888" s="83">
        <f>559</f>
        <v>559</v>
      </c>
      <c r="X888" s="110">
        <f>W888-M888</f>
        <v>0</v>
      </c>
      <c r="Y888" s="110"/>
      <c r="Z888" s="110"/>
      <c r="AA888" s="110"/>
      <c r="AB888" s="83"/>
      <c r="AC888" s="106"/>
      <c r="AD888" s="106"/>
      <c r="AE888" s="100">
        <f t="shared" si="1173"/>
        <v>0.10912698412698413</v>
      </c>
      <c r="AF888" s="90"/>
      <c r="AG888" s="109">
        <f t="shared" si="1174"/>
        <v>0</v>
      </c>
      <c r="AH888" s="100">
        <f t="shared" si="1175"/>
        <v>0.10912698412698413</v>
      </c>
      <c r="AI888" s="100">
        <f t="shared" si="1176"/>
        <v>0.10912698412698413</v>
      </c>
    </row>
    <row r="889" spans="1:35" s="82" customFormat="1" ht="16.5" customHeight="1" x14ac:dyDescent="0.3">
      <c r="A889" s="90" t="s">
        <v>46</v>
      </c>
      <c r="B889" s="90" t="s">
        <v>52</v>
      </c>
      <c r="C889" s="137"/>
      <c r="D889" s="90"/>
      <c r="E889" s="80"/>
      <c r="F889" s="81">
        <f>SUM(F887:F888)</f>
        <v>1008</v>
      </c>
      <c r="G889" s="81"/>
      <c r="H889" s="81" t="s">
        <v>50</v>
      </c>
      <c r="I889" s="81"/>
      <c r="J889" s="81" t="s">
        <v>60</v>
      </c>
      <c r="K889" s="85" t="s">
        <v>226</v>
      </c>
      <c r="L889" s="81">
        <f>SUM(L887:L888)</f>
        <v>0</v>
      </c>
      <c r="M889" s="81">
        <f>SUM(M887:M888)</f>
        <v>1111</v>
      </c>
      <c r="N889" s="81">
        <f>SUM(N887:N888)</f>
        <v>103</v>
      </c>
      <c r="O889" s="81" t="s">
        <v>851</v>
      </c>
      <c r="P889" s="81">
        <f>SUM(P887:P888)</f>
        <v>0</v>
      </c>
      <c r="Q889" s="81">
        <f>SUM(Q887:Q888)</f>
        <v>1111</v>
      </c>
      <c r="R889" s="81">
        <f>SUM(R887:R888)</f>
        <v>0</v>
      </c>
      <c r="S889" s="81">
        <f>SUM(S887:S888)</f>
        <v>1111</v>
      </c>
      <c r="T889" s="81">
        <f>SUM(T887:T888)</f>
        <v>0</v>
      </c>
      <c r="U889" s="59">
        <f t="shared" si="1177"/>
        <v>0</v>
      </c>
      <c r="V889" s="81">
        <f>SUM(V887:V888)</f>
        <v>0</v>
      </c>
      <c r="W889" s="81">
        <f>SUM(W887:W888)</f>
        <v>1111</v>
      </c>
      <c r="X889" s="81">
        <f>SUM(X887:X888)</f>
        <v>0</v>
      </c>
      <c r="Y889" s="81" t="s">
        <v>47</v>
      </c>
      <c r="Z889" s="110" t="s">
        <v>45</v>
      </c>
      <c r="AA889" s="110"/>
      <c r="AB889" s="84"/>
      <c r="AC889" s="136"/>
      <c r="AD889" s="136"/>
      <c r="AE889" s="100">
        <f t="shared" si="1173"/>
        <v>0.10218253968253968</v>
      </c>
      <c r="AF889" s="90"/>
      <c r="AG889" s="109">
        <f t="shared" si="1174"/>
        <v>0</v>
      </c>
      <c r="AH889" s="100">
        <f t="shared" si="1175"/>
        <v>0.10218253968253968</v>
      </c>
      <c r="AI889" s="100">
        <f t="shared" si="1176"/>
        <v>0.10218253968253968</v>
      </c>
    </row>
    <row r="890" spans="1:35" s="86" customFormat="1" ht="18.75" customHeight="1" x14ac:dyDescent="0.3">
      <c r="A890" s="106"/>
      <c r="B890" s="106" t="s">
        <v>52</v>
      </c>
      <c r="C890" s="118">
        <v>48011</v>
      </c>
      <c r="D890" s="315">
        <v>13264416</v>
      </c>
      <c r="E890" s="157" t="s">
        <v>408</v>
      </c>
      <c r="F890" s="83">
        <v>767</v>
      </c>
      <c r="G890" s="83"/>
      <c r="H890" s="83"/>
      <c r="I890" s="83"/>
      <c r="J890" s="83"/>
      <c r="K890" s="83"/>
      <c r="L890" s="83"/>
      <c r="M890" s="83">
        <v>812</v>
      </c>
      <c r="N890" s="110">
        <f>M890-F890</f>
        <v>45</v>
      </c>
      <c r="O890" s="110" t="s">
        <v>100</v>
      </c>
      <c r="P890" s="83"/>
      <c r="Q890" s="83">
        <v>812</v>
      </c>
      <c r="R890" s="83"/>
      <c r="S890" s="83"/>
      <c r="T890" s="110">
        <f>S890-Q890</f>
        <v>-812</v>
      </c>
      <c r="U890" s="59">
        <f t="shared" ref="U890:U892" si="1225">IF(Q890&gt;0,S890-W890,M890-W890)</f>
        <v>0</v>
      </c>
      <c r="V890" s="83"/>
      <c r="W890" s="83"/>
      <c r="X890" s="110">
        <f>W890-M890</f>
        <v>-812</v>
      </c>
      <c r="Y890" s="110"/>
      <c r="Z890" s="110"/>
      <c r="AA890" s="110"/>
      <c r="AB890" s="83"/>
      <c r="AC890" s="106"/>
      <c r="AD890" s="106"/>
      <c r="AE890" s="100">
        <f t="shared" ref="AE890:AE892" si="1226">N890/F890</f>
        <v>5.867014341590613E-2</v>
      </c>
      <c r="AF890" s="90"/>
      <c r="AG890" s="109">
        <f t="shared" ref="AG890:AG892" si="1227">IF(N890&lt;0,N890,0)</f>
        <v>0</v>
      </c>
      <c r="AH890" s="100">
        <f t="shared" ref="AH890:AH892" si="1228">(S890-F890)/F890</f>
        <v>-1</v>
      </c>
      <c r="AI890" s="100">
        <f t="shared" ref="AI890:AI892" si="1229">(W890-F890)/F890</f>
        <v>-1</v>
      </c>
    </row>
    <row r="891" spans="1:35" s="86" customFormat="1" ht="18.75" customHeight="1" x14ac:dyDescent="0.3">
      <c r="A891" s="106"/>
      <c r="B891" s="106" t="s">
        <v>52</v>
      </c>
      <c r="C891" s="118">
        <v>48011</v>
      </c>
      <c r="D891" s="316"/>
      <c r="E891" s="157" t="s">
        <v>452</v>
      </c>
      <c r="F891" s="83">
        <v>767</v>
      </c>
      <c r="G891" s="83"/>
      <c r="H891" s="83"/>
      <c r="I891" s="83"/>
      <c r="J891" s="83"/>
      <c r="K891" s="83"/>
      <c r="L891" s="83"/>
      <c r="M891" s="83">
        <v>810</v>
      </c>
      <c r="N891" s="110">
        <f>M891-F891</f>
        <v>43</v>
      </c>
      <c r="O891" s="110" t="s">
        <v>100</v>
      </c>
      <c r="P891" s="83"/>
      <c r="Q891" s="83">
        <f>810</f>
        <v>810</v>
      </c>
      <c r="R891" s="83"/>
      <c r="S891" s="83"/>
      <c r="T891" s="110">
        <f>S891-Q891</f>
        <v>-810</v>
      </c>
      <c r="U891" s="59">
        <f t="shared" si="1225"/>
        <v>0</v>
      </c>
      <c r="V891" s="83"/>
      <c r="W891" s="83"/>
      <c r="X891" s="110">
        <f>W891-M891</f>
        <v>-810</v>
      </c>
      <c r="Y891" s="110"/>
      <c r="Z891" s="110"/>
      <c r="AA891" s="110"/>
      <c r="AB891" s="83"/>
      <c r="AC891" s="106"/>
      <c r="AD891" s="106"/>
      <c r="AE891" s="100">
        <f t="shared" si="1226"/>
        <v>5.6062581486310298E-2</v>
      </c>
      <c r="AF891" s="90"/>
      <c r="AG891" s="109">
        <f t="shared" si="1227"/>
        <v>0</v>
      </c>
      <c r="AH891" s="100">
        <f t="shared" si="1228"/>
        <v>-1</v>
      </c>
      <c r="AI891" s="100">
        <f t="shared" si="1229"/>
        <v>-1</v>
      </c>
    </row>
    <row r="892" spans="1:35" s="82" customFormat="1" ht="16.5" customHeight="1" x14ac:dyDescent="0.3">
      <c r="A892" s="90" t="s">
        <v>46</v>
      </c>
      <c r="B892" s="90" t="s">
        <v>52</v>
      </c>
      <c r="C892" s="137"/>
      <c r="D892" s="90"/>
      <c r="E892" s="80"/>
      <c r="F892" s="81">
        <f>SUM(F890:F891)</f>
        <v>1534</v>
      </c>
      <c r="G892" s="81"/>
      <c r="H892" s="81" t="s">
        <v>50</v>
      </c>
      <c r="I892" s="81"/>
      <c r="J892" s="81" t="s">
        <v>60</v>
      </c>
      <c r="K892" s="85" t="s">
        <v>330</v>
      </c>
      <c r="L892" s="81">
        <f>SUM(L890:L891)</f>
        <v>0</v>
      </c>
      <c r="M892" s="81">
        <f>SUM(M890:M891)</f>
        <v>1622</v>
      </c>
      <c r="N892" s="81">
        <f>SUM(N890:N891)</f>
        <v>88</v>
      </c>
      <c r="O892" s="81" t="s">
        <v>530</v>
      </c>
      <c r="P892" s="81">
        <f>SUM(P890:P891)</f>
        <v>0</v>
      </c>
      <c r="Q892" s="81">
        <f>SUM(Q890:Q891)</f>
        <v>1622</v>
      </c>
      <c r="R892" s="81">
        <f>SUM(R890:R891)</f>
        <v>0</v>
      </c>
      <c r="S892" s="81">
        <f>SUM(S890:S891)</f>
        <v>0</v>
      </c>
      <c r="T892" s="81">
        <f>SUM(T890:T891)</f>
        <v>-1622</v>
      </c>
      <c r="U892" s="59">
        <f t="shared" si="1225"/>
        <v>0</v>
      </c>
      <c r="V892" s="81">
        <f>SUM(V890:V891)</f>
        <v>0</v>
      </c>
      <c r="W892" s="81">
        <f>SUM(W890:W891)</f>
        <v>0</v>
      </c>
      <c r="X892" s="81">
        <f>SUM(X890:X891)</f>
        <v>-1622</v>
      </c>
      <c r="Y892" s="81" t="s">
        <v>57</v>
      </c>
      <c r="Z892" s="110" t="s">
        <v>45</v>
      </c>
      <c r="AA892" s="110"/>
      <c r="AB892" s="84"/>
      <c r="AC892" s="136"/>
      <c r="AD892" s="136"/>
      <c r="AE892" s="100">
        <f t="shared" si="1226"/>
        <v>5.736636245110821E-2</v>
      </c>
      <c r="AF892" s="90"/>
      <c r="AG892" s="109">
        <f t="shared" si="1227"/>
        <v>0</v>
      </c>
      <c r="AH892" s="100">
        <f t="shared" si="1228"/>
        <v>-1</v>
      </c>
      <c r="AI892" s="100">
        <f t="shared" si="1229"/>
        <v>-1</v>
      </c>
    </row>
    <row r="893" spans="1:35" s="86" customFormat="1" ht="18.75" customHeight="1" x14ac:dyDescent="0.3">
      <c r="A893" s="106"/>
      <c r="B893" s="106" t="s">
        <v>52</v>
      </c>
      <c r="C893" s="118">
        <v>48291</v>
      </c>
      <c r="D893" s="315">
        <v>13267983</v>
      </c>
      <c r="E893" s="157" t="s">
        <v>202</v>
      </c>
      <c r="F893" s="83">
        <v>1056</v>
      </c>
      <c r="G893" s="83"/>
      <c r="H893" s="83"/>
      <c r="I893" s="83"/>
      <c r="J893" s="83"/>
      <c r="K893" s="83"/>
      <c r="L893" s="83"/>
      <c r="M893" s="83"/>
      <c r="N893" s="110">
        <f t="shared" ref="N893:N895" si="1230">M893-F893</f>
        <v>-1056</v>
      </c>
      <c r="O893" s="110" t="s">
        <v>100</v>
      </c>
      <c r="P893" s="83"/>
      <c r="Q893" s="83"/>
      <c r="R893" s="83"/>
      <c r="S893" s="83"/>
      <c r="T893" s="110">
        <f t="shared" ref="T893:T895" si="1231">S893-Q893</f>
        <v>0</v>
      </c>
      <c r="U893" s="59">
        <f t="shared" si="1177"/>
        <v>0</v>
      </c>
      <c r="V893" s="83"/>
      <c r="W893" s="83"/>
      <c r="X893" s="110">
        <f t="shared" ref="X893:X895" si="1232">W893-M893</f>
        <v>0</v>
      </c>
      <c r="Y893" s="110"/>
      <c r="Z893" s="110"/>
      <c r="AA893" s="110"/>
      <c r="AB893" s="83"/>
      <c r="AC893" s="106"/>
      <c r="AD893" s="106"/>
      <c r="AE893" s="100">
        <f t="shared" si="1173"/>
        <v>-1</v>
      </c>
      <c r="AF893" s="90"/>
      <c r="AG893" s="109">
        <f t="shared" si="1174"/>
        <v>-1056</v>
      </c>
      <c r="AH893" s="100">
        <f t="shared" si="1175"/>
        <v>-1</v>
      </c>
      <c r="AI893" s="100">
        <f t="shared" si="1176"/>
        <v>-1</v>
      </c>
    </row>
    <row r="894" spans="1:35" s="86" customFormat="1" ht="18.75" customHeight="1" x14ac:dyDescent="0.3">
      <c r="A894" s="106"/>
      <c r="B894" s="106" t="s">
        <v>52</v>
      </c>
      <c r="C894" s="118">
        <v>48291</v>
      </c>
      <c r="D894" s="316"/>
      <c r="E894" s="157" t="s">
        <v>563</v>
      </c>
      <c r="F894" s="83">
        <v>1246</v>
      </c>
      <c r="G894" s="83"/>
      <c r="H894" s="83"/>
      <c r="I894" s="83"/>
      <c r="J894" s="83"/>
      <c r="K894" s="83"/>
      <c r="L894" s="83"/>
      <c r="M894" s="83"/>
      <c r="N894" s="110">
        <f t="shared" si="1230"/>
        <v>-1246</v>
      </c>
      <c r="O894" s="110" t="s">
        <v>100</v>
      </c>
      <c r="P894" s="83"/>
      <c r="Q894" s="83"/>
      <c r="R894" s="83"/>
      <c r="S894" s="83"/>
      <c r="T894" s="110">
        <f t="shared" si="1231"/>
        <v>0</v>
      </c>
      <c r="U894" s="59">
        <f t="shared" ref="U894:U895" si="1233">IF(Q894&gt;0,S894-W894,M894-W894)</f>
        <v>0</v>
      </c>
      <c r="V894" s="83"/>
      <c r="W894" s="83"/>
      <c r="X894" s="110">
        <f t="shared" si="1232"/>
        <v>0</v>
      </c>
      <c r="Y894" s="110"/>
      <c r="Z894" s="110"/>
      <c r="AA894" s="110"/>
      <c r="AB894" s="83"/>
      <c r="AC894" s="106"/>
      <c r="AD894" s="106"/>
      <c r="AE894" s="100">
        <f t="shared" ref="AE894:AE895" si="1234">N894/F894</f>
        <v>-1</v>
      </c>
      <c r="AF894" s="90"/>
      <c r="AG894" s="109">
        <f t="shared" ref="AG894:AG895" si="1235">IF(N894&lt;0,N894,0)</f>
        <v>-1246</v>
      </c>
      <c r="AH894" s="100">
        <f t="shared" ref="AH894:AH895" si="1236">(S894-F894)/F894</f>
        <v>-1</v>
      </c>
      <c r="AI894" s="100">
        <f t="shared" ref="AI894:AI895" si="1237">(W894-F894)/F894</f>
        <v>-1</v>
      </c>
    </row>
    <row r="895" spans="1:35" s="86" customFormat="1" ht="18.75" customHeight="1" x14ac:dyDescent="0.3">
      <c r="A895" s="106"/>
      <c r="B895" s="106" t="s">
        <v>52</v>
      </c>
      <c r="C895" s="118">
        <v>48291</v>
      </c>
      <c r="D895" s="316"/>
      <c r="E895" s="157" t="s">
        <v>49</v>
      </c>
      <c r="F895" s="83">
        <v>1356</v>
      </c>
      <c r="G895" s="83"/>
      <c r="H895" s="83"/>
      <c r="I895" s="83"/>
      <c r="J895" s="83"/>
      <c r="K895" s="83"/>
      <c r="L895" s="83"/>
      <c r="M895" s="83"/>
      <c r="N895" s="110">
        <f t="shared" si="1230"/>
        <v>-1356</v>
      </c>
      <c r="O895" s="110" t="s">
        <v>100</v>
      </c>
      <c r="P895" s="83"/>
      <c r="Q895" s="83"/>
      <c r="R895" s="83"/>
      <c r="S895" s="83"/>
      <c r="T895" s="110">
        <f t="shared" si="1231"/>
        <v>0</v>
      </c>
      <c r="U895" s="59">
        <f t="shared" si="1233"/>
        <v>0</v>
      </c>
      <c r="V895" s="83"/>
      <c r="W895" s="83"/>
      <c r="X895" s="110">
        <f t="shared" si="1232"/>
        <v>0</v>
      </c>
      <c r="Y895" s="110"/>
      <c r="Z895" s="110"/>
      <c r="AA895" s="110"/>
      <c r="AB895" s="83"/>
      <c r="AC895" s="106"/>
      <c r="AD895" s="106"/>
      <c r="AE895" s="100">
        <f t="shared" si="1234"/>
        <v>-1</v>
      </c>
      <c r="AF895" s="90"/>
      <c r="AG895" s="109">
        <f t="shared" si="1235"/>
        <v>-1356</v>
      </c>
      <c r="AH895" s="100">
        <f t="shared" si="1236"/>
        <v>-1</v>
      </c>
      <c r="AI895" s="100">
        <f t="shared" si="1237"/>
        <v>-1</v>
      </c>
    </row>
    <row r="896" spans="1:35" s="82" customFormat="1" ht="16.5" customHeight="1" x14ac:dyDescent="0.3">
      <c r="A896" s="90" t="s">
        <v>46</v>
      </c>
      <c r="B896" s="90" t="s">
        <v>52</v>
      </c>
      <c r="C896" s="137"/>
      <c r="D896" s="90"/>
      <c r="E896" s="80"/>
      <c r="F896" s="81">
        <f>SUM(F893:F895)</f>
        <v>3658</v>
      </c>
      <c r="G896" s="81"/>
      <c r="H896" s="81" t="s">
        <v>50</v>
      </c>
      <c r="I896" s="81"/>
      <c r="J896" s="81"/>
      <c r="K896" s="85" t="s">
        <v>562</v>
      </c>
      <c r="L896" s="81">
        <f>SUM(L893:L895)</f>
        <v>0</v>
      </c>
      <c r="M896" s="81">
        <f>SUM(M893:M895)</f>
        <v>0</v>
      </c>
      <c r="N896" s="81">
        <f>SUM(N893:N895)</f>
        <v>-3658</v>
      </c>
      <c r="O896" s="81"/>
      <c r="P896" s="81">
        <f>SUM(P893:P895)</f>
        <v>0</v>
      </c>
      <c r="Q896" s="81">
        <f>SUM(Q893:Q895)</f>
        <v>0</v>
      </c>
      <c r="R896" s="81">
        <f>SUM(R893:R895)</f>
        <v>0</v>
      </c>
      <c r="S896" s="81">
        <f>SUM(S893:S895)</f>
        <v>0</v>
      </c>
      <c r="T896" s="81">
        <f>SUM(T893:T895)</f>
        <v>0</v>
      </c>
      <c r="U896" s="59">
        <f t="shared" si="1177"/>
        <v>0</v>
      </c>
      <c r="V896" s="81">
        <f>SUM(V893:V895)</f>
        <v>0</v>
      </c>
      <c r="W896" s="81">
        <f>SUM(W893:W895)</f>
        <v>0</v>
      </c>
      <c r="X896" s="81">
        <f>SUM(X893:X895)</f>
        <v>0</v>
      </c>
      <c r="Y896" s="81" t="s">
        <v>47</v>
      </c>
      <c r="Z896" s="110" t="s">
        <v>45</v>
      </c>
      <c r="AA896" s="110"/>
      <c r="AB896" s="84"/>
      <c r="AC896" s="136"/>
      <c r="AD896" s="136"/>
      <c r="AE896" s="100">
        <f t="shared" si="1173"/>
        <v>-1</v>
      </c>
      <c r="AF896" s="90"/>
      <c r="AG896" s="109">
        <f t="shared" si="1174"/>
        <v>-3658</v>
      </c>
      <c r="AH896" s="100">
        <f t="shared" si="1175"/>
        <v>-1</v>
      </c>
      <c r="AI896" s="100">
        <f t="shared" si="1176"/>
        <v>-1</v>
      </c>
    </row>
    <row r="897" spans="1:35" s="86" customFormat="1" ht="18.75" customHeight="1" x14ac:dyDescent="0.3">
      <c r="A897" s="106"/>
      <c r="B897" s="106" t="s">
        <v>52</v>
      </c>
      <c r="C897" s="118">
        <v>47908</v>
      </c>
      <c r="D897" s="310">
        <v>13265105</v>
      </c>
      <c r="E897" s="157" t="s">
        <v>490</v>
      </c>
      <c r="F897" s="83">
        <v>794</v>
      </c>
      <c r="G897" s="83"/>
      <c r="H897" s="83"/>
      <c r="I897" s="83"/>
      <c r="J897" s="83"/>
      <c r="K897" s="83"/>
      <c r="L897" s="83"/>
      <c r="M897" s="83">
        <v>822</v>
      </c>
      <c r="N897" s="110">
        <f>M897-F897</f>
        <v>28</v>
      </c>
      <c r="O897" s="110" t="s">
        <v>100</v>
      </c>
      <c r="P897" s="83"/>
      <c r="Q897" s="83"/>
      <c r="R897" s="83"/>
      <c r="S897" s="83"/>
      <c r="T897" s="110">
        <f>S897-Q897</f>
        <v>0</v>
      </c>
      <c r="U897" s="59">
        <f t="shared" ref="U897:U903" si="1238">IF(Q897&gt;0,S897-W897,M897-W897)</f>
        <v>9</v>
      </c>
      <c r="V897" s="83"/>
      <c r="W897" s="83">
        <f>813</f>
        <v>813</v>
      </c>
      <c r="X897" s="110">
        <f>W897-M897</f>
        <v>-9</v>
      </c>
      <c r="Y897" s="110"/>
      <c r="Z897" s="110"/>
      <c r="AA897" s="110"/>
      <c r="AB897" s="83"/>
      <c r="AC897" s="106"/>
      <c r="AD897" s="106"/>
      <c r="AE897" s="100">
        <f t="shared" ref="AE897:AE903" si="1239">N897/F897</f>
        <v>3.5264483627204031E-2</v>
      </c>
      <c r="AF897" s="90"/>
      <c r="AG897" s="109">
        <f t="shared" ref="AG897:AG903" si="1240">IF(N897&lt;0,N897,0)</f>
        <v>0</v>
      </c>
      <c r="AH897" s="100">
        <f t="shared" ref="AH897:AH903" si="1241">(S897-F897)/F897</f>
        <v>-1</v>
      </c>
      <c r="AI897" s="100">
        <f t="shared" ref="AI897:AI903" si="1242">(W897-F897)/F897</f>
        <v>2.3929471032745592E-2</v>
      </c>
    </row>
    <row r="898" spans="1:35" s="86" customFormat="1" ht="18.75" customHeight="1" x14ac:dyDescent="0.3">
      <c r="A898" s="106"/>
      <c r="B898" s="106" t="s">
        <v>52</v>
      </c>
      <c r="C898" s="118">
        <v>47908</v>
      </c>
      <c r="D898" s="311"/>
      <c r="E898" s="157" t="s">
        <v>364</v>
      </c>
      <c r="F898" s="83">
        <v>794</v>
      </c>
      <c r="G898" s="83"/>
      <c r="H898" s="83"/>
      <c r="I898" s="83"/>
      <c r="J898" s="83"/>
      <c r="K898" s="83"/>
      <c r="L898" s="83"/>
      <c r="M898" s="83">
        <f>822+12</f>
        <v>834</v>
      </c>
      <c r="N898" s="110">
        <f>M898-F898</f>
        <v>40</v>
      </c>
      <c r="O898" s="110" t="s">
        <v>100</v>
      </c>
      <c r="P898" s="83"/>
      <c r="Q898" s="83">
        <f>822+12</f>
        <v>834</v>
      </c>
      <c r="R898" s="83"/>
      <c r="S898" s="83">
        <v>812</v>
      </c>
      <c r="T898" s="110">
        <f>S898-Q898</f>
        <v>-22</v>
      </c>
      <c r="U898" s="59">
        <f t="shared" ref="U898" si="1243">IF(Q898&gt;0,S898-W898,M898-W898)</f>
        <v>4</v>
      </c>
      <c r="V898" s="83"/>
      <c r="W898" s="83">
        <f>808</f>
        <v>808</v>
      </c>
      <c r="X898" s="110">
        <f>W898-M898</f>
        <v>-26</v>
      </c>
      <c r="Y898" s="110"/>
      <c r="Z898" s="110"/>
      <c r="AA898" s="110"/>
      <c r="AB898" s="83"/>
      <c r="AC898" s="106"/>
      <c r="AD898" s="106"/>
      <c r="AE898" s="100">
        <f t="shared" ref="AE898" si="1244">N898/F898</f>
        <v>5.0377833753148617E-2</v>
      </c>
      <c r="AF898" s="90"/>
      <c r="AG898" s="109">
        <f t="shared" ref="AG898" si="1245">IF(N898&lt;0,N898,0)</f>
        <v>0</v>
      </c>
      <c r="AH898" s="100">
        <f t="shared" ref="AH898" si="1246">(S898-F898)/F898</f>
        <v>2.2670025188916875E-2</v>
      </c>
      <c r="AI898" s="100">
        <f t="shared" ref="AI898" si="1247">(W898-F898)/F898</f>
        <v>1.7632241813602016E-2</v>
      </c>
    </row>
    <row r="899" spans="1:35" s="82" customFormat="1" ht="16.5" customHeight="1" x14ac:dyDescent="0.3">
      <c r="A899" s="90" t="s">
        <v>46</v>
      </c>
      <c r="B899" s="90" t="s">
        <v>52</v>
      </c>
      <c r="C899" s="137"/>
      <c r="D899" s="90"/>
      <c r="E899" s="80"/>
      <c r="F899" s="81">
        <f>SUM(F897:F898)</f>
        <v>1588</v>
      </c>
      <c r="G899" s="81"/>
      <c r="H899" s="81" t="s">
        <v>50</v>
      </c>
      <c r="I899" s="81"/>
      <c r="J899" s="81" t="s">
        <v>60</v>
      </c>
      <c r="K899" s="85" t="s">
        <v>226</v>
      </c>
      <c r="L899" s="81">
        <f>SUM(L897:L898)</f>
        <v>0</v>
      </c>
      <c r="M899" s="81">
        <f>SUM(M897:M898)</f>
        <v>1656</v>
      </c>
      <c r="N899" s="81">
        <f>SUM(N897:N898)</f>
        <v>68</v>
      </c>
      <c r="O899" s="81" t="s">
        <v>479</v>
      </c>
      <c r="P899" s="81">
        <f t="shared" ref="P899:X899" si="1248">SUM(P897:P898)</f>
        <v>0</v>
      </c>
      <c r="Q899" s="81">
        <f t="shared" si="1248"/>
        <v>834</v>
      </c>
      <c r="R899" s="81">
        <f t="shared" si="1248"/>
        <v>0</v>
      </c>
      <c r="S899" s="81">
        <f t="shared" si="1248"/>
        <v>812</v>
      </c>
      <c r="T899" s="81">
        <f t="shared" si="1248"/>
        <v>-22</v>
      </c>
      <c r="U899" s="59">
        <f t="shared" si="1248"/>
        <v>13</v>
      </c>
      <c r="V899" s="81">
        <f t="shared" si="1248"/>
        <v>0</v>
      </c>
      <c r="W899" s="81">
        <f t="shared" si="1248"/>
        <v>1621</v>
      </c>
      <c r="X899" s="81">
        <f t="shared" si="1248"/>
        <v>-35</v>
      </c>
      <c r="Y899" s="81" t="s">
        <v>47</v>
      </c>
      <c r="Z899" s="110" t="s">
        <v>45</v>
      </c>
      <c r="AA899" s="110"/>
      <c r="AB899" s="84"/>
      <c r="AC899" s="136"/>
      <c r="AD899" s="136"/>
      <c r="AE899" s="100">
        <f t="shared" si="1239"/>
        <v>4.2821158690176324E-2</v>
      </c>
      <c r="AF899" s="90"/>
      <c r="AG899" s="109">
        <f t="shared" si="1240"/>
        <v>0</v>
      </c>
      <c r="AH899" s="100">
        <f t="shared" si="1241"/>
        <v>-0.48866498740554154</v>
      </c>
      <c r="AI899" s="100">
        <f t="shared" si="1242"/>
        <v>2.0780856423173802E-2</v>
      </c>
    </row>
    <row r="900" spans="1:35" s="86" customFormat="1" ht="18.75" customHeight="1" x14ac:dyDescent="0.3">
      <c r="A900" s="106"/>
      <c r="B900" s="106" t="s">
        <v>52</v>
      </c>
      <c r="C900" s="118">
        <v>47958</v>
      </c>
      <c r="D900" s="310">
        <v>13264045</v>
      </c>
      <c r="E900" s="157" t="s">
        <v>408</v>
      </c>
      <c r="F900" s="83">
        <v>1275</v>
      </c>
      <c r="G900" s="83"/>
      <c r="H900" s="83"/>
      <c r="I900" s="83"/>
      <c r="J900" s="83"/>
      <c r="K900" s="83"/>
      <c r="L900" s="83"/>
      <c r="M900" s="83">
        <f>1297+21</f>
        <v>1318</v>
      </c>
      <c r="N900" s="110">
        <f>M900-F900</f>
        <v>43</v>
      </c>
      <c r="O900" s="110" t="s">
        <v>100</v>
      </c>
      <c r="P900" s="83"/>
      <c r="Q900" s="83">
        <f>769+528+21</f>
        <v>1318</v>
      </c>
      <c r="R900" s="83"/>
      <c r="S900" s="83">
        <f>550+747+21</f>
        <v>1318</v>
      </c>
      <c r="T900" s="110">
        <f>S900-Q900</f>
        <v>0</v>
      </c>
      <c r="U900" s="59">
        <f t="shared" si="1238"/>
        <v>32</v>
      </c>
      <c r="V900" s="83"/>
      <c r="W900" s="83">
        <f>1286</f>
        <v>1286</v>
      </c>
      <c r="X900" s="110">
        <f>W900-M900</f>
        <v>-32</v>
      </c>
      <c r="Y900" s="110"/>
      <c r="Z900" s="110"/>
      <c r="AA900" s="110"/>
      <c r="AB900" s="83"/>
      <c r="AC900" s="106"/>
      <c r="AD900" s="106"/>
      <c r="AE900" s="100">
        <f t="shared" si="1239"/>
        <v>3.3725490196078428E-2</v>
      </c>
      <c r="AF900" s="90"/>
      <c r="AG900" s="109">
        <f t="shared" si="1240"/>
        <v>0</v>
      </c>
      <c r="AH900" s="100">
        <f t="shared" si="1241"/>
        <v>3.3725490196078428E-2</v>
      </c>
      <c r="AI900" s="100">
        <f t="shared" si="1242"/>
        <v>8.6274509803921564E-3</v>
      </c>
    </row>
    <row r="901" spans="1:35" s="86" customFormat="1" ht="18.75" customHeight="1" x14ac:dyDescent="0.3">
      <c r="A901" s="106"/>
      <c r="B901" s="106" t="s">
        <v>52</v>
      </c>
      <c r="C901" s="118">
        <v>47958</v>
      </c>
      <c r="D901" s="311"/>
      <c r="E901" s="157" t="s">
        <v>204</v>
      </c>
      <c r="F901" s="83">
        <v>1362</v>
      </c>
      <c r="G901" s="83"/>
      <c r="H901" s="83"/>
      <c r="I901" s="83"/>
      <c r="J901" s="83"/>
      <c r="K901" s="83"/>
      <c r="L901" s="83"/>
      <c r="M901" s="83">
        <f>302+550+550</f>
        <v>1402</v>
      </c>
      <c r="N901" s="110">
        <f>M901-F901</f>
        <v>40</v>
      </c>
      <c r="O901" s="110" t="s">
        <v>100</v>
      </c>
      <c r="P901" s="83"/>
      <c r="Q901" s="83">
        <f>550+302+550</f>
        <v>1402</v>
      </c>
      <c r="R901" s="83"/>
      <c r="S901" s="83">
        <v>1402</v>
      </c>
      <c r="T901" s="110">
        <f>S901-Q901</f>
        <v>0</v>
      </c>
      <c r="U901" s="59">
        <f t="shared" ref="U901" si="1249">IF(Q901&gt;0,S901-W901,M901-W901)</f>
        <v>7</v>
      </c>
      <c r="V901" s="83"/>
      <c r="W901" s="83">
        <v>1395</v>
      </c>
      <c r="X901" s="110">
        <f>W901-M901</f>
        <v>-7</v>
      </c>
      <c r="Y901" s="110"/>
      <c r="Z901" s="110"/>
      <c r="AA901" s="110"/>
      <c r="AB901" s="83"/>
      <c r="AC901" s="106"/>
      <c r="AD901" s="106"/>
      <c r="AE901" s="100">
        <f t="shared" ref="AE901" si="1250">N901/F901</f>
        <v>2.9368575624082231E-2</v>
      </c>
      <c r="AF901" s="90"/>
      <c r="AG901" s="109">
        <f t="shared" ref="AG901" si="1251">IF(N901&lt;0,N901,0)</f>
        <v>0</v>
      </c>
      <c r="AH901" s="100">
        <f t="shared" ref="AH901" si="1252">(S901-F901)/F901</f>
        <v>2.9368575624082231E-2</v>
      </c>
      <c r="AI901" s="100">
        <f t="shared" ref="AI901" si="1253">(W901-F901)/F901</f>
        <v>2.4229074889867842E-2</v>
      </c>
    </row>
    <row r="902" spans="1:35" s="86" customFormat="1" ht="18.75" customHeight="1" x14ac:dyDescent="0.3">
      <c r="A902" s="106"/>
      <c r="B902" s="106" t="s">
        <v>52</v>
      </c>
      <c r="C902" s="118">
        <v>47958</v>
      </c>
      <c r="D902" s="311"/>
      <c r="E902" s="157" t="s">
        <v>723</v>
      </c>
      <c r="F902" s="83">
        <v>801</v>
      </c>
      <c r="G902" s="83"/>
      <c r="H902" s="83"/>
      <c r="I902" s="83"/>
      <c r="J902" s="83"/>
      <c r="K902" s="83"/>
      <c r="L902" s="83"/>
      <c r="M902" s="83">
        <f>777+66</f>
        <v>843</v>
      </c>
      <c r="N902" s="110">
        <f>M902-F902</f>
        <v>42</v>
      </c>
      <c r="O902" s="110" t="s">
        <v>100</v>
      </c>
      <c r="P902" s="83"/>
      <c r="Q902" s="83">
        <f>777+66</f>
        <v>843</v>
      </c>
      <c r="R902" s="83">
        <v>843</v>
      </c>
      <c r="S902" s="83">
        <v>843</v>
      </c>
      <c r="T902" s="110">
        <f>S902-Q902</f>
        <v>0</v>
      </c>
      <c r="U902" s="59">
        <f t="shared" si="1238"/>
        <v>843</v>
      </c>
      <c r="V902" s="83"/>
      <c r="W902" s="83"/>
      <c r="X902" s="110">
        <f>W902-M902</f>
        <v>-843</v>
      </c>
      <c r="Y902" s="110"/>
      <c r="Z902" s="110"/>
      <c r="AA902" s="110"/>
      <c r="AB902" s="83"/>
      <c r="AC902" s="106"/>
      <c r="AD902" s="106"/>
      <c r="AE902" s="100">
        <f t="shared" si="1239"/>
        <v>5.2434456928838954E-2</v>
      </c>
      <c r="AF902" s="90"/>
      <c r="AG902" s="109">
        <f t="shared" si="1240"/>
        <v>0</v>
      </c>
      <c r="AH902" s="100">
        <f t="shared" si="1241"/>
        <v>5.2434456928838954E-2</v>
      </c>
      <c r="AI902" s="100">
        <f t="shared" si="1242"/>
        <v>-1</v>
      </c>
    </row>
    <row r="903" spans="1:35" s="82" customFormat="1" ht="16.5" customHeight="1" x14ac:dyDescent="0.3">
      <c r="A903" s="90" t="s">
        <v>46</v>
      </c>
      <c r="B903" s="90" t="s">
        <v>52</v>
      </c>
      <c r="C903" s="137"/>
      <c r="D903" s="90"/>
      <c r="E903" s="80"/>
      <c r="F903" s="81">
        <f>SUM(F900:F902)</f>
        <v>3438</v>
      </c>
      <c r="G903" s="81"/>
      <c r="H903" s="81" t="s">
        <v>50</v>
      </c>
      <c r="I903" s="81"/>
      <c r="J903" s="81" t="s">
        <v>60</v>
      </c>
      <c r="K903" s="85" t="s">
        <v>226</v>
      </c>
      <c r="L903" s="81">
        <f>SUM(L900:L902)</f>
        <v>0</v>
      </c>
      <c r="M903" s="81">
        <f>SUM(M900:M902)</f>
        <v>3563</v>
      </c>
      <c r="N903" s="81">
        <f>SUM(N900:N902)</f>
        <v>125</v>
      </c>
      <c r="O903" s="81" t="s">
        <v>287</v>
      </c>
      <c r="P903" s="81">
        <f>SUM(P900:P902)</f>
        <v>0</v>
      </c>
      <c r="Q903" s="81">
        <f>SUM(Q900:Q902)</f>
        <v>3563</v>
      </c>
      <c r="R903" s="81">
        <f t="shared" ref="R903:T903" si="1254">SUM(R900:R902)</f>
        <v>843</v>
      </c>
      <c r="S903" s="81">
        <f t="shared" si="1254"/>
        <v>3563</v>
      </c>
      <c r="T903" s="81">
        <f t="shared" si="1254"/>
        <v>0</v>
      </c>
      <c r="U903" s="59">
        <f t="shared" si="1238"/>
        <v>882</v>
      </c>
      <c r="V903" s="81">
        <f>SUM(V900:V902)</f>
        <v>0</v>
      </c>
      <c r="W903" s="81">
        <f>SUM(W900:W902)</f>
        <v>2681</v>
      </c>
      <c r="X903" s="81">
        <f>SUM(X900:X902)</f>
        <v>-882</v>
      </c>
      <c r="Y903" s="81" t="s">
        <v>47</v>
      </c>
      <c r="Z903" s="110" t="s">
        <v>45</v>
      </c>
      <c r="AA903" s="110"/>
      <c r="AB903" s="84"/>
      <c r="AC903" s="136"/>
      <c r="AD903" s="136"/>
      <c r="AE903" s="100">
        <f t="shared" si="1239"/>
        <v>3.6358347876672484E-2</v>
      </c>
      <c r="AF903" s="90"/>
      <c r="AG903" s="109">
        <f t="shared" si="1240"/>
        <v>0</v>
      </c>
      <c r="AH903" s="100">
        <f t="shared" si="1241"/>
        <v>3.6358347876672484E-2</v>
      </c>
      <c r="AI903" s="100">
        <f t="shared" si="1242"/>
        <v>-0.22018615474112857</v>
      </c>
    </row>
    <row r="904" spans="1:35" s="86" customFormat="1" ht="18.75" customHeight="1" x14ac:dyDescent="0.3">
      <c r="A904" s="106"/>
      <c r="B904" s="106" t="s">
        <v>52</v>
      </c>
      <c r="C904" s="118">
        <v>47965</v>
      </c>
      <c r="D904" s="310">
        <v>13259270</v>
      </c>
      <c r="E904" s="157" t="s">
        <v>228</v>
      </c>
      <c r="F904" s="83">
        <v>828</v>
      </c>
      <c r="G904" s="83"/>
      <c r="H904" s="83"/>
      <c r="I904" s="83"/>
      <c r="J904" s="83"/>
      <c r="K904" s="83"/>
      <c r="L904" s="83"/>
      <c r="M904" s="83">
        <f>280+566</f>
        <v>846</v>
      </c>
      <c r="N904" s="110">
        <f>M904-F904</f>
        <v>18</v>
      </c>
      <c r="O904" s="110" t="s">
        <v>100</v>
      </c>
      <c r="P904" s="83"/>
      <c r="Q904" s="83"/>
      <c r="R904" s="83"/>
      <c r="S904" s="83"/>
      <c r="T904" s="110">
        <f>S904-Q904</f>
        <v>0</v>
      </c>
      <c r="U904" s="59">
        <f t="shared" si="1177"/>
        <v>846</v>
      </c>
      <c r="V904" s="83"/>
      <c r="W904" s="83"/>
      <c r="X904" s="110">
        <f>W904-M904</f>
        <v>-846</v>
      </c>
      <c r="Y904" s="110"/>
      <c r="Z904" s="110"/>
      <c r="AA904" s="110"/>
      <c r="AB904" s="83"/>
      <c r="AC904" s="106"/>
      <c r="AD904" s="106"/>
      <c r="AE904" s="100">
        <f t="shared" si="1173"/>
        <v>2.1739130434782608E-2</v>
      </c>
      <c r="AF904" s="90"/>
      <c r="AG904" s="109">
        <f t="shared" si="1174"/>
        <v>0</v>
      </c>
      <c r="AH904" s="100">
        <f t="shared" si="1175"/>
        <v>-1</v>
      </c>
      <c r="AI904" s="100">
        <f t="shared" si="1176"/>
        <v>-1</v>
      </c>
    </row>
    <row r="905" spans="1:35" s="86" customFormat="1" ht="18.75" customHeight="1" x14ac:dyDescent="0.3">
      <c r="A905" s="106"/>
      <c r="B905" s="106" t="s">
        <v>52</v>
      </c>
      <c r="C905" s="118">
        <v>47965</v>
      </c>
      <c r="D905" s="311"/>
      <c r="E905" s="157" t="s">
        <v>599</v>
      </c>
      <c r="F905" s="83">
        <v>630</v>
      </c>
      <c r="G905" s="83"/>
      <c r="H905" s="83"/>
      <c r="I905" s="83"/>
      <c r="J905" s="83"/>
      <c r="K905" s="83"/>
      <c r="L905" s="83"/>
      <c r="M905" s="83">
        <f>381</f>
        <v>381</v>
      </c>
      <c r="N905" s="110">
        <f>M905-F905</f>
        <v>-249</v>
      </c>
      <c r="O905" s="110" t="s">
        <v>100</v>
      </c>
      <c r="P905" s="83"/>
      <c r="Q905" s="83"/>
      <c r="R905" s="83"/>
      <c r="S905" s="83"/>
      <c r="T905" s="110">
        <f>S905-Q905</f>
        <v>0</v>
      </c>
      <c r="U905" s="59">
        <f t="shared" si="1177"/>
        <v>381</v>
      </c>
      <c r="V905" s="83"/>
      <c r="W905" s="83"/>
      <c r="X905" s="110">
        <f>W905-M905</f>
        <v>-381</v>
      </c>
      <c r="Y905" s="110"/>
      <c r="Z905" s="110"/>
      <c r="AA905" s="110"/>
      <c r="AB905" s="83"/>
      <c r="AC905" s="106"/>
      <c r="AD905" s="106"/>
      <c r="AE905" s="100">
        <f t="shared" si="1173"/>
        <v>-0.39523809523809522</v>
      </c>
      <c r="AF905" s="90"/>
      <c r="AG905" s="109">
        <f t="shared" si="1174"/>
        <v>-249</v>
      </c>
      <c r="AH905" s="100">
        <f t="shared" si="1175"/>
        <v>-1</v>
      </c>
      <c r="AI905" s="100">
        <f t="shared" si="1176"/>
        <v>-1</v>
      </c>
    </row>
    <row r="906" spans="1:35" s="82" customFormat="1" ht="16.5" customHeight="1" x14ac:dyDescent="0.3">
      <c r="A906" s="90" t="s">
        <v>46</v>
      </c>
      <c r="B906" s="90" t="s">
        <v>52</v>
      </c>
      <c r="C906" s="137"/>
      <c r="D906" s="90"/>
      <c r="E906" s="80"/>
      <c r="F906" s="81">
        <f>SUM(F904:F905)</f>
        <v>1458</v>
      </c>
      <c r="G906" s="81"/>
      <c r="H906" s="81" t="s">
        <v>50</v>
      </c>
      <c r="I906" s="81"/>
      <c r="J906" s="81" t="s">
        <v>60</v>
      </c>
      <c r="K906" s="85" t="s">
        <v>401</v>
      </c>
      <c r="L906" s="81">
        <f>SUM(L904:L905)</f>
        <v>0</v>
      </c>
      <c r="M906" s="81">
        <f>SUM(M904:M905)</f>
        <v>1227</v>
      </c>
      <c r="N906" s="81">
        <f>SUM(N904:N905)</f>
        <v>-231</v>
      </c>
      <c r="O906" s="81"/>
      <c r="P906" s="81">
        <f>SUM(P904:P905)</f>
        <v>0</v>
      </c>
      <c r="Q906" s="81">
        <f>SUM(Q904:Q905)</f>
        <v>0</v>
      </c>
      <c r="R906" s="81">
        <f>SUM(R904:R905)</f>
        <v>0</v>
      </c>
      <c r="S906" s="81">
        <f>SUM(S904:S905)</f>
        <v>0</v>
      </c>
      <c r="T906" s="81">
        <f>SUM(T904:T905)</f>
        <v>0</v>
      </c>
      <c r="U906" s="59">
        <f t="shared" si="1177"/>
        <v>1227</v>
      </c>
      <c r="V906" s="81">
        <f>SUM(V904:V905)</f>
        <v>0</v>
      </c>
      <c r="W906" s="81">
        <f>SUM(W904:W905)</f>
        <v>0</v>
      </c>
      <c r="X906" s="81">
        <f>SUM(X904:X905)</f>
        <v>-1227</v>
      </c>
      <c r="Y906" s="81"/>
      <c r="Z906" s="110"/>
      <c r="AA906" s="110"/>
      <c r="AB906" s="84"/>
      <c r="AC906" s="136"/>
      <c r="AD906" s="136"/>
      <c r="AE906" s="100">
        <f t="shared" si="1173"/>
        <v>-0.15843621399176955</v>
      </c>
      <c r="AF906" s="90"/>
      <c r="AG906" s="109">
        <f t="shared" si="1174"/>
        <v>-231</v>
      </c>
      <c r="AH906" s="100">
        <f t="shared" si="1175"/>
        <v>-1</v>
      </c>
      <c r="AI906" s="100">
        <f t="shared" si="1176"/>
        <v>-1</v>
      </c>
    </row>
    <row r="907" spans="1:35" s="86" customFormat="1" ht="18.75" customHeight="1" x14ac:dyDescent="0.3">
      <c r="A907" s="106"/>
      <c r="B907" s="106" t="s">
        <v>52</v>
      </c>
      <c r="C907" s="118">
        <v>47959</v>
      </c>
      <c r="D907" s="310">
        <v>13264047</v>
      </c>
      <c r="E907" s="157" t="s">
        <v>488</v>
      </c>
      <c r="F907" s="83">
        <v>840</v>
      </c>
      <c r="G907" s="83"/>
      <c r="H907" s="83"/>
      <c r="I907" s="83"/>
      <c r="J907" s="83"/>
      <c r="K907" s="83"/>
      <c r="L907" s="83"/>
      <c r="M907" s="83">
        <f>480+392</f>
        <v>872</v>
      </c>
      <c r="N907" s="110">
        <f>M907-F907</f>
        <v>32</v>
      </c>
      <c r="O907" s="110" t="s">
        <v>100</v>
      </c>
      <c r="P907" s="83"/>
      <c r="Q907" s="83">
        <f>480+392</f>
        <v>872</v>
      </c>
      <c r="R907" s="83"/>
      <c r="S907" s="83">
        <f>480+392</f>
        <v>872</v>
      </c>
      <c r="T907" s="110">
        <f>S907-Q907</f>
        <v>0</v>
      </c>
      <c r="U907" s="59">
        <f t="shared" ref="U907:U924" si="1255">IF(Q907&gt;0,S907-W907,M907-W907)</f>
        <v>872</v>
      </c>
      <c r="V907" s="83"/>
      <c r="W907" s="83"/>
      <c r="X907" s="110">
        <f>W907-M907</f>
        <v>-872</v>
      </c>
      <c r="Y907" s="110"/>
      <c r="Z907" s="110"/>
      <c r="AA907" s="110"/>
      <c r="AB907" s="83"/>
      <c r="AC907" s="106"/>
      <c r="AD907" s="106"/>
      <c r="AE907" s="100">
        <f t="shared" ref="AE907:AE924" si="1256">N907/F907</f>
        <v>3.8095238095238099E-2</v>
      </c>
      <c r="AF907" s="90"/>
      <c r="AG907" s="109">
        <f t="shared" ref="AG907:AG924" si="1257">IF(N907&lt;0,N907,0)</f>
        <v>0</v>
      </c>
      <c r="AH907" s="100">
        <f t="shared" ref="AH907:AH924" si="1258">(S907-F907)/F907</f>
        <v>3.8095238095238099E-2</v>
      </c>
      <c r="AI907" s="100">
        <f t="shared" ref="AI907:AI924" si="1259">(W907-F907)/F907</f>
        <v>-1</v>
      </c>
    </row>
    <row r="908" spans="1:35" s="86" customFormat="1" ht="18.75" customHeight="1" x14ac:dyDescent="0.3">
      <c r="A908" s="106"/>
      <c r="B908" s="106" t="s">
        <v>52</v>
      </c>
      <c r="C908" s="118">
        <v>47959</v>
      </c>
      <c r="D908" s="311"/>
      <c r="E908" s="157" t="s">
        <v>408</v>
      </c>
      <c r="F908" s="83">
        <v>1406</v>
      </c>
      <c r="G908" s="83"/>
      <c r="H908" s="83"/>
      <c r="I908" s="83"/>
      <c r="J908" s="83"/>
      <c r="K908" s="83"/>
      <c r="L908" s="83"/>
      <c r="M908" s="83">
        <f>696+753</f>
        <v>1449</v>
      </c>
      <c r="N908" s="110">
        <f>M908-F908</f>
        <v>43</v>
      </c>
      <c r="O908" s="110" t="s">
        <v>100</v>
      </c>
      <c r="P908" s="83"/>
      <c r="Q908" s="83">
        <v>1449</v>
      </c>
      <c r="R908" s="83"/>
      <c r="S908" s="83">
        <v>1449</v>
      </c>
      <c r="T908" s="110">
        <f>S908-Q908</f>
        <v>0</v>
      </c>
      <c r="U908" s="59">
        <f t="shared" ref="U908" si="1260">IF(Q908&gt;0,S908-W908,M908-W908)</f>
        <v>1449</v>
      </c>
      <c r="V908" s="83"/>
      <c r="W908" s="83"/>
      <c r="X908" s="110">
        <f>W908-M908</f>
        <v>-1449</v>
      </c>
      <c r="Y908" s="110"/>
      <c r="Z908" s="110"/>
      <c r="AA908" s="110"/>
      <c r="AB908" s="83"/>
      <c r="AC908" s="106"/>
      <c r="AD908" s="106"/>
      <c r="AE908" s="100">
        <f t="shared" ref="AE908" si="1261">N908/F908</f>
        <v>3.0583214793741108E-2</v>
      </c>
      <c r="AF908" s="90"/>
      <c r="AG908" s="109">
        <f t="shared" ref="AG908" si="1262">IF(N908&lt;0,N908,0)</f>
        <v>0</v>
      </c>
      <c r="AH908" s="100">
        <f t="shared" ref="AH908" si="1263">(S908-F908)/F908</f>
        <v>3.0583214793741108E-2</v>
      </c>
      <c r="AI908" s="100">
        <f t="shared" ref="AI908" si="1264">(W908-F908)/F908</f>
        <v>-1</v>
      </c>
    </row>
    <row r="909" spans="1:35" s="86" customFormat="1" ht="18.75" customHeight="1" x14ac:dyDescent="0.3">
      <c r="A909" s="106"/>
      <c r="B909" s="106" t="s">
        <v>52</v>
      </c>
      <c r="C909" s="118">
        <v>47959</v>
      </c>
      <c r="D909" s="311"/>
      <c r="E909" s="157" t="s">
        <v>204</v>
      </c>
      <c r="F909" s="83">
        <v>762</v>
      </c>
      <c r="G909" s="83"/>
      <c r="H909" s="83"/>
      <c r="I909" s="83"/>
      <c r="J909" s="83"/>
      <c r="K909" s="83"/>
      <c r="L909" s="83"/>
      <c r="M909" s="83">
        <v>804</v>
      </c>
      <c r="N909" s="110">
        <f>M909-F909</f>
        <v>42</v>
      </c>
      <c r="O909" s="110" t="s">
        <v>100</v>
      </c>
      <c r="P909" s="83"/>
      <c r="Q909" s="83">
        <v>804</v>
      </c>
      <c r="R909" s="83"/>
      <c r="S909" s="83">
        <v>804</v>
      </c>
      <c r="T909" s="110">
        <f>S909-Q909</f>
        <v>0</v>
      </c>
      <c r="U909" s="59">
        <f t="shared" si="1255"/>
        <v>804</v>
      </c>
      <c r="V909" s="83"/>
      <c r="W909" s="83"/>
      <c r="X909" s="110">
        <f>W909-M909</f>
        <v>-804</v>
      </c>
      <c r="Y909" s="110"/>
      <c r="Z909" s="110"/>
      <c r="AA909" s="110"/>
      <c r="AB909" s="83"/>
      <c r="AC909" s="106"/>
      <c r="AD909" s="106"/>
      <c r="AE909" s="100">
        <f t="shared" si="1256"/>
        <v>5.5118110236220472E-2</v>
      </c>
      <c r="AF909" s="90"/>
      <c r="AG909" s="109">
        <f t="shared" si="1257"/>
        <v>0</v>
      </c>
      <c r="AH909" s="100">
        <f t="shared" si="1258"/>
        <v>5.5118110236220472E-2</v>
      </c>
      <c r="AI909" s="100">
        <f t="shared" si="1259"/>
        <v>-1</v>
      </c>
    </row>
    <row r="910" spans="1:35" s="82" customFormat="1" ht="16.5" customHeight="1" x14ac:dyDescent="0.3">
      <c r="A910" s="90" t="s">
        <v>46</v>
      </c>
      <c r="B910" s="90" t="s">
        <v>52</v>
      </c>
      <c r="C910" s="137"/>
      <c r="D910" s="90"/>
      <c r="E910" s="80"/>
      <c r="F910" s="81">
        <f>SUM(F907:F909)</f>
        <v>3008</v>
      </c>
      <c r="G910" s="81"/>
      <c r="H910" s="81" t="s">
        <v>50</v>
      </c>
      <c r="I910" s="81"/>
      <c r="J910" s="81" t="s">
        <v>60</v>
      </c>
      <c r="K910" s="85" t="s">
        <v>226</v>
      </c>
      <c r="L910" s="81">
        <f>SUM(L907:L909)</f>
        <v>0</v>
      </c>
      <c r="M910" s="81">
        <f>SUM(M907:M909)</f>
        <v>3125</v>
      </c>
      <c r="N910" s="81">
        <f>SUM(N907:N909)</f>
        <v>117</v>
      </c>
      <c r="O910" s="81" t="s">
        <v>821</v>
      </c>
      <c r="P910" s="81">
        <f>SUM(P907:P909)</f>
        <v>0</v>
      </c>
      <c r="Q910" s="81">
        <f>SUM(Q907:Q909)</f>
        <v>3125</v>
      </c>
      <c r="R910" s="81">
        <f>SUM(R907:R909)</f>
        <v>0</v>
      </c>
      <c r="S910" s="81">
        <f>SUM(S907:S909)</f>
        <v>3125</v>
      </c>
      <c r="T910" s="81">
        <f>SUM(T907:T909)</f>
        <v>0</v>
      </c>
      <c r="U910" s="59">
        <f t="shared" si="1255"/>
        <v>3125</v>
      </c>
      <c r="V910" s="81">
        <f>SUM(V907:V909)</f>
        <v>0</v>
      </c>
      <c r="W910" s="81">
        <f>SUM(W907:W909)</f>
        <v>0</v>
      </c>
      <c r="X910" s="81">
        <f>SUM(X907:X909)</f>
        <v>-3125</v>
      </c>
      <c r="Y910" s="81" t="s">
        <v>47</v>
      </c>
      <c r="Z910" s="110" t="s">
        <v>45</v>
      </c>
      <c r="AA910" s="110"/>
      <c r="AB910" s="84"/>
      <c r="AC910" s="136"/>
      <c r="AD910" s="136"/>
      <c r="AE910" s="100">
        <f t="shared" si="1256"/>
        <v>3.8896276595744683E-2</v>
      </c>
      <c r="AF910" s="90"/>
      <c r="AG910" s="109">
        <f t="shared" si="1257"/>
        <v>0</v>
      </c>
      <c r="AH910" s="100">
        <f t="shared" si="1258"/>
        <v>3.8896276595744683E-2</v>
      </c>
      <c r="AI910" s="100">
        <f t="shared" si="1259"/>
        <v>-1</v>
      </c>
    </row>
    <row r="911" spans="1:35" s="86" customFormat="1" ht="18.75" customHeight="1" x14ac:dyDescent="0.3">
      <c r="A911" s="106"/>
      <c r="B911" s="106" t="s">
        <v>52</v>
      </c>
      <c r="C911" s="118">
        <v>47539</v>
      </c>
      <c r="D911" s="310">
        <v>13235130</v>
      </c>
      <c r="E911" s="157" t="s">
        <v>323</v>
      </c>
      <c r="F911" s="83">
        <v>804</v>
      </c>
      <c r="G911" s="83"/>
      <c r="H911" s="83"/>
      <c r="I911" s="83"/>
      <c r="J911" s="83"/>
      <c r="K911" s="83"/>
      <c r="L911" s="83"/>
      <c r="M911" s="83">
        <f>200+642</f>
        <v>842</v>
      </c>
      <c r="N911" s="110">
        <f>M911-F911</f>
        <v>38</v>
      </c>
      <c r="O911" s="110" t="s">
        <v>100</v>
      </c>
      <c r="P911" s="83"/>
      <c r="Q911" s="83"/>
      <c r="R911" s="83"/>
      <c r="S911" s="83"/>
      <c r="T911" s="110">
        <f>S911-Q911</f>
        <v>0</v>
      </c>
      <c r="U911" s="59">
        <f t="shared" si="1255"/>
        <v>0</v>
      </c>
      <c r="V911" s="83"/>
      <c r="W911" s="83">
        <v>842</v>
      </c>
      <c r="X911" s="110">
        <f>W911-M911</f>
        <v>0</v>
      </c>
      <c r="Y911" s="110"/>
      <c r="Z911" s="110"/>
      <c r="AA911" s="110"/>
      <c r="AB911" s="83"/>
      <c r="AC911" s="106"/>
      <c r="AD911" s="106"/>
      <c r="AE911" s="100">
        <f t="shared" si="1256"/>
        <v>4.7263681592039801E-2</v>
      </c>
      <c r="AF911" s="90"/>
      <c r="AG911" s="109">
        <f t="shared" si="1257"/>
        <v>0</v>
      </c>
      <c r="AH911" s="100">
        <f t="shared" si="1258"/>
        <v>-1</v>
      </c>
      <c r="AI911" s="100">
        <f t="shared" si="1259"/>
        <v>4.7263681592039801E-2</v>
      </c>
    </row>
    <row r="912" spans="1:35" s="86" customFormat="1" ht="18.75" customHeight="1" x14ac:dyDescent="0.3">
      <c r="A912" s="106"/>
      <c r="B912" s="106" t="s">
        <v>52</v>
      </c>
      <c r="C912" s="118">
        <v>47539</v>
      </c>
      <c r="D912" s="311"/>
      <c r="E912" s="157" t="s">
        <v>171</v>
      </c>
      <c r="F912" s="83">
        <v>804</v>
      </c>
      <c r="G912" s="83"/>
      <c r="H912" s="83"/>
      <c r="I912" s="83"/>
      <c r="J912" s="83"/>
      <c r="K912" s="83"/>
      <c r="L912" s="83"/>
      <c r="M912" s="83">
        <f>621+236</f>
        <v>857</v>
      </c>
      <c r="N912" s="110">
        <f>M912-F912</f>
        <v>53</v>
      </c>
      <c r="O912" s="110" t="s">
        <v>100</v>
      </c>
      <c r="P912" s="83"/>
      <c r="Q912" s="83">
        <f>851</f>
        <v>851</v>
      </c>
      <c r="R912" s="83"/>
      <c r="S912" s="83">
        <v>849</v>
      </c>
      <c r="T912" s="110">
        <f>S912-Q912</f>
        <v>-2</v>
      </c>
      <c r="U912" s="59">
        <f t="shared" si="1255"/>
        <v>7</v>
      </c>
      <c r="V912" s="83"/>
      <c r="W912" s="83">
        <v>842</v>
      </c>
      <c r="X912" s="110">
        <f>W912-M912</f>
        <v>-15</v>
      </c>
      <c r="Y912" s="110"/>
      <c r="Z912" s="110"/>
      <c r="AA912" s="110"/>
      <c r="AB912" s="83"/>
      <c r="AC912" s="106"/>
      <c r="AD912" s="106"/>
      <c r="AE912" s="100">
        <f t="shared" si="1256"/>
        <v>6.5920398009950254E-2</v>
      </c>
      <c r="AF912" s="90"/>
      <c r="AG912" s="109">
        <f t="shared" si="1257"/>
        <v>0</v>
      </c>
      <c r="AH912" s="100">
        <f t="shared" si="1258"/>
        <v>5.5970149253731345E-2</v>
      </c>
      <c r="AI912" s="100">
        <f t="shared" si="1259"/>
        <v>4.7263681592039801E-2</v>
      </c>
    </row>
    <row r="913" spans="1:35" s="82" customFormat="1" ht="16.5" customHeight="1" x14ac:dyDescent="0.3">
      <c r="A913" s="90" t="s">
        <v>46</v>
      </c>
      <c r="B913" s="90" t="s">
        <v>52</v>
      </c>
      <c r="C913" s="137"/>
      <c r="D913" s="90"/>
      <c r="E913" s="80"/>
      <c r="F913" s="81">
        <f>SUM(F911:F912)</f>
        <v>1608</v>
      </c>
      <c r="G913" s="81"/>
      <c r="H913" s="81" t="s">
        <v>50</v>
      </c>
      <c r="I913" s="81"/>
      <c r="J913" s="81" t="s">
        <v>60</v>
      </c>
      <c r="K913" s="85" t="s">
        <v>238</v>
      </c>
      <c r="L913" s="81">
        <f>SUM(L911:L912)</f>
        <v>0</v>
      </c>
      <c r="M913" s="81">
        <f>SUM(M911:M912)</f>
        <v>1699</v>
      </c>
      <c r="N913" s="81">
        <f>SUM(N911:N912)</f>
        <v>91</v>
      </c>
      <c r="O913" s="81" t="s">
        <v>197</v>
      </c>
      <c r="P913" s="81">
        <f t="shared" ref="P913:X913" si="1265">SUM(P911:P912)</f>
        <v>0</v>
      </c>
      <c r="Q913" s="81">
        <f t="shared" si="1265"/>
        <v>851</v>
      </c>
      <c r="R913" s="81">
        <f t="shared" si="1265"/>
        <v>0</v>
      </c>
      <c r="S913" s="81">
        <f t="shared" si="1265"/>
        <v>849</v>
      </c>
      <c r="T913" s="81">
        <f t="shared" si="1265"/>
        <v>-2</v>
      </c>
      <c r="U913" s="59">
        <f t="shared" si="1265"/>
        <v>7</v>
      </c>
      <c r="V913" s="81">
        <f t="shared" si="1265"/>
        <v>0</v>
      </c>
      <c r="W913" s="81">
        <f t="shared" si="1265"/>
        <v>1684</v>
      </c>
      <c r="X913" s="81">
        <f t="shared" si="1265"/>
        <v>-15</v>
      </c>
      <c r="Y913" s="81" t="s">
        <v>47</v>
      </c>
      <c r="Z913" s="110" t="s">
        <v>45</v>
      </c>
      <c r="AA913" s="110"/>
      <c r="AB913" s="84"/>
      <c r="AC913" s="136"/>
      <c r="AD913" s="136"/>
      <c r="AE913" s="100">
        <f t="shared" si="1256"/>
        <v>5.6592039800995024E-2</v>
      </c>
      <c r="AF913" s="90"/>
      <c r="AG913" s="109">
        <f t="shared" si="1257"/>
        <v>0</v>
      </c>
      <c r="AH913" s="100">
        <f t="shared" si="1258"/>
        <v>-0.47201492537313433</v>
      </c>
      <c r="AI913" s="100">
        <f t="shared" si="1259"/>
        <v>4.7263681592039801E-2</v>
      </c>
    </row>
    <row r="914" spans="1:35" s="86" customFormat="1" ht="18.75" customHeight="1" x14ac:dyDescent="0.3">
      <c r="A914" s="106"/>
      <c r="B914" s="106" t="s">
        <v>52</v>
      </c>
      <c r="C914" s="118">
        <v>48067</v>
      </c>
      <c r="D914" s="310">
        <v>13262959</v>
      </c>
      <c r="E914" s="157" t="s">
        <v>628</v>
      </c>
      <c r="F914" s="83">
        <v>1008</v>
      </c>
      <c r="G914" s="83"/>
      <c r="H914" s="83"/>
      <c r="I914" s="83"/>
      <c r="J914" s="83"/>
      <c r="K914" s="83"/>
      <c r="L914" s="83"/>
      <c r="M914" s="83"/>
      <c r="N914" s="110">
        <f>M914-F914</f>
        <v>-1008</v>
      </c>
      <c r="O914" s="110" t="s">
        <v>100</v>
      </c>
      <c r="P914" s="83">
        <v>791</v>
      </c>
      <c r="Q914" s="83">
        <f>791</f>
        <v>791</v>
      </c>
      <c r="R914" s="83"/>
      <c r="S914" s="83"/>
      <c r="T914" s="110">
        <f>S914-Q914</f>
        <v>-791</v>
      </c>
      <c r="U914" s="59">
        <f t="shared" si="1255"/>
        <v>0</v>
      </c>
      <c r="V914" s="83"/>
      <c r="W914" s="83"/>
      <c r="X914" s="110">
        <f>W914-M914</f>
        <v>0</v>
      </c>
      <c r="Y914" s="110"/>
      <c r="Z914" s="110"/>
      <c r="AA914" s="110"/>
      <c r="AB914" s="83"/>
      <c r="AC914" s="106"/>
      <c r="AD914" s="106"/>
      <c r="AE914" s="100">
        <f t="shared" si="1256"/>
        <v>-1</v>
      </c>
      <c r="AF914" s="90"/>
      <c r="AG914" s="109">
        <f t="shared" si="1257"/>
        <v>-1008</v>
      </c>
      <c r="AH914" s="100">
        <f t="shared" si="1258"/>
        <v>-1</v>
      </c>
      <c r="AI914" s="100">
        <f t="shared" si="1259"/>
        <v>-1</v>
      </c>
    </row>
    <row r="915" spans="1:35" s="86" customFormat="1" ht="18.75" customHeight="1" x14ac:dyDescent="0.3">
      <c r="A915" s="106"/>
      <c r="B915" s="106" t="s">
        <v>52</v>
      </c>
      <c r="C915" s="118">
        <v>48067</v>
      </c>
      <c r="D915" s="311"/>
      <c r="E915" s="157" t="s">
        <v>626</v>
      </c>
      <c r="F915" s="83">
        <v>840</v>
      </c>
      <c r="G915" s="83"/>
      <c r="H915" s="83"/>
      <c r="I915" s="83"/>
      <c r="J915" s="83"/>
      <c r="K915" s="83"/>
      <c r="L915" s="83">
        <v>41</v>
      </c>
      <c r="M915" s="83">
        <f>570+306</f>
        <v>876</v>
      </c>
      <c r="N915" s="110">
        <f>M915-F915</f>
        <v>36</v>
      </c>
      <c r="O915" s="110" t="s">
        <v>100</v>
      </c>
      <c r="P915" s="83">
        <v>41</v>
      </c>
      <c r="Q915" s="83">
        <f>538+292+41</f>
        <v>871</v>
      </c>
      <c r="R915" s="83"/>
      <c r="S915" s="83"/>
      <c r="T915" s="110">
        <f>S915-Q915</f>
        <v>-871</v>
      </c>
      <c r="U915" s="59">
        <f t="shared" si="1255"/>
        <v>0</v>
      </c>
      <c r="V915" s="83"/>
      <c r="W915" s="83"/>
      <c r="X915" s="110">
        <f>W915-M915</f>
        <v>-876</v>
      </c>
      <c r="Y915" s="110"/>
      <c r="Z915" s="110"/>
      <c r="AA915" s="110"/>
      <c r="AB915" s="83"/>
      <c r="AC915" s="106"/>
      <c r="AD915" s="106"/>
      <c r="AE915" s="100">
        <f t="shared" si="1256"/>
        <v>4.2857142857142858E-2</v>
      </c>
      <c r="AF915" s="90"/>
      <c r="AG915" s="109">
        <f t="shared" si="1257"/>
        <v>0</v>
      </c>
      <c r="AH915" s="100">
        <f t="shared" si="1258"/>
        <v>-1</v>
      </c>
      <c r="AI915" s="100">
        <f t="shared" si="1259"/>
        <v>-1</v>
      </c>
    </row>
    <row r="916" spans="1:35" s="86" customFormat="1" ht="18.75" customHeight="1" x14ac:dyDescent="0.3">
      <c r="A916" s="106"/>
      <c r="B916" s="106" t="s">
        <v>52</v>
      </c>
      <c r="C916" s="118">
        <v>48067</v>
      </c>
      <c r="D916" s="311"/>
      <c r="E916" s="157" t="s">
        <v>627</v>
      </c>
      <c r="F916" s="83">
        <v>1320</v>
      </c>
      <c r="G916" s="83"/>
      <c r="H916" s="83"/>
      <c r="I916" s="83"/>
      <c r="J916" s="83"/>
      <c r="K916" s="83"/>
      <c r="L916" s="83">
        <f>1147+232</f>
        <v>1379</v>
      </c>
      <c r="M916" s="83">
        <f>1147+232</f>
        <v>1379</v>
      </c>
      <c r="N916" s="110">
        <f>M916-F916</f>
        <v>59</v>
      </c>
      <c r="O916" s="110" t="s">
        <v>100</v>
      </c>
      <c r="P916" s="83">
        <f>1124+230</f>
        <v>1354</v>
      </c>
      <c r="Q916" s="83">
        <f>1124+230</f>
        <v>1354</v>
      </c>
      <c r="R916" s="83"/>
      <c r="S916" s="83"/>
      <c r="T916" s="110">
        <f>S916-Q916</f>
        <v>-1354</v>
      </c>
      <c r="U916" s="59">
        <f t="shared" si="1255"/>
        <v>0</v>
      </c>
      <c r="V916" s="83"/>
      <c r="W916" s="83"/>
      <c r="X916" s="110">
        <f>W916-M916</f>
        <v>-1379</v>
      </c>
      <c r="Y916" s="110"/>
      <c r="Z916" s="110"/>
      <c r="AA916" s="110"/>
      <c r="AB916" s="83"/>
      <c r="AC916" s="106"/>
      <c r="AD916" s="106"/>
      <c r="AE916" s="100">
        <f t="shared" si="1256"/>
        <v>4.46969696969697E-2</v>
      </c>
      <c r="AF916" s="90"/>
      <c r="AG916" s="109">
        <f t="shared" si="1257"/>
        <v>0</v>
      </c>
      <c r="AH916" s="100">
        <f t="shared" si="1258"/>
        <v>-1</v>
      </c>
      <c r="AI916" s="100">
        <f t="shared" si="1259"/>
        <v>-1</v>
      </c>
    </row>
    <row r="917" spans="1:35" s="82" customFormat="1" ht="16.5" customHeight="1" x14ac:dyDescent="0.3">
      <c r="A917" s="90" t="s">
        <v>46</v>
      </c>
      <c r="B917" s="90" t="s">
        <v>52</v>
      </c>
      <c r="C917" s="137"/>
      <c r="D917" s="90"/>
      <c r="E917" s="80"/>
      <c r="F917" s="81">
        <f>SUM(F914:F916)</f>
        <v>3168</v>
      </c>
      <c r="G917" s="81"/>
      <c r="H917" s="81" t="s">
        <v>50</v>
      </c>
      <c r="I917" s="81"/>
      <c r="J917" s="81" t="s">
        <v>60</v>
      </c>
      <c r="K917" s="85" t="s">
        <v>324</v>
      </c>
      <c r="L917" s="81">
        <f>SUM(L914:L916)</f>
        <v>1420</v>
      </c>
      <c r="M917" s="81">
        <f>SUM(M914:M916)</f>
        <v>2255</v>
      </c>
      <c r="N917" s="81">
        <f>SUM(N914:N916)</f>
        <v>-913</v>
      </c>
      <c r="O917" s="81" t="s">
        <v>1028</v>
      </c>
      <c r="P917" s="81">
        <f>SUM(P914:P916)</f>
        <v>2186</v>
      </c>
      <c r="Q917" s="81">
        <f>SUM(Q914:Q916)</f>
        <v>3016</v>
      </c>
      <c r="R917" s="81">
        <f>SUM(R914:R916)</f>
        <v>0</v>
      </c>
      <c r="S917" s="81">
        <f>SUM(S914:S916)</f>
        <v>0</v>
      </c>
      <c r="T917" s="81">
        <f>SUM(T914:T916)</f>
        <v>-3016</v>
      </c>
      <c r="U917" s="59">
        <f t="shared" si="1255"/>
        <v>0</v>
      </c>
      <c r="V917" s="81">
        <f>SUM(V914:V916)</f>
        <v>0</v>
      </c>
      <c r="W917" s="81">
        <f>SUM(W914:W916)</f>
        <v>0</v>
      </c>
      <c r="X917" s="81">
        <f>SUM(X914:X916)</f>
        <v>-2255</v>
      </c>
      <c r="Y917" s="81" t="s">
        <v>47</v>
      </c>
      <c r="Z917" s="110" t="s">
        <v>45</v>
      </c>
      <c r="AA917" s="110"/>
      <c r="AB917" s="84"/>
      <c r="AC917" s="136"/>
      <c r="AD917" s="136"/>
      <c r="AE917" s="100">
        <f t="shared" si="1256"/>
        <v>-0.28819444444444442</v>
      </c>
      <c r="AF917" s="90"/>
      <c r="AG917" s="109">
        <f t="shared" si="1257"/>
        <v>-913</v>
      </c>
      <c r="AH917" s="100">
        <f t="shared" si="1258"/>
        <v>-1</v>
      </c>
      <c r="AI917" s="100">
        <f t="shared" si="1259"/>
        <v>-1</v>
      </c>
    </row>
    <row r="918" spans="1:35" s="86" customFormat="1" ht="18.75" customHeight="1" x14ac:dyDescent="0.3">
      <c r="A918" s="106"/>
      <c r="B918" s="106" t="s">
        <v>52</v>
      </c>
      <c r="C918" s="118">
        <v>47540</v>
      </c>
      <c r="D918" s="310">
        <v>13234338</v>
      </c>
      <c r="E918" s="157" t="s">
        <v>98</v>
      </c>
      <c r="F918" s="83">
        <v>803</v>
      </c>
      <c r="G918" s="83"/>
      <c r="H918" s="83"/>
      <c r="I918" s="83"/>
      <c r="J918" s="83"/>
      <c r="K918" s="83"/>
      <c r="L918" s="83"/>
      <c r="M918" s="83">
        <v>844</v>
      </c>
      <c r="N918" s="110">
        <f>M918-F918</f>
        <v>41</v>
      </c>
      <c r="O918" s="110" t="s">
        <v>100</v>
      </c>
      <c r="P918" s="83"/>
      <c r="Q918" s="83">
        <v>844</v>
      </c>
      <c r="R918" s="83"/>
      <c r="S918" s="83">
        <v>844</v>
      </c>
      <c r="T918" s="110">
        <f>S918-Q918</f>
        <v>0</v>
      </c>
      <c r="U918" s="59">
        <f t="shared" ref="U918:U920" si="1266">IF(Q918&gt;0,S918-W918,M918-W918)</f>
        <v>6</v>
      </c>
      <c r="V918" s="83"/>
      <c r="W918" s="83">
        <v>838</v>
      </c>
      <c r="X918" s="110">
        <f>W918-M918</f>
        <v>-6</v>
      </c>
      <c r="Y918" s="110"/>
      <c r="Z918" s="110"/>
      <c r="AA918" s="110"/>
      <c r="AB918" s="83"/>
      <c r="AC918" s="106"/>
      <c r="AD918" s="106"/>
      <c r="AE918" s="100">
        <f t="shared" ref="AE918:AE921" si="1267">N918/F918</f>
        <v>5.1058530510585308E-2</v>
      </c>
      <c r="AF918" s="90"/>
      <c r="AG918" s="109">
        <f t="shared" ref="AG918:AG921" si="1268">IF(N918&lt;0,N918,0)</f>
        <v>0</v>
      </c>
      <c r="AH918" s="100">
        <f t="shared" ref="AH918:AH921" si="1269">(S918-F918)/F918</f>
        <v>5.1058530510585308E-2</v>
      </c>
      <c r="AI918" s="100">
        <f t="shared" ref="AI918:AI921" si="1270">(W918-F918)/F918</f>
        <v>4.3586550435865505E-2</v>
      </c>
    </row>
    <row r="919" spans="1:35" s="86" customFormat="1" ht="18.75" customHeight="1" x14ac:dyDescent="0.3">
      <c r="A919" s="106"/>
      <c r="B919" s="106" t="s">
        <v>52</v>
      </c>
      <c r="C919" s="118">
        <v>47540</v>
      </c>
      <c r="D919" s="311"/>
      <c r="E919" s="157" t="s">
        <v>258</v>
      </c>
      <c r="F919" s="83">
        <v>959</v>
      </c>
      <c r="G919" s="83"/>
      <c r="H919" s="83"/>
      <c r="I919" s="83"/>
      <c r="J919" s="83"/>
      <c r="K919" s="83"/>
      <c r="L919" s="83"/>
      <c r="M919" s="83">
        <f>986+3</f>
        <v>989</v>
      </c>
      <c r="N919" s="110">
        <f>M919-F919</f>
        <v>30</v>
      </c>
      <c r="O919" s="110" t="s">
        <v>100</v>
      </c>
      <c r="P919" s="83"/>
      <c r="Q919" s="83"/>
      <c r="R919" s="83"/>
      <c r="S919" s="83"/>
      <c r="T919" s="110">
        <f>S919-Q919</f>
        <v>0</v>
      </c>
      <c r="U919" s="59">
        <f t="shared" si="1266"/>
        <v>0</v>
      </c>
      <c r="V919" s="83"/>
      <c r="W919" s="83">
        <v>989</v>
      </c>
      <c r="X919" s="110">
        <f>W919-M919</f>
        <v>0</v>
      </c>
      <c r="Y919" s="110"/>
      <c r="Z919" s="110"/>
      <c r="AA919" s="110"/>
      <c r="AB919" s="83"/>
      <c r="AC919" s="106"/>
      <c r="AD919" s="106"/>
      <c r="AE919" s="100">
        <f t="shared" si="1267"/>
        <v>3.1282586027111578E-2</v>
      </c>
      <c r="AF919" s="90"/>
      <c r="AG919" s="109">
        <f t="shared" si="1268"/>
        <v>0</v>
      </c>
      <c r="AH919" s="100">
        <f t="shared" si="1269"/>
        <v>-1</v>
      </c>
      <c r="AI919" s="100">
        <f t="shared" si="1270"/>
        <v>3.1282586027111578E-2</v>
      </c>
    </row>
    <row r="920" spans="1:35" s="86" customFormat="1" ht="18.75" customHeight="1" x14ac:dyDescent="0.3">
      <c r="A920" s="106"/>
      <c r="B920" s="106" t="s">
        <v>52</v>
      </c>
      <c r="C920" s="118">
        <v>47540</v>
      </c>
      <c r="D920" s="311"/>
      <c r="E920" s="157" t="s">
        <v>187</v>
      </c>
      <c r="F920" s="83">
        <v>920</v>
      </c>
      <c r="G920" s="83"/>
      <c r="H920" s="83"/>
      <c r="I920" s="83"/>
      <c r="J920" s="83"/>
      <c r="K920" s="83"/>
      <c r="L920" s="83"/>
      <c r="M920" s="83">
        <v>971</v>
      </c>
      <c r="N920" s="110">
        <f>M920-F920</f>
        <v>51</v>
      </c>
      <c r="O920" s="110" t="s">
        <v>100</v>
      </c>
      <c r="P920" s="83"/>
      <c r="Q920" s="83">
        <v>971</v>
      </c>
      <c r="R920" s="83"/>
      <c r="S920" s="83">
        <v>971</v>
      </c>
      <c r="T920" s="110">
        <f>S920-Q920</f>
        <v>0</v>
      </c>
      <c r="U920" s="59">
        <f t="shared" si="1266"/>
        <v>0</v>
      </c>
      <c r="V920" s="83"/>
      <c r="W920" s="83">
        <v>971</v>
      </c>
      <c r="X920" s="110">
        <f>W920-M920</f>
        <v>0</v>
      </c>
      <c r="Y920" s="110"/>
      <c r="Z920" s="110"/>
      <c r="AA920" s="110"/>
      <c r="AB920" s="83"/>
      <c r="AC920" s="106"/>
      <c r="AD920" s="106"/>
      <c r="AE920" s="100">
        <f t="shared" si="1267"/>
        <v>5.5434782608695651E-2</v>
      </c>
      <c r="AF920" s="90"/>
      <c r="AG920" s="109">
        <f t="shared" si="1268"/>
        <v>0</v>
      </c>
      <c r="AH920" s="100">
        <f t="shared" si="1269"/>
        <v>5.5434782608695651E-2</v>
      </c>
      <c r="AI920" s="100">
        <f t="shared" si="1270"/>
        <v>5.5434782608695651E-2</v>
      </c>
    </row>
    <row r="921" spans="1:35" s="82" customFormat="1" ht="16.5" customHeight="1" x14ac:dyDescent="0.3">
      <c r="A921" s="90" t="s">
        <v>46</v>
      </c>
      <c r="B921" s="90" t="s">
        <v>52</v>
      </c>
      <c r="C921" s="137"/>
      <c r="D921" s="90"/>
      <c r="E921" s="80"/>
      <c r="F921" s="81">
        <f>SUM(F918:F920)</f>
        <v>2682</v>
      </c>
      <c r="G921" s="81"/>
      <c r="H921" s="81" t="s">
        <v>50</v>
      </c>
      <c r="I921" s="81"/>
      <c r="J921" s="81" t="s">
        <v>60</v>
      </c>
      <c r="K921" s="85" t="s">
        <v>238</v>
      </c>
      <c r="L921" s="81">
        <f>SUM(L918:L920)</f>
        <v>0</v>
      </c>
      <c r="M921" s="81">
        <f>SUM(M918:M920)</f>
        <v>2804</v>
      </c>
      <c r="N921" s="81">
        <f>SUM(N918:N920)</f>
        <v>122</v>
      </c>
      <c r="O921" s="81" t="s">
        <v>196</v>
      </c>
      <c r="P921" s="81">
        <f t="shared" ref="P921:X921" si="1271">SUM(P918:P920)</f>
        <v>0</v>
      </c>
      <c r="Q921" s="81">
        <f t="shared" si="1271"/>
        <v>1815</v>
      </c>
      <c r="R921" s="81">
        <f t="shared" si="1271"/>
        <v>0</v>
      </c>
      <c r="S921" s="81">
        <f t="shared" si="1271"/>
        <v>1815</v>
      </c>
      <c r="T921" s="81">
        <f t="shared" si="1271"/>
        <v>0</v>
      </c>
      <c r="U921" s="59">
        <f t="shared" si="1271"/>
        <v>6</v>
      </c>
      <c r="V921" s="81">
        <f t="shared" si="1271"/>
        <v>0</v>
      </c>
      <c r="W921" s="81">
        <f t="shared" si="1271"/>
        <v>2798</v>
      </c>
      <c r="X921" s="81">
        <f t="shared" si="1271"/>
        <v>-6</v>
      </c>
      <c r="Y921" s="81" t="s">
        <v>47</v>
      </c>
      <c r="Z921" s="110" t="s">
        <v>45</v>
      </c>
      <c r="AA921" s="110"/>
      <c r="AB921" s="84"/>
      <c r="AC921" s="136"/>
      <c r="AD921" s="136"/>
      <c r="AE921" s="100">
        <f t="shared" si="1267"/>
        <v>4.5488441461595822E-2</v>
      </c>
      <c r="AF921" s="90"/>
      <c r="AG921" s="109">
        <f t="shared" si="1268"/>
        <v>0</v>
      </c>
      <c r="AH921" s="100">
        <f t="shared" si="1269"/>
        <v>-0.3232662192393736</v>
      </c>
      <c r="AI921" s="100">
        <f t="shared" si="1270"/>
        <v>4.3251304996271438E-2</v>
      </c>
    </row>
    <row r="922" spans="1:35" s="86" customFormat="1" ht="18.75" customHeight="1" x14ac:dyDescent="0.3">
      <c r="A922" s="106"/>
      <c r="B922" s="106" t="s">
        <v>52</v>
      </c>
      <c r="C922" s="118">
        <v>48068</v>
      </c>
      <c r="D922" s="310">
        <v>13262960</v>
      </c>
      <c r="E922" s="157" t="s">
        <v>626</v>
      </c>
      <c r="F922" s="83">
        <v>1020</v>
      </c>
      <c r="G922" s="83"/>
      <c r="H922" s="83"/>
      <c r="I922" s="83"/>
      <c r="J922" s="83"/>
      <c r="K922" s="83"/>
      <c r="L922" s="83"/>
      <c r="M922" s="83">
        <v>1061</v>
      </c>
      <c r="N922" s="110">
        <f>M922-F922</f>
        <v>41</v>
      </c>
      <c r="O922" s="110" t="s">
        <v>100</v>
      </c>
      <c r="P922" s="83"/>
      <c r="Q922" s="83">
        <f>462+599</f>
        <v>1061</v>
      </c>
      <c r="R922" s="83"/>
      <c r="S922" s="83">
        <v>1061</v>
      </c>
      <c r="T922" s="110">
        <f>S922-Q922</f>
        <v>0</v>
      </c>
      <c r="U922" s="59">
        <f t="shared" si="1255"/>
        <v>3</v>
      </c>
      <c r="V922" s="83"/>
      <c r="W922" s="83">
        <f>331+727</f>
        <v>1058</v>
      </c>
      <c r="X922" s="110">
        <f>W922-M922</f>
        <v>-3</v>
      </c>
      <c r="Y922" s="110"/>
      <c r="Z922" s="110"/>
      <c r="AA922" s="110"/>
      <c r="AB922" s="83"/>
      <c r="AC922" s="106"/>
      <c r="AD922" s="106"/>
      <c r="AE922" s="100">
        <f t="shared" si="1256"/>
        <v>4.0196078431372552E-2</v>
      </c>
      <c r="AF922" s="90"/>
      <c r="AG922" s="109">
        <f t="shared" si="1257"/>
        <v>0</v>
      </c>
      <c r="AH922" s="100">
        <f t="shared" si="1258"/>
        <v>4.0196078431372552E-2</v>
      </c>
      <c r="AI922" s="100">
        <f t="shared" si="1259"/>
        <v>3.7254901960784313E-2</v>
      </c>
    </row>
    <row r="923" spans="1:35" s="86" customFormat="1" ht="18.75" customHeight="1" x14ac:dyDescent="0.3">
      <c r="A923" s="106"/>
      <c r="B923" s="106" t="s">
        <v>52</v>
      </c>
      <c r="C923" s="118">
        <v>48068</v>
      </c>
      <c r="D923" s="311"/>
      <c r="E923" s="157" t="s">
        <v>627</v>
      </c>
      <c r="F923" s="83">
        <v>1020</v>
      </c>
      <c r="G923" s="83"/>
      <c r="H923" s="83"/>
      <c r="I923" s="83"/>
      <c r="J923" s="83"/>
      <c r="K923" s="83"/>
      <c r="L923" s="83"/>
      <c r="M923" s="83">
        <f>338+726</f>
        <v>1064</v>
      </c>
      <c r="N923" s="110">
        <f>M923-F923</f>
        <v>44</v>
      </c>
      <c r="O923" s="110" t="s">
        <v>100</v>
      </c>
      <c r="P923" s="83"/>
      <c r="Q923" s="83">
        <f>337+718</f>
        <v>1055</v>
      </c>
      <c r="R923" s="83"/>
      <c r="S923" s="83">
        <f>332+717+2</f>
        <v>1051</v>
      </c>
      <c r="T923" s="110">
        <f>S923-Q923</f>
        <v>-4</v>
      </c>
      <c r="U923" s="59">
        <f t="shared" ref="U923" si="1272">IF(Q923&gt;0,S923-W923,M923-W923)</f>
        <v>0</v>
      </c>
      <c r="V923" s="83"/>
      <c r="W923" s="83">
        <v>1051</v>
      </c>
      <c r="X923" s="110">
        <f>W923-M923</f>
        <v>-13</v>
      </c>
      <c r="Y923" s="110"/>
      <c r="Z923" s="110"/>
      <c r="AA923" s="110"/>
      <c r="AB923" s="83"/>
      <c r="AC923" s="106"/>
      <c r="AD923" s="106"/>
      <c r="AE923" s="100">
        <f t="shared" ref="AE923" si="1273">N923/F923</f>
        <v>4.3137254901960784E-2</v>
      </c>
      <c r="AF923" s="90"/>
      <c r="AG923" s="109">
        <f t="shared" ref="AG923" si="1274">IF(N923&lt;0,N923,0)</f>
        <v>0</v>
      </c>
      <c r="AH923" s="100">
        <f t="shared" ref="AH923" si="1275">(S923-F923)/F923</f>
        <v>3.0392156862745098E-2</v>
      </c>
      <c r="AI923" s="100">
        <f t="shared" ref="AI923" si="1276">(W923-F923)/F923</f>
        <v>3.0392156862745098E-2</v>
      </c>
    </row>
    <row r="924" spans="1:35" s="82" customFormat="1" ht="16.5" customHeight="1" x14ac:dyDescent="0.3">
      <c r="A924" s="90" t="s">
        <v>46</v>
      </c>
      <c r="B924" s="90" t="s">
        <v>52</v>
      </c>
      <c r="C924" s="137"/>
      <c r="D924" s="90"/>
      <c r="E924" s="80"/>
      <c r="F924" s="81">
        <f>SUM(F922:F923)</f>
        <v>2040</v>
      </c>
      <c r="G924" s="81"/>
      <c r="H924" s="81" t="s">
        <v>50</v>
      </c>
      <c r="I924" s="81"/>
      <c r="J924" s="81" t="s">
        <v>60</v>
      </c>
      <c r="K924" s="85" t="s">
        <v>324</v>
      </c>
      <c r="L924" s="81">
        <f>SUM(L922:L923)</f>
        <v>0</v>
      </c>
      <c r="M924" s="81">
        <f>SUM(M922:M923)</f>
        <v>2125</v>
      </c>
      <c r="N924" s="81">
        <f>SUM(N922:N923)</f>
        <v>85</v>
      </c>
      <c r="O924" s="81" t="s">
        <v>530</v>
      </c>
      <c r="P924" s="81">
        <f>SUM(P922:P923)</f>
        <v>0</v>
      </c>
      <c r="Q924" s="81">
        <f>SUM(Q922:Q923)</f>
        <v>2116</v>
      </c>
      <c r="R924" s="81">
        <f>SUM(R922:R923)</f>
        <v>0</v>
      </c>
      <c r="S924" s="81">
        <f>SUM(S922:S923)</f>
        <v>2112</v>
      </c>
      <c r="T924" s="81">
        <f>SUM(T922:T923)</f>
        <v>-4</v>
      </c>
      <c r="U924" s="59">
        <f t="shared" si="1255"/>
        <v>3</v>
      </c>
      <c r="V924" s="81">
        <f>SUM(V922:V923)</f>
        <v>0</v>
      </c>
      <c r="W924" s="81">
        <f>SUM(W922:W923)</f>
        <v>2109</v>
      </c>
      <c r="X924" s="81">
        <f>SUM(X922:X923)</f>
        <v>-16</v>
      </c>
      <c r="Y924" s="81" t="s">
        <v>47</v>
      </c>
      <c r="Z924" s="110" t="s">
        <v>45</v>
      </c>
      <c r="AA924" s="110"/>
      <c r="AB924" s="84"/>
      <c r="AC924" s="136"/>
      <c r="AD924" s="136"/>
      <c r="AE924" s="100">
        <f t="shared" si="1256"/>
        <v>4.1666666666666664E-2</v>
      </c>
      <c r="AF924" s="90"/>
      <c r="AG924" s="109">
        <f t="shared" si="1257"/>
        <v>0</v>
      </c>
      <c r="AH924" s="100">
        <f t="shared" si="1258"/>
        <v>3.5294117647058823E-2</v>
      </c>
      <c r="AI924" s="100">
        <f t="shared" si="1259"/>
        <v>3.3823529411764704E-2</v>
      </c>
    </row>
    <row r="925" spans="1:35" s="86" customFormat="1" ht="18.75" customHeight="1" x14ac:dyDescent="0.3">
      <c r="A925" s="106"/>
      <c r="B925" s="106" t="s">
        <v>52</v>
      </c>
      <c r="C925" s="118">
        <v>48070</v>
      </c>
      <c r="D925" s="310">
        <v>13263274</v>
      </c>
      <c r="E925" s="157" t="s">
        <v>49</v>
      </c>
      <c r="F925" s="83">
        <v>795</v>
      </c>
      <c r="G925" s="83"/>
      <c r="H925" s="83"/>
      <c r="I925" s="83"/>
      <c r="J925" s="83"/>
      <c r="K925" s="83"/>
      <c r="L925" s="83"/>
      <c r="M925" s="83">
        <f>360+385+64+40</f>
        <v>849</v>
      </c>
      <c r="N925" s="110">
        <f>M925-F925</f>
        <v>54</v>
      </c>
      <c r="O925" s="110" t="s">
        <v>100</v>
      </c>
      <c r="P925" s="83"/>
      <c r="Q925" s="83">
        <f>360+373+60+55</f>
        <v>848</v>
      </c>
      <c r="R925" s="83"/>
      <c r="S925" s="83">
        <f>700+74</f>
        <v>774</v>
      </c>
      <c r="T925" s="110">
        <f>S925-Q925</f>
        <v>-74</v>
      </c>
      <c r="U925" s="59">
        <f t="shared" si="1136"/>
        <v>3</v>
      </c>
      <c r="V925" s="83"/>
      <c r="W925" s="83">
        <f>765+6</f>
        <v>771</v>
      </c>
      <c r="X925" s="110">
        <f>W925-M925</f>
        <v>-78</v>
      </c>
      <c r="Y925" s="110"/>
      <c r="Z925" s="110"/>
      <c r="AA925" s="110"/>
      <c r="AB925" s="83"/>
      <c r="AC925" s="106"/>
      <c r="AD925" s="106"/>
      <c r="AE925" s="100">
        <f t="shared" si="1079"/>
        <v>6.7924528301886791E-2</v>
      </c>
      <c r="AF925" s="90"/>
      <c r="AG925" s="109">
        <f t="shared" si="1080"/>
        <v>0</v>
      </c>
      <c r="AH925" s="100">
        <f t="shared" si="1081"/>
        <v>-2.6415094339622643E-2</v>
      </c>
      <c r="AI925" s="100">
        <f t="shared" si="1082"/>
        <v>-3.0188679245283019E-2</v>
      </c>
    </row>
    <row r="926" spans="1:35" s="86" customFormat="1" ht="18.75" customHeight="1" x14ac:dyDescent="0.3">
      <c r="A926" s="106"/>
      <c r="B926" s="106" t="s">
        <v>52</v>
      </c>
      <c r="C926" s="118">
        <v>48070</v>
      </c>
      <c r="D926" s="311"/>
      <c r="E926" s="157" t="s">
        <v>306</v>
      </c>
      <c r="F926" s="83">
        <v>855</v>
      </c>
      <c r="G926" s="83"/>
      <c r="H926" s="83"/>
      <c r="I926" s="83"/>
      <c r="J926" s="83"/>
      <c r="K926" s="83"/>
      <c r="L926" s="83"/>
      <c r="M926" s="83">
        <f>392+350+141</f>
        <v>883</v>
      </c>
      <c r="N926" s="110">
        <f>M926-F926</f>
        <v>28</v>
      </c>
      <c r="O926" s="110" t="s">
        <v>100</v>
      </c>
      <c r="P926" s="83"/>
      <c r="Q926" s="83">
        <f>350+533</f>
        <v>883</v>
      </c>
      <c r="R926" s="83"/>
      <c r="S926" s="83">
        <v>874</v>
      </c>
      <c r="T926" s="110">
        <f>S926-Q926</f>
        <v>-9</v>
      </c>
      <c r="U926" s="59">
        <f t="shared" si="1136"/>
        <v>3</v>
      </c>
      <c r="V926" s="83"/>
      <c r="W926" s="83">
        <v>871</v>
      </c>
      <c r="X926" s="110">
        <f>W926-M926</f>
        <v>-12</v>
      </c>
      <c r="Y926" s="110"/>
      <c r="Z926" s="110"/>
      <c r="AA926" s="110"/>
      <c r="AB926" s="83"/>
      <c r="AC926" s="106"/>
      <c r="AD926" s="106"/>
      <c r="AE926" s="100">
        <f t="shared" si="1079"/>
        <v>3.2748538011695909E-2</v>
      </c>
      <c r="AF926" s="90"/>
      <c r="AG926" s="109">
        <f t="shared" si="1080"/>
        <v>0</v>
      </c>
      <c r="AH926" s="100">
        <f t="shared" si="1081"/>
        <v>2.2222222222222223E-2</v>
      </c>
      <c r="AI926" s="100">
        <f t="shared" si="1082"/>
        <v>1.8713450292397661E-2</v>
      </c>
    </row>
    <row r="927" spans="1:35" s="82" customFormat="1" ht="16.5" customHeight="1" x14ac:dyDescent="0.3">
      <c r="A927" s="90" t="s">
        <v>46</v>
      </c>
      <c r="B927" s="90" t="s">
        <v>52</v>
      </c>
      <c r="C927" s="137"/>
      <c r="D927" s="90"/>
      <c r="E927" s="80"/>
      <c r="F927" s="81">
        <f>SUM(F925:F926)</f>
        <v>1650</v>
      </c>
      <c r="G927" s="81"/>
      <c r="H927" s="81" t="s">
        <v>50</v>
      </c>
      <c r="I927" s="81"/>
      <c r="J927" s="81" t="s">
        <v>60</v>
      </c>
      <c r="K927" s="85" t="s">
        <v>305</v>
      </c>
      <c r="L927" s="81">
        <f>SUM(L925:L926)</f>
        <v>0</v>
      </c>
      <c r="M927" s="81">
        <f>SUM(M925:M926)</f>
        <v>1732</v>
      </c>
      <c r="N927" s="81">
        <f>SUM(N925:N926)</f>
        <v>82</v>
      </c>
      <c r="O927" s="81" t="s">
        <v>757</v>
      </c>
      <c r="P927" s="81">
        <f>SUM(P925:P926)</f>
        <v>0</v>
      </c>
      <c r="Q927" s="81">
        <f>SUM(Q925:Q926)</f>
        <v>1731</v>
      </c>
      <c r="R927" s="81">
        <f>SUM(R925:R926)</f>
        <v>0</v>
      </c>
      <c r="S927" s="81">
        <f>SUM(S925:S926)</f>
        <v>1648</v>
      </c>
      <c r="T927" s="81">
        <f>SUM(T925:T926)</f>
        <v>-83</v>
      </c>
      <c r="U927" s="59">
        <f t="shared" si="1136"/>
        <v>6</v>
      </c>
      <c r="V927" s="81">
        <f>SUM(V925:V926)</f>
        <v>0</v>
      </c>
      <c r="W927" s="81">
        <f>SUM(W925:W926)</f>
        <v>1642</v>
      </c>
      <c r="X927" s="81">
        <f>SUM(X925:X926)</f>
        <v>-90</v>
      </c>
      <c r="Y927" s="81" t="s">
        <v>47</v>
      </c>
      <c r="Z927" s="110" t="s">
        <v>45</v>
      </c>
      <c r="AA927" s="110"/>
      <c r="AB927" s="84"/>
      <c r="AC927" s="136"/>
      <c r="AD927" s="136"/>
      <c r="AE927" s="100">
        <f t="shared" si="1079"/>
        <v>4.9696969696969698E-2</v>
      </c>
      <c r="AF927" s="90"/>
      <c r="AG927" s="109">
        <f t="shared" si="1080"/>
        <v>0</v>
      </c>
      <c r="AH927" s="100">
        <f t="shared" si="1081"/>
        <v>-1.2121212121212121E-3</v>
      </c>
      <c r="AI927" s="100">
        <f t="shared" si="1082"/>
        <v>-4.8484848484848485E-3</v>
      </c>
    </row>
    <row r="928" spans="1:35" s="86" customFormat="1" ht="18.75" customHeight="1" x14ac:dyDescent="0.3">
      <c r="A928" s="106"/>
      <c r="B928" s="106" t="s">
        <v>52</v>
      </c>
      <c r="C928" s="118" t="s">
        <v>500</v>
      </c>
      <c r="D928" s="310">
        <v>13259554</v>
      </c>
      <c r="E928" s="157" t="s">
        <v>388</v>
      </c>
      <c r="F928" s="83">
        <v>1664</v>
      </c>
      <c r="G928" s="83"/>
      <c r="H928" s="83"/>
      <c r="I928" s="83"/>
      <c r="J928" s="83"/>
      <c r="K928" s="83"/>
      <c r="L928" s="83"/>
      <c r="M928" s="83">
        <f>765+768+190</f>
        <v>1723</v>
      </c>
      <c r="N928" s="110">
        <f>M928-F928</f>
        <v>59</v>
      </c>
      <c r="O928" s="110" t="s">
        <v>100</v>
      </c>
      <c r="P928" s="83"/>
      <c r="Q928" s="83">
        <f>765+768+190</f>
        <v>1723</v>
      </c>
      <c r="R928" s="83"/>
      <c r="S928" s="83">
        <f>765+728+39+190</f>
        <v>1722</v>
      </c>
      <c r="T928" s="110">
        <f>S928-Q928</f>
        <v>-1</v>
      </c>
      <c r="U928" s="59">
        <f t="shared" ref="U928:U1024" si="1277">IF(Q928&gt;0,S928-W928,M928-W928)</f>
        <v>1</v>
      </c>
      <c r="V928" s="83"/>
      <c r="W928" s="83">
        <f>1532+189</f>
        <v>1721</v>
      </c>
      <c r="X928" s="110">
        <f>W928-M928</f>
        <v>-2</v>
      </c>
      <c r="Y928" s="110"/>
      <c r="Z928" s="110"/>
      <c r="AA928" s="110"/>
      <c r="AB928" s="83"/>
      <c r="AC928" s="106"/>
      <c r="AD928" s="106"/>
      <c r="AE928" s="100">
        <f t="shared" ref="AE928:AE1024" si="1278">N928/F928</f>
        <v>3.5456730769230768E-2</v>
      </c>
      <c r="AF928" s="90"/>
      <c r="AG928" s="109">
        <f t="shared" ref="AG928:AG1024" si="1279">IF(N928&lt;0,N928,0)</f>
        <v>0</v>
      </c>
      <c r="AH928" s="100">
        <f t="shared" ref="AH928:AH1024" si="1280">(S928-F928)/F928</f>
        <v>3.4855769230769232E-2</v>
      </c>
      <c r="AI928" s="100">
        <f t="shared" ref="AI928:AI1024" si="1281">(W928-F928)/F928</f>
        <v>3.4254807692307696E-2</v>
      </c>
    </row>
    <row r="929" spans="1:35" s="86" customFormat="1" ht="18.75" customHeight="1" x14ac:dyDescent="0.3">
      <c r="A929" s="106"/>
      <c r="B929" s="106" t="s">
        <v>52</v>
      </c>
      <c r="C929" s="118" t="s">
        <v>500</v>
      </c>
      <c r="D929" s="311"/>
      <c r="E929" s="157" t="s">
        <v>389</v>
      </c>
      <c r="F929" s="83">
        <v>4458</v>
      </c>
      <c r="G929" s="83"/>
      <c r="H929" s="83"/>
      <c r="I929" s="83"/>
      <c r="J929" s="83"/>
      <c r="K929" s="83"/>
      <c r="L929" s="83"/>
      <c r="M929" s="83">
        <f>801+1602+720+448+200+771</f>
        <v>4542</v>
      </c>
      <c r="N929" s="110">
        <f>M929-F929</f>
        <v>84</v>
      </c>
      <c r="O929" s="110" t="s">
        <v>100</v>
      </c>
      <c r="P929" s="83"/>
      <c r="Q929" s="83">
        <f>1368+2403+771</f>
        <v>4542</v>
      </c>
      <c r="R929" s="83"/>
      <c r="S929" s="83">
        <v>4539</v>
      </c>
      <c r="T929" s="110">
        <f>S929-Q929</f>
        <v>-3</v>
      </c>
      <c r="U929" s="59">
        <f t="shared" si="1277"/>
        <v>2</v>
      </c>
      <c r="V929" s="83"/>
      <c r="W929" s="83">
        <f>1644+2893</f>
        <v>4537</v>
      </c>
      <c r="X929" s="110">
        <f>W929-M929</f>
        <v>-5</v>
      </c>
      <c r="Y929" s="110"/>
      <c r="Z929" s="110"/>
      <c r="AA929" s="110"/>
      <c r="AB929" s="83"/>
      <c r="AC929" s="106"/>
      <c r="AD929" s="106"/>
      <c r="AE929" s="100">
        <f t="shared" si="1278"/>
        <v>1.8842530282637954E-2</v>
      </c>
      <c r="AF929" s="90"/>
      <c r="AG929" s="109">
        <f t="shared" si="1279"/>
        <v>0</v>
      </c>
      <c r="AH929" s="100">
        <f t="shared" si="1280"/>
        <v>1.8169582772543741E-2</v>
      </c>
      <c r="AI929" s="100">
        <f t="shared" si="1281"/>
        <v>1.7720951099147599E-2</v>
      </c>
    </row>
    <row r="930" spans="1:35" s="82" customFormat="1" ht="16.5" customHeight="1" x14ac:dyDescent="0.3">
      <c r="A930" s="90" t="s">
        <v>46</v>
      </c>
      <c r="B930" s="90" t="s">
        <v>52</v>
      </c>
      <c r="C930" s="137"/>
      <c r="D930" s="90"/>
      <c r="E930" s="80"/>
      <c r="F930" s="81">
        <f>SUM(F928:F929)</f>
        <v>6122</v>
      </c>
      <c r="G930" s="81"/>
      <c r="H930" s="81" t="s">
        <v>50</v>
      </c>
      <c r="I930" s="81"/>
      <c r="J930" s="81" t="s">
        <v>60</v>
      </c>
      <c r="K930" s="85" t="s">
        <v>290</v>
      </c>
      <c r="L930" s="81">
        <f>SUM(L928:L929)</f>
        <v>0</v>
      </c>
      <c r="M930" s="81">
        <f>SUM(M928:M929)</f>
        <v>6265</v>
      </c>
      <c r="N930" s="81">
        <f>SUM(N928:N929)</f>
        <v>143</v>
      </c>
      <c r="O930" s="81" t="s">
        <v>504</v>
      </c>
      <c r="P930" s="81">
        <f>SUM(P928:P929)</f>
        <v>0</v>
      </c>
      <c r="Q930" s="81">
        <f>SUM(Q928:Q929)</f>
        <v>6265</v>
      </c>
      <c r="R930" s="81">
        <f>SUM(R928:R929)</f>
        <v>0</v>
      </c>
      <c r="S930" s="81">
        <f>SUM(S928:S929)</f>
        <v>6261</v>
      </c>
      <c r="T930" s="81">
        <f>SUM(T928:T929)</f>
        <v>-4</v>
      </c>
      <c r="U930" s="59">
        <f t="shared" si="1277"/>
        <v>3</v>
      </c>
      <c r="V930" s="81">
        <f>SUM(V928:V929)</f>
        <v>0</v>
      </c>
      <c r="W930" s="81">
        <f>SUM(W928:W929)</f>
        <v>6258</v>
      </c>
      <c r="X930" s="81">
        <f>SUM(X928:X929)</f>
        <v>-7</v>
      </c>
      <c r="Y930" s="81" t="s">
        <v>47</v>
      </c>
      <c r="Z930" s="110" t="s">
        <v>45</v>
      </c>
      <c r="AA930" s="110"/>
      <c r="AB930" s="84"/>
      <c r="AC930" s="136"/>
      <c r="AD930" s="136"/>
      <c r="AE930" s="100">
        <f t="shared" si="1278"/>
        <v>2.3358379614505063E-2</v>
      </c>
      <c r="AF930" s="90"/>
      <c r="AG930" s="109">
        <f t="shared" si="1279"/>
        <v>0</v>
      </c>
      <c r="AH930" s="100">
        <f t="shared" si="1280"/>
        <v>2.270499836654688E-2</v>
      </c>
      <c r="AI930" s="100">
        <f t="shared" si="1281"/>
        <v>2.2214962430578241E-2</v>
      </c>
    </row>
    <row r="931" spans="1:35" s="86" customFormat="1" ht="18.75" customHeight="1" x14ac:dyDescent="0.3">
      <c r="A931" s="106"/>
      <c r="B931" s="106" t="s">
        <v>52</v>
      </c>
      <c r="C931" s="118">
        <v>48083</v>
      </c>
      <c r="D931" s="310">
        <v>13251499</v>
      </c>
      <c r="E931" s="157" t="s">
        <v>518</v>
      </c>
      <c r="F931" s="83">
        <v>2587</v>
      </c>
      <c r="G931" s="83"/>
      <c r="H931" s="83"/>
      <c r="I931" s="83"/>
      <c r="J931" s="83"/>
      <c r="K931" s="83"/>
      <c r="L931" s="83"/>
      <c r="M931" s="83"/>
      <c r="N931" s="110">
        <f>M931-F931</f>
        <v>-2587</v>
      </c>
      <c r="O931" s="110" t="s">
        <v>100</v>
      </c>
      <c r="P931" s="83"/>
      <c r="Q931" s="83"/>
      <c r="R931" s="83"/>
      <c r="S931" s="83"/>
      <c r="T931" s="110">
        <f>S931-Q931</f>
        <v>0</v>
      </c>
      <c r="U931" s="59">
        <f t="shared" si="1277"/>
        <v>0</v>
      </c>
      <c r="V931" s="83"/>
      <c r="W931" s="83"/>
      <c r="X931" s="110">
        <f>W931-M931</f>
        <v>0</v>
      </c>
      <c r="Y931" s="110"/>
      <c r="Z931" s="110"/>
      <c r="AA931" s="110"/>
      <c r="AB931" s="83"/>
      <c r="AC931" s="106"/>
      <c r="AD931" s="106"/>
      <c r="AE931" s="100">
        <f t="shared" si="1278"/>
        <v>-1</v>
      </c>
      <c r="AF931" s="90"/>
      <c r="AG931" s="109">
        <f t="shared" si="1279"/>
        <v>-2587</v>
      </c>
      <c r="AH931" s="100">
        <f t="shared" si="1280"/>
        <v>-1</v>
      </c>
      <c r="AI931" s="100">
        <f t="shared" si="1281"/>
        <v>-1</v>
      </c>
    </row>
    <row r="932" spans="1:35" s="86" customFormat="1" ht="18.75" customHeight="1" x14ac:dyDescent="0.3">
      <c r="A932" s="106"/>
      <c r="B932" s="106" t="s">
        <v>52</v>
      </c>
      <c r="C932" s="118">
        <v>48083</v>
      </c>
      <c r="D932" s="311"/>
      <c r="E932" s="157" t="s">
        <v>512</v>
      </c>
      <c r="F932" s="83">
        <v>3514</v>
      </c>
      <c r="G932" s="83"/>
      <c r="H932" s="83"/>
      <c r="I932" s="83"/>
      <c r="J932" s="83"/>
      <c r="K932" s="83"/>
      <c r="L932" s="83"/>
      <c r="M932" s="83"/>
      <c r="N932" s="110">
        <f>M932-F932</f>
        <v>-3514</v>
      </c>
      <c r="O932" s="110" t="s">
        <v>100</v>
      </c>
      <c r="P932" s="83"/>
      <c r="Q932" s="83"/>
      <c r="R932" s="83"/>
      <c r="S932" s="83"/>
      <c r="T932" s="110">
        <f>S932-Q932</f>
        <v>0</v>
      </c>
      <c r="U932" s="59">
        <f t="shared" si="1277"/>
        <v>0</v>
      </c>
      <c r="V932" s="83"/>
      <c r="W932" s="83"/>
      <c r="X932" s="110">
        <f>W932-M932</f>
        <v>0</v>
      </c>
      <c r="Y932" s="110"/>
      <c r="Z932" s="110"/>
      <c r="AA932" s="110"/>
      <c r="AB932" s="83"/>
      <c r="AC932" s="106"/>
      <c r="AD932" s="106"/>
      <c r="AE932" s="100">
        <f t="shared" si="1278"/>
        <v>-1</v>
      </c>
      <c r="AF932" s="90"/>
      <c r="AG932" s="109">
        <f t="shared" si="1279"/>
        <v>-3514</v>
      </c>
      <c r="AH932" s="100">
        <f t="shared" si="1280"/>
        <v>-1</v>
      </c>
      <c r="AI932" s="100">
        <f t="shared" si="1281"/>
        <v>-1</v>
      </c>
    </row>
    <row r="933" spans="1:35" s="86" customFormat="1" ht="18.75" customHeight="1" x14ac:dyDescent="0.3">
      <c r="A933" s="106"/>
      <c r="B933" s="106" t="s">
        <v>52</v>
      </c>
      <c r="C933" s="118">
        <v>48083</v>
      </c>
      <c r="D933" s="311"/>
      <c r="E933" s="157" t="s">
        <v>387</v>
      </c>
      <c r="F933" s="83">
        <v>3288</v>
      </c>
      <c r="G933" s="83"/>
      <c r="H933" s="83"/>
      <c r="I933" s="83"/>
      <c r="J933" s="83"/>
      <c r="K933" s="83"/>
      <c r="L933" s="83"/>
      <c r="M933" s="83"/>
      <c r="N933" s="110">
        <f>M933-F933</f>
        <v>-3288</v>
      </c>
      <c r="O933" s="110" t="s">
        <v>100</v>
      </c>
      <c r="P933" s="83"/>
      <c r="Q933" s="83"/>
      <c r="R933" s="83"/>
      <c r="S933" s="83"/>
      <c r="T933" s="110">
        <f>S933-Q933</f>
        <v>0</v>
      </c>
      <c r="U933" s="59">
        <f t="shared" si="1277"/>
        <v>0</v>
      </c>
      <c r="V933" s="83"/>
      <c r="W933" s="83"/>
      <c r="X933" s="110">
        <f>W933-M933</f>
        <v>0</v>
      </c>
      <c r="Y933" s="110"/>
      <c r="Z933" s="110"/>
      <c r="AA933" s="110"/>
      <c r="AB933" s="83"/>
      <c r="AC933" s="106"/>
      <c r="AD933" s="106"/>
      <c r="AE933" s="100">
        <f t="shared" si="1278"/>
        <v>-1</v>
      </c>
      <c r="AF933" s="90"/>
      <c r="AG933" s="109">
        <f t="shared" si="1279"/>
        <v>-3288</v>
      </c>
      <c r="AH933" s="100">
        <f t="shared" si="1280"/>
        <v>-1</v>
      </c>
      <c r="AI933" s="100">
        <f t="shared" si="1281"/>
        <v>-1</v>
      </c>
    </row>
    <row r="934" spans="1:35" s="82" customFormat="1" ht="16.5" customHeight="1" x14ac:dyDescent="0.3">
      <c r="A934" s="90" t="s">
        <v>46</v>
      </c>
      <c r="B934" s="90" t="s">
        <v>52</v>
      </c>
      <c r="C934" s="137"/>
      <c r="D934" s="90"/>
      <c r="E934" s="80"/>
      <c r="F934" s="81">
        <f>SUM(F931:F933)</f>
        <v>9389</v>
      </c>
      <c r="G934" s="81"/>
      <c r="H934" s="81" t="s">
        <v>50</v>
      </c>
      <c r="I934" s="81"/>
      <c r="J934" s="81"/>
      <c r="K934" s="85" t="s">
        <v>508</v>
      </c>
      <c r="L934" s="81">
        <f>SUM(L931:L933)</f>
        <v>0</v>
      </c>
      <c r="M934" s="81">
        <f>SUM(M931:M933)</f>
        <v>0</v>
      </c>
      <c r="N934" s="81">
        <f>SUM(N931:N933)</f>
        <v>-9389</v>
      </c>
      <c r="O934" s="81"/>
      <c r="P934" s="81">
        <f>SUM(P931:P933)</f>
        <v>0</v>
      </c>
      <c r="Q934" s="81">
        <f>SUM(Q931:Q933)</f>
        <v>0</v>
      </c>
      <c r="R934" s="81">
        <f>SUM(R931:R933)</f>
        <v>0</v>
      </c>
      <c r="S934" s="81">
        <f>SUM(S931:S933)</f>
        <v>0</v>
      </c>
      <c r="T934" s="81">
        <f>SUM(T931:T933)</f>
        <v>0</v>
      </c>
      <c r="U934" s="59">
        <f t="shared" si="1277"/>
        <v>0</v>
      </c>
      <c r="V934" s="81">
        <f>SUM(V931:V933)</f>
        <v>0</v>
      </c>
      <c r="W934" s="81">
        <f>SUM(W931:W933)</f>
        <v>0</v>
      </c>
      <c r="X934" s="81">
        <f>SUM(X931:X933)</f>
        <v>0</v>
      </c>
      <c r="Y934" s="81" t="s">
        <v>47</v>
      </c>
      <c r="Z934" s="110" t="s">
        <v>45</v>
      </c>
      <c r="AA934" s="110"/>
      <c r="AB934" s="84"/>
      <c r="AC934" s="136"/>
      <c r="AD934" s="136"/>
      <c r="AE934" s="100">
        <f t="shared" si="1278"/>
        <v>-1</v>
      </c>
      <c r="AF934" s="90"/>
      <c r="AG934" s="109">
        <f t="shared" si="1279"/>
        <v>-9389</v>
      </c>
      <c r="AH934" s="100">
        <f t="shared" si="1280"/>
        <v>-1</v>
      </c>
      <c r="AI934" s="100">
        <f t="shared" si="1281"/>
        <v>-1</v>
      </c>
    </row>
    <row r="935" spans="1:35" s="86" customFormat="1" ht="18.75" customHeight="1" x14ac:dyDescent="0.3">
      <c r="A935" s="106"/>
      <c r="B935" s="106" t="s">
        <v>52</v>
      </c>
      <c r="C935" s="118">
        <v>48085</v>
      </c>
      <c r="D935" s="310">
        <v>13251506</v>
      </c>
      <c r="E935" s="157" t="s">
        <v>513</v>
      </c>
      <c r="F935" s="83">
        <v>1524</v>
      </c>
      <c r="G935" s="83"/>
      <c r="H935" s="83"/>
      <c r="I935" s="83"/>
      <c r="J935" s="83"/>
      <c r="K935" s="83"/>
      <c r="L935" s="83"/>
      <c r="M935" s="83"/>
      <c r="N935" s="110">
        <f>M935-F935</f>
        <v>-1524</v>
      </c>
      <c r="O935" s="110" t="s">
        <v>100</v>
      </c>
      <c r="P935" s="83"/>
      <c r="Q935" s="83"/>
      <c r="R935" s="83"/>
      <c r="S935" s="83"/>
      <c r="T935" s="110">
        <f>S935-Q935</f>
        <v>0</v>
      </c>
      <c r="U935" s="59">
        <f t="shared" ref="U935:U998" si="1282">IF(Q935&gt;0,S935-W935,M935-W935)</f>
        <v>0</v>
      </c>
      <c r="V935" s="83"/>
      <c r="W935" s="83"/>
      <c r="X935" s="110">
        <f>W935-M935</f>
        <v>0</v>
      </c>
      <c r="Y935" s="110"/>
      <c r="Z935" s="110"/>
      <c r="AA935" s="110"/>
      <c r="AB935" s="83"/>
      <c r="AC935" s="106"/>
      <c r="AD935" s="106"/>
      <c r="AE935" s="100">
        <f t="shared" ref="AE935:AE998" si="1283">N935/F935</f>
        <v>-1</v>
      </c>
      <c r="AF935" s="90"/>
      <c r="AG935" s="109">
        <f t="shared" ref="AG935:AG998" si="1284">IF(N935&lt;0,N935,0)</f>
        <v>-1524</v>
      </c>
      <c r="AH935" s="100">
        <f t="shared" ref="AH935:AH998" si="1285">(S935-F935)/F935</f>
        <v>-1</v>
      </c>
      <c r="AI935" s="100">
        <f t="shared" ref="AI935:AI998" si="1286">(W935-F935)/F935</f>
        <v>-1</v>
      </c>
    </row>
    <row r="936" spans="1:35" s="86" customFormat="1" ht="18.75" customHeight="1" x14ac:dyDescent="0.3">
      <c r="A936" s="106"/>
      <c r="B936" s="106" t="s">
        <v>52</v>
      </c>
      <c r="C936" s="118">
        <v>48085</v>
      </c>
      <c r="D936" s="311"/>
      <c r="E936" s="157" t="s">
        <v>516</v>
      </c>
      <c r="F936" s="83">
        <v>1008</v>
      </c>
      <c r="G936" s="83"/>
      <c r="H936" s="83"/>
      <c r="I936" s="83"/>
      <c r="J936" s="83"/>
      <c r="K936" s="83"/>
      <c r="L936" s="83"/>
      <c r="M936" s="83"/>
      <c r="N936" s="110">
        <f>M936-F936</f>
        <v>-1008</v>
      </c>
      <c r="O936" s="110" t="s">
        <v>100</v>
      </c>
      <c r="P936" s="83"/>
      <c r="Q936" s="83"/>
      <c r="R936" s="83"/>
      <c r="S936" s="83"/>
      <c r="T936" s="110">
        <f>S936-Q936</f>
        <v>0</v>
      </c>
      <c r="U936" s="59">
        <f t="shared" si="1282"/>
        <v>0</v>
      </c>
      <c r="V936" s="83"/>
      <c r="W936" s="83"/>
      <c r="X936" s="110">
        <f>W936-M936</f>
        <v>0</v>
      </c>
      <c r="Y936" s="110"/>
      <c r="Z936" s="110"/>
      <c r="AA936" s="110"/>
      <c r="AB936" s="83"/>
      <c r="AC936" s="106"/>
      <c r="AD936" s="106"/>
      <c r="AE936" s="100">
        <f t="shared" si="1283"/>
        <v>-1</v>
      </c>
      <c r="AF936" s="90"/>
      <c r="AG936" s="109">
        <f t="shared" si="1284"/>
        <v>-1008</v>
      </c>
      <c r="AH936" s="100">
        <f t="shared" si="1285"/>
        <v>-1</v>
      </c>
      <c r="AI936" s="100">
        <f t="shared" si="1286"/>
        <v>-1</v>
      </c>
    </row>
    <row r="937" spans="1:35" s="86" customFormat="1" ht="18.75" customHeight="1" x14ac:dyDescent="0.3">
      <c r="A937" s="106"/>
      <c r="B937" s="106" t="s">
        <v>52</v>
      </c>
      <c r="C937" s="118">
        <v>48085</v>
      </c>
      <c r="D937" s="311"/>
      <c r="E937" s="157" t="s">
        <v>514</v>
      </c>
      <c r="F937" s="83">
        <v>1104</v>
      </c>
      <c r="G937" s="83"/>
      <c r="H937" s="83"/>
      <c r="I937" s="83"/>
      <c r="J937" s="83"/>
      <c r="K937" s="83"/>
      <c r="L937" s="83"/>
      <c r="M937" s="83"/>
      <c r="N937" s="110">
        <f>M937-F937</f>
        <v>-1104</v>
      </c>
      <c r="O937" s="110" t="s">
        <v>100</v>
      </c>
      <c r="P937" s="83"/>
      <c r="Q937" s="83"/>
      <c r="R937" s="83"/>
      <c r="S937" s="83"/>
      <c r="T937" s="110">
        <f>S937-Q937</f>
        <v>0</v>
      </c>
      <c r="U937" s="59">
        <f t="shared" si="1282"/>
        <v>0</v>
      </c>
      <c r="V937" s="83"/>
      <c r="W937" s="83"/>
      <c r="X937" s="110">
        <f>W937-M937</f>
        <v>0</v>
      </c>
      <c r="Y937" s="110"/>
      <c r="Z937" s="110"/>
      <c r="AA937" s="110"/>
      <c r="AB937" s="83"/>
      <c r="AC937" s="106"/>
      <c r="AD937" s="106"/>
      <c r="AE937" s="100">
        <f t="shared" si="1283"/>
        <v>-1</v>
      </c>
      <c r="AF937" s="90"/>
      <c r="AG937" s="109">
        <f t="shared" si="1284"/>
        <v>-1104</v>
      </c>
      <c r="AH937" s="100">
        <f t="shared" si="1285"/>
        <v>-1</v>
      </c>
      <c r="AI937" s="100">
        <f t="shared" si="1286"/>
        <v>-1</v>
      </c>
    </row>
    <row r="938" spans="1:35" s="82" customFormat="1" ht="16.5" customHeight="1" x14ac:dyDescent="0.3">
      <c r="A938" s="90" t="s">
        <v>46</v>
      </c>
      <c r="B938" s="90" t="s">
        <v>52</v>
      </c>
      <c r="C938" s="137"/>
      <c r="D938" s="90"/>
      <c r="E938" s="80"/>
      <c r="F938" s="81">
        <f>SUM(F935:F937)</f>
        <v>3636</v>
      </c>
      <c r="G938" s="81"/>
      <c r="H938" s="81" t="s">
        <v>50</v>
      </c>
      <c r="I938" s="81"/>
      <c r="J938" s="81"/>
      <c r="K938" s="85" t="s">
        <v>515</v>
      </c>
      <c r="L938" s="81">
        <f>SUM(L935:L937)</f>
        <v>0</v>
      </c>
      <c r="M938" s="81">
        <f>SUM(M935:M937)</f>
        <v>0</v>
      </c>
      <c r="N938" s="81">
        <f>SUM(N935:N937)</f>
        <v>-3636</v>
      </c>
      <c r="O938" s="81"/>
      <c r="P938" s="81">
        <f>SUM(P935:P937)</f>
        <v>0</v>
      </c>
      <c r="Q938" s="81">
        <f>SUM(Q935:Q937)</f>
        <v>0</v>
      </c>
      <c r="R938" s="81">
        <f>SUM(R935:R937)</f>
        <v>0</v>
      </c>
      <c r="S938" s="81">
        <f>SUM(S935:S937)</f>
        <v>0</v>
      </c>
      <c r="T938" s="81">
        <f>SUM(T935:T937)</f>
        <v>0</v>
      </c>
      <c r="U938" s="59">
        <f t="shared" si="1282"/>
        <v>0</v>
      </c>
      <c r="V938" s="81">
        <f>SUM(V935:V937)</f>
        <v>0</v>
      </c>
      <c r="W938" s="81">
        <f>SUM(W935:W937)</f>
        <v>0</v>
      </c>
      <c r="X938" s="81">
        <f>SUM(X935:X937)</f>
        <v>0</v>
      </c>
      <c r="Y938" s="81" t="s">
        <v>47</v>
      </c>
      <c r="Z938" s="110" t="s">
        <v>45</v>
      </c>
      <c r="AA938" s="110"/>
      <c r="AB938" s="84"/>
      <c r="AC938" s="136"/>
      <c r="AD938" s="136"/>
      <c r="AE938" s="100">
        <f t="shared" si="1283"/>
        <v>-1</v>
      </c>
      <c r="AF938" s="90"/>
      <c r="AG938" s="109">
        <f t="shared" si="1284"/>
        <v>-3636</v>
      </c>
      <c r="AH938" s="100">
        <f t="shared" si="1285"/>
        <v>-1</v>
      </c>
      <c r="AI938" s="100">
        <f t="shared" si="1286"/>
        <v>-1</v>
      </c>
    </row>
    <row r="939" spans="1:35" s="86" customFormat="1" ht="18.75" customHeight="1" x14ac:dyDescent="0.3">
      <c r="A939" s="106"/>
      <c r="B939" s="106" t="s">
        <v>52</v>
      </c>
      <c r="C939" s="118">
        <v>48086</v>
      </c>
      <c r="D939" s="310">
        <v>13262929</v>
      </c>
      <c r="E939" s="157" t="s">
        <v>98</v>
      </c>
      <c r="F939" s="83">
        <v>1240</v>
      </c>
      <c r="G939" s="83"/>
      <c r="H939" s="83"/>
      <c r="I939" s="83"/>
      <c r="J939" s="83"/>
      <c r="K939" s="83"/>
      <c r="L939" s="83"/>
      <c r="M939" s="83">
        <f>411+700+162+21</f>
        <v>1294</v>
      </c>
      <c r="N939" s="110">
        <f>M939-F939</f>
        <v>54</v>
      </c>
      <c r="O939" s="110" t="s">
        <v>100</v>
      </c>
      <c r="P939" s="83"/>
      <c r="Q939" s="83">
        <f>1095+161+21</f>
        <v>1277</v>
      </c>
      <c r="R939" s="83"/>
      <c r="S939" s="83">
        <f>1269</f>
        <v>1269</v>
      </c>
      <c r="T939" s="110">
        <f>S939-Q939</f>
        <v>-8</v>
      </c>
      <c r="U939" s="59">
        <f t="shared" ref="U939:U963" si="1287">IF(Q939&gt;0,S939-W939,M939-W939)</f>
        <v>1269</v>
      </c>
      <c r="V939" s="83"/>
      <c r="W939" s="83"/>
      <c r="X939" s="110">
        <f>W939-M939</f>
        <v>-1294</v>
      </c>
      <c r="Y939" s="110"/>
      <c r="Z939" s="110"/>
      <c r="AA939" s="110"/>
      <c r="AB939" s="83"/>
      <c r="AC939" s="106"/>
      <c r="AD939" s="106"/>
      <c r="AE939" s="100">
        <f t="shared" ref="AE939:AE963" si="1288">N939/F939</f>
        <v>4.3548387096774194E-2</v>
      </c>
      <c r="AF939" s="90"/>
      <c r="AG939" s="109">
        <f t="shared" ref="AG939:AG963" si="1289">IF(N939&lt;0,N939,0)</f>
        <v>0</v>
      </c>
      <c r="AH939" s="100">
        <f t="shared" ref="AH939:AH963" si="1290">(S939-F939)/F939</f>
        <v>2.3387096774193549E-2</v>
      </c>
      <c r="AI939" s="100">
        <f t="shared" ref="AI939:AI963" si="1291">(W939-F939)/F939</f>
        <v>-1</v>
      </c>
    </row>
    <row r="940" spans="1:35" s="86" customFormat="1" ht="18.75" customHeight="1" x14ac:dyDescent="0.3">
      <c r="A940" s="106"/>
      <c r="B940" s="106" t="s">
        <v>52</v>
      </c>
      <c r="C940" s="118">
        <v>48086</v>
      </c>
      <c r="D940" s="311"/>
      <c r="E940" s="157" t="s">
        <v>510</v>
      </c>
      <c r="F940" s="83">
        <v>1084</v>
      </c>
      <c r="G940" s="83"/>
      <c r="H940" s="83"/>
      <c r="I940" s="83"/>
      <c r="J940" s="83"/>
      <c r="K940" s="83"/>
      <c r="L940" s="83"/>
      <c r="M940" s="83">
        <v>1123</v>
      </c>
      <c r="N940" s="110">
        <f>M940-F940</f>
        <v>39</v>
      </c>
      <c r="O940" s="110" t="s">
        <v>100</v>
      </c>
      <c r="P940" s="83"/>
      <c r="Q940" s="83">
        <v>1123</v>
      </c>
      <c r="R940" s="83"/>
      <c r="S940" s="83">
        <v>1123</v>
      </c>
      <c r="T940" s="110">
        <f>S940-Q940</f>
        <v>0</v>
      </c>
      <c r="U940" s="59">
        <f t="shared" si="1287"/>
        <v>1123</v>
      </c>
      <c r="V940" s="83"/>
      <c r="W940" s="83"/>
      <c r="X940" s="110">
        <f>W940-M940</f>
        <v>-1123</v>
      </c>
      <c r="Y940" s="110"/>
      <c r="Z940" s="110"/>
      <c r="AA940" s="110"/>
      <c r="AB940" s="83"/>
      <c r="AC940" s="106"/>
      <c r="AD940" s="106"/>
      <c r="AE940" s="100">
        <f t="shared" si="1288"/>
        <v>3.5977859778597784E-2</v>
      </c>
      <c r="AF940" s="90"/>
      <c r="AG940" s="109">
        <f t="shared" si="1289"/>
        <v>0</v>
      </c>
      <c r="AH940" s="100">
        <f t="shared" si="1290"/>
        <v>3.5977859778597784E-2</v>
      </c>
      <c r="AI940" s="100">
        <f t="shared" si="1291"/>
        <v>-1</v>
      </c>
    </row>
    <row r="941" spans="1:35" s="86" customFormat="1" ht="18.75" customHeight="1" x14ac:dyDescent="0.3">
      <c r="A941" s="106"/>
      <c r="B941" s="106" t="s">
        <v>52</v>
      </c>
      <c r="C941" s="118">
        <v>48086</v>
      </c>
      <c r="D941" s="311"/>
      <c r="E941" s="157" t="s">
        <v>511</v>
      </c>
      <c r="F941" s="83">
        <v>1156</v>
      </c>
      <c r="G941" s="83"/>
      <c r="H941" s="83"/>
      <c r="I941" s="83"/>
      <c r="J941" s="83"/>
      <c r="K941" s="83"/>
      <c r="L941" s="83"/>
      <c r="M941" s="83">
        <f>970+213</f>
        <v>1183</v>
      </c>
      <c r="N941" s="110">
        <f>M941-F941</f>
        <v>27</v>
      </c>
      <c r="O941" s="110" t="s">
        <v>100</v>
      </c>
      <c r="P941" s="83"/>
      <c r="Q941" s="83">
        <f>1183</f>
        <v>1183</v>
      </c>
      <c r="R941" s="83"/>
      <c r="S941" s="83">
        <v>1183</v>
      </c>
      <c r="T941" s="110">
        <f>S941-Q941</f>
        <v>0</v>
      </c>
      <c r="U941" s="59">
        <f t="shared" si="1287"/>
        <v>1183</v>
      </c>
      <c r="V941" s="83"/>
      <c r="W941" s="83"/>
      <c r="X941" s="110">
        <f>W941-M941</f>
        <v>-1183</v>
      </c>
      <c r="Y941" s="110"/>
      <c r="Z941" s="110"/>
      <c r="AA941" s="110"/>
      <c r="AB941" s="83"/>
      <c r="AC941" s="106"/>
      <c r="AD941" s="106"/>
      <c r="AE941" s="100">
        <f t="shared" si="1288"/>
        <v>2.3356401384083045E-2</v>
      </c>
      <c r="AF941" s="90"/>
      <c r="AG941" s="109">
        <f t="shared" si="1289"/>
        <v>0</v>
      </c>
      <c r="AH941" s="100">
        <f t="shared" si="1290"/>
        <v>2.3356401384083045E-2</v>
      </c>
      <c r="AI941" s="100">
        <f t="shared" si="1291"/>
        <v>-1</v>
      </c>
    </row>
    <row r="942" spans="1:35" s="82" customFormat="1" ht="16.5" customHeight="1" x14ac:dyDescent="0.3">
      <c r="A942" s="90" t="s">
        <v>46</v>
      </c>
      <c r="B942" s="90" t="s">
        <v>52</v>
      </c>
      <c r="C942" s="137"/>
      <c r="D942" s="90"/>
      <c r="E942" s="80"/>
      <c r="F942" s="81">
        <f>SUM(F939:F941)</f>
        <v>3480</v>
      </c>
      <c r="G942" s="81"/>
      <c r="H942" s="81" t="s">
        <v>50</v>
      </c>
      <c r="I942" s="81"/>
      <c r="J942" s="81" t="s">
        <v>60</v>
      </c>
      <c r="K942" s="85" t="s">
        <v>508</v>
      </c>
      <c r="L942" s="81">
        <f>SUM(L939:L941)</f>
        <v>0</v>
      </c>
      <c r="M942" s="81">
        <f>SUM(M939:M941)</f>
        <v>3600</v>
      </c>
      <c r="N942" s="81">
        <f>SUM(N939:N941)</f>
        <v>120</v>
      </c>
      <c r="O942" s="81" t="s">
        <v>245</v>
      </c>
      <c r="P942" s="81">
        <f>SUM(P939:P941)</f>
        <v>0</v>
      </c>
      <c r="Q942" s="81">
        <f>SUM(Q939:Q941)</f>
        <v>3583</v>
      </c>
      <c r="R942" s="81">
        <f>SUM(R939:R941)</f>
        <v>0</v>
      </c>
      <c r="S942" s="81">
        <f>SUM(S939:S941)</f>
        <v>3575</v>
      </c>
      <c r="T942" s="81">
        <f>SUM(T939:T941)</f>
        <v>-8</v>
      </c>
      <c r="U942" s="59">
        <f t="shared" si="1287"/>
        <v>3575</v>
      </c>
      <c r="V942" s="81">
        <f>SUM(V939:V941)</f>
        <v>0</v>
      </c>
      <c r="W942" s="81">
        <f>SUM(W939:W941)</f>
        <v>0</v>
      </c>
      <c r="X942" s="81">
        <f>SUM(X939:X941)</f>
        <v>-3600</v>
      </c>
      <c r="Y942" s="81" t="s">
        <v>57</v>
      </c>
      <c r="Z942" s="110" t="s">
        <v>45</v>
      </c>
      <c r="AA942" s="110"/>
      <c r="AB942" s="84"/>
      <c r="AC942" s="136"/>
      <c r="AD942" s="136"/>
      <c r="AE942" s="100">
        <f t="shared" si="1288"/>
        <v>3.4482758620689655E-2</v>
      </c>
      <c r="AF942" s="90"/>
      <c r="AG942" s="109">
        <f t="shared" si="1289"/>
        <v>0</v>
      </c>
      <c r="AH942" s="100">
        <f t="shared" si="1290"/>
        <v>2.7298850574712645E-2</v>
      </c>
      <c r="AI942" s="100">
        <f t="shared" si="1291"/>
        <v>-1</v>
      </c>
    </row>
    <row r="943" spans="1:35" s="86" customFormat="1" ht="18.75" customHeight="1" x14ac:dyDescent="0.3">
      <c r="A943" s="106"/>
      <c r="B943" s="106" t="s">
        <v>52</v>
      </c>
      <c r="C943" s="118">
        <v>48087</v>
      </c>
      <c r="D943" s="310">
        <v>13262930</v>
      </c>
      <c r="E943" s="157" t="s">
        <v>98</v>
      </c>
      <c r="F943" s="83">
        <v>2108</v>
      </c>
      <c r="G943" s="83"/>
      <c r="H943" s="83"/>
      <c r="I943" s="83"/>
      <c r="J943" s="83"/>
      <c r="K943" s="83"/>
      <c r="L943" s="83"/>
      <c r="M943" s="83"/>
      <c r="N943" s="110">
        <f>M943-F943</f>
        <v>-2108</v>
      </c>
      <c r="O943" s="110" t="s">
        <v>100</v>
      </c>
      <c r="P943" s="83"/>
      <c r="Q943" s="83"/>
      <c r="R943" s="83"/>
      <c r="S943" s="83"/>
      <c r="T943" s="110">
        <f>S943-Q943</f>
        <v>0</v>
      </c>
      <c r="U943" s="59">
        <f t="shared" si="1287"/>
        <v>0</v>
      </c>
      <c r="V943" s="83"/>
      <c r="W943" s="83"/>
      <c r="X943" s="110">
        <f>W943-M943</f>
        <v>0</v>
      </c>
      <c r="Y943" s="110"/>
      <c r="Z943" s="110"/>
      <c r="AA943" s="110"/>
      <c r="AB943" s="83"/>
      <c r="AC943" s="106"/>
      <c r="AD943" s="106"/>
      <c r="AE943" s="100">
        <f t="shared" si="1288"/>
        <v>-1</v>
      </c>
      <c r="AF943" s="90"/>
      <c r="AG943" s="109">
        <f t="shared" si="1289"/>
        <v>-2108</v>
      </c>
      <c r="AH943" s="100">
        <f t="shared" si="1290"/>
        <v>-1</v>
      </c>
      <c r="AI943" s="100">
        <f t="shared" si="1291"/>
        <v>-1</v>
      </c>
    </row>
    <row r="944" spans="1:35" s="86" customFormat="1" ht="18.75" customHeight="1" x14ac:dyDescent="0.3">
      <c r="A944" s="106"/>
      <c r="B944" s="106" t="s">
        <v>52</v>
      </c>
      <c r="C944" s="118">
        <v>48087</v>
      </c>
      <c r="D944" s="311"/>
      <c r="E944" s="157" t="s">
        <v>510</v>
      </c>
      <c r="F944" s="83">
        <v>1208</v>
      </c>
      <c r="G944" s="83"/>
      <c r="H944" s="83"/>
      <c r="I944" s="83"/>
      <c r="J944" s="83"/>
      <c r="K944" s="83"/>
      <c r="L944" s="83"/>
      <c r="M944" s="83"/>
      <c r="N944" s="110">
        <f>M944-F944</f>
        <v>-1208</v>
      </c>
      <c r="O944" s="110" t="s">
        <v>100</v>
      </c>
      <c r="P944" s="83"/>
      <c r="Q944" s="83"/>
      <c r="R944" s="83"/>
      <c r="S944" s="83"/>
      <c r="T944" s="110">
        <f>S944-Q944</f>
        <v>0</v>
      </c>
      <c r="U944" s="59">
        <f t="shared" si="1287"/>
        <v>0</v>
      </c>
      <c r="V944" s="83"/>
      <c r="W944" s="83"/>
      <c r="X944" s="110">
        <f>W944-M944</f>
        <v>0</v>
      </c>
      <c r="Y944" s="110"/>
      <c r="Z944" s="110"/>
      <c r="AA944" s="110"/>
      <c r="AB944" s="83"/>
      <c r="AC944" s="106"/>
      <c r="AD944" s="106"/>
      <c r="AE944" s="100">
        <f t="shared" si="1288"/>
        <v>-1</v>
      </c>
      <c r="AF944" s="90"/>
      <c r="AG944" s="109">
        <f t="shared" si="1289"/>
        <v>-1208</v>
      </c>
      <c r="AH944" s="100">
        <f t="shared" si="1290"/>
        <v>-1</v>
      </c>
      <c r="AI944" s="100">
        <f t="shared" si="1291"/>
        <v>-1</v>
      </c>
    </row>
    <row r="945" spans="1:35" s="86" customFormat="1" ht="18.75" customHeight="1" x14ac:dyDescent="0.3">
      <c r="A945" s="106"/>
      <c r="B945" s="106" t="s">
        <v>52</v>
      </c>
      <c r="C945" s="118">
        <v>48087</v>
      </c>
      <c r="D945" s="311"/>
      <c r="E945" s="157" t="s">
        <v>511</v>
      </c>
      <c r="F945" s="83">
        <v>1128</v>
      </c>
      <c r="G945" s="83"/>
      <c r="H945" s="83"/>
      <c r="I945" s="83"/>
      <c r="J945" s="83"/>
      <c r="K945" s="83"/>
      <c r="L945" s="83"/>
      <c r="M945" s="83"/>
      <c r="N945" s="110">
        <f>M945-F945</f>
        <v>-1128</v>
      </c>
      <c r="O945" s="110" t="s">
        <v>100</v>
      </c>
      <c r="P945" s="83"/>
      <c r="Q945" s="83"/>
      <c r="R945" s="83"/>
      <c r="S945" s="83"/>
      <c r="T945" s="110">
        <f>S945-Q945</f>
        <v>0</v>
      </c>
      <c r="U945" s="59">
        <f t="shared" si="1287"/>
        <v>0</v>
      </c>
      <c r="V945" s="83"/>
      <c r="W945" s="83"/>
      <c r="X945" s="110">
        <f>W945-M945</f>
        <v>0</v>
      </c>
      <c r="Y945" s="110"/>
      <c r="Z945" s="110"/>
      <c r="AA945" s="110"/>
      <c r="AB945" s="83"/>
      <c r="AC945" s="106"/>
      <c r="AD945" s="106"/>
      <c r="AE945" s="100">
        <f t="shared" si="1288"/>
        <v>-1</v>
      </c>
      <c r="AF945" s="90"/>
      <c r="AG945" s="109">
        <f t="shared" si="1289"/>
        <v>-1128</v>
      </c>
      <c r="AH945" s="100">
        <f t="shared" si="1290"/>
        <v>-1</v>
      </c>
      <c r="AI945" s="100">
        <f t="shared" si="1291"/>
        <v>-1</v>
      </c>
    </row>
    <row r="946" spans="1:35" s="82" customFormat="1" ht="16.5" customHeight="1" x14ac:dyDescent="0.3">
      <c r="A946" s="90" t="s">
        <v>46</v>
      </c>
      <c r="B946" s="90" t="s">
        <v>52</v>
      </c>
      <c r="C946" s="137"/>
      <c r="D946" s="90"/>
      <c r="E946" s="80"/>
      <c r="F946" s="81">
        <f>SUM(F943:F945)</f>
        <v>4444</v>
      </c>
      <c r="G946" s="81"/>
      <c r="H946" s="81" t="s">
        <v>50</v>
      </c>
      <c r="I946" s="81"/>
      <c r="J946" s="81"/>
      <c r="K946" s="85" t="s">
        <v>508</v>
      </c>
      <c r="L946" s="81">
        <f>SUM(L943:L945)</f>
        <v>0</v>
      </c>
      <c r="M946" s="81">
        <f>SUM(M943:M945)</f>
        <v>0</v>
      </c>
      <c r="N946" s="81">
        <f>SUM(N943:N945)</f>
        <v>-4444</v>
      </c>
      <c r="O946" s="81"/>
      <c r="P946" s="81">
        <f>SUM(P943:P945)</f>
        <v>0</v>
      </c>
      <c r="Q946" s="81">
        <f>SUM(Q943:Q945)</f>
        <v>0</v>
      </c>
      <c r="R946" s="81">
        <f>SUM(R943:R945)</f>
        <v>0</v>
      </c>
      <c r="S946" s="81">
        <f>SUM(S943:S945)</f>
        <v>0</v>
      </c>
      <c r="T946" s="81">
        <f>SUM(T943:T945)</f>
        <v>0</v>
      </c>
      <c r="U946" s="59">
        <f t="shared" si="1287"/>
        <v>0</v>
      </c>
      <c r="V946" s="81">
        <f>SUM(V943:V945)</f>
        <v>0</v>
      </c>
      <c r="W946" s="81">
        <f>SUM(W943:W945)</f>
        <v>0</v>
      </c>
      <c r="X946" s="81">
        <f>SUM(X943:X945)</f>
        <v>0</v>
      </c>
      <c r="Y946" s="81" t="s">
        <v>47</v>
      </c>
      <c r="Z946" s="110" t="s">
        <v>45</v>
      </c>
      <c r="AA946" s="110"/>
      <c r="AB946" s="84"/>
      <c r="AC946" s="136"/>
      <c r="AD946" s="136"/>
      <c r="AE946" s="100">
        <f t="shared" si="1288"/>
        <v>-1</v>
      </c>
      <c r="AF946" s="90"/>
      <c r="AG946" s="109">
        <f t="shared" si="1289"/>
        <v>-4444</v>
      </c>
      <c r="AH946" s="100">
        <f t="shared" si="1290"/>
        <v>-1</v>
      </c>
      <c r="AI946" s="100">
        <f t="shared" si="1291"/>
        <v>-1</v>
      </c>
    </row>
    <row r="947" spans="1:35" s="86" customFormat="1" ht="18.75" customHeight="1" x14ac:dyDescent="0.3">
      <c r="A947" s="106"/>
      <c r="B947" s="106" t="s">
        <v>52</v>
      </c>
      <c r="C947" s="118">
        <v>48089</v>
      </c>
      <c r="D947" s="310" t="s">
        <v>517</v>
      </c>
      <c r="E947" s="157" t="s">
        <v>510</v>
      </c>
      <c r="F947" s="83">
        <v>4850</v>
      </c>
      <c r="G947" s="83"/>
      <c r="H947" s="83"/>
      <c r="I947" s="83"/>
      <c r="J947" s="83"/>
      <c r="K947" s="83"/>
      <c r="L947" s="83"/>
      <c r="M947" s="83"/>
      <c r="N947" s="110">
        <f>M947-F947</f>
        <v>-4850</v>
      </c>
      <c r="O947" s="110" t="s">
        <v>100</v>
      </c>
      <c r="P947" s="83"/>
      <c r="Q947" s="83"/>
      <c r="R947" s="83"/>
      <c r="S947" s="83"/>
      <c r="T947" s="110">
        <f>S947-Q947</f>
        <v>0</v>
      </c>
      <c r="U947" s="59">
        <f t="shared" si="1287"/>
        <v>0</v>
      </c>
      <c r="V947" s="83"/>
      <c r="W947" s="83"/>
      <c r="X947" s="110">
        <f>W947-M947</f>
        <v>0</v>
      </c>
      <c r="Y947" s="110"/>
      <c r="Z947" s="110"/>
      <c r="AA947" s="110"/>
      <c r="AB947" s="83"/>
      <c r="AC947" s="106"/>
      <c r="AD947" s="106"/>
      <c r="AE947" s="100">
        <f t="shared" si="1288"/>
        <v>-1</v>
      </c>
      <c r="AF947" s="90"/>
      <c r="AG947" s="109">
        <f t="shared" si="1289"/>
        <v>-4850</v>
      </c>
      <c r="AH947" s="100">
        <f t="shared" si="1290"/>
        <v>-1</v>
      </c>
      <c r="AI947" s="100">
        <f t="shared" si="1291"/>
        <v>-1</v>
      </c>
    </row>
    <row r="948" spans="1:35" s="86" customFormat="1" ht="18.75" customHeight="1" x14ac:dyDescent="0.3">
      <c r="A948" s="106"/>
      <c r="B948" s="106" t="s">
        <v>52</v>
      </c>
      <c r="C948" s="118">
        <v>48089</v>
      </c>
      <c r="D948" s="311"/>
      <c r="E948" s="157" t="s">
        <v>332</v>
      </c>
      <c r="F948" s="83">
        <v>5100</v>
      </c>
      <c r="G948" s="83"/>
      <c r="H948" s="83"/>
      <c r="I948" s="83"/>
      <c r="J948" s="83"/>
      <c r="K948" s="83"/>
      <c r="L948" s="83"/>
      <c r="M948" s="83"/>
      <c r="N948" s="110">
        <f>M948-F948</f>
        <v>-5100</v>
      </c>
      <c r="O948" s="110" t="s">
        <v>100</v>
      </c>
      <c r="P948" s="83"/>
      <c r="Q948" s="83"/>
      <c r="R948" s="83"/>
      <c r="S948" s="83"/>
      <c r="T948" s="110">
        <f>S948-Q948</f>
        <v>0</v>
      </c>
      <c r="U948" s="59">
        <f t="shared" si="1287"/>
        <v>0</v>
      </c>
      <c r="V948" s="83"/>
      <c r="W948" s="83"/>
      <c r="X948" s="110">
        <f>W948-M948</f>
        <v>0</v>
      </c>
      <c r="Y948" s="110"/>
      <c r="Z948" s="110"/>
      <c r="AA948" s="110"/>
      <c r="AB948" s="83"/>
      <c r="AC948" s="106"/>
      <c r="AD948" s="106"/>
      <c r="AE948" s="100">
        <f t="shared" si="1288"/>
        <v>-1</v>
      </c>
      <c r="AF948" s="90"/>
      <c r="AG948" s="109">
        <f t="shared" si="1289"/>
        <v>-5100</v>
      </c>
      <c r="AH948" s="100">
        <f t="shared" si="1290"/>
        <v>-1</v>
      </c>
      <c r="AI948" s="100">
        <f t="shared" si="1291"/>
        <v>-1</v>
      </c>
    </row>
    <row r="949" spans="1:35" s="86" customFormat="1" ht="18.75" customHeight="1" x14ac:dyDescent="0.3">
      <c r="A949" s="106"/>
      <c r="B949" s="106" t="s">
        <v>52</v>
      </c>
      <c r="C949" s="118">
        <v>48089</v>
      </c>
      <c r="D949" s="311"/>
      <c r="E949" s="157" t="s">
        <v>39</v>
      </c>
      <c r="F949" s="83">
        <v>9154</v>
      </c>
      <c r="G949" s="83"/>
      <c r="H949" s="83"/>
      <c r="I949" s="83"/>
      <c r="J949" s="83"/>
      <c r="K949" s="83"/>
      <c r="L949" s="83"/>
      <c r="M949" s="83"/>
      <c r="N949" s="110">
        <f>M949-F949</f>
        <v>-9154</v>
      </c>
      <c r="O949" s="110" t="s">
        <v>100</v>
      </c>
      <c r="P949" s="83"/>
      <c r="Q949" s="83"/>
      <c r="R949" s="83"/>
      <c r="S949" s="83"/>
      <c r="T949" s="110">
        <f>S949-Q949</f>
        <v>0</v>
      </c>
      <c r="U949" s="59">
        <f t="shared" si="1287"/>
        <v>0</v>
      </c>
      <c r="V949" s="83"/>
      <c r="W949" s="83"/>
      <c r="X949" s="110">
        <f>W949-M949</f>
        <v>0</v>
      </c>
      <c r="Y949" s="110"/>
      <c r="Z949" s="110"/>
      <c r="AA949" s="110"/>
      <c r="AB949" s="83"/>
      <c r="AC949" s="106"/>
      <c r="AD949" s="106"/>
      <c r="AE949" s="100">
        <f t="shared" si="1288"/>
        <v>-1</v>
      </c>
      <c r="AF949" s="90"/>
      <c r="AG949" s="109">
        <f t="shared" si="1289"/>
        <v>-9154</v>
      </c>
      <c r="AH949" s="100">
        <f t="shared" si="1290"/>
        <v>-1</v>
      </c>
      <c r="AI949" s="100">
        <f t="shared" si="1291"/>
        <v>-1</v>
      </c>
    </row>
    <row r="950" spans="1:35" s="82" customFormat="1" ht="16.5" customHeight="1" x14ac:dyDescent="0.3">
      <c r="A950" s="90" t="s">
        <v>46</v>
      </c>
      <c r="B950" s="90" t="s">
        <v>52</v>
      </c>
      <c r="C950" s="137"/>
      <c r="D950" s="90"/>
      <c r="E950" s="80"/>
      <c r="F950" s="81">
        <f>SUM(F947:F949)</f>
        <v>19104</v>
      </c>
      <c r="G950" s="81"/>
      <c r="H950" s="81" t="s">
        <v>50</v>
      </c>
      <c r="I950" s="81"/>
      <c r="J950" s="81"/>
      <c r="K950" s="85" t="s">
        <v>508</v>
      </c>
      <c r="L950" s="81">
        <f>SUM(L947:L949)</f>
        <v>0</v>
      </c>
      <c r="M950" s="81">
        <f>SUM(M947:M949)</f>
        <v>0</v>
      </c>
      <c r="N950" s="81">
        <f>SUM(N947:N949)</f>
        <v>-19104</v>
      </c>
      <c r="O950" s="81"/>
      <c r="P950" s="81">
        <f>SUM(P947:P949)</f>
        <v>0</v>
      </c>
      <c r="Q950" s="81">
        <f>SUM(Q947:Q949)</f>
        <v>0</v>
      </c>
      <c r="R950" s="81">
        <f>SUM(R947:R949)</f>
        <v>0</v>
      </c>
      <c r="S950" s="81">
        <f>SUM(S947:S949)</f>
        <v>0</v>
      </c>
      <c r="T950" s="81">
        <f>SUM(T947:T949)</f>
        <v>0</v>
      </c>
      <c r="U950" s="59">
        <f t="shared" si="1287"/>
        <v>0</v>
      </c>
      <c r="V950" s="81">
        <f>SUM(V947:V949)</f>
        <v>0</v>
      </c>
      <c r="W950" s="81">
        <f>SUM(W947:W949)</f>
        <v>0</v>
      </c>
      <c r="X950" s="81">
        <f>SUM(X947:X949)</f>
        <v>0</v>
      </c>
      <c r="Y950" s="81" t="s">
        <v>47</v>
      </c>
      <c r="Z950" s="110" t="s">
        <v>45</v>
      </c>
      <c r="AA950" s="110"/>
      <c r="AB950" s="84"/>
      <c r="AC950" s="136"/>
      <c r="AD950" s="136"/>
      <c r="AE950" s="100">
        <f t="shared" si="1288"/>
        <v>-1</v>
      </c>
      <c r="AF950" s="90"/>
      <c r="AG950" s="109">
        <f t="shared" si="1289"/>
        <v>-19104</v>
      </c>
      <c r="AH950" s="100">
        <f t="shared" si="1290"/>
        <v>-1</v>
      </c>
      <c r="AI950" s="100">
        <f t="shared" si="1291"/>
        <v>-1</v>
      </c>
    </row>
    <row r="951" spans="1:35" s="86" customFormat="1" ht="18.75" customHeight="1" x14ac:dyDescent="0.3">
      <c r="A951" s="106"/>
      <c r="B951" s="106" t="s">
        <v>52</v>
      </c>
      <c r="C951" s="118">
        <v>48090</v>
      </c>
      <c r="D951" s="310">
        <v>13262945</v>
      </c>
      <c r="E951" s="157" t="s">
        <v>510</v>
      </c>
      <c r="F951" s="83">
        <v>3166</v>
      </c>
      <c r="G951" s="83"/>
      <c r="H951" s="83"/>
      <c r="I951" s="83"/>
      <c r="J951" s="83"/>
      <c r="K951" s="83"/>
      <c r="L951" s="83"/>
      <c r="M951" s="83"/>
      <c r="N951" s="110">
        <f>M951-F951</f>
        <v>-3166</v>
      </c>
      <c r="O951" s="110" t="s">
        <v>100</v>
      </c>
      <c r="P951" s="83"/>
      <c r="Q951" s="83"/>
      <c r="R951" s="83"/>
      <c r="S951" s="83"/>
      <c r="T951" s="110">
        <f>S951-Q951</f>
        <v>0</v>
      </c>
      <c r="U951" s="59">
        <f t="shared" si="1287"/>
        <v>0</v>
      </c>
      <c r="V951" s="83"/>
      <c r="W951" s="83"/>
      <c r="X951" s="110">
        <f>W951-M951</f>
        <v>0</v>
      </c>
      <c r="Y951" s="110"/>
      <c r="Z951" s="110"/>
      <c r="AA951" s="110"/>
      <c r="AB951" s="83"/>
      <c r="AC951" s="106"/>
      <c r="AD951" s="106"/>
      <c r="AE951" s="100">
        <f t="shared" si="1288"/>
        <v>-1</v>
      </c>
      <c r="AF951" s="90"/>
      <c r="AG951" s="109">
        <f t="shared" si="1289"/>
        <v>-3166</v>
      </c>
      <c r="AH951" s="100">
        <f t="shared" si="1290"/>
        <v>-1</v>
      </c>
      <c r="AI951" s="100">
        <f t="shared" si="1291"/>
        <v>-1</v>
      </c>
    </row>
    <row r="952" spans="1:35" s="86" customFormat="1" ht="18.75" customHeight="1" x14ac:dyDescent="0.3">
      <c r="A952" s="106"/>
      <c r="B952" s="106" t="s">
        <v>52</v>
      </c>
      <c r="C952" s="118">
        <v>48090</v>
      </c>
      <c r="D952" s="311"/>
      <c r="E952" s="157" t="s">
        <v>332</v>
      </c>
      <c r="F952" s="83">
        <v>2619</v>
      </c>
      <c r="G952" s="83"/>
      <c r="H952" s="83"/>
      <c r="I952" s="83"/>
      <c r="J952" s="83"/>
      <c r="K952" s="83"/>
      <c r="L952" s="83"/>
      <c r="M952" s="83"/>
      <c r="N952" s="110">
        <f>M952-F952</f>
        <v>-2619</v>
      </c>
      <c r="O952" s="110" t="s">
        <v>100</v>
      </c>
      <c r="P952" s="83"/>
      <c r="Q952" s="83"/>
      <c r="R952" s="83"/>
      <c r="S952" s="83"/>
      <c r="T952" s="110">
        <f>S952-Q952</f>
        <v>0</v>
      </c>
      <c r="U952" s="59">
        <f t="shared" si="1287"/>
        <v>0</v>
      </c>
      <c r="V952" s="83"/>
      <c r="W952" s="83"/>
      <c r="X952" s="110">
        <f>W952-M952</f>
        <v>0</v>
      </c>
      <c r="Y952" s="110"/>
      <c r="Z952" s="110"/>
      <c r="AA952" s="110"/>
      <c r="AB952" s="83"/>
      <c r="AC952" s="106"/>
      <c r="AD952" s="106"/>
      <c r="AE952" s="100">
        <f t="shared" si="1288"/>
        <v>-1</v>
      </c>
      <c r="AF952" s="90"/>
      <c r="AG952" s="109">
        <f t="shared" si="1289"/>
        <v>-2619</v>
      </c>
      <c r="AH952" s="100">
        <f t="shared" si="1290"/>
        <v>-1</v>
      </c>
      <c r="AI952" s="100">
        <f t="shared" si="1291"/>
        <v>-1</v>
      </c>
    </row>
    <row r="953" spans="1:35" s="86" customFormat="1" ht="18.75" customHeight="1" x14ac:dyDescent="0.3">
      <c r="A953" s="106"/>
      <c r="B953" s="106" t="s">
        <v>52</v>
      </c>
      <c r="C953" s="118">
        <v>48090</v>
      </c>
      <c r="D953" s="311"/>
      <c r="E953" s="157" t="s">
        <v>39</v>
      </c>
      <c r="F953" s="83">
        <v>3024</v>
      </c>
      <c r="G953" s="83"/>
      <c r="H953" s="83"/>
      <c r="I953" s="83"/>
      <c r="J953" s="83"/>
      <c r="K953" s="83"/>
      <c r="L953" s="83"/>
      <c r="M953" s="83"/>
      <c r="N953" s="110">
        <f>M953-F953</f>
        <v>-3024</v>
      </c>
      <c r="O953" s="110" t="s">
        <v>100</v>
      </c>
      <c r="P953" s="83"/>
      <c r="Q953" s="83"/>
      <c r="R953" s="83"/>
      <c r="S953" s="83"/>
      <c r="T953" s="110">
        <f>S953-Q953</f>
        <v>0</v>
      </c>
      <c r="U953" s="59">
        <f t="shared" si="1287"/>
        <v>0</v>
      </c>
      <c r="V953" s="83"/>
      <c r="W953" s="83"/>
      <c r="X953" s="110">
        <f>W953-M953</f>
        <v>0</v>
      </c>
      <c r="Y953" s="110"/>
      <c r="Z953" s="110"/>
      <c r="AA953" s="110"/>
      <c r="AB953" s="83"/>
      <c r="AC953" s="106"/>
      <c r="AD953" s="106"/>
      <c r="AE953" s="100">
        <f t="shared" si="1288"/>
        <v>-1</v>
      </c>
      <c r="AF953" s="90"/>
      <c r="AG953" s="109">
        <f t="shared" si="1289"/>
        <v>-3024</v>
      </c>
      <c r="AH953" s="100">
        <f t="shared" si="1290"/>
        <v>-1</v>
      </c>
      <c r="AI953" s="100">
        <f t="shared" si="1291"/>
        <v>-1</v>
      </c>
    </row>
    <row r="954" spans="1:35" s="82" customFormat="1" ht="16.5" customHeight="1" x14ac:dyDescent="0.3">
      <c r="A954" s="90" t="s">
        <v>46</v>
      </c>
      <c r="B954" s="90" t="s">
        <v>52</v>
      </c>
      <c r="C954" s="137"/>
      <c r="D954" s="90"/>
      <c r="E954" s="80"/>
      <c r="F954" s="81">
        <f>SUM(F951:F953)</f>
        <v>8809</v>
      </c>
      <c r="G954" s="81"/>
      <c r="H954" s="81" t="s">
        <v>50</v>
      </c>
      <c r="I954" s="81"/>
      <c r="J954" s="81"/>
      <c r="K954" s="85" t="s">
        <v>508</v>
      </c>
      <c r="L954" s="81">
        <f>SUM(L951:L953)</f>
        <v>0</v>
      </c>
      <c r="M954" s="81">
        <f>SUM(M951:M953)</f>
        <v>0</v>
      </c>
      <c r="N954" s="81">
        <f>SUM(N951:N953)</f>
        <v>-8809</v>
      </c>
      <c r="O954" s="81"/>
      <c r="P954" s="81">
        <f>SUM(P951:P953)</f>
        <v>0</v>
      </c>
      <c r="Q954" s="81">
        <f>SUM(Q951:Q953)</f>
        <v>0</v>
      </c>
      <c r="R954" s="81">
        <f>SUM(R951:R953)</f>
        <v>0</v>
      </c>
      <c r="S954" s="81">
        <f>SUM(S951:S953)</f>
        <v>0</v>
      </c>
      <c r="T954" s="81">
        <f>SUM(T951:T953)</f>
        <v>0</v>
      </c>
      <c r="U954" s="59">
        <f t="shared" si="1287"/>
        <v>0</v>
      </c>
      <c r="V954" s="81">
        <f>SUM(V951:V953)</f>
        <v>0</v>
      </c>
      <c r="W954" s="81">
        <f>SUM(W951:W953)</f>
        <v>0</v>
      </c>
      <c r="X954" s="81">
        <f>SUM(X951:X953)</f>
        <v>0</v>
      </c>
      <c r="Y954" s="81" t="s">
        <v>47</v>
      </c>
      <c r="Z954" s="110" t="s">
        <v>45</v>
      </c>
      <c r="AA954" s="110"/>
      <c r="AB954" s="84"/>
      <c r="AC954" s="136"/>
      <c r="AD954" s="136"/>
      <c r="AE954" s="100">
        <f t="shared" si="1288"/>
        <v>-1</v>
      </c>
      <c r="AF954" s="90"/>
      <c r="AG954" s="109">
        <f t="shared" si="1289"/>
        <v>-8809</v>
      </c>
      <c r="AH954" s="100">
        <f t="shared" si="1290"/>
        <v>-1</v>
      </c>
      <c r="AI954" s="100">
        <f t="shared" si="1291"/>
        <v>-1</v>
      </c>
    </row>
    <row r="955" spans="1:35" s="86" customFormat="1" ht="18.75" customHeight="1" x14ac:dyDescent="0.3">
      <c r="A955" s="106"/>
      <c r="B955" s="106" t="s">
        <v>52</v>
      </c>
      <c r="C955" s="118">
        <v>48082</v>
      </c>
      <c r="D955" s="310">
        <v>13251015</v>
      </c>
      <c r="E955" s="157" t="s">
        <v>98</v>
      </c>
      <c r="F955" s="83">
        <v>3867</v>
      </c>
      <c r="G955" s="83"/>
      <c r="H955" s="83"/>
      <c r="I955" s="83"/>
      <c r="J955" s="83"/>
      <c r="K955" s="83"/>
      <c r="L955" s="83"/>
      <c r="M955" s="83"/>
      <c r="N955" s="110">
        <f>M955-F955</f>
        <v>-3867</v>
      </c>
      <c r="O955" s="110" t="s">
        <v>100</v>
      </c>
      <c r="P955" s="83"/>
      <c r="Q955" s="83"/>
      <c r="R955" s="83"/>
      <c r="S955" s="83"/>
      <c r="T955" s="110">
        <f>S955-Q955</f>
        <v>0</v>
      </c>
      <c r="U955" s="59">
        <f t="shared" si="1287"/>
        <v>0</v>
      </c>
      <c r="V955" s="83"/>
      <c r="W955" s="83"/>
      <c r="X955" s="110">
        <f>W955-M955</f>
        <v>0</v>
      </c>
      <c r="Y955" s="110"/>
      <c r="Z955" s="110"/>
      <c r="AA955" s="110"/>
      <c r="AB955" s="83"/>
      <c r="AC955" s="106"/>
      <c r="AD955" s="106"/>
      <c r="AE955" s="100">
        <f t="shared" si="1288"/>
        <v>-1</v>
      </c>
      <c r="AF955" s="90"/>
      <c r="AG955" s="109">
        <f t="shared" si="1289"/>
        <v>-3867</v>
      </c>
      <c r="AH955" s="100">
        <f t="shared" si="1290"/>
        <v>-1</v>
      </c>
      <c r="AI955" s="100">
        <f t="shared" si="1291"/>
        <v>-1</v>
      </c>
    </row>
    <row r="956" spans="1:35" s="86" customFormat="1" ht="18.75" customHeight="1" x14ac:dyDescent="0.3">
      <c r="A956" s="106"/>
      <c r="B956" s="106" t="s">
        <v>52</v>
      </c>
      <c r="C956" s="118">
        <v>48082</v>
      </c>
      <c r="D956" s="311"/>
      <c r="E956" s="157" t="s">
        <v>510</v>
      </c>
      <c r="F956" s="83">
        <v>2704</v>
      </c>
      <c r="G956" s="83"/>
      <c r="H956" s="83"/>
      <c r="I956" s="83"/>
      <c r="J956" s="83"/>
      <c r="K956" s="83"/>
      <c r="L956" s="83"/>
      <c r="M956" s="83"/>
      <c r="N956" s="110">
        <f>M956-F956</f>
        <v>-2704</v>
      </c>
      <c r="O956" s="110" t="s">
        <v>100</v>
      </c>
      <c r="P956" s="83"/>
      <c r="Q956" s="83"/>
      <c r="R956" s="83"/>
      <c r="S956" s="83"/>
      <c r="T956" s="110">
        <f>S956-Q956</f>
        <v>0</v>
      </c>
      <c r="U956" s="59">
        <f t="shared" si="1287"/>
        <v>0</v>
      </c>
      <c r="V956" s="83"/>
      <c r="W956" s="83"/>
      <c r="X956" s="110">
        <f>W956-M956</f>
        <v>0</v>
      </c>
      <c r="Y956" s="110"/>
      <c r="Z956" s="110"/>
      <c r="AA956" s="110"/>
      <c r="AB956" s="83"/>
      <c r="AC956" s="106"/>
      <c r="AD956" s="106"/>
      <c r="AE956" s="100">
        <f t="shared" si="1288"/>
        <v>-1</v>
      </c>
      <c r="AF956" s="90"/>
      <c r="AG956" s="109">
        <f t="shared" si="1289"/>
        <v>-2704</v>
      </c>
      <c r="AH956" s="100">
        <f t="shared" si="1290"/>
        <v>-1</v>
      </c>
      <c r="AI956" s="100">
        <f t="shared" si="1291"/>
        <v>-1</v>
      </c>
    </row>
    <row r="957" spans="1:35" s="86" customFormat="1" ht="18.75" customHeight="1" x14ac:dyDescent="0.3">
      <c r="A957" s="106"/>
      <c r="B957" s="106" t="s">
        <v>52</v>
      </c>
      <c r="C957" s="118">
        <v>48082</v>
      </c>
      <c r="D957" s="311"/>
      <c r="E957" s="157" t="s">
        <v>511</v>
      </c>
      <c r="F957" s="83">
        <v>2836</v>
      </c>
      <c r="G957" s="83"/>
      <c r="H957" s="83"/>
      <c r="I957" s="83"/>
      <c r="J957" s="83"/>
      <c r="K957" s="83"/>
      <c r="L957" s="83"/>
      <c r="M957" s="83"/>
      <c r="N957" s="110">
        <f>M957-F957</f>
        <v>-2836</v>
      </c>
      <c r="O957" s="110" t="s">
        <v>100</v>
      </c>
      <c r="P957" s="83"/>
      <c r="Q957" s="83"/>
      <c r="R957" s="83"/>
      <c r="S957" s="83"/>
      <c r="T957" s="110">
        <f>S957-Q957</f>
        <v>0</v>
      </c>
      <c r="U957" s="59">
        <f t="shared" si="1287"/>
        <v>0</v>
      </c>
      <c r="V957" s="83"/>
      <c r="W957" s="83"/>
      <c r="X957" s="110">
        <f>W957-M957</f>
        <v>0</v>
      </c>
      <c r="Y957" s="110"/>
      <c r="Z957" s="110"/>
      <c r="AA957" s="110"/>
      <c r="AB957" s="83"/>
      <c r="AC957" s="106"/>
      <c r="AD957" s="106"/>
      <c r="AE957" s="100">
        <f t="shared" si="1288"/>
        <v>-1</v>
      </c>
      <c r="AF957" s="90"/>
      <c r="AG957" s="109">
        <f t="shared" si="1289"/>
        <v>-2836</v>
      </c>
      <c r="AH957" s="100">
        <f t="shared" si="1290"/>
        <v>-1</v>
      </c>
      <c r="AI957" s="100">
        <f t="shared" si="1291"/>
        <v>-1</v>
      </c>
    </row>
    <row r="958" spans="1:35" s="82" customFormat="1" ht="16.5" customHeight="1" x14ac:dyDescent="0.3">
      <c r="A958" s="90" t="s">
        <v>46</v>
      </c>
      <c r="B958" s="90" t="s">
        <v>52</v>
      </c>
      <c r="C958" s="137"/>
      <c r="D958" s="90"/>
      <c r="E958" s="80"/>
      <c r="F958" s="81">
        <f>SUM(F955:F957)</f>
        <v>9407</v>
      </c>
      <c r="G958" s="81"/>
      <c r="H958" s="81" t="s">
        <v>50</v>
      </c>
      <c r="I958" s="81"/>
      <c r="J958" s="81"/>
      <c r="K958" s="85" t="s">
        <v>508</v>
      </c>
      <c r="L958" s="81">
        <f>SUM(L955:L957)</f>
        <v>0</v>
      </c>
      <c r="M958" s="81">
        <f>SUM(M955:M957)</f>
        <v>0</v>
      </c>
      <c r="N958" s="81">
        <f>SUM(N955:N957)</f>
        <v>-9407</v>
      </c>
      <c r="O958" s="81"/>
      <c r="P958" s="81">
        <f>SUM(P955:P957)</f>
        <v>0</v>
      </c>
      <c r="Q958" s="81">
        <f>SUM(Q955:Q957)</f>
        <v>0</v>
      </c>
      <c r="R958" s="81">
        <f>SUM(R955:R957)</f>
        <v>0</v>
      </c>
      <c r="S958" s="81">
        <f>SUM(S955:S957)</f>
        <v>0</v>
      </c>
      <c r="T958" s="81">
        <f>SUM(T955:T957)</f>
        <v>0</v>
      </c>
      <c r="U958" s="59">
        <f t="shared" si="1287"/>
        <v>0</v>
      </c>
      <c r="V958" s="81">
        <f>SUM(V955:V957)</f>
        <v>0</v>
      </c>
      <c r="W958" s="81">
        <f>SUM(W955:W957)</f>
        <v>0</v>
      </c>
      <c r="X958" s="81">
        <f>SUM(X955:X957)</f>
        <v>0</v>
      </c>
      <c r="Y958" s="81" t="s">
        <v>48</v>
      </c>
      <c r="Z958" s="110" t="s">
        <v>45</v>
      </c>
      <c r="AA958" s="110"/>
      <c r="AB958" s="84"/>
      <c r="AC958" s="136"/>
      <c r="AD958" s="136"/>
      <c r="AE958" s="100">
        <f t="shared" si="1288"/>
        <v>-1</v>
      </c>
      <c r="AF958" s="90"/>
      <c r="AG958" s="109">
        <f t="shared" si="1289"/>
        <v>-9407</v>
      </c>
      <c r="AH958" s="100">
        <f t="shared" si="1290"/>
        <v>-1</v>
      </c>
      <c r="AI958" s="100">
        <f t="shared" si="1291"/>
        <v>-1</v>
      </c>
    </row>
    <row r="959" spans="1:35" s="86" customFormat="1" ht="18.75" customHeight="1" x14ac:dyDescent="0.3">
      <c r="A959" s="106"/>
      <c r="B959" s="106" t="s">
        <v>52</v>
      </c>
      <c r="C959" s="118">
        <v>48307</v>
      </c>
      <c r="D959" s="310">
        <v>13228342</v>
      </c>
      <c r="E959" s="157" t="s">
        <v>474</v>
      </c>
      <c r="F959" s="83">
        <v>300</v>
      </c>
      <c r="G959" s="83"/>
      <c r="H959" s="83"/>
      <c r="I959" s="83"/>
      <c r="J959" s="83"/>
      <c r="K959" s="83"/>
      <c r="L959" s="83"/>
      <c r="M959" s="83"/>
      <c r="N959" s="110">
        <f>M959-F959</f>
        <v>-300</v>
      </c>
      <c r="O959" s="110" t="s">
        <v>100</v>
      </c>
      <c r="P959" s="83"/>
      <c r="Q959" s="83"/>
      <c r="R959" s="83"/>
      <c r="S959" s="83"/>
      <c r="T959" s="110">
        <f>S959-Q959</f>
        <v>0</v>
      </c>
      <c r="U959" s="59">
        <f t="shared" si="1287"/>
        <v>0</v>
      </c>
      <c r="V959" s="83"/>
      <c r="W959" s="83"/>
      <c r="X959" s="110">
        <f>W959-M959</f>
        <v>0</v>
      </c>
      <c r="Y959" s="110"/>
      <c r="Z959" s="110"/>
      <c r="AA959" s="110"/>
      <c r="AB959" s="83"/>
      <c r="AC959" s="106"/>
      <c r="AD959" s="106"/>
      <c r="AE959" s="100">
        <f t="shared" si="1288"/>
        <v>-1</v>
      </c>
      <c r="AF959" s="90"/>
      <c r="AG959" s="109">
        <f t="shared" si="1289"/>
        <v>-300</v>
      </c>
      <c r="AH959" s="100">
        <f t="shared" si="1290"/>
        <v>-1</v>
      </c>
      <c r="AI959" s="100">
        <f t="shared" si="1291"/>
        <v>-1</v>
      </c>
    </row>
    <row r="960" spans="1:35" s="86" customFormat="1" ht="18.75" customHeight="1" x14ac:dyDescent="0.3">
      <c r="A960" s="106"/>
      <c r="B960" s="106" t="s">
        <v>52</v>
      </c>
      <c r="C960" s="118">
        <v>48307</v>
      </c>
      <c r="D960" s="311"/>
      <c r="E960" s="157" t="s">
        <v>519</v>
      </c>
      <c r="F960" s="83">
        <v>350</v>
      </c>
      <c r="G960" s="83"/>
      <c r="H960" s="83"/>
      <c r="I960" s="83"/>
      <c r="J960" s="83"/>
      <c r="K960" s="83"/>
      <c r="L960" s="83"/>
      <c r="M960" s="83"/>
      <c r="N960" s="110">
        <f>M960-F960</f>
        <v>-350</v>
      </c>
      <c r="O960" s="110" t="s">
        <v>100</v>
      </c>
      <c r="P960" s="83"/>
      <c r="Q960" s="83"/>
      <c r="R960" s="83"/>
      <c r="S960" s="83"/>
      <c r="T960" s="110">
        <f>S960-Q960</f>
        <v>0</v>
      </c>
      <c r="U960" s="59">
        <f t="shared" si="1287"/>
        <v>0</v>
      </c>
      <c r="V960" s="83"/>
      <c r="W960" s="83"/>
      <c r="X960" s="110">
        <f>W960-M960</f>
        <v>0</v>
      </c>
      <c r="Y960" s="110"/>
      <c r="Z960" s="110"/>
      <c r="AA960" s="110"/>
      <c r="AB960" s="83"/>
      <c r="AC960" s="106"/>
      <c r="AD960" s="106"/>
      <c r="AE960" s="100">
        <f t="shared" si="1288"/>
        <v>-1</v>
      </c>
      <c r="AF960" s="90"/>
      <c r="AG960" s="109">
        <f t="shared" si="1289"/>
        <v>-350</v>
      </c>
      <c r="AH960" s="100">
        <f t="shared" si="1290"/>
        <v>-1</v>
      </c>
      <c r="AI960" s="100">
        <f t="shared" si="1291"/>
        <v>-1</v>
      </c>
    </row>
    <row r="961" spans="1:35" s="86" customFormat="1" ht="18.75" customHeight="1" x14ac:dyDescent="0.3">
      <c r="A961" s="106"/>
      <c r="B961" s="106" t="s">
        <v>52</v>
      </c>
      <c r="C961" s="118">
        <v>48307</v>
      </c>
      <c r="D961" s="311"/>
      <c r="E961" s="157" t="s">
        <v>520</v>
      </c>
      <c r="F961" s="83">
        <v>300</v>
      </c>
      <c r="G961" s="83"/>
      <c r="H961" s="83"/>
      <c r="I961" s="83"/>
      <c r="J961" s="83"/>
      <c r="K961" s="83"/>
      <c r="L961" s="83"/>
      <c r="M961" s="83"/>
      <c r="N961" s="110">
        <f>M961-F961</f>
        <v>-300</v>
      </c>
      <c r="O961" s="110" t="s">
        <v>100</v>
      </c>
      <c r="P961" s="83"/>
      <c r="Q961" s="83"/>
      <c r="R961" s="83"/>
      <c r="S961" s="83"/>
      <c r="T961" s="110">
        <f>S961-Q961</f>
        <v>0</v>
      </c>
      <c r="U961" s="59">
        <f t="shared" si="1287"/>
        <v>0</v>
      </c>
      <c r="V961" s="83"/>
      <c r="W961" s="83"/>
      <c r="X961" s="110">
        <f>W961-M961</f>
        <v>0</v>
      </c>
      <c r="Y961" s="110"/>
      <c r="Z961" s="110"/>
      <c r="AA961" s="110"/>
      <c r="AB961" s="83"/>
      <c r="AC961" s="106"/>
      <c r="AD961" s="106"/>
      <c r="AE961" s="100">
        <f t="shared" si="1288"/>
        <v>-1</v>
      </c>
      <c r="AF961" s="90"/>
      <c r="AG961" s="109">
        <f t="shared" si="1289"/>
        <v>-300</v>
      </c>
      <c r="AH961" s="100">
        <f t="shared" si="1290"/>
        <v>-1</v>
      </c>
      <c r="AI961" s="100">
        <f t="shared" si="1291"/>
        <v>-1</v>
      </c>
    </row>
    <row r="962" spans="1:35" s="86" customFormat="1" ht="18.75" customHeight="1" x14ac:dyDescent="0.3">
      <c r="A962" s="106"/>
      <c r="B962" s="106" t="s">
        <v>52</v>
      </c>
      <c r="C962" s="118">
        <v>48307</v>
      </c>
      <c r="D962" s="311"/>
      <c r="E962" s="157" t="s">
        <v>364</v>
      </c>
      <c r="F962" s="83">
        <v>250</v>
      </c>
      <c r="G962" s="83"/>
      <c r="H962" s="83"/>
      <c r="I962" s="83"/>
      <c r="J962" s="83"/>
      <c r="K962" s="83"/>
      <c r="L962" s="83"/>
      <c r="M962" s="83"/>
      <c r="N962" s="110">
        <f>M962-F962</f>
        <v>-250</v>
      </c>
      <c r="O962" s="110" t="s">
        <v>100</v>
      </c>
      <c r="P962" s="83"/>
      <c r="Q962" s="83"/>
      <c r="R962" s="83"/>
      <c r="S962" s="83"/>
      <c r="T962" s="110">
        <f>S962-Q962</f>
        <v>0</v>
      </c>
      <c r="U962" s="59">
        <f t="shared" si="1287"/>
        <v>0</v>
      </c>
      <c r="V962" s="83"/>
      <c r="W962" s="83"/>
      <c r="X962" s="110">
        <f>W962-M962</f>
        <v>0</v>
      </c>
      <c r="Y962" s="110"/>
      <c r="Z962" s="110"/>
      <c r="AA962" s="110"/>
      <c r="AB962" s="83"/>
      <c r="AC962" s="106"/>
      <c r="AD962" s="106"/>
      <c r="AE962" s="100">
        <f t="shared" si="1288"/>
        <v>-1</v>
      </c>
      <c r="AF962" s="90"/>
      <c r="AG962" s="109">
        <f t="shared" si="1289"/>
        <v>-250</v>
      </c>
      <c r="AH962" s="100">
        <f t="shared" si="1290"/>
        <v>-1</v>
      </c>
      <c r="AI962" s="100">
        <f t="shared" si="1291"/>
        <v>-1</v>
      </c>
    </row>
    <row r="963" spans="1:35" s="82" customFormat="1" ht="16.5" customHeight="1" x14ac:dyDescent="0.3">
      <c r="A963" s="90" t="s">
        <v>46</v>
      </c>
      <c r="B963" s="90" t="s">
        <v>52</v>
      </c>
      <c r="C963" s="137"/>
      <c r="D963" s="90"/>
      <c r="E963" s="80"/>
      <c r="F963" s="81">
        <f>SUM(F959:F962)</f>
        <v>1200</v>
      </c>
      <c r="G963" s="81"/>
      <c r="H963" s="81" t="s">
        <v>50</v>
      </c>
      <c r="I963" s="81"/>
      <c r="J963" s="81"/>
      <c r="K963" s="85" t="s">
        <v>416</v>
      </c>
      <c r="L963" s="81">
        <f>SUM(L959:L962)</f>
        <v>0</v>
      </c>
      <c r="M963" s="81">
        <f>SUM(M959:M962)</f>
        <v>0</v>
      </c>
      <c r="N963" s="81">
        <f>SUM(N959:N962)</f>
        <v>-1200</v>
      </c>
      <c r="O963" s="81"/>
      <c r="P963" s="81">
        <f>SUM(P959:P962)</f>
        <v>0</v>
      </c>
      <c r="Q963" s="81">
        <f>SUM(Q959:Q962)</f>
        <v>0</v>
      </c>
      <c r="R963" s="81">
        <f>SUM(R959:R962)</f>
        <v>0</v>
      </c>
      <c r="S963" s="81">
        <f>SUM(S959:S962)</f>
        <v>0</v>
      </c>
      <c r="T963" s="81">
        <f>SUM(T959:T962)</f>
        <v>0</v>
      </c>
      <c r="U963" s="59">
        <f t="shared" si="1287"/>
        <v>0</v>
      </c>
      <c r="V963" s="81">
        <f>SUM(V959:V962)</f>
        <v>0</v>
      </c>
      <c r="W963" s="81">
        <f>SUM(W959:W962)</f>
        <v>0</v>
      </c>
      <c r="X963" s="81">
        <f>SUM(X959:X962)</f>
        <v>0</v>
      </c>
      <c r="Y963" s="81" t="s">
        <v>47</v>
      </c>
      <c r="Z963" s="110" t="s">
        <v>45</v>
      </c>
      <c r="AA963" s="110"/>
      <c r="AB963" s="84"/>
      <c r="AC963" s="136"/>
      <c r="AD963" s="136"/>
      <c r="AE963" s="100">
        <f t="shared" si="1288"/>
        <v>-1</v>
      </c>
      <c r="AF963" s="90"/>
      <c r="AG963" s="109">
        <f t="shared" si="1289"/>
        <v>-1200</v>
      </c>
      <c r="AH963" s="100">
        <f t="shared" si="1290"/>
        <v>-1</v>
      </c>
      <c r="AI963" s="100">
        <f t="shared" si="1291"/>
        <v>-1</v>
      </c>
    </row>
    <row r="964" spans="1:35" s="86" customFormat="1" ht="18.75" customHeight="1" x14ac:dyDescent="0.3">
      <c r="A964" s="106"/>
      <c r="B964" s="106" t="s">
        <v>52</v>
      </c>
      <c r="C964" s="118">
        <v>48308</v>
      </c>
      <c r="D964" s="310">
        <v>13269009</v>
      </c>
      <c r="E964" s="157" t="s">
        <v>474</v>
      </c>
      <c r="F964" s="83">
        <v>700</v>
      </c>
      <c r="G964" s="83"/>
      <c r="H964" s="83"/>
      <c r="I964" s="83"/>
      <c r="J964" s="83"/>
      <c r="K964" s="83"/>
      <c r="L964" s="83"/>
      <c r="M964" s="83"/>
      <c r="N964" s="110">
        <f>M964-F964</f>
        <v>-700</v>
      </c>
      <c r="O964" s="110" t="s">
        <v>100</v>
      </c>
      <c r="P964" s="83"/>
      <c r="Q964" s="83"/>
      <c r="R964" s="83"/>
      <c r="S964" s="83"/>
      <c r="T964" s="110">
        <f>S964-Q964</f>
        <v>0</v>
      </c>
      <c r="U964" s="59">
        <f t="shared" si="1282"/>
        <v>0</v>
      </c>
      <c r="V964" s="83"/>
      <c r="W964" s="83"/>
      <c r="X964" s="110">
        <f>W964-M964</f>
        <v>0</v>
      </c>
      <c r="Y964" s="110"/>
      <c r="Z964" s="110"/>
      <c r="AA964" s="110"/>
      <c r="AB964" s="83"/>
      <c r="AC964" s="106"/>
      <c r="AD964" s="106"/>
      <c r="AE964" s="100">
        <f t="shared" si="1283"/>
        <v>-1</v>
      </c>
      <c r="AF964" s="90"/>
      <c r="AG964" s="109">
        <f t="shared" si="1284"/>
        <v>-700</v>
      </c>
      <c r="AH964" s="100">
        <f t="shared" si="1285"/>
        <v>-1</v>
      </c>
      <c r="AI964" s="100">
        <f t="shared" si="1286"/>
        <v>-1</v>
      </c>
    </row>
    <row r="965" spans="1:35" s="86" customFormat="1" ht="18.75" customHeight="1" x14ac:dyDescent="0.3">
      <c r="A965" s="106"/>
      <c r="B965" s="106" t="s">
        <v>52</v>
      </c>
      <c r="C965" s="118">
        <v>48308</v>
      </c>
      <c r="D965" s="311"/>
      <c r="E965" s="157" t="s">
        <v>519</v>
      </c>
      <c r="F965" s="83">
        <v>700</v>
      </c>
      <c r="G965" s="83"/>
      <c r="H965" s="83"/>
      <c r="I965" s="83"/>
      <c r="J965" s="83"/>
      <c r="K965" s="83"/>
      <c r="L965" s="83"/>
      <c r="M965" s="83"/>
      <c r="N965" s="110">
        <f>M965-F965</f>
        <v>-700</v>
      </c>
      <c r="O965" s="110" t="s">
        <v>100</v>
      </c>
      <c r="P965" s="83"/>
      <c r="Q965" s="83"/>
      <c r="R965" s="83"/>
      <c r="S965" s="83"/>
      <c r="T965" s="110">
        <f>S965-Q965</f>
        <v>0</v>
      </c>
      <c r="U965" s="59">
        <f t="shared" si="1282"/>
        <v>0</v>
      </c>
      <c r="V965" s="83"/>
      <c r="W965" s="83"/>
      <c r="X965" s="110">
        <f>W965-M965</f>
        <v>0</v>
      </c>
      <c r="Y965" s="110"/>
      <c r="Z965" s="110"/>
      <c r="AA965" s="110"/>
      <c r="AB965" s="83"/>
      <c r="AC965" s="106"/>
      <c r="AD965" s="106"/>
      <c r="AE965" s="100">
        <f t="shared" si="1283"/>
        <v>-1</v>
      </c>
      <c r="AF965" s="90"/>
      <c r="AG965" s="109">
        <f t="shared" si="1284"/>
        <v>-700</v>
      </c>
      <c r="AH965" s="100">
        <f t="shared" si="1285"/>
        <v>-1</v>
      </c>
      <c r="AI965" s="100">
        <f t="shared" si="1286"/>
        <v>-1</v>
      </c>
    </row>
    <row r="966" spans="1:35" s="86" customFormat="1" ht="18.75" customHeight="1" x14ac:dyDescent="0.3">
      <c r="A966" s="106"/>
      <c r="B966" s="106" t="s">
        <v>52</v>
      </c>
      <c r="C966" s="118">
        <v>48308</v>
      </c>
      <c r="D966" s="311"/>
      <c r="E966" s="157" t="s">
        <v>520</v>
      </c>
      <c r="F966" s="83">
        <v>700</v>
      </c>
      <c r="G966" s="83"/>
      <c r="H966" s="83"/>
      <c r="I966" s="83"/>
      <c r="J966" s="83"/>
      <c r="K966" s="83"/>
      <c r="L966" s="83"/>
      <c r="M966" s="83"/>
      <c r="N966" s="110">
        <f>M966-F966</f>
        <v>-700</v>
      </c>
      <c r="O966" s="110" t="s">
        <v>100</v>
      </c>
      <c r="P966" s="83"/>
      <c r="Q966" s="83"/>
      <c r="R966" s="83"/>
      <c r="S966" s="83"/>
      <c r="T966" s="110">
        <f>S966-Q966</f>
        <v>0</v>
      </c>
      <c r="U966" s="59">
        <f t="shared" ref="U966" si="1292">IF(Q966&gt;0,S966-W966,M966-W966)</f>
        <v>0</v>
      </c>
      <c r="V966" s="83"/>
      <c r="W966" s="83"/>
      <c r="X966" s="110">
        <f>W966-M966</f>
        <v>0</v>
      </c>
      <c r="Y966" s="110"/>
      <c r="Z966" s="110"/>
      <c r="AA966" s="110"/>
      <c r="AB966" s="83"/>
      <c r="AC966" s="106"/>
      <c r="AD966" s="106"/>
      <c r="AE966" s="100">
        <f t="shared" ref="AE966" si="1293">N966/F966</f>
        <v>-1</v>
      </c>
      <c r="AF966" s="90"/>
      <c r="AG966" s="109">
        <f t="shared" ref="AG966" si="1294">IF(N966&lt;0,N966,0)</f>
        <v>-700</v>
      </c>
      <c r="AH966" s="100">
        <f t="shared" ref="AH966" si="1295">(S966-F966)/F966</f>
        <v>-1</v>
      </c>
      <c r="AI966" s="100">
        <f t="shared" ref="AI966" si="1296">(W966-F966)/F966</f>
        <v>-1</v>
      </c>
    </row>
    <row r="967" spans="1:35" s="86" customFormat="1" ht="18.75" customHeight="1" x14ac:dyDescent="0.3">
      <c r="A967" s="106"/>
      <c r="B967" s="106" t="s">
        <v>52</v>
      </c>
      <c r="C967" s="118">
        <v>48308</v>
      </c>
      <c r="D967" s="311"/>
      <c r="E967" s="157" t="s">
        <v>364</v>
      </c>
      <c r="F967" s="83">
        <v>700</v>
      </c>
      <c r="G967" s="83"/>
      <c r="H967" s="83"/>
      <c r="I967" s="83"/>
      <c r="J967" s="83"/>
      <c r="K967" s="83"/>
      <c r="L967" s="83"/>
      <c r="M967" s="83"/>
      <c r="N967" s="110">
        <f>M967-F967</f>
        <v>-700</v>
      </c>
      <c r="O967" s="110" t="s">
        <v>100</v>
      </c>
      <c r="P967" s="83"/>
      <c r="Q967" s="83"/>
      <c r="R967" s="83"/>
      <c r="S967" s="83"/>
      <c r="T967" s="110">
        <f>S967-Q967</f>
        <v>0</v>
      </c>
      <c r="U967" s="59">
        <f t="shared" si="1282"/>
        <v>0</v>
      </c>
      <c r="V967" s="83"/>
      <c r="W967" s="83"/>
      <c r="X967" s="110">
        <f>W967-M967</f>
        <v>0</v>
      </c>
      <c r="Y967" s="110"/>
      <c r="Z967" s="110"/>
      <c r="AA967" s="110"/>
      <c r="AB967" s="83"/>
      <c r="AC967" s="106"/>
      <c r="AD967" s="106"/>
      <c r="AE967" s="100">
        <f t="shared" si="1283"/>
        <v>-1</v>
      </c>
      <c r="AF967" s="90"/>
      <c r="AG967" s="109">
        <f t="shared" si="1284"/>
        <v>-700</v>
      </c>
      <c r="AH967" s="100">
        <f t="shared" si="1285"/>
        <v>-1</v>
      </c>
      <c r="AI967" s="100">
        <f t="shared" si="1286"/>
        <v>-1</v>
      </c>
    </row>
    <row r="968" spans="1:35" s="82" customFormat="1" ht="16.5" customHeight="1" x14ac:dyDescent="0.3">
      <c r="A968" s="90" t="s">
        <v>46</v>
      </c>
      <c r="B968" s="90" t="s">
        <v>52</v>
      </c>
      <c r="C968" s="137"/>
      <c r="D968" s="90"/>
      <c r="E968" s="80"/>
      <c r="F968" s="81">
        <f>SUM(F964:F967)</f>
        <v>2800</v>
      </c>
      <c r="G968" s="81"/>
      <c r="H968" s="81" t="s">
        <v>50</v>
      </c>
      <c r="I968" s="81"/>
      <c r="J968" s="81"/>
      <c r="K968" s="85" t="s">
        <v>416</v>
      </c>
      <c r="L968" s="81">
        <f>SUM(L964:L967)</f>
        <v>0</v>
      </c>
      <c r="M968" s="81">
        <f>SUM(M964:M967)</f>
        <v>0</v>
      </c>
      <c r="N968" s="81">
        <f>SUM(N964:N967)</f>
        <v>-2800</v>
      </c>
      <c r="O968" s="81"/>
      <c r="P968" s="81">
        <f>SUM(P964:P967)</f>
        <v>0</v>
      </c>
      <c r="Q968" s="81">
        <f>SUM(Q964:Q967)</f>
        <v>0</v>
      </c>
      <c r="R968" s="81">
        <f>SUM(R964:R967)</f>
        <v>0</v>
      </c>
      <c r="S968" s="81">
        <f>SUM(S964:S967)</f>
        <v>0</v>
      </c>
      <c r="T968" s="81">
        <f>SUM(T964:T967)</f>
        <v>0</v>
      </c>
      <c r="U968" s="59">
        <f t="shared" si="1282"/>
        <v>0</v>
      </c>
      <c r="V968" s="81">
        <f>SUM(V964:V967)</f>
        <v>0</v>
      </c>
      <c r="W968" s="81">
        <f>SUM(W964:W967)</f>
        <v>0</v>
      </c>
      <c r="X968" s="81">
        <f>SUM(X964:X967)</f>
        <v>0</v>
      </c>
      <c r="Y968" s="81" t="s">
        <v>47</v>
      </c>
      <c r="Z968" s="110" t="s">
        <v>45</v>
      </c>
      <c r="AA968" s="110"/>
      <c r="AB968" s="84"/>
      <c r="AC968" s="136"/>
      <c r="AD968" s="136"/>
      <c r="AE968" s="100">
        <f t="shared" si="1283"/>
        <v>-1</v>
      </c>
      <c r="AF968" s="90"/>
      <c r="AG968" s="109">
        <f t="shared" si="1284"/>
        <v>-2800</v>
      </c>
      <c r="AH968" s="100">
        <f t="shared" si="1285"/>
        <v>-1</v>
      </c>
      <c r="AI968" s="100">
        <f t="shared" si="1286"/>
        <v>-1</v>
      </c>
    </row>
    <row r="969" spans="1:35" s="86" customFormat="1" ht="18.75" customHeight="1" x14ac:dyDescent="0.3">
      <c r="A969" s="106"/>
      <c r="B969" s="106" t="s">
        <v>52</v>
      </c>
      <c r="C969" s="118">
        <v>48285</v>
      </c>
      <c r="D969" s="310">
        <v>13256497</v>
      </c>
      <c r="E969" s="157" t="s">
        <v>270</v>
      </c>
      <c r="F969" s="83">
        <v>1056</v>
      </c>
      <c r="G969" s="83"/>
      <c r="H969" s="83"/>
      <c r="I969" s="83"/>
      <c r="J969" s="83"/>
      <c r="K969" s="83"/>
      <c r="L969" s="83"/>
      <c r="M969" s="83">
        <f>1122</f>
        <v>1122</v>
      </c>
      <c r="N969" s="110">
        <f>M969-F969</f>
        <v>66</v>
      </c>
      <c r="O969" s="110" t="s">
        <v>100</v>
      </c>
      <c r="P969" s="83"/>
      <c r="Q969" s="83">
        <v>1103</v>
      </c>
      <c r="R969" s="83"/>
      <c r="S969" s="83"/>
      <c r="T969" s="110">
        <f>S969-Q969</f>
        <v>-1103</v>
      </c>
      <c r="U969" s="59">
        <f t="shared" ref="U969:U971" si="1297">IF(Q969&gt;0,S969-W969,M969-W969)</f>
        <v>0</v>
      </c>
      <c r="V969" s="83"/>
      <c r="W969" s="83"/>
      <c r="X969" s="110">
        <f>W969-M969</f>
        <v>-1122</v>
      </c>
      <c r="Y969" s="110"/>
      <c r="Z969" s="110"/>
      <c r="AA969" s="110"/>
      <c r="AB969" s="83"/>
      <c r="AC969" s="106"/>
      <c r="AD969" s="106"/>
      <c r="AE969" s="100">
        <f t="shared" ref="AE969:AE971" si="1298">N969/F969</f>
        <v>6.25E-2</v>
      </c>
      <c r="AF969" s="90"/>
      <c r="AG969" s="109">
        <f t="shared" ref="AG969:AG971" si="1299">IF(N969&lt;0,N969,0)</f>
        <v>0</v>
      </c>
      <c r="AH969" s="100">
        <f t="shared" ref="AH969:AH971" si="1300">(S969-F969)/F969</f>
        <v>-1</v>
      </c>
      <c r="AI969" s="100">
        <f t="shared" ref="AI969:AI971" si="1301">(W969-F969)/F969</f>
        <v>-1</v>
      </c>
    </row>
    <row r="970" spans="1:35" s="86" customFormat="1" ht="18.75" customHeight="1" x14ac:dyDescent="0.3">
      <c r="A970" s="106"/>
      <c r="B970" s="106" t="s">
        <v>52</v>
      </c>
      <c r="C970" s="118">
        <v>48285</v>
      </c>
      <c r="D970" s="311"/>
      <c r="E970" s="157" t="s">
        <v>522</v>
      </c>
      <c r="F970" s="83">
        <v>1056</v>
      </c>
      <c r="G970" s="83"/>
      <c r="H970" s="83"/>
      <c r="I970" s="83"/>
      <c r="J970" s="83"/>
      <c r="K970" s="83"/>
      <c r="L970" s="83"/>
      <c r="M970" s="83">
        <f>572+550</f>
        <v>1122</v>
      </c>
      <c r="N970" s="110">
        <f>M970-F970</f>
        <v>66</v>
      </c>
      <c r="O970" s="110" t="s">
        <v>100</v>
      </c>
      <c r="P970" s="83"/>
      <c r="Q970" s="83">
        <v>1103</v>
      </c>
      <c r="R970" s="83"/>
      <c r="S970" s="83"/>
      <c r="T970" s="110">
        <f>S970-Q970</f>
        <v>-1103</v>
      </c>
      <c r="U970" s="59">
        <f t="shared" si="1297"/>
        <v>0</v>
      </c>
      <c r="V970" s="83"/>
      <c r="W970" s="83"/>
      <c r="X970" s="110">
        <f>W970-M970</f>
        <v>-1122</v>
      </c>
      <c r="Y970" s="110"/>
      <c r="Z970" s="110"/>
      <c r="AA970" s="110"/>
      <c r="AB970" s="83"/>
      <c r="AC970" s="106"/>
      <c r="AD970" s="106"/>
      <c r="AE970" s="100">
        <f t="shared" si="1298"/>
        <v>6.25E-2</v>
      </c>
      <c r="AF970" s="90"/>
      <c r="AG970" s="109">
        <f t="shared" si="1299"/>
        <v>0</v>
      </c>
      <c r="AH970" s="100">
        <f t="shared" si="1300"/>
        <v>-1</v>
      </c>
      <c r="AI970" s="100">
        <f t="shared" si="1301"/>
        <v>-1</v>
      </c>
    </row>
    <row r="971" spans="1:35" s="82" customFormat="1" ht="16.5" customHeight="1" x14ac:dyDescent="0.3">
      <c r="A971" s="90" t="s">
        <v>46</v>
      </c>
      <c r="B971" s="90" t="s">
        <v>52</v>
      </c>
      <c r="C971" s="137"/>
      <c r="D971" s="90"/>
      <c r="E971" s="80"/>
      <c r="F971" s="81">
        <f>SUM(F969:F970)</f>
        <v>2112</v>
      </c>
      <c r="G971" s="81"/>
      <c r="H971" s="81" t="s">
        <v>50</v>
      </c>
      <c r="I971" s="81"/>
      <c r="J971" s="81" t="s">
        <v>60</v>
      </c>
      <c r="K971" s="85" t="s">
        <v>410</v>
      </c>
      <c r="L971" s="81">
        <f>SUM(L969:L970)</f>
        <v>0</v>
      </c>
      <c r="M971" s="81">
        <f>SUM(M969:M970)</f>
        <v>2244</v>
      </c>
      <c r="N971" s="81">
        <f>SUM(N969:N970)</f>
        <v>132</v>
      </c>
      <c r="O971" s="81" t="s">
        <v>290</v>
      </c>
      <c r="P971" s="81">
        <f>SUM(P969:P970)</f>
        <v>0</v>
      </c>
      <c r="Q971" s="81">
        <f>SUM(Q969:Q970)</f>
        <v>2206</v>
      </c>
      <c r="R971" s="81">
        <f>SUM(R969:R970)</f>
        <v>0</v>
      </c>
      <c r="S971" s="81">
        <f>SUM(S969:S970)</f>
        <v>0</v>
      </c>
      <c r="T971" s="81">
        <f>SUM(T969:T970)</f>
        <v>-2206</v>
      </c>
      <c r="U971" s="59">
        <f t="shared" si="1297"/>
        <v>0</v>
      </c>
      <c r="V971" s="81">
        <f>SUM(V969:V970)</f>
        <v>0</v>
      </c>
      <c r="W971" s="81">
        <f>SUM(W969:W970)</f>
        <v>0</v>
      </c>
      <c r="X971" s="81">
        <f>SUM(X969:X970)</f>
        <v>-2244</v>
      </c>
      <c r="Y971" s="81" t="s">
        <v>47</v>
      </c>
      <c r="Z971" s="110" t="s">
        <v>45</v>
      </c>
      <c r="AA971" s="110"/>
      <c r="AB971" s="84"/>
      <c r="AC971" s="136"/>
      <c r="AD971" s="136"/>
      <c r="AE971" s="100">
        <f t="shared" si="1298"/>
        <v>6.25E-2</v>
      </c>
      <c r="AF971" s="90"/>
      <c r="AG971" s="109">
        <f t="shared" si="1299"/>
        <v>0</v>
      </c>
      <c r="AH971" s="100">
        <f t="shared" si="1300"/>
        <v>-1</v>
      </c>
      <c r="AI971" s="100">
        <f t="shared" si="1301"/>
        <v>-1</v>
      </c>
    </row>
    <row r="972" spans="1:35" s="86" customFormat="1" ht="18.75" customHeight="1" x14ac:dyDescent="0.3">
      <c r="A972" s="106"/>
      <c r="B972" s="106" t="s">
        <v>52</v>
      </c>
      <c r="C972" s="118">
        <v>48288</v>
      </c>
      <c r="D972" s="310">
        <v>13242502</v>
      </c>
      <c r="E972" s="157" t="s">
        <v>524</v>
      </c>
      <c r="F972" s="83">
        <v>1806</v>
      </c>
      <c r="G972" s="83"/>
      <c r="H972" s="83"/>
      <c r="I972" s="83"/>
      <c r="J972" s="83"/>
      <c r="K972" s="83"/>
      <c r="L972" s="83"/>
      <c r="M972" s="83">
        <f>1640</f>
        <v>1640</v>
      </c>
      <c r="N972" s="110">
        <f>M972-F972</f>
        <v>-166</v>
      </c>
      <c r="O972" s="110" t="s">
        <v>100</v>
      </c>
      <c r="P972" s="83"/>
      <c r="Q972" s="83">
        <f>1626</f>
        <v>1626</v>
      </c>
      <c r="R972" s="83"/>
      <c r="S972" s="83">
        <v>1619</v>
      </c>
      <c r="T972" s="110">
        <f>S972-Q972</f>
        <v>-7</v>
      </c>
      <c r="U972" s="59">
        <f t="shared" si="1282"/>
        <v>1619</v>
      </c>
      <c r="V972" s="83"/>
      <c r="W972" s="83"/>
      <c r="X972" s="110">
        <f>W972-M972</f>
        <v>-1640</v>
      </c>
      <c r="Y972" s="110"/>
      <c r="Z972" s="110"/>
      <c r="AA972" s="110"/>
      <c r="AB972" s="83"/>
      <c r="AC972" s="106"/>
      <c r="AD972" s="106"/>
      <c r="AE972" s="100">
        <f t="shared" si="1283"/>
        <v>-9.1915836101882614E-2</v>
      </c>
      <c r="AF972" s="90"/>
      <c r="AG972" s="109">
        <f t="shared" si="1284"/>
        <v>-166</v>
      </c>
      <c r="AH972" s="100">
        <f t="shared" si="1285"/>
        <v>-0.10354374307862679</v>
      </c>
      <c r="AI972" s="100">
        <f t="shared" si="1286"/>
        <v>-1</v>
      </c>
    </row>
    <row r="973" spans="1:35" s="86" customFormat="1" ht="18.75" customHeight="1" x14ac:dyDescent="0.3">
      <c r="A973" s="106"/>
      <c r="B973" s="106" t="s">
        <v>52</v>
      </c>
      <c r="C973" s="118">
        <v>48288</v>
      </c>
      <c r="D973" s="311"/>
      <c r="E973" s="157" t="s">
        <v>525</v>
      </c>
      <c r="F973" s="83">
        <v>2244</v>
      </c>
      <c r="G973" s="83"/>
      <c r="H973" s="83"/>
      <c r="I973" s="83"/>
      <c r="J973" s="83"/>
      <c r="K973" s="83"/>
      <c r="L973" s="83"/>
      <c r="M973" s="83">
        <f>1770+520</f>
        <v>2290</v>
      </c>
      <c r="N973" s="110">
        <f>M973-F973</f>
        <v>46</v>
      </c>
      <c r="O973" s="110" t="s">
        <v>100</v>
      </c>
      <c r="P973" s="83"/>
      <c r="Q973" s="83">
        <v>2290</v>
      </c>
      <c r="R973" s="83"/>
      <c r="S973" s="83">
        <v>2259</v>
      </c>
      <c r="T973" s="110">
        <f>S973-Q973</f>
        <v>-31</v>
      </c>
      <c r="U973" s="59">
        <f t="shared" si="1282"/>
        <v>2259</v>
      </c>
      <c r="V973" s="83"/>
      <c r="W973" s="83"/>
      <c r="X973" s="110">
        <f>W973-M973</f>
        <v>-2290</v>
      </c>
      <c r="Y973" s="110"/>
      <c r="Z973" s="110"/>
      <c r="AA973" s="110"/>
      <c r="AB973" s="83"/>
      <c r="AC973" s="106"/>
      <c r="AD973" s="106"/>
      <c r="AE973" s="100">
        <f t="shared" si="1283"/>
        <v>2.0499108734402853E-2</v>
      </c>
      <c r="AF973" s="90"/>
      <c r="AG973" s="109">
        <f t="shared" si="1284"/>
        <v>0</v>
      </c>
      <c r="AH973" s="100">
        <f t="shared" si="1285"/>
        <v>6.6844919786096255E-3</v>
      </c>
      <c r="AI973" s="100">
        <f t="shared" si="1286"/>
        <v>-1</v>
      </c>
    </row>
    <row r="974" spans="1:35" s="82" customFormat="1" ht="16.5" customHeight="1" x14ac:dyDescent="0.3">
      <c r="A974" s="90" t="s">
        <v>46</v>
      </c>
      <c r="B974" s="90" t="s">
        <v>52</v>
      </c>
      <c r="C974" s="137"/>
      <c r="D974" s="90"/>
      <c r="E974" s="80"/>
      <c r="F974" s="81">
        <f>SUM(F972:F973)</f>
        <v>4050</v>
      </c>
      <c r="G974" s="81"/>
      <c r="H974" s="81" t="s">
        <v>50</v>
      </c>
      <c r="I974" s="81"/>
      <c r="J974" s="81" t="s">
        <v>60</v>
      </c>
      <c r="K974" s="85" t="s">
        <v>523</v>
      </c>
      <c r="L974" s="81">
        <f>SUM(L972:L973)</f>
        <v>0</v>
      </c>
      <c r="M974" s="81">
        <f>SUM(M972:M973)</f>
        <v>3930</v>
      </c>
      <c r="N974" s="81">
        <f>SUM(N972:N973)</f>
        <v>-120</v>
      </c>
      <c r="O974" s="81" t="s">
        <v>210</v>
      </c>
      <c r="P974" s="81">
        <f>SUM(P972:P973)</f>
        <v>0</v>
      </c>
      <c r="Q974" s="81">
        <f>SUM(Q972:Q973)</f>
        <v>3916</v>
      </c>
      <c r="R974" s="81">
        <f>SUM(R972:R973)</f>
        <v>0</v>
      </c>
      <c r="S974" s="81">
        <f>SUM(S972:S973)</f>
        <v>3878</v>
      </c>
      <c r="T974" s="81">
        <f>SUM(T972:T973)</f>
        <v>-38</v>
      </c>
      <c r="U974" s="59">
        <f t="shared" si="1282"/>
        <v>3878</v>
      </c>
      <c r="V974" s="81">
        <f>SUM(V972:V973)</f>
        <v>0</v>
      </c>
      <c r="W974" s="81">
        <f>SUM(W972:W973)</f>
        <v>0</v>
      </c>
      <c r="X974" s="81">
        <f>SUM(X972:X973)</f>
        <v>-3930</v>
      </c>
      <c r="Y974" s="81" t="s">
        <v>47</v>
      </c>
      <c r="Z974" s="110" t="s">
        <v>45</v>
      </c>
      <c r="AA974" s="110"/>
      <c r="AB974" s="84"/>
      <c r="AC974" s="136"/>
      <c r="AD974" s="136"/>
      <c r="AE974" s="100">
        <f t="shared" si="1283"/>
        <v>-2.9629629629629631E-2</v>
      </c>
      <c r="AF974" s="90"/>
      <c r="AG974" s="109">
        <f t="shared" si="1284"/>
        <v>-120</v>
      </c>
      <c r="AH974" s="100">
        <f t="shared" si="1285"/>
        <v>-4.2469135802469138E-2</v>
      </c>
      <c r="AI974" s="100">
        <f t="shared" si="1286"/>
        <v>-1</v>
      </c>
    </row>
    <row r="975" spans="1:35" s="86" customFormat="1" ht="18.75" customHeight="1" x14ac:dyDescent="0.3">
      <c r="A975" s="106"/>
      <c r="B975" s="106" t="s">
        <v>52</v>
      </c>
      <c r="C975" s="118">
        <v>48289</v>
      </c>
      <c r="D975" s="310">
        <v>13268790</v>
      </c>
      <c r="E975" s="157" t="s">
        <v>527</v>
      </c>
      <c r="F975" s="83">
        <v>405</v>
      </c>
      <c r="G975" s="83"/>
      <c r="H975" s="83"/>
      <c r="I975" s="83"/>
      <c r="J975" s="83"/>
      <c r="K975" s="83"/>
      <c r="L975" s="83"/>
      <c r="M975" s="83"/>
      <c r="N975" s="110">
        <f>M975-F975</f>
        <v>-405</v>
      </c>
      <c r="O975" s="110" t="s">
        <v>100</v>
      </c>
      <c r="P975" s="83"/>
      <c r="Q975" s="83"/>
      <c r="R975" s="83"/>
      <c r="S975" s="83"/>
      <c r="T975" s="110">
        <f>S975-Q975</f>
        <v>0</v>
      </c>
      <c r="U975" s="59">
        <f t="shared" ref="U975:U977" si="1302">IF(Q975&gt;0,S975-W975,M975-W975)</f>
        <v>0</v>
      </c>
      <c r="V975" s="83"/>
      <c r="W975" s="83"/>
      <c r="X975" s="110">
        <f>W975-M975</f>
        <v>0</v>
      </c>
      <c r="Y975" s="110"/>
      <c r="Z975" s="110"/>
      <c r="AA975" s="110"/>
      <c r="AB975" s="83"/>
      <c r="AC975" s="106"/>
      <c r="AD975" s="106"/>
      <c r="AE975" s="100">
        <f t="shared" ref="AE975:AE977" si="1303">N975/F975</f>
        <v>-1</v>
      </c>
      <c r="AF975" s="90"/>
      <c r="AG975" s="109">
        <f t="shared" ref="AG975:AG977" si="1304">IF(N975&lt;0,N975,0)</f>
        <v>-405</v>
      </c>
      <c r="AH975" s="100">
        <f t="shared" ref="AH975:AH977" si="1305">(S975-F975)/F975</f>
        <v>-1</v>
      </c>
      <c r="AI975" s="100">
        <f t="shared" ref="AI975:AI977" si="1306">(W975-F975)/F975</f>
        <v>-1</v>
      </c>
    </row>
    <row r="976" spans="1:35" s="86" customFormat="1" ht="18.75" customHeight="1" x14ac:dyDescent="0.3">
      <c r="A976" s="106"/>
      <c r="B976" s="106" t="s">
        <v>52</v>
      </c>
      <c r="C976" s="118">
        <v>48289</v>
      </c>
      <c r="D976" s="311"/>
      <c r="E976" s="157" t="s">
        <v>39</v>
      </c>
      <c r="F976" s="83">
        <v>405</v>
      </c>
      <c r="G976" s="83"/>
      <c r="H976" s="83"/>
      <c r="I976" s="83"/>
      <c r="J976" s="83"/>
      <c r="K976" s="83"/>
      <c r="L976" s="83"/>
      <c r="M976" s="83"/>
      <c r="N976" s="110">
        <f>M976-F976</f>
        <v>-405</v>
      </c>
      <c r="O976" s="110" t="s">
        <v>100</v>
      </c>
      <c r="P976" s="83"/>
      <c r="Q976" s="83"/>
      <c r="R976" s="83"/>
      <c r="S976" s="83"/>
      <c r="T976" s="110">
        <f>S976-Q976</f>
        <v>0</v>
      </c>
      <c r="U976" s="59">
        <f t="shared" si="1302"/>
        <v>0</v>
      </c>
      <c r="V976" s="83"/>
      <c r="W976" s="83"/>
      <c r="X976" s="110">
        <f>W976-M976</f>
        <v>0</v>
      </c>
      <c r="Y976" s="110"/>
      <c r="Z976" s="110"/>
      <c r="AA976" s="110"/>
      <c r="AB976" s="83"/>
      <c r="AC976" s="106"/>
      <c r="AD976" s="106"/>
      <c r="AE976" s="100">
        <f t="shared" si="1303"/>
        <v>-1</v>
      </c>
      <c r="AF976" s="90"/>
      <c r="AG976" s="109">
        <f t="shared" si="1304"/>
        <v>-405</v>
      </c>
      <c r="AH976" s="100">
        <f t="shared" si="1305"/>
        <v>-1</v>
      </c>
      <c r="AI976" s="100">
        <f t="shared" si="1306"/>
        <v>-1</v>
      </c>
    </row>
    <row r="977" spans="1:35" s="82" customFormat="1" ht="16.5" customHeight="1" x14ac:dyDescent="0.3">
      <c r="A977" s="90" t="s">
        <v>46</v>
      </c>
      <c r="B977" s="90" t="s">
        <v>52</v>
      </c>
      <c r="C977" s="137"/>
      <c r="D977" s="90"/>
      <c r="E977" s="80"/>
      <c r="F977" s="81">
        <f>SUM(F975:F976)</f>
        <v>810</v>
      </c>
      <c r="G977" s="81"/>
      <c r="H977" s="81" t="s">
        <v>50</v>
      </c>
      <c r="I977" s="81"/>
      <c r="J977" s="81"/>
      <c r="K977" s="85" t="s">
        <v>526</v>
      </c>
      <c r="L977" s="81">
        <f>SUM(L975:L976)</f>
        <v>0</v>
      </c>
      <c r="M977" s="81">
        <f>SUM(M975:M976)</f>
        <v>0</v>
      </c>
      <c r="N977" s="81">
        <f>SUM(N975:N976)</f>
        <v>-810</v>
      </c>
      <c r="O977" s="81"/>
      <c r="P977" s="81">
        <f>SUM(P975:P976)</f>
        <v>0</v>
      </c>
      <c r="Q977" s="81">
        <f>SUM(Q975:Q976)</f>
        <v>0</v>
      </c>
      <c r="R977" s="81">
        <f>SUM(R975:R976)</f>
        <v>0</v>
      </c>
      <c r="S977" s="81">
        <f>SUM(S975:S976)</f>
        <v>0</v>
      </c>
      <c r="T977" s="81">
        <f>SUM(T975:T976)</f>
        <v>0</v>
      </c>
      <c r="U977" s="59">
        <f t="shared" si="1302"/>
        <v>0</v>
      </c>
      <c r="V977" s="81">
        <f>SUM(V975:V976)</f>
        <v>0</v>
      </c>
      <c r="W977" s="81">
        <f>SUM(W975:W976)</f>
        <v>0</v>
      </c>
      <c r="X977" s="81">
        <f>SUM(X975:X976)</f>
        <v>0</v>
      </c>
      <c r="Y977" s="81" t="s">
        <v>57</v>
      </c>
      <c r="Z977" s="110" t="s">
        <v>45</v>
      </c>
      <c r="AA977" s="110"/>
      <c r="AB977" s="84"/>
      <c r="AC977" s="136"/>
      <c r="AD977" s="136"/>
      <c r="AE977" s="100">
        <f t="shared" si="1303"/>
        <v>-1</v>
      </c>
      <c r="AF977" s="90"/>
      <c r="AG977" s="109">
        <f t="shared" si="1304"/>
        <v>-810</v>
      </c>
      <c r="AH977" s="100">
        <f t="shared" si="1305"/>
        <v>-1</v>
      </c>
      <c r="AI977" s="100">
        <f t="shared" si="1306"/>
        <v>-1</v>
      </c>
    </row>
    <row r="978" spans="1:35" s="86" customFormat="1" ht="18.75" customHeight="1" x14ac:dyDescent="0.3">
      <c r="A978" s="106"/>
      <c r="B978" s="106" t="s">
        <v>52</v>
      </c>
      <c r="C978" s="118">
        <v>48290</v>
      </c>
      <c r="D978" s="310">
        <v>13267677</v>
      </c>
      <c r="E978" s="157" t="s">
        <v>527</v>
      </c>
      <c r="F978" s="83">
        <v>1227</v>
      </c>
      <c r="G978" s="83"/>
      <c r="H978" s="83"/>
      <c r="I978" s="83"/>
      <c r="J978" s="83"/>
      <c r="K978" s="83"/>
      <c r="L978" s="83"/>
      <c r="M978" s="83"/>
      <c r="N978" s="110">
        <f>M978-F978</f>
        <v>-1227</v>
      </c>
      <c r="O978" s="110" t="s">
        <v>100</v>
      </c>
      <c r="P978" s="83"/>
      <c r="Q978" s="83"/>
      <c r="R978" s="83"/>
      <c r="S978" s="83"/>
      <c r="T978" s="110">
        <f>S978-Q978</f>
        <v>0</v>
      </c>
      <c r="U978" s="59">
        <f t="shared" si="1282"/>
        <v>0</v>
      </c>
      <c r="V978" s="83"/>
      <c r="W978" s="83"/>
      <c r="X978" s="110">
        <f>W978-M978</f>
        <v>0</v>
      </c>
      <c r="Y978" s="110"/>
      <c r="Z978" s="110"/>
      <c r="AA978" s="110"/>
      <c r="AB978" s="83"/>
      <c r="AC978" s="106"/>
      <c r="AD978" s="106"/>
      <c r="AE978" s="100">
        <f t="shared" si="1283"/>
        <v>-1</v>
      </c>
      <c r="AF978" s="90"/>
      <c r="AG978" s="109">
        <f t="shared" si="1284"/>
        <v>-1227</v>
      </c>
      <c r="AH978" s="100">
        <f t="shared" si="1285"/>
        <v>-1</v>
      </c>
      <c r="AI978" s="100">
        <f t="shared" si="1286"/>
        <v>-1</v>
      </c>
    </row>
    <row r="979" spans="1:35" s="86" customFormat="1" ht="18.75" customHeight="1" x14ac:dyDescent="0.3">
      <c r="A979" s="106"/>
      <c r="B979" s="106" t="s">
        <v>52</v>
      </c>
      <c r="C979" s="118">
        <v>48290</v>
      </c>
      <c r="D979" s="311"/>
      <c r="E979" s="157" t="s">
        <v>474</v>
      </c>
      <c r="F979" s="83">
        <v>1248</v>
      </c>
      <c r="G979" s="83"/>
      <c r="H979" s="83"/>
      <c r="I979" s="83"/>
      <c r="J979" s="83"/>
      <c r="K979" s="83"/>
      <c r="L979" s="83"/>
      <c r="M979" s="83"/>
      <c r="N979" s="110">
        <f>M979-F979</f>
        <v>-1248</v>
      </c>
      <c r="O979" s="110" t="s">
        <v>100</v>
      </c>
      <c r="P979" s="83"/>
      <c r="Q979" s="83"/>
      <c r="R979" s="83"/>
      <c r="S979" s="83"/>
      <c r="T979" s="110">
        <f>S979-Q979</f>
        <v>0</v>
      </c>
      <c r="U979" s="59">
        <f t="shared" ref="U979" si="1307">IF(Q979&gt;0,S979-W979,M979-W979)</f>
        <v>0</v>
      </c>
      <c r="V979" s="83"/>
      <c r="W979" s="83"/>
      <c r="X979" s="110">
        <f>W979-M979</f>
        <v>0</v>
      </c>
      <c r="Y979" s="110"/>
      <c r="Z979" s="110"/>
      <c r="AA979" s="110"/>
      <c r="AB979" s="83"/>
      <c r="AC979" s="106"/>
      <c r="AD979" s="106"/>
      <c r="AE979" s="100">
        <f t="shared" ref="AE979" si="1308">N979/F979</f>
        <v>-1</v>
      </c>
      <c r="AF979" s="90"/>
      <c r="AG979" s="109">
        <f t="shared" ref="AG979" si="1309">IF(N979&lt;0,N979,0)</f>
        <v>-1248</v>
      </c>
      <c r="AH979" s="100">
        <f t="shared" ref="AH979" si="1310">(S979-F979)/F979</f>
        <v>-1</v>
      </c>
      <c r="AI979" s="100">
        <f t="shared" ref="AI979" si="1311">(W979-F979)/F979</f>
        <v>-1</v>
      </c>
    </row>
    <row r="980" spans="1:35" s="86" customFormat="1" ht="18.75" customHeight="1" x14ac:dyDescent="0.3">
      <c r="A980" s="106"/>
      <c r="B980" s="106" t="s">
        <v>52</v>
      </c>
      <c r="C980" s="118">
        <v>48290</v>
      </c>
      <c r="D980" s="311"/>
      <c r="E980" s="157" t="s">
        <v>39</v>
      </c>
      <c r="F980" s="83">
        <v>1248</v>
      </c>
      <c r="G980" s="83"/>
      <c r="H980" s="83"/>
      <c r="I980" s="83"/>
      <c r="J980" s="83"/>
      <c r="K980" s="83"/>
      <c r="L980" s="83"/>
      <c r="M980" s="83"/>
      <c r="N980" s="110">
        <f>M980-F980</f>
        <v>-1248</v>
      </c>
      <c r="O980" s="110" t="s">
        <v>100</v>
      </c>
      <c r="P980" s="83"/>
      <c r="Q980" s="83"/>
      <c r="R980" s="83"/>
      <c r="S980" s="83"/>
      <c r="T980" s="110">
        <f>S980-Q980</f>
        <v>0</v>
      </c>
      <c r="U980" s="59">
        <f t="shared" si="1282"/>
        <v>0</v>
      </c>
      <c r="V980" s="83"/>
      <c r="W980" s="83"/>
      <c r="X980" s="110">
        <f>W980-M980</f>
        <v>0</v>
      </c>
      <c r="Y980" s="110"/>
      <c r="Z980" s="110"/>
      <c r="AA980" s="110"/>
      <c r="AB980" s="83"/>
      <c r="AC980" s="106"/>
      <c r="AD980" s="106"/>
      <c r="AE980" s="100">
        <f t="shared" si="1283"/>
        <v>-1</v>
      </c>
      <c r="AF980" s="90"/>
      <c r="AG980" s="109">
        <f t="shared" si="1284"/>
        <v>-1248</v>
      </c>
      <c r="AH980" s="100">
        <f t="shared" si="1285"/>
        <v>-1</v>
      </c>
      <c r="AI980" s="100">
        <f t="shared" si="1286"/>
        <v>-1</v>
      </c>
    </row>
    <row r="981" spans="1:35" s="82" customFormat="1" ht="16.5" customHeight="1" x14ac:dyDescent="0.3">
      <c r="A981" s="90" t="s">
        <v>46</v>
      </c>
      <c r="B981" s="90" t="s">
        <v>52</v>
      </c>
      <c r="C981" s="137"/>
      <c r="D981" s="90"/>
      <c r="E981" s="80"/>
      <c r="F981" s="81">
        <f>SUM(F978:F980)</f>
        <v>3723</v>
      </c>
      <c r="G981" s="81"/>
      <c r="H981" s="81" t="s">
        <v>50</v>
      </c>
      <c r="I981" s="81"/>
      <c r="J981" s="81"/>
      <c r="K981" s="85" t="s">
        <v>526</v>
      </c>
      <c r="L981" s="81">
        <f>SUM(L978:L980)</f>
        <v>0</v>
      </c>
      <c r="M981" s="81">
        <f>SUM(M978:M980)</f>
        <v>0</v>
      </c>
      <c r="N981" s="81">
        <f>SUM(N978:N980)</f>
        <v>-3723</v>
      </c>
      <c r="O981" s="81"/>
      <c r="P981" s="81">
        <f>SUM(P978:P980)</f>
        <v>0</v>
      </c>
      <c r="Q981" s="81">
        <f>SUM(Q978:Q980)</f>
        <v>0</v>
      </c>
      <c r="R981" s="81">
        <f>SUM(R978:R980)</f>
        <v>0</v>
      </c>
      <c r="S981" s="81">
        <f>SUM(S978:S980)</f>
        <v>0</v>
      </c>
      <c r="T981" s="81">
        <f>SUM(T978:T980)</f>
        <v>0</v>
      </c>
      <c r="U981" s="59">
        <f t="shared" si="1282"/>
        <v>0</v>
      </c>
      <c r="V981" s="81">
        <f>SUM(V978:V980)</f>
        <v>0</v>
      </c>
      <c r="W981" s="81">
        <f>SUM(W978:W980)</f>
        <v>0</v>
      </c>
      <c r="X981" s="81">
        <f>SUM(X978:X980)</f>
        <v>0</v>
      </c>
      <c r="Y981" s="81" t="s">
        <v>57</v>
      </c>
      <c r="Z981" s="110" t="s">
        <v>45</v>
      </c>
      <c r="AA981" s="110"/>
      <c r="AB981" s="84"/>
      <c r="AC981" s="136"/>
      <c r="AD981" s="136"/>
      <c r="AE981" s="100">
        <f t="shared" si="1283"/>
        <v>-1</v>
      </c>
      <c r="AF981" s="90"/>
      <c r="AG981" s="109">
        <f t="shared" si="1284"/>
        <v>-3723</v>
      </c>
      <c r="AH981" s="100">
        <f t="shared" si="1285"/>
        <v>-1</v>
      </c>
      <c r="AI981" s="100">
        <f t="shared" si="1286"/>
        <v>-1</v>
      </c>
    </row>
    <row r="982" spans="1:35" s="86" customFormat="1" ht="18.75" customHeight="1" x14ac:dyDescent="0.3">
      <c r="A982" s="106"/>
      <c r="B982" s="106" t="s">
        <v>52</v>
      </c>
      <c r="C982" s="118">
        <v>48088</v>
      </c>
      <c r="D982" s="310">
        <v>13262931</v>
      </c>
      <c r="E982" s="157" t="s">
        <v>510</v>
      </c>
      <c r="F982" s="83">
        <v>1308</v>
      </c>
      <c r="G982" s="83"/>
      <c r="H982" s="83"/>
      <c r="I982" s="83"/>
      <c r="J982" s="83"/>
      <c r="K982" s="83"/>
      <c r="L982" s="83"/>
      <c r="M982" s="83"/>
      <c r="N982" s="110">
        <f>M982-F982</f>
        <v>-1308</v>
      </c>
      <c r="O982" s="110" t="s">
        <v>100</v>
      </c>
      <c r="P982" s="83"/>
      <c r="Q982" s="83"/>
      <c r="R982" s="83"/>
      <c r="S982" s="83"/>
      <c r="T982" s="110">
        <f>S982-Q982</f>
        <v>0</v>
      </c>
      <c r="U982" s="59">
        <f t="shared" si="1282"/>
        <v>0</v>
      </c>
      <c r="V982" s="83"/>
      <c r="W982" s="83"/>
      <c r="X982" s="110">
        <f>W982-M982</f>
        <v>0</v>
      </c>
      <c r="Y982" s="110"/>
      <c r="Z982" s="110"/>
      <c r="AA982" s="110"/>
      <c r="AB982" s="83"/>
      <c r="AC982" s="106"/>
      <c r="AD982" s="106"/>
      <c r="AE982" s="100">
        <f t="shared" si="1283"/>
        <v>-1</v>
      </c>
      <c r="AF982" s="90"/>
      <c r="AG982" s="109">
        <f t="shared" si="1284"/>
        <v>-1308</v>
      </c>
      <c r="AH982" s="100">
        <f t="shared" si="1285"/>
        <v>-1</v>
      </c>
      <c r="AI982" s="100">
        <f t="shared" si="1286"/>
        <v>-1</v>
      </c>
    </row>
    <row r="983" spans="1:35" s="86" customFormat="1" ht="18.75" customHeight="1" x14ac:dyDescent="0.3">
      <c r="A983" s="106"/>
      <c r="B983" s="106" t="s">
        <v>52</v>
      </c>
      <c r="C983" s="118">
        <v>48088</v>
      </c>
      <c r="D983" s="311"/>
      <c r="E983" s="157" t="s">
        <v>39</v>
      </c>
      <c r="F983" s="83">
        <v>1308</v>
      </c>
      <c r="G983" s="83"/>
      <c r="H983" s="83"/>
      <c r="I983" s="83"/>
      <c r="J983" s="83"/>
      <c r="K983" s="83"/>
      <c r="L983" s="83"/>
      <c r="M983" s="83"/>
      <c r="N983" s="110">
        <f>M983-F983</f>
        <v>-1308</v>
      </c>
      <c r="O983" s="110" t="s">
        <v>100</v>
      </c>
      <c r="P983" s="83"/>
      <c r="Q983" s="83"/>
      <c r="R983" s="83"/>
      <c r="S983" s="83"/>
      <c r="T983" s="110">
        <f>S983-Q983</f>
        <v>0</v>
      </c>
      <c r="U983" s="59">
        <f t="shared" si="1282"/>
        <v>0</v>
      </c>
      <c r="V983" s="83"/>
      <c r="W983" s="83"/>
      <c r="X983" s="110">
        <f>W983-M983</f>
        <v>0</v>
      </c>
      <c r="Y983" s="110"/>
      <c r="Z983" s="110"/>
      <c r="AA983" s="110"/>
      <c r="AB983" s="83"/>
      <c r="AC983" s="106"/>
      <c r="AD983" s="106"/>
      <c r="AE983" s="100">
        <f t="shared" si="1283"/>
        <v>-1</v>
      </c>
      <c r="AF983" s="90"/>
      <c r="AG983" s="109">
        <f t="shared" si="1284"/>
        <v>-1308</v>
      </c>
      <c r="AH983" s="100">
        <f t="shared" si="1285"/>
        <v>-1</v>
      </c>
      <c r="AI983" s="100">
        <f t="shared" si="1286"/>
        <v>-1</v>
      </c>
    </row>
    <row r="984" spans="1:35" s="82" customFormat="1" ht="16.5" customHeight="1" x14ac:dyDescent="0.3">
      <c r="A984" s="90" t="s">
        <v>46</v>
      </c>
      <c r="B984" s="90" t="s">
        <v>52</v>
      </c>
      <c r="C984" s="137"/>
      <c r="D984" s="90"/>
      <c r="E984" s="80"/>
      <c r="F984" s="81">
        <f>SUM(F982:F983)</f>
        <v>2616</v>
      </c>
      <c r="G984" s="81"/>
      <c r="H984" s="81" t="s">
        <v>50</v>
      </c>
      <c r="I984" s="81"/>
      <c r="J984" s="81"/>
      <c r="K984" s="85" t="s">
        <v>508</v>
      </c>
      <c r="L984" s="81">
        <f>SUM(L982:L983)</f>
        <v>0</v>
      </c>
      <c r="M984" s="81">
        <f>SUM(M982:M983)</f>
        <v>0</v>
      </c>
      <c r="N984" s="81">
        <f>SUM(N982:N983)</f>
        <v>-2616</v>
      </c>
      <c r="O984" s="81"/>
      <c r="P984" s="81">
        <f>SUM(P982:P983)</f>
        <v>0</v>
      </c>
      <c r="Q984" s="81">
        <f>SUM(Q982:Q983)</f>
        <v>0</v>
      </c>
      <c r="R984" s="81">
        <f>SUM(R982:R983)</f>
        <v>0</v>
      </c>
      <c r="S984" s="81">
        <f>SUM(S982:S983)</f>
        <v>0</v>
      </c>
      <c r="T984" s="81">
        <f>SUM(T982:T983)</f>
        <v>0</v>
      </c>
      <c r="U984" s="59">
        <f t="shared" si="1282"/>
        <v>0</v>
      </c>
      <c r="V984" s="81">
        <f>SUM(V982:V983)</f>
        <v>0</v>
      </c>
      <c r="W984" s="81">
        <f>SUM(W982:W983)</f>
        <v>0</v>
      </c>
      <c r="X984" s="81">
        <f>SUM(X982:X983)</f>
        <v>0</v>
      </c>
      <c r="Y984" s="81" t="s">
        <v>47</v>
      </c>
      <c r="Z984" s="110" t="s">
        <v>45</v>
      </c>
      <c r="AA984" s="110"/>
      <c r="AB984" s="84"/>
      <c r="AC984" s="136"/>
      <c r="AD984" s="136"/>
      <c r="AE984" s="100">
        <f t="shared" si="1283"/>
        <v>-1</v>
      </c>
      <c r="AF984" s="90"/>
      <c r="AG984" s="109">
        <f t="shared" si="1284"/>
        <v>-2616</v>
      </c>
      <c r="AH984" s="100">
        <f t="shared" si="1285"/>
        <v>-1</v>
      </c>
      <c r="AI984" s="100">
        <f t="shared" si="1286"/>
        <v>-1</v>
      </c>
    </row>
    <row r="985" spans="1:35" s="86" customFormat="1" ht="18.75" customHeight="1" x14ac:dyDescent="0.3">
      <c r="A985" s="106"/>
      <c r="B985" s="106" t="s">
        <v>52</v>
      </c>
      <c r="C985" s="118">
        <v>47904</v>
      </c>
      <c r="D985" s="310">
        <v>13238422</v>
      </c>
      <c r="E985" s="157" t="s">
        <v>157</v>
      </c>
      <c r="F985" s="83">
        <v>793</v>
      </c>
      <c r="G985" s="83"/>
      <c r="H985" s="83"/>
      <c r="I985" s="83"/>
      <c r="J985" s="83"/>
      <c r="K985" s="83"/>
      <c r="L985" s="83"/>
      <c r="M985" s="83">
        <v>830</v>
      </c>
      <c r="N985" s="110">
        <f>M985-F985</f>
        <v>37</v>
      </c>
      <c r="O985" s="110" t="s">
        <v>100</v>
      </c>
      <c r="P985" s="83"/>
      <c r="Q985" s="83">
        <v>830</v>
      </c>
      <c r="R985" s="83"/>
      <c r="S985" s="83">
        <v>828</v>
      </c>
      <c r="T985" s="110">
        <f>S985-Q985</f>
        <v>-2</v>
      </c>
      <c r="U985" s="59">
        <f t="shared" si="1282"/>
        <v>0</v>
      </c>
      <c r="V985" s="83"/>
      <c r="W985" s="83">
        <v>828</v>
      </c>
      <c r="X985" s="110">
        <f>W985-M985</f>
        <v>-2</v>
      </c>
      <c r="Y985" s="110"/>
      <c r="Z985" s="110"/>
      <c r="AA985" s="110"/>
      <c r="AB985" s="83"/>
      <c r="AC985" s="106"/>
      <c r="AD985" s="106"/>
      <c r="AE985" s="100">
        <f t="shared" si="1283"/>
        <v>4.6658259773013869E-2</v>
      </c>
      <c r="AF985" s="90"/>
      <c r="AG985" s="109">
        <f t="shared" si="1284"/>
        <v>0</v>
      </c>
      <c r="AH985" s="100">
        <f t="shared" si="1285"/>
        <v>4.4136191677175286E-2</v>
      </c>
      <c r="AI985" s="100">
        <f t="shared" si="1286"/>
        <v>4.4136191677175286E-2</v>
      </c>
    </row>
    <row r="986" spans="1:35" s="86" customFormat="1" ht="18.75" customHeight="1" x14ac:dyDescent="0.3">
      <c r="A986" s="106"/>
      <c r="B986" s="106" t="s">
        <v>52</v>
      </c>
      <c r="C986" s="118">
        <v>47904</v>
      </c>
      <c r="D986" s="311"/>
      <c r="E986" s="157" t="s">
        <v>364</v>
      </c>
      <c r="F986" s="83">
        <v>953</v>
      </c>
      <c r="G986" s="83"/>
      <c r="H986" s="83"/>
      <c r="I986" s="83"/>
      <c r="J986" s="83"/>
      <c r="K986" s="83"/>
      <c r="L986" s="83"/>
      <c r="M986" s="83">
        <f>903+92</f>
        <v>995</v>
      </c>
      <c r="N986" s="110">
        <f>M986-F986</f>
        <v>42</v>
      </c>
      <c r="O986" s="110" t="s">
        <v>100</v>
      </c>
      <c r="P986" s="83"/>
      <c r="Q986" s="83">
        <f>903+92</f>
        <v>995</v>
      </c>
      <c r="R986" s="83"/>
      <c r="S986" s="83">
        <v>995</v>
      </c>
      <c r="T986" s="110">
        <f>S986-Q986</f>
        <v>0</v>
      </c>
      <c r="U986" s="59">
        <f t="shared" si="1282"/>
        <v>2</v>
      </c>
      <c r="V986" s="83"/>
      <c r="W986" s="83">
        <v>993</v>
      </c>
      <c r="X986" s="110">
        <f>W986-M986</f>
        <v>-2</v>
      </c>
      <c r="Y986" s="110"/>
      <c r="Z986" s="110"/>
      <c r="AA986" s="110"/>
      <c r="AB986" s="83"/>
      <c r="AC986" s="106"/>
      <c r="AD986" s="106"/>
      <c r="AE986" s="100">
        <f t="shared" si="1283"/>
        <v>4.4071353620146907E-2</v>
      </c>
      <c r="AF986" s="90"/>
      <c r="AG986" s="109">
        <f t="shared" si="1284"/>
        <v>0</v>
      </c>
      <c r="AH986" s="100">
        <f t="shared" si="1285"/>
        <v>4.4071353620146907E-2</v>
      </c>
      <c r="AI986" s="100">
        <f t="shared" si="1286"/>
        <v>4.197271773347324E-2</v>
      </c>
    </row>
    <row r="987" spans="1:35" s="82" customFormat="1" ht="16.5" customHeight="1" x14ac:dyDescent="0.3">
      <c r="A987" s="90" t="s">
        <v>46</v>
      </c>
      <c r="B987" s="90" t="s">
        <v>52</v>
      </c>
      <c r="C987" s="137"/>
      <c r="D987" s="90"/>
      <c r="E987" s="80"/>
      <c r="F987" s="81">
        <f>SUM(F985:F986)</f>
        <v>1746</v>
      </c>
      <c r="G987" s="81"/>
      <c r="H987" s="81" t="s">
        <v>50</v>
      </c>
      <c r="I987" s="81"/>
      <c r="J987" s="81" t="s">
        <v>60</v>
      </c>
      <c r="K987" s="85" t="s">
        <v>226</v>
      </c>
      <c r="L987" s="81">
        <f>SUM(L985:L986)</f>
        <v>0</v>
      </c>
      <c r="M987" s="81">
        <f>SUM(M985:M986)</f>
        <v>1825</v>
      </c>
      <c r="N987" s="81">
        <f>SUM(N985:N986)</f>
        <v>79</v>
      </c>
      <c r="O987" s="81" t="s">
        <v>540</v>
      </c>
      <c r="P987" s="81">
        <f>SUM(P985:P986)</f>
        <v>0</v>
      </c>
      <c r="Q987" s="81">
        <f>SUM(Q985:Q986)</f>
        <v>1825</v>
      </c>
      <c r="R987" s="81">
        <f>SUM(R985:R986)</f>
        <v>0</v>
      </c>
      <c r="S987" s="81">
        <f>SUM(S985:S986)</f>
        <v>1823</v>
      </c>
      <c r="T987" s="81">
        <f>SUM(T985:T986)</f>
        <v>-2</v>
      </c>
      <c r="U987" s="59">
        <f t="shared" si="1282"/>
        <v>2</v>
      </c>
      <c r="V987" s="81">
        <f>SUM(V985:V986)</f>
        <v>0</v>
      </c>
      <c r="W987" s="81">
        <f>SUM(W985:W986)</f>
        <v>1821</v>
      </c>
      <c r="X987" s="81">
        <f>SUM(X985:X986)</f>
        <v>-4</v>
      </c>
      <c r="Y987" s="81" t="s">
        <v>48</v>
      </c>
      <c r="Z987" s="110" t="s">
        <v>45</v>
      </c>
      <c r="AA987" s="110"/>
      <c r="AB987" s="84"/>
      <c r="AC987" s="136"/>
      <c r="AD987" s="136"/>
      <c r="AE987" s="100">
        <f t="shared" si="1283"/>
        <v>4.524627720504009E-2</v>
      </c>
      <c r="AF987" s="90"/>
      <c r="AG987" s="109">
        <f t="shared" si="1284"/>
        <v>0</v>
      </c>
      <c r="AH987" s="100">
        <f t="shared" si="1285"/>
        <v>4.4100801832760599E-2</v>
      </c>
      <c r="AI987" s="100">
        <f t="shared" si="1286"/>
        <v>4.29553264604811E-2</v>
      </c>
    </row>
    <row r="988" spans="1:35" s="86" customFormat="1" ht="18.75" customHeight="1" x14ac:dyDescent="0.3">
      <c r="A988" s="106"/>
      <c r="B988" s="106" t="s">
        <v>52</v>
      </c>
      <c r="C988" s="118">
        <v>47905</v>
      </c>
      <c r="D988" s="310">
        <v>13238188</v>
      </c>
      <c r="E988" s="157" t="s">
        <v>488</v>
      </c>
      <c r="F988" s="83">
        <v>1647</v>
      </c>
      <c r="G988" s="83"/>
      <c r="H988" s="83"/>
      <c r="I988" s="83"/>
      <c r="J988" s="83"/>
      <c r="K988" s="83"/>
      <c r="L988" s="83"/>
      <c r="M988" s="83">
        <f>1332+355</f>
        <v>1687</v>
      </c>
      <c r="N988" s="110">
        <f>M988-F988</f>
        <v>40</v>
      </c>
      <c r="O988" s="110" t="s">
        <v>100</v>
      </c>
      <c r="P988" s="83"/>
      <c r="Q988" s="83">
        <f>672+660+355</f>
        <v>1687</v>
      </c>
      <c r="R988" s="83"/>
      <c r="S988" s="83">
        <v>1687</v>
      </c>
      <c r="T988" s="110">
        <f>S988-Q988</f>
        <v>0</v>
      </c>
      <c r="U988" s="59">
        <f t="shared" ref="U988:U991" si="1312">IF(Q988&gt;0,S988-W988,M988-W988)</f>
        <v>0</v>
      </c>
      <c r="V988" s="83"/>
      <c r="W988" s="83">
        <v>1687</v>
      </c>
      <c r="X988" s="110">
        <f>W988-M988</f>
        <v>0</v>
      </c>
      <c r="Y988" s="110"/>
      <c r="Z988" s="110"/>
      <c r="AA988" s="110"/>
      <c r="AB988" s="83"/>
      <c r="AC988" s="106"/>
      <c r="AD988" s="106"/>
      <c r="AE988" s="100">
        <f t="shared" ref="AE988:AE991" si="1313">N988/F988</f>
        <v>2.4286581663630843E-2</v>
      </c>
      <c r="AF988" s="90"/>
      <c r="AG988" s="109">
        <f t="shared" ref="AG988:AG991" si="1314">IF(N988&lt;0,N988,0)</f>
        <v>0</v>
      </c>
      <c r="AH988" s="100">
        <f t="shared" ref="AH988:AH991" si="1315">(S988-F988)/F988</f>
        <v>2.4286581663630843E-2</v>
      </c>
      <c r="AI988" s="100">
        <f t="shared" ref="AI988:AI991" si="1316">(W988-F988)/F988</f>
        <v>2.4286581663630843E-2</v>
      </c>
    </row>
    <row r="989" spans="1:35" s="86" customFormat="1" ht="18.75" customHeight="1" x14ac:dyDescent="0.3">
      <c r="A989" s="106"/>
      <c r="B989" s="106" t="s">
        <v>52</v>
      </c>
      <c r="C989" s="118">
        <v>47905</v>
      </c>
      <c r="D989" s="311"/>
      <c r="E989" s="157" t="s">
        <v>408</v>
      </c>
      <c r="F989" s="83">
        <v>3299</v>
      </c>
      <c r="G989" s="83"/>
      <c r="H989" s="83"/>
      <c r="I989" s="83"/>
      <c r="J989" s="83"/>
      <c r="K989" s="83"/>
      <c r="L989" s="83"/>
      <c r="M989" s="83">
        <f>324+1388+816+840</f>
        <v>3368</v>
      </c>
      <c r="N989" s="110">
        <f>M989-F989</f>
        <v>69</v>
      </c>
      <c r="O989" s="110" t="s">
        <v>100</v>
      </c>
      <c r="P989" s="83"/>
      <c r="Q989" s="83">
        <f>324+816+572+1656</f>
        <v>3368</v>
      </c>
      <c r="R989" s="83"/>
      <c r="S989" s="83">
        <f>1885+355+1128</f>
        <v>3368</v>
      </c>
      <c r="T989" s="110">
        <f>S989-Q989</f>
        <v>0</v>
      </c>
      <c r="U989" s="59">
        <f t="shared" ref="U989" si="1317">IF(Q989&gt;0,S989-W989,M989-W989)</f>
        <v>5</v>
      </c>
      <c r="V989" s="83"/>
      <c r="W989" s="83">
        <v>3363</v>
      </c>
      <c r="X989" s="110">
        <f>W989-M989</f>
        <v>-5</v>
      </c>
      <c r="Y989" s="110"/>
      <c r="Z989" s="110"/>
      <c r="AA989" s="110"/>
      <c r="AB989" s="83"/>
      <c r="AC989" s="106"/>
      <c r="AD989" s="106"/>
      <c r="AE989" s="100">
        <f t="shared" ref="AE989" si="1318">N989/F989</f>
        <v>2.0915428917853897E-2</v>
      </c>
      <c r="AF989" s="90"/>
      <c r="AG989" s="109">
        <f t="shared" ref="AG989" si="1319">IF(N989&lt;0,N989,0)</f>
        <v>0</v>
      </c>
      <c r="AH989" s="100">
        <f t="shared" ref="AH989" si="1320">(S989-F989)/F989</f>
        <v>2.0915428917853897E-2</v>
      </c>
      <c r="AI989" s="100">
        <f t="shared" ref="AI989" si="1321">(W989-F989)/F989</f>
        <v>1.9399818126705062E-2</v>
      </c>
    </row>
    <row r="990" spans="1:35" s="86" customFormat="1" ht="18.75" customHeight="1" x14ac:dyDescent="0.3">
      <c r="A990" s="106"/>
      <c r="B990" s="106" t="s">
        <v>52</v>
      </c>
      <c r="C990" s="118">
        <v>47905</v>
      </c>
      <c r="D990" s="311"/>
      <c r="E990" s="157" t="s">
        <v>452</v>
      </c>
      <c r="F990" s="83">
        <v>3039</v>
      </c>
      <c r="G990" s="83"/>
      <c r="H990" s="83"/>
      <c r="I990" s="83"/>
      <c r="J990" s="83"/>
      <c r="K990" s="83"/>
      <c r="L990" s="83"/>
      <c r="M990" s="83">
        <f>1452+1664</f>
        <v>3116</v>
      </c>
      <c r="N990" s="110">
        <f>M990-F990</f>
        <v>77</v>
      </c>
      <c r="O990" s="110" t="s">
        <v>100</v>
      </c>
      <c r="P990" s="83"/>
      <c r="Q990" s="83">
        <f>1452+1664</f>
        <v>3116</v>
      </c>
      <c r="R990" s="83"/>
      <c r="S990" s="83">
        <f>1391+1713</f>
        <v>3104</v>
      </c>
      <c r="T990" s="110">
        <f>S990-Q990</f>
        <v>-12</v>
      </c>
      <c r="U990" s="59">
        <f t="shared" si="1312"/>
        <v>4</v>
      </c>
      <c r="V990" s="83"/>
      <c r="W990" s="83">
        <f>3100</f>
        <v>3100</v>
      </c>
      <c r="X990" s="110">
        <f>W990-M990</f>
        <v>-16</v>
      </c>
      <c r="Y990" s="110"/>
      <c r="Z990" s="110"/>
      <c r="AA990" s="110"/>
      <c r="AB990" s="83"/>
      <c r="AC990" s="106"/>
      <c r="AD990" s="106"/>
      <c r="AE990" s="100">
        <f t="shared" si="1313"/>
        <v>2.5337282000658112E-2</v>
      </c>
      <c r="AF990" s="90"/>
      <c r="AG990" s="109">
        <f t="shared" si="1314"/>
        <v>0</v>
      </c>
      <c r="AH990" s="100">
        <f t="shared" si="1315"/>
        <v>2.1388614675880224E-2</v>
      </c>
      <c r="AI990" s="100">
        <f t="shared" si="1316"/>
        <v>2.0072392234287594E-2</v>
      </c>
    </row>
    <row r="991" spans="1:35" s="82" customFormat="1" ht="16.5" customHeight="1" x14ac:dyDescent="0.3">
      <c r="A991" s="90" t="s">
        <v>46</v>
      </c>
      <c r="B991" s="90" t="s">
        <v>52</v>
      </c>
      <c r="C991" s="137"/>
      <c r="D991" s="90"/>
      <c r="E991" s="80"/>
      <c r="F991" s="81">
        <f>SUM(F988:F990)</f>
        <v>7985</v>
      </c>
      <c r="G991" s="81"/>
      <c r="H991" s="81" t="s">
        <v>50</v>
      </c>
      <c r="I991" s="81"/>
      <c r="J991" s="81" t="s">
        <v>60</v>
      </c>
      <c r="K991" s="85" t="s">
        <v>226</v>
      </c>
      <c r="L991" s="81">
        <f>SUM(L988:L990)</f>
        <v>0</v>
      </c>
      <c r="M991" s="81">
        <f>SUM(M988:M990)</f>
        <v>8171</v>
      </c>
      <c r="N991" s="81">
        <f>SUM(N988:N990)</f>
        <v>186</v>
      </c>
      <c r="O991" s="81" t="s">
        <v>540</v>
      </c>
      <c r="P991" s="81">
        <f>SUM(P988:P990)</f>
        <v>0</v>
      </c>
      <c r="Q991" s="81">
        <f>SUM(Q988:Q990)</f>
        <v>8171</v>
      </c>
      <c r="R991" s="81">
        <f>SUM(R988:R990)</f>
        <v>0</v>
      </c>
      <c r="S991" s="81">
        <f>SUM(S988:S990)</f>
        <v>8159</v>
      </c>
      <c r="T991" s="81">
        <f>SUM(T988:T990)</f>
        <v>-12</v>
      </c>
      <c r="U991" s="59">
        <f t="shared" si="1312"/>
        <v>9</v>
      </c>
      <c r="V991" s="81">
        <f>SUM(V988:V990)</f>
        <v>0</v>
      </c>
      <c r="W991" s="81">
        <f>SUM(W988:W990)</f>
        <v>8150</v>
      </c>
      <c r="X991" s="81">
        <f>SUM(X988:X990)</f>
        <v>-21</v>
      </c>
      <c r="Y991" s="81" t="s">
        <v>48</v>
      </c>
      <c r="Z991" s="110" t="s">
        <v>45</v>
      </c>
      <c r="AA991" s="110"/>
      <c r="AB991" s="84"/>
      <c r="AC991" s="136"/>
      <c r="AD991" s="136"/>
      <c r="AE991" s="100">
        <f t="shared" si="1313"/>
        <v>2.3293675641828427E-2</v>
      </c>
      <c r="AF991" s="90"/>
      <c r="AG991" s="109">
        <f t="shared" si="1314"/>
        <v>0</v>
      </c>
      <c r="AH991" s="100">
        <f t="shared" si="1315"/>
        <v>2.1790857858484659E-2</v>
      </c>
      <c r="AI991" s="100">
        <f t="shared" si="1316"/>
        <v>2.0663744520976832E-2</v>
      </c>
    </row>
    <row r="992" spans="1:35" s="86" customFormat="1" ht="18.75" customHeight="1" x14ac:dyDescent="0.3">
      <c r="A992" s="106"/>
      <c r="B992" s="106" t="s">
        <v>52</v>
      </c>
      <c r="C992" s="118">
        <v>47906</v>
      </c>
      <c r="D992" s="310">
        <v>13238190</v>
      </c>
      <c r="E992" s="157" t="s">
        <v>488</v>
      </c>
      <c r="F992" s="83">
        <v>848</v>
      </c>
      <c r="G992" s="83"/>
      <c r="H992" s="83"/>
      <c r="I992" s="83"/>
      <c r="J992" s="83"/>
      <c r="K992" s="83"/>
      <c r="L992" s="83"/>
      <c r="M992" s="83">
        <f>858+30</f>
        <v>888</v>
      </c>
      <c r="N992" s="110">
        <f>M992-F992</f>
        <v>40</v>
      </c>
      <c r="O992" s="110" t="s">
        <v>100</v>
      </c>
      <c r="P992" s="83"/>
      <c r="Q992" s="83">
        <f>858+30</f>
        <v>888</v>
      </c>
      <c r="R992" s="83"/>
      <c r="S992" s="83">
        <v>888</v>
      </c>
      <c r="T992" s="110">
        <f>S992-Q992</f>
        <v>0</v>
      </c>
      <c r="U992" s="59">
        <f t="shared" si="1282"/>
        <v>9</v>
      </c>
      <c r="V992" s="83"/>
      <c r="W992" s="83">
        <v>879</v>
      </c>
      <c r="X992" s="110">
        <f>W992-M992</f>
        <v>-9</v>
      </c>
      <c r="Y992" s="110"/>
      <c r="Z992" s="110"/>
      <c r="AA992" s="110"/>
      <c r="AB992" s="83"/>
      <c r="AC992" s="106"/>
      <c r="AD992" s="106"/>
      <c r="AE992" s="100">
        <f t="shared" si="1283"/>
        <v>4.716981132075472E-2</v>
      </c>
      <c r="AF992" s="90"/>
      <c r="AG992" s="109">
        <f t="shared" si="1284"/>
        <v>0</v>
      </c>
      <c r="AH992" s="100">
        <f t="shared" si="1285"/>
        <v>4.716981132075472E-2</v>
      </c>
      <c r="AI992" s="100">
        <f t="shared" si="1286"/>
        <v>3.6556603773584904E-2</v>
      </c>
    </row>
    <row r="993" spans="1:35" s="86" customFormat="1" ht="18.75" customHeight="1" x14ac:dyDescent="0.3">
      <c r="A993" s="106"/>
      <c r="B993" s="106" t="s">
        <v>52</v>
      </c>
      <c r="C993" s="118">
        <v>47906</v>
      </c>
      <c r="D993" s="311"/>
      <c r="E993" s="157" t="s">
        <v>452</v>
      </c>
      <c r="F993" s="83">
        <v>796</v>
      </c>
      <c r="G993" s="83"/>
      <c r="H993" s="83"/>
      <c r="I993" s="83"/>
      <c r="J993" s="83"/>
      <c r="K993" s="83"/>
      <c r="L993" s="83"/>
      <c r="M993" s="83">
        <f>844</f>
        <v>844</v>
      </c>
      <c r="N993" s="110">
        <f>M993-F993</f>
        <v>48</v>
      </c>
      <c r="O993" s="110" t="s">
        <v>100</v>
      </c>
      <c r="P993" s="83"/>
      <c r="Q993" s="83">
        <v>844</v>
      </c>
      <c r="R993" s="83"/>
      <c r="S993" s="83">
        <v>844</v>
      </c>
      <c r="T993" s="110">
        <f>S993-Q993</f>
        <v>0</v>
      </c>
      <c r="U993" s="59">
        <f t="shared" si="1282"/>
        <v>17</v>
      </c>
      <c r="V993" s="83"/>
      <c r="W993" s="83">
        <v>827</v>
      </c>
      <c r="X993" s="110">
        <f>W993-M993</f>
        <v>-17</v>
      </c>
      <c r="Y993" s="110"/>
      <c r="Z993" s="110"/>
      <c r="AA993" s="110"/>
      <c r="AB993" s="83"/>
      <c r="AC993" s="106"/>
      <c r="AD993" s="106"/>
      <c r="AE993" s="100">
        <f t="shared" si="1283"/>
        <v>6.030150753768844E-2</v>
      </c>
      <c r="AF993" s="90"/>
      <c r="AG993" s="109">
        <f t="shared" si="1284"/>
        <v>0</v>
      </c>
      <c r="AH993" s="100">
        <f t="shared" si="1285"/>
        <v>6.030150753768844E-2</v>
      </c>
      <c r="AI993" s="100">
        <f t="shared" si="1286"/>
        <v>3.8944723618090454E-2</v>
      </c>
    </row>
    <row r="994" spans="1:35" s="82" customFormat="1" ht="16.5" customHeight="1" x14ac:dyDescent="0.3">
      <c r="A994" s="90" t="s">
        <v>46</v>
      </c>
      <c r="B994" s="90" t="s">
        <v>52</v>
      </c>
      <c r="C994" s="137"/>
      <c r="D994" s="90"/>
      <c r="E994" s="80"/>
      <c r="F994" s="81">
        <f>SUM(F992:F993)</f>
        <v>1644</v>
      </c>
      <c r="G994" s="81"/>
      <c r="H994" s="81" t="s">
        <v>50</v>
      </c>
      <c r="I994" s="81"/>
      <c r="J994" s="81" t="s">
        <v>60</v>
      </c>
      <c r="K994" s="85" t="s">
        <v>226</v>
      </c>
      <c r="L994" s="81">
        <f>SUM(L992:L993)</f>
        <v>0</v>
      </c>
      <c r="M994" s="81">
        <f>SUM(M992:M993)</f>
        <v>1732</v>
      </c>
      <c r="N994" s="81">
        <f>SUM(N992:N993)</f>
        <v>88</v>
      </c>
      <c r="O994" s="81" t="s">
        <v>709</v>
      </c>
      <c r="P994" s="81">
        <f>SUM(P992:P993)</f>
        <v>0</v>
      </c>
      <c r="Q994" s="81">
        <f>SUM(Q992:Q993)</f>
        <v>1732</v>
      </c>
      <c r="R994" s="81">
        <f>SUM(R992:R993)</f>
        <v>0</v>
      </c>
      <c r="S994" s="81">
        <f>SUM(S992:S993)</f>
        <v>1732</v>
      </c>
      <c r="T994" s="81">
        <f>SUM(T992:T993)</f>
        <v>0</v>
      </c>
      <c r="U994" s="59">
        <f t="shared" si="1282"/>
        <v>26</v>
      </c>
      <c r="V994" s="81">
        <f>SUM(V992:V993)</f>
        <v>0</v>
      </c>
      <c r="W994" s="81">
        <f>SUM(W992:W993)</f>
        <v>1706</v>
      </c>
      <c r="X994" s="81">
        <f>SUM(X992:X993)</f>
        <v>-26</v>
      </c>
      <c r="Y994" s="81" t="s">
        <v>47</v>
      </c>
      <c r="Z994" s="110" t="s">
        <v>45</v>
      </c>
      <c r="AA994" s="110"/>
      <c r="AB994" s="84"/>
      <c r="AC994" s="136"/>
      <c r="AD994" s="136"/>
      <c r="AE994" s="100">
        <f t="shared" si="1283"/>
        <v>5.3527980535279802E-2</v>
      </c>
      <c r="AF994" s="90"/>
      <c r="AG994" s="109">
        <f t="shared" si="1284"/>
        <v>0</v>
      </c>
      <c r="AH994" s="100">
        <f t="shared" si="1285"/>
        <v>5.3527980535279802E-2</v>
      </c>
      <c r="AI994" s="100">
        <f t="shared" si="1286"/>
        <v>3.7712895377128956E-2</v>
      </c>
    </row>
    <row r="995" spans="1:35" s="86" customFormat="1" ht="18.75" customHeight="1" x14ac:dyDescent="0.3">
      <c r="A995" s="106"/>
      <c r="B995" s="106" t="s">
        <v>52</v>
      </c>
      <c r="C995" s="118">
        <v>47909</v>
      </c>
      <c r="D995" s="310">
        <v>13262473</v>
      </c>
      <c r="E995" s="157" t="s">
        <v>488</v>
      </c>
      <c r="F995" s="83">
        <v>828</v>
      </c>
      <c r="G995" s="83"/>
      <c r="H995" s="83"/>
      <c r="I995" s="83"/>
      <c r="J995" s="83"/>
      <c r="K995" s="83"/>
      <c r="L995" s="83"/>
      <c r="M995" s="83">
        <f>560+300</f>
        <v>860</v>
      </c>
      <c r="N995" s="110">
        <f>M995-F995</f>
        <v>32</v>
      </c>
      <c r="O995" s="110" t="s">
        <v>100</v>
      </c>
      <c r="P995" s="83"/>
      <c r="Q995" s="83"/>
      <c r="R995" s="83"/>
      <c r="S995" s="83"/>
      <c r="T995" s="110">
        <f>S995-Q995</f>
        <v>0</v>
      </c>
      <c r="U995" s="59">
        <f t="shared" si="1282"/>
        <v>0</v>
      </c>
      <c r="V995" s="83"/>
      <c r="W995" s="83">
        <v>860</v>
      </c>
      <c r="X995" s="110">
        <f>W995-M995</f>
        <v>0</v>
      </c>
      <c r="Y995" s="110"/>
      <c r="Z995" s="110"/>
      <c r="AA995" s="110"/>
      <c r="AB995" s="83"/>
      <c r="AC995" s="106"/>
      <c r="AD995" s="106"/>
      <c r="AE995" s="100">
        <f t="shared" si="1283"/>
        <v>3.864734299516908E-2</v>
      </c>
      <c r="AF995" s="90"/>
      <c r="AG995" s="109">
        <f t="shared" si="1284"/>
        <v>0</v>
      </c>
      <c r="AH995" s="100">
        <f t="shared" si="1285"/>
        <v>-1</v>
      </c>
      <c r="AI995" s="100">
        <f t="shared" si="1286"/>
        <v>3.864734299516908E-2</v>
      </c>
    </row>
    <row r="996" spans="1:35" s="86" customFormat="1" ht="18.75" customHeight="1" x14ac:dyDescent="0.3">
      <c r="A996" s="106"/>
      <c r="B996" s="106" t="s">
        <v>52</v>
      </c>
      <c r="C996" s="118">
        <v>47909</v>
      </c>
      <c r="D996" s="311"/>
      <c r="E996" s="157" t="s">
        <v>452</v>
      </c>
      <c r="F996" s="83">
        <v>828</v>
      </c>
      <c r="G996" s="83"/>
      <c r="H996" s="83"/>
      <c r="I996" s="83"/>
      <c r="J996" s="83"/>
      <c r="K996" s="83"/>
      <c r="L996" s="83"/>
      <c r="M996" s="83">
        <f>302+560</f>
        <v>862</v>
      </c>
      <c r="N996" s="110">
        <f>M996-F996</f>
        <v>34</v>
      </c>
      <c r="O996" s="110" t="s">
        <v>100</v>
      </c>
      <c r="P996" s="83"/>
      <c r="Q996" s="83"/>
      <c r="R996" s="83"/>
      <c r="S996" s="83"/>
      <c r="T996" s="110">
        <f>S996-Q996</f>
        <v>0</v>
      </c>
      <c r="U996" s="59">
        <f t="shared" si="1282"/>
        <v>0</v>
      </c>
      <c r="V996" s="83"/>
      <c r="W996" s="83">
        <v>862</v>
      </c>
      <c r="X996" s="110">
        <f>W996-M996</f>
        <v>0</v>
      </c>
      <c r="Y996" s="110"/>
      <c r="Z996" s="110"/>
      <c r="AA996" s="110"/>
      <c r="AB996" s="83"/>
      <c r="AC996" s="106"/>
      <c r="AD996" s="106"/>
      <c r="AE996" s="100">
        <f t="shared" si="1283"/>
        <v>4.1062801932367152E-2</v>
      </c>
      <c r="AF996" s="90"/>
      <c r="AG996" s="109">
        <f t="shared" si="1284"/>
        <v>0</v>
      </c>
      <c r="AH996" s="100">
        <f t="shared" si="1285"/>
        <v>-1</v>
      </c>
      <c r="AI996" s="100">
        <f t="shared" si="1286"/>
        <v>4.1062801932367152E-2</v>
      </c>
    </row>
    <row r="997" spans="1:35" s="82" customFormat="1" ht="16.5" customHeight="1" x14ac:dyDescent="0.3">
      <c r="A997" s="90" t="s">
        <v>46</v>
      </c>
      <c r="B997" s="90" t="s">
        <v>52</v>
      </c>
      <c r="C997" s="137"/>
      <c r="D997" s="90"/>
      <c r="E997" s="80"/>
      <c r="F997" s="81">
        <f>SUM(F995:F996)</f>
        <v>1656</v>
      </c>
      <c r="G997" s="81"/>
      <c r="H997" s="81" t="s">
        <v>50</v>
      </c>
      <c r="I997" s="81"/>
      <c r="J997" s="81" t="s">
        <v>60</v>
      </c>
      <c r="K997" s="85" t="s">
        <v>305</v>
      </c>
      <c r="L997" s="81">
        <f>SUM(L995:L996)</f>
        <v>0</v>
      </c>
      <c r="M997" s="81">
        <f>SUM(M995:M996)</f>
        <v>1722</v>
      </c>
      <c r="N997" s="81">
        <f>SUM(N995:N996)</f>
        <v>66</v>
      </c>
      <c r="O997" s="81"/>
      <c r="P997" s="81">
        <f>SUM(P995:P996)</f>
        <v>0</v>
      </c>
      <c r="Q997" s="81">
        <f>SUM(Q995:Q996)</f>
        <v>0</v>
      </c>
      <c r="R997" s="81">
        <f>SUM(R995:R996)</f>
        <v>0</v>
      </c>
      <c r="S997" s="81">
        <f>SUM(S995:S996)</f>
        <v>0</v>
      </c>
      <c r="T997" s="81">
        <f>SUM(T995:T996)</f>
        <v>0</v>
      </c>
      <c r="U997" s="59">
        <f t="shared" si="1282"/>
        <v>0</v>
      </c>
      <c r="V997" s="81">
        <f>SUM(V995:V996)</f>
        <v>0</v>
      </c>
      <c r="W997" s="81">
        <f>SUM(W995:W996)</f>
        <v>1722</v>
      </c>
      <c r="X997" s="81">
        <f>SUM(X995:X996)</f>
        <v>0</v>
      </c>
      <c r="Y997" s="81"/>
      <c r="Z997" s="110"/>
      <c r="AA997" s="110"/>
      <c r="AB997" s="84"/>
      <c r="AC997" s="136"/>
      <c r="AD997" s="136"/>
      <c r="AE997" s="100">
        <f t="shared" si="1283"/>
        <v>3.9855072463768113E-2</v>
      </c>
      <c r="AF997" s="90"/>
      <c r="AG997" s="109">
        <f t="shared" si="1284"/>
        <v>0</v>
      </c>
      <c r="AH997" s="100">
        <f t="shared" si="1285"/>
        <v>-1</v>
      </c>
      <c r="AI997" s="100">
        <f t="shared" si="1286"/>
        <v>3.9855072463768113E-2</v>
      </c>
    </row>
    <row r="998" spans="1:35" s="86" customFormat="1" ht="18.75" customHeight="1" x14ac:dyDescent="0.3">
      <c r="A998" s="106"/>
      <c r="B998" s="106" t="s">
        <v>52</v>
      </c>
      <c r="C998" s="118">
        <v>47910</v>
      </c>
      <c r="D998" s="310">
        <v>13238423</v>
      </c>
      <c r="E998" s="157" t="s">
        <v>157</v>
      </c>
      <c r="F998" s="83">
        <v>813</v>
      </c>
      <c r="G998" s="83"/>
      <c r="H998" s="83"/>
      <c r="I998" s="83"/>
      <c r="J998" s="83"/>
      <c r="K998" s="83"/>
      <c r="L998" s="83"/>
      <c r="M998" s="83">
        <v>862</v>
      </c>
      <c r="N998" s="110">
        <f>M998-F998</f>
        <v>49</v>
      </c>
      <c r="O998" s="110" t="s">
        <v>100</v>
      </c>
      <c r="P998" s="83"/>
      <c r="Q998" s="83">
        <v>862</v>
      </c>
      <c r="R998" s="83"/>
      <c r="S998" s="83">
        <v>862</v>
      </c>
      <c r="T998" s="110">
        <f>S998-Q998</f>
        <v>0</v>
      </c>
      <c r="U998" s="59">
        <f t="shared" si="1282"/>
        <v>3</v>
      </c>
      <c r="V998" s="83"/>
      <c r="W998" s="83">
        <f>859</f>
        <v>859</v>
      </c>
      <c r="X998" s="110">
        <f>W998-M998</f>
        <v>-3</v>
      </c>
      <c r="Y998" s="110"/>
      <c r="Z998" s="110"/>
      <c r="AA998" s="110"/>
      <c r="AB998" s="83"/>
      <c r="AC998" s="106"/>
      <c r="AD998" s="106"/>
      <c r="AE998" s="100">
        <f t="shared" si="1283"/>
        <v>6.0270602706027063E-2</v>
      </c>
      <c r="AF998" s="90"/>
      <c r="AG998" s="109">
        <f t="shared" si="1284"/>
        <v>0</v>
      </c>
      <c r="AH998" s="100">
        <f t="shared" si="1285"/>
        <v>6.0270602706027063E-2</v>
      </c>
      <c r="AI998" s="100">
        <f t="shared" si="1286"/>
        <v>5.6580565805658053E-2</v>
      </c>
    </row>
    <row r="999" spans="1:35" s="86" customFormat="1" ht="18.75" customHeight="1" x14ac:dyDescent="0.3">
      <c r="A999" s="106"/>
      <c r="B999" s="106" t="s">
        <v>52</v>
      </c>
      <c r="C999" s="118">
        <v>47910</v>
      </c>
      <c r="D999" s="311"/>
      <c r="E999" s="157" t="s">
        <v>364</v>
      </c>
      <c r="F999" s="83">
        <v>998</v>
      </c>
      <c r="G999" s="83"/>
      <c r="H999" s="83"/>
      <c r="I999" s="83"/>
      <c r="J999" s="83"/>
      <c r="K999" s="83"/>
      <c r="L999" s="83"/>
      <c r="M999" s="83">
        <f>570+300+176+3</f>
        <v>1049</v>
      </c>
      <c r="N999" s="110">
        <f>M999-F999</f>
        <v>51</v>
      </c>
      <c r="O999" s="110" t="s">
        <v>100</v>
      </c>
      <c r="P999" s="83"/>
      <c r="Q999" s="83">
        <f>855+176+18</f>
        <v>1049</v>
      </c>
      <c r="R999" s="83"/>
      <c r="S999" s="83">
        <v>1036</v>
      </c>
      <c r="T999" s="110">
        <f>S999-Q999</f>
        <v>-13</v>
      </c>
      <c r="U999" s="59">
        <f t="shared" ref="U999:U1021" si="1322">IF(Q999&gt;0,S999-W999,M999-W999)</f>
        <v>1</v>
      </c>
      <c r="V999" s="83"/>
      <c r="W999" s="83">
        <f>1017+18</f>
        <v>1035</v>
      </c>
      <c r="X999" s="110">
        <f>W999-M999</f>
        <v>-14</v>
      </c>
      <c r="Y999" s="110"/>
      <c r="Z999" s="110"/>
      <c r="AA999" s="110"/>
      <c r="AB999" s="83"/>
      <c r="AC999" s="106"/>
      <c r="AD999" s="106"/>
      <c r="AE999" s="100">
        <f t="shared" ref="AE999:AE1021" si="1323">N999/F999</f>
        <v>5.1102204408817638E-2</v>
      </c>
      <c r="AF999" s="90"/>
      <c r="AG999" s="109">
        <f t="shared" ref="AG999:AG1021" si="1324">IF(N999&lt;0,N999,0)</f>
        <v>0</v>
      </c>
      <c r="AH999" s="100">
        <f t="shared" ref="AH999:AH1021" si="1325">(S999-F999)/F999</f>
        <v>3.8076152304609222E-2</v>
      </c>
      <c r="AI999" s="100">
        <f t="shared" ref="AI999:AI1021" si="1326">(W999-F999)/F999</f>
        <v>3.7074148296593189E-2</v>
      </c>
    </row>
    <row r="1000" spans="1:35" s="82" customFormat="1" ht="16.5" customHeight="1" x14ac:dyDescent="0.3">
      <c r="A1000" s="90" t="s">
        <v>46</v>
      </c>
      <c r="B1000" s="90" t="s">
        <v>52</v>
      </c>
      <c r="C1000" s="137"/>
      <c r="D1000" s="90"/>
      <c r="E1000" s="80"/>
      <c r="F1000" s="81">
        <f>SUM(F998:F999)</f>
        <v>1811</v>
      </c>
      <c r="G1000" s="81"/>
      <c r="H1000" s="81" t="s">
        <v>50</v>
      </c>
      <c r="I1000" s="81"/>
      <c r="J1000" s="81" t="s">
        <v>60</v>
      </c>
      <c r="K1000" s="85" t="s">
        <v>226</v>
      </c>
      <c r="L1000" s="81">
        <f>SUM(L998:L999)</f>
        <v>0</v>
      </c>
      <c r="M1000" s="81">
        <f>SUM(M998:M999)</f>
        <v>1911</v>
      </c>
      <c r="N1000" s="81">
        <f>SUM(N998:N999)</f>
        <v>100</v>
      </c>
      <c r="O1000" s="81" t="s">
        <v>566</v>
      </c>
      <c r="P1000" s="81">
        <f>SUM(P998:P999)</f>
        <v>0</v>
      </c>
      <c r="Q1000" s="81">
        <f>SUM(Q998:Q999)</f>
        <v>1911</v>
      </c>
      <c r="R1000" s="81">
        <f>SUM(R998:R999)</f>
        <v>0</v>
      </c>
      <c r="S1000" s="81">
        <f>SUM(S998:S999)</f>
        <v>1898</v>
      </c>
      <c r="T1000" s="81">
        <f>SUM(T998:T999)</f>
        <v>-13</v>
      </c>
      <c r="U1000" s="59">
        <f t="shared" si="1322"/>
        <v>4</v>
      </c>
      <c r="V1000" s="81">
        <f>SUM(V998:V999)</f>
        <v>0</v>
      </c>
      <c r="W1000" s="81">
        <f>SUM(W998:W999)</f>
        <v>1894</v>
      </c>
      <c r="X1000" s="81">
        <f>SUM(X998:X999)</f>
        <v>-17</v>
      </c>
      <c r="Y1000" s="81" t="s">
        <v>47</v>
      </c>
      <c r="Z1000" s="110" t="s">
        <v>45</v>
      </c>
      <c r="AA1000" s="110"/>
      <c r="AB1000" s="84"/>
      <c r="AC1000" s="136"/>
      <c r="AD1000" s="136"/>
      <c r="AE1000" s="100">
        <f t="shared" si="1323"/>
        <v>5.5218111540585313E-2</v>
      </c>
      <c r="AF1000" s="90"/>
      <c r="AG1000" s="109">
        <f t="shared" si="1324"/>
        <v>0</v>
      </c>
      <c r="AH1000" s="100">
        <f t="shared" si="1325"/>
        <v>4.8039757040309224E-2</v>
      </c>
      <c r="AI1000" s="100">
        <f t="shared" si="1326"/>
        <v>4.5831032578685808E-2</v>
      </c>
    </row>
    <row r="1001" spans="1:35" s="86" customFormat="1" ht="18.75" customHeight="1" x14ac:dyDescent="0.3">
      <c r="A1001" s="106"/>
      <c r="B1001" s="106" t="s">
        <v>52</v>
      </c>
      <c r="C1001" s="118">
        <v>47911</v>
      </c>
      <c r="D1001" s="310">
        <v>13238189</v>
      </c>
      <c r="E1001" s="157" t="s">
        <v>488</v>
      </c>
      <c r="F1001" s="83">
        <v>1259</v>
      </c>
      <c r="G1001" s="83"/>
      <c r="H1001" s="83"/>
      <c r="I1001" s="83"/>
      <c r="J1001" s="83"/>
      <c r="K1001" s="83"/>
      <c r="L1001" s="83"/>
      <c r="M1001" s="83">
        <f>660+650</f>
        <v>1310</v>
      </c>
      <c r="N1001" s="110">
        <f>M1001-F1001</f>
        <v>51</v>
      </c>
      <c r="O1001" s="110" t="s">
        <v>100</v>
      </c>
      <c r="P1001" s="83"/>
      <c r="Q1001" s="83">
        <f>660+650</f>
        <v>1310</v>
      </c>
      <c r="R1001" s="83"/>
      <c r="S1001" s="83">
        <v>1310</v>
      </c>
      <c r="T1001" s="110">
        <f>S1001-Q1001</f>
        <v>0</v>
      </c>
      <c r="U1001" s="59">
        <f t="shared" si="1322"/>
        <v>1</v>
      </c>
      <c r="V1001" s="83"/>
      <c r="W1001" s="83">
        <v>1309</v>
      </c>
      <c r="X1001" s="110">
        <f>W1001-M1001</f>
        <v>-1</v>
      </c>
      <c r="Y1001" s="110"/>
      <c r="Z1001" s="110"/>
      <c r="AA1001" s="110"/>
      <c r="AB1001" s="83"/>
      <c r="AC1001" s="106"/>
      <c r="AD1001" s="106"/>
      <c r="AE1001" s="100">
        <f t="shared" si="1323"/>
        <v>4.0508339952343132E-2</v>
      </c>
      <c r="AF1001" s="90"/>
      <c r="AG1001" s="109">
        <f t="shared" si="1324"/>
        <v>0</v>
      </c>
      <c r="AH1001" s="100">
        <f t="shared" si="1325"/>
        <v>4.0508339952343132E-2</v>
      </c>
      <c r="AI1001" s="100">
        <f t="shared" si="1326"/>
        <v>3.971405877680699E-2</v>
      </c>
    </row>
    <row r="1002" spans="1:35" s="86" customFormat="1" ht="18.75" customHeight="1" x14ac:dyDescent="0.3">
      <c r="A1002" s="106"/>
      <c r="B1002" s="106" t="s">
        <v>52</v>
      </c>
      <c r="C1002" s="118">
        <v>47911</v>
      </c>
      <c r="D1002" s="311"/>
      <c r="E1002" s="157" t="s">
        <v>408</v>
      </c>
      <c r="F1002" s="83">
        <v>2732</v>
      </c>
      <c r="G1002" s="83"/>
      <c r="H1002" s="83"/>
      <c r="I1002" s="83"/>
      <c r="J1002" s="83"/>
      <c r="K1002" s="83"/>
      <c r="L1002" s="83"/>
      <c r="M1002" s="83">
        <f>1180+790+37+839</f>
        <v>2846</v>
      </c>
      <c r="N1002" s="110">
        <f>M1002-F1002</f>
        <v>114</v>
      </c>
      <c r="O1002" s="110" t="s">
        <v>100</v>
      </c>
      <c r="P1002" s="83"/>
      <c r="Q1002" s="83">
        <f>1972+35+839</f>
        <v>2846</v>
      </c>
      <c r="R1002" s="83"/>
      <c r="S1002" s="83">
        <f>792+388+837+783</f>
        <v>2800</v>
      </c>
      <c r="T1002" s="110">
        <f>S1002-Q1002</f>
        <v>-46</v>
      </c>
      <c r="U1002" s="59">
        <f t="shared" si="1322"/>
        <v>0</v>
      </c>
      <c r="V1002" s="83"/>
      <c r="W1002" s="83">
        <f>1180+785+835</f>
        <v>2800</v>
      </c>
      <c r="X1002" s="110">
        <f>W1002-M1002</f>
        <v>-46</v>
      </c>
      <c r="Y1002" s="110"/>
      <c r="Z1002" s="110"/>
      <c r="AA1002" s="110"/>
      <c r="AB1002" s="83"/>
      <c r="AC1002" s="106"/>
      <c r="AD1002" s="106"/>
      <c r="AE1002" s="100">
        <f t="shared" si="1323"/>
        <v>4.1727672035139093E-2</v>
      </c>
      <c r="AF1002" s="90"/>
      <c r="AG1002" s="109">
        <f t="shared" si="1324"/>
        <v>0</v>
      </c>
      <c r="AH1002" s="100">
        <f t="shared" si="1325"/>
        <v>2.4890190336749635E-2</v>
      </c>
      <c r="AI1002" s="100">
        <f t="shared" si="1326"/>
        <v>2.4890190336749635E-2</v>
      </c>
    </row>
    <row r="1003" spans="1:35" s="86" customFormat="1" ht="18.75" customHeight="1" x14ac:dyDescent="0.3">
      <c r="A1003" s="106"/>
      <c r="B1003" s="106" t="s">
        <v>52</v>
      </c>
      <c r="C1003" s="118">
        <v>47911</v>
      </c>
      <c r="D1003" s="311"/>
      <c r="E1003" s="157" t="s">
        <v>452</v>
      </c>
      <c r="F1003" s="83">
        <v>2940</v>
      </c>
      <c r="G1003" s="83"/>
      <c r="H1003" s="83"/>
      <c r="I1003" s="83"/>
      <c r="J1003" s="83"/>
      <c r="K1003" s="83"/>
      <c r="L1003" s="83"/>
      <c r="M1003" s="83">
        <f>714+793+492+540+478</f>
        <v>3017</v>
      </c>
      <c r="N1003" s="110">
        <f>M1003-F1003</f>
        <v>77</v>
      </c>
      <c r="O1003" s="110" t="s">
        <v>100</v>
      </c>
      <c r="P1003" s="83"/>
      <c r="Q1003" s="83">
        <f>714+35+793+492+540+478</f>
        <v>3052</v>
      </c>
      <c r="R1003" s="83"/>
      <c r="S1003" s="83">
        <f>1527+1516</f>
        <v>3043</v>
      </c>
      <c r="T1003" s="110">
        <f>S1003-Q1003</f>
        <v>-9</v>
      </c>
      <c r="U1003" s="59">
        <f t="shared" si="1322"/>
        <v>33</v>
      </c>
      <c r="V1003" s="83"/>
      <c r="W1003" s="83">
        <f>786+2224</f>
        <v>3010</v>
      </c>
      <c r="X1003" s="110">
        <f>W1003-M1003</f>
        <v>-7</v>
      </c>
      <c r="Y1003" s="110"/>
      <c r="Z1003" s="110"/>
      <c r="AA1003" s="110"/>
      <c r="AB1003" s="83"/>
      <c r="AC1003" s="106"/>
      <c r="AD1003" s="106"/>
      <c r="AE1003" s="100">
        <f t="shared" si="1323"/>
        <v>2.6190476190476191E-2</v>
      </c>
      <c r="AF1003" s="90"/>
      <c r="AG1003" s="109">
        <f t="shared" si="1324"/>
        <v>0</v>
      </c>
      <c r="AH1003" s="100">
        <f t="shared" si="1325"/>
        <v>3.5034013605442178E-2</v>
      </c>
      <c r="AI1003" s="100">
        <f t="shared" si="1326"/>
        <v>2.3809523809523808E-2</v>
      </c>
    </row>
    <row r="1004" spans="1:35" s="82" customFormat="1" ht="16.5" customHeight="1" x14ac:dyDescent="0.3">
      <c r="A1004" s="90" t="s">
        <v>46</v>
      </c>
      <c r="B1004" s="90" t="s">
        <v>52</v>
      </c>
      <c r="C1004" s="137"/>
      <c r="D1004" s="90"/>
      <c r="E1004" s="80"/>
      <c r="F1004" s="81">
        <f>SUM(F1001:F1003)</f>
        <v>6931</v>
      </c>
      <c r="G1004" s="81"/>
      <c r="H1004" s="81" t="s">
        <v>50</v>
      </c>
      <c r="I1004" s="81"/>
      <c r="J1004" s="81" t="s">
        <v>60</v>
      </c>
      <c r="K1004" s="85" t="s">
        <v>226</v>
      </c>
      <c r="L1004" s="81">
        <f>SUM(L1001:L1003)</f>
        <v>0</v>
      </c>
      <c r="M1004" s="81">
        <f>SUM(M1001:M1003)</f>
        <v>7173</v>
      </c>
      <c r="N1004" s="81">
        <f>SUM(N1001:N1003)</f>
        <v>242</v>
      </c>
      <c r="O1004" s="81" t="s">
        <v>540</v>
      </c>
      <c r="P1004" s="81">
        <f>SUM(P1001:P1003)</f>
        <v>0</v>
      </c>
      <c r="Q1004" s="81">
        <f>SUM(Q1001:Q1003)</f>
        <v>7208</v>
      </c>
      <c r="R1004" s="81">
        <f>SUM(R1001:R1003)</f>
        <v>0</v>
      </c>
      <c r="S1004" s="81">
        <f>SUM(S1001:S1003)</f>
        <v>7153</v>
      </c>
      <c r="T1004" s="81">
        <f>SUM(T1001:T1003)</f>
        <v>-55</v>
      </c>
      <c r="U1004" s="59">
        <f t="shared" si="1322"/>
        <v>34</v>
      </c>
      <c r="V1004" s="81">
        <f>SUM(V1001:V1003)</f>
        <v>0</v>
      </c>
      <c r="W1004" s="81">
        <f>SUM(W1001:W1003)</f>
        <v>7119</v>
      </c>
      <c r="X1004" s="81">
        <f>SUM(X1001:X1003)</f>
        <v>-54</v>
      </c>
      <c r="Y1004" s="81" t="s">
        <v>48</v>
      </c>
      <c r="Z1004" s="110" t="s">
        <v>45</v>
      </c>
      <c r="AA1004" s="110"/>
      <c r="AB1004" s="84"/>
      <c r="AC1004" s="136"/>
      <c r="AD1004" s="136"/>
      <c r="AE1004" s="100">
        <f t="shared" si="1323"/>
        <v>3.4915596595007932E-2</v>
      </c>
      <c r="AF1004" s="90"/>
      <c r="AG1004" s="109">
        <f t="shared" si="1324"/>
        <v>0</v>
      </c>
      <c r="AH1004" s="100">
        <f t="shared" si="1325"/>
        <v>3.2030010099552732E-2</v>
      </c>
      <c r="AI1004" s="100">
        <f t="shared" si="1326"/>
        <v>2.7124513057278893E-2</v>
      </c>
    </row>
    <row r="1005" spans="1:35" s="86" customFormat="1" ht="18.75" customHeight="1" x14ac:dyDescent="0.3">
      <c r="A1005" s="106"/>
      <c r="B1005" s="106" t="s">
        <v>52</v>
      </c>
      <c r="C1005" s="118">
        <v>47919</v>
      </c>
      <c r="D1005" s="310">
        <v>13263396</v>
      </c>
      <c r="E1005" s="157" t="s">
        <v>98</v>
      </c>
      <c r="F1005" s="83">
        <v>5684</v>
      </c>
      <c r="G1005" s="83"/>
      <c r="H1005" s="83"/>
      <c r="I1005" s="83"/>
      <c r="J1005" s="83"/>
      <c r="K1005" s="83"/>
      <c r="L1005" s="83"/>
      <c r="M1005" s="83">
        <f>2844+540+1200+1032+167</f>
        <v>5783</v>
      </c>
      <c r="N1005" s="110">
        <f>M1005-F1005</f>
        <v>99</v>
      </c>
      <c r="O1005" s="110" t="s">
        <v>100</v>
      </c>
      <c r="P1005" s="83"/>
      <c r="Q1005" s="83">
        <f>1200+2184+2226+167</f>
        <v>5777</v>
      </c>
      <c r="R1005" s="83"/>
      <c r="S1005" s="83">
        <f>5628+104+5+13</f>
        <v>5750</v>
      </c>
      <c r="T1005" s="110">
        <f>S1005-Q1005</f>
        <v>-27</v>
      </c>
      <c r="U1005" s="59">
        <f t="shared" ref="U1005:U1007" si="1327">IF(Q1005&gt;0,S1005-W1005,M1005-W1005)</f>
        <v>0</v>
      </c>
      <c r="V1005" s="83"/>
      <c r="W1005" s="83">
        <f>3337+2400+13</f>
        <v>5750</v>
      </c>
      <c r="X1005" s="110">
        <f>W1005-M1005</f>
        <v>-33</v>
      </c>
      <c r="Y1005" s="110"/>
      <c r="Z1005" s="110"/>
      <c r="AA1005" s="110"/>
      <c r="AB1005" s="83"/>
      <c r="AC1005" s="106"/>
      <c r="AD1005" s="106"/>
      <c r="AE1005" s="100">
        <f t="shared" ref="AE1005:AE1007" si="1328">N1005/F1005</f>
        <v>1.7417311752287123E-2</v>
      </c>
      <c r="AF1005" s="90"/>
      <c r="AG1005" s="109">
        <f t="shared" ref="AG1005:AG1007" si="1329">IF(N1005&lt;0,N1005,0)</f>
        <v>0</v>
      </c>
      <c r="AH1005" s="100">
        <f t="shared" ref="AH1005:AH1007" si="1330">(S1005-F1005)/F1005</f>
        <v>1.1611541168191415E-2</v>
      </c>
      <c r="AI1005" s="100">
        <f t="shared" ref="AI1005:AI1007" si="1331">(W1005-F1005)/F1005</f>
        <v>1.1611541168191415E-2</v>
      </c>
    </row>
    <row r="1006" spans="1:35" s="86" customFormat="1" ht="18.75" customHeight="1" x14ac:dyDescent="0.3">
      <c r="A1006" s="106"/>
      <c r="B1006" s="106" t="s">
        <v>52</v>
      </c>
      <c r="C1006" s="118">
        <v>47919</v>
      </c>
      <c r="D1006" s="311"/>
      <c r="E1006" s="157" t="s">
        <v>137</v>
      </c>
      <c r="F1006" s="83">
        <v>6667</v>
      </c>
      <c r="G1006" s="83"/>
      <c r="H1006" s="83"/>
      <c r="I1006" s="83"/>
      <c r="J1006" s="83"/>
      <c r="K1006" s="83"/>
      <c r="L1006" s="83"/>
      <c r="M1006" s="83">
        <f>551+1000+880+2112+165+500+1380+164+72</f>
        <v>6824</v>
      </c>
      <c r="N1006" s="110">
        <f>M1006-F1006</f>
        <v>157</v>
      </c>
      <c r="O1006" s="110" t="s">
        <v>100</v>
      </c>
      <c r="P1006" s="83"/>
      <c r="Q1006" s="83">
        <f>1551+880+2772+1380+164+72</f>
        <v>6819</v>
      </c>
      <c r="R1006" s="83"/>
      <c r="S1006" s="83">
        <f>1987+4453+224+15+71</f>
        <v>6750</v>
      </c>
      <c r="T1006" s="110">
        <f>S1006-Q1006</f>
        <v>-69</v>
      </c>
      <c r="U1006" s="59">
        <f t="shared" si="1327"/>
        <v>8</v>
      </c>
      <c r="V1006" s="83"/>
      <c r="W1006" s="83">
        <f>4232+2447+63</f>
        <v>6742</v>
      </c>
      <c r="X1006" s="110">
        <f>W1006-M1006</f>
        <v>-82</v>
      </c>
      <c r="Y1006" s="110"/>
      <c r="Z1006" s="110"/>
      <c r="AA1006" s="110"/>
      <c r="AB1006" s="83"/>
      <c r="AC1006" s="106"/>
      <c r="AD1006" s="106"/>
      <c r="AE1006" s="100">
        <f t="shared" si="1328"/>
        <v>2.3548822558872057E-2</v>
      </c>
      <c r="AF1006" s="90"/>
      <c r="AG1006" s="109">
        <f t="shared" si="1329"/>
        <v>0</v>
      </c>
      <c r="AH1006" s="100">
        <f t="shared" si="1330"/>
        <v>1.2449377531123443E-2</v>
      </c>
      <c r="AI1006" s="100">
        <f t="shared" si="1331"/>
        <v>1.1249437528123594E-2</v>
      </c>
    </row>
    <row r="1007" spans="1:35" s="82" customFormat="1" ht="16.5" customHeight="1" x14ac:dyDescent="0.3">
      <c r="A1007" s="90" t="s">
        <v>46</v>
      </c>
      <c r="B1007" s="90" t="s">
        <v>52</v>
      </c>
      <c r="C1007" s="137"/>
      <c r="D1007" s="90"/>
      <c r="E1007" s="80"/>
      <c r="F1007" s="81">
        <f>SUM(F1005:F1006)</f>
        <v>12351</v>
      </c>
      <c r="G1007" s="81"/>
      <c r="H1007" s="81" t="s">
        <v>50</v>
      </c>
      <c r="I1007" s="81"/>
      <c r="J1007" s="81" t="s">
        <v>60</v>
      </c>
      <c r="K1007" s="85" t="s">
        <v>290</v>
      </c>
      <c r="L1007" s="81">
        <f>SUM(L1005:L1006)</f>
        <v>0</v>
      </c>
      <c r="M1007" s="81">
        <f>SUM(M1005:M1006)</f>
        <v>12607</v>
      </c>
      <c r="N1007" s="81">
        <f>SUM(N1005:N1006)</f>
        <v>256</v>
      </c>
      <c r="O1007" s="81" t="s">
        <v>668</v>
      </c>
      <c r="P1007" s="81">
        <f>SUM(P1005:P1006)</f>
        <v>0</v>
      </c>
      <c r="Q1007" s="81">
        <f>SUM(Q1005:Q1006)</f>
        <v>12596</v>
      </c>
      <c r="R1007" s="81">
        <f>SUM(R1005:R1006)</f>
        <v>0</v>
      </c>
      <c r="S1007" s="81">
        <f>SUM(S1005:S1006)</f>
        <v>12500</v>
      </c>
      <c r="T1007" s="81">
        <f>SUM(T1005:T1006)</f>
        <v>-96</v>
      </c>
      <c r="U1007" s="59">
        <f t="shared" si="1327"/>
        <v>8</v>
      </c>
      <c r="V1007" s="81">
        <f>SUM(V1005:V1006)</f>
        <v>0</v>
      </c>
      <c r="W1007" s="81">
        <f>SUM(W1005:W1006)</f>
        <v>12492</v>
      </c>
      <c r="X1007" s="81">
        <f>SUM(X1005:X1006)</f>
        <v>-115</v>
      </c>
      <c r="Y1007" s="81" t="s">
        <v>47</v>
      </c>
      <c r="Z1007" s="110" t="s">
        <v>45</v>
      </c>
      <c r="AA1007" s="110"/>
      <c r="AB1007" s="84"/>
      <c r="AC1007" s="136"/>
      <c r="AD1007" s="136"/>
      <c r="AE1007" s="100">
        <f t="shared" si="1328"/>
        <v>2.0727066634280623E-2</v>
      </c>
      <c r="AF1007" s="90"/>
      <c r="AG1007" s="109">
        <f t="shared" si="1329"/>
        <v>0</v>
      </c>
      <c r="AH1007" s="100">
        <f t="shared" si="1330"/>
        <v>1.2063800501983645E-2</v>
      </c>
      <c r="AI1007" s="100">
        <f t="shared" si="1331"/>
        <v>1.1416079669662375E-2</v>
      </c>
    </row>
    <row r="1008" spans="1:35" s="86" customFormat="1" ht="18.75" customHeight="1" x14ac:dyDescent="0.3">
      <c r="A1008" s="106"/>
      <c r="B1008" s="106" t="s">
        <v>52</v>
      </c>
      <c r="C1008" s="118">
        <v>47920</v>
      </c>
      <c r="D1008" s="310">
        <v>13263837</v>
      </c>
      <c r="E1008" s="157" t="s">
        <v>123</v>
      </c>
      <c r="F1008" s="83">
        <v>1632</v>
      </c>
      <c r="G1008" s="83"/>
      <c r="H1008" s="83"/>
      <c r="I1008" s="83"/>
      <c r="J1008" s="83"/>
      <c r="K1008" s="83"/>
      <c r="L1008" s="83"/>
      <c r="M1008" s="83">
        <f>957+759</f>
        <v>1716</v>
      </c>
      <c r="N1008" s="110">
        <f>M1008-F1008</f>
        <v>84</v>
      </c>
      <c r="O1008" s="110" t="s">
        <v>100</v>
      </c>
      <c r="P1008" s="83"/>
      <c r="Q1008" s="83">
        <f>957+759</f>
        <v>1716</v>
      </c>
      <c r="R1008" s="83"/>
      <c r="S1008" s="83">
        <f>1703</f>
        <v>1703</v>
      </c>
      <c r="T1008" s="110">
        <f>S1008-Q1008</f>
        <v>-13</v>
      </c>
      <c r="U1008" s="59">
        <f t="shared" si="1322"/>
        <v>4</v>
      </c>
      <c r="V1008" s="83"/>
      <c r="W1008" s="83">
        <v>1699</v>
      </c>
      <c r="X1008" s="110">
        <f>W1008-M1008</f>
        <v>-17</v>
      </c>
      <c r="Y1008" s="110"/>
      <c r="Z1008" s="110"/>
      <c r="AA1008" s="110"/>
      <c r="AB1008" s="83"/>
      <c r="AC1008" s="106"/>
      <c r="AD1008" s="106"/>
      <c r="AE1008" s="100">
        <f t="shared" si="1323"/>
        <v>5.1470588235294115E-2</v>
      </c>
      <c r="AF1008" s="90"/>
      <c r="AG1008" s="109">
        <f t="shared" si="1324"/>
        <v>0</v>
      </c>
      <c r="AH1008" s="100">
        <f t="shared" si="1325"/>
        <v>4.3504901960784312E-2</v>
      </c>
      <c r="AI1008" s="100">
        <f t="shared" si="1326"/>
        <v>4.1053921568627451E-2</v>
      </c>
    </row>
    <row r="1009" spans="1:35" s="86" customFormat="1" ht="18.75" customHeight="1" x14ac:dyDescent="0.3">
      <c r="A1009" s="106"/>
      <c r="B1009" s="106" t="s">
        <v>52</v>
      </c>
      <c r="C1009" s="118">
        <v>47920</v>
      </c>
      <c r="D1009" s="311"/>
      <c r="E1009" s="157" t="s">
        <v>202</v>
      </c>
      <c r="F1009" s="83">
        <v>5589</v>
      </c>
      <c r="G1009" s="83"/>
      <c r="H1009" s="83"/>
      <c r="I1009" s="83"/>
      <c r="J1009" s="83"/>
      <c r="K1009" s="83"/>
      <c r="L1009" s="83"/>
      <c r="M1009" s="83">
        <f>1188+1430+836+1722+487</f>
        <v>5663</v>
      </c>
      <c r="N1009" s="110">
        <f>M1009-F1009</f>
        <v>74</v>
      </c>
      <c r="O1009" s="110" t="s">
        <v>100</v>
      </c>
      <c r="P1009" s="83"/>
      <c r="Q1009" s="83">
        <f>1430+2024+497+1712</f>
        <v>5663</v>
      </c>
      <c r="R1009" s="83"/>
      <c r="S1009" s="83">
        <f>1026+2058+867+528+894+187+85</f>
        <v>5645</v>
      </c>
      <c r="T1009" s="110">
        <f>S1009-Q1009</f>
        <v>-18</v>
      </c>
      <c r="U1009" s="59">
        <f t="shared" si="1322"/>
        <v>0</v>
      </c>
      <c r="V1009" s="83"/>
      <c r="W1009" s="83">
        <f>2462+3183</f>
        <v>5645</v>
      </c>
      <c r="X1009" s="110">
        <f>W1009-M1009</f>
        <v>-18</v>
      </c>
      <c r="Y1009" s="110"/>
      <c r="Z1009" s="110"/>
      <c r="AA1009" s="110"/>
      <c r="AB1009" s="83"/>
      <c r="AC1009" s="106"/>
      <c r="AD1009" s="106"/>
      <c r="AE1009" s="100">
        <f t="shared" si="1323"/>
        <v>1.3240293433530148E-2</v>
      </c>
      <c r="AF1009" s="90"/>
      <c r="AG1009" s="109">
        <f t="shared" si="1324"/>
        <v>0</v>
      </c>
      <c r="AH1009" s="100">
        <f t="shared" si="1325"/>
        <v>1.0019681517266059E-2</v>
      </c>
      <c r="AI1009" s="100">
        <f t="shared" si="1326"/>
        <v>1.0019681517266059E-2</v>
      </c>
    </row>
    <row r="1010" spans="1:35" s="82" customFormat="1" ht="16.5" customHeight="1" x14ac:dyDescent="0.3">
      <c r="A1010" s="90" t="s">
        <v>46</v>
      </c>
      <c r="B1010" s="90" t="s">
        <v>52</v>
      </c>
      <c r="C1010" s="137"/>
      <c r="D1010" s="90"/>
      <c r="E1010" s="80"/>
      <c r="F1010" s="81">
        <f>SUM(F1008:F1009)</f>
        <v>7221</v>
      </c>
      <c r="G1010" s="81"/>
      <c r="H1010" s="81" t="s">
        <v>50</v>
      </c>
      <c r="I1010" s="81"/>
      <c r="J1010" s="81" t="s">
        <v>60</v>
      </c>
      <c r="K1010" s="85" t="s">
        <v>290</v>
      </c>
      <c r="L1010" s="81">
        <f>SUM(L1008:L1009)</f>
        <v>0</v>
      </c>
      <c r="M1010" s="81">
        <f>SUM(M1008:M1009)</f>
        <v>7379</v>
      </c>
      <c r="N1010" s="81">
        <f>SUM(N1008:N1009)</f>
        <v>158</v>
      </c>
      <c r="O1010" s="81" t="s">
        <v>316</v>
      </c>
      <c r="P1010" s="81">
        <f>SUM(P1008:P1009)</f>
        <v>0</v>
      </c>
      <c r="Q1010" s="81">
        <f>SUM(Q1008:Q1009)</f>
        <v>7379</v>
      </c>
      <c r="R1010" s="81">
        <f>SUM(R1008:R1009)</f>
        <v>0</v>
      </c>
      <c r="S1010" s="81">
        <f>SUM(S1008:S1009)</f>
        <v>7348</v>
      </c>
      <c r="T1010" s="81">
        <f>SUM(T1008:T1009)</f>
        <v>-31</v>
      </c>
      <c r="U1010" s="59">
        <f t="shared" si="1322"/>
        <v>4</v>
      </c>
      <c r="V1010" s="81">
        <f>SUM(V1008:V1009)</f>
        <v>0</v>
      </c>
      <c r="W1010" s="81">
        <f>SUM(W1008:W1009)</f>
        <v>7344</v>
      </c>
      <c r="X1010" s="81">
        <f>SUM(X1008:X1009)</f>
        <v>-35</v>
      </c>
      <c r="Y1010" s="81" t="s">
        <v>57</v>
      </c>
      <c r="Z1010" s="110" t="s">
        <v>45</v>
      </c>
      <c r="AA1010" s="110"/>
      <c r="AB1010" s="84"/>
      <c r="AC1010" s="136"/>
      <c r="AD1010" s="136"/>
      <c r="AE1010" s="100">
        <f t="shared" si="1323"/>
        <v>2.18806259520842E-2</v>
      </c>
      <c r="AF1010" s="90"/>
      <c r="AG1010" s="109">
        <f t="shared" si="1324"/>
        <v>0</v>
      </c>
      <c r="AH1010" s="100">
        <f t="shared" si="1325"/>
        <v>1.7587591746295528E-2</v>
      </c>
      <c r="AI1010" s="100">
        <f t="shared" si="1326"/>
        <v>1.7033651848774409E-2</v>
      </c>
    </row>
    <row r="1011" spans="1:35" s="86" customFormat="1" ht="18.75" customHeight="1" x14ac:dyDescent="0.3">
      <c r="A1011" s="106"/>
      <c r="B1011" s="106" t="s">
        <v>52</v>
      </c>
      <c r="C1011" s="118">
        <v>47921</v>
      </c>
      <c r="D1011" s="310">
        <v>13263838</v>
      </c>
      <c r="E1011" s="157" t="s">
        <v>123</v>
      </c>
      <c r="F1011" s="83">
        <v>4556</v>
      </c>
      <c r="G1011" s="83"/>
      <c r="H1011" s="83"/>
      <c r="I1011" s="83"/>
      <c r="J1011" s="83"/>
      <c r="K1011" s="83"/>
      <c r="L1011" s="83"/>
      <c r="M1011" s="83">
        <f>1458+1476+1278+535</f>
        <v>4747</v>
      </c>
      <c r="N1011" s="110">
        <f>M1011-F1011</f>
        <v>191</v>
      </c>
      <c r="O1011" s="110" t="s">
        <v>100</v>
      </c>
      <c r="P1011" s="83"/>
      <c r="Q1011" s="83">
        <f>2934+1278+535</f>
        <v>4747</v>
      </c>
      <c r="R1011" s="83"/>
      <c r="S1011" s="83">
        <f>1422+1492+1833</f>
        <v>4747</v>
      </c>
      <c r="T1011" s="110">
        <f>S1011-Q1011</f>
        <v>0</v>
      </c>
      <c r="U1011" s="59">
        <f t="shared" si="1322"/>
        <v>20</v>
      </c>
      <c r="V1011" s="83"/>
      <c r="W1011" s="83">
        <v>4727</v>
      </c>
      <c r="X1011" s="110">
        <f>W1011-M1011</f>
        <v>-20</v>
      </c>
      <c r="Y1011" s="110"/>
      <c r="Z1011" s="110"/>
      <c r="AA1011" s="110"/>
      <c r="AB1011" s="83"/>
      <c r="AC1011" s="106"/>
      <c r="AD1011" s="106"/>
      <c r="AE1011" s="100">
        <f t="shared" si="1323"/>
        <v>4.1922739244951712E-2</v>
      </c>
      <c r="AF1011" s="90"/>
      <c r="AG1011" s="109">
        <f t="shared" si="1324"/>
        <v>0</v>
      </c>
      <c r="AH1011" s="100">
        <f t="shared" si="1325"/>
        <v>4.1922739244951712E-2</v>
      </c>
      <c r="AI1011" s="100">
        <f t="shared" si="1326"/>
        <v>3.7532923617208079E-2</v>
      </c>
    </row>
    <row r="1012" spans="1:35" s="86" customFormat="1" ht="18.75" customHeight="1" x14ac:dyDescent="0.3">
      <c r="A1012" s="106"/>
      <c r="B1012" s="106" t="s">
        <v>52</v>
      </c>
      <c r="C1012" s="118">
        <v>47921</v>
      </c>
      <c r="D1012" s="311"/>
      <c r="E1012" s="157" t="s">
        <v>202</v>
      </c>
      <c r="F1012" s="83">
        <v>6821</v>
      </c>
      <c r="G1012" s="83"/>
      <c r="H1012" s="83"/>
      <c r="I1012" s="83"/>
      <c r="J1012" s="83"/>
      <c r="K1012" s="83"/>
      <c r="L1012" s="83"/>
      <c r="M1012" s="83">
        <f>1674+1440+1152+1239+1512</f>
        <v>7017</v>
      </c>
      <c r="N1012" s="110">
        <f>M1012-F1012</f>
        <v>196</v>
      </c>
      <c r="O1012" s="110" t="s">
        <v>100</v>
      </c>
      <c r="P1012" s="83"/>
      <c r="Q1012" s="83">
        <f>3114+1152+1239+1512</f>
        <v>7017</v>
      </c>
      <c r="R1012" s="83"/>
      <c r="S1012" s="83">
        <f>1695+1402+1118+2802</f>
        <v>7017</v>
      </c>
      <c r="T1012" s="110">
        <f>S1012-Q1012</f>
        <v>0</v>
      </c>
      <c r="U1012" s="59">
        <f t="shared" si="1322"/>
        <v>38</v>
      </c>
      <c r="V1012" s="83"/>
      <c r="W1012" s="83">
        <f>4238+2741</f>
        <v>6979</v>
      </c>
      <c r="X1012" s="110">
        <f>W1012-M1012</f>
        <v>-38</v>
      </c>
      <c r="Y1012" s="110"/>
      <c r="Z1012" s="110"/>
      <c r="AA1012" s="110"/>
      <c r="AB1012" s="83"/>
      <c r="AC1012" s="106"/>
      <c r="AD1012" s="106"/>
      <c r="AE1012" s="100">
        <f t="shared" si="1323"/>
        <v>2.8734789620290281E-2</v>
      </c>
      <c r="AF1012" s="90"/>
      <c r="AG1012" s="109">
        <f t="shared" si="1324"/>
        <v>0</v>
      </c>
      <c r="AH1012" s="100">
        <f t="shared" si="1325"/>
        <v>2.8734789620290281E-2</v>
      </c>
      <c r="AI1012" s="100">
        <f t="shared" si="1326"/>
        <v>2.3163758979621755E-2</v>
      </c>
    </row>
    <row r="1013" spans="1:35" s="86" customFormat="1" ht="18.75" customHeight="1" x14ac:dyDescent="0.3">
      <c r="A1013" s="106"/>
      <c r="B1013" s="106" t="s">
        <v>52</v>
      </c>
      <c r="C1013" s="118">
        <v>47921</v>
      </c>
      <c r="D1013" s="311"/>
      <c r="E1013" s="157" t="s">
        <v>532</v>
      </c>
      <c r="F1013" s="83">
        <v>1446</v>
      </c>
      <c r="G1013" s="83"/>
      <c r="H1013" s="83"/>
      <c r="I1013" s="83"/>
      <c r="J1013" s="83"/>
      <c r="K1013" s="83"/>
      <c r="L1013" s="83"/>
      <c r="M1013" s="83">
        <f>1506</f>
        <v>1506</v>
      </c>
      <c r="N1013" s="110">
        <f>M1013-F1013</f>
        <v>60</v>
      </c>
      <c r="O1013" s="110" t="s">
        <v>100</v>
      </c>
      <c r="P1013" s="83"/>
      <c r="Q1013" s="83">
        <v>1506</v>
      </c>
      <c r="R1013" s="83"/>
      <c r="S1013" s="83">
        <v>1504</v>
      </c>
      <c r="T1013" s="110">
        <f>S1013-Q1013</f>
        <v>-2</v>
      </c>
      <c r="U1013" s="59">
        <f t="shared" si="1322"/>
        <v>4</v>
      </c>
      <c r="V1013" s="83"/>
      <c r="W1013" s="83">
        <v>1500</v>
      </c>
      <c r="X1013" s="110">
        <f>W1013-M1013</f>
        <v>-6</v>
      </c>
      <c r="Y1013" s="110"/>
      <c r="Z1013" s="110"/>
      <c r="AA1013" s="110"/>
      <c r="AB1013" s="83"/>
      <c r="AC1013" s="106"/>
      <c r="AD1013" s="106"/>
      <c r="AE1013" s="100">
        <f t="shared" si="1323"/>
        <v>4.1493775933609957E-2</v>
      </c>
      <c r="AF1013" s="90"/>
      <c r="AG1013" s="109">
        <f t="shared" si="1324"/>
        <v>0</v>
      </c>
      <c r="AH1013" s="100">
        <f t="shared" si="1325"/>
        <v>4.0110650069156296E-2</v>
      </c>
      <c r="AI1013" s="100">
        <f t="shared" si="1326"/>
        <v>3.7344398340248962E-2</v>
      </c>
    </row>
    <row r="1014" spans="1:35" s="82" customFormat="1" ht="16.5" customHeight="1" x14ac:dyDescent="0.3">
      <c r="A1014" s="90" t="s">
        <v>46</v>
      </c>
      <c r="B1014" s="90" t="s">
        <v>52</v>
      </c>
      <c r="C1014" s="137"/>
      <c r="D1014" s="90"/>
      <c r="E1014" s="80"/>
      <c r="F1014" s="81">
        <f>SUM(F1011:F1013)</f>
        <v>12823</v>
      </c>
      <c r="G1014" s="81"/>
      <c r="H1014" s="81" t="s">
        <v>50</v>
      </c>
      <c r="I1014" s="81"/>
      <c r="J1014" s="81" t="s">
        <v>60</v>
      </c>
      <c r="K1014" s="85" t="s">
        <v>290</v>
      </c>
      <c r="L1014" s="81">
        <f>SUM(L1011:L1013)</f>
        <v>0</v>
      </c>
      <c r="M1014" s="81">
        <f>SUM(M1011:M1013)</f>
        <v>13270</v>
      </c>
      <c r="N1014" s="81">
        <f>SUM(N1011:N1013)</f>
        <v>447</v>
      </c>
      <c r="O1014" s="81" t="s">
        <v>175</v>
      </c>
      <c r="P1014" s="81">
        <f>SUM(P1011:P1013)</f>
        <v>0</v>
      </c>
      <c r="Q1014" s="81">
        <f>SUM(Q1011:Q1013)</f>
        <v>13270</v>
      </c>
      <c r="R1014" s="81">
        <f>SUM(R1011:R1013)</f>
        <v>0</v>
      </c>
      <c r="S1014" s="81">
        <f>SUM(S1011:S1013)</f>
        <v>13268</v>
      </c>
      <c r="T1014" s="81">
        <f>SUM(T1011:T1013)</f>
        <v>-2</v>
      </c>
      <c r="U1014" s="59">
        <f t="shared" si="1322"/>
        <v>62</v>
      </c>
      <c r="V1014" s="81">
        <f>SUM(V1011:V1013)</f>
        <v>0</v>
      </c>
      <c r="W1014" s="81">
        <f>SUM(W1011:W1013)</f>
        <v>13206</v>
      </c>
      <c r="X1014" s="81">
        <f>SUM(X1011:X1013)</f>
        <v>-64</v>
      </c>
      <c r="Y1014" s="81" t="s">
        <v>57</v>
      </c>
      <c r="Z1014" s="110" t="s">
        <v>45</v>
      </c>
      <c r="AA1014" s="110"/>
      <c r="AB1014" s="84"/>
      <c r="AC1014" s="136"/>
      <c r="AD1014" s="136"/>
      <c r="AE1014" s="100">
        <f t="shared" si="1323"/>
        <v>3.4859237307962254E-2</v>
      </c>
      <c r="AF1014" s="90"/>
      <c r="AG1014" s="109">
        <f t="shared" si="1324"/>
        <v>0</v>
      </c>
      <c r="AH1014" s="100">
        <f t="shared" si="1325"/>
        <v>3.4703267566092176E-2</v>
      </c>
      <c r="AI1014" s="100">
        <f t="shared" si="1326"/>
        <v>2.9868205568119786E-2</v>
      </c>
    </row>
    <row r="1015" spans="1:35" s="86" customFormat="1" ht="18.75" customHeight="1" x14ac:dyDescent="0.3">
      <c r="A1015" s="106"/>
      <c r="B1015" s="106" t="s">
        <v>52</v>
      </c>
      <c r="C1015" s="118">
        <v>47922</v>
      </c>
      <c r="D1015" s="310">
        <v>13263839</v>
      </c>
      <c r="E1015" s="157" t="s">
        <v>408</v>
      </c>
      <c r="F1015" s="83">
        <v>4833</v>
      </c>
      <c r="G1015" s="83"/>
      <c r="H1015" s="83"/>
      <c r="I1015" s="83"/>
      <c r="J1015" s="83"/>
      <c r="K1015" s="83"/>
      <c r="L1015" s="83"/>
      <c r="M1015" s="83">
        <f>1472+800+1280+1033+395</f>
        <v>4980</v>
      </c>
      <c r="N1015" s="110">
        <f>M1015-F1015</f>
        <v>147</v>
      </c>
      <c r="O1015" s="110" t="s">
        <v>100</v>
      </c>
      <c r="P1015" s="83"/>
      <c r="Q1015" s="83">
        <f>1472+800+1280+1033+395</f>
        <v>4980</v>
      </c>
      <c r="R1015" s="83"/>
      <c r="S1015" s="83">
        <f>984+1020+1133+1366+39+6+392</f>
        <v>4940</v>
      </c>
      <c r="T1015" s="110">
        <f>S1015-Q1015</f>
        <v>-40</v>
      </c>
      <c r="U1015" s="59">
        <f t="shared" ref="U1015:U1018" si="1332">IF(Q1015&gt;0,S1015-W1015,M1015-W1015)</f>
        <v>0</v>
      </c>
      <c r="V1015" s="83"/>
      <c r="W1015" s="83">
        <f>2551+1997+392</f>
        <v>4940</v>
      </c>
      <c r="X1015" s="110">
        <f>W1015-M1015</f>
        <v>-40</v>
      </c>
      <c r="Y1015" s="110"/>
      <c r="Z1015" s="110"/>
      <c r="AA1015" s="110"/>
      <c r="AB1015" s="83"/>
      <c r="AC1015" s="106"/>
      <c r="AD1015" s="106"/>
      <c r="AE1015" s="100">
        <f t="shared" ref="AE1015:AE1018" si="1333">N1015/F1015</f>
        <v>3.0415890751086281E-2</v>
      </c>
      <c r="AF1015" s="90"/>
      <c r="AG1015" s="109">
        <f t="shared" ref="AG1015:AG1018" si="1334">IF(N1015&lt;0,N1015,0)</f>
        <v>0</v>
      </c>
      <c r="AH1015" s="100">
        <f t="shared" ref="AH1015:AH1018" si="1335">(S1015-F1015)/F1015</f>
        <v>2.2139457893647838E-2</v>
      </c>
      <c r="AI1015" s="100">
        <f t="shared" ref="AI1015:AI1018" si="1336">(W1015-F1015)/F1015</f>
        <v>2.2139457893647838E-2</v>
      </c>
    </row>
    <row r="1016" spans="1:35" s="86" customFormat="1" ht="18.75" customHeight="1" x14ac:dyDescent="0.3">
      <c r="A1016" s="106"/>
      <c r="B1016" s="106" t="s">
        <v>52</v>
      </c>
      <c r="C1016" s="118">
        <v>47922</v>
      </c>
      <c r="D1016" s="311"/>
      <c r="E1016" s="157" t="s">
        <v>451</v>
      </c>
      <c r="F1016" s="83">
        <v>1354</v>
      </c>
      <c r="G1016" s="83"/>
      <c r="H1016" s="83"/>
      <c r="I1016" s="83"/>
      <c r="J1016" s="83"/>
      <c r="K1016" s="83"/>
      <c r="L1016" s="83"/>
      <c r="M1016" s="83">
        <f>1410</f>
        <v>1410</v>
      </c>
      <c r="N1016" s="110">
        <f>M1016-F1016</f>
        <v>56</v>
      </c>
      <c r="O1016" s="110" t="s">
        <v>100</v>
      </c>
      <c r="P1016" s="83"/>
      <c r="Q1016" s="83">
        <f>1410</f>
        <v>1410</v>
      </c>
      <c r="R1016" s="83"/>
      <c r="S1016" s="83">
        <f>1367+43</f>
        <v>1410</v>
      </c>
      <c r="T1016" s="110">
        <f>S1016-Q1016</f>
        <v>0</v>
      </c>
      <c r="U1016" s="59">
        <f t="shared" ref="U1016" si="1337">IF(Q1016&gt;0,S1016-W1016,M1016-W1016)</f>
        <v>19</v>
      </c>
      <c r="V1016" s="83"/>
      <c r="W1016" s="83">
        <v>1391</v>
      </c>
      <c r="X1016" s="110">
        <f>W1016-M1016</f>
        <v>-19</v>
      </c>
      <c r="Y1016" s="110"/>
      <c r="Z1016" s="110"/>
      <c r="AA1016" s="110"/>
      <c r="AB1016" s="83"/>
      <c r="AC1016" s="106"/>
      <c r="AD1016" s="106"/>
      <c r="AE1016" s="100">
        <f t="shared" ref="AE1016" si="1338">N1016/F1016</f>
        <v>4.1358936484490398E-2</v>
      </c>
      <c r="AF1016" s="90"/>
      <c r="AG1016" s="109">
        <f t="shared" ref="AG1016" si="1339">IF(N1016&lt;0,N1016,0)</f>
        <v>0</v>
      </c>
      <c r="AH1016" s="100">
        <f t="shared" ref="AH1016" si="1340">(S1016-F1016)/F1016</f>
        <v>4.1358936484490398E-2</v>
      </c>
      <c r="AI1016" s="100">
        <f t="shared" ref="AI1016" si="1341">(W1016-F1016)/F1016</f>
        <v>2.7326440177252585E-2</v>
      </c>
    </row>
    <row r="1017" spans="1:35" s="86" customFormat="1" ht="18.75" customHeight="1" x14ac:dyDescent="0.3">
      <c r="A1017" s="106"/>
      <c r="B1017" s="106" t="s">
        <v>52</v>
      </c>
      <c r="C1017" s="118">
        <v>47922</v>
      </c>
      <c r="D1017" s="311"/>
      <c r="E1017" s="157" t="s">
        <v>452</v>
      </c>
      <c r="F1017" s="83">
        <v>5473</v>
      </c>
      <c r="G1017" s="83"/>
      <c r="H1017" s="83"/>
      <c r="I1017" s="83"/>
      <c r="J1017" s="83"/>
      <c r="K1017" s="83"/>
      <c r="L1017" s="83"/>
      <c r="M1017" s="83">
        <f>5040+472+72+30</f>
        <v>5614</v>
      </c>
      <c r="N1017" s="110">
        <f>M1017-F1017</f>
        <v>141</v>
      </c>
      <c r="O1017" s="110" t="s">
        <v>100</v>
      </c>
      <c r="P1017" s="83"/>
      <c r="Q1017" s="83">
        <f>5040+472+72+30</f>
        <v>5614</v>
      </c>
      <c r="R1017" s="83"/>
      <c r="S1017" s="83">
        <f>1452+1193+625+2108+99+71+16</f>
        <v>5564</v>
      </c>
      <c r="T1017" s="110">
        <f>S1017-Q1017</f>
        <v>-50</v>
      </c>
      <c r="U1017" s="59">
        <f t="shared" si="1332"/>
        <v>0</v>
      </c>
      <c r="V1017" s="83"/>
      <c r="W1017" s="83">
        <f>3003+2205+326+30</f>
        <v>5564</v>
      </c>
      <c r="X1017" s="110">
        <f>W1017-M1017</f>
        <v>-50</v>
      </c>
      <c r="Y1017" s="110"/>
      <c r="Z1017" s="110"/>
      <c r="AA1017" s="110"/>
      <c r="AB1017" s="83"/>
      <c r="AC1017" s="106"/>
      <c r="AD1017" s="106"/>
      <c r="AE1017" s="100">
        <f t="shared" si="1333"/>
        <v>2.5762835739082768E-2</v>
      </c>
      <c r="AF1017" s="90"/>
      <c r="AG1017" s="109">
        <f t="shared" si="1334"/>
        <v>0</v>
      </c>
      <c r="AH1017" s="100">
        <f t="shared" si="1335"/>
        <v>1.66270783847981E-2</v>
      </c>
      <c r="AI1017" s="100">
        <f t="shared" si="1336"/>
        <v>1.66270783847981E-2</v>
      </c>
    </row>
    <row r="1018" spans="1:35" s="82" customFormat="1" ht="16.5" customHeight="1" x14ac:dyDescent="0.3">
      <c r="A1018" s="90" t="s">
        <v>46</v>
      </c>
      <c r="B1018" s="90" t="s">
        <v>52</v>
      </c>
      <c r="C1018" s="137"/>
      <c r="D1018" s="90"/>
      <c r="E1018" s="80"/>
      <c r="F1018" s="81">
        <f>SUM(F1015:F1017)</f>
        <v>11660</v>
      </c>
      <c r="G1018" s="81"/>
      <c r="H1018" s="81" t="s">
        <v>50</v>
      </c>
      <c r="I1018" s="81"/>
      <c r="J1018" s="81" t="s">
        <v>60</v>
      </c>
      <c r="K1018" s="85" t="s">
        <v>290</v>
      </c>
      <c r="L1018" s="81">
        <f>SUM(L1015:L1017)</f>
        <v>0</v>
      </c>
      <c r="M1018" s="81">
        <f>SUM(M1015:M1017)</f>
        <v>12004</v>
      </c>
      <c r="N1018" s="81">
        <f>SUM(N1015:N1017)</f>
        <v>344</v>
      </c>
      <c r="O1018" s="81" t="s">
        <v>668</v>
      </c>
      <c r="P1018" s="81">
        <f>SUM(P1015:P1017)</f>
        <v>0</v>
      </c>
      <c r="Q1018" s="81">
        <f>SUM(Q1015:Q1017)</f>
        <v>12004</v>
      </c>
      <c r="R1018" s="81">
        <f>SUM(R1015:R1017)</f>
        <v>0</v>
      </c>
      <c r="S1018" s="81">
        <f>SUM(S1015:S1017)</f>
        <v>11914</v>
      </c>
      <c r="T1018" s="81">
        <f>SUM(T1015:T1017)</f>
        <v>-90</v>
      </c>
      <c r="U1018" s="59">
        <f t="shared" si="1332"/>
        <v>19</v>
      </c>
      <c r="V1018" s="81">
        <f>SUM(V1015:V1017)</f>
        <v>0</v>
      </c>
      <c r="W1018" s="81">
        <f>SUM(W1015:W1017)</f>
        <v>11895</v>
      </c>
      <c r="X1018" s="81">
        <f>SUM(X1015:X1017)</f>
        <v>-109</v>
      </c>
      <c r="Y1018" s="81" t="s">
        <v>57</v>
      </c>
      <c r="Z1018" s="110" t="s">
        <v>45</v>
      </c>
      <c r="AA1018" s="110"/>
      <c r="AB1018" s="84"/>
      <c r="AC1018" s="136"/>
      <c r="AD1018" s="136"/>
      <c r="AE1018" s="100">
        <f t="shared" si="1333"/>
        <v>2.9502572898799314E-2</v>
      </c>
      <c r="AF1018" s="90"/>
      <c r="AG1018" s="109">
        <f t="shared" si="1334"/>
        <v>0</v>
      </c>
      <c r="AH1018" s="100">
        <f t="shared" si="1335"/>
        <v>2.1783876500857634E-2</v>
      </c>
      <c r="AI1018" s="100">
        <f t="shared" si="1336"/>
        <v>2.0154373927958835E-2</v>
      </c>
    </row>
    <row r="1019" spans="1:35" s="86" customFormat="1" ht="18.75" customHeight="1" x14ac:dyDescent="0.3">
      <c r="A1019" s="106"/>
      <c r="B1019" s="106" t="s">
        <v>52</v>
      </c>
      <c r="C1019" s="118">
        <v>47924</v>
      </c>
      <c r="D1019" s="310">
        <v>13264822</v>
      </c>
      <c r="E1019" s="157" t="s">
        <v>532</v>
      </c>
      <c r="F1019" s="83">
        <v>2085</v>
      </c>
      <c r="G1019" s="83"/>
      <c r="H1019" s="83"/>
      <c r="I1019" s="83"/>
      <c r="J1019" s="83"/>
      <c r="K1019" s="83"/>
      <c r="L1019" s="83"/>
      <c r="M1019" s="83">
        <f>794+1360</f>
        <v>2154</v>
      </c>
      <c r="N1019" s="110">
        <f>M1019-F1019</f>
        <v>69</v>
      </c>
      <c r="O1019" s="110" t="s">
        <v>100</v>
      </c>
      <c r="P1019" s="83"/>
      <c r="Q1019" s="83">
        <v>2154</v>
      </c>
      <c r="R1019" s="83"/>
      <c r="S1019" s="83">
        <f>830+792+532</f>
        <v>2154</v>
      </c>
      <c r="T1019" s="110">
        <f>S1019-Q1019</f>
        <v>0</v>
      </c>
      <c r="U1019" s="59">
        <f t="shared" si="1322"/>
        <v>5</v>
      </c>
      <c r="V1019" s="83"/>
      <c r="W1019" s="83">
        <f>2149</f>
        <v>2149</v>
      </c>
      <c r="X1019" s="110">
        <f>W1019-M1019</f>
        <v>-5</v>
      </c>
      <c r="Y1019" s="110"/>
      <c r="Z1019" s="110"/>
      <c r="AA1019" s="110"/>
      <c r="AB1019" s="83"/>
      <c r="AC1019" s="106"/>
      <c r="AD1019" s="106"/>
      <c r="AE1019" s="100">
        <f t="shared" si="1323"/>
        <v>3.3093525179856115E-2</v>
      </c>
      <c r="AF1019" s="90"/>
      <c r="AG1019" s="109">
        <f t="shared" si="1324"/>
        <v>0</v>
      </c>
      <c r="AH1019" s="100">
        <f t="shared" si="1325"/>
        <v>3.3093525179856115E-2</v>
      </c>
      <c r="AI1019" s="100">
        <f t="shared" si="1326"/>
        <v>3.0695443645083934E-2</v>
      </c>
    </row>
    <row r="1020" spans="1:35" s="86" customFormat="1" ht="18.75" customHeight="1" x14ac:dyDescent="0.3">
      <c r="A1020" s="106"/>
      <c r="B1020" s="106" t="s">
        <v>52</v>
      </c>
      <c r="C1020" s="118">
        <v>47924</v>
      </c>
      <c r="D1020" s="311"/>
      <c r="E1020" s="157" t="s">
        <v>164</v>
      </c>
      <c r="F1020" s="83">
        <v>2085</v>
      </c>
      <c r="G1020" s="83"/>
      <c r="H1020" s="83"/>
      <c r="I1020" s="83"/>
      <c r="J1020" s="83"/>
      <c r="K1020" s="83"/>
      <c r="L1020" s="83"/>
      <c r="M1020" s="83">
        <f>85+794+1378</f>
        <v>2257</v>
      </c>
      <c r="N1020" s="110">
        <f>M1020-F1020</f>
        <v>172</v>
      </c>
      <c r="O1020" s="110" t="s">
        <v>100</v>
      </c>
      <c r="P1020" s="83"/>
      <c r="Q1020" s="83">
        <f>85+2172</f>
        <v>2257</v>
      </c>
      <c r="R1020" s="83"/>
      <c r="S1020" s="83">
        <v>2169</v>
      </c>
      <c r="T1020" s="110">
        <f>S1020-Q1020</f>
        <v>-88</v>
      </c>
      <c r="U1020" s="59">
        <f t="shared" si="1322"/>
        <v>8</v>
      </c>
      <c r="V1020" s="83"/>
      <c r="W1020" s="83">
        <v>2161</v>
      </c>
      <c r="X1020" s="110">
        <f>W1020-M1020</f>
        <v>-96</v>
      </c>
      <c r="Y1020" s="110"/>
      <c r="Z1020" s="110"/>
      <c r="AA1020" s="110"/>
      <c r="AB1020" s="83"/>
      <c r="AC1020" s="106"/>
      <c r="AD1020" s="106"/>
      <c r="AE1020" s="100">
        <f t="shared" si="1323"/>
        <v>8.2494004796163076E-2</v>
      </c>
      <c r="AF1020" s="90"/>
      <c r="AG1020" s="109">
        <f t="shared" si="1324"/>
        <v>0</v>
      </c>
      <c r="AH1020" s="100">
        <f t="shared" si="1325"/>
        <v>4.0287769784172658E-2</v>
      </c>
      <c r="AI1020" s="100">
        <f t="shared" si="1326"/>
        <v>3.6450839328537168E-2</v>
      </c>
    </row>
    <row r="1021" spans="1:35" s="82" customFormat="1" ht="16.5" customHeight="1" x14ac:dyDescent="0.3">
      <c r="A1021" s="90" t="s">
        <v>46</v>
      </c>
      <c r="B1021" s="90" t="s">
        <v>52</v>
      </c>
      <c r="C1021" s="137"/>
      <c r="D1021" s="90"/>
      <c r="E1021" s="80"/>
      <c r="F1021" s="81">
        <f>SUM(F1019:F1020)</f>
        <v>4170</v>
      </c>
      <c r="G1021" s="81"/>
      <c r="H1021" s="81" t="s">
        <v>50</v>
      </c>
      <c r="I1021" s="81"/>
      <c r="J1021" s="81" t="s">
        <v>60</v>
      </c>
      <c r="K1021" s="85" t="s">
        <v>283</v>
      </c>
      <c r="L1021" s="81">
        <f>SUM(L1019:L1020)</f>
        <v>0</v>
      </c>
      <c r="M1021" s="81">
        <f>SUM(M1019:M1020)</f>
        <v>4411</v>
      </c>
      <c r="N1021" s="81">
        <f>SUM(N1019:N1020)</f>
        <v>241</v>
      </c>
      <c r="O1021" s="81" t="s">
        <v>175</v>
      </c>
      <c r="P1021" s="81">
        <f>SUM(P1019:P1020)</f>
        <v>0</v>
      </c>
      <c r="Q1021" s="81">
        <f>SUM(Q1019:Q1020)</f>
        <v>4411</v>
      </c>
      <c r="R1021" s="81">
        <f>SUM(R1019:R1020)</f>
        <v>0</v>
      </c>
      <c r="S1021" s="81">
        <f>SUM(S1019:S1020)</f>
        <v>4323</v>
      </c>
      <c r="T1021" s="81">
        <f>SUM(T1019:T1020)</f>
        <v>-88</v>
      </c>
      <c r="U1021" s="59">
        <f t="shared" si="1322"/>
        <v>13</v>
      </c>
      <c r="V1021" s="81">
        <f>SUM(V1019:V1020)</f>
        <v>0</v>
      </c>
      <c r="W1021" s="81">
        <f>SUM(W1019:W1020)</f>
        <v>4310</v>
      </c>
      <c r="X1021" s="81">
        <f>SUM(X1019:X1020)</f>
        <v>-101</v>
      </c>
      <c r="Y1021" s="81" t="s">
        <v>57</v>
      </c>
      <c r="Z1021" s="110" t="s">
        <v>45</v>
      </c>
      <c r="AA1021" s="110"/>
      <c r="AB1021" s="84"/>
      <c r="AC1021" s="136"/>
      <c r="AD1021" s="136"/>
      <c r="AE1021" s="100">
        <f t="shared" si="1323"/>
        <v>5.7793764988009595E-2</v>
      </c>
      <c r="AF1021" s="90"/>
      <c r="AG1021" s="109">
        <f t="shared" si="1324"/>
        <v>0</v>
      </c>
      <c r="AH1021" s="100">
        <f t="shared" si="1325"/>
        <v>3.6690647482014387E-2</v>
      </c>
      <c r="AI1021" s="100">
        <f t="shared" si="1326"/>
        <v>3.3573141486810551E-2</v>
      </c>
    </row>
    <row r="1022" spans="1:35" s="86" customFormat="1" ht="18.75" customHeight="1" x14ac:dyDescent="0.3">
      <c r="A1022" s="106"/>
      <c r="B1022" s="106" t="s">
        <v>52</v>
      </c>
      <c r="C1022" s="118">
        <v>47925</v>
      </c>
      <c r="D1022" s="310">
        <v>13264824</v>
      </c>
      <c r="E1022" s="157" t="s">
        <v>451</v>
      </c>
      <c r="F1022" s="83">
        <v>1839</v>
      </c>
      <c r="G1022" s="83"/>
      <c r="H1022" s="83"/>
      <c r="I1022" s="83"/>
      <c r="J1022" s="83"/>
      <c r="K1022" s="83"/>
      <c r="L1022" s="83"/>
      <c r="M1022" s="83">
        <f>1638+264</f>
        <v>1902</v>
      </c>
      <c r="N1022" s="110">
        <f>M1022-F1022</f>
        <v>63</v>
      </c>
      <c r="O1022" s="110" t="s">
        <v>100</v>
      </c>
      <c r="P1022" s="83"/>
      <c r="Q1022" s="83">
        <v>1902</v>
      </c>
      <c r="R1022" s="83"/>
      <c r="S1022" s="83">
        <f>769+1133</f>
        <v>1902</v>
      </c>
      <c r="T1022" s="110">
        <f>S1022-Q1022</f>
        <v>0</v>
      </c>
      <c r="U1022" s="59">
        <f t="shared" si="1277"/>
        <v>6</v>
      </c>
      <c r="V1022" s="83"/>
      <c r="W1022" s="83">
        <f>1896</f>
        <v>1896</v>
      </c>
      <c r="X1022" s="110">
        <f>W1022-M1022</f>
        <v>-6</v>
      </c>
      <c r="Y1022" s="110"/>
      <c r="Z1022" s="110"/>
      <c r="AA1022" s="110"/>
      <c r="AB1022" s="83"/>
      <c r="AC1022" s="106"/>
      <c r="AD1022" s="106"/>
      <c r="AE1022" s="100">
        <f t="shared" si="1278"/>
        <v>3.4257748776508973E-2</v>
      </c>
      <c r="AF1022" s="90"/>
      <c r="AG1022" s="109">
        <f t="shared" si="1279"/>
        <v>0</v>
      </c>
      <c r="AH1022" s="100">
        <f t="shared" si="1280"/>
        <v>3.4257748776508973E-2</v>
      </c>
      <c r="AI1022" s="100">
        <f t="shared" si="1281"/>
        <v>3.0995106035889071E-2</v>
      </c>
    </row>
    <row r="1023" spans="1:35" s="86" customFormat="1" ht="18.75" customHeight="1" x14ac:dyDescent="0.3">
      <c r="A1023" s="106"/>
      <c r="B1023" s="106" t="s">
        <v>52</v>
      </c>
      <c r="C1023" s="118">
        <v>47925</v>
      </c>
      <c r="D1023" s="311"/>
      <c r="E1023" s="157" t="s">
        <v>452</v>
      </c>
      <c r="F1023" s="83">
        <v>1839</v>
      </c>
      <c r="G1023" s="83"/>
      <c r="H1023" s="83"/>
      <c r="I1023" s="83"/>
      <c r="J1023" s="83"/>
      <c r="K1023" s="83"/>
      <c r="L1023" s="83"/>
      <c r="M1023" s="83">
        <f>819+819+265</f>
        <v>1903</v>
      </c>
      <c r="N1023" s="110">
        <f>M1023-F1023</f>
        <v>64</v>
      </c>
      <c r="O1023" s="110" t="s">
        <v>100</v>
      </c>
      <c r="P1023" s="83"/>
      <c r="Q1023" s="83">
        <f>819+819+265</f>
        <v>1903</v>
      </c>
      <c r="R1023" s="83"/>
      <c r="S1023" s="83">
        <f>819+1084</f>
        <v>1903</v>
      </c>
      <c r="T1023" s="110">
        <f>S1023-Q1023</f>
        <v>0</v>
      </c>
      <c r="U1023" s="59">
        <f t="shared" si="1277"/>
        <v>0</v>
      </c>
      <c r="V1023" s="83"/>
      <c r="W1023" s="83">
        <v>1903</v>
      </c>
      <c r="X1023" s="110">
        <f>W1023-M1023</f>
        <v>0</v>
      </c>
      <c r="Y1023" s="110"/>
      <c r="Z1023" s="110"/>
      <c r="AA1023" s="110"/>
      <c r="AB1023" s="83"/>
      <c r="AC1023" s="106"/>
      <c r="AD1023" s="106"/>
      <c r="AE1023" s="100">
        <f t="shared" si="1278"/>
        <v>3.4801522566612286E-2</v>
      </c>
      <c r="AF1023" s="90"/>
      <c r="AG1023" s="109">
        <f t="shared" si="1279"/>
        <v>0</v>
      </c>
      <c r="AH1023" s="100">
        <f t="shared" si="1280"/>
        <v>3.4801522566612286E-2</v>
      </c>
      <c r="AI1023" s="100">
        <f t="shared" si="1281"/>
        <v>3.4801522566612286E-2</v>
      </c>
    </row>
    <row r="1024" spans="1:35" s="82" customFormat="1" ht="16.5" customHeight="1" x14ac:dyDescent="0.3">
      <c r="A1024" s="90" t="s">
        <v>46</v>
      </c>
      <c r="B1024" s="90" t="s">
        <v>52</v>
      </c>
      <c r="C1024" s="137"/>
      <c r="D1024" s="90"/>
      <c r="E1024" s="80"/>
      <c r="F1024" s="81">
        <f>SUM(F1022:F1023)</f>
        <v>3678</v>
      </c>
      <c r="G1024" s="81"/>
      <c r="H1024" s="81" t="s">
        <v>50</v>
      </c>
      <c r="I1024" s="81"/>
      <c r="J1024" s="81" t="s">
        <v>60</v>
      </c>
      <c r="K1024" s="85" t="s">
        <v>283</v>
      </c>
      <c r="L1024" s="81">
        <f>SUM(L1022:L1023)</f>
        <v>0</v>
      </c>
      <c r="M1024" s="81">
        <f>SUM(M1022:M1023)</f>
        <v>3805</v>
      </c>
      <c r="N1024" s="81">
        <f>SUM(N1022:N1023)</f>
        <v>127</v>
      </c>
      <c r="O1024" s="81" t="s">
        <v>668</v>
      </c>
      <c r="P1024" s="81">
        <f>SUM(P1022:P1023)</f>
        <v>0</v>
      </c>
      <c r="Q1024" s="81">
        <f>SUM(Q1022:Q1023)</f>
        <v>3805</v>
      </c>
      <c r="R1024" s="81">
        <f>SUM(R1022:R1023)</f>
        <v>0</v>
      </c>
      <c r="S1024" s="81">
        <f>SUM(S1022:S1023)</f>
        <v>3805</v>
      </c>
      <c r="T1024" s="81">
        <f>SUM(T1022:T1023)</f>
        <v>0</v>
      </c>
      <c r="U1024" s="59">
        <f t="shared" si="1277"/>
        <v>6</v>
      </c>
      <c r="V1024" s="81">
        <f>SUM(V1022:V1023)</f>
        <v>0</v>
      </c>
      <c r="W1024" s="81">
        <f>SUM(W1022:W1023)</f>
        <v>3799</v>
      </c>
      <c r="X1024" s="81">
        <f>SUM(X1022:X1023)</f>
        <v>-6</v>
      </c>
      <c r="Y1024" s="81" t="s">
        <v>57</v>
      </c>
      <c r="Z1024" s="110" t="s">
        <v>45</v>
      </c>
      <c r="AA1024" s="110"/>
      <c r="AB1024" s="84"/>
      <c r="AC1024" s="136"/>
      <c r="AD1024" s="136"/>
      <c r="AE1024" s="100">
        <f t="shared" si="1278"/>
        <v>3.452963567156063E-2</v>
      </c>
      <c r="AF1024" s="90"/>
      <c r="AG1024" s="109">
        <f t="shared" si="1279"/>
        <v>0</v>
      </c>
      <c r="AH1024" s="100">
        <f t="shared" si="1280"/>
        <v>3.452963567156063E-2</v>
      </c>
      <c r="AI1024" s="100">
        <f t="shared" si="1281"/>
        <v>3.2898314301250682E-2</v>
      </c>
    </row>
    <row r="1025" spans="1:35" s="86" customFormat="1" ht="18.75" customHeight="1" x14ac:dyDescent="0.3">
      <c r="A1025" s="106"/>
      <c r="B1025" s="106" t="s">
        <v>52</v>
      </c>
      <c r="C1025" s="118" t="s">
        <v>359</v>
      </c>
      <c r="D1025" s="310">
        <v>13197665</v>
      </c>
      <c r="E1025" s="157" t="s">
        <v>0</v>
      </c>
      <c r="F1025" s="83">
        <v>2140</v>
      </c>
      <c r="G1025" s="83"/>
      <c r="H1025" s="83"/>
      <c r="I1025" s="83"/>
      <c r="J1025" s="83"/>
      <c r="K1025" s="83"/>
      <c r="L1025" s="83"/>
      <c r="M1025" s="83">
        <f>868+700+624</f>
        <v>2192</v>
      </c>
      <c r="N1025" s="110">
        <f>M1025-F1025</f>
        <v>52</v>
      </c>
      <c r="O1025" s="110" t="s">
        <v>100</v>
      </c>
      <c r="P1025" s="83"/>
      <c r="Q1025" s="83"/>
      <c r="R1025" s="83"/>
      <c r="S1025" s="83"/>
      <c r="T1025" s="110">
        <f>S1025-Q1025</f>
        <v>0</v>
      </c>
      <c r="U1025" s="59">
        <f t="shared" si="1136"/>
        <v>0</v>
      </c>
      <c r="V1025" s="83"/>
      <c r="W1025" s="83">
        <f>624+1568</f>
        <v>2192</v>
      </c>
      <c r="X1025" s="110">
        <f>W1025-M1025</f>
        <v>0</v>
      </c>
      <c r="Y1025" s="110"/>
      <c r="Z1025" s="110"/>
      <c r="AA1025" s="110"/>
      <c r="AB1025" s="83"/>
      <c r="AC1025" s="106"/>
      <c r="AD1025" s="106"/>
      <c r="AE1025" s="100">
        <f t="shared" si="1037"/>
        <v>2.4299065420560748E-2</v>
      </c>
      <c r="AF1025" s="90"/>
      <c r="AG1025" s="109">
        <f t="shared" si="1038"/>
        <v>0</v>
      </c>
      <c r="AH1025" s="100">
        <f t="shared" si="1039"/>
        <v>-1</v>
      </c>
      <c r="AI1025" s="100">
        <f t="shared" si="1040"/>
        <v>2.4299065420560748E-2</v>
      </c>
    </row>
    <row r="1026" spans="1:35" s="86" customFormat="1" ht="18.75" customHeight="1" x14ac:dyDescent="0.3">
      <c r="A1026" s="106"/>
      <c r="B1026" s="106" t="s">
        <v>52</v>
      </c>
      <c r="C1026" s="118" t="s">
        <v>359</v>
      </c>
      <c r="D1026" s="311"/>
      <c r="E1026" s="157" t="s">
        <v>38</v>
      </c>
      <c r="F1026" s="83">
        <v>2180</v>
      </c>
      <c r="G1026" s="83"/>
      <c r="H1026" s="83"/>
      <c r="I1026" s="83"/>
      <c r="J1026" s="83"/>
      <c r="K1026" s="83"/>
      <c r="L1026" s="83"/>
      <c r="M1026" s="83">
        <f>966+488+769+88</f>
        <v>2311</v>
      </c>
      <c r="N1026" s="110">
        <f>M1026-F1026</f>
        <v>131</v>
      </c>
      <c r="O1026" s="110" t="s">
        <v>100</v>
      </c>
      <c r="P1026" s="83"/>
      <c r="Q1026" s="83"/>
      <c r="R1026" s="83"/>
      <c r="S1026" s="83"/>
      <c r="T1026" s="110">
        <f>S1026-Q1026</f>
        <v>0</v>
      </c>
      <c r="U1026" s="59">
        <f t="shared" si="1136"/>
        <v>79</v>
      </c>
      <c r="V1026" s="83"/>
      <c r="W1026" s="83">
        <f>490+1742</f>
        <v>2232</v>
      </c>
      <c r="X1026" s="110">
        <f>W1026-M1026</f>
        <v>-79</v>
      </c>
      <c r="Y1026" s="110"/>
      <c r="Z1026" s="110"/>
      <c r="AA1026" s="110"/>
      <c r="AB1026" s="83"/>
      <c r="AC1026" s="106"/>
      <c r="AD1026" s="106"/>
      <c r="AE1026" s="100">
        <f t="shared" si="1037"/>
        <v>6.0091743119266058E-2</v>
      </c>
      <c r="AF1026" s="90"/>
      <c r="AG1026" s="109">
        <f t="shared" si="1038"/>
        <v>0</v>
      </c>
      <c r="AH1026" s="100">
        <f t="shared" si="1039"/>
        <v>-1</v>
      </c>
      <c r="AI1026" s="100">
        <f t="shared" si="1040"/>
        <v>2.3853211009174313E-2</v>
      </c>
    </row>
    <row r="1027" spans="1:35" s="82" customFormat="1" ht="16.5" customHeight="1" x14ac:dyDescent="0.3">
      <c r="A1027" s="90" t="s">
        <v>46</v>
      </c>
      <c r="B1027" s="90" t="s">
        <v>52</v>
      </c>
      <c r="C1027" s="137"/>
      <c r="D1027" s="90"/>
      <c r="E1027" s="80"/>
      <c r="F1027" s="81">
        <f>SUM(F1025:F1026)</f>
        <v>4320</v>
      </c>
      <c r="G1027" s="81"/>
      <c r="H1027" s="81" t="s">
        <v>50</v>
      </c>
      <c r="I1027" s="81"/>
      <c r="J1027" s="81" t="s">
        <v>60</v>
      </c>
      <c r="K1027" s="85" t="s">
        <v>175</v>
      </c>
      <c r="L1027" s="81">
        <f>SUM(L1025:L1026)</f>
        <v>0</v>
      </c>
      <c r="M1027" s="81">
        <f>SUM(M1025:M1026)</f>
        <v>4503</v>
      </c>
      <c r="N1027" s="81">
        <f>SUM(N1025:N1026)</f>
        <v>183</v>
      </c>
      <c r="O1027" s="81"/>
      <c r="P1027" s="81">
        <f>SUM(P1025:P1026)</f>
        <v>0</v>
      </c>
      <c r="Q1027" s="81">
        <f>SUM(Q1025:Q1026)</f>
        <v>0</v>
      </c>
      <c r="R1027" s="81">
        <f>SUM(R1025:R1026)</f>
        <v>0</v>
      </c>
      <c r="S1027" s="81">
        <f>SUM(S1025:S1026)</f>
        <v>0</v>
      </c>
      <c r="T1027" s="81">
        <f>SUM(T1025:T1026)</f>
        <v>0</v>
      </c>
      <c r="U1027" s="59">
        <f t="shared" si="1136"/>
        <v>79</v>
      </c>
      <c r="V1027" s="81">
        <f>SUM(V1025:V1026)</f>
        <v>0</v>
      </c>
      <c r="W1027" s="81">
        <f>SUM(W1025:W1026)</f>
        <v>4424</v>
      </c>
      <c r="X1027" s="81">
        <f>SUM(X1025:X1026)</f>
        <v>-79</v>
      </c>
      <c r="Y1027" s="81"/>
      <c r="Z1027" s="110"/>
      <c r="AA1027" s="110"/>
      <c r="AB1027" s="84"/>
      <c r="AC1027" s="136"/>
      <c r="AD1027" s="136"/>
      <c r="AE1027" s="100">
        <f t="shared" si="1037"/>
        <v>4.2361111111111113E-2</v>
      </c>
      <c r="AF1027" s="90"/>
      <c r="AG1027" s="109">
        <f t="shared" si="1038"/>
        <v>0</v>
      </c>
      <c r="AH1027" s="100">
        <f t="shared" si="1039"/>
        <v>-1</v>
      </c>
      <c r="AI1027" s="100">
        <f t="shared" si="1040"/>
        <v>2.4074074074074074E-2</v>
      </c>
    </row>
    <row r="1028" spans="1:35" s="86" customFormat="1" ht="18.75" customHeight="1" x14ac:dyDescent="0.3">
      <c r="A1028" s="106"/>
      <c r="B1028" s="106" t="s">
        <v>52</v>
      </c>
      <c r="C1028" s="118">
        <v>48269</v>
      </c>
      <c r="D1028" s="118">
        <v>13265133</v>
      </c>
      <c r="E1028" s="115" t="s">
        <v>407</v>
      </c>
      <c r="F1028" s="83">
        <v>1500</v>
      </c>
      <c r="G1028" s="83"/>
      <c r="H1028" s="83"/>
      <c r="I1028" s="83"/>
      <c r="J1028" s="83"/>
      <c r="K1028" s="83"/>
      <c r="L1028" s="83"/>
      <c r="M1028" s="83">
        <f>663+650+187+57</f>
        <v>1557</v>
      </c>
      <c r="N1028" s="110">
        <f>M1028-F1028</f>
        <v>57</v>
      </c>
      <c r="O1028" s="110" t="s">
        <v>111</v>
      </c>
      <c r="P1028" s="83"/>
      <c r="Q1028" s="83">
        <f>1313+244</f>
        <v>1557</v>
      </c>
      <c r="R1028" s="83"/>
      <c r="S1028" s="83"/>
      <c r="T1028" s="110">
        <f>S1028-Q1028</f>
        <v>-1557</v>
      </c>
      <c r="U1028" s="59">
        <f t="shared" si="1136"/>
        <v>0</v>
      </c>
      <c r="V1028" s="83"/>
      <c r="W1028" s="83"/>
      <c r="X1028" s="110">
        <f>W1028-M1028</f>
        <v>-1557</v>
      </c>
      <c r="Y1028" s="110"/>
      <c r="Z1028" s="110"/>
      <c r="AA1028" s="110"/>
      <c r="AB1028" s="83"/>
      <c r="AC1028" s="106"/>
      <c r="AD1028" s="106"/>
      <c r="AE1028" s="100">
        <f t="shared" ref="AE1028:AE1029" si="1342">N1028/F1028</f>
        <v>3.7999999999999999E-2</v>
      </c>
      <c r="AF1028" s="90"/>
      <c r="AG1028" s="109">
        <f t="shared" ref="AG1028:AG1029" si="1343">IF(N1028&lt;0,N1028,0)</f>
        <v>0</v>
      </c>
      <c r="AH1028" s="100">
        <f t="shared" ref="AH1028:AH1029" si="1344">(S1028-F1028)/F1028</f>
        <v>-1</v>
      </c>
      <c r="AI1028" s="100">
        <f t="shared" ref="AI1028:AI1029" si="1345">(W1028-F1028)/F1028</f>
        <v>-1</v>
      </c>
    </row>
    <row r="1029" spans="1:35" s="82" customFormat="1" ht="16.5" customHeight="1" x14ac:dyDescent="0.3">
      <c r="A1029" s="90" t="s">
        <v>46</v>
      </c>
      <c r="B1029" s="90" t="s">
        <v>52</v>
      </c>
      <c r="C1029" s="101"/>
      <c r="D1029" s="90"/>
      <c r="E1029" s="80"/>
      <c r="F1029" s="81">
        <f>SUM(F1028:F1028)</f>
        <v>1500</v>
      </c>
      <c r="G1029" s="81"/>
      <c r="H1029" s="81" t="s">
        <v>50</v>
      </c>
      <c r="I1029" s="81"/>
      <c r="J1029" s="81" t="s">
        <v>60</v>
      </c>
      <c r="K1029" s="85" t="s">
        <v>226</v>
      </c>
      <c r="L1029" s="81">
        <f>SUM(L1028:L1028)</f>
        <v>0</v>
      </c>
      <c r="M1029" s="81">
        <f>SUM(M1028:M1028)</f>
        <v>1557</v>
      </c>
      <c r="N1029" s="90">
        <f>SUMIF(N1028:N1028,"&lt;0")</f>
        <v>0</v>
      </c>
      <c r="O1029" s="81" t="s">
        <v>808</v>
      </c>
      <c r="P1029" s="81">
        <f>SUM(P1028:P1028)</f>
        <v>0</v>
      </c>
      <c r="Q1029" s="81">
        <f>SUM(Q1028:Q1028)</f>
        <v>1557</v>
      </c>
      <c r="R1029" s="81">
        <f>SUM(R1028:R1028)</f>
        <v>0</v>
      </c>
      <c r="S1029" s="81">
        <f>SUM(S1028:S1028)</f>
        <v>0</v>
      </c>
      <c r="T1029" s="81">
        <f>SUM(T1028:T1028)</f>
        <v>-1557</v>
      </c>
      <c r="U1029" s="59">
        <f t="shared" si="1136"/>
        <v>0</v>
      </c>
      <c r="V1029" s="81">
        <f>SUM(V1028:V1028)</f>
        <v>0</v>
      </c>
      <c r="W1029" s="81">
        <f>SUM(W1028:W1028)</f>
        <v>0</v>
      </c>
      <c r="X1029" s="81">
        <f>SUM(X1028:X1028)</f>
        <v>-1557</v>
      </c>
      <c r="Y1029" s="81" t="s">
        <v>57</v>
      </c>
      <c r="Z1029" s="110" t="s">
        <v>45</v>
      </c>
      <c r="AA1029" s="110"/>
      <c r="AB1029" s="84"/>
      <c r="AC1029" s="63"/>
      <c r="AD1029" s="63"/>
      <c r="AE1029" s="100">
        <f t="shared" si="1342"/>
        <v>0</v>
      </c>
      <c r="AF1029" s="90"/>
      <c r="AG1029" s="109">
        <f t="shared" si="1343"/>
        <v>0</v>
      </c>
      <c r="AH1029" s="100">
        <f t="shared" si="1344"/>
        <v>-1</v>
      </c>
      <c r="AI1029" s="100">
        <f t="shared" si="1345"/>
        <v>-1</v>
      </c>
    </row>
    <row r="1030" spans="1:35" s="86" customFormat="1" ht="18.75" customHeight="1" x14ac:dyDescent="0.3">
      <c r="A1030" s="106"/>
      <c r="B1030" s="106" t="s">
        <v>52</v>
      </c>
      <c r="C1030" s="118">
        <v>47969</v>
      </c>
      <c r="D1030" s="118">
        <v>13264547</v>
      </c>
      <c r="E1030" s="120" t="s">
        <v>452</v>
      </c>
      <c r="F1030" s="83">
        <v>801</v>
      </c>
      <c r="G1030" s="83"/>
      <c r="H1030" s="83"/>
      <c r="I1030" s="83"/>
      <c r="J1030" s="83"/>
      <c r="K1030" s="83"/>
      <c r="L1030" s="83"/>
      <c r="M1030" s="83"/>
      <c r="N1030" s="110">
        <f>M1030-F1030</f>
        <v>-801</v>
      </c>
      <c r="O1030" s="110" t="s">
        <v>111</v>
      </c>
      <c r="P1030" s="83"/>
      <c r="Q1030" s="83"/>
      <c r="R1030" s="83"/>
      <c r="S1030" s="83"/>
      <c r="T1030" s="110">
        <f>S1030-Q1030</f>
        <v>0</v>
      </c>
      <c r="U1030" s="59">
        <f t="shared" si="1136"/>
        <v>0</v>
      </c>
      <c r="V1030" s="83"/>
      <c r="W1030" s="83"/>
      <c r="X1030" s="110">
        <f>W1030-M1030</f>
        <v>0</v>
      </c>
      <c r="Y1030" s="110"/>
      <c r="Z1030" s="110"/>
      <c r="AA1030" s="110"/>
      <c r="AB1030" s="83"/>
      <c r="AC1030" s="106"/>
      <c r="AD1030" s="106"/>
      <c r="AE1030" s="100">
        <f t="shared" ref="AE1030:AE1037" si="1346">N1030/F1030</f>
        <v>-1</v>
      </c>
      <c r="AF1030" s="90"/>
      <c r="AG1030" s="109">
        <f t="shared" ref="AG1030:AG1037" si="1347">IF(N1030&lt;0,N1030,0)</f>
        <v>-801</v>
      </c>
      <c r="AH1030" s="100">
        <f t="shared" ref="AH1030:AH1037" si="1348">(S1030-F1030)/F1030</f>
        <v>-1</v>
      </c>
      <c r="AI1030" s="100">
        <f t="shared" ref="AI1030:AI1037" si="1349">(W1030-F1030)/F1030</f>
        <v>-1</v>
      </c>
    </row>
    <row r="1031" spans="1:35" s="82" customFormat="1" ht="16.5" customHeight="1" x14ac:dyDescent="0.3">
      <c r="A1031" s="90" t="s">
        <v>46</v>
      </c>
      <c r="B1031" s="90" t="s">
        <v>52</v>
      </c>
      <c r="C1031" s="101"/>
      <c r="D1031" s="90"/>
      <c r="E1031" s="80"/>
      <c r="F1031" s="81">
        <f>SUM(F1030:F1030)</f>
        <v>801</v>
      </c>
      <c r="G1031" s="81"/>
      <c r="H1031" s="81" t="s">
        <v>50</v>
      </c>
      <c r="I1031" s="81"/>
      <c r="J1031" s="81"/>
      <c r="K1031" s="85" t="s">
        <v>330</v>
      </c>
      <c r="L1031" s="81">
        <f>SUM(L1030:L1030)</f>
        <v>0</v>
      </c>
      <c r="M1031" s="81">
        <f>SUM(M1030:M1030)</f>
        <v>0</v>
      </c>
      <c r="N1031" s="90">
        <f>SUMIF(N1030:N1030,"&lt;0")</f>
        <v>-801</v>
      </c>
      <c r="O1031" s="81"/>
      <c r="P1031" s="81">
        <f>SUM(P1030:P1030)</f>
        <v>0</v>
      </c>
      <c r="Q1031" s="81">
        <f>SUM(Q1030:Q1030)</f>
        <v>0</v>
      </c>
      <c r="R1031" s="81">
        <f>SUM(R1030:R1030)</f>
        <v>0</v>
      </c>
      <c r="S1031" s="81">
        <f>SUM(S1030:S1030)</f>
        <v>0</v>
      </c>
      <c r="T1031" s="81">
        <f>SUM(T1030:T1030)</f>
        <v>0</v>
      </c>
      <c r="U1031" s="59">
        <f t="shared" si="1136"/>
        <v>0</v>
      </c>
      <c r="V1031" s="81">
        <f>SUM(V1030:V1030)</f>
        <v>0</v>
      </c>
      <c r="W1031" s="81">
        <f>SUM(W1030:W1030)</f>
        <v>0</v>
      </c>
      <c r="X1031" s="81">
        <f>SUM(X1030:X1030)</f>
        <v>0</v>
      </c>
      <c r="Y1031" s="81" t="s">
        <v>47</v>
      </c>
      <c r="Z1031" s="110" t="s">
        <v>45</v>
      </c>
      <c r="AA1031" s="110"/>
      <c r="AB1031" s="84"/>
      <c r="AC1031" s="63"/>
      <c r="AD1031" s="63"/>
      <c r="AE1031" s="100">
        <f t="shared" si="1346"/>
        <v>-1</v>
      </c>
      <c r="AF1031" s="90"/>
      <c r="AG1031" s="109">
        <f t="shared" si="1347"/>
        <v>-801</v>
      </c>
      <c r="AH1031" s="100">
        <f t="shared" si="1348"/>
        <v>-1</v>
      </c>
      <c r="AI1031" s="100">
        <f t="shared" si="1349"/>
        <v>-1</v>
      </c>
    </row>
    <row r="1032" spans="1:35" s="86" customFormat="1" ht="18.75" customHeight="1" x14ac:dyDescent="0.3">
      <c r="A1032" s="106"/>
      <c r="B1032" s="106" t="s">
        <v>52</v>
      </c>
      <c r="C1032" s="118">
        <v>47974</v>
      </c>
      <c r="D1032" s="118">
        <v>13264562</v>
      </c>
      <c r="E1032" s="120" t="s">
        <v>452</v>
      </c>
      <c r="F1032" s="83">
        <v>810</v>
      </c>
      <c r="G1032" s="83"/>
      <c r="H1032" s="83"/>
      <c r="I1032" s="83"/>
      <c r="J1032" s="83"/>
      <c r="K1032" s="83"/>
      <c r="L1032" s="83"/>
      <c r="M1032" s="83"/>
      <c r="N1032" s="110">
        <f>M1032-F1032</f>
        <v>-810</v>
      </c>
      <c r="O1032" s="110" t="s">
        <v>111</v>
      </c>
      <c r="P1032" s="83"/>
      <c r="Q1032" s="83"/>
      <c r="R1032" s="83"/>
      <c r="S1032" s="83"/>
      <c r="T1032" s="110">
        <f>S1032-Q1032</f>
        <v>0</v>
      </c>
      <c r="U1032" s="59">
        <f t="shared" si="1136"/>
        <v>0</v>
      </c>
      <c r="V1032" s="83"/>
      <c r="W1032" s="83"/>
      <c r="X1032" s="110">
        <f>W1032-M1032</f>
        <v>0</v>
      </c>
      <c r="Y1032" s="110"/>
      <c r="Z1032" s="110"/>
      <c r="AA1032" s="110"/>
      <c r="AB1032" s="83"/>
      <c r="AC1032" s="106"/>
      <c r="AD1032" s="106"/>
      <c r="AE1032" s="100">
        <f t="shared" si="1346"/>
        <v>-1</v>
      </c>
      <c r="AF1032" s="90"/>
      <c r="AG1032" s="109">
        <f t="shared" si="1347"/>
        <v>-810</v>
      </c>
      <c r="AH1032" s="100">
        <f t="shared" si="1348"/>
        <v>-1</v>
      </c>
      <c r="AI1032" s="100">
        <f t="shared" si="1349"/>
        <v>-1</v>
      </c>
    </row>
    <row r="1033" spans="1:35" s="82" customFormat="1" ht="16.5" customHeight="1" x14ac:dyDescent="0.3">
      <c r="A1033" s="90" t="s">
        <v>46</v>
      </c>
      <c r="B1033" s="90" t="s">
        <v>52</v>
      </c>
      <c r="C1033" s="137"/>
      <c r="D1033" s="90"/>
      <c r="E1033" s="80"/>
      <c r="F1033" s="81">
        <f>SUM(F1032:F1032)</f>
        <v>810</v>
      </c>
      <c r="G1033" s="81"/>
      <c r="H1033" s="81" t="s">
        <v>50</v>
      </c>
      <c r="I1033" s="81"/>
      <c r="J1033" s="81"/>
      <c r="K1033" s="85" t="s">
        <v>330</v>
      </c>
      <c r="L1033" s="81">
        <f>SUM(L1032:L1032)</f>
        <v>0</v>
      </c>
      <c r="M1033" s="81">
        <f>SUM(M1032:M1032)</f>
        <v>0</v>
      </c>
      <c r="N1033" s="90">
        <f>SUMIF(N1032:N1032,"&lt;0")</f>
        <v>-810</v>
      </c>
      <c r="O1033" s="81"/>
      <c r="P1033" s="81">
        <f>SUM(P1032:P1032)</f>
        <v>0</v>
      </c>
      <c r="Q1033" s="81">
        <f>SUM(Q1032:Q1032)</f>
        <v>0</v>
      </c>
      <c r="R1033" s="81">
        <f>SUM(R1032:R1032)</f>
        <v>0</v>
      </c>
      <c r="S1033" s="81">
        <f>SUM(S1032:S1032)</f>
        <v>0</v>
      </c>
      <c r="T1033" s="81">
        <f>SUM(T1032:T1032)</f>
        <v>0</v>
      </c>
      <c r="U1033" s="59">
        <f t="shared" si="1136"/>
        <v>0</v>
      </c>
      <c r="V1033" s="81">
        <f>SUM(V1032:V1032)</f>
        <v>0</v>
      </c>
      <c r="W1033" s="81">
        <f>SUM(W1032:W1032)</f>
        <v>0</v>
      </c>
      <c r="X1033" s="81">
        <f>SUM(X1032:X1032)</f>
        <v>0</v>
      </c>
      <c r="Y1033" s="81"/>
      <c r="Z1033" s="110"/>
      <c r="AA1033" s="110"/>
      <c r="AB1033" s="84"/>
      <c r="AC1033" s="136"/>
      <c r="AD1033" s="136"/>
      <c r="AE1033" s="100">
        <f t="shared" si="1346"/>
        <v>-1</v>
      </c>
      <c r="AF1033" s="90"/>
      <c r="AG1033" s="109">
        <f t="shared" si="1347"/>
        <v>-810</v>
      </c>
      <c r="AH1033" s="100">
        <f t="shared" si="1348"/>
        <v>-1</v>
      </c>
      <c r="AI1033" s="100">
        <f t="shared" si="1349"/>
        <v>-1</v>
      </c>
    </row>
    <row r="1034" spans="1:35" s="86" customFormat="1" ht="18.75" customHeight="1" x14ac:dyDescent="0.3">
      <c r="A1034" s="106"/>
      <c r="B1034" s="106" t="s">
        <v>52</v>
      </c>
      <c r="C1034" s="118">
        <v>47988</v>
      </c>
      <c r="D1034" s="310">
        <v>13263822</v>
      </c>
      <c r="E1034" s="120" t="s">
        <v>408</v>
      </c>
      <c r="F1034" s="83">
        <v>1222</v>
      </c>
      <c r="G1034" s="83"/>
      <c r="H1034" s="83"/>
      <c r="I1034" s="83"/>
      <c r="J1034" s="83"/>
      <c r="K1034" s="83"/>
      <c r="L1034" s="83"/>
      <c r="M1034" s="83">
        <f>1279</f>
        <v>1279</v>
      </c>
      <c r="N1034" s="110">
        <f>M1034-F1034</f>
        <v>57</v>
      </c>
      <c r="O1034" s="110" t="s">
        <v>111</v>
      </c>
      <c r="P1034" s="83"/>
      <c r="Q1034" s="83">
        <v>1273</v>
      </c>
      <c r="R1034" s="83"/>
      <c r="S1034" s="83">
        <v>1256</v>
      </c>
      <c r="T1034" s="110">
        <f>S1034-Q1034</f>
        <v>-17</v>
      </c>
      <c r="U1034" s="59">
        <f t="shared" si="1136"/>
        <v>0</v>
      </c>
      <c r="V1034" s="83"/>
      <c r="W1034" s="83">
        <f>1256</f>
        <v>1256</v>
      </c>
      <c r="X1034" s="110">
        <f>W1034-M1034</f>
        <v>-23</v>
      </c>
      <c r="Y1034" s="110"/>
      <c r="Z1034" s="110"/>
      <c r="AA1034" s="110"/>
      <c r="AB1034" s="83"/>
      <c r="AC1034" s="106"/>
      <c r="AD1034" s="106"/>
      <c r="AE1034" s="100">
        <f t="shared" si="1346"/>
        <v>4.6644844517184945E-2</v>
      </c>
      <c r="AF1034" s="90"/>
      <c r="AG1034" s="109">
        <f t="shared" si="1347"/>
        <v>0</v>
      </c>
      <c r="AH1034" s="100">
        <f t="shared" si="1348"/>
        <v>2.7823240589198037E-2</v>
      </c>
      <c r="AI1034" s="100">
        <f t="shared" si="1349"/>
        <v>2.7823240589198037E-2</v>
      </c>
    </row>
    <row r="1035" spans="1:35" s="86" customFormat="1" ht="18.75" customHeight="1" x14ac:dyDescent="0.3">
      <c r="A1035" s="106"/>
      <c r="B1035" s="106" t="s">
        <v>52</v>
      </c>
      <c r="C1035" s="118">
        <v>47988</v>
      </c>
      <c r="D1035" s="326"/>
      <c r="E1035" s="120" t="s">
        <v>452</v>
      </c>
      <c r="F1035" s="83">
        <v>1209</v>
      </c>
      <c r="G1035" s="83"/>
      <c r="H1035" s="83"/>
      <c r="I1035" s="83"/>
      <c r="J1035" s="83"/>
      <c r="K1035" s="83"/>
      <c r="L1035" s="83"/>
      <c r="M1035" s="83">
        <f>800+468</f>
        <v>1268</v>
      </c>
      <c r="N1035" s="110">
        <f>M1035-F1035</f>
        <v>59</v>
      </c>
      <c r="O1035" s="110" t="s">
        <v>111</v>
      </c>
      <c r="P1035" s="83"/>
      <c r="Q1035" s="83">
        <f>794+464</f>
        <v>1258</v>
      </c>
      <c r="R1035" s="83"/>
      <c r="S1035" s="83">
        <v>1248</v>
      </c>
      <c r="T1035" s="110">
        <f>S1035-Q1035</f>
        <v>-10</v>
      </c>
      <c r="U1035" s="59">
        <f t="shared" ref="U1035:U1036" si="1350">IF(Q1035&gt;0,S1035-W1035,M1035-W1035)</f>
        <v>0</v>
      </c>
      <c r="V1035" s="83"/>
      <c r="W1035" s="83">
        <f>1248</f>
        <v>1248</v>
      </c>
      <c r="X1035" s="110">
        <f>W1035-M1035</f>
        <v>-20</v>
      </c>
      <c r="Y1035" s="110"/>
      <c r="Z1035" s="110"/>
      <c r="AA1035" s="110"/>
      <c r="AB1035" s="83"/>
      <c r="AC1035" s="106"/>
      <c r="AD1035" s="106"/>
      <c r="AE1035" s="100">
        <f t="shared" ref="AE1035:AE1036" si="1351">N1035/F1035</f>
        <v>4.8800661703887513E-2</v>
      </c>
      <c r="AF1035" s="90"/>
      <c r="AG1035" s="109">
        <f t="shared" ref="AG1035:AG1036" si="1352">IF(N1035&lt;0,N1035,0)</f>
        <v>0</v>
      </c>
      <c r="AH1035" s="100">
        <f t="shared" ref="AH1035:AH1036" si="1353">(S1035-F1035)/F1035</f>
        <v>3.2258064516129031E-2</v>
      </c>
      <c r="AI1035" s="100">
        <f t="shared" ref="AI1035:AI1036" si="1354">(W1035-F1035)/F1035</f>
        <v>3.2258064516129031E-2</v>
      </c>
    </row>
    <row r="1036" spans="1:35" s="82" customFormat="1" ht="16.5" customHeight="1" x14ac:dyDescent="0.3">
      <c r="A1036" s="90" t="s">
        <v>46</v>
      </c>
      <c r="B1036" s="90" t="s">
        <v>52</v>
      </c>
      <c r="C1036" s="137"/>
      <c r="D1036" s="90"/>
      <c r="E1036" s="80"/>
      <c r="F1036" s="81">
        <f>SUM(F1034:F1035)</f>
        <v>2431</v>
      </c>
      <c r="G1036" s="81"/>
      <c r="H1036" s="81" t="s">
        <v>50</v>
      </c>
      <c r="I1036" s="81"/>
      <c r="J1036" s="81" t="s">
        <v>60</v>
      </c>
      <c r="K1036" s="85" t="s">
        <v>340</v>
      </c>
      <c r="L1036" s="81">
        <f>SUM(L1034:L1035)</f>
        <v>0</v>
      </c>
      <c r="M1036" s="81">
        <f t="shared" ref="M1036:X1036" si="1355">SUM(M1034:M1035)</f>
        <v>2547</v>
      </c>
      <c r="N1036" s="81">
        <f t="shared" si="1355"/>
        <v>116</v>
      </c>
      <c r="O1036" s="81" t="s">
        <v>935</v>
      </c>
      <c r="P1036" s="81">
        <f t="shared" si="1355"/>
        <v>0</v>
      </c>
      <c r="Q1036" s="81">
        <f t="shared" si="1355"/>
        <v>2531</v>
      </c>
      <c r="R1036" s="81">
        <f t="shared" si="1355"/>
        <v>0</v>
      </c>
      <c r="S1036" s="81">
        <f t="shared" si="1355"/>
        <v>2504</v>
      </c>
      <c r="T1036" s="81">
        <f t="shared" si="1355"/>
        <v>-27</v>
      </c>
      <c r="U1036" s="59">
        <f t="shared" si="1350"/>
        <v>0</v>
      </c>
      <c r="V1036" s="81">
        <f t="shared" si="1355"/>
        <v>0</v>
      </c>
      <c r="W1036" s="81">
        <f t="shared" si="1355"/>
        <v>2504</v>
      </c>
      <c r="X1036" s="81">
        <f t="shared" si="1355"/>
        <v>-43</v>
      </c>
      <c r="Y1036" s="81" t="s">
        <v>48</v>
      </c>
      <c r="Z1036" s="110" t="s">
        <v>45</v>
      </c>
      <c r="AA1036" s="110"/>
      <c r="AB1036" s="84"/>
      <c r="AC1036" s="136"/>
      <c r="AD1036" s="136"/>
      <c r="AE1036" s="100">
        <f t="shared" si="1351"/>
        <v>4.7716988893459482E-2</v>
      </c>
      <c r="AF1036" s="90"/>
      <c r="AG1036" s="109">
        <f t="shared" si="1352"/>
        <v>0</v>
      </c>
      <c r="AH1036" s="100">
        <f t="shared" si="1353"/>
        <v>3.0028794734677088E-2</v>
      </c>
      <c r="AI1036" s="100">
        <f t="shared" si="1354"/>
        <v>3.0028794734677088E-2</v>
      </c>
    </row>
    <row r="1037" spans="1:35" s="86" customFormat="1" ht="18.75" customHeight="1" x14ac:dyDescent="0.3">
      <c r="A1037" s="106"/>
      <c r="B1037" s="106" t="s">
        <v>52</v>
      </c>
      <c r="C1037" s="118">
        <v>47964</v>
      </c>
      <c r="D1037" s="174">
        <v>13245644</v>
      </c>
      <c r="E1037" s="120" t="s">
        <v>228</v>
      </c>
      <c r="F1037" s="83">
        <v>795</v>
      </c>
      <c r="G1037" s="83"/>
      <c r="H1037" s="83"/>
      <c r="I1037" s="83"/>
      <c r="J1037" s="83"/>
      <c r="K1037" s="83"/>
      <c r="L1037" s="83"/>
      <c r="M1037" s="83">
        <f>364+462</f>
        <v>826</v>
      </c>
      <c r="N1037" s="110">
        <f>M1037-F1037</f>
        <v>31</v>
      </c>
      <c r="O1037" s="110" t="s">
        <v>111</v>
      </c>
      <c r="P1037" s="83"/>
      <c r="Q1037" s="83"/>
      <c r="R1037" s="83"/>
      <c r="S1037" s="83"/>
      <c r="T1037" s="110">
        <f>S1037-Q1037</f>
        <v>0</v>
      </c>
      <c r="U1037" s="59">
        <f t="shared" si="1136"/>
        <v>826</v>
      </c>
      <c r="V1037" s="83"/>
      <c r="W1037" s="83"/>
      <c r="X1037" s="110">
        <f>W1037-M1037</f>
        <v>-826</v>
      </c>
      <c r="Y1037" s="110"/>
      <c r="Z1037" s="110"/>
      <c r="AA1037" s="110"/>
      <c r="AB1037" s="83"/>
      <c r="AC1037" s="106"/>
      <c r="AD1037" s="106"/>
      <c r="AE1037" s="100">
        <f t="shared" si="1346"/>
        <v>3.8993710691823898E-2</v>
      </c>
      <c r="AF1037" s="90"/>
      <c r="AG1037" s="109">
        <f t="shared" si="1347"/>
        <v>0</v>
      </c>
      <c r="AH1037" s="100">
        <f t="shared" si="1348"/>
        <v>-1</v>
      </c>
      <c r="AI1037" s="100">
        <f t="shared" si="1349"/>
        <v>-1</v>
      </c>
    </row>
    <row r="1038" spans="1:35" s="82" customFormat="1" ht="16.5" customHeight="1" x14ac:dyDescent="0.3">
      <c r="A1038" s="90" t="s">
        <v>46</v>
      </c>
      <c r="B1038" s="90" t="s">
        <v>52</v>
      </c>
      <c r="C1038" s="137"/>
      <c r="D1038" s="90"/>
      <c r="E1038" s="80"/>
      <c r="F1038" s="81">
        <f>SUM(F1037:F1037)</f>
        <v>795</v>
      </c>
      <c r="G1038" s="81"/>
      <c r="H1038" s="81" t="s">
        <v>44</v>
      </c>
      <c r="I1038" s="81"/>
      <c r="J1038" s="81" t="s">
        <v>60</v>
      </c>
      <c r="K1038" s="85" t="s">
        <v>401</v>
      </c>
      <c r="L1038" s="81">
        <f>SUM(L1037:L1037)</f>
        <v>0</v>
      </c>
      <c r="M1038" s="81">
        <f>SUM(M1037:M1037)</f>
        <v>826</v>
      </c>
      <c r="N1038" s="81">
        <f>SUM(N1037:N1037)</f>
        <v>31</v>
      </c>
      <c r="O1038" s="81"/>
      <c r="P1038" s="81">
        <f>SUM(P1037:P1037)</f>
        <v>0</v>
      </c>
      <c r="Q1038" s="81">
        <f>SUM(Q1037:Q1037)</f>
        <v>0</v>
      </c>
      <c r="R1038" s="81">
        <f>SUM(R1037:R1037)</f>
        <v>0</v>
      </c>
      <c r="S1038" s="81">
        <f>SUM(S1037:S1037)</f>
        <v>0</v>
      </c>
      <c r="T1038" s="81">
        <f>SUM(T1037:T1037)</f>
        <v>0</v>
      </c>
      <c r="U1038" s="59">
        <f t="shared" si="1136"/>
        <v>826</v>
      </c>
      <c r="V1038" s="81">
        <f>SUM(V1037:V1037)</f>
        <v>0</v>
      </c>
      <c r="W1038" s="81">
        <f>SUM(W1037:W1037)</f>
        <v>0</v>
      </c>
      <c r="X1038" s="81">
        <f>SUM(X1037:X1037)</f>
        <v>-826</v>
      </c>
      <c r="Y1038" s="81"/>
      <c r="Z1038" s="110"/>
      <c r="AA1038" s="110"/>
      <c r="AB1038" s="84"/>
      <c r="AC1038" s="136"/>
      <c r="AD1038" s="136"/>
      <c r="AE1038" s="100">
        <f t="shared" ref="AE1038:AE1042" si="1356">N1038/F1038</f>
        <v>3.8993710691823898E-2</v>
      </c>
      <c r="AF1038" s="90"/>
      <c r="AG1038" s="109">
        <f t="shared" ref="AG1038:AG1042" si="1357">IF(N1038&lt;0,N1038,0)</f>
        <v>0</v>
      </c>
      <c r="AH1038" s="100">
        <f t="shared" ref="AH1038:AH1042" si="1358">(S1038-F1038)/F1038</f>
        <v>-1</v>
      </c>
      <c r="AI1038" s="100">
        <f t="shared" ref="AI1038:AI1042" si="1359">(W1038-F1038)/F1038</f>
        <v>-1</v>
      </c>
    </row>
    <row r="1039" spans="1:35" s="86" customFormat="1" ht="18.75" customHeight="1" x14ac:dyDescent="0.3">
      <c r="A1039" s="106"/>
      <c r="B1039" s="106" t="s">
        <v>52</v>
      </c>
      <c r="C1039" s="118">
        <v>48000</v>
      </c>
      <c r="D1039" s="196">
        <v>13264342</v>
      </c>
      <c r="E1039" s="120" t="s">
        <v>123</v>
      </c>
      <c r="F1039" s="83">
        <v>2566</v>
      </c>
      <c r="G1039" s="83"/>
      <c r="H1039" s="83"/>
      <c r="I1039" s="83"/>
      <c r="J1039" s="83"/>
      <c r="K1039" s="83"/>
      <c r="L1039" s="83"/>
      <c r="M1039" s="83"/>
      <c r="N1039" s="110">
        <f>M1039-F1039</f>
        <v>-2566</v>
      </c>
      <c r="O1039" s="110" t="s">
        <v>111</v>
      </c>
      <c r="P1039" s="83"/>
      <c r="Q1039" s="83"/>
      <c r="R1039" s="83"/>
      <c r="S1039" s="83"/>
      <c r="T1039" s="110">
        <f>S1039-Q1039</f>
        <v>0</v>
      </c>
      <c r="U1039" s="59">
        <f t="shared" ref="U1039:U1040" si="1360">IF(Q1039&gt;0,S1039-W1039,M1039-W1039)</f>
        <v>0</v>
      </c>
      <c r="V1039" s="83"/>
      <c r="W1039" s="83"/>
      <c r="X1039" s="110">
        <f>W1039-M1039</f>
        <v>0</v>
      </c>
      <c r="Y1039" s="110"/>
      <c r="Z1039" s="110"/>
      <c r="AA1039" s="110"/>
      <c r="AB1039" s="83"/>
      <c r="AC1039" s="106"/>
      <c r="AD1039" s="106"/>
      <c r="AE1039" s="100">
        <f t="shared" ref="AE1039:AE1040" si="1361">N1039/F1039</f>
        <v>-1</v>
      </c>
      <c r="AF1039" s="90"/>
      <c r="AG1039" s="109">
        <f t="shared" ref="AG1039:AG1040" si="1362">IF(N1039&lt;0,N1039,0)</f>
        <v>-2566</v>
      </c>
      <c r="AH1039" s="100">
        <f t="shared" ref="AH1039:AH1040" si="1363">(S1039-F1039)/F1039</f>
        <v>-1</v>
      </c>
      <c r="AI1039" s="100">
        <f t="shared" ref="AI1039:AI1040" si="1364">(W1039-F1039)/F1039</f>
        <v>-1</v>
      </c>
    </row>
    <row r="1040" spans="1:35" s="82" customFormat="1" ht="16.5" customHeight="1" x14ac:dyDescent="0.3">
      <c r="A1040" s="90" t="s">
        <v>46</v>
      </c>
      <c r="B1040" s="90" t="s">
        <v>52</v>
      </c>
      <c r="C1040" s="137"/>
      <c r="D1040" s="90"/>
      <c r="E1040" s="80"/>
      <c r="F1040" s="81">
        <f>SUM(F1039:F1039)</f>
        <v>2566</v>
      </c>
      <c r="G1040" s="81"/>
      <c r="H1040" s="81" t="s">
        <v>50</v>
      </c>
      <c r="I1040" s="81"/>
      <c r="J1040" s="81"/>
      <c r="K1040" s="85" t="s">
        <v>764</v>
      </c>
      <c r="L1040" s="81">
        <f>SUM(L1039:L1039)</f>
        <v>0</v>
      </c>
      <c r="M1040" s="81">
        <f>SUM(M1039:M1039)</f>
        <v>0</v>
      </c>
      <c r="N1040" s="81">
        <f>SUM(N1039:N1039)</f>
        <v>-2566</v>
      </c>
      <c r="O1040" s="81"/>
      <c r="P1040" s="81">
        <f>SUM(P1039:P1039)</f>
        <v>0</v>
      </c>
      <c r="Q1040" s="81">
        <f>SUM(Q1039:Q1039)</f>
        <v>0</v>
      </c>
      <c r="R1040" s="81">
        <f>SUM(R1039:R1039)</f>
        <v>0</v>
      </c>
      <c r="S1040" s="81">
        <f>SUM(S1039:S1039)</f>
        <v>0</v>
      </c>
      <c r="T1040" s="81">
        <f>SUM(T1039:T1039)</f>
        <v>0</v>
      </c>
      <c r="U1040" s="59">
        <f t="shared" si="1360"/>
        <v>0</v>
      </c>
      <c r="V1040" s="81">
        <f>SUM(V1039:V1039)</f>
        <v>0</v>
      </c>
      <c r="W1040" s="81">
        <f>SUM(W1039:W1039)</f>
        <v>0</v>
      </c>
      <c r="X1040" s="81">
        <f>SUM(X1039:X1039)</f>
        <v>0</v>
      </c>
      <c r="Y1040" s="81" t="s">
        <v>57</v>
      </c>
      <c r="Z1040" s="110" t="s">
        <v>45</v>
      </c>
      <c r="AA1040" s="110"/>
      <c r="AB1040" s="84"/>
      <c r="AC1040" s="136"/>
      <c r="AD1040" s="136"/>
      <c r="AE1040" s="100">
        <f t="shared" si="1361"/>
        <v>-1</v>
      </c>
      <c r="AF1040" s="90"/>
      <c r="AG1040" s="109">
        <f t="shared" si="1362"/>
        <v>-2566</v>
      </c>
      <c r="AH1040" s="100">
        <f t="shared" si="1363"/>
        <v>-1</v>
      </c>
      <c r="AI1040" s="100">
        <f t="shared" si="1364"/>
        <v>-1</v>
      </c>
    </row>
    <row r="1041" spans="1:35" s="86" customFormat="1" ht="18.75" customHeight="1" x14ac:dyDescent="0.3">
      <c r="A1041" s="106"/>
      <c r="B1041" s="106" t="s">
        <v>52</v>
      </c>
      <c r="C1041" s="118">
        <v>47907</v>
      </c>
      <c r="D1041" s="202">
        <v>13238441</v>
      </c>
      <c r="E1041" s="120" t="s">
        <v>171</v>
      </c>
      <c r="F1041" s="83">
        <v>1210</v>
      </c>
      <c r="G1041" s="83"/>
      <c r="H1041" s="83"/>
      <c r="I1041" s="83"/>
      <c r="J1041" s="83"/>
      <c r="K1041" s="83"/>
      <c r="L1041" s="83"/>
      <c r="M1041" s="83">
        <f>250+330+221+390+64</f>
        <v>1255</v>
      </c>
      <c r="N1041" s="110">
        <f>M1041-F1041</f>
        <v>45</v>
      </c>
      <c r="O1041" s="110" t="s">
        <v>111</v>
      </c>
      <c r="P1041" s="83"/>
      <c r="Q1041" s="83">
        <f>250+551+390+64</f>
        <v>1255</v>
      </c>
      <c r="R1041" s="83"/>
      <c r="S1041" s="83">
        <f>1191+63</f>
        <v>1254</v>
      </c>
      <c r="T1041" s="110">
        <f>S1041-Q1041</f>
        <v>-1</v>
      </c>
      <c r="U1041" s="59">
        <f t="shared" si="1136"/>
        <v>17</v>
      </c>
      <c r="V1041" s="83"/>
      <c r="W1041" s="83">
        <f>1175+62</f>
        <v>1237</v>
      </c>
      <c r="X1041" s="110">
        <f>W1041-M1041</f>
        <v>-18</v>
      </c>
      <c r="Y1041" s="110"/>
      <c r="Z1041" s="110"/>
      <c r="AA1041" s="110"/>
      <c r="AB1041" s="83"/>
      <c r="AC1041" s="106"/>
      <c r="AD1041" s="106"/>
      <c r="AE1041" s="100">
        <f t="shared" si="1356"/>
        <v>3.71900826446281E-2</v>
      </c>
      <c r="AF1041" s="90"/>
      <c r="AG1041" s="109">
        <f t="shared" si="1357"/>
        <v>0</v>
      </c>
      <c r="AH1041" s="100">
        <f t="shared" si="1358"/>
        <v>3.6363636363636362E-2</v>
      </c>
      <c r="AI1041" s="100">
        <f t="shared" si="1359"/>
        <v>2.2314049586776859E-2</v>
      </c>
    </row>
    <row r="1042" spans="1:35" s="82" customFormat="1" ht="16.5" customHeight="1" x14ac:dyDescent="0.3">
      <c r="A1042" s="90" t="s">
        <v>46</v>
      </c>
      <c r="B1042" s="90" t="s">
        <v>52</v>
      </c>
      <c r="C1042" s="137"/>
      <c r="D1042" s="90"/>
      <c r="E1042" s="80"/>
      <c r="F1042" s="81">
        <f>SUM(F1041:F1041)</f>
        <v>1210</v>
      </c>
      <c r="G1042" s="81"/>
      <c r="H1042" s="81" t="s">
        <v>50</v>
      </c>
      <c r="I1042" s="81"/>
      <c r="J1042" s="81" t="s">
        <v>60</v>
      </c>
      <c r="K1042" s="85" t="s">
        <v>226</v>
      </c>
      <c r="L1042" s="81">
        <f>SUM(L1041:L1041)</f>
        <v>0</v>
      </c>
      <c r="M1042" s="81">
        <f>SUM(M1041:M1041)</f>
        <v>1255</v>
      </c>
      <c r="N1042" s="81">
        <f>SUM(N1041:N1041)</f>
        <v>45</v>
      </c>
      <c r="O1042" s="81"/>
      <c r="P1042" s="81">
        <f>SUM(P1041:P1041)</f>
        <v>0</v>
      </c>
      <c r="Q1042" s="81">
        <f>SUM(Q1041:Q1041)</f>
        <v>1255</v>
      </c>
      <c r="R1042" s="81">
        <f>SUM(R1041:R1041)</f>
        <v>0</v>
      </c>
      <c r="S1042" s="81">
        <f>SUM(S1041:S1041)</f>
        <v>1254</v>
      </c>
      <c r="T1042" s="81">
        <f>SUM(T1041:T1041)</f>
        <v>-1</v>
      </c>
      <c r="U1042" s="59">
        <f t="shared" si="1136"/>
        <v>17</v>
      </c>
      <c r="V1042" s="81">
        <f>SUM(V1041:V1041)</f>
        <v>0</v>
      </c>
      <c r="W1042" s="81">
        <f>SUM(W1041:W1041)</f>
        <v>1237</v>
      </c>
      <c r="X1042" s="81">
        <f>SUM(X1041:X1041)</f>
        <v>-18</v>
      </c>
      <c r="Y1042" s="81" t="s">
        <v>47</v>
      </c>
      <c r="Z1042" s="110" t="s">
        <v>45</v>
      </c>
      <c r="AA1042" s="110"/>
      <c r="AB1042" s="84"/>
      <c r="AC1042" s="136"/>
      <c r="AD1042" s="136"/>
      <c r="AE1042" s="100">
        <f t="shared" si="1356"/>
        <v>3.71900826446281E-2</v>
      </c>
      <c r="AF1042" s="90"/>
      <c r="AG1042" s="109">
        <f t="shared" si="1357"/>
        <v>0</v>
      </c>
      <c r="AH1042" s="100">
        <f t="shared" si="1358"/>
        <v>3.6363636363636362E-2</v>
      </c>
      <c r="AI1042" s="100">
        <f t="shared" si="1359"/>
        <v>2.2314049586776859E-2</v>
      </c>
    </row>
    <row r="1043" spans="1:35" s="86" customFormat="1" ht="18.75" customHeight="1" x14ac:dyDescent="0.3">
      <c r="A1043" s="106"/>
      <c r="B1043" s="106" t="s">
        <v>52</v>
      </c>
      <c r="C1043" s="118">
        <v>48286</v>
      </c>
      <c r="D1043" s="118">
        <v>13267673</v>
      </c>
      <c r="E1043" s="120" t="s">
        <v>521</v>
      </c>
      <c r="F1043" s="83">
        <v>1594</v>
      </c>
      <c r="G1043" s="83"/>
      <c r="H1043" s="83"/>
      <c r="I1043" s="83"/>
      <c r="J1043" s="83"/>
      <c r="K1043" s="83"/>
      <c r="L1043" s="83"/>
      <c r="M1043" s="83"/>
      <c r="N1043" s="110">
        <f>M1043-F1043</f>
        <v>-1594</v>
      </c>
      <c r="O1043" s="110" t="s">
        <v>111</v>
      </c>
      <c r="P1043" s="83"/>
      <c r="Q1043" s="83"/>
      <c r="R1043" s="83"/>
      <c r="S1043" s="83"/>
      <c r="T1043" s="110">
        <f>S1043-Q1043</f>
        <v>0</v>
      </c>
      <c r="U1043" s="59">
        <f t="shared" si="1136"/>
        <v>0</v>
      </c>
      <c r="V1043" s="83"/>
      <c r="W1043" s="83"/>
      <c r="X1043" s="110">
        <f>W1043-M1043</f>
        <v>0</v>
      </c>
      <c r="Y1043" s="110"/>
      <c r="Z1043" s="110"/>
      <c r="AA1043" s="110"/>
      <c r="AB1043" s="83"/>
      <c r="AC1043" s="106"/>
      <c r="AD1043" s="106"/>
      <c r="AE1043" s="100">
        <f t="shared" ref="AE1043:AE1044" si="1365">N1043/F1043</f>
        <v>-1</v>
      </c>
      <c r="AF1043" s="90"/>
      <c r="AG1043" s="109">
        <f t="shared" ref="AG1043:AG1044" si="1366">IF(N1043&lt;0,N1043,0)</f>
        <v>-1594</v>
      </c>
      <c r="AH1043" s="100">
        <f t="shared" ref="AH1043:AH1044" si="1367">(S1043-F1043)/F1043</f>
        <v>-1</v>
      </c>
      <c r="AI1043" s="100">
        <f t="shared" ref="AI1043:AI1044" si="1368">(W1043-F1043)/F1043</f>
        <v>-1</v>
      </c>
    </row>
    <row r="1044" spans="1:35" s="82" customFormat="1" ht="16.5" customHeight="1" x14ac:dyDescent="0.3">
      <c r="A1044" s="90" t="s">
        <v>46</v>
      </c>
      <c r="B1044" s="90" t="s">
        <v>52</v>
      </c>
      <c r="C1044" s="137"/>
      <c r="D1044" s="90"/>
      <c r="E1044" s="80"/>
      <c r="F1044" s="81">
        <f>SUM(F1043:F1043)</f>
        <v>1594</v>
      </c>
      <c r="G1044" s="81"/>
      <c r="H1044" s="81" t="s">
        <v>50</v>
      </c>
      <c r="I1044" s="81"/>
      <c r="J1044" s="81"/>
      <c r="K1044" s="85" t="s">
        <v>410</v>
      </c>
      <c r="L1044" s="81">
        <f>SUM(L1043:L1043)</f>
        <v>0</v>
      </c>
      <c r="M1044" s="81">
        <f>SUM(M1043:M1043)</f>
        <v>0</v>
      </c>
      <c r="N1044" s="90">
        <f>SUMIF(N1043:N1043,"&lt;0")</f>
        <v>-1594</v>
      </c>
      <c r="O1044" s="81"/>
      <c r="P1044" s="81">
        <f>SUM(P1043:P1043)</f>
        <v>0</v>
      </c>
      <c r="Q1044" s="81">
        <f>SUM(Q1043:Q1043)</f>
        <v>0</v>
      </c>
      <c r="R1044" s="81"/>
      <c r="S1044" s="81">
        <f>SUM(S1043:S1043)</f>
        <v>0</v>
      </c>
      <c r="T1044" s="81">
        <f>SUM(T1043:T1043)</f>
        <v>0</v>
      </c>
      <c r="U1044" s="59">
        <f t="shared" si="1136"/>
        <v>0</v>
      </c>
      <c r="V1044" s="81">
        <f>SUM(V1043:V1043)</f>
        <v>0</v>
      </c>
      <c r="W1044" s="81">
        <f>SUM(W1043:W1043)</f>
        <v>0</v>
      </c>
      <c r="X1044" s="81">
        <f>SUM(X1043:X1043)</f>
        <v>0</v>
      </c>
      <c r="Y1044" s="81" t="s">
        <v>57</v>
      </c>
      <c r="Z1044" s="110" t="s">
        <v>45</v>
      </c>
      <c r="AA1044" s="110"/>
      <c r="AB1044" s="84"/>
      <c r="AC1044" s="136"/>
      <c r="AD1044" s="136"/>
      <c r="AE1044" s="100">
        <f t="shared" si="1365"/>
        <v>-1</v>
      </c>
      <c r="AF1044" s="90"/>
      <c r="AG1044" s="109">
        <f t="shared" si="1366"/>
        <v>-1594</v>
      </c>
      <c r="AH1044" s="100">
        <f t="shared" si="1367"/>
        <v>-1</v>
      </c>
      <c r="AI1044" s="100">
        <f t="shared" si="1368"/>
        <v>-1</v>
      </c>
    </row>
    <row r="1045" spans="1:35" s="86" customFormat="1" ht="18.75" customHeight="1" x14ac:dyDescent="0.3">
      <c r="A1045" s="106"/>
      <c r="B1045" s="106" t="s">
        <v>52</v>
      </c>
      <c r="C1045" s="118">
        <v>47949</v>
      </c>
      <c r="D1045" s="118">
        <v>13262408</v>
      </c>
      <c r="E1045" s="125" t="s">
        <v>56</v>
      </c>
      <c r="F1045" s="83">
        <v>600</v>
      </c>
      <c r="G1045" s="83"/>
      <c r="H1045" s="83"/>
      <c r="I1045" s="83"/>
      <c r="J1045" s="83"/>
      <c r="K1045" s="83"/>
      <c r="L1045" s="83"/>
      <c r="M1045" s="83">
        <f>390+234</f>
        <v>624</v>
      </c>
      <c r="N1045" s="110">
        <f>M1045-F1045</f>
        <v>24</v>
      </c>
      <c r="O1045" s="110" t="s">
        <v>111</v>
      </c>
      <c r="P1045" s="83"/>
      <c r="Q1045" s="83"/>
      <c r="R1045" s="83"/>
      <c r="S1045" s="83"/>
      <c r="T1045" s="110">
        <f>S1045-Q1045</f>
        <v>0</v>
      </c>
      <c r="U1045" s="59">
        <f t="shared" si="1136"/>
        <v>0</v>
      </c>
      <c r="V1045" s="83"/>
      <c r="W1045" s="83">
        <v>624</v>
      </c>
      <c r="X1045" s="110">
        <f>W1045-M1045</f>
        <v>0</v>
      </c>
      <c r="Y1045" s="110"/>
      <c r="Z1045" s="110"/>
      <c r="AA1045" s="110"/>
      <c r="AB1045" s="83"/>
      <c r="AC1045" s="106"/>
      <c r="AD1045" s="106"/>
      <c r="AE1045" s="100">
        <f t="shared" ref="AE1045:AE1050" si="1369">N1045/F1045</f>
        <v>0.04</v>
      </c>
      <c r="AF1045" s="90"/>
      <c r="AG1045" s="109">
        <f t="shared" ref="AG1045:AG1050" si="1370">IF(N1045&lt;0,N1045,0)</f>
        <v>0</v>
      </c>
      <c r="AH1045" s="100">
        <f t="shared" ref="AH1045:AH1050" si="1371">(S1045-F1045)/F1045</f>
        <v>-1</v>
      </c>
      <c r="AI1045" s="100">
        <f t="shared" ref="AI1045:AI1050" si="1372">(W1045-F1045)/F1045</f>
        <v>0.04</v>
      </c>
    </row>
    <row r="1046" spans="1:35" s="82" customFormat="1" ht="16.5" customHeight="1" x14ac:dyDescent="0.3">
      <c r="A1046" s="90" t="s">
        <v>46</v>
      </c>
      <c r="B1046" s="90" t="s">
        <v>52</v>
      </c>
      <c r="C1046" s="101"/>
      <c r="D1046" s="90"/>
      <c r="E1046" s="80"/>
      <c r="F1046" s="81">
        <f>SUM(F1045:F1045)</f>
        <v>600</v>
      </c>
      <c r="G1046" s="81"/>
      <c r="H1046" s="81" t="s">
        <v>50</v>
      </c>
      <c r="I1046" s="81"/>
      <c r="J1046" s="81" t="s">
        <v>60</v>
      </c>
      <c r="K1046" s="85" t="s">
        <v>226</v>
      </c>
      <c r="L1046" s="81">
        <f>SUM(L1045:L1045)</f>
        <v>0</v>
      </c>
      <c r="M1046" s="81">
        <f>SUM(M1045:M1045)</f>
        <v>624</v>
      </c>
      <c r="N1046" s="90">
        <f>SUMIF(N1045:N1045,"&lt;0")</f>
        <v>0</v>
      </c>
      <c r="O1046" s="81"/>
      <c r="P1046" s="81">
        <f>SUM(P1045:P1045)</f>
        <v>0</v>
      </c>
      <c r="Q1046" s="81">
        <f>SUM(Q1045:Q1045)</f>
        <v>0</v>
      </c>
      <c r="R1046" s="81">
        <f>SUM(R1045:R1045)</f>
        <v>0</v>
      </c>
      <c r="S1046" s="81">
        <f>SUM(S1045:S1045)</f>
        <v>0</v>
      </c>
      <c r="T1046" s="81">
        <f>SUM(T1045:T1045)</f>
        <v>0</v>
      </c>
      <c r="U1046" s="59">
        <f t="shared" si="1136"/>
        <v>0</v>
      </c>
      <c r="V1046" s="81">
        <f>SUM(V1045:V1045)</f>
        <v>0</v>
      </c>
      <c r="W1046" s="81">
        <f>SUM(W1045:W1045)</f>
        <v>624</v>
      </c>
      <c r="X1046" s="81">
        <f>SUM(X1045:X1045)</f>
        <v>0</v>
      </c>
      <c r="Y1046" s="81"/>
      <c r="Z1046" s="110"/>
      <c r="AA1046" s="110"/>
      <c r="AB1046" s="84"/>
      <c r="AC1046" s="63"/>
      <c r="AD1046" s="63"/>
      <c r="AE1046" s="100">
        <f t="shared" si="1369"/>
        <v>0</v>
      </c>
      <c r="AF1046" s="90"/>
      <c r="AG1046" s="109">
        <f t="shared" si="1370"/>
        <v>0</v>
      </c>
      <c r="AH1046" s="100">
        <f t="shared" si="1371"/>
        <v>-1</v>
      </c>
      <c r="AI1046" s="100">
        <f t="shared" si="1372"/>
        <v>0.04</v>
      </c>
    </row>
    <row r="1047" spans="1:35" s="86" customFormat="1" ht="18.75" customHeight="1" x14ac:dyDescent="0.3">
      <c r="A1047" s="106"/>
      <c r="B1047" s="106" t="s">
        <v>52</v>
      </c>
      <c r="C1047" s="118">
        <v>47967</v>
      </c>
      <c r="D1047" s="118">
        <v>13264279</v>
      </c>
      <c r="E1047" s="125" t="s">
        <v>56</v>
      </c>
      <c r="F1047" s="83">
        <v>1170</v>
      </c>
      <c r="G1047" s="83"/>
      <c r="H1047" s="83"/>
      <c r="I1047" s="83"/>
      <c r="J1047" s="83"/>
      <c r="K1047" s="83"/>
      <c r="L1047" s="83"/>
      <c r="M1047" s="83">
        <v>1209</v>
      </c>
      <c r="N1047" s="110">
        <f>M1047-F1047</f>
        <v>39</v>
      </c>
      <c r="O1047" s="110" t="s">
        <v>111</v>
      </c>
      <c r="P1047" s="83"/>
      <c r="Q1047" s="83">
        <v>1209</v>
      </c>
      <c r="R1047" s="83"/>
      <c r="S1047" s="83"/>
      <c r="T1047" s="110">
        <f>S1047-Q1047</f>
        <v>-1209</v>
      </c>
      <c r="U1047" s="59">
        <f t="shared" si="1136"/>
        <v>0</v>
      </c>
      <c r="V1047" s="83"/>
      <c r="W1047" s="83"/>
      <c r="X1047" s="110">
        <f>W1047-M1047</f>
        <v>-1209</v>
      </c>
      <c r="Y1047" s="110"/>
      <c r="Z1047" s="110"/>
      <c r="AA1047" s="110"/>
      <c r="AB1047" s="83"/>
      <c r="AC1047" s="106"/>
      <c r="AD1047" s="106"/>
      <c r="AE1047" s="100">
        <f t="shared" ref="AE1047:AE1048" si="1373">N1047/F1047</f>
        <v>3.3333333333333333E-2</v>
      </c>
      <c r="AF1047" s="90"/>
      <c r="AG1047" s="109">
        <f t="shared" ref="AG1047:AG1048" si="1374">IF(N1047&lt;0,N1047,0)</f>
        <v>0</v>
      </c>
      <c r="AH1047" s="100">
        <f t="shared" ref="AH1047:AH1048" si="1375">(S1047-F1047)/F1047</f>
        <v>-1</v>
      </c>
      <c r="AI1047" s="100">
        <f t="shared" ref="AI1047:AI1048" si="1376">(W1047-F1047)/F1047</f>
        <v>-1</v>
      </c>
    </row>
    <row r="1048" spans="1:35" s="82" customFormat="1" ht="16.5" customHeight="1" x14ac:dyDescent="0.3">
      <c r="A1048" s="90" t="s">
        <v>46</v>
      </c>
      <c r="B1048" s="90" t="s">
        <v>52</v>
      </c>
      <c r="C1048" s="137"/>
      <c r="D1048" s="90"/>
      <c r="E1048" s="80"/>
      <c r="F1048" s="81">
        <f>SUM(F1047:F1047)</f>
        <v>1170</v>
      </c>
      <c r="G1048" s="81"/>
      <c r="H1048" s="81" t="s">
        <v>50</v>
      </c>
      <c r="I1048" s="81"/>
      <c r="J1048" s="81" t="s">
        <v>60</v>
      </c>
      <c r="K1048" s="85" t="s">
        <v>401</v>
      </c>
      <c r="L1048" s="81">
        <f>SUM(L1047:L1047)</f>
        <v>0</v>
      </c>
      <c r="M1048" s="81">
        <f>SUM(M1047:M1047)</f>
        <v>1209</v>
      </c>
      <c r="N1048" s="90">
        <f>SUMIF(N1047:N1047,"&lt;0")</f>
        <v>0</v>
      </c>
      <c r="O1048" s="81" t="s">
        <v>821</v>
      </c>
      <c r="P1048" s="81">
        <f>SUM(P1047:P1047)</f>
        <v>0</v>
      </c>
      <c r="Q1048" s="81">
        <f>SUM(Q1047:Q1047)</f>
        <v>1209</v>
      </c>
      <c r="R1048" s="81">
        <f>SUM(R1047:R1047)</f>
        <v>0</v>
      </c>
      <c r="S1048" s="81">
        <f>SUM(S1047:S1047)</f>
        <v>0</v>
      </c>
      <c r="T1048" s="81">
        <f>SUM(T1047:T1047)</f>
        <v>-1209</v>
      </c>
      <c r="U1048" s="59">
        <f t="shared" si="1136"/>
        <v>0</v>
      </c>
      <c r="V1048" s="81">
        <f>SUM(V1047:V1047)</f>
        <v>0</v>
      </c>
      <c r="W1048" s="81">
        <f>SUM(W1047:W1047)</f>
        <v>0</v>
      </c>
      <c r="X1048" s="81">
        <f>SUM(X1047:X1047)</f>
        <v>-1209</v>
      </c>
      <c r="Y1048" s="81" t="s">
        <v>47</v>
      </c>
      <c r="Z1048" s="110" t="s">
        <v>45</v>
      </c>
      <c r="AA1048" s="110"/>
      <c r="AB1048" s="84"/>
      <c r="AC1048" s="136"/>
      <c r="AD1048" s="136"/>
      <c r="AE1048" s="100">
        <f t="shared" si="1373"/>
        <v>0</v>
      </c>
      <c r="AF1048" s="90"/>
      <c r="AG1048" s="109">
        <f t="shared" si="1374"/>
        <v>0</v>
      </c>
      <c r="AH1048" s="100">
        <f t="shared" si="1375"/>
        <v>-1</v>
      </c>
      <c r="AI1048" s="100">
        <f t="shared" si="1376"/>
        <v>-1</v>
      </c>
    </row>
    <row r="1049" spans="1:35" s="86" customFormat="1" ht="18.75" customHeight="1" x14ac:dyDescent="0.3">
      <c r="A1049" s="106"/>
      <c r="B1049" s="106" t="s">
        <v>52</v>
      </c>
      <c r="C1049" s="118" t="s">
        <v>604</v>
      </c>
      <c r="D1049" s="118">
        <v>13246480</v>
      </c>
      <c r="E1049" s="125" t="s">
        <v>389</v>
      </c>
      <c r="F1049" s="83">
        <v>4424</v>
      </c>
      <c r="G1049" s="83"/>
      <c r="H1049" s="83"/>
      <c r="I1049" s="83"/>
      <c r="J1049" s="83"/>
      <c r="K1049" s="83"/>
      <c r="L1049" s="83"/>
      <c r="M1049" s="83">
        <f>693+1680+2125</f>
        <v>4498</v>
      </c>
      <c r="N1049" s="110">
        <f>M1049-F1049</f>
        <v>74</v>
      </c>
      <c r="O1049" s="110" t="s">
        <v>111</v>
      </c>
      <c r="P1049" s="83"/>
      <c r="Q1049" s="83">
        <f>693+1680+1659+466</f>
        <v>4498</v>
      </c>
      <c r="R1049" s="83"/>
      <c r="S1049" s="83">
        <f>692+2123+1677</f>
        <v>4492</v>
      </c>
      <c r="T1049" s="110">
        <f>S1049-Q1049</f>
        <v>-6</v>
      </c>
      <c r="U1049" s="59">
        <f t="shared" si="1136"/>
        <v>5</v>
      </c>
      <c r="V1049" s="83"/>
      <c r="W1049" s="83">
        <f>2811+1676</f>
        <v>4487</v>
      </c>
      <c r="X1049" s="110">
        <f>W1049-M1049</f>
        <v>-11</v>
      </c>
      <c r="Y1049" s="110"/>
      <c r="Z1049" s="110"/>
      <c r="AA1049" s="110"/>
      <c r="AB1049" s="83"/>
      <c r="AC1049" s="106"/>
      <c r="AD1049" s="106"/>
      <c r="AE1049" s="100">
        <f t="shared" si="1369"/>
        <v>1.6726943942133816E-2</v>
      </c>
      <c r="AF1049" s="90"/>
      <c r="AG1049" s="109">
        <f t="shared" si="1370"/>
        <v>0</v>
      </c>
      <c r="AH1049" s="100">
        <f t="shared" si="1371"/>
        <v>1.5370705244122965E-2</v>
      </c>
      <c r="AI1049" s="100">
        <f t="shared" si="1372"/>
        <v>1.4240506329113924E-2</v>
      </c>
    </row>
    <row r="1050" spans="1:35" s="82" customFormat="1" ht="16.5" customHeight="1" x14ac:dyDescent="0.3">
      <c r="A1050" s="90" t="s">
        <v>46</v>
      </c>
      <c r="B1050" s="90" t="s">
        <v>52</v>
      </c>
      <c r="C1050" s="101"/>
      <c r="D1050" s="90"/>
      <c r="E1050" s="80"/>
      <c r="F1050" s="81">
        <f>SUM(F1049:F1049)</f>
        <v>4424</v>
      </c>
      <c r="G1050" s="81"/>
      <c r="H1050" s="81" t="s">
        <v>50</v>
      </c>
      <c r="I1050" s="81"/>
      <c r="J1050" s="81" t="s">
        <v>60</v>
      </c>
      <c r="K1050" s="85" t="s">
        <v>290</v>
      </c>
      <c r="L1050" s="81">
        <f>SUM(L1049:L1049)</f>
        <v>0</v>
      </c>
      <c r="M1050" s="81">
        <f>SUM(M1049:M1049)</f>
        <v>4498</v>
      </c>
      <c r="N1050" s="90">
        <f>SUMIF(N1049:N1049,"&lt;0")</f>
        <v>0</v>
      </c>
      <c r="O1050" s="81" t="s">
        <v>540</v>
      </c>
      <c r="P1050" s="81">
        <f>SUM(P1049:P1049)</f>
        <v>0</v>
      </c>
      <c r="Q1050" s="81">
        <f>SUM(Q1049:Q1049)</f>
        <v>4498</v>
      </c>
      <c r="R1050" s="81">
        <f>SUM(R1049:R1049)</f>
        <v>0</v>
      </c>
      <c r="S1050" s="81">
        <f>SUM(S1049:S1049)</f>
        <v>4492</v>
      </c>
      <c r="T1050" s="81">
        <f>SUM(T1049:T1049)</f>
        <v>-6</v>
      </c>
      <c r="U1050" s="59">
        <f t="shared" si="1136"/>
        <v>5</v>
      </c>
      <c r="V1050" s="81">
        <f>SUM(V1049:V1049)</f>
        <v>0</v>
      </c>
      <c r="W1050" s="81">
        <f>SUM(W1049:W1049)</f>
        <v>4487</v>
      </c>
      <c r="X1050" s="81">
        <f>SUM(X1049:X1049)</f>
        <v>-11</v>
      </c>
      <c r="Y1050" s="81" t="s">
        <v>47</v>
      </c>
      <c r="Z1050" s="110" t="s">
        <v>45</v>
      </c>
      <c r="AA1050" s="110"/>
      <c r="AB1050" s="84"/>
      <c r="AC1050" s="63"/>
      <c r="AD1050" s="63"/>
      <c r="AE1050" s="100">
        <f t="shared" si="1369"/>
        <v>0</v>
      </c>
      <c r="AF1050" s="90"/>
      <c r="AG1050" s="109">
        <f t="shared" si="1370"/>
        <v>0</v>
      </c>
      <c r="AH1050" s="100">
        <f t="shared" si="1371"/>
        <v>1.5370705244122965E-2</v>
      </c>
      <c r="AI1050" s="100">
        <f t="shared" si="1372"/>
        <v>1.4240506329113924E-2</v>
      </c>
    </row>
    <row r="1051" spans="1:35" s="86" customFormat="1" ht="18.75" customHeight="1" x14ac:dyDescent="0.3">
      <c r="A1051" s="106"/>
      <c r="B1051" s="106" t="s">
        <v>52</v>
      </c>
      <c r="C1051" s="118">
        <v>47973</v>
      </c>
      <c r="D1051" s="118">
        <v>13264561</v>
      </c>
      <c r="E1051" s="120" t="s">
        <v>452</v>
      </c>
      <c r="F1051" s="83">
        <v>1053</v>
      </c>
      <c r="G1051" s="83"/>
      <c r="H1051" s="83"/>
      <c r="I1051" s="83"/>
      <c r="J1051" s="83"/>
      <c r="K1051" s="83"/>
      <c r="L1051" s="83"/>
      <c r="M1051" s="83"/>
      <c r="N1051" s="110">
        <f>M1051-F1051</f>
        <v>-1053</v>
      </c>
      <c r="O1051" s="110" t="s">
        <v>111</v>
      </c>
      <c r="P1051" s="83"/>
      <c r="Q1051" s="83"/>
      <c r="R1051" s="83"/>
      <c r="S1051" s="83"/>
      <c r="T1051" s="110">
        <f>S1051-Q1051</f>
        <v>0</v>
      </c>
      <c r="U1051" s="59">
        <f t="shared" si="1136"/>
        <v>0</v>
      </c>
      <c r="V1051" s="83"/>
      <c r="W1051" s="83"/>
      <c r="X1051" s="110">
        <f>W1051-M1051</f>
        <v>0</v>
      </c>
      <c r="Y1051" s="110"/>
      <c r="Z1051" s="110"/>
      <c r="AA1051" s="110"/>
      <c r="AB1051" s="83"/>
      <c r="AC1051" s="106"/>
      <c r="AD1051" s="106"/>
      <c r="AE1051" s="100">
        <f t="shared" ref="AE1051:AE1167" si="1377">N1051/F1051</f>
        <v>-1</v>
      </c>
      <c r="AF1051" s="90"/>
      <c r="AG1051" s="109">
        <f t="shared" ref="AG1051:AG1167" si="1378">IF(N1051&lt;0,N1051,0)</f>
        <v>-1053</v>
      </c>
      <c r="AH1051" s="100">
        <f t="shared" ref="AH1051:AH1167" si="1379">(S1051-F1051)/F1051</f>
        <v>-1</v>
      </c>
      <c r="AI1051" s="100">
        <f t="shared" ref="AI1051:AI1167" si="1380">(W1051-F1051)/F1051</f>
        <v>-1</v>
      </c>
    </row>
    <row r="1052" spans="1:35" s="82" customFormat="1" ht="16.5" customHeight="1" x14ac:dyDescent="0.3">
      <c r="A1052" s="90" t="s">
        <v>46</v>
      </c>
      <c r="B1052" s="90" t="s">
        <v>52</v>
      </c>
      <c r="C1052" s="101"/>
      <c r="D1052" s="90"/>
      <c r="E1052" s="80"/>
      <c r="F1052" s="81">
        <f>SUM(F1051:F1051)</f>
        <v>1053</v>
      </c>
      <c r="G1052" s="81"/>
      <c r="H1052" s="81" t="s">
        <v>50</v>
      </c>
      <c r="I1052" s="81"/>
      <c r="J1052" s="81"/>
      <c r="K1052" s="85" t="s">
        <v>330</v>
      </c>
      <c r="L1052" s="81">
        <f>SUM(L1051:L1051)</f>
        <v>0</v>
      </c>
      <c r="M1052" s="81">
        <f>SUM(M1051:M1051)</f>
        <v>0</v>
      </c>
      <c r="N1052" s="90">
        <f>SUMIF(N1051:N1051,"&lt;0")</f>
        <v>-1053</v>
      </c>
      <c r="O1052" s="81"/>
      <c r="P1052" s="81">
        <f>SUM(P1051:P1051)</f>
        <v>0</v>
      </c>
      <c r="Q1052" s="81">
        <f>SUM(Q1051:Q1051)</f>
        <v>0</v>
      </c>
      <c r="R1052" s="81">
        <f>SUM(R1051:R1051)</f>
        <v>0</v>
      </c>
      <c r="S1052" s="81">
        <f>SUM(S1051:S1051)</f>
        <v>0</v>
      </c>
      <c r="T1052" s="81">
        <f>SUM(T1051:T1051)</f>
        <v>0</v>
      </c>
      <c r="U1052" s="59">
        <f t="shared" si="1136"/>
        <v>0</v>
      </c>
      <c r="V1052" s="81">
        <f>SUM(V1051:V1051)</f>
        <v>0</v>
      </c>
      <c r="W1052" s="81">
        <f>SUM(W1051:W1051)</f>
        <v>0</v>
      </c>
      <c r="X1052" s="81">
        <f>SUM(X1051:X1051)</f>
        <v>0</v>
      </c>
      <c r="Y1052" s="81" t="s">
        <v>47</v>
      </c>
      <c r="Z1052" s="110" t="s">
        <v>45</v>
      </c>
      <c r="AA1052" s="110"/>
      <c r="AB1052" s="84"/>
      <c r="AC1052" s="63"/>
      <c r="AD1052" s="63"/>
      <c r="AE1052" s="100">
        <f t="shared" si="1377"/>
        <v>-1</v>
      </c>
      <c r="AF1052" s="90"/>
      <c r="AG1052" s="109">
        <f t="shared" si="1378"/>
        <v>-1053</v>
      </c>
      <c r="AH1052" s="100">
        <f t="shared" si="1379"/>
        <v>-1</v>
      </c>
      <c r="AI1052" s="100">
        <f t="shared" si="1380"/>
        <v>-1</v>
      </c>
    </row>
    <row r="1053" spans="1:35" s="86" customFormat="1" ht="18.75" customHeight="1" x14ac:dyDescent="0.3">
      <c r="A1053" s="106"/>
      <c r="B1053" s="106" t="s">
        <v>52</v>
      </c>
      <c r="C1053" s="118">
        <v>47968</v>
      </c>
      <c r="D1053" s="118">
        <v>13264546</v>
      </c>
      <c r="E1053" s="120" t="s">
        <v>452</v>
      </c>
      <c r="F1053" s="83">
        <v>1875</v>
      </c>
      <c r="G1053" s="83"/>
      <c r="H1053" s="83"/>
      <c r="I1053" s="83"/>
      <c r="J1053" s="83"/>
      <c r="K1053" s="83"/>
      <c r="L1053" s="83"/>
      <c r="M1053" s="83">
        <f>992+933</f>
        <v>1925</v>
      </c>
      <c r="N1053" s="110">
        <f>M1053-F1053</f>
        <v>50</v>
      </c>
      <c r="O1053" s="110" t="s">
        <v>111</v>
      </c>
      <c r="P1053" s="83"/>
      <c r="Q1053" s="83">
        <f>1925</f>
        <v>1925</v>
      </c>
      <c r="R1053" s="83"/>
      <c r="S1053" s="83"/>
      <c r="T1053" s="110">
        <f>S1053-Q1053</f>
        <v>-1925</v>
      </c>
      <c r="U1053" s="59">
        <f t="shared" si="1136"/>
        <v>0</v>
      </c>
      <c r="V1053" s="83"/>
      <c r="W1053" s="83"/>
      <c r="X1053" s="110">
        <f>W1053-M1053</f>
        <v>-1925</v>
      </c>
      <c r="Y1053" s="110"/>
      <c r="Z1053" s="110"/>
      <c r="AA1053" s="110"/>
      <c r="AB1053" s="83"/>
      <c r="AC1053" s="106"/>
      <c r="AD1053" s="106"/>
      <c r="AE1053" s="100">
        <f t="shared" ref="AE1053:AE1054" si="1381">N1053/F1053</f>
        <v>2.6666666666666668E-2</v>
      </c>
      <c r="AF1053" s="90"/>
      <c r="AG1053" s="109">
        <f t="shared" ref="AG1053:AG1054" si="1382">IF(N1053&lt;0,N1053,0)</f>
        <v>0</v>
      </c>
      <c r="AH1053" s="100">
        <f t="shared" ref="AH1053:AH1054" si="1383">(S1053-F1053)/F1053</f>
        <v>-1</v>
      </c>
      <c r="AI1053" s="100">
        <f t="shared" ref="AI1053:AI1054" si="1384">(W1053-F1053)/F1053</f>
        <v>-1</v>
      </c>
    </row>
    <row r="1054" spans="1:35" s="82" customFormat="1" ht="16.5" customHeight="1" x14ac:dyDescent="0.3">
      <c r="A1054" s="90" t="s">
        <v>46</v>
      </c>
      <c r="B1054" s="90" t="s">
        <v>52</v>
      </c>
      <c r="C1054" s="137"/>
      <c r="D1054" s="90"/>
      <c r="E1054" s="80"/>
      <c r="F1054" s="81">
        <f>SUM(F1053:F1053)</f>
        <v>1875</v>
      </c>
      <c r="G1054" s="81"/>
      <c r="H1054" s="81" t="s">
        <v>50</v>
      </c>
      <c r="I1054" s="81"/>
      <c r="J1054" s="81" t="s">
        <v>60</v>
      </c>
      <c r="K1054" s="85" t="s">
        <v>330</v>
      </c>
      <c r="L1054" s="81">
        <f>SUM(L1053:L1053)</f>
        <v>0</v>
      </c>
      <c r="M1054" s="81">
        <f>SUM(M1053:M1053)</f>
        <v>1925</v>
      </c>
      <c r="N1054" s="90">
        <f>SUMIF(N1053:N1053,"&lt;0")</f>
        <v>0</v>
      </c>
      <c r="O1054" s="81" t="s">
        <v>832</v>
      </c>
      <c r="P1054" s="81">
        <f>SUM(P1053:P1053)</f>
        <v>0</v>
      </c>
      <c r="Q1054" s="81">
        <f>SUM(Q1053:Q1053)</f>
        <v>1925</v>
      </c>
      <c r="R1054" s="81">
        <f>SUM(R1053:R1053)</f>
        <v>0</v>
      </c>
      <c r="S1054" s="81">
        <f>SUM(S1053:S1053)</f>
        <v>0</v>
      </c>
      <c r="T1054" s="81">
        <f>SUM(T1053:T1053)</f>
        <v>-1925</v>
      </c>
      <c r="U1054" s="59">
        <f t="shared" si="1136"/>
        <v>0</v>
      </c>
      <c r="V1054" s="81">
        <f>SUM(V1053:V1053)</f>
        <v>0</v>
      </c>
      <c r="W1054" s="81">
        <f>SUM(W1053:W1053)</f>
        <v>0</v>
      </c>
      <c r="X1054" s="81">
        <f>SUM(X1053:X1053)</f>
        <v>-1925</v>
      </c>
      <c r="Y1054" s="81" t="s">
        <v>47</v>
      </c>
      <c r="Z1054" s="110" t="s">
        <v>45</v>
      </c>
      <c r="AA1054" s="110"/>
      <c r="AB1054" s="84"/>
      <c r="AC1054" s="136"/>
      <c r="AD1054" s="136"/>
      <c r="AE1054" s="100">
        <f t="shared" si="1381"/>
        <v>0</v>
      </c>
      <c r="AF1054" s="90"/>
      <c r="AG1054" s="109">
        <f t="shared" si="1382"/>
        <v>0</v>
      </c>
      <c r="AH1054" s="100">
        <f t="shared" si="1383"/>
        <v>-1</v>
      </c>
      <c r="AI1054" s="100">
        <f t="shared" si="1384"/>
        <v>-1</v>
      </c>
    </row>
    <row r="1055" spans="1:35" s="86" customFormat="1" ht="18.75" customHeight="1" x14ac:dyDescent="0.3">
      <c r="A1055" s="106"/>
      <c r="B1055" s="106" t="s">
        <v>52</v>
      </c>
      <c r="C1055" s="118">
        <v>47538</v>
      </c>
      <c r="D1055" s="118">
        <v>13235128</v>
      </c>
      <c r="E1055" s="120" t="s">
        <v>259</v>
      </c>
      <c r="F1055" s="83">
        <v>801</v>
      </c>
      <c r="G1055" s="83"/>
      <c r="H1055" s="83"/>
      <c r="I1055" s="83"/>
      <c r="J1055" s="83"/>
      <c r="K1055" s="83"/>
      <c r="L1055" s="83"/>
      <c r="M1055" s="83">
        <f>600+220</f>
        <v>820</v>
      </c>
      <c r="N1055" s="110">
        <f>M1055-F1055</f>
        <v>19</v>
      </c>
      <c r="O1055" s="110" t="s">
        <v>111</v>
      </c>
      <c r="P1055" s="83"/>
      <c r="Q1055" s="83"/>
      <c r="R1055" s="83"/>
      <c r="S1055" s="83"/>
      <c r="T1055" s="110">
        <f>S1055-Q1055</f>
        <v>0</v>
      </c>
      <c r="U1055" s="59">
        <f t="shared" si="1136"/>
        <v>0</v>
      </c>
      <c r="V1055" s="83"/>
      <c r="W1055" s="83">
        <v>820</v>
      </c>
      <c r="X1055" s="110">
        <f>W1055-M1055</f>
        <v>0</v>
      </c>
      <c r="Y1055" s="110"/>
      <c r="Z1055" s="110"/>
      <c r="AA1055" s="110"/>
      <c r="AB1055" s="83"/>
      <c r="AC1055" s="106"/>
      <c r="AD1055" s="106"/>
      <c r="AE1055" s="100">
        <f t="shared" ref="AE1055:AE1058" si="1385">N1055/F1055</f>
        <v>2.3720349563046191E-2</v>
      </c>
      <c r="AF1055" s="90"/>
      <c r="AG1055" s="109">
        <f t="shared" ref="AG1055:AG1058" si="1386">IF(N1055&lt;0,N1055,0)</f>
        <v>0</v>
      </c>
      <c r="AH1055" s="100">
        <f t="shared" ref="AH1055:AH1058" si="1387">(S1055-F1055)/F1055</f>
        <v>-1</v>
      </c>
      <c r="AI1055" s="100">
        <f t="shared" ref="AI1055:AI1058" si="1388">(W1055-F1055)/F1055</f>
        <v>2.3720349563046191E-2</v>
      </c>
    </row>
    <row r="1056" spans="1:35" s="82" customFormat="1" ht="16.5" customHeight="1" x14ac:dyDescent="0.3">
      <c r="A1056" s="90" t="s">
        <v>46</v>
      </c>
      <c r="B1056" s="90" t="s">
        <v>52</v>
      </c>
      <c r="C1056" s="137"/>
      <c r="D1056" s="90"/>
      <c r="E1056" s="80"/>
      <c r="F1056" s="81">
        <f>SUM(F1055:F1055)</f>
        <v>801</v>
      </c>
      <c r="G1056" s="81"/>
      <c r="H1056" s="81" t="s">
        <v>50</v>
      </c>
      <c r="I1056" s="81"/>
      <c r="J1056" s="81" t="s">
        <v>60</v>
      </c>
      <c r="K1056" s="85" t="s">
        <v>238</v>
      </c>
      <c r="L1056" s="81">
        <f>SUM(L1055:L1055)</f>
        <v>0</v>
      </c>
      <c r="M1056" s="81">
        <f>SUM(M1055:M1055)</f>
        <v>820</v>
      </c>
      <c r="N1056" s="90">
        <f>SUMIF(N1055:N1055,"&lt;0")</f>
        <v>0</v>
      </c>
      <c r="O1056" s="81"/>
      <c r="P1056" s="81">
        <f>SUM(P1055:P1055)</f>
        <v>0</v>
      </c>
      <c r="Q1056" s="81">
        <f>SUM(Q1055:Q1055)</f>
        <v>0</v>
      </c>
      <c r="R1056" s="81">
        <f>SUM(R1055:R1055)</f>
        <v>0</v>
      </c>
      <c r="S1056" s="81">
        <f>SUM(S1055:S1055)</f>
        <v>0</v>
      </c>
      <c r="T1056" s="81">
        <f>SUM(T1055:T1055)</f>
        <v>0</v>
      </c>
      <c r="U1056" s="59">
        <f t="shared" si="1136"/>
        <v>0</v>
      </c>
      <c r="V1056" s="81">
        <f>SUM(V1055:V1055)</f>
        <v>0</v>
      </c>
      <c r="W1056" s="81">
        <f>SUM(W1055:W1055)</f>
        <v>820</v>
      </c>
      <c r="X1056" s="81">
        <f>SUM(X1055:X1055)</f>
        <v>0</v>
      </c>
      <c r="Y1056" s="81"/>
      <c r="Z1056" s="110"/>
      <c r="AA1056" s="110"/>
      <c r="AB1056" s="84"/>
      <c r="AC1056" s="136"/>
      <c r="AD1056" s="136"/>
      <c r="AE1056" s="100">
        <f t="shared" si="1385"/>
        <v>0</v>
      </c>
      <c r="AF1056" s="90"/>
      <c r="AG1056" s="109">
        <f t="shared" si="1386"/>
        <v>0</v>
      </c>
      <c r="AH1056" s="100">
        <f t="shared" si="1387"/>
        <v>-1</v>
      </c>
      <c r="AI1056" s="100">
        <f t="shared" si="1388"/>
        <v>2.3720349563046191E-2</v>
      </c>
    </row>
    <row r="1057" spans="1:35" s="86" customFormat="1" ht="18.75" customHeight="1" x14ac:dyDescent="0.3">
      <c r="A1057" s="106"/>
      <c r="B1057" s="106" t="s">
        <v>52</v>
      </c>
      <c r="C1057" s="118">
        <v>47952</v>
      </c>
      <c r="D1057" s="118">
        <v>13263756</v>
      </c>
      <c r="E1057" s="120" t="s">
        <v>452</v>
      </c>
      <c r="F1057" s="83">
        <v>1660</v>
      </c>
      <c r="G1057" s="83"/>
      <c r="H1057" s="83"/>
      <c r="I1057" s="83"/>
      <c r="J1057" s="83"/>
      <c r="K1057" s="83" t="s">
        <v>44</v>
      </c>
      <c r="L1057" s="83"/>
      <c r="M1057" s="83">
        <f>1720</f>
        <v>1720</v>
      </c>
      <c r="N1057" s="110">
        <f>M1057-F1057</f>
        <v>60</v>
      </c>
      <c r="O1057" s="110" t="s">
        <v>111</v>
      </c>
      <c r="P1057" s="83"/>
      <c r="Q1057" s="83">
        <f>1468+252</f>
        <v>1720</v>
      </c>
      <c r="R1057" s="83"/>
      <c r="S1057" s="83">
        <v>1720</v>
      </c>
      <c r="T1057" s="110">
        <f>S1057-Q1057</f>
        <v>0</v>
      </c>
      <c r="U1057" s="59">
        <f t="shared" si="1136"/>
        <v>11</v>
      </c>
      <c r="V1057" s="83">
        <v>1709</v>
      </c>
      <c r="W1057" s="83">
        <v>1709</v>
      </c>
      <c r="X1057" s="110">
        <f>W1057-M1057</f>
        <v>-11</v>
      </c>
      <c r="Y1057" s="110"/>
      <c r="Z1057" s="110"/>
      <c r="AA1057" s="110"/>
      <c r="AB1057" s="83"/>
      <c r="AC1057" s="106"/>
      <c r="AD1057" s="106"/>
      <c r="AE1057" s="100">
        <f t="shared" si="1385"/>
        <v>3.614457831325301E-2</v>
      </c>
      <c r="AF1057" s="90"/>
      <c r="AG1057" s="109">
        <f t="shared" si="1386"/>
        <v>0</v>
      </c>
      <c r="AH1057" s="100">
        <f t="shared" si="1387"/>
        <v>3.614457831325301E-2</v>
      </c>
      <c r="AI1057" s="100">
        <f t="shared" si="1388"/>
        <v>2.9518072289156625E-2</v>
      </c>
    </row>
    <row r="1058" spans="1:35" s="82" customFormat="1" ht="16.5" customHeight="1" x14ac:dyDescent="0.3">
      <c r="A1058" s="90" t="s">
        <v>46</v>
      </c>
      <c r="B1058" s="90" t="s">
        <v>52</v>
      </c>
      <c r="C1058" s="137"/>
      <c r="D1058" s="90"/>
      <c r="E1058" s="80"/>
      <c r="F1058" s="81">
        <f>SUM(F1057:F1057)</f>
        <v>1660</v>
      </c>
      <c r="G1058" s="81"/>
      <c r="H1058" s="81" t="s">
        <v>50</v>
      </c>
      <c r="I1058" s="81"/>
      <c r="J1058" s="81" t="s">
        <v>60</v>
      </c>
      <c r="K1058" s="85" t="s">
        <v>226</v>
      </c>
      <c r="L1058" s="81">
        <f>SUM(L1057:L1057)</f>
        <v>0</v>
      </c>
      <c r="M1058" s="81">
        <f>SUM(M1057:M1057)</f>
        <v>1720</v>
      </c>
      <c r="N1058" s="90">
        <f>SUMIF(N1057:N1057,"&lt;0")</f>
        <v>0</v>
      </c>
      <c r="O1058" s="81" t="s">
        <v>821</v>
      </c>
      <c r="P1058" s="81">
        <f>SUM(P1057:P1057)</f>
        <v>0</v>
      </c>
      <c r="Q1058" s="81">
        <f>SUM(Q1057:Q1057)</f>
        <v>1720</v>
      </c>
      <c r="R1058" s="81">
        <f>SUM(R1057:R1057)</f>
        <v>0</v>
      </c>
      <c r="S1058" s="81">
        <f>SUM(S1057:S1057)</f>
        <v>1720</v>
      </c>
      <c r="T1058" s="81">
        <f>SUM(T1057:T1057)</f>
        <v>0</v>
      </c>
      <c r="U1058" s="59">
        <f t="shared" si="1136"/>
        <v>11</v>
      </c>
      <c r="V1058" s="81">
        <f>SUM(V1057:V1057)</f>
        <v>1709</v>
      </c>
      <c r="W1058" s="81">
        <f>SUM(W1057:W1057)</f>
        <v>1709</v>
      </c>
      <c r="X1058" s="81">
        <f>SUM(X1057:X1057)</f>
        <v>-11</v>
      </c>
      <c r="Y1058" s="81" t="s">
        <v>47</v>
      </c>
      <c r="Z1058" s="110" t="s">
        <v>45</v>
      </c>
      <c r="AA1058" s="110"/>
      <c r="AB1058" s="84"/>
      <c r="AC1058" s="136"/>
      <c r="AD1058" s="136"/>
      <c r="AE1058" s="100">
        <f t="shared" si="1385"/>
        <v>0</v>
      </c>
      <c r="AF1058" s="90"/>
      <c r="AG1058" s="109">
        <f t="shared" si="1386"/>
        <v>0</v>
      </c>
      <c r="AH1058" s="100">
        <f t="shared" si="1387"/>
        <v>3.614457831325301E-2</v>
      </c>
      <c r="AI1058" s="100">
        <f t="shared" si="1388"/>
        <v>2.9518072289156625E-2</v>
      </c>
    </row>
    <row r="1059" spans="1:35" s="86" customFormat="1" ht="18.75" customHeight="1" x14ac:dyDescent="0.3">
      <c r="A1059" s="106"/>
      <c r="B1059" s="106" t="s">
        <v>52</v>
      </c>
      <c r="C1059" s="118">
        <v>47996</v>
      </c>
      <c r="D1059" s="118">
        <v>13263954</v>
      </c>
      <c r="E1059" s="120" t="s">
        <v>202</v>
      </c>
      <c r="F1059" s="83">
        <v>2370</v>
      </c>
      <c r="G1059" s="83"/>
      <c r="H1059" s="83"/>
      <c r="I1059" s="83"/>
      <c r="J1059" s="83" t="s">
        <v>44</v>
      </c>
      <c r="K1059" s="83"/>
      <c r="L1059" s="83"/>
      <c r="M1059" s="83"/>
      <c r="N1059" s="110">
        <f>M1059-F1059</f>
        <v>-2370</v>
      </c>
      <c r="O1059" s="110" t="s">
        <v>111</v>
      </c>
      <c r="P1059" s="83"/>
      <c r="Q1059" s="83"/>
      <c r="R1059" s="83"/>
      <c r="S1059" s="83"/>
      <c r="T1059" s="110">
        <f>S1059-Q1059</f>
        <v>0</v>
      </c>
      <c r="U1059" s="59">
        <f t="shared" si="1136"/>
        <v>0</v>
      </c>
      <c r="V1059" s="83"/>
      <c r="W1059" s="83"/>
      <c r="X1059" s="110">
        <f>W1059-M1059</f>
        <v>0</v>
      </c>
      <c r="Y1059" s="110"/>
      <c r="Z1059" s="110"/>
      <c r="AA1059" s="110"/>
      <c r="AB1059" s="83"/>
      <c r="AC1059" s="106"/>
      <c r="AD1059" s="106"/>
      <c r="AE1059" s="100">
        <f t="shared" ref="AE1059:AE1060" si="1389">N1059/F1059</f>
        <v>-1</v>
      </c>
      <c r="AF1059" s="90"/>
      <c r="AG1059" s="109">
        <f t="shared" ref="AG1059:AG1060" si="1390">IF(N1059&lt;0,N1059,0)</f>
        <v>-2370</v>
      </c>
      <c r="AH1059" s="100">
        <f t="shared" ref="AH1059:AH1060" si="1391">(S1059-F1059)/F1059</f>
        <v>-1</v>
      </c>
      <c r="AI1059" s="100">
        <f t="shared" ref="AI1059:AI1060" si="1392">(W1059-F1059)/F1059</f>
        <v>-1</v>
      </c>
    </row>
    <row r="1060" spans="1:35" s="82" customFormat="1" ht="16.5" customHeight="1" x14ac:dyDescent="0.3">
      <c r="A1060" s="90" t="s">
        <v>46</v>
      </c>
      <c r="B1060" s="90" t="s">
        <v>52</v>
      </c>
      <c r="C1060" s="101"/>
      <c r="D1060" s="90"/>
      <c r="E1060" s="80"/>
      <c r="F1060" s="81">
        <f>SUM(F1059:F1059)</f>
        <v>2370</v>
      </c>
      <c r="G1060" s="81"/>
      <c r="H1060" s="81" t="s">
        <v>50</v>
      </c>
      <c r="I1060" s="81"/>
      <c r="J1060" s="81" t="s">
        <v>60</v>
      </c>
      <c r="K1060" s="85" t="s">
        <v>226</v>
      </c>
      <c r="L1060" s="81">
        <f>SUM(L1059:L1059)</f>
        <v>0</v>
      </c>
      <c r="M1060" s="81">
        <f>SUM(M1059:M1059)</f>
        <v>0</v>
      </c>
      <c r="N1060" s="90">
        <f>SUMIF(N1059:N1059,"&lt;0")</f>
        <v>-2370</v>
      </c>
      <c r="O1060" s="81"/>
      <c r="P1060" s="81">
        <f>SUM(P1059:P1059)</f>
        <v>0</v>
      </c>
      <c r="Q1060" s="81">
        <f>SUM(Q1059:Q1059)</f>
        <v>0</v>
      </c>
      <c r="R1060" s="81">
        <f>SUM(R1059:R1059)</f>
        <v>0</v>
      </c>
      <c r="S1060" s="81">
        <f>SUM(S1059:S1059)</f>
        <v>0</v>
      </c>
      <c r="T1060" s="81">
        <f>SUM(T1059:T1059)</f>
        <v>0</v>
      </c>
      <c r="U1060" s="59">
        <f t="shared" si="1136"/>
        <v>0</v>
      </c>
      <c r="V1060" s="81">
        <f>SUM(V1059:V1059)</f>
        <v>0</v>
      </c>
      <c r="W1060" s="81">
        <f>SUM(W1059:W1059)</f>
        <v>0</v>
      </c>
      <c r="X1060" s="81">
        <f>SUM(X1059:X1059)</f>
        <v>0</v>
      </c>
      <c r="Y1060" s="81"/>
      <c r="Z1060" s="110"/>
      <c r="AA1060" s="110"/>
      <c r="AB1060" s="84"/>
      <c r="AC1060" s="63"/>
      <c r="AD1060" s="63"/>
      <c r="AE1060" s="100">
        <f t="shared" si="1389"/>
        <v>-1</v>
      </c>
      <c r="AF1060" s="90"/>
      <c r="AG1060" s="109">
        <f t="shared" si="1390"/>
        <v>-2370</v>
      </c>
      <c r="AH1060" s="100">
        <f t="shared" si="1391"/>
        <v>-1</v>
      </c>
      <c r="AI1060" s="100">
        <f t="shared" si="1392"/>
        <v>-1</v>
      </c>
    </row>
    <row r="1061" spans="1:35" s="86" customFormat="1" ht="18.75" customHeight="1" x14ac:dyDescent="0.3">
      <c r="A1061" s="106"/>
      <c r="B1061" s="106" t="s">
        <v>52</v>
      </c>
      <c r="C1061" s="144" t="s">
        <v>312</v>
      </c>
      <c r="D1061" s="151">
        <v>13238870</v>
      </c>
      <c r="E1061" s="120" t="s">
        <v>313</v>
      </c>
      <c r="F1061" s="83">
        <v>1005</v>
      </c>
      <c r="G1061" s="83"/>
      <c r="H1061" s="83"/>
      <c r="I1061" s="83"/>
      <c r="J1061" s="83"/>
      <c r="K1061" s="83"/>
      <c r="L1061" s="83"/>
      <c r="M1061" s="83">
        <f>550+488</f>
        <v>1038</v>
      </c>
      <c r="N1061" s="110">
        <f>M1061-F1061</f>
        <v>33</v>
      </c>
      <c r="O1061" s="110" t="s">
        <v>111</v>
      </c>
      <c r="P1061" s="83"/>
      <c r="Q1061" s="83">
        <v>1038</v>
      </c>
      <c r="R1061" s="83"/>
      <c r="S1061" s="83">
        <f>935+96</f>
        <v>1031</v>
      </c>
      <c r="T1061" s="110">
        <f>S1061-Q1061</f>
        <v>-7</v>
      </c>
      <c r="U1061" s="59">
        <f t="shared" ref="U1061:U1084" si="1393">IF(Q1061&gt;0,S1061-W1061,M1061-W1061)</f>
        <v>0</v>
      </c>
      <c r="V1061" s="83"/>
      <c r="W1061" s="83">
        <v>1031</v>
      </c>
      <c r="X1061" s="110">
        <f>W1061-M1061</f>
        <v>-7</v>
      </c>
      <c r="Y1061" s="110"/>
      <c r="Z1061" s="110"/>
      <c r="AA1061" s="110"/>
      <c r="AB1061" s="83"/>
      <c r="AC1061" s="106"/>
      <c r="AD1061" s="106"/>
      <c r="AE1061" s="100">
        <f t="shared" ref="AE1061:AE1062" si="1394">N1061/F1061</f>
        <v>3.2835820895522387E-2</v>
      </c>
      <c r="AF1061" s="90"/>
      <c r="AG1061" s="109">
        <f t="shared" ref="AG1061:AG1062" si="1395">IF(N1061&lt;0,N1061,0)</f>
        <v>0</v>
      </c>
      <c r="AH1061" s="100">
        <f t="shared" ref="AH1061:AH1062" si="1396">(S1061-F1061)/F1061</f>
        <v>2.5870646766169153E-2</v>
      </c>
      <c r="AI1061" s="100">
        <f t="shared" ref="AI1061:AI1062" si="1397">(W1061-F1061)/F1061</f>
        <v>2.5870646766169153E-2</v>
      </c>
    </row>
    <row r="1062" spans="1:35" s="82" customFormat="1" ht="16.5" customHeight="1" x14ac:dyDescent="0.3">
      <c r="A1062" s="90" t="s">
        <v>46</v>
      </c>
      <c r="B1062" s="90" t="s">
        <v>52</v>
      </c>
      <c r="C1062" s="137"/>
      <c r="D1062" s="90"/>
      <c r="E1062" s="80"/>
      <c r="F1062" s="81">
        <f>SUM(F1061:F1061)</f>
        <v>1005</v>
      </c>
      <c r="G1062" s="81"/>
      <c r="H1062" s="81"/>
      <c r="I1062" s="81"/>
      <c r="J1062" s="81" t="s">
        <v>60</v>
      </c>
      <c r="K1062" s="85" t="s">
        <v>238</v>
      </c>
      <c r="L1062" s="81">
        <f>SUM(L1061:L1061)</f>
        <v>0</v>
      </c>
      <c r="M1062" s="81">
        <f>SUM(M1061:M1061)</f>
        <v>1038</v>
      </c>
      <c r="N1062" s="81">
        <f>SUM(N1061:N1061)</f>
        <v>33</v>
      </c>
      <c r="O1062" s="81" t="s">
        <v>208</v>
      </c>
      <c r="P1062" s="81">
        <f>SUM(P1061:P1061)</f>
        <v>0</v>
      </c>
      <c r="Q1062" s="81">
        <f>SUM(Q1061:Q1061)</f>
        <v>1038</v>
      </c>
      <c r="R1062" s="81">
        <f>SUM(R1061:R1061)</f>
        <v>0</v>
      </c>
      <c r="S1062" s="81">
        <f>SUM(S1061:S1061)</f>
        <v>1031</v>
      </c>
      <c r="T1062" s="81">
        <f>SUM(T1061:T1061)</f>
        <v>-7</v>
      </c>
      <c r="U1062" s="59">
        <f t="shared" si="1393"/>
        <v>0</v>
      </c>
      <c r="V1062" s="81">
        <f>SUM(V1061:V1061)</f>
        <v>0</v>
      </c>
      <c r="W1062" s="81">
        <f>SUM(W1061:W1061)</f>
        <v>1031</v>
      </c>
      <c r="X1062" s="81">
        <f>SUM(X1061:X1061)</f>
        <v>-7</v>
      </c>
      <c r="Y1062" s="81" t="s">
        <v>47</v>
      </c>
      <c r="Z1062" s="110" t="s">
        <v>45</v>
      </c>
      <c r="AA1062" s="110"/>
      <c r="AB1062" s="84"/>
      <c r="AC1062" s="136"/>
      <c r="AD1062" s="136"/>
      <c r="AE1062" s="100">
        <f t="shared" si="1394"/>
        <v>3.2835820895522387E-2</v>
      </c>
      <c r="AF1062" s="90"/>
      <c r="AG1062" s="109">
        <f t="shared" si="1395"/>
        <v>0</v>
      </c>
      <c r="AH1062" s="100">
        <f t="shared" si="1396"/>
        <v>2.5870646766169153E-2</v>
      </c>
      <c r="AI1062" s="100">
        <f t="shared" si="1397"/>
        <v>2.5870646766169153E-2</v>
      </c>
    </row>
    <row r="1063" spans="1:35" s="86" customFormat="1" ht="18.75" customHeight="1" x14ac:dyDescent="0.3">
      <c r="A1063" s="106"/>
      <c r="B1063" s="106" t="s">
        <v>52</v>
      </c>
      <c r="C1063" s="144">
        <v>48270</v>
      </c>
      <c r="D1063" s="155">
        <v>13265097</v>
      </c>
      <c r="E1063" s="120" t="s">
        <v>0</v>
      </c>
      <c r="F1063" s="83">
        <v>1261</v>
      </c>
      <c r="G1063" s="83"/>
      <c r="H1063" s="83"/>
      <c r="I1063" s="83"/>
      <c r="J1063" s="83"/>
      <c r="K1063" s="83"/>
      <c r="L1063" s="83"/>
      <c r="M1063" s="83">
        <f>1274+22</f>
        <v>1296</v>
      </c>
      <c r="N1063" s="110">
        <f>M1063-F1063</f>
        <v>35</v>
      </c>
      <c r="O1063" s="110" t="s">
        <v>111</v>
      </c>
      <c r="P1063" s="83"/>
      <c r="Q1063" s="83">
        <f>610+664+22</f>
        <v>1296</v>
      </c>
      <c r="R1063" s="83"/>
      <c r="S1063" s="83">
        <f>1270+22</f>
        <v>1292</v>
      </c>
      <c r="T1063" s="110">
        <f>S1063-Q1063</f>
        <v>-4</v>
      </c>
      <c r="U1063" s="59">
        <f t="shared" si="1393"/>
        <v>1</v>
      </c>
      <c r="V1063" s="83"/>
      <c r="W1063" s="83">
        <f>1269+22</f>
        <v>1291</v>
      </c>
      <c r="X1063" s="110">
        <f>W1063-M1063</f>
        <v>-5</v>
      </c>
      <c r="Y1063" s="110"/>
      <c r="Z1063" s="110"/>
      <c r="AA1063" s="110"/>
      <c r="AB1063" s="83"/>
      <c r="AC1063" s="106"/>
      <c r="AD1063" s="106"/>
      <c r="AE1063" s="100">
        <f t="shared" ref="AE1063:AE1082" si="1398">N1063/F1063</f>
        <v>2.775574940523394E-2</v>
      </c>
      <c r="AF1063" s="90"/>
      <c r="AG1063" s="109">
        <f t="shared" ref="AG1063:AG1082" si="1399">IF(N1063&lt;0,N1063,0)</f>
        <v>0</v>
      </c>
      <c r="AH1063" s="100">
        <f t="shared" ref="AH1063:AH1082" si="1400">(S1063-F1063)/F1063</f>
        <v>2.458366375892149E-2</v>
      </c>
      <c r="AI1063" s="100">
        <f t="shared" ref="AI1063:AI1082" si="1401">(W1063-F1063)/F1063</f>
        <v>2.3790642347343377E-2</v>
      </c>
    </row>
    <row r="1064" spans="1:35" s="82" customFormat="1" ht="16.5" customHeight="1" x14ac:dyDescent="0.3">
      <c r="A1064" s="90" t="s">
        <v>46</v>
      </c>
      <c r="B1064" s="90" t="s">
        <v>52</v>
      </c>
      <c r="C1064" s="137"/>
      <c r="D1064" s="90"/>
      <c r="E1064" s="80"/>
      <c r="F1064" s="81">
        <f>SUM(F1063:F1063)</f>
        <v>1261</v>
      </c>
      <c r="G1064" s="81"/>
      <c r="H1064" s="81"/>
      <c r="I1064" s="81"/>
      <c r="J1064" s="81" t="s">
        <v>60</v>
      </c>
      <c r="K1064" s="85" t="s">
        <v>226</v>
      </c>
      <c r="L1064" s="81">
        <f>SUM(L1063:L1063)</f>
        <v>0</v>
      </c>
      <c r="M1064" s="81">
        <f>SUM(M1063:M1063)</f>
        <v>1296</v>
      </c>
      <c r="N1064" s="81">
        <f>SUM(N1063:N1063)</f>
        <v>35</v>
      </c>
      <c r="O1064" s="81" t="s">
        <v>210</v>
      </c>
      <c r="P1064" s="81">
        <f>SUM(P1063:P1063)</f>
        <v>0</v>
      </c>
      <c r="Q1064" s="81">
        <f>SUM(Q1063:Q1063)</f>
        <v>1296</v>
      </c>
      <c r="R1064" s="81">
        <f>SUM(R1063:R1063)</f>
        <v>0</v>
      </c>
      <c r="S1064" s="81">
        <f>SUM(S1063:S1063)</f>
        <v>1292</v>
      </c>
      <c r="T1064" s="81">
        <f>SUM(T1063:T1063)</f>
        <v>-4</v>
      </c>
      <c r="U1064" s="59">
        <f t="shared" si="1393"/>
        <v>1</v>
      </c>
      <c r="V1064" s="81">
        <f>SUM(V1063:V1063)</f>
        <v>0</v>
      </c>
      <c r="W1064" s="81">
        <f>SUM(W1063:W1063)</f>
        <v>1291</v>
      </c>
      <c r="X1064" s="81">
        <f>SUM(X1063:X1063)</f>
        <v>-5</v>
      </c>
      <c r="Y1064" s="81" t="s">
        <v>47</v>
      </c>
      <c r="Z1064" s="110" t="s">
        <v>45</v>
      </c>
      <c r="AA1064" s="110"/>
      <c r="AB1064" s="84"/>
      <c r="AC1064" s="136"/>
      <c r="AD1064" s="136"/>
      <c r="AE1064" s="100">
        <f t="shared" si="1398"/>
        <v>2.775574940523394E-2</v>
      </c>
      <c r="AF1064" s="90"/>
      <c r="AG1064" s="109">
        <f t="shared" si="1399"/>
        <v>0</v>
      </c>
      <c r="AH1064" s="100">
        <f t="shared" si="1400"/>
        <v>2.458366375892149E-2</v>
      </c>
      <c r="AI1064" s="100">
        <f t="shared" si="1401"/>
        <v>2.3790642347343377E-2</v>
      </c>
    </row>
    <row r="1065" spans="1:35" s="86" customFormat="1" ht="18.75" customHeight="1" x14ac:dyDescent="0.3">
      <c r="A1065" s="106"/>
      <c r="B1065" s="106" t="s">
        <v>52</v>
      </c>
      <c r="C1065" s="144">
        <v>47994</v>
      </c>
      <c r="D1065" s="159">
        <v>13267228</v>
      </c>
      <c r="E1065" s="120" t="s">
        <v>49</v>
      </c>
      <c r="F1065" s="83">
        <v>1115</v>
      </c>
      <c r="G1065" s="83"/>
      <c r="H1065" s="83"/>
      <c r="I1065" s="83"/>
      <c r="J1065" s="83"/>
      <c r="K1065" s="83"/>
      <c r="L1065" s="83"/>
      <c r="M1065" s="83">
        <f>880+296</f>
        <v>1176</v>
      </c>
      <c r="N1065" s="110">
        <f>M1065-F1065</f>
        <v>61</v>
      </c>
      <c r="O1065" s="110" t="s">
        <v>111</v>
      </c>
      <c r="P1065" s="83"/>
      <c r="Q1065" s="83">
        <f>880+296</f>
        <v>1176</v>
      </c>
      <c r="R1065" s="83"/>
      <c r="S1065" s="83">
        <f>653+523</f>
        <v>1176</v>
      </c>
      <c r="T1065" s="110">
        <f>S1065-Q1065</f>
        <v>0</v>
      </c>
      <c r="U1065" s="59">
        <f t="shared" si="1393"/>
        <v>5</v>
      </c>
      <c r="V1065" s="83"/>
      <c r="W1065" s="83">
        <v>1171</v>
      </c>
      <c r="X1065" s="110">
        <f>W1065-M1065</f>
        <v>-5</v>
      </c>
      <c r="Y1065" s="110"/>
      <c r="Z1065" s="110"/>
      <c r="AA1065" s="110"/>
      <c r="AB1065" s="83"/>
      <c r="AC1065" s="106"/>
      <c r="AD1065" s="106"/>
      <c r="AE1065" s="100">
        <f t="shared" ref="AE1065:AE1066" si="1402">N1065/F1065</f>
        <v>5.4708520179372194E-2</v>
      </c>
      <c r="AF1065" s="90"/>
      <c r="AG1065" s="109">
        <f t="shared" ref="AG1065:AG1066" si="1403">IF(N1065&lt;0,N1065,0)</f>
        <v>0</v>
      </c>
      <c r="AH1065" s="100">
        <f t="shared" ref="AH1065:AH1066" si="1404">(S1065-F1065)/F1065</f>
        <v>5.4708520179372194E-2</v>
      </c>
      <c r="AI1065" s="100">
        <f t="shared" ref="AI1065:AI1066" si="1405">(W1065-F1065)/F1065</f>
        <v>5.0224215246636769E-2</v>
      </c>
    </row>
    <row r="1066" spans="1:35" s="82" customFormat="1" ht="16.5" customHeight="1" x14ac:dyDescent="0.3">
      <c r="A1066" s="90" t="s">
        <v>46</v>
      </c>
      <c r="B1066" s="90" t="s">
        <v>52</v>
      </c>
      <c r="C1066" s="137"/>
      <c r="D1066" s="90"/>
      <c r="E1066" s="80"/>
      <c r="F1066" s="81">
        <f>SUM(F1065:F1065)</f>
        <v>1115</v>
      </c>
      <c r="G1066" s="81"/>
      <c r="H1066" s="81"/>
      <c r="I1066" s="81"/>
      <c r="J1066" s="81" t="s">
        <v>60</v>
      </c>
      <c r="K1066" s="85" t="s">
        <v>226</v>
      </c>
      <c r="L1066" s="81">
        <f>SUM(L1065:L1065)</f>
        <v>0</v>
      </c>
      <c r="M1066" s="81">
        <f>SUM(M1065:M1065)</f>
        <v>1176</v>
      </c>
      <c r="N1066" s="81">
        <f>SUM(N1065:N1065)</f>
        <v>61</v>
      </c>
      <c r="O1066" s="81" t="s">
        <v>758</v>
      </c>
      <c r="P1066" s="81">
        <f>SUM(P1065:P1065)</f>
        <v>0</v>
      </c>
      <c r="Q1066" s="81">
        <f>SUM(Q1065:Q1065)</f>
        <v>1176</v>
      </c>
      <c r="R1066" s="81">
        <f>SUM(R1065:R1065)</f>
        <v>0</v>
      </c>
      <c r="S1066" s="81">
        <f>SUM(S1065:S1065)</f>
        <v>1176</v>
      </c>
      <c r="T1066" s="81">
        <f>SUM(T1065:T1065)</f>
        <v>0</v>
      </c>
      <c r="U1066" s="59">
        <f t="shared" si="1393"/>
        <v>5</v>
      </c>
      <c r="V1066" s="81">
        <f>SUM(V1065:V1065)</f>
        <v>0</v>
      </c>
      <c r="W1066" s="81">
        <f>SUM(W1065:W1065)</f>
        <v>1171</v>
      </c>
      <c r="X1066" s="81">
        <f>SUM(X1065:X1065)</f>
        <v>-5</v>
      </c>
      <c r="Y1066" s="81" t="s">
        <v>57</v>
      </c>
      <c r="Z1066" s="110" t="s">
        <v>45</v>
      </c>
      <c r="AA1066" s="110"/>
      <c r="AB1066" s="84"/>
      <c r="AC1066" s="136"/>
      <c r="AD1066" s="136"/>
      <c r="AE1066" s="100">
        <f t="shared" si="1402"/>
        <v>5.4708520179372194E-2</v>
      </c>
      <c r="AF1066" s="90"/>
      <c r="AG1066" s="109">
        <f t="shared" si="1403"/>
        <v>0</v>
      </c>
      <c r="AH1066" s="100">
        <f t="shared" si="1404"/>
        <v>5.4708520179372194E-2</v>
      </c>
      <c r="AI1066" s="100">
        <f t="shared" si="1405"/>
        <v>5.0224215246636769E-2</v>
      </c>
    </row>
    <row r="1067" spans="1:35" s="86" customFormat="1" ht="18.75" customHeight="1" x14ac:dyDescent="0.3">
      <c r="A1067" s="106"/>
      <c r="B1067" s="106" t="s">
        <v>52</v>
      </c>
      <c r="C1067" s="144">
        <v>47998</v>
      </c>
      <c r="D1067" s="161">
        <v>13225449</v>
      </c>
      <c r="E1067" s="120" t="s">
        <v>123</v>
      </c>
      <c r="F1067" s="83">
        <v>1200</v>
      </c>
      <c r="G1067" s="83"/>
      <c r="H1067" s="83"/>
      <c r="I1067" s="83"/>
      <c r="J1067" s="83"/>
      <c r="K1067" s="83"/>
      <c r="L1067" s="83"/>
      <c r="M1067" s="83"/>
      <c r="N1067" s="110">
        <f>M1067-F1067</f>
        <v>-1200</v>
      </c>
      <c r="O1067" s="110" t="s">
        <v>111</v>
      </c>
      <c r="P1067" s="83"/>
      <c r="Q1067" s="83"/>
      <c r="R1067" s="83"/>
      <c r="S1067" s="83"/>
      <c r="T1067" s="110">
        <f>S1067-Q1067</f>
        <v>0</v>
      </c>
      <c r="U1067" s="59">
        <f t="shared" si="1393"/>
        <v>0</v>
      </c>
      <c r="V1067" s="83"/>
      <c r="W1067" s="83"/>
      <c r="X1067" s="110">
        <f>W1067-M1067</f>
        <v>0</v>
      </c>
      <c r="Y1067" s="110"/>
      <c r="Z1067" s="110"/>
      <c r="AA1067" s="110"/>
      <c r="AB1067" s="83"/>
      <c r="AC1067" s="106"/>
      <c r="AD1067" s="106"/>
      <c r="AE1067" s="100">
        <f t="shared" ref="AE1067:AE1080" si="1406">N1067/F1067</f>
        <v>-1</v>
      </c>
      <c r="AF1067" s="90"/>
      <c r="AG1067" s="109">
        <f t="shared" ref="AG1067:AG1080" si="1407">IF(N1067&lt;0,N1067,0)</f>
        <v>-1200</v>
      </c>
      <c r="AH1067" s="100">
        <f t="shared" ref="AH1067:AH1080" si="1408">(S1067-F1067)/F1067</f>
        <v>-1</v>
      </c>
      <c r="AI1067" s="100">
        <f t="shared" ref="AI1067:AI1080" si="1409">(W1067-F1067)/F1067</f>
        <v>-1</v>
      </c>
    </row>
    <row r="1068" spans="1:35" s="82" customFormat="1" ht="16.5" customHeight="1" x14ac:dyDescent="0.3">
      <c r="A1068" s="90" t="s">
        <v>46</v>
      </c>
      <c r="B1068" s="90" t="s">
        <v>52</v>
      </c>
      <c r="C1068" s="137"/>
      <c r="D1068" s="90"/>
      <c r="E1068" s="80"/>
      <c r="F1068" s="81">
        <f>SUM(F1067:F1067)</f>
        <v>1200</v>
      </c>
      <c r="G1068" s="81"/>
      <c r="H1068" s="81"/>
      <c r="I1068" s="81"/>
      <c r="J1068" s="81"/>
      <c r="K1068" s="85" t="s">
        <v>764</v>
      </c>
      <c r="L1068" s="81">
        <f>SUM(L1067:L1067)</f>
        <v>0</v>
      </c>
      <c r="M1068" s="81">
        <f>SUM(M1067:M1067)</f>
        <v>0</v>
      </c>
      <c r="N1068" s="81">
        <f>SUM(N1067:N1067)</f>
        <v>-1200</v>
      </c>
      <c r="O1068" s="81"/>
      <c r="P1068" s="81">
        <f>SUM(P1067:P1067)</f>
        <v>0</v>
      </c>
      <c r="Q1068" s="81">
        <f>SUM(Q1067:Q1067)</f>
        <v>0</v>
      </c>
      <c r="R1068" s="81">
        <f>SUM(R1067:R1067)</f>
        <v>0</v>
      </c>
      <c r="S1068" s="81">
        <f>SUM(S1067:S1067)</f>
        <v>0</v>
      </c>
      <c r="T1068" s="81">
        <f>SUM(T1067:T1067)</f>
        <v>0</v>
      </c>
      <c r="U1068" s="59">
        <f t="shared" si="1393"/>
        <v>0</v>
      </c>
      <c r="V1068" s="81">
        <f>SUM(V1067:V1067)</f>
        <v>0</v>
      </c>
      <c r="W1068" s="81">
        <f>SUM(W1067:W1067)</f>
        <v>0</v>
      </c>
      <c r="X1068" s="81">
        <f>SUM(X1067:X1067)</f>
        <v>0</v>
      </c>
      <c r="Y1068" s="81" t="s">
        <v>47</v>
      </c>
      <c r="Z1068" s="110" t="s">
        <v>45</v>
      </c>
      <c r="AA1068" s="110"/>
      <c r="AB1068" s="84"/>
      <c r="AC1068" s="136"/>
      <c r="AD1068" s="136"/>
      <c r="AE1068" s="100">
        <f t="shared" si="1406"/>
        <v>-1</v>
      </c>
      <c r="AF1068" s="90"/>
      <c r="AG1068" s="109">
        <f t="shared" si="1407"/>
        <v>-1200</v>
      </c>
      <c r="AH1068" s="100">
        <f t="shared" si="1408"/>
        <v>-1</v>
      </c>
      <c r="AI1068" s="100">
        <f t="shared" si="1409"/>
        <v>-1</v>
      </c>
    </row>
    <row r="1069" spans="1:35" s="86" customFormat="1" ht="18.75" customHeight="1" x14ac:dyDescent="0.3">
      <c r="A1069" s="106"/>
      <c r="B1069" s="106" t="s">
        <v>52</v>
      </c>
      <c r="C1069" s="144">
        <v>48266</v>
      </c>
      <c r="D1069" s="161">
        <v>13265086</v>
      </c>
      <c r="E1069" s="120" t="s">
        <v>408</v>
      </c>
      <c r="F1069" s="83">
        <v>754</v>
      </c>
      <c r="G1069" s="83"/>
      <c r="H1069" s="83"/>
      <c r="I1069" s="83"/>
      <c r="J1069" s="83"/>
      <c r="K1069" s="83"/>
      <c r="L1069" s="83"/>
      <c r="M1069" s="83">
        <f>372+412</f>
        <v>784</v>
      </c>
      <c r="N1069" s="110">
        <f>M1069-F1069</f>
        <v>30</v>
      </c>
      <c r="O1069" s="110" t="s">
        <v>111</v>
      </c>
      <c r="P1069" s="83"/>
      <c r="Q1069" s="83">
        <f>696+88</f>
        <v>784</v>
      </c>
      <c r="R1069" s="83"/>
      <c r="S1069" s="83">
        <v>783</v>
      </c>
      <c r="T1069" s="110">
        <f>S1069-Q1069</f>
        <v>-1</v>
      </c>
      <c r="U1069" s="59">
        <f t="shared" si="1393"/>
        <v>2</v>
      </c>
      <c r="V1069" s="83"/>
      <c r="W1069" s="83">
        <v>781</v>
      </c>
      <c r="X1069" s="110">
        <f>W1069-M1069</f>
        <v>-3</v>
      </c>
      <c r="Y1069" s="110"/>
      <c r="Z1069" s="110"/>
      <c r="AA1069" s="110"/>
      <c r="AB1069" s="83"/>
      <c r="AC1069" s="106"/>
      <c r="AD1069" s="106"/>
      <c r="AE1069" s="100">
        <f t="shared" si="1406"/>
        <v>3.9787798408488062E-2</v>
      </c>
      <c r="AF1069" s="90"/>
      <c r="AG1069" s="109">
        <f t="shared" si="1407"/>
        <v>0</v>
      </c>
      <c r="AH1069" s="100">
        <f t="shared" si="1408"/>
        <v>3.8461538461538464E-2</v>
      </c>
      <c r="AI1069" s="100">
        <f t="shared" si="1409"/>
        <v>3.580901856763926E-2</v>
      </c>
    </row>
    <row r="1070" spans="1:35" s="82" customFormat="1" ht="16.5" customHeight="1" x14ac:dyDescent="0.3">
      <c r="A1070" s="90" t="s">
        <v>46</v>
      </c>
      <c r="B1070" s="90" t="s">
        <v>52</v>
      </c>
      <c r="C1070" s="137"/>
      <c r="D1070" s="90"/>
      <c r="E1070" s="80"/>
      <c r="F1070" s="81">
        <f>SUM(F1069:F1069)</f>
        <v>754</v>
      </c>
      <c r="G1070" s="81"/>
      <c r="H1070" s="81"/>
      <c r="I1070" s="81"/>
      <c r="J1070" s="81" t="s">
        <v>60</v>
      </c>
      <c r="K1070" s="85" t="s">
        <v>226</v>
      </c>
      <c r="L1070" s="81">
        <f>SUM(L1069:L1069)</f>
        <v>0</v>
      </c>
      <c r="M1070" s="81">
        <f>SUM(M1069:M1069)</f>
        <v>784</v>
      </c>
      <c r="N1070" s="81">
        <f>SUM(N1069:N1069)</f>
        <v>30</v>
      </c>
      <c r="O1070" s="81" t="s">
        <v>287</v>
      </c>
      <c r="P1070" s="81">
        <f>SUM(P1069:P1069)</f>
        <v>0</v>
      </c>
      <c r="Q1070" s="81">
        <f>SUM(Q1069:Q1069)</f>
        <v>784</v>
      </c>
      <c r="R1070" s="81">
        <f>SUM(R1069:R1069)</f>
        <v>0</v>
      </c>
      <c r="S1070" s="81">
        <f>SUM(S1069:S1069)</f>
        <v>783</v>
      </c>
      <c r="T1070" s="81">
        <f>SUM(T1069:T1069)</f>
        <v>-1</v>
      </c>
      <c r="U1070" s="59">
        <f t="shared" si="1393"/>
        <v>2</v>
      </c>
      <c r="V1070" s="81">
        <f>SUM(V1069:V1069)</f>
        <v>0</v>
      </c>
      <c r="W1070" s="81">
        <f>SUM(W1069:W1069)</f>
        <v>781</v>
      </c>
      <c r="X1070" s="81">
        <f>SUM(X1069:X1069)</f>
        <v>-3</v>
      </c>
      <c r="Y1070" s="81" t="s">
        <v>47</v>
      </c>
      <c r="Z1070" s="110" t="s">
        <v>45</v>
      </c>
      <c r="AA1070" s="110"/>
      <c r="AB1070" s="84"/>
      <c r="AC1070" s="136"/>
      <c r="AD1070" s="136"/>
      <c r="AE1070" s="100">
        <f t="shared" si="1406"/>
        <v>3.9787798408488062E-2</v>
      </c>
      <c r="AF1070" s="90"/>
      <c r="AG1070" s="109">
        <f t="shared" si="1407"/>
        <v>0</v>
      </c>
      <c r="AH1070" s="100">
        <f t="shared" si="1408"/>
        <v>3.8461538461538464E-2</v>
      </c>
      <c r="AI1070" s="100">
        <f t="shared" si="1409"/>
        <v>3.580901856763926E-2</v>
      </c>
    </row>
    <row r="1071" spans="1:35" s="86" customFormat="1" ht="18.75" customHeight="1" x14ac:dyDescent="0.3">
      <c r="A1071" s="106"/>
      <c r="B1071" s="106" t="s">
        <v>52</v>
      </c>
      <c r="C1071" s="144">
        <v>48267</v>
      </c>
      <c r="D1071" s="162">
        <v>13265087</v>
      </c>
      <c r="E1071" s="120" t="s">
        <v>408</v>
      </c>
      <c r="F1071" s="83">
        <v>754</v>
      </c>
      <c r="G1071" s="83"/>
      <c r="H1071" s="83"/>
      <c r="I1071" s="83"/>
      <c r="J1071" s="83"/>
      <c r="K1071" s="83"/>
      <c r="L1071" s="83"/>
      <c r="M1071" s="83">
        <f>301+252+244</f>
        <v>797</v>
      </c>
      <c r="N1071" s="110">
        <f>M1071-F1071</f>
        <v>43</v>
      </c>
      <c r="O1071" s="110" t="s">
        <v>111</v>
      </c>
      <c r="P1071" s="83"/>
      <c r="Q1071" s="83">
        <v>797</v>
      </c>
      <c r="R1071" s="83"/>
      <c r="S1071" s="83">
        <v>797</v>
      </c>
      <c r="T1071" s="110">
        <f>S1071-Q1071</f>
        <v>0</v>
      </c>
      <c r="U1071" s="59">
        <f t="shared" si="1393"/>
        <v>2</v>
      </c>
      <c r="V1071" s="83"/>
      <c r="W1071" s="83">
        <v>795</v>
      </c>
      <c r="X1071" s="110">
        <f>W1071-M1071</f>
        <v>-2</v>
      </c>
      <c r="Y1071" s="110"/>
      <c r="Z1071" s="110"/>
      <c r="AA1071" s="110"/>
      <c r="AB1071" s="83"/>
      <c r="AC1071" s="106"/>
      <c r="AD1071" s="106"/>
      <c r="AE1071" s="100">
        <f t="shared" si="1406"/>
        <v>5.7029177718832889E-2</v>
      </c>
      <c r="AF1071" s="90"/>
      <c r="AG1071" s="109">
        <f t="shared" si="1407"/>
        <v>0</v>
      </c>
      <c r="AH1071" s="100">
        <f t="shared" si="1408"/>
        <v>5.7029177718832889E-2</v>
      </c>
      <c r="AI1071" s="100">
        <f t="shared" si="1409"/>
        <v>5.4376657824933686E-2</v>
      </c>
    </row>
    <row r="1072" spans="1:35" s="82" customFormat="1" ht="16.5" customHeight="1" x14ac:dyDescent="0.3">
      <c r="A1072" s="90" t="s">
        <v>46</v>
      </c>
      <c r="B1072" s="90" t="s">
        <v>52</v>
      </c>
      <c r="C1072" s="137"/>
      <c r="D1072" s="90"/>
      <c r="E1072" s="80"/>
      <c r="F1072" s="81">
        <f>SUM(F1071:F1071)</f>
        <v>754</v>
      </c>
      <c r="G1072" s="81"/>
      <c r="H1072" s="81"/>
      <c r="I1072" s="81"/>
      <c r="J1072" s="81" t="s">
        <v>60</v>
      </c>
      <c r="K1072" s="85" t="s">
        <v>226</v>
      </c>
      <c r="L1072" s="81">
        <f>SUM(L1071:L1071)</f>
        <v>0</v>
      </c>
      <c r="M1072" s="81">
        <f>SUM(M1071:M1071)</f>
        <v>797</v>
      </c>
      <c r="N1072" s="81">
        <f>SUM(N1071:N1071)</f>
        <v>43</v>
      </c>
      <c r="O1072" s="81" t="s">
        <v>832</v>
      </c>
      <c r="P1072" s="81">
        <f>SUM(P1071:P1071)</f>
        <v>0</v>
      </c>
      <c r="Q1072" s="81">
        <f>SUM(Q1071:Q1071)</f>
        <v>797</v>
      </c>
      <c r="R1072" s="81">
        <f>SUM(R1071:R1071)</f>
        <v>0</v>
      </c>
      <c r="S1072" s="81">
        <f>SUM(S1071:S1071)</f>
        <v>797</v>
      </c>
      <c r="T1072" s="81">
        <f>SUM(T1071:T1071)</f>
        <v>0</v>
      </c>
      <c r="U1072" s="59">
        <f t="shared" si="1393"/>
        <v>2</v>
      </c>
      <c r="V1072" s="81">
        <f>SUM(V1071:V1071)</f>
        <v>0</v>
      </c>
      <c r="W1072" s="81">
        <f>SUM(W1071:W1071)</f>
        <v>795</v>
      </c>
      <c r="X1072" s="81">
        <f>SUM(X1071:X1071)</f>
        <v>-2</v>
      </c>
      <c r="Y1072" s="81" t="s">
        <v>47</v>
      </c>
      <c r="Z1072" s="110" t="s">
        <v>45</v>
      </c>
      <c r="AA1072" s="110"/>
      <c r="AB1072" s="84"/>
      <c r="AC1072" s="136"/>
      <c r="AD1072" s="136"/>
      <c r="AE1072" s="100">
        <f t="shared" si="1406"/>
        <v>5.7029177718832889E-2</v>
      </c>
      <c r="AF1072" s="90"/>
      <c r="AG1072" s="109">
        <f t="shared" si="1407"/>
        <v>0</v>
      </c>
      <c r="AH1072" s="100">
        <f t="shared" si="1408"/>
        <v>5.7029177718832889E-2</v>
      </c>
      <c r="AI1072" s="100">
        <f t="shared" si="1409"/>
        <v>5.4376657824933686E-2</v>
      </c>
    </row>
    <row r="1073" spans="1:35" s="86" customFormat="1" ht="18.75" customHeight="1" x14ac:dyDescent="0.3">
      <c r="A1073" s="106"/>
      <c r="B1073" s="106" t="s">
        <v>52</v>
      </c>
      <c r="C1073" s="144">
        <v>48273</v>
      </c>
      <c r="D1073" s="162">
        <v>13265154</v>
      </c>
      <c r="E1073" s="120" t="s">
        <v>760</v>
      </c>
      <c r="F1073" s="83">
        <v>1450</v>
      </c>
      <c r="G1073" s="83"/>
      <c r="H1073" s="83"/>
      <c r="I1073" s="83"/>
      <c r="J1073" s="83"/>
      <c r="K1073" s="83"/>
      <c r="L1073" s="83"/>
      <c r="M1073" s="83"/>
      <c r="N1073" s="110">
        <f>M1073-F1073</f>
        <v>-1450</v>
      </c>
      <c r="O1073" s="110" t="s">
        <v>111</v>
      </c>
      <c r="P1073" s="83"/>
      <c r="Q1073" s="83"/>
      <c r="R1073" s="83"/>
      <c r="S1073" s="83"/>
      <c r="T1073" s="110">
        <f>S1073-Q1073</f>
        <v>0</v>
      </c>
      <c r="U1073" s="59">
        <f t="shared" si="1393"/>
        <v>0</v>
      </c>
      <c r="V1073" s="83"/>
      <c r="W1073" s="83"/>
      <c r="X1073" s="110">
        <f>W1073-M1073</f>
        <v>0</v>
      </c>
      <c r="Y1073" s="110"/>
      <c r="Z1073" s="110"/>
      <c r="AA1073" s="110"/>
      <c r="AB1073" s="83"/>
      <c r="AC1073" s="106"/>
      <c r="AD1073" s="106"/>
      <c r="AE1073" s="100">
        <f t="shared" ref="AE1073:AE1076" si="1410">N1073/F1073</f>
        <v>-1</v>
      </c>
      <c r="AF1073" s="90"/>
      <c r="AG1073" s="109">
        <f t="shared" ref="AG1073:AG1076" si="1411">IF(N1073&lt;0,N1073,0)</f>
        <v>-1450</v>
      </c>
      <c r="AH1073" s="100">
        <f t="shared" ref="AH1073:AH1076" si="1412">(S1073-F1073)/F1073</f>
        <v>-1</v>
      </c>
      <c r="AI1073" s="100">
        <f t="shared" ref="AI1073:AI1076" si="1413">(W1073-F1073)/F1073</f>
        <v>-1</v>
      </c>
    </row>
    <row r="1074" spans="1:35" s="82" customFormat="1" ht="16.5" customHeight="1" x14ac:dyDescent="0.3">
      <c r="A1074" s="90" t="s">
        <v>46</v>
      </c>
      <c r="B1074" s="90" t="s">
        <v>52</v>
      </c>
      <c r="C1074" s="137"/>
      <c r="D1074" s="90"/>
      <c r="E1074" s="80"/>
      <c r="F1074" s="81">
        <f>SUM(F1073:F1073)</f>
        <v>1450</v>
      </c>
      <c r="G1074" s="81"/>
      <c r="H1074" s="81"/>
      <c r="I1074" s="81"/>
      <c r="J1074" s="81"/>
      <c r="K1074" s="85" t="s">
        <v>330</v>
      </c>
      <c r="L1074" s="81">
        <f>SUM(L1073:L1073)</f>
        <v>0</v>
      </c>
      <c r="M1074" s="81">
        <f>SUM(M1073:M1073)</f>
        <v>0</v>
      </c>
      <c r="N1074" s="81">
        <f>SUM(N1073:N1073)</f>
        <v>-1450</v>
      </c>
      <c r="O1074" s="81"/>
      <c r="P1074" s="81">
        <f>SUM(P1073:P1073)</f>
        <v>0</v>
      </c>
      <c r="Q1074" s="81">
        <f>SUM(Q1073:Q1073)</f>
        <v>0</v>
      </c>
      <c r="R1074" s="81">
        <f>SUM(R1073:R1073)</f>
        <v>0</v>
      </c>
      <c r="S1074" s="81">
        <f>SUM(S1073:S1073)</f>
        <v>0</v>
      </c>
      <c r="T1074" s="81">
        <f>SUM(T1073:T1073)</f>
        <v>0</v>
      </c>
      <c r="U1074" s="59">
        <f t="shared" si="1393"/>
        <v>0</v>
      </c>
      <c r="V1074" s="81">
        <f>SUM(V1073:V1073)</f>
        <v>0</v>
      </c>
      <c r="W1074" s="81">
        <f>SUM(W1073:W1073)</f>
        <v>0</v>
      </c>
      <c r="X1074" s="81">
        <f>SUM(X1073:X1073)</f>
        <v>0</v>
      </c>
      <c r="Y1074" s="81" t="s">
        <v>47</v>
      </c>
      <c r="Z1074" s="110" t="s">
        <v>45</v>
      </c>
      <c r="AA1074" s="110"/>
      <c r="AB1074" s="84"/>
      <c r="AC1074" s="136"/>
      <c r="AD1074" s="136"/>
      <c r="AE1074" s="100">
        <f t="shared" si="1410"/>
        <v>-1</v>
      </c>
      <c r="AF1074" s="90"/>
      <c r="AG1074" s="109">
        <f t="shared" si="1411"/>
        <v>-1450</v>
      </c>
      <c r="AH1074" s="100">
        <f t="shared" si="1412"/>
        <v>-1</v>
      </c>
      <c r="AI1074" s="100">
        <f t="shared" si="1413"/>
        <v>-1</v>
      </c>
    </row>
    <row r="1075" spans="1:35" s="86" customFormat="1" ht="18.75" customHeight="1" x14ac:dyDescent="0.3">
      <c r="A1075" s="106"/>
      <c r="B1075" s="106" t="s">
        <v>52</v>
      </c>
      <c r="C1075" s="144">
        <v>48651</v>
      </c>
      <c r="D1075" s="162">
        <v>13227161</v>
      </c>
      <c r="E1075" s="120" t="s">
        <v>760</v>
      </c>
      <c r="F1075" s="83">
        <v>3753</v>
      </c>
      <c r="G1075" s="83"/>
      <c r="H1075" s="83"/>
      <c r="I1075" s="83"/>
      <c r="J1075" s="83"/>
      <c r="K1075" s="83"/>
      <c r="L1075" s="83"/>
      <c r="M1075" s="83"/>
      <c r="N1075" s="110">
        <f>M1075-F1075</f>
        <v>-3753</v>
      </c>
      <c r="O1075" s="110" t="s">
        <v>111</v>
      </c>
      <c r="P1075" s="83"/>
      <c r="Q1075" s="83"/>
      <c r="R1075" s="83"/>
      <c r="S1075" s="83"/>
      <c r="T1075" s="110">
        <f>S1075-Q1075</f>
        <v>0</v>
      </c>
      <c r="U1075" s="59">
        <f t="shared" si="1393"/>
        <v>0</v>
      </c>
      <c r="V1075" s="83"/>
      <c r="W1075" s="83"/>
      <c r="X1075" s="110">
        <f>W1075-M1075</f>
        <v>0</v>
      </c>
      <c r="Y1075" s="110"/>
      <c r="Z1075" s="110"/>
      <c r="AA1075" s="110"/>
      <c r="AB1075" s="83"/>
      <c r="AC1075" s="106"/>
      <c r="AD1075" s="106"/>
      <c r="AE1075" s="100">
        <f t="shared" si="1410"/>
        <v>-1</v>
      </c>
      <c r="AF1075" s="90"/>
      <c r="AG1075" s="109">
        <f t="shared" si="1411"/>
        <v>-3753</v>
      </c>
      <c r="AH1075" s="100">
        <f t="shared" si="1412"/>
        <v>-1</v>
      </c>
      <c r="AI1075" s="100">
        <f t="shared" si="1413"/>
        <v>-1</v>
      </c>
    </row>
    <row r="1076" spans="1:35" s="82" customFormat="1" ht="16.5" customHeight="1" x14ac:dyDescent="0.3">
      <c r="A1076" s="90" t="s">
        <v>46</v>
      </c>
      <c r="B1076" s="90" t="s">
        <v>52</v>
      </c>
      <c r="C1076" s="137"/>
      <c r="D1076" s="90"/>
      <c r="E1076" s="80"/>
      <c r="F1076" s="81">
        <f>SUM(F1075:F1075)</f>
        <v>3753</v>
      </c>
      <c r="G1076" s="81"/>
      <c r="H1076" s="81"/>
      <c r="I1076" s="81"/>
      <c r="J1076" s="81" t="s">
        <v>60</v>
      </c>
      <c r="K1076" s="85" t="s">
        <v>1020</v>
      </c>
      <c r="L1076" s="81">
        <f>SUM(L1075:L1075)</f>
        <v>0</v>
      </c>
      <c r="M1076" s="81">
        <f>SUM(M1075:M1075)</f>
        <v>0</v>
      </c>
      <c r="N1076" s="81">
        <f>SUM(N1075:N1075)</f>
        <v>-3753</v>
      </c>
      <c r="O1076" s="81"/>
      <c r="P1076" s="81">
        <f>SUM(P1075:P1075)</f>
        <v>0</v>
      </c>
      <c r="Q1076" s="81">
        <f>SUM(Q1075:Q1075)</f>
        <v>0</v>
      </c>
      <c r="R1076" s="81">
        <f>SUM(R1075:R1075)</f>
        <v>0</v>
      </c>
      <c r="S1076" s="81">
        <f>SUM(S1075:S1075)</f>
        <v>0</v>
      </c>
      <c r="T1076" s="81">
        <f>SUM(T1075:T1075)</f>
        <v>0</v>
      </c>
      <c r="U1076" s="59">
        <f t="shared" si="1393"/>
        <v>0</v>
      </c>
      <c r="V1076" s="81">
        <f>SUM(V1075:V1075)</f>
        <v>0</v>
      </c>
      <c r="W1076" s="81">
        <f>SUM(W1075:W1075)</f>
        <v>0</v>
      </c>
      <c r="X1076" s="81">
        <f>SUM(X1075:X1075)</f>
        <v>0</v>
      </c>
      <c r="Y1076" s="81" t="s">
        <v>57</v>
      </c>
      <c r="Z1076" s="110" t="s">
        <v>45</v>
      </c>
      <c r="AA1076" s="110"/>
      <c r="AB1076" s="84"/>
      <c r="AC1076" s="136"/>
      <c r="AD1076" s="136"/>
      <c r="AE1076" s="100">
        <f t="shared" si="1410"/>
        <v>-1</v>
      </c>
      <c r="AF1076" s="90"/>
      <c r="AG1076" s="109">
        <f t="shared" si="1411"/>
        <v>-3753</v>
      </c>
      <c r="AH1076" s="100">
        <f t="shared" si="1412"/>
        <v>-1</v>
      </c>
      <c r="AI1076" s="100">
        <f t="shared" si="1413"/>
        <v>-1</v>
      </c>
    </row>
    <row r="1077" spans="1:35" s="86" customFormat="1" ht="18.75" customHeight="1" x14ac:dyDescent="0.3">
      <c r="A1077" s="106"/>
      <c r="B1077" s="106" t="s">
        <v>52</v>
      </c>
      <c r="C1077" s="144">
        <v>48058</v>
      </c>
      <c r="D1077" s="162">
        <v>13264030</v>
      </c>
      <c r="E1077" s="120" t="s">
        <v>402</v>
      </c>
      <c r="F1077" s="83">
        <v>810</v>
      </c>
      <c r="G1077" s="83"/>
      <c r="H1077" s="83"/>
      <c r="I1077" s="83"/>
      <c r="J1077" s="83"/>
      <c r="K1077" s="83"/>
      <c r="L1077" s="83"/>
      <c r="M1077" s="83">
        <f>675+120+30</f>
        <v>825</v>
      </c>
      <c r="N1077" s="110">
        <f>M1077-F1077</f>
        <v>15</v>
      </c>
      <c r="O1077" s="110" t="s">
        <v>111</v>
      </c>
      <c r="P1077" s="83"/>
      <c r="Q1077" s="83">
        <f>675+120+30</f>
        <v>825</v>
      </c>
      <c r="R1077" s="83"/>
      <c r="S1077" s="83">
        <v>825</v>
      </c>
      <c r="T1077" s="110">
        <f>S1077-Q1077</f>
        <v>0</v>
      </c>
      <c r="U1077" s="59">
        <f t="shared" si="1393"/>
        <v>0</v>
      </c>
      <c r="V1077" s="83"/>
      <c r="W1077" s="83">
        <v>825</v>
      </c>
      <c r="X1077" s="110">
        <f>W1077-M1077</f>
        <v>0</v>
      </c>
      <c r="Y1077" s="110"/>
      <c r="Z1077" s="110"/>
      <c r="AA1077" s="110"/>
      <c r="AB1077" s="83"/>
      <c r="AC1077" s="106"/>
      <c r="AD1077" s="106"/>
      <c r="AE1077" s="100">
        <f t="shared" si="1406"/>
        <v>1.8518518518518517E-2</v>
      </c>
      <c r="AF1077" s="90"/>
      <c r="AG1077" s="109">
        <f t="shared" si="1407"/>
        <v>0</v>
      </c>
      <c r="AH1077" s="100">
        <f t="shared" si="1408"/>
        <v>1.8518518518518517E-2</v>
      </c>
      <c r="AI1077" s="100">
        <f t="shared" si="1409"/>
        <v>1.8518518518518517E-2</v>
      </c>
    </row>
    <row r="1078" spans="1:35" s="82" customFormat="1" ht="16.5" customHeight="1" x14ac:dyDescent="0.3">
      <c r="A1078" s="90" t="s">
        <v>46</v>
      </c>
      <c r="B1078" s="90" t="s">
        <v>52</v>
      </c>
      <c r="C1078" s="137"/>
      <c r="D1078" s="90"/>
      <c r="E1078" s="80"/>
      <c r="F1078" s="81">
        <f>SUM(F1077:F1077)</f>
        <v>810</v>
      </c>
      <c r="G1078" s="81"/>
      <c r="H1078" s="81"/>
      <c r="I1078" s="81"/>
      <c r="J1078" s="81" t="s">
        <v>60</v>
      </c>
      <c r="K1078" s="85" t="s">
        <v>340</v>
      </c>
      <c r="L1078" s="81">
        <f>SUM(L1077:L1077)</f>
        <v>0</v>
      </c>
      <c r="M1078" s="81">
        <f>SUM(M1077:M1077)</f>
        <v>825</v>
      </c>
      <c r="N1078" s="81">
        <f>SUM(N1077:N1077)</f>
        <v>15</v>
      </c>
      <c r="O1078" s="81" t="s">
        <v>666</v>
      </c>
      <c r="P1078" s="81">
        <f>SUM(P1077:P1077)</f>
        <v>0</v>
      </c>
      <c r="Q1078" s="81">
        <f>SUM(Q1077:Q1077)</f>
        <v>825</v>
      </c>
      <c r="R1078" s="81">
        <f>SUM(R1077:R1077)</f>
        <v>0</v>
      </c>
      <c r="S1078" s="81">
        <f>SUM(S1077:S1077)</f>
        <v>825</v>
      </c>
      <c r="T1078" s="81">
        <f>SUM(T1077:T1077)</f>
        <v>0</v>
      </c>
      <c r="U1078" s="59">
        <f t="shared" si="1393"/>
        <v>0</v>
      </c>
      <c r="V1078" s="81">
        <f>SUM(V1077:V1077)</f>
        <v>0</v>
      </c>
      <c r="W1078" s="81">
        <f>SUM(W1077:W1077)</f>
        <v>825</v>
      </c>
      <c r="X1078" s="81">
        <f>SUM(X1077:X1077)</f>
        <v>0</v>
      </c>
      <c r="Y1078" s="81" t="s">
        <v>47</v>
      </c>
      <c r="Z1078" s="110" t="s">
        <v>45</v>
      </c>
      <c r="AA1078" s="110"/>
      <c r="AB1078" s="84"/>
      <c r="AC1078" s="136"/>
      <c r="AD1078" s="136"/>
      <c r="AE1078" s="100">
        <f t="shared" si="1406"/>
        <v>1.8518518518518517E-2</v>
      </c>
      <c r="AF1078" s="90"/>
      <c r="AG1078" s="109">
        <f t="shared" si="1407"/>
        <v>0</v>
      </c>
      <c r="AH1078" s="100">
        <f t="shared" si="1408"/>
        <v>1.8518518518518517E-2</v>
      </c>
      <c r="AI1078" s="100">
        <f t="shared" si="1409"/>
        <v>1.8518518518518517E-2</v>
      </c>
    </row>
    <row r="1079" spans="1:35" s="86" customFormat="1" ht="18.75" customHeight="1" x14ac:dyDescent="0.3">
      <c r="A1079" s="106"/>
      <c r="B1079" s="106" t="s">
        <v>52</v>
      </c>
      <c r="C1079" s="144" t="s">
        <v>741</v>
      </c>
      <c r="D1079" s="162">
        <v>13235093</v>
      </c>
      <c r="E1079" s="120" t="s">
        <v>38</v>
      </c>
      <c r="F1079" s="83">
        <v>1200</v>
      </c>
      <c r="G1079" s="83"/>
      <c r="H1079" s="83"/>
      <c r="I1079" s="83"/>
      <c r="J1079" s="83"/>
      <c r="K1079" s="83"/>
      <c r="L1079" s="83"/>
      <c r="M1079" s="83"/>
      <c r="N1079" s="110">
        <f>M1079-F1079</f>
        <v>-1200</v>
      </c>
      <c r="O1079" s="110" t="s">
        <v>111</v>
      </c>
      <c r="P1079" s="83"/>
      <c r="Q1079" s="83"/>
      <c r="R1079" s="83"/>
      <c r="S1079" s="83"/>
      <c r="T1079" s="110">
        <f>S1079-Q1079</f>
        <v>0</v>
      </c>
      <c r="U1079" s="59">
        <f t="shared" si="1393"/>
        <v>0</v>
      </c>
      <c r="V1079" s="83"/>
      <c r="W1079" s="83"/>
      <c r="X1079" s="110">
        <f>W1079-M1079</f>
        <v>0</v>
      </c>
      <c r="Y1079" s="110"/>
      <c r="Z1079" s="110"/>
      <c r="AA1079" s="110"/>
      <c r="AB1079" s="83"/>
      <c r="AC1079" s="106"/>
      <c r="AD1079" s="106"/>
      <c r="AE1079" s="100">
        <f t="shared" si="1406"/>
        <v>-1</v>
      </c>
      <c r="AF1079" s="90"/>
      <c r="AG1079" s="109">
        <f t="shared" si="1407"/>
        <v>-1200</v>
      </c>
      <c r="AH1079" s="100">
        <f t="shared" si="1408"/>
        <v>-1</v>
      </c>
      <c r="AI1079" s="100">
        <f t="shared" si="1409"/>
        <v>-1</v>
      </c>
    </row>
    <row r="1080" spans="1:35" s="82" customFormat="1" ht="16.5" customHeight="1" x14ac:dyDescent="0.3">
      <c r="A1080" s="90" t="s">
        <v>46</v>
      </c>
      <c r="B1080" s="90" t="s">
        <v>52</v>
      </c>
      <c r="C1080" s="137"/>
      <c r="D1080" s="90"/>
      <c r="E1080" s="80"/>
      <c r="F1080" s="81">
        <f>SUM(F1079:F1079)</f>
        <v>1200</v>
      </c>
      <c r="G1080" s="81"/>
      <c r="H1080" s="81"/>
      <c r="I1080" s="81"/>
      <c r="J1080" s="81" t="s">
        <v>60</v>
      </c>
      <c r="K1080" s="85" t="s">
        <v>377</v>
      </c>
      <c r="L1080" s="81">
        <f>SUM(L1079:L1079)</f>
        <v>0</v>
      </c>
      <c r="M1080" s="81">
        <f>SUM(M1079:M1079)</f>
        <v>0</v>
      </c>
      <c r="N1080" s="81">
        <f>SUM(N1079:N1079)</f>
        <v>-1200</v>
      </c>
      <c r="O1080" s="81"/>
      <c r="P1080" s="81">
        <f>SUM(P1079:P1079)</f>
        <v>0</v>
      </c>
      <c r="Q1080" s="81">
        <f>SUM(Q1079:Q1079)</f>
        <v>0</v>
      </c>
      <c r="R1080" s="81">
        <f>SUM(R1079:R1079)</f>
        <v>0</v>
      </c>
      <c r="S1080" s="81">
        <f>SUM(S1079:S1079)</f>
        <v>0</v>
      </c>
      <c r="T1080" s="81">
        <f>SUM(T1079:T1079)</f>
        <v>0</v>
      </c>
      <c r="U1080" s="59">
        <f t="shared" si="1393"/>
        <v>0</v>
      </c>
      <c r="V1080" s="81">
        <f>SUM(V1079:V1079)</f>
        <v>0</v>
      </c>
      <c r="W1080" s="81">
        <f>SUM(W1079:W1079)</f>
        <v>0</v>
      </c>
      <c r="X1080" s="81">
        <f>SUM(X1079:X1079)</f>
        <v>0</v>
      </c>
      <c r="Y1080" s="81"/>
      <c r="Z1080" s="110"/>
      <c r="AA1080" s="110"/>
      <c r="AB1080" s="84"/>
      <c r="AC1080" s="136"/>
      <c r="AD1080" s="136"/>
      <c r="AE1080" s="100">
        <f t="shared" si="1406"/>
        <v>-1</v>
      </c>
      <c r="AF1080" s="90"/>
      <c r="AG1080" s="109">
        <f t="shared" si="1407"/>
        <v>-1200</v>
      </c>
      <c r="AH1080" s="100">
        <f t="shared" si="1408"/>
        <v>-1</v>
      </c>
      <c r="AI1080" s="100">
        <f t="shared" si="1409"/>
        <v>-1</v>
      </c>
    </row>
    <row r="1081" spans="1:35" s="86" customFormat="1" ht="18.75" customHeight="1" x14ac:dyDescent="0.3">
      <c r="A1081" s="106"/>
      <c r="B1081" s="106" t="s">
        <v>52</v>
      </c>
      <c r="C1081" s="144" t="s">
        <v>740</v>
      </c>
      <c r="D1081" s="249">
        <v>13235093</v>
      </c>
      <c r="E1081" s="120" t="s">
        <v>0</v>
      </c>
      <c r="F1081" s="83">
        <v>1020</v>
      </c>
      <c r="G1081" s="83"/>
      <c r="H1081" s="83"/>
      <c r="I1081" s="83"/>
      <c r="J1081" s="83"/>
      <c r="K1081" s="83"/>
      <c r="L1081" s="83"/>
      <c r="M1081" s="83"/>
      <c r="N1081" s="110">
        <f>M1081-F1081</f>
        <v>-1020</v>
      </c>
      <c r="O1081" s="110" t="s">
        <v>111</v>
      </c>
      <c r="P1081" s="83"/>
      <c r="Q1081" s="83"/>
      <c r="R1081" s="83"/>
      <c r="S1081" s="83"/>
      <c r="T1081" s="110">
        <f>S1081-Q1081</f>
        <v>0</v>
      </c>
      <c r="U1081" s="59">
        <f t="shared" si="1393"/>
        <v>0</v>
      </c>
      <c r="V1081" s="83"/>
      <c r="W1081" s="83"/>
      <c r="X1081" s="110">
        <f>W1081-M1081</f>
        <v>0</v>
      </c>
      <c r="Y1081" s="110"/>
      <c r="Z1081" s="110"/>
      <c r="AA1081" s="110"/>
      <c r="AB1081" s="83"/>
      <c r="AC1081" s="106"/>
      <c r="AD1081" s="106"/>
      <c r="AE1081" s="100">
        <f t="shared" si="1398"/>
        <v>-1</v>
      </c>
      <c r="AF1081" s="90"/>
      <c r="AG1081" s="109">
        <f t="shared" si="1399"/>
        <v>-1020</v>
      </c>
      <c r="AH1081" s="100">
        <f t="shared" si="1400"/>
        <v>-1</v>
      </c>
      <c r="AI1081" s="100">
        <f t="shared" si="1401"/>
        <v>-1</v>
      </c>
    </row>
    <row r="1082" spans="1:35" s="82" customFormat="1" ht="16.5" customHeight="1" x14ac:dyDescent="0.3">
      <c r="A1082" s="90" t="s">
        <v>46</v>
      </c>
      <c r="B1082" s="90" t="s">
        <v>52</v>
      </c>
      <c r="C1082" s="137"/>
      <c r="D1082" s="90"/>
      <c r="E1082" s="80"/>
      <c r="F1082" s="81">
        <f>SUM(F1081:F1081)</f>
        <v>1020</v>
      </c>
      <c r="G1082" s="81"/>
      <c r="H1082" s="81"/>
      <c r="I1082" s="81"/>
      <c r="J1082" s="81" t="s">
        <v>60</v>
      </c>
      <c r="K1082" s="85" t="s">
        <v>436</v>
      </c>
      <c r="L1082" s="81">
        <f>SUM(L1081:L1081)</f>
        <v>0</v>
      </c>
      <c r="M1082" s="81">
        <f>SUM(M1081:M1081)</f>
        <v>0</v>
      </c>
      <c r="N1082" s="81">
        <f>SUM(N1081:N1081)</f>
        <v>-1020</v>
      </c>
      <c r="O1082" s="81"/>
      <c r="P1082" s="81">
        <f>SUM(P1081:P1081)</f>
        <v>0</v>
      </c>
      <c r="Q1082" s="81">
        <f>SUM(Q1081:Q1081)</f>
        <v>0</v>
      </c>
      <c r="R1082" s="81">
        <f>SUM(R1081:R1081)</f>
        <v>0</v>
      </c>
      <c r="S1082" s="81">
        <f>SUM(S1081:S1081)</f>
        <v>0</v>
      </c>
      <c r="T1082" s="81">
        <f>SUM(T1081:T1081)</f>
        <v>0</v>
      </c>
      <c r="U1082" s="59">
        <f t="shared" si="1393"/>
        <v>0</v>
      </c>
      <c r="V1082" s="81">
        <f>SUM(V1081:V1081)</f>
        <v>0</v>
      </c>
      <c r="W1082" s="81">
        <f>SUM(W1081:W1081)</f>
        <v>0</v>
      </c>
      <c r="X1082" s="81">
        <f>SUM(X1081:X1081)</f>
        <v>0</v>
      </c>
      <c r="Y1082" s="81"/>
      <c r="Z1082" s="110"/>
      <c r="AA1082" s="110"/>
      <c r="AB1082" s="84"/>
      <c r="AC1082" s="136"/>
      <c r="AD1082" s="136"/>
      <c r="AE1082" s="100">
        <f t="shared" si="1398"/>
        <v>-1</v>
      </c>
      <c r="AF1082" s="90"/>
      <c r="AG1082" s="109">
        <f t="shared" si="1399"/>
        <v>-1020</v>
      </c>
      <c r="AH1082" s="100">
        <f t="shared" si="1400"/>
        <v>-1</v>
      </c>
      <c r="AI1082" s="100">
        <f t="shared" si="1401"/>
        <v>-1</v>
      </c>
    </row>
    <row r="1083" spans="1:35" s="86" customFormat="1" ht="18.75" customHeight="1" x14ac:dyDescent="0.3">
      <c r="A1083" s="106"/>
      <c r="B1083" s="106" t="s">
        <v>52</v>
      </c>
      <c r="C1083" s="144">
        <v>47999</v>
      </c>
      <c r="D1083" s="171">
        <v>13225450</v>
      </c>
      <c r="E1083" s="120" t="s">
        <v>123</v>
      </c>
      <c r="F1083" s="83">
        <v>1200</v>
      </c>
      <c r="G1083" s="83"/>
      <c r="H1083" s="83"/>
      <c r="I1083" s="83"/>
      <c r="J1083" s="83"/>
      <c r="K1083" s="83"/>
      <c r="L1083" s="83"/>
      <c r="M1083" s="83"/>
      <c r="N1083" s="110">
        <f>M1083-F1083</f>
        <v>-1200</v>
      </c>
      <c r="O1083" s="110" t="s">
        <v>111</v>
      </c>
      <c r="P1083" s="83"/>
      <c r="Q1083" s="83"/>
      <c r="R1083" s="83"/>
      <c r="S1083" s="83"/>
      <c r="T1083" s="110">
        <f>S1083-Q1083</f>
        <v>0</v>
      </c>
      <c r="U1083" s="59">
        <f t="shared" si="1393"/>
        <v>0</v>
      </c>
      <c r="V1083" s="83"/>
      <c r="W1083" s="83"/>
      <c r="X1083" s="110">
        <f>W1083-M1083</f>
        <v>0</v>
      </c>
      <c r="Y1083" s="110"/>
      <c r="Z1083" s="110"/>
      <c r="AA1083" s="110"/>
      <c r="AB1083" s="83"/>
      <c r="AC1083" s="106"/>
      <c r="AD1083" s="106"/>
      <c r="AE1083" s="100">
        <f t="shared" ref="AE1083:AE1122" si="1414">N1083/F1083</f>
        <v>-1</v>
      </c>
      <c r="AF1083" s="90"/>
      <c r="AG1083" s="109">
        <f t="shared" ref="AG1083:AG1122" si="1415">IF(N1083&lt;0,N1083,0)</f>
        <v>-1200</v>
      </c>
      <c r="AH1083" s="100">
        <f t="shared" ref="AH1083:AH1122" si="1416">(S1083-F1083)/F1083</f>
        <v>-1</v>
      </c>
      <c r="AI1083" s="100">
        <f t="shared" ref="AI1083:AI1122" si="1417">(W1083-F1083)/F1083</f>
        <v>-1</v>
      </c>
    </row>
    <row r="1084" spans="1:35" s="82" customFormat="1" ht="16.5" customHeight="1" x14ac:dyDescent="0.3">
      <c r="A1084" s="90" t="s">
        <v>46</v>
      </c>
      <c r="B1084" s="90" t="s">
        <v>52</v>
      </c>
      <c r="C1084" s="137"/>
      <c r="D1084" s="90"/>
      <c r="E1084" s="80"/>
      <c r="F1084" s="81">
        <f>SUM(F1083:F1083)</f>
        <v>1200</v>
      </c>
      <c r="G1084" s="81"/>
      <c r="H1084" s="81"/>
      <c r="I1084" s="81"/>
      <c r="J1084" s="81"/>
      <c r="K1084" s="85" t="s">
        <v>764</v>
      </c>
      <c r="L1084" s="81">
        <f>SUM(L1083:L1083)</f>
        <v>0</v>
      </c>
      <c r="M1084" s="81">
        <f>SUM(M1083:M1083)</f>
        <v>0</v>
      </c>
      <c r="N1084" s="81">
        <f>SUM(N1083:N1083)</f>
        <v>-1200</v>
      </c>
      <c r="O1084" s="81"/>
      <c r="P1084" s="81">
        <f>SUM(P1083:P1083)</f>
        <v>0</v>
      </c>
      <c r="Q1084" s="81">
        <f>SUM(Q1083:Q1083)</f>
        <v>0</v>
      </c>
      <c r="R1084" s="81">
        <f>SUM(R1083:R1083)</f>
        <v>0</v>
      </c>
      <c r="S1084" s="81">
        <f>SUM(S1083:S1083)</f>
        <v>0</v>
      </c>
      <c r="T1084" s="81">
        <f>SUM(T1083:T1083)</f>
        <v>0</v>
      </c>
      <c r="U1084" s="59">
        <f t="shared" si="1393"/>
        <v>0</v>
      </c>
      <c r="V1084" s="81">
        <f>SUM(V1083:V1083)</f>
        <v>0</v>
      </c>
      <c r="W1084" s="81">
        <f>SUM(W1083:W1083)</f>
        <v>0</v>
      </c>
      <c r="X1084" s="81">
        <f>SUM(X1083:X1083)</f>
        <v>0</v>
      </c>
      <c r="Y1084" s="81" t="s">
        <v>47</v>
      </c>
      <c r="Z1084" s="110" t="s">
        <v>45</v>
      </c>
      <c r="AA1084" s="110"/>
      <c r="AB1084" s="84"/>
      <c r="AC1084" s="136"/>
      <c r="AD1084" s="136"/>
      <c r="AE1084" s="100">
        <f t="shared" si="1414"/>
        <v>-1</v>
      </c>
      <c r="AF1084" s="90"/>
      <c r="AG1084" s="109">
        <f t="shared" si="1415"/>
        <v>-1200</v>
      </c>
      <c r="AH1084" s="100">
        <f t="shared" si="1416"/>
        <v>-1</v>
      </c>
      <c r="AI1084" s="100">
        <f t="shared" si="1417"/>
        <v>-1</v>
      </c>
    </row>
    <row r="1085" spans="1:35" s="86" customFormat="1" ht="18.75" customHeight="1" x14ac:dyDescent="0.3">
      <c r="A1085" s="106"/>
      <c r="B1085" s="106" t="s">
        <v>52</v>
      </c>
      <c r="C1085" s="144">
        <v>48265</v>
      </c>
      <c r="D1085" s="171">
        <v>13265157</v>
      </c>
      <c r="E1085" s="120" t="s">
        <v>408</v>
      </c>
      <c r="F1085" s="83">
        <v>1264</v>
      </c>
      <c r="G1085" s="83"/>
      <c r="H1085" s="83"/>
      <c r="I1085" s="83"/>
      <c r="J1085" s="83"/>
      <c r="K1085" s="83"/>
      <c r="L1085" s="83"/>
      <c r="M1085" s="83">
        <v>1294</v>
      </c>
      <c r="N1085" s="110">
        <f>M1085-F1085</f>
        <v>30</v>
      </c>
      <c r="O1085" s="110" t="s">
        <v>111</v>
      </c>
      <c r="P1085" s="83"/>
      <c r="Q1085" s="83"/>
      <c r="R1085" s="83"/>
      <c r="S1085" s="83"/>
      <c r="T1085" s="110">
        <f>S1085-Q1085</f>
        <v>0</v>
      </c>
      <c r="U1085" s="59">
        <f t="shared" ref="U1085:U1191" si="1418">IF(Q1085&gt;0,S1085-W1085,M1085-W1085)</f>
        <v>0</v>
      </c>
      <c r="V1085" s="83"/>
      <c r="W1085" s="83">
        <f>600+694</f>
        <v>1294</v>
      </c>
      <c r="X1085" s="110">
        <f>W1085-M1085</f>
        <v>0</v>
      </c>
      <c r="Y1085" s="110"/>
      <c r="Z1085" s="110"/>
      <c r="AA1085" s="110"/>
      <c r="AB1085" s="83"/>
      <c r="AC1085" s="106"/>
      <c r="AD1085" s="106"/>
      <c r="AE1085" s="100">
        <f t="shared" si="1414"/>
        <v>2.3734177215189875E-2</v>
      </c>
      <c r="AF1085" s="90"/>
      <c r="AG1085" s="109">
        <f t="shared" si="1415"/>
        <v>0</v>
      </c>
      <c r="AH1085" s="100">
        <f t="shared" si="1416"/>
        <v>-1</v>
      </c>
      <c r="AI1085" s="100">
        <f t="shared" si="1417"/>
        <v>2.3734177215189875E-2</v>
      </c>
    </row>
    <row r="1086" spans="1:35" s="82" customFormat="1" ht="16.5" customHeight="1" x14ac:dyDescent="0.3">
      <c r="A1086" s="90" t="s">
        <v>46</v>
      </c>
      <c r="B1086" s="90" t="s">
        <v>52</v>
      </c>
      <c r="C1086" s="137"/>
      <c r="D1086" s="90"/>
      <c r="E1086" s="80"/>
      <c r="F1086" s="81">
        <f>SUM(F1085:F1085)</f>
        <v>1264</v>
      </c>
      <c r="G1086" s="81"/>
      <c r="H1086" s="81"/>
      <c r="I1086" s="81"/>
      <c r="J1086" s="81" t="s">
        <v>60</v>
      </c>
      <c r="K1086" s="85" t="s">
        <v>226</v>
      </c>
      <c r="L1086" s="81">
        <f>SUM(L1085:L1085)</f>
        <v>0</v>
      </c>
      <c r="M1086" s="81">
        <f>SUM(M1085:M1085)</f>
        <v>1294</v>
      </c>
      <c r="N1086" s="81">
        <f>SUM(N1085:N1085)</f>
        <v>30</v>
      </c>
      <c r="O1086" s="81"/>
      <c r="P1086" s="81">
        <f>SUM(P1085:P1085)</f>
        <v>0</v>
      </c>
      <c r="Q1086" s="81">
        <f>SUM(Q1085:Q1085)</f>
        <v>0</v>
      </c>
      <c r="R1086" s="81">
        <f>SUM(R1085:R1085)</f>
        <v>0</v>
      </c>
      <c r="S1086" s="81">
        <f>SUM(S1085:S1085)</f>
        <v>0</v>
      </c>
      <c r="T1086" s="81">
        <f>SUM(T1085:T1085)</f>
        <v>0</v>
      </c>
      <c r="U1086" s="59">
        <f t="shared" si="1418"/>
        <v>0</v>
      </c>
      <c r="V1086" s="81">
        <f>SUM(V1085:V1085)</f>
        <v>0</v>
      </c>
      <c r="W1086" s="81">
        <f>SUM(W1085:W1085)</f>
        <v>1294</v>
      </c>
      <c r="X1086" s="81">
        <f>SUM(X1085:X1085)</f>
        <v>0</v>
      </c>
      <c r="Y1086" s="81"/>
      <c r="Z1086" s="110"/>
      <c r="AA1086" s="110"/>
      <c r="AB1086" s="84"/>
      <c r="AC1086" s="136"/>
      <c r="AD1086" s="136"/>
      <c r="AE1086" s="100">
        <f t="shared" si="1414"/>
        <v>2.3734177215189875E-2</v>
      </c>
      <c r="AF1086" s="90"/>
      <c r="AG1086" s="109">
        <f t="shared" si="1415"/>
        <v>0</v>
      </c>
      <c r="AH1086" s="100">
        <f t="shared" si="1416"/>
        <v>-1</v>
      </c>
      <c r="AI1086" s="100">
        <f t="shared" si="1417"/>
        <v>2.3734177215189875E-2</v>
      </c>
    </row>
    <row r="1087" spans="1:35" s="86" customFormat="1" ht="18.75" customHeight="1" x14ac:dyDescent="0.3">
      <c r="A1087" s="106"/>
      <c r="B1087" s="106" t="s">
        <v>52</v>
      </c>
      <c r="C1087" s="144" t="s">
        <v>466</v>
      </c>
      <c r="D1087" s="175">
        <v>13225095</v>
      </c>
      <c r="E1087" s="203" t="s">
        <v>828</v>
      </c>
      <c r="F1087" s="83">
        <v>2000</v>
      </c>
      <c r="G1087" s="83"/>
      <c r="H1087" s="83"/>
      <c r="I1087" s="83"/>
      <c r="J1087" s="83"/>
      <c r="K1087" s="83"/>
      <c r="L1087" s="83"/>
      <c r="M1087" s="83">
        <f>230+1024+837</f>
        <v>2091</v>
      </c>
      <c r="N1087" s="110">
        <f>M1087-F1087</f>
        <v>91</v>
      </c>
      <c r="O1087" s="110" t="s">
        <v>111</v>
      </c>
      <c r="P1087" s="83"/>
      <c r="Q1087" s="83">
        <f>227+1005+826</f>
        <v>2058</v>
      </c>
      <c r="R1087" s="83"/>
      <c r="S1087" s="83">
        <v>2055</v>
      </c>
      <c r="T1087" s="110">
        <f>S1087-Q1087</f>
        <v>-3</v>
      </c>
      <c r="U1087" s="59">
        <f t="shared" si="1418"/>
        <v>6</v>
      </c>
      <c r="V1087" s="83"/>
      <c r="W1087" s="83">
        <v>2049</v>
      </c>
      <c r="X1087" s="110">
        <f>W1087-M1087</f>
        <v>-42</v>
      </c>
      <c r="Y1087" s="110"/>
      <c r="Z1087" s="110"/>
      <c r="AA1087" s="110"/>
      <c r="AB1087" s="83"/>
      <c r="AC1087" s="106"/>
      <c r="AD1087" s="106"/>
      <c r="AE1087" s="100">
        <f t="shared" ref="AE1087:AE1096" si="1419">N1087/F1087</f>
        <v>4.5499999999999999E-2</v>
      </c>
      <c r="AF1087" s="90"/>
      <c r="AG1087" s="109">
        <f t="shared" ref="AG1087:AG1096" si="1420">IF(N1087&lt;0,N1087,0)</f>
        <v>0</v>
      </c>
      <c r="AH1087" s="100">
        <f t="shared" ref="AH1087:AH1096" si="1421">(S1087-F1087)/F1087</f>
        <v>2.75E-2</v>
      </c>
      <c r="AI1087" s="100">
        <f t="shared" ref="AI1087:AI1096" si="1422">(W1087-F1087)/F1087</f>
        <v>2.4500000000000001E-2</v>
      </c>
    </row>
    <row r="1088" spans="1:35" s="82" customFormat="1" ht="16.5" customHeight="1" x14ac:dyDescent="0.3">
      <c r="A1088" s="90" t="s">
        <v>46</v>
      </c>
      <c r="B1088" s="90" t="s">
        <v>52</v>
      </c>
      <c r="C1088" s="137"/>
      <c r="D1088" s="90"/>
      <c r="E1088" s="80"/>
      <c r="F1088" s="81">
        <f>SUM(F1087:F1087)</f>
        <v>2000</v>
      </c>
      <c r="G1088" s="81"/>
      <c r="H1088" s="81"/>
      <c r="I1088" s="81"/>
      <c r="J1088" s="81" t="s">
        <v>59</v>
      </c>
      <c r="K1088" s="85" t="s">
        <v>210</v>
      </c>
      <c r="L1088" s="81">
        <f>SUM(L1087:L1087)</f>
        <v>0</v>
      </c>
      <c r="M1088" s="81">
        <f>SUM(M1087:M1087)</f>
        <v>2091</v>
      </c>
      <c r="N1088" s="81">
        <f>SUM(N1087:N1087)</f>
        <v>91</v>
      </c>
      <c r="O1088" s="81" t="s">
        <v>808</v>
      </c>
      <c r="P1088" s="81">
        <f>SUM(P1087:P1087)</f>
        <v>0</v>
      </c>
      <c r="Q1088" s="81">
        <f>SUM(Q1087:Q1087)</f>
        <v>2058</v>
      </c>
      <c r="R1088" s="81">
        <f>SUM(R1087:R1087)</f>
        <v>0</v>
      </c>
      <c r="S1088" s="81">
        <f>SUM(S1087:S1087)</f>
        <v>2055</v>
      </c>
      <c r="T1088" s="81">
        <f>SUM(T1087:T1087)</f>
        <v>-3</v>
      </c>
      <c r="U1088" s="59">
        <f t="shared" si="1418"/>
        <v>6</v>
      </c>
      <c r="V1088" s="81">
        <f>SUM(V1087:V1087)</f>
        <v>0</v>
      </c>
      <c r="W1088" s="81">
        <f>SUM(W1087:W1087)</f>
        <v>2049</v>
      </c>
      <c r="X1088" s="81">
        <f>SUM(X1087:X1087)</f>
        <v>-42</v>
      </c>
      <c r="Y1088" s="81" t="s">
        <v>47</v>
      </c>
      <c r="Z1088" s="110" t="s">
        <v>45</v>
      </c>
      <c r="AA1088" s="110"/>
      <c r="AB1088" s="84"/>
      <c r="AC1088" s="136"/>
      <c r="AD1088" s="136"/>
      <c r="AE1088" s="100">
        <f t="shared" si="1419"/>
        <v>4.5499999999999999E-2</v>
      </c>
      <c r="AF1088" s="90"/>
      <c r="AG1088" s="109">
        <f t="shared" si="1420"/>
        <v>0</v>
      </c>
      <c r="AH1088" s="100">
        <f t="shared" si="1421"/>
        <v>2.75E-2</v>
      </c>
      <c r="AI1088" s="100">
        <f t="shared" si="1422"/>
        <v>2.4500000000000001E-2</v>
      </c>
    </row>
    <row r="1089" spans="1:35" s="86" customFormat="1" ht="18.75" customHeight="1" x14ac:dyDescent="0.3">
      <c r="A1089" s="106"/>
      <c r="B1089" s="106" t="s">
        <v>52</v>
      </c>
      <c r="C1089" s="144" t="s">
        <v>625</v>
      </c>
      <c r="D1089" s="175">
        <v>13238720</v>
      </c>
      <c r="E1089" s="120" t="s">
        <v>361</v>
      </c>
      <c r="F1089" s="83">
        <v>4064</v>
      </c>
      <c r="G1089" s="83"/>
      <c r="H1089" s="83"/>
      <c r="I1089" s="83"/>
      <c r="J1089" s="83"/>
      <c r="K1089" s="83"/>
      <c r="L1089" s="83"/>
      <c r="M1089" s="83">
        <f>1595+1496+528+529</f>
        <v>4148</v>
      </c>
      <c r="N1089" s="110">
        <f>M1089-F1089</f>
        <v>84</v>
      </c>
      <c r="O1089" s="110" t="s">
        <v>111</v>
      </c>
      <c r="P1089" s="83"/>
      <c r="Q1089" s="83"/>
      <c r="R1089" s="83"/>
      <c r="S1089" s="83"/>
      <c r="T1089" s="110">
        <f>S1089-Q1089</f>
        <v>0</v>
      </c>
      <c r="U1089" s="59">
        <f t="shared" si="1418"/>
        <v>0</v>
      </c>
      <c r="V1089" s="83"/>
      <c r="W1089" s="83">
        <v>4148</v>
      </c>
      <c r="X1089" s="110">
        <f>W1089-M1089</f>
        <v>0</v>
      </c>
      <c r="Y1089" s="110"/>
      <c r="Z1089" s="110"/>
      <c r="AA1089" s="110"/>
      <c r="AB1089" s="83"/>
      <c r="AC1089" s="106"/>
      <c r="AD1089" s="106"/>
      <c r="AE1089" s="100">
        <f t="shared" ref="AE1089:AE1092" si="1423">N1089/F1089</f>
        <v>2.0669291338582679E-2</v>
      </c>
      <c r="AF1089" s="90"/>
      <c r="AG1089" s="109">
        <f t="shared" ref="AG1089:AG1092" si="1424">IF(N1089&lt;0,N1089,0)</f>
        <v>0</v>
      </c>
      <c r="AH1089" s="100">
        <f t="shared" ref="AH1089:AH1092" si="1425">(S1089-F1089)/F1089</f>
        <v>-1</v>
      </c>
      <c r="AI1089" s="100">
        <f t="shared" ref="AI1089:AI1092" si="1426">(W1089-F1089)/F1089</f>
        <v>2.0669291338582679E-2</v>
      </c>
    </row>
    <row r="1090" spans="1:35" s="82" customFormat="1" ht="16.5" customHeight="1" x14ac:dyDescent="0.3">
      <c r="A1090" s="90" t="s">
        <v>46</v>
      </c>
      <c r="B1090" s="90" t="s">
        <v>52</v>
      </c>
      <c r="C1090" s="137"/>
      <c r="D1090" s="90"/>
      <c r="E1090" s="80"/>
      <c r="F1090" s="81">
        <f>SUM(F1089:F1089)</f>
        <v>4064</v>
      </c>
      <c r="G1090" s="81"/>
      <c r="H1090" s="81"/>
      <c r="I1090" s="81"/>
      <c r="J1090" s="81" t="s">
        <v>60</v>
      </c>
      <c r="K1090" s="85" t="s">
        <v>290</v>
      </c>
      <c r="L1090" s="81">
        <f>SUM(L1089:L1089)</f>
        <v>0</v>
      </c>
      <c r="M1090" s="81">
        <f>SUM(M1089:M1089)</f>
        <v>4148</v>
      </c>
      <c r="N1090" s="81">
        <f>SUM(N1089:N1089)</f>
        <v>84</v>
      </c>
      <c r="O1090" s="81"/>
      <c r="P1090" s="81">
        <f>SUM(P1089:P1089)</f>
        <v>0</v>
      </c>
      <c r="Q1090" s="81">
        <f>SUM(Q1089:Q1089)</f>
        <v>0</v>
      </c>
      <c r="R1090" s="81">
        <f>SUM(R1089:R1089)</f>
        <v>0</v>
      </c>
      <c r="S1090" s="81">
        <f>SUM(S1089:S1089)</f>
        <v>0</v>
      </c>
      <c r="T1090" s="81">
        <f>SUM(T1089:T1089)</f>
        <v>0</v>
      </c>
      <c r="U1090" s="59">
        <f t="shared" si="1418"/>
        <v>0</v>
      </c>
      <c r="V1090" s="81">
        <f>SUM(V1089:V1089)</f>
        <v>0</v>
      </c>
      <c r="W1090" s="81">
        <f>SUM(W1089:W1089)</f>
        <v>4148</v>
      </c>
      <c r="X1090" s="81">
        <f>SUM(X1089:X1089)</f>
        <v>0</v>
      </c>
      <c r="Y1090" s="81"/>
      <c r="Z1090" s="110"/>
      <c r="AA1090" s="110"/>
      <c r="AB1090" s="84"/>
      <c r="AC1090" s="136"/>
      <c r="AD1090" s="136"/>
      <c r="AE1090" s="100">
        <f t="shared" si="1423"/>
        <v>2.0669291338582679E-2</v>
      </c>
      <c r="AF1090" s="90"/>
      <c r="AG1090" s="109">
        <f t="shared" si="1424"/>
        <v>0</v>
      </c>
      <c r="AH1090" s="100">
        <f t="shared" si="1425"/>
        <v>-1</v>
      </c>
      <c r="AI1090" s="100">
        <f t="shared" si="1426"/>
        <v>2.0669291338582679E-2</v>
      </c>
    </row>
    <row r="1091" spans="1:35" s="86" customFormat="1" ht="18.75" customHeight="1" x14ac:dyDescent="0.3">
      <c r="A1091" s="106"/>
      <c r="B1091" s="106" t="s">
        <v>52</v>
      </c>
      <c r="C1091" s="144">
        <v>48278</v>
      </c>
      <c r="D1091" s="175">
        <v>13265101</v>
      </c>
      <c r="E1091" s="120" t="s">
        <v>759</v>
      </c>
      <c r="F1091" s="83">
        <v>1210</v>
      </c>
      <c r="G1091" s="83"/>
      <c r="H1091" s="83"/>
      <c r="I1091" s="83"/>
      <c r="J1091" s="83"/>
      <c r="K1091" s="83"/>
      <c r="L1091" s="83"/>
      <c r="M1091" s="83"/>
      <c r="N1091" s="110">
        <f>M1091-F1091</f>
        <v>-1210</v>
      </c>
      <c r="O1091" s="110" t="s">
        <v>111</v>
      </c>
      <c r="P1091" s="83"/>
      <c r="Q1091" s="83"/>
      <c r="R1091" s="83"/>
      <c r="S1091" s="83"/>
      <c r="T1091" s="110">
        <f>S1091-Q1091</f>
        <v>0</v>
      </c>
      <c r="U1091" s="59">
        <f t="shared" si="1418"/>
        <v>0</v>
      </c>
      <c r="V1091" s="83"/>
      <c r="W1091" s="83"/>
      <c r="X1091" s="110">
        <f>W1091-M1091</f>
        <v>0</v>
      </c>
      <c r="Y1091" s="110"/>
      <c r="Z1091" s="110"/>
      <c r="AA1091" s="110"/>
      <c r="AB1091" s="83"/>
      <c r="AC1091" s="106"/>
      <c r="AD1091" s="106"/>
      <c r="AE1091" s="100">
        <f t="shared" si="1423"/>
        <v>-1</v>
      </c>
      <c r="AF1091" s="90"/>
      <c r="AG1091" s="109">
        <f t="shared" si="1424"/>
        <v>-1210</v>
      </c>
      <c r="AH1091" s="100">
        <f t="shared" si="1425"/>
        <v>-1</v>
      </c>
      <c r="AI1091" s="100">
        <f t="shared" si="1426"/>
        <v>-1</v>
      </c>
    </row>
    <row r="1092" spans="1:35" s="82" customFormat="1" ht="16.5" customHeight="1" x14ac:dyDescent="0.3">
      <c r="A1092" s="90" t="s">
        <v>46</v>
      </c>
      <c r="B1092" s="90" t="s">
        <v>52</v>
      </c>
      <c r="C1092" s="137"/>
      <c r="D1092" s="90"/>
      <c r="E1092" s="80"/>
      <c r="F1092" s="81">
        <f>SUM(F1091:F1091)</f>
        <v>1210</v>
      </c>
      <c r="G1092" s="81"/>
      <c r="H1092" s="81"/>
      <c r="I1092" s="81"/>
      <c r="J1092" s="81"/>
      <c r="K1092" s="85" t="s">
        <v>330</v>
      </c>
      <c r="L1092" s="81">
        <f>SUM(L1091:L1091)</f>
        <v>0</v>
      </c>
      <c r="M1092" s="81">
        <f>SUM(M1091:M1091)</f>
        <v>0</v>
      </c>
      <c r="N1092" s="81">
        <f>SUM(N1091:N1091)</f>
        <v>-1210</v>
      </c>
      <c r="O1092" s="81"/>
      <c r="P1092" s="81">
        <f>SUM(P1091:P1091)</f>
        <v>0</v>
      </c>
      <c r="Q1092" s="81">
        <f>SUM(Q1091:Q1091)</f>
        <v>0</v>
      </c>
      <c r="R1092" s="81">
        <f>SUM(R1091:R1091)</f>
        <v>0</v>
      </c>
      <c r="S1092" s="81">
        <f>SUM(S1091:S1091)</f>
        <v>0</v>
      </c>
      <c r="T1092" s="81">
        <f>SUM(T1091:T1091)</f>
        <v>0</v>
      </c>
      <c r="U1092" s="59">
        <f t="shared" si="1418"/>
        <v>0</v>
      </c>
      <c r="V1092" s="81">
        <f>SUM(V1091:V1091)</f>
        <v>0</v>
      </c>
      <c r="W1092" s="81">
        <f>SUM(W1091:W1091)</f>
        <v>0</v>
      </c>
      <c r="X1092" s="81">
        <f>SUM(X1091:X1091)</f>
        <v>0</v>
      </c>
      <c r="Y1092" s="81" t="s">
        <v>47</v>
      </c>
      <c r="Z1092" s="110" t="s">
        <v>45</v>
      </c>
      <c r="AA1092" s="110"/>
      <c r="AB1092" s="84"/>
      <c r="AC1092" s="136"/>
      <c r="AD1092" s="136"/>
      <c r="AE1092" s="100">
        <f t="shared" si="1423"/>
        <v>-1</v>
      </c>
      <c r="AF1092" s="90"/>
      <c r="AG1092" s="109">
        <f t="shared" si="1424"/>
        <v>-1210</v>
      </c>
      <c r="AH1092" s="100">
        <f t="shared" si="1425"/>
        <v>-1</v>
      </c>
      <c r="AI1092" s="100">
        <f t="shared" si="1426"/>
        <v>-1</v>
      </c>
    </row>
    <row r="1093" spans="1:35" s="86" customFormat="1" ht="18.75" customHeight="1" x14ac:dyDescent="0.3">
      <c r="A1093" s="106"/>
      <c r="B1093" s="106" t="s">
        <v>52</v>
      </c>
      <c r="C1093" s="144">
        <v>48276</v>
      </c>
      <c r="D1093" s="175">
        <v>13265120</v>
      </c>
      <c r="E1093" s="120" t="s">
        <v>760</v>
      </c>
      <c r="F1093" s="83">
        <v>880</v>
      </c>
      <c r="G1093" s="83"/>
      <c r="H1093" s="83"/>
      <c r="I1093" s="83"/>
      <c r="J1093" s="83"/>
      <c r="K1093" s="83"/>
      <c r="L1093" s="83"/>
      <c r="M1093" s="83"/>
      <c r="N1093" s="110">
        <f>M1093-F1093</f>
        <v>-880</v>
      </c>
      <c r="O1093" s="110" t="s">
        <v>111</v>
      </c>
      <c r="P1093" s="83"/>
      <c r="Q1093" s="83"/>
      <c r="R1093" s="83"/>
      <c r="S1093" s="83"/>
      <c r="T1093" s="110">
        <f>S1093-Q1093</f>
        <v>0</v>
      </c>
      <c r="U1093" s="59">
        <f t="shared" si="1418"/>
        <v>0</v>
      </c>
      <c r="V1093" s="83"/>
      <c r="W1093" s="83"/>
      <c r="X1093" s="110">
        <f>W1093-M1093</f>
        <v>0</v>
      </c>
      <c r="Y1093" s="110"/>
      <c r="Z1093" s="110"/>
      <c r="AA1093" s="110"/>
      <c r="AB1093" s="83"/>
      <c r="AC1093" s="106"/>
      <c r="AD1093" s="106"/>
      <c r="AE1093" s="100">
        <f t="shared" si="1419"/>
        <v>-1</v>
      </c>
      <c r="AF1093" s="90"/>
      <c r="AG1093" s="109">
        <f t="shared" si="1420"/>
        <v>-880</v>
      </c>
      <c r="AH1093" s="100">
        <f t="shared" si="1421"/>
        <v>-1</v>
      </c>
      <c r="AI1093" s="100">
        <f t="shared" si="1422"/>
        <v>-1</v>
      </c>
    </row>
    <row r="1094" spans="1:35" s="82" customFormat="1" ht="16.5" customHeight="1" x14ac:dyDescent="0.3">
      <c r="A1094" s="90" t="s">
        <v>46</v>
      </c>
      <c r="B1094" s="90" t="s">
        <v>52</v>
      </c>
      <c r="C1094" s="137"/>
      <c r="D1094" s="90"/>
      <c r="E1094" s="80"/>
      <c r="F1094" s="81">
        <f>SUM(F1093:F1093)</f>
        <v>880</v>
      </c>
      <c r="G1094" s="81"/>
      <c r="H1094" s="81"/>
      <c r="I1094" s="81"/>
      <c r="J1094" s="81"/>
      <c r="K1094" s="85" t="s">
        <v>330</v>
      </c>
      <c r="L1094" s="81">
        <f>SUM(L1093:L1093)</f>
        <v>0</v>
      </c>
      <c r="M1094" s="81">
        <f>SUM(M1093:M1093)</f>
        <v>0</v>
      </c>
      <c r="N1094" s="81">
        <f>SUM(N1093:N1093)</f>
        <v>-880</v>
      </c>
      <c r="O1094" s="81"/>
      <c r="P1094" s="81">
        <f>SUM(P1093:P1093)</f>
        <v>0</v>
      </c>
      <c r="Q1094" s="81">
        <f>SUM(Q1093:Q1093)</f>
        <v>0</v>
      </c>
      <c r="R1094" s="81">
        <f>SUM(R1093:R1093)</f>
        <v>0</v>
      </c>
      <c r="S1094" s="81">
        <f>SUM(S1093:S1093)</f>
        <v>0</v>
      </c>
      <c r="T1094" s="81">
        <f>SUM(T1093:T1093)</f>
        <v>0</v>
      </c>
      <c r="U1094" s="59">
        <f t="shared" si="1418"/>
        <v>0</v>
      </c>
      <c r="V1094" s="81">
        <f>SUM(V1093:V1093)</f>
        <v>0</v>
      </c>
      <c r="W1094" s="81">
        <f>SUM(W1093:W1093)</f>
        <v>0</v>
      </c>
      <c r="X1094" s="81">
        <f>SUM(X1093:X1093)</f>
        <v>0</v>
      </c>
      <c r="Y1094" s="81"/>
      <c r="Z1094" s="110"/>
      <c r="AA1094" s="110"/>
      <c r="AB1094" s="84"/>
      <c r="AC1094" s="136"/>
      <c r="AD1094" s="136"/>
      <c r="AE1094" s="100">
        <f t="shared" si="1419"/>
        <v>-1</v>
      </c>
      <c r="AF1094" s="90"/>
      <c r="AG1094" s="109">
        <f t="shared" si="1420"/>
        <v>-880</v>
      </c>
      <c r="AH1094" s="100">
        <f t="shared" si="1421"/>
        <v>-1</v>
      </c>
      <c r="AI1094" s="100">
        <f t="shared" si="1422"/>
        <v>-1</v>
      </c>
    </row>
    <row r="1095" spans="1:35" s="86" customFormat="1" ht="18.75" customHeight="1" x14ac:dyDescent="0.3">
      <c r="A1095" s="106"/>
      <c r="B1095" s="106" t="s">
        <v>52</v>
      </c>
      <c r="C1095" s="144">
        <v>48050</v>
      </c>
      <c r="D1095" s="191">
        <v>13267591</v>
      </c>
      <c r="E1095" s="120" t="s">
        <v>402</v>
      </c>
      <c r="F1095" s="83">
        <v>1005</v>
      </c>
      <c r="G1095" s="83"/>
      <c r="H1095" s="83"/>
      <c r="I1095" s="83"/>
      <c r="J1095" s="83"/>
      <c r="K1095" s="83"/>
      <c r="L1095" s="83"/>
      <c r="M1095" s="83">
        <v>1044</v>
      </c>
      <c r="N1095" s="110">
        <f>M1095-F1095</f>
        <v>39</v>
      </c>
      <c r="O1095" s="110" t="s">
        <v>111</v>
      </c>
      <c r="P1095" s="83"/>
      <c r="Q1095" s="83">
        <v>1044</v>
      </c>
      <c r="R1095" s="83"/>
      <c r="S1095" s="83">
        <v>1044</v>
      </c>
      <c r="T1095" s="110">
        <f>S1095-Q1095</f>
        <v>0</v>
      </c>
      <c r="U1095" s="59">
        <f t="shared" ref="U1095:U1096" si="1427">IF(Q1095&gt;0,S1095-W1095,M1095-W1095)</f>
        <v>4</v>
      </c>
      <c r="V1095" s="83"/>
      <c r="W1095" s="83">
        <v>1040</v>
      </c>
      <c r="X1095" s="110">
        <f>W1095-M1095</f>
        <v>-4</v>
      </c>
      <c r="Y1095" s="110"/>
      <c r="Z1095" s="110"/>
      <c r="AA1095" s="110"/>
      <c r="AB1095" s="83"/>
      <c r="AC1095" s="106"/>
      <c r="AD1095" s="106"/>
      <c r="AE1095" s="100">
        <f t="shared" si="1419"/>
        <v>3.880597014925373E-2</v>
      </c>
      <c r="AF1095" s="90"/>
      <c r="AG1095" s="109">
        <f t="shared" si="1420"/>
        <v>0</v>
      </c>
      <c r="AH1095" s="100">
        <f t="shared" si="1421"/>
        <v>3.880597014925373E-2</v>
      </c>
      <c r="AI1095" s="100">
        <f t="shared" si="1422"/>
        <v>3.482587064676617E-2</v>
      </c>
    </row>
    <row r="1096" spans="1:35" s="82" customFormat="1" ht="16.5" customHeight="1" x14ac:dyDescent="0.3">
      <c r="A1096" s="90" t="s">
        <v>46</v>
      </c>
      <c r="B1096" s="90" t="s">
        <v>52</v>
      </c>
      <c r="C1096" s="137"/>
      <c r="D1096" s="90"/>
      <c r="E1096" s="80"/>
      <c r="F1096" s="81">
        <f>SUM(F1095:F1095)</f>
        <v>1005</v>
      </c>
      <c r="G1096" s="81"/>
      <c r="H1096" s="81"/>
      <c r="I1096" s="81"/>
      <c r="J1096" s="81" t="s">
        <v>60</v>
      </c>
      <c r="K1096" s="85" t="s">
        <v>226</v>
      </c>
      <c r="L1096" s="81">
        <f>SUM(L1095:L1095)</f>
        <v>0</v>
      </c>
      <c r="M1096" s="81">
        <f>SUM(M1095:M1095)</f>
        <v>1044</v>
      </c>
      <c r="N1096" s="81">
        <f>SUM(N1095:N1095)</f>
        <v>39</v>
      </c>
      <c r="O1096" s="81" t="s">
        <v>272</v>
      </c>
      <c r="P1096" s="81">
        <f>SUM(P1095:P1095)</f>
        <v>0</v>
      </c>
      <c r="Q1096" s="81">
        <f>SUM(Q1095:Q1095)</f>
        <v>1044</v>
      </c>
      <c r="R1096" s="81">
        <f>SUM(R1095:R1095)</f>
        <v>0</v>
      </c>
      <c r="S1096" s="81">
        <f>SUM(S1095:S1095)</f>
        <v>1044</v>
      </c>
      <c r="T1096" s="81">
        <f>SUM(T1095:T1095)</f>
        <v>0</v>
      </c>
      <c r="U1096" s="59">
        <f t="shared" si="1427"/>
        <v>4</v>
      </c>
      <c r="V1096" s="81">
        <f>SUM(V1095:V1095)</f>
        <v>0</v>
      </c>
      <c r="W1096" s="81">
        <f>SUM(W1095:W1095)</f>
        <v>1040</v>
      </c>
      <c r="X1096" s="81">
        <f>SUM(X1095:X1095)</f>
        <v>-4</v>
      </c>
      <c r="Y1096" s="81" t="s">
        <v>57</v>
      </c>
      <c r="Z1096" s="110" t="s">
        <v>45</v>
      </c>
      <c r="AA1096" s="110"/>
      <c r="AB1096" s="84"/>
      <c r="AC1096" s="136"/>
      <c r="AD1096" s="136"/>
      <c r="AE1096" s="100">
        <f t="shared" si="1419"/>
        <v>3.880597014925373E-2</v>
      </c>
      <c r="AF1096" s="90"/>
      <c r="AG1096" s="109">
        <f t="shared" si="1420"/>
        <v>0</v>
      </c>
      <c r="AH1096" s="100">
        <f t="shared" si="1421"/>
        <v>3.880597014925373E-2</v>
      </c>
      <c r="AI1096" s="100">
        <f t="shared" si="1422"/>
        <v>3.482587064676617E-2</v>
      </c>
    </row>
    <row r="1097" spans="1:35" s="86" customFormat="1" ht="18.75" customHeight="1" x14ac:dyDescent="0.3">
      <c r="A1097" s="106"/>
      <c r="B1097" s="106" t="s">
        <v>52</v>
      </c>
      <c r="C1097" s="144">
        <v>48275</v>
      </c>
      <c r="D1097" s="174">
        <v>13265119</v>
      </c>
      <c r="E1097" s="120" t="s">
        <v>760</v>
      </c>
      <c r="F1097" s="83">
        <v>813</v>
      </c>
      <c r="G1097" s="83"/>
      <c r="H1097" s="83"/>
      <c r="I1097" s="83"/>
      <c r="J1097" s="83"/>
      <c r="K1097" s="83"/>
      <c r="L1097" s="83">
        <v>846</v>
      </c>
      <c r="M1097" s="83">
        <v>846</v>
      </c>
      <c r="N1097" s="110">
        <f>M1097-F1097</f>
        <v>33</v>
      </c>
      <c r="O1097" s="110" t="s">
        <v>111</v>
      </c>
      <c r="P1097" s="83"/>
      <c r="Q1097" s="83"/>
      <c r="R1097" s="83"/>
      <c r="S1097" s="83"/>
      <c r="T1097" s="110">
        <f>S1097-Q1097</f>
        <v>0</v>
      </c>
      <c r="U1097" s="59">
        <f t="shared" si="1418"/>
        <v>846</v>
      </c>
      <c r="V1097" s="83"/>
      <c r="W1097" s="83"/>
      <c r="X1097" s="110">
        <f>W1097-M1097</f>
        <v>-846</v>
      </c>
      <c r="Y1097" s="110"/>
      <c r="Z1097" s="110"/>
      <c r="AA1097" s="110"/>
      <c r="AB1097" s="83"/>
      <c r="AC1097" s="106"/>
      <c r="AD1097" s="106"/>
      <c r="AE1097" s="100">
        <f t="shared" si="1414"/>
        <v>4.0590405904059039E-2</v>
      </c>
      <c r="AF1097" s="90"/>
      <c r="AG1097" s="109">
        <f t="shared" si="1415"/>
        <v>0</v>
      </c>
      <c r="AH1097" s="100">
        <f t="shared" si="1416"/>
        <v>-1</v>
      </c>
      <c r="AI1097" s="100">
        <f t="shared" si="1417"/>
        <v>-1</v>
      </c>
    </row>
    <row r="1098" spans="1:35" s="82" customFormat="1" ht="16.5" customHeight="1" x14ac:dyDescent="0.3">
      <c r="A1098" s="90" t="s">
        <v>46</v>
      </c>
      <c r="B1098" s="90" t="s">
        <v>52</v>
      </c>
      <c r="C1098" s="137"/>
      <c r="D1098" s="90"/>
      <c r="E1098" s="80"/>
      <c r="F1098" s="81">
        <f>SUM(F1097:F1097)</f>
        <v>813</v>
      </c>
      <c r="G1098" s="81"/>
      <c r="H1098" s="81"/>
      <c r="I1098" s="81"/>
      <c r="J1098" s="81" t="s">
        <v>60</v>
      </c>
      <c r="K1098" s="85" t="s">
        <v>330</v>
      </c>
      <c r="L1098" s="81">
        <f>SUM(L1097:L1097)</f>
        <v>846</v>
      </c>
      <c r="M1098" s="81">
        <f>SUM(M1097:M1097)</f>
        <v>846</v>
      </c>
      <c r="N1098" s="81">
        <f>SUM(N1097:N1097)</f>
        <v>33</v>
      </c>
      <c r="O1098" s="81"/>
      <c r="P1098" s="81">
        <f>SUM(P1097:P1097)</f>
        <v>0</v>
      </c>
      <c r="Q1098" s="81">
        <f>SUM(Q1097:Q1097)</f>
        <v>0</v>
      </c>
      <c r="R1098" s="81">
        <f>SUM(R1097:R1097)</f>
        <v>0</v>
      </c>
      <c r="S1098" s="81">
        <f>SUM(S1097:S1097)</f>
        <v>0</v>
      </c>
      <c r="T1098" s="81">
        <f>SUM(T1097:T1097)</f>
        <v>0</v>
      </c>
      <c r="U1098" s="59">
        <f t="shared" si="1418"/>
        <v>846</v>
      </c>
      <c r="V1098" s="81">
        <f>SUM(V1097:V1097)</f>
        <v>0</v>
      </c>
      <c r="W1098" s="81">
        <f>SUM(W1097:W1097)</f>
        <v>0</v>
      </c>
      <c r="X1098" s="81">
        <f>SUM(X1097:X1097)</f>
        <v>-846</v>
      </c>
      <c r="Y1098" s="81" t="s">
        <v>48</v>
      </c>
      <c r="Z1098" s="110" t="s">
        <v>45</v>
      </c>
      <c r="AA1098" s="110"/>
      <c r="AB1098" s="84"/>
      <c r="AC1098" s="136"/>
      <c r="AD1098" s="136"/>
      <c r="AE1098" s="100">
        <f t="shared" si="1414"/>
        <v>4.0590405904059039E-2</v>
      </c>
      <c r="AF1098" s="90"/>
      <c r="AG1098" s="109">
        <f t="shared" si="1415"/>
        <v>0</v>
      </c>
      <c r="AH1098" s="100">
        <f t="shared" si="1416"/>
        <v>-1</v>
      </c>
      <c r="AI1098" s="100">
        <f t="shared" si="1417"/>
        <v>-1</v>
      </c>
    </row>
    <row r="1099" spans="1:35" s="86" customFormat="1" ht="18.75" customHeight="1" x14ac:dyDescent="0.3">
      <c r="A1099" s="106"/>
      <c r="B1099" s="106" t="s">
        <v>52</v>
      </c>
      <c r="C1099" s="144">
        <v>48071</v>
      </c>
      <c r="D1099" s="182">
        <v>13263485</v>
      </c>
      <c r="E1099" s="120" t="s">
        <v>240</v>
      </c>
      <c r="F1099" s="83">
        <v>1134</v>
      </c>
      <c r="G1099" s="83"/>
      <c r="H1099" s="83"/>
      <c r="I1099" s="83"/>
      <c r="J1099" s="83" t="s">
        <v>44</v>
      </c>
      <c r="K1099" s="83"/>
      <c r="L1099" s="83"/>
      <c r="M1099" s="83">
        <f>104+232+224+320+186+95</f>
        <v>1161</v>
      </c>
      <c r="N1099" s="110">
        <f>M1099-F1099</f>
        <v>27</v>
      </c>
      <c r="O1099" s="110" t="s">
        <v>111</v>
      </c>
      <c r="P1099" s="83"/>
      <c r="Q1099" s="83">
        <f>104+232+224+506+95</f>
        <v>1161</v>
      </c>
      <c r="R1099" s="83"/>
      <c r="S1099" s="83">
        <v>1161</v>
      </c>
      <c r="T1099" s="110">
        <f>S1099-Q1099</f>
        <v>0</v>
      </c>
      <c r="U1099" s="59">
        <f t="shared" si="1418"/>
        <v>2</v>
      </c>
      <c r="V1099" s="83"/>
      <c r="W1099" s="83">
        <v>1159</v>
      </c>
      <c r="X1099" s="110">
        <f>W1099-M1099</f>
        <v>-2</v>
      </c>
      <c r="Y1099" s="110"/>
      <c r="Z1099" s="110"/>
      <c r="AA1099" s="110"/>
      <c r="AB1099" s="83"/>
      <c r="AC1099" s="106"/>
      <c r="AD1099" s="106"/>
      <c r="AE1099" s="100">
        <f t="shared" ref="AE1099:AE1102" si="1428">N1099/F1099</f>
        <v>2.3809523809523808E-2</v>
      </c>
      <c r="AF1099" s="90"/>
      <c r="AG1099" s="109">
        <f t="shared" ref="AG1099:AG1102" si="1429">IF(N1099&lt;0,N1099,0)</f>
        <v>0</v>
      </c>
      <c r="AH1099" s="100">
        <f t="shared" ref="AH1099:AH1102" si="1430">(S1099-F1099)/F1099</f>
        <v>2.3809523809523808E-2</v>
      </c>
      <c r="AI1099" s="100">
        <f t="shared" ref="AI1099:AI1102" si="1431">(W1099-F1099)/F1099</f>
        <v>2.2045855379188711E-2</v>
      </c>
    </row>
    <row r="1100" spans="1:35" s="82" customFormat="1" ht="16.5" customHeight="1" x14ac:dyDescent="0.3">
      <c r="A1100" s="90" t="s">
        <v>46</v>
      </c>
      <c r="B1100" s="90" t="s">
        <v>52</v>
      </c>
      <c r="C1100" s="137"/>
      <c r="D1100" s="90"/>
      <c r="E1100" s="80"/>
      <c r="F1100" s="81">
        <f>SUM(F1099:F1099)</f>
        <v>1134</v>
      </c>
      <c r="G1100" s="81"/>
      <c r="H1100" s="81"/>
      <c r="I1100" s="81"/>
      <c r="J1100" s="81" t="s">
        <v>60</v>
      </c>
      <c r="K1100" s="85" t="s">
        <v>324</v>
      </c>
      <c r="L1100" s="81">
        <f>SUM(L1099:L1099)</f>
        <v>0</v>
      </c>
      <c r="M1100" s="81">
        <f>SUM(M1099:M1099)</f>
        <v>1161</v>
      </c>
      <c r="N1100" s="81">
        <f>SUM(N1099:N1099)</f>
        <v>27</v>
      </c>
      <c r="O1100" s="81" t="s">
        <v>758</v>
      </c>
      <c r="P1100" s="81">
        <f>SUM(P1099:P1099)</f>
        <v>0</v>
      </c>
      <c r="Q1100" s="81">
        <f>SUM(Q1099:Q1099)</f>
        <v>1161</v>
      </c>
      <c r="R1100" s="81">
        <f>SUM(R1099:R1099)</f>
        <v>0</v>
      </c>
      <c r="S1100" s="81">
        <f>SUM(S1099:S1099)</f>
        <v>1161</v>
      </c>
      <c r="T1100" s="81">
        <f>SUM(T1099:T1099)</f>
        <v>0</v>
      </c>
      <c r="U1100" s="59">
        <f t="shared" si="1418"/>
        <v>2</v>
      </c>
      <c r="V1100" s="81">
        <f>SUM(V1099:V1099)</f>
        <v>0</v>
      </c>
      <c r="W1100" s="81">
        <f>SUM(W1099:W1099)</f>
        <v>1159</v>
      </c>
      <c r="X1100" s="81">
        <f>SUM(X1099:X1099)</f>
        <v>-2</v>
      </c>
      <c r="Y1100" s="81" t="s">
        <v>47</v>
      </c>
      <c r="Z1100" s="110" t="s">
        <v>45</v>
      </c>
      <c r="AA1100" s="110"/>
      <c r="AB1100" s="84"/>
      <c r="AC1100" s="136"/>
      <c r="AD1100" s="136"/>
      <c r="AE1100" s="100">
        <f t="shared" si="1428"/>
        <v>2.3809523809523808E-2</v>
      </c>
      <c r="AF1100" s="90"/>
      <c r="AG1100" s="109">
        <f t="shared" si="1429"/>
        <v>0</v>
      </c>
      <c r="AH1100" s="100">
        <f t="shared" si="1430"/>
        <v>2.3809523809523808E-2</v>
      </c>
      <c r="AI1100" s="100">
        <f t="shared" si="1431"/>
        <v>2.2045855379188711E-2</v>
      </c>
    </row>
    <row r="1101" spans="1:35" s="86" customFormat="1" ht="18.75" customHeight="1" x14ac:dyDescent="0.3">
      <c r="A1101" s="106"/>
      <c r="B1101" s="106" t="s">
        <v>52</v>
      </c>
      <c r="C1101" s="144">
        <v>48054</v>
      </c>
      <c r="D1101" s="182">
        <v>13264032</v>
      </c>
      <c r="E1101" s="120" t="s">
        <v>364</v>
      </c>
      <c r="F1101" s="83">
        <v>1929</v>
      </c>
      <c r="G1101" s="83"/>
      <c r="H1101" s="83"/>
      <c r="I1101" s="83"/>
      <c r="J1101" s="83"/>
      <c r="K1101" s="83"/>
      <c r="L1101" s="83"/>
      <c r="M1101" s="83">
        <f>1129+517+7</f>
        <v>1653</v>
      </c>
      <c r="N1101" s="110">
        <f>M1101-F1101</f>
        <v>-276</v>
      </c>
      <c r="O1101" s="110" t="s">
        <v>111</v>
      </c>
      <c r="P1101" s="83"/>
      <c r="Q1101" s="83">
        <f>282+795+576</f>
        <v>1653</v>
      </c>
      <c r="R1101" s="83"/>
      <c r="S1101" s="83">
        <f>173+791+636+42</f>
        <v>1642</v>
      </c>
      <c r="T1101" s="110">
        <f>S1101-Q1101</f>
        <v>-11</v>
      </c>
      <c r="U1101" s="59">
        <f t="shared" si="1418"/>
        <v>0</v>
      </c>
      <c r="V1101" s="83"/>
      <c r="W1101" s="83">
        <v>1642</v>
      </c>
      <c r="X1101" s="110">
        <f>W1101-M1101</f>
        <v>-11</v>
      </c>
      <c r="Y1101" s="110"/>
      <c r="Z1101" s="110"/>
      <c r="AA1101" s="110"/>
      <c r="AB1101" s="83"/>
      <c r="AC1101" s="106"/>
      <c r="AD1101" s="106"/>
      <c r="AE1101" s="100">
        <f t="shared" si="1428"/>
        <v>-0.14307931570762053</v>
      </c>
      <c r="AF1101" s="90"/>
      <c r="AG1101" s="109">
        <f t="shared" si="1429"/>
        <v>-276</v>
      </c>
      <c r="AH1101" s="100">
        <f t="shared" si="1430"/>
        <v>-0.1487817522032141</v>
      </c>
      <c r="AI1101" s="100">
        <f t="shared" si="1431"/>
        <v>-0.1487817522032141</v>
      </c>
    </row>
    <row r="1102" spans="1:35" s="82" customFormat="1" ht="16.5" customHeight="1" x14ac:dyDescent="0.3">
      <c r="A1102" s="90" t="s">
        <v>46</v>
      </c>
      <c r="B1102" s="90" t="s">
        <v>52</v>
      </c>
      <c r="C1102" s="137"/>
      <c r="D1102" s="90"/>
      <c r="E1102" s="80"/>
      <c r="F1102" s="81">
        <f>SUM(F1101:F1101)</f>
        <v>1929</v>
      </c>
      <c r="G1102" s="81"/>
      <c r="H1102" s="81"/>
      <c r="I1102" s="81"/>
      <c r="J1102" s="81" t="s">
        <v>60</v>
      </c>
      <c r="K1102" s="85" t="s">
        <v>226</v>
      </c>
      <c r="L1102" s="81">
        <f>SUM(L1101:L1101)</f>
        <v>0</v>
      </c>
      <c r="M1102" s="81">
        <f>SUM(M1101:M1101)</f>
        <v>1653</v>
      </c>
      <c r="N1102" s="81">
        <f>SUM(N1101:N1101)</f>
        <v>-276</v>
      </c>
      <c r="O1102" s="81" t="s">
        <v>479</v>
      </c>
      <c r="P1102" s="81">
        <f>SUM(P1101:P1101)</f>
        <v>0</v>
      </c>
      <c r="Q1102" s="81">
        <f>SUM(Q1101:Q1101)</f>
        <v>1653</v>
      </c>
      <c r="R1102" s="81">
        <f>SUM(R1101:R1101)</f>
        <v>0</v>
      </c>
      <c r="S1102" s="81">
        <f>SUM(S1101:S1101)</f>
        <v>1642</v>
      </c>
      <c r="T1102" s="81">
        <f>SUM(T1101:T1101)</f>
        <v>-11</v>
      </c>
      <c r="U1102" s="59">
        <f t="shared" si="1418"/>
        <v>0</v>
      </c>
      <c r="V1102" s="81">
        <f>SUM(V1101:V1101)</f>
        <v>0</v>
      </c>
      <c r="W1102" s="81">
        <f>SUM(W1101:W1101)</f>
        <v>1642</v>
      </c>
      <c r="X1102" s="81">
        <f>SUM(X1101:X1101)</f>
        <v>-11</v>
      </c>
      <c r="Y1102" s="81" t="s">
        <v>48</v>
      </c>
      <c r="Z1102" s="110" t="s">
        <v>45</v>
      </c>
      <c r="AA1102" s="110"/>
      <c r="AB1102" s="84"/>
      <c r="AC1102" s="136"/>
      <c r="AD1102" s="136"/>
      <c r="AE1102" s="100">
        <f t="shared" si="1428"/>
        <v>-0.14307931570762053</v>
      </c>
      <c r="AF1102" s="90"/>
      <c r="AG1102" s="109">
        <f t="shared" si="1429"/>
        <v>-276</v>
      </c>
      <c r="AH1102" s="100">
        <f t="shared" si="1430"/>
        <v>-0.1487817522032141</v>
      </c>
      <c r="AI1102" s="100">
        <f t="shared" si="1431"/>
        <v>-0.1487817522032141</v>
      </c>
    </row>
    <row r="1103" spans="1:35" s="86" customFormat="1" ht="18.75" customHeight="1" x14ac:dyDescent="0.3">
      <c r="A1103" s="106"/>
      <c r="B1103" s="106" t="s">
        <v>52</v>
      </c>
      <c r="C1103" s="144">
        <v>47982</v>
      </c>
      <c r="D1103" s="182">
        <v>13263810</v>
      </c>
      <c r="E1103" s="120" t="s">
        <v>488</v>
      </c>
      <c r="F1103" s="83">
        <v>1125</v>
      </c>
      <c r="G1103" s="83"/>
      <c r="H1103" s="83"/>
      <c r="I1103" s="83"/>
      <c r="J1103" s="83"/>
      <c r="K1103" s="83"/>
      <c r="L1103" s="83"/>
      <c r="M1103" s="83">
        <f>1193</f>
        <v>1193</v>
      </c>
      <c r="N1103" s="110">
        <f>M1103-F1103</f>
        <v>68</v>
      </c>
      <c r="O1103" s="110" t="s">
        <v>111</v>
      </c>
      <c r="P1103" s="83"/>
      <c r="Q1103" s="83">
        <v>1193</v>
      </c>
      <c r="R1103" s="83"/>
      <c r="S1103" s="83">
        <v>1193</v>
      </c>
      <c r="T1103" s="110">
        <f>S1103-Q1103</f>
        <v>0</v>
      </c>
      <c r="U1103" s="59">
        <f t="shared" si="1418"/>
        <v>29</v>
      </c>
      <c r="V1103" s="83"/>
      <c r="W1103" s="83">
        <v>1164</v>
      </c>
      <c r="X1103" s="110">
        <f>W1103-M1103</f>
        <v>-29</v>
      </c>
      <c r="Y1103" s="110"/>
      <c r="Z1103" s="110"/>
      <c r="AA1103" s="110"/>
      <c r="AB1103" s="83"/>
      <c r="AC1103" s="106"/>
      <c r="AD1103" s="106"/>
      <c r="AE1103" s="100">
        <f t="shared" si="1414"/>
        <v>6.0444444444444446E-2</v>
      </c>
      <c r="AF1103" s="90"/>
      <c r="AG1103" s="109">
        <f t="shared" si="1415"/>
        <v>0</v>
      </c>
      <c r="AH1103" s="100">
        <f t="shared" si="1416"/>
        <v>6.0444444444444446E-2</v>
      </c>
      <c r="AI1103" s="100">
        <f t="shared" si="1417"/>
        <v>3.4666666666666665E-2</v>
      </c>
    </row>
    <row r="1104" spans="1:35" s="82" customFormat="1" ht="16.5" customHeight="1" x14ac:dyDescent="0.3">
      <c r="A1104" s="90" t="s">
        <v>46</v>
      </c>
      <c r="B1104" s="90" t="s">
        <v>52</v>
      </c>
      <c r="C1104" s="137"/>
      <c r="D1104" s="90"/>
      <c r="E1104" s="80"/>
      <c r="F1104" s="81">
        <f>SUM(F1103:F1103)</f>
        <v>1125</v>
      </c>
      <c r="G1104" s="81"/>
      <c r="H1104" s="81"/>
      <c r="I1104" s="81"/>
      <c r="J1104" s="81" t="s">
        <v>60</v>
      </c>
      <c r="K1104" s="85" t="s">
        <v>226</v>
      </c>
      <c r="L1104" s="81">
        <f>SUM(L1103:L1103)</f>
        <v>0</v>
      </c>
      <c r="M1104" s="81">
        <f>SUM(M1103:M1103)</f>
        <v>1193</v>
      </c>
      <c r="N1104" s="81">
        <f>SUM(N1103:N1103)</f>
        <v>68</v>
      </c>
      <c r="O1104" s="81" t="s">
        <v>709</v>
      </c>
      <c r="P1104" s="81">
        <f>SUM(P1103:P1103)</f>
        <v>0</v>
      </c>
      <c r="Q1104" s="81">
        <f>SUM(Q1103:Q1103)</f>
        <v>1193</v>
      </c>
      <c r="R1104" s="81">
        <f>SUM(R1103:R1103)</f>
        <v>0</v>
      </c>
      <c r="S1104" s="81">
        <f>SUM(S1103:S1103)</f>
        <v>1193</v>
      </c>
      <c r="T1104" s="81">
        <f>SUM(T1103:T1103)</f>
        <v>0</v>
      </c>
      <c r="U1104" s="59">
        <f t="shared" si="1418"/>
        <v>29</v>
      </c>
      <c r="V1104" s="81">
        <f>SUM(V1103:V1103)</f>
        <v>0</v>
      </c>
      <c r="W1104" s="81">
        <f>SUM(W1103:W1103)</f>
        <v>1164</v>
      </c>
      <c r="X1104" s="81">
        <f>SUM(X1103:X1103)</f>
        <v>-29</v>
      </c>
      <c r="Y1104" s="81" t="s">
        <v>47</v>
      </c>
      <c r="Z1104" s="110" t="s">
        <v>45</v>
      </c>
      <c r="AA1104" s="110"/>
      <c r="AB1104" s="84"/>
      <c r="AC1104" s="136"/>
      <c r="AD1104" s="136"/>
      <c r="AE1104" s="100">
        <f t="shared" si="1414"/>
        <v>6.0444444444444446E-2</v>
      </c>
      <c r="AF1104" s="90"/>
      <c r="AG1104" s="109">
        <f t="shared" si="1415"/>
        <v>0</v>
      </c>
      <c r="AH1104" s="100">
        <f t="shared" si="1416"/>
        <v>6.0444444444444446E-2</v>
      </c>
      <c r="AI1104" s="100">
        <f t="shared" si="1417"/>
        <v>3.4666666666666665E-2</v>
      </c>
    </row>
    <row r="1105" spans="1:35" s="86" customFormat="1" ht="20.25" customHeight="1" x14ac:dyDescent="0.3">
      <c r="A1105" s="106"/>
      <c r="B1105" s="106" t="s">
        <v>52</v>
      </c>
      <c r="C1105" s="144">
        <v>47984</v>
      </c>
      <c r="D1105" s="182">
        <v>13263813</v>
      </c>
      <c r="E1105" s="120" t="s">
        <v>452</v>
      </c>
      <c r="F1105" s="83">
        <v>1200</v>
      </c>
      <c r="G1105" s="83"/>
      <c r="H1105" s="83"/>
      <c r="I1105" s="83"/>
      <c r="J1105" s="83"/>
      <c r="K1105" s="83"/>
      <c r="L1105" s="83"/>
      <c r="M1105" s="83">
        <f>1230</f>
        <v>1230</v>
      </c>
      <c r="N1105" s="110">
        <f>M1105-F1105</f>
        <v>30</v>
      </c>
      <c r="O1105" s="110" t="s">
        <v>111</v>
      </c>
      <c r="P1105" s="83"/>
      <c r="Q1105" s="83"/>
      <c r="R1105" s="83"/>
      <c r="S1105" s="83"/>
      <c r="T1105" s="110">
        <f>S1105-Q1105</f>
        <v>0</v>
      </c>
      <c r="U1105" s="59">
        <f t="shared" si="1418"/>
        <v>6</v>
      </c>
      <c r="V1105" s="83"/>
      <c r="W1105" s="83">
        <v>1224</v>
      </c>
      <c r="X1105" s="110">
        <f>W1105-M1105</f>
        <v>-6</v>
      </c>
      <c r="Y1105" s="110"/>
      <c r="Z1105" s="110"/>
      <c r="AA1105" s="110"/>
      <c r="AB1105" s="83"/>
      <c r="AC1105" s="106"/>
      <c r="AD1105" s="106"/>
      <c r="AE1105" s="100">
        <f t="shared" si="1414"/>
        <v>2.5000000000000001E-2</v>
      </c>
      <c r="AF1105" s="90"/>
      <c r="AG1105" s="109">
        <f t="shared" si="1415"/>
        <v>0</v>
      </c>
      <c r="AH1105" s="100">
        <f t="shared" si="1416"/>
        <v>-1</v>
      </c>
      <c r="AI1105" s="100">
        <f t="shared" si="1417"/>
        <v>0.02</v>
      </c>
    </row>
    <row r="1106" spans="1:35" s="82" customFormat="1" ht="16.5" customHeight="1" x14ac:dyDescent="0.3">
      <c r="A1106" s="90" t="s">
        <v>46</v>
      </c>
      <c r="B1106" s="90" t="s">
        <v>52</v>
      </c>
      <c r="C1106" s="137"/>
      <c r="D1106" s="90"/>
      <c r="E1106" s="80"/>
      <c r="F1106" s="81">
        <f>SUM(F1105:F1105)</f>
        <v>1200</v>
      </c>
      <c r="G1106" s="81"/>
      <c r="H1106" s="81"/>
      <c r="I1106" s="81"/>
      <c r="J1106" s="81" t="s">
        <v>60</v>
      </c>
      <c r="K1106" s="85" t="s">
        <v>340</v>
      </c>
      <c r="L1106" s="81">
        <f>SUM(L1105:L1105)</f>
        <v>0</v>
      </c>
      <c r="M1106" s="81">
        <f>SUM(M1105:M1105)</f>
        <v>1230</v>
      </c>
      <c r="N1106" s="81">
        <f>SUM(N1105:N1105)</f>
        <v>30</v>
      </c>
      <c r="O1106" s="81"/>
      <c r="P1106" s="81">
        <f>SUM(P1105:P1105)</f>
        <v>0</v>
      </c>
      <c r="Q1106" s="81">
        <f>SUM(Q1105:Q1105)</f>
        <v>0</v>
      </c>
      <c r="R1106" s="81">
        <f>SUM(R1105:R1105)</f>
        <v>0</v>
      </c>
      <c r="S1106" s="81">
        <f>SUM(S1105:S1105)</f>
        <v>0</v>
      </c>
      <c r="T1106" s="81">
        <f>SUM(T1105:T1105)</f>
        <v>0</v>
      </c>
      <c r="U1106" s="59">
        <f t="shared" si="1418"/>
        <v>6</v>
      </c>
      <c r="V1106" s="81">
        <f>SUM(V1105:V1105)</f>
        <v>0</v>
      </c>
      <c r="W1106" s="81">
        <f>SUM(W1105:W1105)</f>
        <v>1224</v>
      </c>
      <c r="X1106" s="81">
        <f>SUM(X1105:X1105)</f>
        <v>-6</v>
      </c>
      <c r="Y1106" s="81"/>
      <c r="Z1106" s="110"/>
      <c r="AA1106" s="110"/>
      <c r="AB1106" s="84"/>
      <c r="AC1106" s="136"/>
      <c r="AD1106" s="136"/>
      <c r="AE1106" s="100">
        <f t="shared" si="1414"/>
        <v>2.5000000000000001E-2</v>
      </c>
      <c r="AF1106" s="90"/>
      <c r="AG1106" s="109">
        <f t="shared" si="1415"/>
        <v>0</v>
      </c>
      <c r="AH1106" s="100">
        <f t="shared" si="1416"/>
        <v>-1</v>
      </c>
      <c r="AI1106" s="100">
        <f t="shared" si="1417"/>
        <v>0.02</v>
      </c>
    </row>
    <row r="1107" spans="1:35" s="86" customFormat="1" ht="20.25" customHeight="1" x14ac:dyDescent="0.3">
      <c r="A1107" s="106"/>
      <c r="B1107" s="106" t="s">
        <v>52</v>
      </c>
      <c r="C1107" s="144">
        <v>47995</v>
      </c>
      <c r="D1107" s="182">
        <v>13268151</v>
      </c>
      <c r="E1107" s="120" t="s">
        <v>123</v>
      </c>
      <c r="F1107" s="83">
        <v>810</v>
      </c>
      <c r="G1107" s="83"/>
      <c r="H1107" s="83"/>
      <c r="I1107" s="83"/>
      <c r="J1107" s="83"/>
      <c r="K1107" s="83"/>
      <c r="L1107" s="83"/>
      <c r="M1107" s="83">
        <f>852</f>
        <v>852</v>
      </c>
      <c r="N1107" s="110">
        <f>M1107-F1107</f>
        <v>42</v>
      </c>
      <c r="O1107" s="110" t="s">
        <v>111</v>
      </c>
      <c r="P1107" s="83"/>
      <c r="Q1107" s="83"/>
      <c r="R1107" s="83"/>
      <c r="S1107" s="83"/>
      <c r="T1107" s="110">
        <f>S1107-Q1107</f>
        <v>0</v>
      </c>
      <c r="U1107" s="59">
        <f t="shared" si="1418"/>
        <v>0</v>
      </c>
      <c r="V1107" s="83"/>
      <c r="W1107" s="83">
        <f>426+426</f>
        <v>852</v>
      </c>
      <c r="X1107" s="110">
        <f>W1107-M1107</f>
        <v>0</v>
      </c>
      <c r="Y1107" s="110"/>
      <c r="Z1107" s="110"/>
      <c r="AA1107" s="110"/>
      <c r="AB1107" s="83"/>
      <c r="AC1107" s="106"/>
      <c r="AD1107" s="106"/>
      <c r="AE1107" s="100">
        <f t="shared" ref="AE1107:AE1114" si="1432">N1107/F1107</f>
        <v>5.185185185185185E-2</v>
      </c>
      <c r="AF1107" s="90"/>
      <c r="AG1107" s="109">
        <f t="shared" ref="AG1107:AG1114" si="1433">IF(N1107&lt;0,N1107,0)</f>
        <v>0</v>
      </c>
      <c r="AH1107" s="100">
        <f t="shared" ref="AH1107:AH1114" si="1434">(S1107-F1107)/F1107</f>
        <v>-1</v>
      </c>
      <c r="AI1107" s="100">
        <f t="shared" ref="AI1107:AI1114" si="1435">(W1107-F1107)/F1107</f>
        <v>5.185185185185185E-2</v>
      </c>
    </row>
    <row r="1108" spans="1:35" s="82" customFormat="1" ht="16.5" customHeight="1" x14ac:dyDescent="0.3">
      <c r="A1108" s="90" t="s">
        <v>46</v>
      </c>
      <c r="B1108" s="90" t="s">
        <v>52</v>
      </c>
      <c r="C1108" s="137"/>
      <c r="D1108" s="90"/>
      <c r="E1108" s="80"/>
      <c r="F1108" s="81">
        <f>SUM(F1107:F1107)</f>
        <v>810</v>
      </c>
      <c r="G1108" s="81"/>
      <c r="H1108" s="81"/>
      <c r="I1108" s="81"/>
      <c r="J1108" s="81" t="s">
        <v>60</v>
      </c>
      <c r="K1108" s="85" t="s">
        <v>226</v>
      </c>
      <c r="L1108" s="81">
        <f>SUM(L1107:L1107)</f>
        <v>0</v>
      </c>
      <c r="M1108" s="81">
        <f>SUM(M1107:M1107)</f>
        <v>852</v>
      </c>
      <c r="N1108" s="81">
        <f>SUM(N1107:N1107)</f>
        <v>42</v>
      </c>
      <c r="O1108" s="81"/>
      <c r="P1108" s="81">
        <f>SUM(P1107:P1107)</f>
        <v>0</v>
      </c>
      <c r="Q1108" s="81">
        <f>SUM(Q1107:Q1107)</f>
        <v>0</v>
      </c>
      <c r="R1108" s="81">
        <f>SUM(R1107:R1107)</f>
        <v>0</v>
      </c>
      <c r="S1108" s="81">
        <f>SUM(S1107:S1107)</f>
        <v>0</v>
      </c>
      <c r="T1108" s="81">
        <f>SUM(T1107:T1107)</f>
        <v>0</v>
      </c>
      <c r="U1108" s="59">
        <f t="shared" si="1418"/>
        <v>0</v>
      </c>
      <c r="V1108" s="81">
        <f>SUM(V1107:V1107)</f>
        <v>0</v>
      </c>
      <c r="W1108" s="81">
        <f>SUM(W1107:W1107)</f>
        <v>852</v>
      </c>
      <c r="X1108" s="81">
        <f>SUM(X1107:X1107)</f>
        <v>0</v>
      </c>
      <c r="Y1108" s="81"/>
      <c r="Z1108" s="110"/>
      <c r="AA1108" s="110"/>
      <c r="AB1108" s="84"/>
      <c r="AC1108" s="136"/>
      <c r="AD1108" s="136"/>
      <c r="AE1108" s="100">
        <f t="shared" si="1432"/>
        <v>5.185185185185185E-2</v>
      </c>
      <c r="AF1108" s="90"/>
      <c r="AG1108" s="109">
        <f t="shared" si="1433"/>
        <v>0</v>
      </c>
      <c r="AH1108" s="100">
        <f t="shared" si="1434"/>
        <v>-1</v>
      </c>
      <c r="AI1108" s="100">
        <f t="shared" si="1435"/>
        <v>5.185185185185185E-2</v>
      </c>
    </row>
    <row r="1109" spans="1:35" s="86" customFormat="1" ht="20.25" customHeight="1" x14ac:dyDescent="0.3">
      <c r="A1109" s="106"/>
      <c r="B1109" s="106" t="s">
        <v>52</v>
      </c>
      <c r="C1109" s="144">
        <v>48653</v>
      </c>
      <c r="D1109" s="182">
        <v>13231140</v>
      </c>
      <c r="E1109" s="120" t="s">
        <v>1025</v>
      </c>
      <c r="F1109" s="83">
        <v>3753</v>
      </c>
      <c r="G1109" s="83"/>
      <c r="H1109" s="83"/>
      <c r="I1109" s="83"/>
      <c r="J1109" s="83"/>
      <c r="K1109" s="83"/>
      <c r="L1109" s="83"/>
      <c r="M1109" s="83"/>
      <c r="N1109" s="110">
        <f>M1109-F1109</f>
        <v>-3753</v>
      </c>
      <c r="O1109" s="110" t="s">
        <v>111</v>
      </c>
      <c r="P1109" s="83"/>
      <c r="Q1109" s="83"/>
      <c r="R1109" s="83"/>
      <c r="S1109" s="83"/>
      <c r="T1109" s="110">
        <f>S1109-Q1109</f>
        <v>0</v>
      </c>
      <c r="U1109" s="59">
        <f t="shared" si="1418"/>
        <v>0</v>
      </c>
      <c r="V1109" s="83"/>
      <c r="W1109" s="83"/>
      <c r="X1109" s="110">
        <f>W1109-M1109</f>
        <v>0</v>
      </c>
      <c r="Y1109" s="110"/>
      <c r="Z1109" s="110"/>
      <c r="AA1109" s="110"/>
      <c r="AB1109" s="83"/>
      <c r="AC1109" s="106"/>
      <c r="AD1109" s="106"/>
      <c r="AE1109" s="100">
        <f t="shared" si="1432"/>
        <v>-1</v>
      </c>
      <c r="AF1109" s="90"/>
      <c r="AG1109" s="109">
        <f t="shared" si="1433"/>
        <v>-3753</v>
      </c>
      <c r="AH1109" s="100">
        <f t="shared" si="1434"/>
        <v>-1</v>
      </c>
      <c r="AI1109" s="100">
        <f t="shared" si="1435"/>
        <v>-1</v>
      </c>
    </row>
    <row r="1110" spans="1:35" s="82" customFormat="1" ht="16.5" customHeight="1" x14ac:dyDescent="0.3">
      <c r="A1110" s="90" t="s">
        <v>46</v>
      </c>
      <c r="B1110" s="90" t="s">
        <v>52</v>
      </c>
      <c r="C1110" s="137"/>
      <c r="D1110" s="90"/>
      <c r="E1110" s="80"/>
      <c r="F1110" s="81">
        <f>SUM(F1109:F1109)</f>
        <v>3753</v>
      </c>
      <c r="G1110" s="81"/>
      <c r="H1110" s="81"/>
      <c r="I1110" s="81"/>
      <c r="J1110" s="81" t="s">
        <v>60</v>
      </c>
      <c r="K1110" s="85" t="s">
        <v>1020</v>
      </c>
      <c r="L1110" s="81">
        <f>SUM(L1109:L1109)</f>
        <v>0</v>
      </c>
      <c r="M1110" s="81">
        <f>SUM(M1109:M1109)</f>
        <v>0</v>
      </c>
      <c r="N1110" s="81">
        <f>SUM(N1109:N1109)</f>
        <v>-3753</v>
      </c>
      <c r="O1110" s="81"/>
      <c r="P1110" s="81">
        <f>SUM(P1109:P1109)</f>
        <v>0</v>
      </c>
      <c r="Q1110" s="81">
        <f>SUM(Q1109:Q1109)</f>
        <v>0</v>
      </c>
      <c r="R1110" s="81">
        <f>SUM(R1109:R1109)</f>
        <v>0</v>
      </c>
      <c r="S1110" s="81">
        <f>SUM(S1109:S1109)</f>
        <v>0</v>
      </c>
      <c r="T1110" s="81">
        <f>SUM(T1109:T1109)</f>
        <v>0</v>
      </c>
      <c r="U1110" s="59">
        <f t="shared" si="1418"/>
        <v>0</v>
      </c>
      <c r="V1110" s="81">
        <f>SUM(V1109:V1109)</f>
        <v>0</v>
      </c>
      <c r="W1110" s="81">
        <f>SUM(W1109:W1109)</f>
        <v>0</v>
      </c>
      <c r="X1110" s="81">
        <f>SUM(X1109:X1109)</f>
        <v>0</v>
      </c>
      <c r="Y1110" s="81" t="s">
        <v>47</v>
      </c>
      <c r="Z1110" s="110" t="s">
        <v>45</v>
      </c>
      <c r="AA1110" s="110"/>
      <c r="AB1110" s="84"/>
      <c r="AC1110" s="136"/>
      <c r="AD1110" s="136"/>
      <c r="AE1110" s="100">
        <f t="shared" si="1432"/>
        <v>-1</v>
      </c>
      <c r="AF1110" s="90"/>
      <c r="AG1110" s="109">
        <f t="shared" si="1433"/>
        <v>-3753</v>
      </c>
      <c r="AH1110" s="100">
        <f t="shared" si="1434"/>
        <v>-1</v>
      </c>
      <c r="AI1110" s="100">
        <f t="shared" si="1435"/>
        <v>-1</v>
      </c>
    </row>
    <row r="1111" spans="1:35" s="86" customFormat="1" ht="20.25" customHeight="1" x14ac:dyDescent="0.3">
      <c r="A1111" s="106"/>
      <c r="B1111" s="106" t="s">
        <v>52</v>
      </c>
      <c r="C1111" s="144">
        <v>48048</v>
      </c>
      <c r="D1111" s="182">
        <v>13267097</v>
      </c>
      <c r="E1111" s="120" t="s">
        <v>202</v>
      </c>
      <c r="F1111" s="83">
        <v>900</v>
      </c>
      <c r="G1111" s="83"/>
      <c r="H1111" s="83"/>
      <c r="I1111" s="83"/>
      <c r="J1111" s="83"/>
      <c r="K1111" s="83"/>
      <c r="L1111" s="83"/>
      <c r="M1111" s="83">
        <v>960</v>
      </c>
      <c r="N1111" s="110">
        <f>M1111-F1111</f>
        <v>60</v>
      </c>
      <c r="O1111" s="110" t="s">
        <v>111</v>
      </c>
      <c r="P1111" s="83"/>
      <c r="Q1111" s="83">
        <v>960</v>
      </c>
      <c r="R1111" s="83"/>
      <c r="S1111" s="83">
        <v>940</v>
      </c>
      <c r="T1111" s="110">
        <f>S1111-Q1111</f>
        <v>-20</v>
      </c>
      <c r="U1111" s="59">
        <f t="shared" si="1418"/>
        <v>7</v>
      </c>
      <c r="V1111" s="83"/>
      <c r="W1111" s="83">
        <v>933</v>
      </c>
      <c r="X1111" s="110">
        <f>W1111-M1111</f>
        <v>-27</v>
      </c>
      <c r="Y1111" s="110"/>
      <c r="Z1111" s="110"/>
      <c r="AA1111" s="110"/>
      <c r="AB1111" s="83"/>
      <c r="AC1111" s="106"/>
      <c r="AD1111" s="106"/>
      <c r="AE1111" s="100">
        <f t="shared" si="1432"/>
        <v>6.6666666666666666E-2</v>
      </c>
      <c r="AF1111" s="90"/>
      <c r="AG1111" s="109">
        <f t="shared" si="1433"/>
        <v>0</v>
      </c>
      <c r="AH1111" s="100">
        <f t="shared" si="1434"/>
        <v>4.4444444444444446E-2</v>
      </c>
      <c r="AI1111" s="100">
        <f t="shared" si="1435"/>
        <v>3.6666666666666667E-2</v>
      </c>
    </row>
    <row r="1112" spans="1:35" s="82" customFormat="1" ht="16.5" customHeight="1" x14ac:dyDescent="0.3">
      <c r="A1112" s="90" t="s">
        <v>46</v>
      </c>
      <c r="B1112" s="90" t="s">
        <v>52</v>
      </c>
      <c r="C1112" s="137"/>
      <c r="D1112" s="90"/>
      <c r="E1112" s="80"/>
      <c r="F1112" s="81">
        <f>SUM(F1111:F1111)</f>
        <v>900</v>
      </c>
      <c r="G1112" s="81"/>
      <c r="H1112" s="81"/>
      <c r="I1112" s="81"/>
      <c r="J1112" s="81" t="s">
        <v>60</v>
      </c>
      <c r="K1112" s="85" t="s">
        <v>226</v>
      </c>
      <c r="L1112" s="81">
        <f>SUM(L1111:L1111)</f>
        <v>0</v>
      </c>
      <c r="M1112" s="81">
        <f>SUM(M1111:M1111)</f>
        <v>960</v>
      </c>
      <c r="N1112" s="81">
        <f>SUM(N1111:N1111)</f>
        <v>60</v>
      </c>
      <c r="O1112" s="81" t="s">
        <v>266</v>
      </c>
      <c r="P1112" s="81">
        <f>SUM(P1111:P1111)</f>
        <v>0</v>
      </c>
      <c r="Q1112" s="81">
        <f>SUM(Q1111:Q1111)</f>
        <v>960</v>
      </c>
      <c r="R1112" s="81">
        <f>SUM(R1111:R1111)</f>
        <v>0</v>
      </c>
      <c r="S1112" s="81">
        <f>SUM(S1111:S1111)</f>
        <v>940</v>
      </c>
      <c r="T1112" s="81">
        <f>SUM(T1111:T1111)</f>
        <v>-20</v>
      </c>
      <c r="U1112" s="59">
        <f t="shared" si="1418"/>
        <v>7</v>
      </c>
      <c r="V1112" s="81">
        <f>SUM(V1111:V1111)</f>
        <v>0</v>
      </c>
      <c r="W1112" s="81">
        <f>SUM(W1111:W1111)</f>
        <v>933</v>
      </c>
      <c r="X1112" s="81">
        <f>SUM(X1111:X1111)</f>
        <v>-27</v>
      </c>
      <c r="Y1112" s="81" t="s">
        <v>57</v>
      </c>
      <c r="Z1112" s="110" t="s">
        <v>45</v>
      </c>
      <c r="AA1112" s="110"/>
      <c r="AB1112" s="84"/>
      <c r="AC1112" s="136"/>
      <c r="AD1112" s="136"/>
      <c r="AE1112" s="100">
        <f t="shared" si="1432"/>
        <v>6.6666666666666666E-2</v>
      </c>
      <c r="AF1112" s="90"/>
      <c r="AG1112" s="109">
        <f t="shared" si="1433"/>
        <v>0</v>
      </c>
      <c r="AH1112" s="100">
        <f t="shared" si="1434"/>
        <v>4.4444444444444446E-2</v>
      </c>
      <c r="AI1112" s="100">
        <f t="shared" si="1435"/>
        <v>3.6666666666666667E-2</v>
      </c>
    </row>
    <row r="1113" spans="1:35" s="86" customFormat="1" ht="20.25" customHeight="1" x14ac:dyDescent="0.3">
      <c r="A1113" s="106"/>
      <c r="B1113" s="106" t="s">
        <v>52</v>
      </c>
      <c r="C1113" s="144">
        <v>48052</v>
      </c>
      <c r="D1113" s="182">
        <v>13267576</v>
      </c>
      <c r="E1113" s="120" t="s">
        <v>364</v>
      </c>
      <c r="F1113" s="83">
        <v>2170</v>
      </c>
      <c r="G1113" s="83"/>
      <c r="H1113" s="83"/>
      <c r="I1113" s="83"/>
      <c r="J1113" s="83"/>
      <c r="K1113" s="83"/>
      <c r="L1113" s="83"/>
      <c r="M1113" s="83">
        <f>798+1446</f>
        <v>2244</v>
      </c>
      <c r="N1113" s="110">
        <f>M1113-F1113</f>
        <v>74</v>
      </c>
      <c r="O1113" s="110" t="s">
        <v>111</v>
      </c>
      <c r="P1113" s="83"/>
      <c r="Q1113" s="83">
        <f>795+843+606</f>
        <v>2244</v>
      </c>
      <c r="R1113" s="83"/>
      <c r="S1113" s="83">
        <f>795+1445</f>
        <v>2240</v>
      </c>
      <c r="T1113" s="110">
        <f>S1113-Q1113</f>
        <v>-4</v>
      </c>
      <c r="U1113" s="59">
        <f t="shared" si="1418"/>
        <v>14</v>
      </c>
      <c r="V1113" s="83"/>
      <c r="W1113" s="83">
        <v>2226</v>
      </c>
      <c r="X1113" s="110">
        <f>W1113-M1113</f>
        <v>-18</v>
      </c>
      <c r="Y1113" s="110"/>
      <c r="Z1113" s="110"/>
      <c r="AA1113" s="110"/>
      <c r="AB1113" s="83"/>
      <c r="AC1113" s="106"/>
      <c r="AD1113" s="106"/>
      <c r="AE1113" s="100">
        <f t="shared" si="1432"/>
        <v>3.4101382488479264E-2</v>
      </c>
      <c r="AF1113" s="90"/>
      <c r="AG1113" s="109">
        <f t="shared" si="1433"/>
        <v>0</v>
      </c>
      <c r="AH1113" s="100">
        <f t="shared" si="1434"/>
        <v>3.2258064516129031E-2</v>
      </c>
      <c r="AI1113" s="100">
        <f t="shared" si="1435"/>
        <v>2.5806451612903226E-2</v>
      </c>
    </row>
    <row r="1114" spans="1:35" s="82" customFormat="1" ht="16.5" customHeight="1" x14ac:dyDescent="0.3">
      <c r="A1114" s="90" t="s">
        <v>46</v>
      </c>
      <c r="B1114" s="90" t="s">
        <v>52</v>
      </c>
      <c r="C1114" s="137"/>
      <c r="D1114" s="90"/>
      <c r="E1114" s="80"/>
      <c r="F1114" s="81">
        <f>SUM(F1113:F1113)</f>
        <v>2170</v>
      </c>
      <c r="G1114" s="81"/>
      <c r="H1114" s="81"/>
      <c r="I1114" s="81"/>
      <c r="J1114" s="81" t="s">
        <v>60</v>
      </c>
      <c r="K1114" s="85" t="s">
        <v>226</v>
      </c>
      <c r="L1114" s="81">
        <f>SUM(L1113:L1113)</f>
        <v>0</v>
      </c>
      <c r="M1114" s="81">
        <f>SUM(M1113:M1113)</f>
        <v>2244</v>
      </c>
      <c r="N1114" s="81">
        <f>SUM(N1113:N1113)</f>
        <v>74</v>
      </c>
      <c r="O1114" s="81" t="s">
        <v>821</v>
      </c>
      <c r="P1114" s="81">
        <f>SUM(P1113:P1113)</f>
        <v>0</v>
      </c>
      <c r="Q1114" s="81">
        <f>SUM(Q1113:Q1113)</f>
        <v>2244</v>
      </c>
      <c r="R1114" s="81">
        <f>SUM(R1113:R1113)</f>
        <v>0</v>
      </c>
      <c r="S1114" s="81">
        <f>SUM(S1113:S1113)</f>
        <v>2240</v>
      </c>
      <c r="T1114" s="81">
        <f>SUM(T1113:T1113)</f>
        <v>-4</v>
      </c>
      <c r="U1114" s="59">
        <f t="shared" si="1418"/>
        <v>14</v>
      </c>
      <c r="V1114" s="81">
        <f>SUM(V1113:V1113)</f>
        <v>0</v>
      </c>
      <c r="W1114" s="81">
        <f>SUM(W1113:W1113)</f>
        <v>2226</v>
      </c>
      <c r="X1114" s="81">
        <f>SUM(X1113:X1113)</f>
        <v>-18</v>
      </c>
      <c r="Y1114" s="81" t="s">
        <v>47</v>
      </c>
      <c r="Z1114" s="110" t="s">
        <v>45</v>
      </c>
      <c r="AA1114" s="110"/>
      <c r="AB1114" s="84"/>
      <c r="AC1114" s="136"/>
      <c r="AD1114" s="136"/>
      <c r="AE1114" s="100">
        <f t="shared" si="1432"/>
        <v>3.4101382488479264E-2</v>
      </c>
      <c r="AF1114" s="90"/>
      <c r="AG1114" s="109">
        <f t="shared" si="1433"/>
        <v>0</v>
      </c>
      <c r="AH1114" s="100">
        <f t="shared" si="1434"/>
        <v>3.2258064516129031E-2</v>
      </c>
      <c r="AI1114" s="100">
        <f t="shared" si="1435"/>
        <v>2.5806451612903226E-2</v>
      </c>
    </row>
    <row r="1115" spans="1:35" s="86" customFormat="1" ht="20.25" customHeight="1" x14ac:dyDescent="0.3">
      <c r="A1115" s="106"/>
      <c r="B1115" s="106" t="s">
        <v>52</v>
      </c>
      <c r="C1115" s="144">
        <v>48053</v>
      </c>
      <c r="D1115" s="182">
        <v>13264821</v>
      </c>
      <c r="E1115" s="120" t="s">
        <v>364</v>
      </c>
      <c r="F1115" s="83">
        <v>1150</v>
      </c>
      <c r="G1115" s="83"/>
      <c r="H1115" s="83"/>
      <c r="I1115" s="83"/>
      <c r="J1115" s="83"/>
      <c r="K1115" s="83"/>
      <c r="L1115" s="83"/>
      <c r="M1115" s="83">
        <v>1199</v>
      </c>
      <c r="N1115" s="110">
        <f>M1115-F1115</f>
        <v>49</v>
      </c>
      <c r="O1115" s="110" t="s">
        <v>111</v>
      </c>
      <c r="P1115" s="83"/>
      <c r="Q1115" s="83">
        <f>1197</f>
        <v>1197</v>
      </c>
      <c r="R1115" s="83"/>
      <c r="S1115" s="83">
        <v>1197</v>
      </c>
      <c r="T1115" s="110">
        <f>S1115-Q1115</f>
        <v>0</v>
      </c>
      <c r="U1115" s="59">
        <f t="shared" si="1418"/>
        <v>0</v>
      </c>
      <c r="V1115" s="83"/>
      <c r="W1115" s="83">
        <f>1197</f>
        <v>1197</v>
      </c>
      <c r="X1115" s="110">
        <f>W1115-M1115</f>
        <v>-2</v>
      </c>
      <c r="Y1115" s="110"/>
      <c r="Z1115" s="110"/>
      <c r="AA1115" s="110"/>
      <c r="AB1115" s="83"/>
      <c r="AC1115" s="106"/>
      <c r="AD1115" s="106"/>
      <c r="AE1115" s="100">
        <f t="shared" si="1414"/>
        <v>4.2608695652173914E-2</v>
      </c>
      <c r="AF1115" s="90"/>
      <c r="AG1115" s="109">
        <f t="shared" si="1415"/>
        <v>0</v>
      </c>
      <c r="AH1115" s="100">
        <f t="shared" si="1416"/>
        <v>4.0869565217391303E-2</v>
      </c>
      <c r="AI1115" s="100">
        <f t="shared" si="1417"/>
        <v>4.0869565217391303E-2</v>
      </c>
    </row>
    <row r="1116" spans="1:35" s="82" customFormat="1" ht="16.5" customHeight="1" x14ac:dyDescent="0.3">
      <c r="A1116" s="90" t="s">
        <v>46</v>
      </c>
      <c r="B1116" s="90" t="s">
        <v>52</v>
      </c>
      <c r="C1116" s="137"/>
      <c r="D1116" s="90"/>
      <c r="E1116" s="80"/>
      <c r="F1116" s="81">
        <f>SUM(F1115:F1115)</f>
        <v>1150</v>
      </c>
      <c r="G1116" s="81"/>
      <c r="H1116" s="81"/>
      <c r="I1116" s="81"/>
      <c r="J1116" s="81" t="s">
        <v>60</v>
      </c>
      <c r="K1116" s="85" t="s">
        <v>226</v>
      </c>
      <c r="L1116" s="81">
        <f>SUM(L1115:L1115)</f>
        <v>0</v>
      </c>
      <c r="M1116" s="81">
        <f>SUM(M1115:M1115)</f>
        <v>1199</v>
      </c>
      <c r="N1116" s="81">
        <f>SUM(N1115:N1115)</f>
        <v>49</v>
      </c>
      <c r="O1116" s="81" t="s">
        <v>290</v>
      </c>
      <c r="P1116" s="81">
        <f>SUM(P1115:P1115)</f>
        <v>0</v>
      </c>
      <c r="Q1116" s="81">
        <f>SUM(Q1115:Q1115)</f>
        <v>1197</v>
      </c>
      <c r="R1116" s="81">
        <f>SUM(R1115:R1115)</f>
        <v>0</v>
      </c>
      <c r="S1116" s="81">
        <f>SUM(S1115:S1115)</f>
        <v>1197</v>
      </c>
      <c r="T1116" s="81">
        <f>SUM(T1115:T1115)</f>
        <v>0</v>
      </c>
      <c r="U1116" s="59">
        <f t="shared" si="1418"/>
        <v>0</v>
      </c>
      <c r="V1116" s="81">
        <f>SUM(V1115:V1115)</f>
        <v>0</v>
      </c>
      <c r="W1116" s="81">
        <f>SUM(W1115:W1115)</f>
        <v>1197</v>
      </c>
      <c r="X1116" s="81">
        <f>SUM(X1115:X1115)</f>
        <v>-2</v>
      </c>
      <c r="Y1116" s="81" t="s">
        <v>47</v>
      </c>
      <c r="Z1116" s="110" t="s">
        <v>45</v>
      </c>
      <c r="AA1116" s="110"/>
      <c r="AB1116" s="84"/>
      <c r="AC1116" s="136"/>
      <c r="AD1116" s="136"/>
      <c r="AE1116" s="100">
        <f t="shared" si="1414"/>
        <v>4.2608695652173914E-2</v>
      </c>
      <c r="AF1116" s="90"/>
      <c r="AG1116" s="109">
        <f t="shared" si="1415"/>
        <v>0</v>
      </c>
      <c r="AH1116" s="100">
        <f t="shared" si="1416"/>
        <v>4.0869565217391303E-2</v>
      </c>
      <c r="AI1116" s="100">
        <f t="shared" si="1417"/>
        <v>4.0869565217391303E-2</v>
      </c>
    </row>
    <row r="1117" spans="1:35" s="86" customFormat="1" ht="20.25" customHeight="1" x14ac:dyDescent="0.3">
      <c r="A1117" s="106"/>
      <c r="B1117" s="106" t="s">
        <v>52</v>
      </c>
      <c r="C1117" s="144">
        <v>48043</v>
      </c>
      <c r="D1117" s="184">
        <v>13263727</v>
      </c>
      <c r="E1117" s="120" t="s">
        <v>0</v>
      </c>
      <c r="F1117" s="83">
        <v>1005</v>
      </c>
      <c r="G1117" s="83"/>
      <c r="H1117" s="83"/>
      <c r="I1117" s="83"/>
      <c r="J1117" s="83"/>
      <c r="K1117" s="83"/>
      <c r="L1117" s="83"/>
      <c r="M1117" s="83">
        <f>1050+24</f>
        <v>1074</v>
      </c>
      <c r="N1117" s="110">
        <f>M1117-F1117</f>
        <v>69</v>
      </c>
      <c r="O1117" s="110" t="s">
        <v>111</v>
      </c>
      <c r="P1117" s="83"/>
      <c r="Q1117" s="83"/>
      <c r="R1117" s="83"/>
      <c r="S1117" s="83"/>
      <c r="T1117" s="110">
        <f>S1117-Q1117</f>
        <v>0</v>
      </c>
      <c r="U1117" s="59">
        <f t="shared" si="1418"/>
        <v>0</v>
      </c>
      <c r="V1117" s="83"/>
      <c r="W1117" s="83">
        <f>1050+24</f>
        <v>1074</v>
      </c>
      <c r="X1117" s="110">
        <f>W1117-M1117</f>
        <v>0</v>
      </c>
      <c r="Y1117" s="110"/>
      <c r="Z1117" s="110"/>
      <c r="AA1117" s="110"/>
      <c r="AB1117" s="83"/>
      <c r="AC1117" s="106"/>
      <c r="AD1117" s="106"/>
      <c r="AE1117" s="100">
        <f t="shared" si="1414"/>
        <v>6.8656716417910449E-2</v>
      </c>
      <c r="AF1117" s="90"/>
      <c r="AG1117" s="109">
        <f t="shared" si="1415"/>
        <v>0</v>
      </c>
      <c r="AH1117" s="100">
        <f t="shared" si="1416"/>
        <v>-1</v>
      </c>
      <c r="AI1117" s="100">
        <f t="shared" si="1417"/>
        <v>6.8656716417910449E-2</v>
      </c>
    </row>
    <row r="1118" spans="1:35" s="82" customFormat="1" ht="16.5" customHeight="1" x14ac:dyDescent="0.3">
      <c r="A1118" s="90" t="s">
        <v>46</v>
      </c>
      <c r="B1118" s="90" t="s">
        <v>52</v>
      </c>
      <c r="C1118" s="137"/>
      <c r="D1118" s="90"/>
      <c r="E1118" s="80"/>
      <c r="F1118" s="81">
        <f>SUM(F1117:F1117)</f>
        <v>1005</v>
      </c>
      <c r="G1118" s="81"/>
      <c r="H1118" s="81"/>
      <c r="I1118" s="81"/>
      <c r="J1118" s="81" t="s">
        <v>60</v>
      </c>
      <c r="K1118" s="85" t="s">
        <v>226</v>
      </c>
      <c r="L1118" s="81">
        <f>SUM(L1117:L1117)</f>
        <v>0</v>
      </c>
      <c r="M1118" s="81">
        <f>SUM(M1117:M1117)</f>
        <v>1074</v>
      </c>
      <c r="N1118" s="81">
        <f>SUM(N1117:N1117)</f>
        <v>69</v>
      </c>
      <c r="O1118" s="81"/>
      <c r="P1118" s="81">
        <f>SUM(P1117:P1117)</f>
        <v>0</v>
      </c>
      <c r="Q1118" s="81">
        <f>SUM(Q1117:Q1117)</f>
        <v>0</v>
      </c>
      <c r="R1118" s="81">
        <f>SUM(R1117:R1117)</f>
        <v>0</v>
      </c>
      <c r="S1118" s="81">
        <f>SUM(S1117:S1117)</f>
        <v>0</v>
      </c>
      <c r="T1118" s="81">
        <f>SUM(T1117:T1117)</f>
        <v>0</v>
      </c>
      <c r="U1118" s="59">
        <f t="shared" si="1418"/>
        <v>0</v>
      </c>
      <c r="V1118" s="81">
        <f>SUM(V1117:V1117)</f>
        <v>0</v>
      </c>
      <c r="W1118" s="81">
        <f>SUM(W1117:W1117)</f>
        <v>1074</v>
      </c>
      <c r="X1118" s="81">
        <f>SUM(X1117:X1117)</f>
        <v>0</v>
      </c>
      <c r="Y1118" s="81" t="s">
        <v>47</v>
      </c>
      <c r="Z1118" s="110" t="s">
        <v>45</v>
      </c>
      <c r="AA1118" s="110"/>
      <c r="AB1118" s="84"/>
      <c r="AC1118" s="136"/>
      <c r="AD1118" s="136"/>
      <c r="AE1118" s="100">
        <f t="shared" si="1414"/>
        <v>6.8656716417910449E-2</v>
      </c>
      <c r="AF1118" s="90"/>
      <c r="AG1118" s="109">
        <f t="shared" si="1415"/>
        <v>0</v>
      </c>
      <c r="AH1118" s="100">
        <f t="shared" si="1416"/>
        <v>-1</v>
      </c>
      <c r="AI1118" s="100">
        <f t="shared" si="1417"/>
        <v>6.8656716417910449E-2</v>
      </c>
    </row>
    <row r="1119" spans="1:35" s="86" customFormat="1" ht="20.25" customHeight="1" x14ac:dyDescent="0.3">
      <c r="A1119" s="106"/>
      <c r="B1119" s="106" t="s">
        <v>52</v>
      </c>
      <c r="C1119" s="144" t="s">
        <v>731</v>
      </c>
      <c r="D1119" s="184">
        <v>13227981</v>
      </c>
      <c r="E1119" s="120" t="s">
        <v>732</v>
      </c>
      <c r="F1119" s="83">
        <v>1040</v>
      </c>
      <c r="G1119" s="83"/>
      <c r="H1119" s="83"/>
      <c r="I1119" s="83"/>
      <c r="J1119" s="83"/>
      <c r="K1119" s="83"/>
      <c r="L1119" s="83"/>
      <c r="M1119" s="83">
        <v>1079</v>
      </c>
      <c r="N1119" s="110">
        <f>M1119-F1119</f>
        <v>39</v>
      </c>
      <c r="O1119" s="110" t="s">
        <v>111</v>
      </c>
      <c r="P1119" s="83"/>
      <c r="Q1119" s="83">
        <v>1079</v>
      </c>
      <c r="R1119" s="83"/>
      <c r="S1119" s="83">
        <v>1079</v>
      </c>
      <c r="T1119" s="110">
        <f>S1119-Q1119</f>
        <v>0</v>
      </c>
      <c r="U1119" s="59">
        <f t="shared" si="1418"/>
        <v>0</v>
      </c>
      <c r="V1119" s="83"/>
      <c r="W1119" s="83">
        <v>1079</v>
      </c>
      <c r="X1119" s="110">
        <f>W1119-M1119</f>
        <v>0</v>
      </c>
      <c r="Y1119" s="110"/>
      <c r="Z1119" s="110"/>
      <c r="AA1119" s="110"/>
      <c r="AB1119" s="83"/>
      <c r="AC1119" s="106"/>
      <c r="AD1119" s="106"/>
      <c r="AE1119" s="100">
        <f t="shared" si="1414"/>
        <v>3.7499999999999999E-2</v>
      </c>
      <c r="AF1119" s="90"/>
      <c r="AG1119" s="109">
        <f t="shared" si="1415"/>
        <v>0</v>
      </c>
      <c r="AH1119" s="100">
        <f t="shared" si="1416"/>
        <v>3.7499999999999999E-2</v>
      </c>
      <c r="AI1119" s="100">
        <f t="shared" si="1417"/>
        <v>3.7499999999999999E-2</v>
      </c>
    </row>
    <row r="1120" spans="1:35" s="82" customFormat="1" ht="16.5" customHeight="1" x14ac:dyDescent="0.3">
      <c r="A1120" s="90" t="s">
        <v>46</v>
      </c>
      <c r="B1120" s="90" t="s">
        <v>52</v>
      </c>
      <c r="C1120" s="137"/>
      <c r="D1120" s="90"/>
      <c r="E1120" s="80"/>
      <c r="F1120" s="81">
        <f>SUM(F1119:F1119)</f>
        <v>1040</v>
      </c>
      <c r="G1120" s="81"/>
      <c r="H1120" s="81"/>
      <c r="I1120" s="81"/>
      <c r="J1120" s="81" t="s">
        <v>60</v>
      </c>
      <c r="K1120" s="85" t="s">
        <v>290</v>
      </c>
      <c r="L1120" s="81">
        <f>SUM(L1119:L1119)</f>
        <v>0</v>
      </c>
      <c r="M1120" s="81">
        <f>SUM(M1119:M1119)</f>
        <v>1079</v>
      </c>
      <c r="N1120" s="81">
        <f>SUM(N1119:N1119)</f>
        <v>39</v>
      </c>
      <c r="O1120" s="81" t="s">
        <v>757</v>
      </c>
      <c r="P1120" s="81">
        <f>SUM(P1119:P1119)</f>
        <v>0</v>
      </c>
      <c r="Q1120" s="81">
        <f>SUM(Q1119:Q1119)</f>
        <v>1079</v>
      </c>
      <c r="R1120" s="81">
        <f>SUM(R1119:R1119)</f>
        <v>0</v>
      </c>
      <c r="S1120" s="81">
        <f>SUM(S1119:S1119)</f>
        <v>1079</v>
      </c>
      <c r="T1120" s="81">
        <f>SUM(T1119:T1119)</f>
        <v>0</v>
      </c>
      <c r="U1120" s="59">
        <f t="shared" si="1418"/>
        <v>0</v>
      </c>
      <c r="V1120" s="81">
        <f>SUM(V1119:V1119)</f>
        <v>0</v>
      </c>
      <c r="W1120" s="81">
        <f>SUM(W1119:W1119)</f>
        <v>1079</v>
      </c>
      <c r="X1120" s="81">
        <f>SUM(X1119:X1119)</f>
        <v>0</v>
      </c>
      <c r="Y1120" s="81" t="s">
        <v>47</v>
      </c>
      <c r="Z1120" s="110" t="s">
        <v>45</v>
      </c>
      <c r="AA1120" s="110"/>
      <c r="AB1120" s="84"/>
      <c r="AC1120" s="136"/>
      <c r="AD1120" s="136"/>
      <c r="AE1120" s="100">
        <f t="shared" si="1414"/>
        <v>3.7499999999999999E-2</v>
      </c>
      <c r="AF1120" s="90"/>
      <c r="AG1120" s="109">
        <f t="shared" si="1415"/>
        <v>0</v>
      </c>
      <c r="AH1120" s="100">
        <f t="shared" si="1416"/>
        <v>3.7499999999999999E-2</v>
      </c>
      <c r="AI1120" s="100">
        <f t="shared" si="1417"/>
        <v>3.7499999999999999E-2</v>
      </c>
    </row>
    <row r="1121" spans="1:35" s="86" customFormat="1" ht="20.25" customHeight="1" x14ac:dyDescent="0.3">
      <c r="A1121" s="106"/>
      <c r="B1121" s="106" t="s">
        <v>52</v>
      </c>
      <c r="C1121" s="144">
        <v>48274</v>
      </c>
      <c r="D1121" s="184">
        <v>13265084</v>
      </c>
      <c r="E1121" s="120" t="s">
        <v>766</v>
      </c>
      <c r="F1121" s="83">
        <v>1291</v>
      </c>
      <c r="G1121" s="83"/>
      <c r="H1121" s="83"/>
      <c r="I1121" s="83"/>
      <c r="J1121" s="83"/>
      <c r="K1121" s="83"/>
      <c r="L1121" s="83"/>
      <c r="M1121" s="83"/>
      <c r="N1121" s="110">
        <f>M1121-F1121</f>
        <v>-1291</v>
      </c>
      <c r="O1121" s="110" t="s">
        <v>111</v>
      </c>
      <c r="P1121" s="83"/>
      <c r="Q1121" s="83"/>
      <c r="R1121" s="83"/>
      <c r="S1121" s="83"/>
      <c r="T1121" s="110">
        <f>S1121-Q1121</f>
        <v>0</v>
      </c>
      <c r="U1121" s="59">
        <f t="shared" si="1418"/>
        <v>0</v>
      </c>
      <c r="V1121" s="83"/>
      <c r="W1121" s="83"/>
      <c r="X1121" s="110">
        <f>W1121-M1121</f>
        <v>0</v>
      </c>
      <c r="Y1121" s="110"/>
      <c r="Z1121" s="110"/>
      <c r="AA1121" s="110"/>
      <c r="AB1121" s="83"/>
      <c r="AC1121" s="106"/>
      <c r="AD1121" s="106"/>
      <c r="AE1121" s="100">
        <f t="shared" si="1414"/>
        <v>-1</v>
      </c>
      <c r="AF1121" s="90"/>
      <c r="AG1121" s="109">
        <f t="shared" si="1415"/>
        <v>-1291</v>
      </c>
      <c r="AH1121" s="100">
        <f t="shared" si="1416"/>
        <v>-1</v>
      </c>
      <c r="AI1121" s="100">
        <f t="shared" si="1417"/>
        <v>-1</v>
      </c>
    </row>
    <row r="1122" spans="1:35" s="82" customFormat="1" ht="16.5" customHeight="1" x14ac:dyDescent="0.3">
      <c r="A1122" s="90" t="s">
        <v>46</v>
      </c>
      <c r="B1122" s="90" t="s">
        <v>52</v>
      </c>
      <c r="C1122" s="137"/>
      <c r="D1122" s="90"/>
      <c r="E1122" s="80"/>
      <c r="F1122" s="81">
        <f>SUM(F1121:F1121)</f>
        <v>1291</v>
      </c>
      <c r="G1122" s="81"/>
      <c r="H1122" s="81"/>
      <c r="I1122" s="81"/>
      <c r="J1122" s="81" t="s">
        <v>60</v>
      </c>
      <c r="K1122" s="85" t="s">
        <v>330</v>
      </c>
      <c r="L1122" s="81">
        <f>SUM(L1121:L1121)</f>
        <v>0</v>
      </c>
      <c r="M1122" s="81">
        <f>SUM(M1121:M1121)</f>
        <v>0</v>
      </c>
      <c r="N1122" s="81">
        <f>SUM(N1121:N1121)</f>
        <v>-1291</v>
      </c>
      <c r="O1122" s="81"/>
      <c r="P1122" s="81">
        <f>SUM(P1121:P1121)</f>
        <v>0</v>
      </c>
      <c r="Q1122" s="81">
        <f>SUM(Q1121:Q1121)</f>
        <v>0</v>
      </c>
      <c r="R1122" s="81">
        <f>SUM(R1121:R1121)</f>
        <v>0</v>
      </c>
      <c r="S1122" s="81">
        <f>SUM(S1121:S1121)</f>
        <v>0</v>
      </c>
      <c r="T1122" s="81">
        <f>SUM(T1121:T1121)</f>
        <v>0</v>
      </c>
      <c r="U1122" s="59">
        <f t="shared" si="1418"/>
        <v>0</v>
      </c>
      <c r="V1122" s="81">
        <f>SUM(V1121:V1121)</f>
        <v>0</v>
      </c>
      <c r="W1122" s="81">
        <f>SUM(W1121:W1121)</f>
        <v>0</v>
      </c>
      <c r="X1122" s="81">
        <f>SUM(X1121:X1121)</f>
        <v>0</v>
      </c>
      <c r="Y1122" s="81"/>
      <c r="Z1122" s="110"/>
      <c r="AA1122" s="110"/>
      <c r="AB1122" s="84"/>
      <c r="AC1122" s="136"/>
      <c r="AD1122" s="136"/>
      <c r="AE1122" s="100">
        <f t="shared" si="1414"/>
        <v>-1</v>
      </c>
      <c r="AF1122" s="90"/>
      <c r="AG1122" s="109">
        <f t="shared" si="1415"/>
        <v>-1291</v>
      </c>
      <c r="AH1122" s="100">
        <f t="shared" si="1416"/>
        <v>-1</v>
      </c>
      <c r="AI1122" s="100">
        <f t="shared" si="1417"/>
        <v>-1</v>
      </c>
    </row>
    <row r="1123" spans="1:35" s="86" customFormat="1" ht="20.25" customHeight="1" x14ac:dyDescent="0.3">
      <c r="A1123" s="106"/>
      <c r="B1123" s="106" t="s">
        <v>52</v>
      </c>
      <c r="C1123" s="144">
        <v>48515</v>
      </c>
      <c r="D1123" s="189">
        <v>13269386</v>
      </c>
      <c r="E1123" s="120" t="s">
        <v>0</v>
      </c>
      <c r="F1123" s="83">
        <v>600</v>
      </c>
      <c r="G1123" s="83"/>
      <c r="H1123" s="83"/>
      <c r="I1123" s="83"/>
      <c r="J1123" s="83"/>
      <c r="K1123" s="83"/>
      <c r="L1123" s="83"/>
      <c r="M1123" s="83"/>
      <c r="N1123" s="110">
        <f>M1123-F1123</f>
        <v>-600</v>
      </c>
      <c r="O1123" s="110" t="s">
        <v>111</v>
      </c>
      <c r="P1123" s="83"/>
      <c r="Q1123" s="83"/>
      <c r="R1123" s="83"/>
      <c r="S1123" s="83"/>
      <c r="T1123" s="110">
        <f>S1123-Q1123</f>
        <v>0</v>
      </c>
      <c r="U1123" s="59">
        <f t="shared" si="1418"/>
        <v>0</v>
      </c>
      <c r="V1123" s="83"/>
      <c r="W1123" s="83"/>
      <c r="X1123" s="110">
        <f>W1123-M1123</f>
        <v>0</v>
      </c>
      <c r="Y1123" s="110"/>
      <c r="Z1123" s="110"/>
      <c r="AA1123" s="110"/>
      <c r="AB1123" s="83"/>
      <c r="AC1123" s="106"/>
      <c r="AD1123" s="106"/>
      <c r="AE1123" s="100">
        <f t="shared" ref="AE1123:AE1126" si="1436">N1123/F1123</f>
        <v>-1</v>
      </c>
      <c r="AF1123" s="90"/>
      <c r="AG1123" s="109">
        <f t="shared" ref="AG1123:AG1126" si="1437">IF(N1123&lt;0,N1123,0)</f>
        <v>-600</v>
      </c>
      <c r="AH1123" s="100">
        <f t="shared" ref="AH1123:AH1126" si="1438">(S1123-F1123)/F1123</f>
        <v>-1</v>
      </c>
      <c r="AI1123" s="100">
        <f t="shared" ref="AI1123:AI1126" si="1439">(W1123-F1123)/F1123</f>
        <v>-1</v>
      </c>
    </row>
    <row r="1124" spans="1:35" s="82" customFormat="1" ht="16.5" customHeight="1" x14ac:dyDescent="0.3">
      <c r="A1124" s="90" t="s">
        <v>46</v>
      </c>
      <c r="B1124" s="90" t="s">
        <v>52</v>
      </c>
      <c r="C1124" s="137"/>
      <c r="D1124" s="90"/>
      <c r="E1124" s="80"/>
      <c r="F1124" s="81">
        <f>SUM(F1123:F1123)</f>
        <v>600</v>
      </c>
      <c r="G1124" s="81"/>
      <c r="H1124" s="81"/>
      <c r="I1124" s="81"/>
      <c r="J1124" s="81" t="s">
        <v>60</v>
      </c>
      <c r="K1124" s="85" t="s">
        <v>410</v>
      </c>
      <c r="L1124" s="81">
        <f>SUM(L1123:L1123)</f>
        <v>0</v>
      </c>
      <c r="M1124" s="81">
        <f>SUM(M1123:M1123)</f>
        <v>0</v>
      </c>
      <c r="N1124" s="81">
        <f>SUM(N1123:N1123)</f>
        <v>-600</v>
      </c>
      <c r="O1124" s="81"/>
      <c r="P1124" s="81">
        <f>SUM(P1123:P1123)</f>
        <v>0</v>
      </c>
      <c r="Q1124" s="81">
        <f>SUM(Q1123:Q1123)</f>
        <v>0</v>
      </c>
      <c r="R1124" s="81">
        <f>SUM(R1123:R1123)</f>
        <v>0</v>
      </c>
      <c r="S1124" s="81">
        <f>SUM(S1123:S1123)</f>
        <v>0</v>
      </c>
      <c r="T1124" s="81">
        <f>SUM(T1123:T1123)</f>
        <v>0</v>
      </c>
      <c r="U1124" s="59">
        <f t="shared" si="1418"/>
        <v>0</v>
      </c>
      <c r="V1124" s="81">
        <f>SUM(V1123:V1123)</f>
        <v>0</v>
      </c>
      <c r="W1124" s="81">
        <f>SUM(W1123:W1123)</f>
        <v>0</v>
      </c>
      <c r="X1124" s="81">
        <f>SUM(X1123:X1123)</f>
        <v>0</v>
      </c>
      <c r="Y1124" s="81" t="s">
        <v>47</v>
      </c>
      <c r="Z1124" s="110" t="s">
        <v>45</v>
      </c>
      <c r="AA1124" s="110"/>
      <c r="AB1124" s="84"/>
      <c r="AC1124" s="136"/>
      <c r="AD1124" s="136"/>
      <c r="AE1124" s="100">
        <f t="shared" si="1436"/>
        <v>-1</v>
      </c>
      <c r="AF1124" s="90"/>
      <c r="AG1124" s="109">
        <f t="shared" si="1437"/>
        <v>-600</v>
      </c>
      <c r="AH1124" s="100">
        <f t="shared" si="1438"/>
        <v>-1</v>
      </c>
      <c r="AI1124" s="100">
        <f t="shared" si="1439"/>
        <v>-1</v>
      </c>
    </row>
    <row r="1125" spans="1:35" s="86" customFormat="1" ht="20.25" customHeight="1" x14ac:dyDescent="0.3">
      <c r="A1125" s="106"/>
      <c r="B1125" s="106" t="s">
        <v>52</v>
      </c>
      <c r="C1125" s="144">
        <v>48654</v>
      </c>
      <c r="D1125" s="189">
        <v>13231142</v>
      </c>
      <c r="E1125" s="203" t="s">
        <v>760</v>
      </c>
      <c r="F1125" s="83">
        <v>3753</v>
      </c>
      <c r="G1125" s="83"/>
      <c r="H1125" s="83"/>
      <c r="I1125" s="83"/>
      <c r="J1125" s="83"/>
      <c r="K1125" s="83"/>
      <c r="L1125" s="83"/>
      <c r="M1125" s="83"/>
      <c r="N1125" s="110">
        <f>M1125-F1125</f>
        <v>-3753</v>
      </c>
      <c r="O1125" s="110" t="s">
        <v>111</v>
      </c>
      <c r="P1125" s="83"/>
      <c r="Q1125" s="83"/>
      <c r="R1125" s="83"/>
      <c r="S1125" s="83"/>
      <c r="T1125" s="110">
        <f>S1125-Q1125</f>
        <v>0</v>
      </c>
      <c r="U1125" s="59">
        <f t="shared" si="1418"/>
        <v>0</v>
      </c>
      <c r="V1125" s="83"/>
      <c r="W1125" s="83"/>
      <c r="X1125" s="110">
        <f>W1125-M1125</f>
        <v>0</v>
      </c>
      <c r="Y1125" s="110"/>
      <c r="Z1125" s="110"/>
      <c r="AA1125" s="110"/>
      <c r="AB1125" s="83"/>
      <c r="AC1125" s="106"/>
      <c r="AD1125" s="106"/>
      <c r="AE1125" s="100">
        <f t="shared" si="1436"/>
        <v>-1</v>
      </c>
      <c r="AF1125" s="90"/>
      <c r="AG1125" s="109">
        <f t="shared" si="1437"/>
        <v>-3753</v>
      </c>
      <c r="AH1125" s="100">
        <f t="shared" si="1438"/>
        <v>-1</v>
      </c>
      <c r="AI1125" s="100">
        <f t="shared" si="1439"/>
        <v>-1</v>
      </c>
    </row>
    <row r="1126" spans="1:35" s="82" customFormat="1" ht="16.5" customHeight="1" x14ac:dyDescent="0.3">
      <c r="A1126" s="90" t="s">
        <v>46</v>
      </c>
      <c r="B1126" s="90" t="s">
        <v>52</v>
      </c>
      <c r="C1126" s="137"/>
      <c r="D1126" s="90"/>
      <c r="E1126" s="80"/>
      <c r="F1126" s="81">
        <f>SUM(F1125:F1125)</f>
        <v>3753</v>
      </c>
      <c r="G1126" s="81"/>
      <c r="H1126" s="81"/>
      <c r="I1126" s="81"/>
      <c r="J1126" s="81" t="s">
        <v>60</v>
      </c>
      <c r="K1126" s="85" t="s">
        <v>1020</v>
      </c>
      <c r="L1126" s="81">
        <f>SUM(L1125:L1125)</f>
        <v>0</v>
      </c>
      <c r="M1126" s="81">
        <f>SUM(M1125:M1125)</f>
        <v>0</v>
      </c>
      <c r="N1126" s="81">
        <f>SUM(N1125:N1125)</f>
        <v>-3753</v>
      </c>
      <c r="O1126" s="81"/>
      <c r="P1126" s="81">
        <f>SUM(P1125:P1125)</f>
        <v>0</v>
      </c>
      <c r="Q1126" s="81">
        <f>SUM(Q1125:Q1125)</f>
        <v>0</v>
      </c>
      <c r="R1126" s="81">
        <f>SUM(R1125:R1125)</f>
        <v>0</v>
      </c>
      <c r="S1126" s="81">
        <f>SUM(S1125:S1125)</f>
        <v>0</v>
      </c>
      <c r="T1126" s="81">
        <f>SUM(T1125:T1125)</f>
        <v>0</v>
      </c>
      <c r="U1126" s="59">
        <f t="shared" si="1418"/>
        <v>0</v>
      </c>
      <c r="V1126" s="81">
        <f>SUM(V1125:V1125)</f>
        <v>0</v>
      </c>
      <c r="W1126" s="81">
        <f>SUM(W1125:W1125)</f>
        <v>0</v>
      </c>
      <c r="X1126" s="81">
        <f>SUM(X1125:X1125)</f>
        <v>0</v>
      </c>
      <c r="Y1126" s="81" t="s">
        <v>47</v>
      </c>
      <c r="Z1126" s="110" t="s">
        <v>45</v>
      </c>
      <c r="AA1126" s="110"/>
      <c r="AB1126" s="84"/>
      <c r="AC1126" s="136"/>
      <c r="AD1126" s="136"/>
      <c r="AE1126" s="100">
        <f t="shared" si="1436"/>
        <v>-1</v>
      </c>
      <c r="AF1126" s="90"/>
      <c r="AG1126" s="109">
        <f t="shared" si="1437"/>
        <v>-3753</v>
      </c>
      <c r="AH1126" s="100">
        <f t="shared" si="1438"/>
        <v>-1</v>
      </c>
      <c r="AI1126" s="100">
        <f t="shared" si="1439"/>
        <v>-1</v>
      </c>
    </row>
    <row r="1127" spans="1:35" s="86" customFormat="1" ht="20.25" customHeight="1" x14ac:dyDescent="0.3">
      <c r="A1127" s="106"/>
      <c r="B1127" s="106" t="s">
        <v>52</v>
      </c>
      <c r="C1127" s="144">
        <v>48055</v>
      </c>
      <c r="D1127" s="171">
        <v>13264034</v>
      </c>
      <c r="E1127" s="120" t="s">
        <v>364</v>
      </c>
      <c r="F1127" s="83">
        <v>1372</v>
      </c>
      <c r="G1127" s="83"/>
      <c r="H1127" s="83"/>
      <c r="I1127" s="83"/>
      <c r="J1127" s="83"/>
      <c r="K1127" s="83"/>
      <c r="L1127" s="83"/>
      <c r="M1127" s="83">
        <f>372+196+310+547+30+28</f>
        <v>1483</v>
      </c>
      <c r="N1127" s="110">
        <f>M1127-F1127</f>
        <v>111</v>
      </c>
      <c r="O1127" s="110" t="s">
        <v>111</v>
      </c>
      <c r="P1127" s="83"/>
      <c r="Q1127" s="83"/>
      <c r="R1127" s="83"/>
      <c r="S1127" s="83"/>
      <c r="T1127" s="110">
        <f>S1127-Q1127</f>
        <v>0</v>
      </c>
      <c r="U1127" s="59">
        <f t="shared" si="1418"/>
        <v>59</v>
      </c>
      <c r="V1127" s="83"/>
      <c r="W1127" s="83">
        <f>1408+16</f>
        <v>1424</v>
      </c>
      <c r="X1127" s="110">
        <f>W1127-M1127</f>
        <v>-59</v>
      </c>
      <c r="Y1127" s="110"/>
      <c r="Z1127" s="110"/>
      <c r="AA1127" s="110"/>
      <c r="AB1127" s="83"/>
      <c r="AC1127" s="106"/>
      <c r="AD1127" s="106"/>
      <c r="AE1127" s="100">
        <f t="shared" ref="AE1127:AE1164" si="1440">N1127/F1127</f>
        <v>8.0903790087463553E-2</v>
      </c>
      <c r="AF1127" s="90"/>
      <c r="AG1127" s="109">
        <f t="shared" ref="AG1127:AG1164" si="1441">IF(N1127&lt;0,N1127,0)</f>
        <v>0</v>
      </c>
      <c r="AH1127" s="100">
        <f t="shared" ref="AH1127:AH1164" si="1442">(S1127-F1127)/F1127</f>
        <v>-1</v>
      </c>
      <c r="AI1127" s="100">
        <f t="shared" ref="AI1127:AI1164" si="1443">(W1127-F1127)/F1127</f>
        <v>3.7900874635568516E-2</v>
      </c>
    </row>
    <row r="1128" spans="1:35" s="82" customFormat="1" ht="16.5" customHeight="1" x14ac:dyDescent="0.3">
      <c r="A1128" s="90" t="s">
        <v>46</v>
      </c>
      <c r="B1128" s="90" t="s">
        <v>52</v>
      </c>
      <c r="C1128" s="137"/>
      <c r="D1128" s="90"/>
      <c r="E1128" s="80"/>
      <c r="F1128" s="81">
        <f>SUM(F1127:F1127)</f>
        <v>1372</v>
      </c>
      <c r="G1128" s="81"/>
      <c r="H1128" s="81"/>
      <c r="I1128" s="81"/>
      <c r="J1128" s="81" t="s">
        <v>60</v>
      </c>
      <c r="K1128" s="85" t="s">
        <v>226</v>
      </c>
      <c r="L1128" s="81">
        <f>SUM(L1127:L1127)</f>
        <v>0</v>
      </c>
      <c r="M1128" s="81">
        <f>SUM(M1127:M1127)</f>
        <v>1483</v>
      </c>
      <c r="N1128" s="81">
        <f>SUM(N1127:N1127)</f>
        <v>111</v>
      </c>
      <c r="O1128" s="81"/>
      <c r="P1128" s="81">
        <f>SUM(P1127:P1127)</f>
        <v>0</v>
      </c>
      <c r="Q1128" s="81">
        <f>SUM(Q1127:Q1127)</f>
        <v>0</v>
      </c>
      <c r="R1128" s="81">
        <f>SUM(R1127:R1127)</f>
        <v>0</v>
      </c>
      <c r="S1128" s="81">
        <f>SUM(S1127:S1127)</f>
        <v>0</v>
      </c>
      <c r="T1128" s="81">
        <f>SUM(T1127:T1127)</f>
        <v>0</v>
      </c>
      <c r="U1128" s="59">
        <f t="shared" si="1418"/>
        <v>59</v>
      </c>
      <c r="V1128" s="81">
        <f>SUM(V1127:V1127)</f>
        <v>0</v>
      </c>
      <c r="W1128" s="81">
        <f>SUM(W1127:W1127)</f>
        <v>1424</v>
      </c>
      <c r="X1128" s="81">
        <f>SUM(X1127:X1127)</f>
        <v>-59</v>
      </c>
      <c r="Y1128" s="81"/>
      <c r="Z1128" s="110"/>
      <c r="AA1128" s="110"/>
      <c r="AB1128" s="84"/>
      <c r="AC1128" s="136"/>
      <c r="AD1128" s="136"/>
      <c r="AE1128" s="100">
        <f t="shared" si="1440"/>
        <v>8.0903790087463553E-2</v>
      </c>
      <c r="AF1128" s="90"/>
      <c r="AG1128" s="109">
        <f t="shared" si="1441"/>
        <v>0</v>
      </c>
      <c r="AH1128" s="100">
        <f t="shared" si="1442"/>
        <v>-1</v>
      </c>
      <c r="AI1128" s="100">
        <f t="shared" si="1443"/>
        <v>3.7900874635568516E-2</v>
      </c>
    </row>
    <row r="1129" spans="1:35" s="86" customFormat="1" ht="18.75" customHeight="1" x14ac:dyDescent="0.3">
      <c r="A1129" s="106"/>
      <c r="B1129" s="106" t="s">
        <v>52</v>
      </c>
      <c r="C1129" s="144">
        <v>48064</v>
      </c>
      <c r="D1129" s="190">
        <v>13264809</v>
      </c>
      <c r="E1129" s="120" t="s">
        <v>49</v>
      </c>
      <c r="F1129" s="83">
        <v>1002</v>
      </c>
      <c r="G1129" s="83"/>
      <c r="H1129" s="83"/>
      <c r="I1129" s="83"/>
      <c r="J1129" s="83"/>
      <c r="K1129" s="83"/>
      <c r="L1129" s="83"/>
      <c r="M1129" s="83"/>
      <c r="N1129" s="110">
        <f>M1129-F1129</f>
        <v>-1002</v>
      </c>
      <c r="O1129" s="110" t="s">
        <v>111</v>
      </c>
      <c r="P1129" s="83"/>
      <c r="Q1129" s="83"/>
      <c r="R1129" s="83"/>
      <c r="S1129" s="83"/>
      <c r="T1129" s="110">
        <f>S1129-Q1129</f>
        <v>0</v>
      </c>
      <c r="U1129" s="59">
        <f t="shared" ref="U1129:U1164" si="1444">IF(Q1129&gt;0,S1129-W1129,M1129-W1129)</f>
        <v>0</v>
      </c>
      <c r="V1129" s="83"/>
      <c r="W1129" s="83"/>
      <c r="X1129" s="110">
        <f>W1129-M1129</f>
        <v>0</v>
      </c>
      <c r="Y1129" s="110"/>
      <c r="Z1129" s="110"/>
      <c r="AA1129" s="110"/>
      <c r="AB1129" s="83"/>
      <c r="AC1129" s="106"/>
      <c r="AD1129" s="106"/>
      <c r="AE1129" s="100">
        <f t="shared" si="1440"/>
        <v>-1</v>
      </c>
      <c r="AF1129" s="90"/>
      <c r="AG1129" s="109">
        <f t="shared" si="1441"/>
        <v>-1002</v>
      </c>
      <c r="AH1129" s="100">
        <f t="shared" si="1442"/>
        <v>-1</v>
      </c>
      <c r="AI1129" s="100">
        <f t="shared" si="1443"/>
        <v>-1</v>
      </c>
    </row>
    <row r="1130" spans="1:35" s="82" customFormat="1" ht="16.5" customHeight="1" x14ac:dyDescent="0.3">
      <c r="A1130" s="90" t="s">
        <v>46</v>
      </c>
      <c r="B1130" s="90" t="s">
        <v>52</v>
      </c>
      <c r="C1130" s="137"/>
      <c r="D1130" s="90"/>
      <c r="E1130" s="80"/>
      <c r="F1130" s="81">
        <f>SUM(F1129:F1129)</f>
        <v>1002</v>
      </c>
      <c r="G1130" s="81"/>
      <c r="H1130" s="81"/>
      <c r="I1130" s="81"/>
      <c r="J1130" s="81"/>
      <c r="K1130" s="85" t="s">
        <v>330</v>
      </c>
      <c r="L1130" s="81">
        <f>SUM(L1129:L1129)</f>
        <v>0</v>
      </c>
      <c r="M1130" s="81">
        <f>SUM(M1129:M1129)</f>
        <v>0</v>
      </c>
      <c r="N1130" s="81">
        <f>SUM(N1129:N1129)</f>
        <v>-1002</v>
      </c>
      <c r="O1130" s="81"/>
      <c r="P1130" s="81">
        <f>SUM(P1129:P1129)</f>
        <v>0</v>
      </c>
      <c r="Q1130" s="81">
        <f>SUM(Q1129:Q1129)</f>
        <v>0</v>
      </c>
      <c r="R1130" s="81">
        <f>SUM(R1129:R1129)</f>
        <v>0</v>
      </c>
      <c r="S1130" s="81">
        <f>SUM(S1129:S1129)</f>
        <v>0</v>
      </c>
      <c r="T1130" s="81">
        <f>SUM(T1129:T1129)</f>
        <v>0</v>
      </c>
      <c r="U1130" s="59">
        <f t="shared" si="1444"/>
        <v>0</v>
      </c>
      <c r="V1130" s="81">
        <f>SUM(V1129:V1129)</f>
        <v>0</v>
      </c>
      <c r="W1130" s="81">
        <f>SUM(W1129:W1129)</f>
        <v>0</v>
      </c>
      <c r="X1130" s="81">
        <f>SUM(X1129:X1129)</f>
        <v>0</v>
      </c>
      <c r="Y1130" s="81" t="s">
        <v>47</v>
      </c>
      <c r="Z1130" s="110" t="s">
        <v>45</v>
      </c>
      <c r="AA1130" s="110"/>
      <c r="AB1130" s="84"/>
      <c r="AC1130" s="136"/>
      <c r="AD1130" s="136"/>
      <c r="AE1130" s="100">
        <f t="shared" si="1440"/>
        <v>-1</v>
      </c>
      <c r="AF1130" s="90"/>
      <c r="AG1130" s="109">
        <f t="shared" si="1441"/>
        <v>-1002</v>
      </c>
      <c r="AH1130" s="100">
        <f t="shared" si="1442"/>
        <v>-1</v>
      </c>
      <c r="AI1130" s="100">
        <f t="shared" si="1443"/>
        <v>-1</v>
      </c>
    </row>
    <row r="1131" spans="1:35" s="86" customFormat="1" ht="18.75" customHeight="1" x14ac:dyDescent="0.3">
      <c r="A1131" s="106"/>
      <c r="B1131" s="106" t="s">
        <v>52</v>
      </c>
      <c r="C1131" s="144">
        <v>48051</v>
      </c>
      <c r="D1131" s="196">
        <v>13267577</v>
      </c>
      <c r="E1131" s="203" t="s">
        <v>807</v>
      </c>
      <c r="F1131" s="83">
        <v>2155</v>
      </c>
      <c r="G1131" s="83"/>
      <c r="H1131" s="83"/>
      <c r="I1131" s="83"/>
      <c r="J1131" s="83"/>
      <c r="K1131" s="83"/>
      <c r="L1131" s="83"/>
      <c r="M1131" s="83">
        <f>896+694+620</f>
        <v>2210</v>
      </c>
      <c r="N1131" s="110">
        <f>M1131-F1131</f>
        <v>55</v>
      </c>
      <c r="O1131" s="110" t="s">
        <v>111</v>
      </c>
      <c r="P1131" s="83"/>
      <c r="Q1131" s="83">
        <f>691+1519</f>
        <v>2210</v>
      </c>
      <c r="R1131" s="83"/>
      <c r="S1131" s="83">
        <f>2204</f>
        <v>2204</v>
      </c>
      <c r="T1131" s="110">
        <f>S1131-Q1131</f>
        <v>-6</v>
      </c>
      <c r="U1131" s="59">
        <f t="shared" ref="U1131:U1132" si="1445">IF(Q1131&gt;0,S1131-W1131,M1131-W1131)</f>
        <v>5</v>
      </c>
      <c r="V1131" s="83"/>
      <c r="W1131" s="83">
        <v>2199</v>
      </c>
      <c r="X1131" s="110">
        <f>W1131-M1131</f>
        <v>-11</v>
      </c>
      <c r="Y1131" s="110"/>
      <c r="Z1131" s="110"/>
      <c r="AA1131" s="110"/>
      <c r="AB1131" s="83"/>
      <c r="AC1131" s="106"/>
      <c r="AD1131" s="106"/>
      <c r="AE1131" s="100">
        <f t="shared" ref="AE1131:AE1132" si="1446">N1131/F1131</f>
        <v>2.5522041763341066E-2</v>
      </c>
      <c r="AF1131" s="90"/>
      <c r="AG1131" s="109">
        <f t="shared" ref="AG1131:AG1132" si="1447">IF(N1131&lt;0,N1131,0)</f>
        <v>0</v>
      </c>
      <c r="AH1131" s="100">
        <f t="shared" ref="AH1131:AH1132" si="1448">(S1131-F1131)/F1131</f>
        <v>2.2737819025522042E-2</v>
      </c>
      <c r="AI1131" s="100">
        <f t="shared" ref="AI1131:AI1132" si="1449">(W1131-F1131)/F1131</f>
        <v>2.0417633410672854E-2</v>
      </c>
    </row>
    <row r="1132" spans="1:35" s="82" customFormat="1" ht="16.5" customHeight="1" x14ac:dyDescent="0.3">
      <c r="A1132" s="90" t="s">
        <v>46</v>
      </c>
      <c r="B1132" s="90" t="s">
        <v>52</v>
      </c>
      <c r="C1132" s="137"/>
      <c r="D1132" s="90"/>
      <c r="E1132" s="80"/>
      <c r="F1132" s="81">
        <f>SUM(F1131:F1131)</f>
        <v>2155</v>
      </c>
      <c r="G1132" s="81"/>
      <c r="H1132" s="81"/>
      <c r="I1132" s="81"/>
      <c r="J1132" s="81" t="s">
        <v>60</v>
      </c>
      <c r="K1132" s="85" t="s">
        <v>226</v>
      </c>
      <c r="L1132" s="81">
        <f>SUM(L1131:L1131)</f>
        <v>0</v>
      </c>
      <c r="M1132" s="81">
        <f>SUM(M1131:M1131)</f>
        <v>2210</v>
      </c>
      <c r="N1132" s="81">
        <f>SUM(N1131:N1131)</f>
        <v>55</v>
      </c>
      <c r="O1132" s="81" t="s">
        <v>935</v>
      </c>
      <c r="P1132" s="81">
        <f>SUM(P1131:P1131)</f>
        <v>0</v>
      </c>
      <c r="Q1132" s="81">
        <f>SUM(Q1131:Q1131)</f>
        <v>2210</v>
      </c>
      <c r="R1132" s="81">
        <f>SUM(R1131:R1131)</f>
        <v>0</v>
      </c>
      <c r="S1132" s="81">
        <f>SUM(S1131:S1131)</f>
        <v>2204</v>
      </c>
      <c r="T1132" s="81">
        <f>SUM(T1131:T1131)</f>
        <v>-6</v>
      </c>
      <c r="U1132" s="59">
        <f t="shared" si="1445"/>
        <v>5</v>
      </c>
      <c r="V1132" s="81">
        <f>SUM(V1131:V1131)</f>
        <v>0</v>
      </c>
      <c r="W1132" s="81">
        <f>SUM(W1131:W1131)</f>
        <v>2199</v>
      </c>
      <c r="X1132" s="81">
        <f>SUM(X1131:X1131)</f>
        <v>-11</v>
      </c>
      <c r="Y1132" s="81" t="s">
        <v>47</v>
      </c>
      <c r="Z1132" s="110" t="s">
        <v>45</v>
      </c>
      <c r="AA1132" s="110"/>
      <c r="AB1132" s="84"/>
      <c r="AC1132" s="136"/>
      <c r="AD1132" s="136"/>
      <c r="AE1132" s="100">
        <f t="shared" si="1446"/>
        <v>2.5522041763341066E-2</v>
      </c>
      <c r="AF1132" s="90"/>
      <c r="AG1132" s="109">
        <f t="shared" si="1447"/>
        <v>0</v>
      </c>
      <c r="AH1132" s="100">
        <f t="shared" si="1448"/>
        <v>2.2737819025522042E-2</v>
      </c>
      <c r="AI1132" s="100">
        <f t="shared" si="1449"/>
        <v>2.0417633410672854E-2</v>
      </c>
    </row>
    <row r="1133" spans="1:35" s="86" customFormat="1" ht="18.75" customHeight="1" x14ac:dyDescent="0.3">
      <c r="A1133" s="106"/>
      <c r="B1133" s="106" t="s">
        <v>52</v>
      </c>
      <c r="C1133" s="144">
        <v>47962</v>
      </c>
      <c r="D1133" s="196">
        <v>13264503</v>
      </c>
      <c r="E1133" s="120" t="s">
        <v>0</v>
      </c>
      <c r="F1133" s="83">
        <v>1002</v>
      </c>
      <c r="G1133" s="83"/>
      <c r="H1133" s="83"/>
      <c r="I1133" s="83"/>
      <c r="J1133" s="83"/>
      <c r="K1133" s="83"/>
      <c r="L1133" s="83"/>
      <c r="M1133" s="83">
        <f>189+350+343+139+16</f>
        <v>1037</v>
      </c>
      <c r="N1133" s="110">
        <f>M1133-F1133</f>
        <v>35</v>
      </c>
      <c r="O1133" s="110" t="s">
        <v>111</v>
      </c>
      <c r="P1133" s="83"/>
      <c r="Q1133" s="83">
        <f>189+693+139+16</f>
        <v>1037</v>
      </c>
      <c r="R1133" s="83"/>
      <c r="S1133" s="83">
        <v>1020</v>
      </c>
      <c r="T1133" s="110">
        <f>S1133-Q1133</f>
        <v>-17</v>
      </c>
      <c r="U1133" s="59">
        <f t="shared" si="1444"/>
        <v>1020</v>
      </c>
      <c r="V1133" s="83"/>
      <c r="W1133" s="83"/>
      <c r="X1133" s="110">
        <f>W1133-M1133</f>
        <v>-1037</v>
      </c>
      <c r="Y1133" s="110"/>
      <c r="Z1133" s="110"/>
      <c r="AA1133" s="110"/>
      <c r="AB1133" s="83"/>
      <c r="AC1133" s="106"/>
      <c r="AD1133" s="106"/>
      <c r="AE1133" s="100">
        <f t="shared" si="1440"/>
        <v>3.4930139720558882E-2</v>
      </c>
      <c r="AF1133" s="90"/>
      <c r="AG1133" s="109">
        <f t="shared" si="1441"/>
        <v>0</v>
      </c>
      <c r="AH1133" s="100">
        <f t="shared" si="1442"/>
        <v>1.7964071856287425E-2</v>
      </c>
      <c r="AI1133" s="100">
        <f t="shared" si="1443"/>
        <v>-1</v>
      </c>
    </row>
    <row r="1134" spans="1:35" s="82" customFormat="1" ht="16.5" customHeight="1" x14ac:dyDescent="0.3">
      <c r="A1134" s="90" t="s">
        <v>46</v>
      </c>
      <c r="B1134" s="90" t="s">
        <v>52</v>
      </c>
      <c r="C1134" s="137"/>
      <c r="D1134" s="90"/>
      <c r="E1134" s="80"/>
      <c r="F1134" s="81">
        <f>SUM(F1133:F1133)</f>
        <v>1002</v>
      </c>
      <c r="G1134" s="81"/>
      <c r="H1134" s="81"/>
      <c r="I1134" s="81"/>
      <c r="J1134" s="81" t="s">
        <v>60</v>
      </c>
      <c r="K1134" s="85" t="s">
        <v>226</v>
      </c>
      <c r="L1134" s="81">
        <f>SUM(L1133:L1133)</f>
        <v>0</v>
      </c>
      <c r="M1134" s="81">
        <f>SUM(M1133:M1133)</f>
        <v>1037</v>
      </c>
      <c r="N1134" s="81">
        <f>SUM(N1133:N1133)</f>
        <v>35</v>
      </c>
      <c r="O1134" s="81" t="s">
        <v>210</v>
      </c>
      <c r="P1134" s="81">
        <f>SUM(P1133:P1133)</f>
        <v>0</v>
      </c>
      <c r="Q1134" s="81">
        <f>SUM(Q1133:Q1133)</f>
        <v>1037</v>
      </c>
      <c r="R1134" s="81">
        <f>SUM(R1133:R1133)</f>
        <v>0</v>
      </c>
      <c r="S1134" s="81">
        <f>SUM(S1133:S1133)</f>
        <v>1020</v>
      </c>
      <c r="T1134" s="81">
        <f>SUM(T1133:T1133)</f>
        <v>-17</v>
      </c>
      <c r="U1134" s="59">
        <f t="shared" si="1444"/>
        <v>1020</v>
      </c>
      <c r="V1134" s="81">
        <f>SUM(V1133:V1133)</f>
        <v>0</v>
      </c>
      <c r="W1134" s="81">
        <f>SUM(W1133:W1133)</f>
        <v>0</v>
      </c>
      <c r="X1134" s="81">
        <f>SUM(X1133:X1133)</f>
        <v>-1037</v>
      </c>
      <c r="Y1134" s="81" t="s">
        <v>47</v>
      </c>
      <c r="Z1134" s="110" t="s">
        <v>45</v>
      </c>
      <c r="AA1134" s="110"/>
      <c r="AB1134" s="84"/>
      <c r="AC1134" s="136"/>
      <c r="AD1134" s="136"/>
      <c r="AE1134" s="100">
        <f t="shared" si="1440"/>
        <v>3.4930139720558882E-2</v>
      </c>
      <c r="AF1134" s="90"/>
      <c r="AG1134" s="109">
        <f t="shared" si="1441"/>
        <v>0</v>
      </c>
      <c r="AH1134" s="100">
        <f t="shared" si="1442"/>
        <v>1.7964071856287425E-2</v>
      </c>
      <c r="AI1134" s="100">
        <f t="shared" si="1443"/>
        <v>-1</v>
      </c>
    </row>
    <row r="1135" spans="1:35" s="86" customFormat="1" ht="18.75" customHeight="1" x14ac:dyDescent="0.3">
      <c r="A1135" s="106"/>
      <c r="B1135" s="106" t="s">
        <v>52</v>
      </c>
      <c r="C1135" s="144">
        <v>47961</v>
      </c>
      <c r="D1135" s="196">
        <v>13264459</v>
      </c>
      <c r="E1135" s="120" t="s">
        <v>0</v>
      </c>
      <c r="F1135" s="83">
        <v>1008</v>
      </c>
      <c r="G1135" s="83"/>
      <c r="H1135" s="83"/>
      <c r="I1135" s="83"/>
      <c r="J1135" s="83"/>
      <c r="K1135" s="83"/>
      <c r="L1135" s="83"/>
      <c r="M1135" s="83">
        <v>1054</v>
      </c>
      <c r="N1135" s="110">
        <f>M1135-F1135</f>
        <v>46</v>
      </c>
      <c r="O1135" s="110" t="s">
        <v>111</v>
      </c>
      <c r="P1135" s="83"/>
      <c r="Q1135" s="83">
        <v>1054</v>
      </c>
      <c r="R1135" s="83"/>
      <c r="S1135" s="83">
        <v>1054</v>
      </c>
      <c r="T1135" s="110">
        <f>S1135-Q1135</f>
        <v>0</v>
      </c>
      <c r="U1135" s="59">
        <f t="shared" ref="U1135:U1136" si="1450">IF(Q1135&gt;0,S1135-W1135,M1135-W1135)</f>
        <v>4</v>
      </c>
      <c r="V1135" s="83"/>
      <c r="W1135" s="83">
        <v>1050</v>
      </c>
      <c r="X1135" s="110">
        <f>W1135-M1135</f>
        <v>-4</v>
      </c>
      <c r="Y1135" s="110"/>
      <c r="Z1135" s="110"/>
      <c r="AA1135" s="110"/>
      <c r="AB1135" s="83"/>
      <c r="AC1135" s="106"/>
      <c r="AD1135" s="106"/>
      <c r="AE1135" s="100">
        <f t="shared" ref="AE1135:AE1136" si="1451">N1135/F1135</f>
        <v>4.5634920634920632E-2</v>
      </c>
      <c r="AF1135" s="90"/>
      <c r="AG1135" s="109">
        <f t="shared" ref="AG1135:AG1136" si="1452">IF(N1135&lt;0,N1135,0)</f>
        <v>0</v>
      </c>
      <c r="AH1135" s="100">
        <f t="shared" ref="AH1135:AH1136" si="1453">(S1135-F1135)/F1135</f>
        <v>4.5634920634920632E-2</v>
      </c>
      <c r="AI1135" s="100">
        <f t="shared" ref="AI1135:AI1136" si="1454">(W1135-F1135)/F1135</f>
        <v>4.1666666666666664E-2</v>
      </c>
    </row>
    <row r="1136" spans="1:35" s="82" customFormat="1" ht="16.5" customHeight="1" x14ac:dyDescent="0.3">
      <c r="A1136" s="90" t="s">
        <v>46</v>
      </c>
      <c r="B1136" s="90" t="s">
        <v>52</v>
      </c>
      <c r="C1136" s="137"/>
      <c r="D1136" s="90"/>
      <c r="E1136" s="80"/>
      <c r="F1136" s="81">
        <f>SUM(F1135:F1135)</f>
        <v>1008</v>
      </c>
      <c r="G1136" s="81"/>
      <c r="H1136" s="81"/>
      <c r="I1136" s="81"/>
      <c r="J1136" s="81" t="s">
        <v>60</v>
      </c>
      <c r="K1136" s="85" t="s">
        <v>226</v>
      </c>
      <c r="L1136" s="81">
        <f>SUM(L1135:L1135)</f>
        <v>0</v>
      </c>
      <c r="M1136" s="81">
        <f>SUM(M1135:M1135)</f>
        <v>1054</v>
      </c>
      <c r="N1136" s="81">
        <f>SUM(N1135:N1135)</f>
        <v>46</v>
      </c>
      <c r="O1136" s="81" t="s">
        <v>668</v>
      </c>
      <c r="P1136" s="81">
        <f>SUM(P1135:P1135)</f>
        <v>0</v>
      </c>
      <c r="Q1136" s="81">
        <f>SUM(Q1135:Q1135)</f>
        <v>1054</v>
      </c>
      <c r="R1136" s="81">
        <f>SUM(R1135:R1135)</f>
        <v>0</v>
      </c>
      <c r="S1136" s="81">
        <f>SUM(S1135:S1135)</f>
        <v>1054</v>
      </c>
      <c r="T1136" s="81">
        <f>SUM(T1135:T1135)</f>
        <v>0</v>
      </c>
      <c r="U1136" s="59">
        <f t="shared" si="1450"/>
        <v>4</v>
      </c>
      <c r="V1136" s="81">
        <f>SUM(V1135:V1135)</f>
        <v>0</v>
      </c>
      <c r="W1136" s="81">
        <f>SUM(W1135:W1135)</f>
        <v>1050</v>
      </c>
      <c r="X1136" s="81">
        <f>SUM(X1135:X1135)</f>
        <v>-4</v>
      </c>
      <c r="Y1136" s="81" t="s">
        <v>47</v>
      </c>
      <c r="Z1136" s="110" t="s">
        <v>45</v>
      </c>
      <c r="AA1136" s="110"/>
      <c r="AB1136" s="84"/>
      <c r="AC1136" s="136"/>
      <c r="AD1136" s="136"/>
      <c r="AE1136" s="100">
        <f t="shared" si="1451"/>
        <v>4.5634920634920632E-2</v>
      </c>
      <c r="AF1136" s="90"/>
      <c r="AG1136" s="109">
        <f t="shared" si="1452"/>
        <v>0</v>
      </c>
      <c r="AH1136" s="100">
        <f t="shared" si="1453"/>
        <v>4.5634920634920632E-2</v>
      </c>
      <c r="AI1136" s="100">
        <f t="shared" si="1454"/>
        <v>4.1666666666666664E-2</v>
      </c>
    </row>
    <row r="1137" spans="1:35" s="86" customFormat="1" ht="18.75" customHeight="1" x14ac:dyDescent="0.3">
      <c r="A1137" s="106"/>
      <c r="B1137" s="106" t="s">
        <v>52</v>
      </c>
      <c r="C1137" s="144">
        <v>48042</v>
      </c>
      <c r="D1137" s="196">
        <v>13263722</v>
      </c>
      <c r="E1137" s="120" t="s">
        <v>586</v>
      </c>
      <c r="F1137" s="83">
        <v>1389</v>
      </c>
      <c r="G1137" s="83"/>
      <c r="H1137" s="83"/>
      <c r="I1137" s="83"/>
      <c r="J1137" s="83"/>
      <c r="K1137" s="83"/>
      <c r="L1137" s="83"/>
      <c r="M1137" s="83">
        <f>774+688</f>
        <v>1462</v>
      </c>
      <c r="N1137" s="110">
        <f>M1137-F1137</f>
        <v>73</v>
      </c>
      <c r="O1137" s="110" t="s">
        <v>111</v>
      </c>
      <c r="P1137" s="83"/>
      <c r="Q1137" s="83">
        <f>766+683</f>
        <v>1449</v>
      </c>
      <c r="R1137" s="83"/>
      <c r="S1137" s="83">
        <f>1426+23</f>
        <v>1449</v>
      </c>
      <c r="T1137" s="110">
        <f>S1137-Q1137</f>
        <v>0</v>
      </c>
      <c r="U1137" s="59">
        <f t="shared" si="1444"/>
        <v>0</v>
      </c>
      <c r="V1137" s="83"/>
      <c r="W1137" s="83">
        <v>1449</v>
      </c>
      <c r="X1137" s="110">
        <f>W1137-M1137</f>
        <v>-13</v>
      </c>
      <c r="Y1137" s="110"/>
      <c r="Z1137" s="110"/>
      <c r="AA1137" s="110"/>
      <c r="AB1137" s="83"/>
      <c r="AC1137" s="106"/>
      <c r="AD1137" s="106"/>
      <c r="AE1137" s="100">
        <f t="shared" si="1440"/>
        <v>5.2555795536357093E-2</v>
      </c>
      <c r="AF1137" s="90"/>
      <c r="AG1137" s="109">
        <f t="shared" si="1441"/>
        <v>0</v>
      </c>
      <c r="AH1137" s="100">
        <f t="shared" si="1442"/>
        <v>4.3196544276457881E-2</v>
      </c>
      <c r="AI1137" s="100">
        <f t="shared" si="1443"/>
        <v>4.3196544276457881E-2</v>
      </c>
    </row>
    <row r="1138" spans="1:35" s="82" customFormat="1" ht="16.5" customHeight="1" x14ac:dyDescent="0.3">
      <c r="A1138" s="90" t="s">
        <v>46</v>
      </c>
      <c r="B1138" s="90" t="s">
        <v>52</v>
      </c>
      <c r="C1138" s="137"/>
      <c r="D1138" s="90"/>
      <c r="E1138" s="80"/>
      <c r="F1138" s="81">
        <f>SUM(F1137:F1137)</f>
        <v>1389</v>
      </c>
      <c r="G1138" s="81"/>
      <c r="H1138" s="81"/>
      <c r="I1138" s="81"/>
      <c r="J1138" s="81"/>
      <c r="K1138" s="85" t="s">
        <v>226</v>
      </c>
      <c r="L1138" s="81">
        <f>SUM(L1137:L1137)</f>
        <v>0</v>
      </c>
      <c r="M1138" s="81">
        <f>SUM(M1137:M1137)</f>
        <v>1462</v>
      </c>
      <c r="N1138" s="81">
        <f>SUM(N1137:N1137)</f>
        <v>73</v>
      </c>
      <c r="O1138" s="81" t="s">
        <v>238</v>
      </c>
      <c r="P1138" s="81">
        <f>SUM(P1137:P1137)</f>
        <v>0</v>
      </c>
      <c r="Q1138" s="81">
        <f>SUM(Q1137:Q1137)</f>
        <v>1449</v>
      </c>
      <c r="R1138" s="81">
        <f>SUM(R1137:R1137)</f>
        <v>0</v>
      </c>
      <c r="S1138" s="81">
        <f>SUM(S1137:S1137)</f>
        <v>1449</v>
      </c>
      <c r="T1138" s="81">
        <f>SUM(T1137:T1137)</f>
        <v>0</v>
      </c>
      <c r="U1138" s="59">
        <f t="shared" si="1444"/>
        <v>0</v>
      </c>
      <c r="V1138" s="81">
        <f>SUM(V1137:V1137)</f>
        <v>0</v>
      </c>
      <c r="W1138" s="81">
        <f>SUM(W1137:W1137)</f>
        <v>1449</v>
      </c>
      <c r="X1138" s="81">
        <f>SUM(X1137:X1137)</f>
        <v>-13</v>
      </c>
      <c r="Y1138" s="81" t="s">
        <v>47</v>
      </c>
      <c r="Z1138" s="110" t="s">
        <v>45</v>
      </c>
      <c r="AA1138" s="110"/>
      <c r="AB1138" s="84"/>
      <c r="AC1138" s="136"/>
      <c r="AD1138" s="136"/>
      <c r="AE1138" s="100">
        <f t="shared" si="1440"/>
        <v>5.2555795536357093E-2</v>
      </c>
      <c r="AF1138" s="90"/>
      <c r="AG1138" s="109">
        <f t="shared" si="1441"/>
        <v>0</v>
      </c>
      <c r="AH1138" s="100">
        <f t="shared" si="1442"/>
        <v>4.3196544276457881E-2</v>
      </c>
      <c r="AI1138" s="100">
        <f t="shared" si="1443"/>
        <v>4.3196544276457881E-2</v>
      </c>
    </row>
    <row r="1139" spans="1:35" s="86" customFormat="1" ht="18.75" customHeight="1" x14ac:dyDescent="0.3">
      <c r="A1139" s="106"/>
      <c r="B1139" s="106" t="s">
        <v>52</v>
      </c>
      <c r="C1139" s="144">
        <v>48287</v>
      </c>
      <c r="D1139" s="196">
        <v>13267674</v>
      </c>
      <c r="E1139" s="120" t="s">
        <v>521</v>
      </c>
      <c r="F1139" s="83">
        <v>1543</v>
      </c>
      <c r="G1139" s="83"/>
      <c r="H1139" s="83"/>
      <c r="I1139" s="83"/>
      <c r="J1139" s="83"/>
      <c r="K1139" s="83"/>
      <c r="L1139" s="83"/>
      <c r="M1139" s="83"/>
      <c r="N1139" s="110">
        <f>M1139-F1139</f>
        <v>-1543</v>
      </c>
      <c r="O1139" s="110" t="s">
        <v>111</v>
      </c>
      <c r="P1139" s="83"/>
      <c r="Q1139" s="83"/>
      <c r="R1139" s="83"/>
      <c r="S1139" s="83"/>
      <c r="T1139" s="110">
        <f>S1139-Q1139</f>
        <v>0</v>
      </c>
      <c r="U1139" s="59">
        <f t="shared" si="1444"/>
        <v>0</v>
      </c>
      <c r="V1139" s="83"/>
      <c r="W1139" s="83"/>
      <c r="X1139" s="110">
        <f>W1139-M1139</f>
        <v>0</v>
      </c>
      <c r="Y1139" s="110"/>
      <c r="Z1139" s="110"/>
      <c r="AA1139" s="110"/>
      <c r="AB1139" s="83"/>
      <c r="AC1139" s="106"/>
      <c r="AD1139" s="106"/>
      <c r="AE1139" s="100">
        <f t="shared" si="1440"/>
        <v>-1</v>
      </c>
      <c r="AF1139" s="90"/>
      <c r="AG1139" s="109">
        <f t="shared" si="1441"/>
        <v>-1543</v>
      </c>
      <c r="AH1139" s="100">
        <f t="shared" si="1442"/>
        <v>-1</v>
      </c>
      <c r="AI1139" s="100">
        <f t="shared" si="1443"/>
        <v>-1</v>
      </c>
    </row>
    <row r="1140" spans="1:35" s="82" customFormat="1" ht="16.5" customHeight="1" x14ac:dyDescent="0.3">
      <c r="A1140" s="90" t="s">
        <v>46</v>
      </c>
      <c r="B1140" s="90" t="s">
        <v>52</v>
      </c>
      <c r="C1140" s="137"/>
      <c r="D1140" s="90"/>
      <c r="E1140" s="80"/>
      <c r="F1140" s="81">
        <f>SUM(F1139:F1139)</f>
        <v>1543</v>
      </c>
      <c r="G1140" s="81"/>
      <c r="H1140" s="81"/>
      <c r="I1140" s="81"/>
      <c r="J1140" s="81"/>
      <c r="K1140" s="85" t="s">
        <v>410</v>
      </c>
      <c r="L1140" s="81">
        <f>SUM(L1139:L1139)</f>
        <v>0</v>
      </c>
      <c r="M1140" s="81">
        <f>SUM(M1139:M1139)</f>
        <v>0</v>
      </c>
      <c r="N1140" s="81">
        <f>SUM(N1139:N1139)</f>
        <v>-1543</v>
      </c>
      <c r="O1140" s="81"/>
      <c r="P1140" s="81">
        <f>SUM(P1139:P1139)</f>
        <v>0</v>
      </c>
      <c r="Q1140" s="81">
        <f>SUM(Q1139:Q1139)</f>
        <v>0</v>
      </c>
      <c r="R1140" s="81">
        <f>SUM(R1139:R1139)</f>
        <v>0</v>
      </c>
      <c r="S1140" s="81">
        <f>SUM(S1139:S1139)</f>
        <v>0</v>
      </c>
      <c r="T1140" s="81">
        <f>SUM(T1139:T1139)</f>
        <v>0</v>
      </c>
      <c r="U1140" s="59">
        <f t="shared" si="1444"/>
        <v>0</v>
      </c>
      <c r="V1140" s="81">
        <f>SUM(V1139:V1139)</f>
        <v>0</v>
      </c>
      <c r="W1140" s="81">
        <f>SUM(W1139:W1139)</f>
        <v>0</v>
      </c>
      <c r="X1140" s="81">
        <f>SUM(X1139:X1139)</f>
        <v>0</v>
      </c>
      <c r="Y1140" s="81" t="s">
        <v>47</v>
      </c>
      <c r="Z1140" s="110" t="s">
        <v>45</v>
      </c>
      <c r="AA1140" s="110"/>
      <c r="AB1140" s="84"/>
      <c r="AC1140" s="136"/>
      <c r="AD1140" s="136"/>
      <c r="AE1140" s="100">
        <f t="shared" si="1440"/>
        <v>-1</v>
      </c>
      <c r="AF1140" s="90"/>
      <c r="AG1140" s="109">
        <f t="shared" si="1441"/>
        <v>-1543</v>
      </c>
      <c r="AH1140" s="100">
        <f t="shared" si="1442"/>
        <v>-1</v>
      </c>
      <c r="AI1140" s="100">
        <f t="shared" si="1443"/>
        <v>-1</v>
      </c>
    </row>
    <row r="1141" spans="1:35" s="86" customFormat="1" ht="18.75" customHeight="1" x14ac:dyDescent="0.3">
      <c r="A1141" s="106"/>
      <c r="B1141" s="106" t="s">
        <v>52</v>
      </c>
      <c r="C1141" s="144">
        <v>48015</v>
      </c>
      <c r="D1141" s="192">
        <v>13249095</v>
      </c>
      <c r="E1141" s="120" t="s">
        <v>451</v>
      </c>
      <c r="F1141" s="83">
        <v>1010</v>
      </c>
      <c r="G1141" s="83"/>
      <c r="H1141" s="83"/>
      <c r="I1141" s="83"/>
      <c r="J1141" s="83"/>
      <c r="K1141" s="83"/>
      <c r="L1141" s="83"/>
      <c r="M1141" s="83">
        <f>1042</f>
        <v>1042</v>
      </c>
      <c r="N1141" s="110">
        <f>M1141-F1141</f>
        <v>32</v>
      </c>
      <c r="O1141" s="110" t="s">
        <v>111</v>
      </c>
      <c r="P1141" s="83"/>
      <c r="Q1141" s="83">
        <f>1042</f>
        <v>1042</v>
      </c>
      <c r="R1141" s="83"/>
      <c r="S1141" s="83">
        <v>1041</v>
      </c>
      <c r="T1141" s="110">
        <f>S1141-Q1141</f>
        <v>-1</v>
      </c>
      <c r="U1141" s="59">
        <f t="shared" si="1444"/>
        <v>3</v>
      </c>
      <c r="V1141" s="83"/>
      <c r="W1141" s="83">
        <v>1038</v>
      </c>
      <c r="X1141" s="110">
        <f>W1141-M1141</f>
        <v>-4</v>
      </c>
      <c r="Y1141" s="110"/>
      <c r="Z1141" s="110"/>
      <c r="AA1141" s="110"/>
      <c r="AB1141" s="83"/>
      <c r="AC1141" s="106"/>
      <c r="AD1141" s="106"/>
      <c r="AE1141" s="100">
        <f t="shared" si="1440"/>
        <v>3.1683168316831684E-2</v>
      </c>
      <c r="AF1141" s="90"/>
      <c r="AG1141" s="109">
        <f t="shared" si="1441"/>
        <v>0</v>
      </c>
      <c r="AH1141" s="100">
        <f t="shared" si="1442"/>
        <v>3.0693069306930693E-2</v>
      </c>
      <c r="AI1141" s="100">
        <f t="shared" si="1443"/>
        <v>2.7722772277227723E-2</v>
      </c>
    </row>
    <row r="1142" spans="1:35" s="82" customFormat="1" ht="16.5" customHeight="1" x14ac:dyDescent="0.3">
      <c r="A1142" s="90" t="s">
        <v>46</v>
      </c>
      <c r="B1142" s="90" t="s">
        <v>52</v>
      </c>
      <c r="C1142" s="137"/>
      <c r="D1142" s="90"/>
      <c r="E1142" s="80"/>
      <c r="F1142" s="81">
        <f>SUM(F1141:F1141)</f>
        <v>1010</v>
      </c>
      <c r="G1142" s="81"/>
      <c r="H1142" s="81"/>
      <c r="I1142" s="81"/>
      <c r="J1142" s="81" t="s">
        <v>60</v>
      </c>
      <c r="K1142" s="85" t="s">
        <v>226</v>
      </c>
      <c r="L1142" s="81">
        <f>SUM(L1141:L1141)</f>
        <v>0</v>
      </c>
      <c r="M1142" s="81">
        <f>SUM(M1141:M1141)</f>
        <v>1042</v>
      </c>
      <c r="N1142" s="81">
        <f>SUM(N1141:N1141)</f>
        <v>32</v>
      </c>
      <c r="O1142" s="81"/>
      <c r="P1142" s="81">
        <f>SUM(P1141:P1141)</f>
        <v>0</v>
      </c>
      <c r="Q1142" s="81">
        <f>SUM(Q1141:Q1141)</f>
        <v>1042</v>
      </c>
      <c r="R1142" s="81">
        <f>SUM(R1141:R1141)</f>
        <v>0</v>
      </c>
      <c r="S1142" s="81">
        <f>SUM(S1141:S1141)</f>
        <v>1041</v>
      </c>
      <c r="T1142" s="81">
        <f>SUM(T1141:T1141)</f>
        <v>-1</v>
      </c>
      <c r="U1142" s="59">
        <f t="shared" si="1444"/>
        <v>3</v>
      </c>
      <c r="V1142" s="81">
        <f>SUM(V1141:V1141)</f>
        <v>0</v>
      </c>
      <c r="W1142" s="81">
        <f>SUM(W1141:W1141)</f>
        <v>1038</v>
      </c>
      <c r="X1142" s="81">
        <f>SUM(X1141:X1141)</f>
        <v>-4</v>
      </c>
      <c r="Y1142" s="81" t="s">
        <v>47</v>
      </c>
      <c r="Z1142" s="110" t="s">
        <v>45</v>
      </c>
      <c r="AA1142" s="110"/>
      <c r="AB1142" s="84"/>
      <c r="AC1142" s="136"/>
      <c r="AD1142" s="136"/>
      <c r="AE1142" s="100">
        <f t="shared" si="1440"/>
        <v>3.1683168316831684E-2</v>
      </c>
      <c r="AF1142" s="90"/>
      <c r="AG1142" s="109">
        <f t="shared" si="1441"/>
        <v>0</v>
      </c>
      <c r="AH1142" s="100">
        <f t="shared" si="1442"/>
        <v>3.0693069306930693E-2</v>
      </c>
      <c r="AI1142" s="100">
        <f t="shared" si="1443"/>
        <v>2.7722772277227723E-2</v>
      </c>
    </row>
    <row r="1143" spans="1:35" s="86" customFormat="1" ht="18.75" customHeight="1" x14ac:dyDescent="0.3">
      <c r="A1143" s="106"/>
      <c r="B1143" s="106" t="s">
        <v>52</v>
      </c>
      <c r="C1143" s="144">
        <v>48111</v>
      </c>
      <c r="D1143" s="196">
        <v>13264812</v>
      </c>
      <c r="E1143" s="120" t="s">
        <v>49</v>
      </c>
      <c r="F1143" s="83">
        <v>7620</v>
      </c>
      <c r="G1143" s="83"/>
      <c r="H1143" s="83"/>
      <c r="I1143" s="83"/>
      <c r="J1143" s="83"/>
      <c r="K1143" s="83"/>
      <c r="L1143" s="83"/>
      <c r="M1143" s="83">
        <f>2400+1632+1512+1116+936</f>
        <v>7596</v>
      </c>
      <c r="N1143" s="110">
        <f>M1143-F1143</f>
        <v>-24</v>
      </c>
      <c r="O1143" s="110" t="s">
        <v>111</v>
      </c>
      <c r="P1143" s="83"/>
      <c r="Q1143" s="83">
        <f>2400+4212+1242</f>
        <v>7854</v>
      </c>
      <c r="R1143" s="83"/>
      <c r="S1143" s="83"/>
      <c r="T1143" s="110">
        <f>S1143-Q1143</f>
        <v>-7854</v>
      </c>
      <c r="U1143" s="59">
        <f t="shared" si="1444"/>
        <v>0</v>
      </c>
      <c r="V1143" s="83"/>
      <c r="W1143" s="83"/>
      <c r="X1143" s="110">
        <f>W1143-M1143</f>
        <v>-7596</v>
      </c>
      <c r="Y1143" s="110"/>
      <c r="Z1143" s="110"/>
      <c r="AA1143" s="110"/>
      <c r="AB1143" s="83"/>
      <c r="AC1143" s="106"/>
      <c r="AD1143" s="106"/>
      <c r="AE1143" s="100">
        <f t="shared" si="1440"/>
        <v>-3.1496062992125984E-3</v>
      </c>
      <c r="AF1143" s="90"/>
      <c r="AG1143" s="109">
        <f t="shared" si="1441"/>
        <v>-24</v>
      </c>
      <c r="AH1143" s="100">
        <f t="shared" si="1442"/>
        <v>-1</v>
      </c>
      <c r="AI1143" s="100">
        <f t="shared" si="1443"/>
        <v>-1</v>
      </c>
    </row>
    <row r="1144" spans="1:35" s="82" customFormat="1" ht="16.5" customHeight="1" x14ac:dyDescent="0.3">
      <c r="A1144" s="90" t="s">
        <v>46</v>
      </c>
      <c r="B1144" s="90" t="s">
        <v>52</v>
      </c>
      <c r="C1144" s="137"/>
      <c r="D1144" s="90"/>
      <c r="E1144" s="80"/>
      <c r="F1144" s="81">
        <f>SUM(F1143:F1143)</f>
        <v>7620</v>
      </c>
      <c r="G1144" s="81"/>
      <c r="H1144" s="81"/>
      <c r="I1144" s="81"/>
      <c r="J1144" s="81" t="s">
        <v>60</v>
      </c>
      <c r="K1144" s="85" t="s">
        <v>768</v>
      </c>
      <c r="L1144" s="81">
        <f>SUM(L1143:L1143)</f>
        <v>0</v>
      </c>
      <c r="M1144" s="81">
        <f>SUM(M1143:M1143)</f>
        <v>7596</v>
      </c>
      <c r="N1144" s="81">
        <f>SUM(N1143:N1143)</f>
        <v>-24</v>
      </c>
      <c r="O1144" s="81" t="s">
        <v>808</v>
      </c>
      <c r="P1144" s="81">
        <f>SUM(P1143:P1143)</f>
        <v>0</v>
      </c>
      <c r="Q1144" s="81">
        <f>SUM(Q1143:Q1143)</f>
        <v>7854</v>
      </c>
      <c r="R1144" s="81">
        <f>SUM(R1143:R1143)</f>
        <v>0</v>
      </c>
      <c r="S1144" s="81">
        <f>SUM(S1143:S1143)</f>
        <v>0</v>
      </c>
      <c r="T1144" s="81">
        <f>SUM(T1143:T1143)</f>
        <v>-7854</v>
      </c>
      <c r="U1144" s="59">
        <f t="shared" si="1444"/>
        <v>0</v>
      </c>
      <c r="V1144" s="81">
        <f>SUM(V1143:V1143)</f>
        <v>0</v>
      </c>
      <c r="W1144" s="81">
        <f>SUM(W1143:W1143)</f>
        <v>0</v>
      </c>
      <c r="X1144" s="81">
        <f>SUM(X1143:X1143)</f>
        <v>-7596</v>
      </c>
      <c r="Y1144" s="81" t="s">
        <v>47</v>
      </c>
      <c r="Z1144" s="110" t="s">
        <v>45</v>
      </c>
      <c r="AA1144" s="110"/>
      <c r="AB1144" s="84"/>
      <c r="AC1144" s="136"/>
      <c r="AD1144" s="136"/>
      <c r="AE1144" s="100">
        <f t="shared" si="1440"/>
        <v>-3.1496062992125984E-3</v>
      </c>
      <c r="AF1144" s="90"/>
      <c r="AG1144" s="109">
        <f t="shared" si="1441"/>
        <v>-24</v>
      </c>
      <c r="AH1144" s="100">
        <f t="shared" si="1442"/>
        <v>-1</v>
      </c>
      <c r="AI1144" s="100">
        <f t="shared" si="1443"/>
        <v>-1</v>
      </c>
    </row>
    <row r="1145" spans="1:35" s="86" customFormat="1" ht="18.75" customHeight="1" x14ac:dyDescent="0.3">
      <c r="A1145" s="106"/>
      <c r="B1145" s="106" t="s">
        <v>52</v>
      </c>
      <c r="C1145" s="144">
        <v>48268</v>
      </c>
      <c r="D1145" s="199">
        <v>13265096</v>
      </c>
      <c r="E1145" s="120" t="s">
        <v>0</v>
      </c>
      <c r="F1145" s="83">
        <v>1285</v>
      </c>
      <c r="G1145" s="83"/>
      <c r="H1145" s="83"/>
      <c r="I1145" s="83"/>
      <c r="J1145" s="83"/>
      <c r="K1145" s="83"/>
      <c r="L1145" s="83"/>
      <c r="M1145" s="83">
        <f>119+441+764</f>
        <v>1324</v>
      </c>
      <c r="N1145" s="110">
        <f>M1145-F1145</f>
        <v>39</v>
      </c>
      <c r="O1145" s="110" t="s">
        <v>111</v>
      </c>
      <c r="P1145" s="83"/>
      <c r="Q1145" s="83">
        <f>560+764</f>
        <v>1324</v>
      </c>
      <c r="R1145" s="83">
        <v>1289</v>
      </c>
      <c r="S1145" s="83">
        <f>1289</f>
        <v>1289</v>
      </c>
      <c r="T1145" s="110">
        <f>S1145-Q1145</f>
        <v>-35</v>
      </c>
      <c r="U1145" s="59">
        <f t="shared" si="1444"/>
        <v>1289</v>
      </c>
      <c r="V1145" s="83"/>
      <c r="W1145" s="83"/>
      <c r="X1145" s="110">
        <f>W1145-M1145</f>
        <v>-1324</v>
      </c>
      <c r="Y1145" s="110"/>
      <c r="Z1145" s="110"/>
      <c r="AA1145" s="110"/>
      <c r="AB1145" s="83"/>
      <c r="AC1145" s="106"/>
      <c r="AD1145" s="106"/>
      <c r="AE1145" s="100">
        <f t="shared" si="1440"/>
        <v>3.0350194552529183E-2</v>
      </c>
      <c r="AF1145" s="90"/>
      <c r="AG1145" s="109">
        <f t="shared" si="1441"/>
        <v>0</v>
      </c>
      <c r="AH1145" s="100">
        <f t="shared" si="1442"/>
        <v>3.1128404669260703E-3</v>
      </c>
      <c r="AI1145" s="100">
        <f t="shared" si="1443"/>
        <v>-1</v>
      </c>
    </row>
    <row r="1146" spans="1:35" s="82" customFormat="1" ht="16.5" customHeight="1" x14ac:dyDescent="0.3">
      <c r="A1146" s="90" t="s">
        <v>46</v>
      </c>
      <c r="B1146" s="90" t="s">
        <v>52</v>
      </c>
      <c r="C1146" s="137"/>
      <c r="D1146" s="90"/>
      <c r="E1146" s="80"/>
      <c r="F1146" s="81">
        <f>SUM(F1145:F1145)</f>
        <v>1285</v>
      </c>
      <c r="G1146" s="81"/>
      <c r="H1146" s="81"/>
      <c r="I1146" s="81"/>
      <c r="J1146" s="81" t="s">
        <v>60</v>
      </c>
      <c r="K1146" s="85" t="s">
        <v>226</v>
      </c>
      <c r="L1146" s="81">
        <f>SUM(L1145:L1145)</f>
        <v>0</v>
      </c>
      <c r="M1146" s="81">
        <f>SUM(M1145:M1145)</f>
        <v>1324</v>
      </c>
      <c r="N1146" s="81">
        <f>SUM(N1145:N1145)</f>
        <v>39</v>
      </c>
      <c r="O1146" s="81" t="s">
        <v>1028</v>
      </c>
      <c r="P1146" s="81">
        <f>SUM(P1145:P1145)</f>
        <v>0</v>
      </c>
      <c r="Q1146" s="81">
        <f>SUM(Q1145:Q1145)</f>
        <v>1324</v>
      </c>
      <c r="R1146" s="81">
        <f>SUM(R1145:R1145)</f>
        <v>1289</v>
      </c>
      <c r="S1146" s="81">
        <f>SUM(S1145:S1145)</f>
        <v>1289</v>
      </c>
      <c r="T1146" s="81">
        <f>SUM(T1145:T1145)</f>
        <v>-35</v>
      </c>
      <c r="U1146" s="59">
        <f t="shared" si="1444"/>
        <v>1289</v>
      </c>
      <c r="V1146" s="81">
        <f>SUM(V1145:V1145)</f>
        <v>0</v>
      </c>
      <c r="W1146" s="81">
        <f>SUM(W1145:W1145)</f>
        <v>0</v>
      </c>
      <c r="X1146" s="81">
        <f>SUM(X1145:X1145)</f>
        <v>-1324</v>
      </c>
      <c r="Y1146" s="81" t="s">
        <v>47</v>
      </c>
      <c r="Z1146" s="110" t="s">
        <v>45</v>
      </c>
      <c r="AA1146" s="110"/>
      <c r="AB1146" s="84"/>
      <c r="AC1146" s="136"/>
      <c r="AD1146" s="136"/>
      <c r="AE1146" s="100">
        <f t="shared" si="1440"/>
        <v>3.0350194552529183E-2</v>
      </c>
      <c r="AF1146" s="90"/>
      <c r="AG1146" s="109">
        <f t="shared" si="1441"/>
        <v>0</v>
      </c>
      <c r="AH1146" s="100">
        <f t="shared" si="1442"/>
        <v>3.1128404669260703E-3</v>
      </c>
      <c r="AI1146" s="100">
        <f t="shared" si="1443"/>
        <v>-1</v>
      </c>
    </row>
    <row r="1147" spans="1:35" s="86" customFormat="1" ht="18.75" customHeight="1" x14ac:dyDescent="0.3">
      <c r="A1147" s="106"/>
      <c r="B1147" s="106" t="s">
        <v>52</v>
      </c>
      <c r="C1147" s="144">
        <v>47978</v>
      </c>
      <c r="D1147" s="199">
        <v>13263748</v>
      </c>
      <c r="E1147" s="120" t="s">
        <v>402</v>
      </c>
      <c r="F1147" s="83">
        <v>1602</v>
      </c>
      <c r="G1147" s="83"/>
      <c r="H1147" s="83"/>
      <c r="I1147" s="83"/>
      <c r="J1147" s="83"/>
      <c r="K1147" s="83"/>
      <c r="L1147" s="83"/>
      <c r="M1147" s="83">
        <f>1224+290+151</f>
        <v>1665</v>
      </c>
      <c r="N1147" s="110">
        <f>M1147-F1147</f>
        <v>63</v>
      </c>
      <c r="O1147" s="110" t="s">
        <v>111</v>
      </c>
      <c r="P1147" s="83"/>
      <c r="Q1147" s="83">
        <f>1224+189+252</f>
        <v>1665</v>
      </c>
      <c r="R1147" s="83"/>
      <c r="S1147" s="83">
        <f>1118+529</f>
        <v>1647</v>
      </c>
      <c r="T1147" s="110">
        <f>S1147-Q1147</f>
        <v>-18</v>
      </c>
      <c r="U1147" s="59">
        <f t="shared" ref="U1147:U1154" si="1455">IF(Q1147&gt;0,S1147-W1147,M1147-W1147)</f>
        <v>7</v>
      </c>
      <c r="V1147" s="83"/>
      <c r="W1147" s="83">
        <v>1640</v>
      </c>
      <c r="X1147" s="110">
        <f>W1147-M1147</f>
        <v>-25</v>
      </c>
      <c r="Y1147" s="110"/>
      <c r="Z1147" s="110"/>
      <c r="AA1147" s="110"/>
      <c r="AB1147" s="83"/>
      <c r="AC1147" s="106"/>
      <c r="AD1147" s="106"/>
      <c r="AE1147" s="100">
        <f t="shared" ref="AE1147:AE1154" si="1456">N1147/F1147</f>
        <v>3.9325842696629212E-2</v>
      </c>
      <c r="AF1147" s="90"/>
      <c r="AG1147" s="109">
        <f t="shared" ref="AG1147:AG1154" si="1457">IF(N1147&lt;0,N1147,0)</f>
        <v>0</v>
      </c>
      <c r="AH1147" s="100">
        <f t="shared" ref="AH1147:AH1154" si="1458">(S1147-F1147)/F1147</f>
        <v>2.8089887640449437E-2</v>
      </c>
      <c r="AI1147" s="100">
        <f t="shared" ref="AI1147:AI1154" si="1459">(W1147-F1147)/F1147</f>
        <v>2.3720349563046191E-2</v>
      </c>
    </row>
    <row r="1148" spans="1:35" s="82" customFormat="1" ht="16.5" customHeight="1" x14ac:dyDescent="0.3">
      <c r="A1148" s="90" t="s">
        <v>46</v>
      </c>
      <c r="B1148" s="90" t="s">
        <v>52</v>
      </c>
      <c r="C1148" s="137"/>
      <c r="D1148" s="90"/>
      <c r="E1148" s="80"/>
      <c r="F1148" s="81">
        <f>SUM(F1147:F1147)</f>
        <v>1602</v>
      </c>
      <c r="G1148" s="81"/>
      <c r="H1148" s="81"/>
      <c r="I1148" s="81"/>
      <c r="J1148" s="81" t="s">
        <v>60</v>
      </c>
      <c r="K1148" s="85" t="s">
        <v>340</v>
      </c>
      <c r="L1148" s="81">
        <f>SUM(L1147:L1147)</f>
        <v>0</v>
      </c>
      <c r="M1148" s="81">
        <f>SUM(M1147:M1147)</f>
        <v>1665</v>
      </c>
      <c r="N1148" s="81">
        <f>SUM(N1147:N1147)</f>
        <v>63</v>
      </c>
      <c r="O1148" s="81" t="s">
        <v>757</v>
      </c>
      <c r="P1148" s="81">
        <f>SUM(P1147:P1147)</f>
        <v>0</v>
      </c>
      <c r="Q1148" s="81">
        <f>SUM(Q1147:Q1147)</f>
        <v>1665</v>
      </c>
      <c r="R1148" s="81">
        <f>SUM(R1147:R1147)</f>
        <v>0</v>
      </c>
      <c r="S1148" s="81">
        <f>SUM(S1147:S1147)</f>
        <v>1647</v>
      </c>
      <c r="T1148" s="81">
        <f>SUM(T1147:T1147)</f>
        <v>-18</v>
      </c>
      <c r="U1148" s="59">
        <f t="shared" si="1455"/>
        <v>7</v>
      </c>
      <c r="V1148" s="81">
        <f>SUM(V1147:V1147)</f>
        <v>0</v>
      </c>
      <c r="W1148" s="81">
        <f>SUM(W1147:W1147)</f>
        <v>1640</v>
      </c>
      <c r="X1148" s="81">
        <f>SUM(X1147:X1147)</f>
        <v>-25</v>
      </c>
      <c r="Y1148" s="81" t="s">
        <v>57</v>
      </c>
      <c r="Z1148" s="110" t="s">
        <v>45</v>
      </c>
      <c r="AA1148" s="110"/>
      <c r="AB1148" s="84"/>
      <c r="AC1148" s="136"/>
      <c r="AD1148" s="136"/>
      <c r="AE1148" s="100">
        <f t="shared" si="1456"/>
        <v>3.9325842696629212E-2</v>
      </c>
      <c r="AF1148" s="90"/>
      <c r="AG1148" s="109">
        <f t="shared" si="1457"/>
        <v>0</v>
      </c>
      <c r="AH1148" s="100">
        <f t="shared" si="1458"/>
        <v>2.8089887640449437E-2</v>
      </c>
      <c r="AI1148" s="100">
        <f t="shared" si="1459"/>
        <v>2.3720349563046191E-2</v>
      </c>
    </row>
    <row r="1149" spans="1:35" s="86" customFormat="1" ht="18.75" customHeight="1" x14ac:dyDescent="0.3">
      <c r="A1149" s="106"/>
      <c r="B1149" s="106" t="s">
        <v>52</v>
      </c>
      <c r="C1149" s="144">
        <v>48046</v>
      </c>
      <c r="D1149" s="310">
        <v>13263715</v>
      </c>
      <c r="E1149" s="120" t="s">
        <v>587</v>
      </c>
      <c r="F1149" s="83">
        <v>804</v>
      </c>
      <c r="G1149" s="83"/>
      <c r="H1149" s="83"/>
      <c r="I1149" s="83"/>
      <c r="J1149" s="83"/>
      <c r="K1149" s="83"/>
      <c r="L1149" s="83"/>
      <c r="M1149" s="83">
        <v>822</v>
      </c>
      <c r="N1149" s="110">
        <f>M1149-F1149</f>
        <v>18</v>
      </c>
      <c r="O1149" s="110" t="s">
        <v>111</v>
      </c>
      <c r="P1149" s="83"/>
      <c r="Q1149" s="83"/>
      <c r="R1149" s="83"/>
      <c r="S1149" s="83"/>
      <c r="T1149" s="110">
        <f>S1149-Q1149</f>
        <v>0</v>
      </c>
      <c r="U1149" s="59">
        <f t="shared" ref="U1149:U1151" si="1460">IF(Q1149&gt;0,S1149-W1149,M1149-W1149)</f>
        <v>1</v>
      </c>
      <c r="V1149" s="83"/>
      <c r="W1149" s="83">
        <f>775+46</f>
        <v>821</v>
      </c>
      <c r="X1149" s="110">
        <f>W1149-M1149</f>
        <v>-1</v>
      </c>
      <c r="Y1149" s="110"/>
      <c r="Z1149" s="110"/>
      <c r="AA1149" s="110"/>
      <c r="AB1149" s="83"/>
      <c r="AC1149" s="106"/>
      <c r="AD1149" s="106"/>
      <c r="AE1149" s="100">
        <f t="shared" ref="AE1149:AE1151" si="1461">N1149/F1149</f>
        <v>2.2388059701492536E-2</v>
      </c>
      <c r="AF1149" s="90"/>
      <c r="AG1149" s="109">
        <f t="shared" ref="AG1149:AG1151" si="1462">IF(N1149&lt;0,N1149,0)</f>
        <v>0</v>
      </c>
      <c r="AH1149" s="100">
        <f t="shared" ref="AH1149:AH1151" si="1463">(S1149-F1149)/F1149</f>
        <v>-1</v>
      </c>
      <c r="AI1149" s="100">
        <f t="shared" ref="AI1149:AI1151" si="1464">(W1149-F1149)/F1149</f>
        <v>2.1144278606965175E-2</v>
      </c>
    </row>
    <row r="1150" spans="1:35" s="86" customFormat="1" ht="18.75" customHeight="1" x14ac:dyDescent="0.3">
      <c r="A1150" s="106"/>
      <c r="B1150" s="106" t="s">
        <v>52</v>
      </c>
      <c r="C1150" s="144">
        <v>48046</v>
      </c>
      <c r="D1150" s="311"/>
      <c r="E1150" s="120" t="s">
        <v>474</v>
      </c>
      <c r="F1150" s="83">
        <v>1161</v>
      </c>
      <c r="G1150" s="83"/>
      <c r="H1150" s="83"/>
      <c r="I1150" s="83"/>
      <c r="J1150" s="83"/>
      <c r="K1150" s="83"/>
      <c r="L1150" s="83"/>
      <c r="M1150" s="83">
        <f>348+288+275+276</f>
        <v>1187</v>
      </c>
      <c r="N1150" s="110">
        <f>M1150-F1150</f>
        <v>26</v>
      </c>
      <c r="O1150" s="110" t="s">
        <v>111</v>
      </c>
      <c r="P1150" s="83"/>
      <c r="Q1150" s="83"/>
      <c r="R1150" s="83"/>
      <c r="S1150" s="83"/>
      <c r="T1150" s="110">
        <f>S1150-Q1150</f>
        <v>0</v>
      </c>
      <c r="U1150" s="59">
        <f t="shared" ref="U1150" si="1465">IF(Q1150&gt;0,S1150-W1150,M1150-W1150)</f>
        <v>0</v>
      </c>
      <c r="V1150" s="83"/>
      <c r="W1150" s="83">
        <v>1187</v>
      </c>
      <c r="X1150" s="110">
        <f>W1150-M1150</f>
        <v>0</v>
      </c>
      <c r="Y1150" s="110"/>
      <c r="Z1150" s="110"/>
      <c r="AA1150" s="110"/>
      <c r="AB1150" s="83"/>
      <c r="AC1150" s="106"/>
      <c r="AD1150" s="106"/>
      <c r="AE1150" s="100">
        <f t="shared" ref="AE1150" si="1466">N1150/F1150</f>
        <v>2.2394487510766579E-2</v>
      </c>
      <c r="AF1150" s="90"/>
      <c r="AG1150" s="109">
        <f t="shared" ref="AG1150" si="1467">IF(N1150&lt;0,N1150,0)</f>
        <v>0</v>
      </c>
      <c r="AH1150" s="100">
        <f t="shared" ref="AH1150" si="1468">(S1150-F1150)/F1150</f>
        <v>-1</v>
      </c>
      <c r="AI1150" s="100">
        <f t="shared" ref="AI1150" si="1469">(W1150-F1150)/F1150</f>
        <v>2.2394487510766579E-2</v>
      </c>
    </row>
    <row r="1151" spans="1:35" s="86" customFormat="1" ht="18.75" customHeight="1" x14ac:dyDescent="0.3">
      <c r="A1151" s="106"/>
      <c r="B1151" s="106" t="s">
        <v>52</v>
      </c>
      <c r="C1151" s="144">
        <v>48046</v>
      </c>
      <c r="D1151" s="311"/>
      <c r="E1151" s="120" t="s">
        <v>0</v>
      </c>
      <c r="F1151" s="83">
        <v>813</v>
      </c>
      <c r="G1151" s="83"/>
      <c r="H1151" s="83"/>
      <c r="I1151" s="83"/>
      <c r="J1151" s="83"/>
      <c r="K1151" s="83"/>
      <c r="L1151" s="83"/>
      <c r="M1151" s="83">
        <f>235+438+135+31</f>
        <v>839</v>
      </c>
      <c r="N1151" s="110">
        <f>M1151-F1151</f>
        <v>26</v>
      </c>
      <c r="O1151" s="110" t="s">
        <v>111</v>
      </c>
      <c r="P1151" s="83"/>
      <c r="Q1151" s="83"/>
      <c r="R1151" s="83"/>
      <c r="S1151" s="83"/>
      <c r="T1151" s="110">
        <f>S1151-Q1151</f>
        <v>0</v>
      </c>
      <c r="U1151" s="59">
        <f t="shared" si="1460"/>
        <v>0</v>
      </c>
      <c r="V1151" s="83"/>
      <c r="W1151" s="83">
        <f>673+166</f>
        <v>839</v>
      </c>
      <c r="X1151" s="110">
        <f>W1151-M1151</f>
        <v>0</v>
      </c>
      <c r="Y1151" s="110"/>
      <c r="Z1151" s="110"/>
      <c r="AA1151" s="110"/>
      <c r="AB1151" s="83"/>
      <c r="AC1151" s="106"/>
      <c r="AD1151" s="106"/>
      <c r="AE1151" s="100">
        <f t="shared" si="1461"/>
        <v>3.1980319803198029E-2</v>
      </c>
      <c r="AF1151" s="90"/>
      <c r="AG1151" s="109">
        <f t="shared" si="1462"/>
        <v>0</v>
      </c>
      <c r="AH1151" s="100">
        <f t="shared" si="1463"/>
        <v>-1</v>
      </c>
      <c r="AI1151" s="100">
        <f t="shared" si="1464"/>
        <v>3.1980319803198029E-2</v>
      </c>
    </row>
    <row r="1152" spans="1:35" s="86" customFormat="1" ht="18.75" customHeight="1" x14ac:dyDescent="0.3">
      <c r="A1152" s="106"/>
      <c r="B1152" s="106" t="s">
        <v>52</v>
      </c>
      <c r="C1152" s="144">
        <v>48046</v>
      </c>
      <c r="D1152" s="326"/>
      <c r="E1152" s="120" t="s">
        <v>364</v>
      </c>
      <c r="F1152" s="83">
        <v>2753</v>
      </c>
      <c r="G1152" s="83"/>
      <c r="H1152" s="83"/>
      <c r="I1152" s="83"/>
      <c r="J1152" s="83"/>
      <c r="K1152" s="83"/>
      <c r="L1152" s="83"/>
      <c r="M1152" s="83">
        <f>336+306+258+1020+366+520+60</f>
        <v>2866</v>
      </c>
      <c r="N1152" s="110">
        <f>M1152-F1152</f>
        <v>113</v>
      </c>
      <c r="O1152" s="110" t="s">
        <v>111</v>
      </c>
      <c r="P1152" s="83"/>
      <c r="Q1152" s="83"/>
      <c r="R1152" s="83"/>
      <c r="S1152" s="83"/>
      <c r="T1152" s="110">
        <f>S1152-Q1152</f>
        <v>0</v>
      </c>
      <c r="U1152" s="59">
        <f t="shared" si="1455"/>
        <v>1</v>
      </c>
      <c r="V1152" s="83"/>
      <c r="W1152" s="83">
        <f>1128+861+816+60</f>
        <v>2865</v>
      </c>
      <c r="X1152" s="110">
        <f>W1152-M1152</f>
        <v>-1</v>
      </c>
      <c r="Y1152" s="110"/>
      <c r="Z1152" s="110"/>
      <c r="AA1152" s="110"/>
      <c r="AB1152" s="83"/>
      <c r="AC1152" s="106"/>
      <c r="AD1152" s="106"/>
      <c r="AE1152" s="100">
        <f t="shared" si="1456"/>
        <v>4.1046131492916818E-2</v>
      </c>
      <c r="AF1152" s="90"/>
      <c r="AG1152" s="109">
        <f t="shared" si="1457"/>
        <v>0</v>
      </c>
      <c r="AH1152" s="100">
        <f t="shared" si="1458"/>
        <v>-1</v>
      </c>
      <c r="AI1152" s="100">
        <f t="shared" si="1459"/>
        <v>4.0682891391209591E-2</v>
      </c>
    </row>
    <row r="1153" spans="1:35" s="82" customFormat="1" ht="16.5" customHeight="1" x14ac:dyDescent="0.3">
      <c r="A1153" s="90" t="s">
        <v>46</v>
      </c>
      <c r="B1153" s="90" t="s">
        <v>52</v>
      </c>
      <c r="C1153" s="137"/>
      <c r="D1153" s="90"/>
      <c r="E1153" s="80"/>
      <c r="F1153" s="81">
        <f>SUM(F1149:F1152)</f>
        <v>5531</v>
      </c>
      <c r="G1153" s="81"/>
      <c r="H1153" s="81"/>
      <c r="I1153" s="81"/>
      <c r="J1153" s="81" t="s">
        <v>60</v>
      </c>
      <c r="K1153" s="85" t="s">
        <v>340</v>
      </c>
      <c r="L1153" s="81">
        <f>SUM(L1149:L1152)</f>
        <v>0</v>
      </c>
      <c r="M1153" s="81">
        <f t="shared" ref="M1153:N1153" si="1470">SUM(M1149:M1152)</f>
        <v>5714</v>
      </c>
      <c r="N1153" s="81">
        <f t="shared" si="1470"/>
        <v>183</v>
      </c>
      <c r="O1153" s="81"/>
      <c r="P1153" s="81">
        <f>SUM(P1149:P1152)</f>
        <v>0</v>
      </c>
      <c r="Q1153" s="81">
        <f t="shared" ref="Q1153:X1153" si="1471">SUM(Q1149:Q1152)</f>
        <v>0</v>
      </c>
      <c r="R1153" s="81">
        <f t="shared" si="1471"/>
        <v>0</v>
      </c>
      <c r="S1153" s="81">
        <f t="shared" si="1471"/>
        <v>0</v>
      </c>
      <c r="T1153" s="81">
        <f t="shared" si="1471"/>
        <v>0</v>
      </c>
      <c r="U1153" s="59">
        <f t="shared" si="1455"/>
        <v>2</v>
      </c>
      <c r="V1153" s="81">
        <f t="shared" si="1471"/>
        <v>0</v>
      </c>
      <c r="W1153" s="81">
        <f t="shared" si="1471"/>
        <v>5712</v>
      </c>
      <c r="X1153" s="81">
        <f t="shared" si="1471"/>
        <v>-2</v>
      </c>
      <c r="Y1153" s="81"/>
      <c r="Z1153" s="110"/>
      <c r="AA1153" s="110"/>
      <c r="AB1153" s="84"/>
      <c r="AC1153" s="136"/>
      <c r="AD1153" s="136"/>
      <c r="AE1153" s="100">
        <f t="shared" si="1456"/>
        <v>3.3086241186042309E-2</v>
      </c>
      <c r="AF1153" s="90"/>
      <c r="AG1153" s="109">
        <f t="shared" si="1457"/>
        <v>0</v>
      </c>
      <c r="AH1153" s="100">
        <f t="shared" si="1458"/>
        <v>-1</v>
      </c>
      <c r="AI1153" s="100">
        <f t="shared" si="1459"/>
        <v>3.2724642921713974E-2</v>
      </c>
    </row>
    <row r="1154" spans="1:35" s="86" customFormat="1" ht="18.75" customHeight="1" x14ac:dyDescent="0.3">
      <c r="A1154" s="106"/>
      <c r="B1154" s="106" t="s">
        <v>52</v>
      </c>
      <c r="C1154" s="144">
        <v>47953</v>
      </c>
      <c r="D1154" s="310">
        <v>13263760</v>
      </c>
      <c r="E1154" s="203" t="s">
        <v>408</v>
      </c>
      <c r="F1154" s="83">
        <v>806</v>
      </c>
      <c r="G1154" s="83"/>
      <c r="H1154" s="83"/>
      <c r="I1154" s="83"/>
      <c r="J1154" s="83"/>
      <c r="K1154" s="83"/>
      <c r="L1154" s="83"/>
      <c r="M1154" s="83">
        <v>840</v>
      </c>
      <c r="N1154" s="110">
        <f>M1154-F1154</f>
        <v>34</v>
      </c>
      <c r="O1154" s="110" t="s">
        <v>111</v>
      </c>
      <c r="P1154" s="83"/>
      <c r="Q1154" s="83">
        <f>376+168+296</f>
        <v>840</v>
      </c>
      <c r="R1154" s="83"/>
      <c r="S1154" s="83">
        <v>837</v>
      </c>
      <c r="T1154" s="110">
        <f>S1154-Q1154</f>
        <v>-3</v>
      </c>
      <c r="U1154" s="59">
        <f t="shared" si="1455"/>
        <v>4</v>
      </c>
      <c r="V1154" s="83"/>
      <c r="W1154" s="83">
        <v>833</v>
      </c>
      <c r="X1154" s="110">
        <f>W1154-M1154</f>
        <v>-7</v>
      </c>
      <c r="Y1154" s="110"/>
      <c r="Z1154" s="110"/>
      <c r="AA1154" s="110"/>
      <c r="AB1154" s="83"/>
      <c r="AC1154" s="106"/>
      <c r="AD1154" s="106"/>
      <c r="AE1154" s="100">
        <f t="shared" si="1456"/>
        <v>4.2183622828784122E-2</v>
      </c>
      <c r="AF1154" s="90"/>
      <c r="AG1154" s="109">
        <f t="shared" si="1457"/>
        <v>0</v>
      </c>
      <c r="AH1154" s="100">
        <f t="shared" si="1458"/>
        <v>3.8461538461538464E-2</v>
      </c>
      <c r="AI1154" s="100">
        <f t="shared" si="1459"/>
        <v>3.3498759305210915E-2</v>
      </c>
    </row>
    <row r="1155" spans="1:35" s="86" customFormat="1" ht="18.75" customHeight="1" x14ac:dyDescent="0.3">
      <c r="A1155" s="106"/>
      <c r="B1155" s="106" t="s">
        <v>52</v>
      </c>
      <c r="C1155" s="144">
        <v>47953</v>
      </c>
      <c r="D1155" s="326"/>
      <c r="E1155" s="203" t="s">
        <v>116</v>
      </c>
      <c r="F1155" s="83">
        <v>821</v>
      </c>
      <c r="G1155" s="83"/>
      <c r="H1155" s="83"/>
      <c r="I1155" s="83"/>
      <c r="J1155" s="83"/>
      <c r="K1155" s="83"/>
      <c r="L1155" s="83"/>
      <c r="M1155" s="83">
        <f>464+343+48</f>
        <v>855</v>
      </c>
      <c r="N1155" s="110">
        <f>M1155-F1155</f>
        <v>34</v>
      </c>
      <c r="O1155" s="110" t="s">
        <v>111</v>
      </c>
      <c r="P1155" s="83"/>
      <c r="Q1155" s="83">
        <f>807+48</f>
        <v>855</v>
      </c>
      <c r="R1155" s="83"/>
      <c r="S1155" s="83">
        <f>805+48</f>
        <v>853</v>
      </c>
      <c r="T1155" s="110">
        <f>S1155-Q1155</f>
        <v>-2</v>
      </c>
      <c r="U1155" s="59">
        <f t="shared" si="1444"/>
        <v>1</v>
      </c>
      <c r="V1155" s="83"/>
      <c r="W1155" s="83">
        <v>852</v>
      </c>
      <c r="X1155" s="110">
        <f>W1155-M1155</f>
        <v>-3</v>
      </c>
      <c r="Y1155" s="110"/>
      <c r="Z1155" s="110"/>
      <c r="AA1155" s="110"/>
      <c r="AB1155" s="83"/>
      <c r="AC1155" s="106"/>
      <c r="AD1155" s="106"/>
      <c r="AE1155" s="100">
        <f t="shared" si="1440"/>
        <v>4.1412911084043852E-2</v>
      </c>
      <c r="AF1155" s="90"/>
      <c r="AG1155" s="109">
        <f t="shared" si="1441"/>
        <v>0</v>
      </c>
      <c r="AH1155" s="100">
        <f t="shared" si="1442"/>
        <v>3.8976857490864797E-2</v>
      </c>
      <c r="AI1155" s="100">
        <f t="shared" si="1443"/>
        <v>3.7758830694275276E-2</v>
      </c>
    </row>
    <row r="1156" spans="1:35" s="82" customFormat="1" ht="16.5" customHeight="1" x14ac:dyDescent="0.3">
      <c r="A1156" s="90" t="s">
        <v>46</v>
      </c>
      <c r="B1156" s="90" t="s">
        <v>52</v>
      </c>
      <c r="C1156" s="137"/>
      <c r="D1156" s="90"/>
      <c r="E1156" s="80"/>
      <c r="F1156" s="81">
        <f>SUM(F1154:F1155)</f>
        <v>1627</v>
      </c>
      <c r="G1156" s="81"/>
      <c r="H1156" s="81"/>
      <c r="I1156" s="81"/>
      <c r="J1156" s="81" t="s">
        <v>60</v>
      </c>
      <c r="K1156" s="85" t="s">
        <v>226</v>
      </c>
      <c r="L1156" s="81">
        <f>SUM(L1154:L1155)</f>
        <v>0</v>
      </c>
      <c r="M1156" s="81">
        <f t="shared" ref="M1156:X1156" si="1472">SUM(M1154:M1155)</f>
        <v>1695</v>
      </c>
      <c r="N1156" s="81">
        <f t="shared" si="1472"/>
        <v>68</v>
      </c>
      <c r="O1156" s="81" t="s">
        <v>709</v>
      </c>
      <c r="P1156" s="81">
        <f t="shared" si="1472"/>
        <v>0</v>
      </c>
      <c r="Q1156" s="81">
        <f t="shared" si="1472"/>
        <v>1695</v>
      </c>
      <c r="R1156" s="81">
        <f t="shared" si="1472"/>
        <v>0</v>
      </c>
      <c r="S1156" s="81">
        <f t="shared" si="1472"/>
        <v>1690</v>
      </c>
      <c r="T1156" s="81">
        <f t="shared" si="1472"/>
        <v>-5</v>
      </c>
      <c r="U1156" s="59">
        <f t="shared" si="1444"/>
        <v>5</v>
      </c>
      <c r="V1156" s="81">
        <f t="shared" si="1472"/>
        <v>0</v>
      </c>
      <c r="W1156" s="81">
        <f t="shared" si="1472"/>
        <v>1685</v>
      </c>
      <c r="X1156" s="81">
        <f t="shared" si="1472"/>
        <v>-10</v>
      </c>
      <c r="Y1156" s="81" t="s">
        <v>47</v>
      </c>
      <c r="Z1156" s="110" t="s">
        <v>45</v>
      </c>
      <c r="AA1156" s="110"/>
      <c r="AB1156" s="84"/>
      <c r="AC1156" s="136"/>
      <c r="AD1156" s="136"/>
      <c r="AE1156" s="100">
        <f t="shared" si="1440"/>
        <v>4.1794714197910261E-2</v>
      </c>
      <c r="AF1156" s="90"/>
      <c r="AG1156" s="109">
        <f t="shared" si="1441"/>
        <v>0</v>
      </c>
      <c r="AH1156" s="100">
        <f t="shared" si="1442"/>
        <v>3.8721573448063921E-2</v>
      </c>
      <c r="AI1156" s="100">
        <f t="shared" si="1443"/>
        <v>3.5648432698217582E-2</v>
      </c>
    </row>
    <row r="1157" spans="1:35" s="86" customFormat="1" ht="18.75" customHeight="1" x14ac:dyDescent="0.3">
      <c r="A1157" s="106"/>
      <c r="B1157" s="106" t="s">
        <v>52</v>
      </c>
      <c r="C1157" s="144">
        <v>48277</v>
      </c>
      <c r="D1157" s="253">
        <v>13265143</v>
      </c>
      <c r="E1157" s="120" t="s">
        <v>773</v>
      </c>
      <c r="F1157" s="83">
        <v>807</v>
      </c>
      <c r="G1157" s="83"/>
      <c r="H1157" s="83"/>
      <c r="I1157" s="83"/>
      <c r="J1157" s="83"/>
      <c r="K1157" s="83"/>
      <c r="L1157" s="83"/>
      <c r="M1157" s="83"/>
      <c r="N1157" s="110">
        <f>M1157-F1157</f>
        <v>-807</v>
      </c>
      <c r="O1157" s="110" t="s">
        <v>111</v>
      </c>
      <c r="P1157" s="83"/>
      <c r="Q1157" s="83"/>
      <c r="R1157" s="83"/>
      <c r="S1157" s="83"/>
      <c r="T1157" s="110">
        <f>S1157-Q1157</f>
        <v>0</v>
      </c>
      <c r="U1157" s="59">
        <f t="shared" ref="U1157:U1158" si="1473">IF(Q1157&gt;0,S1157-W1157,M1157-W1157)</f>
        <v>0</v>
      </c>
      <c r="V1157" s="83"/>
      <c r="W1157" s="83"/>
      <c r="X1157" s="110">
        <f>W1157-M1157</f>
        <v>0</v>
      </c>
      <c r="Y1157" s="110"/>
      <c r="Z1157" s="110"/>
      <c r="AA1157" s="110"/>
      <c r="AB1157" s="83"/>
      <c r="AC1157" s="106"/>
      <c r="AD1157" s="106"/>
      <c r="AE1157" s="100">
        <f t="shared" ref="AE1157:AE1158" si="1474">N1157/F1157</f>
        <v>-1</v>
      </c>
      <c r="AF1157" s="90"/>
      <c r="AG1157" s="109">
        <f t="shared" ref="AG1157:AG1158" si="1475">IF(N1157&lt;0,N1157,0)</f>
        <v>-807</v>
      </c>
      <c r="AH1157" s="100">
        <f t="shared" ref="AH1157:AH1158" si="1476">(S1157-F1157)/F1157</f>
        <v>-1</v>
      </c>
      <c r="AI1157" s="100">
        <f t="shared" ref="AI1157:AI1158" si="1477">(W1157-F1157)/F1157</f>
        <v>-1</v>
      </c>
    </row>
    <row r="1158" spans="1:35" s="82" customFormat="1" ht="16.5" customHeight="1" x14ac:dyDescent="0.3">
      <c r="A1158" s="90" t="s">
        <v>46</v>
      </c>
      <c r="B1158" s="90" t="s">
        <v>52</v>
      </c>
      <c r="C1158" s="137"/>
      <c r="D1158" s="90"/>
      <c r="E1158" s="80"/>
      <c r="F1158" s="81">
        <f>SUM(F1157:F1157)</f>
        <v>807</v>
      </c>
      <c r="G1158" s="81"/>
      <c r="H1158" s="81"/>
      <c r="I1158" s="81"/>
      <c r="J1158" s="81"/>
      <c r="K1158" s="85" t="s">
        <v>330</v>
      </c>
      <c r="L1158" s="81">
        <f>SUM(L1157:L1157)</f>
        <v>0</v>
      </c>
      <c r="M1158" s="81">
        <f>SUM(M1157:M1157)</f>
        <v>0</v>
      </c>
      <c r="N1158" s="81">
        <f>SUM(N1157:N1157)</f>
        <v>-807</v>
      </c>
      <c r="O1158" s="81"/>
      <c r="P1158" s="81">
        <f>SUM(P1157:P1157)</f>
        <v>0</v>
      </c>
      <c r="Q1158" s="81">
        <f>SUM(Q1157:Q1157)</f>
        <v>0</v>
      </c>
      <c r="R1158" s="81">
        <f>SUM(R1157:R1157)</f>
        <v>0</v>
      </c>
      <c r="S1158" s="81">
        <f>SUM(S1157:S1157)</f>
        <v>0</v>
      </c>
      <c r="T1158" s="81">
        <f>SUM(T1157:T1157)</f>
        <v>0</v>
      </c>
      <c r="U1158" s="59">
        <f t="shared" si="1473"/>
        <v>0</v>
      </c>
      <c r="V1158" s="81">
        <f>SUM(V1157:V1157)</f>
        <v>0</v>
      </c>
      <c r="W1158" s="81">
        <f>SUM(W1157:W1157)</f>
        <v>0</v>
      </c>
      <c r="X1158" s="81">
        <f>SUM(X1157:X1157)</f>
        <v>0</v>
      </c>
      <c r="Y1158" s="81" t="s">
        <v>47</v>
      </c>
      <c r="Z1158" s="110" t="s">
        <v>45</v>
      </c>
      <c r="AA1158" s="110"/>
      <c r="AB1158" s="84"/>
      <c r="AC1158" s="136"/>
      <c r="AD1158" s="136"/>
      <c r="AE1158" s="100">
        <f t="shared" si="1474"/>
        <v>-1</v>
      </c>
      <c r="AF1158" s="90"/>
      <c r="AG1158" s="109">
        <f t="shared" si="1475"/>
        <v>-807</v>
      </c>
      <c r="AH1158" s="100">
        <f t="shared" si="1476"/>
        <v>-1</v>
      </c>
      <c r="AI1158" s="100">
        <f t="shared" si="1477"/>
        <v>-1</v>
      </c>
    </row>
    <row r="1159" spans="1:35" s="86" customFormat="1" ht="18.75" customHeight="1" x14ac:dyDescent="0.3">
      <c r="A1159" s="106"/>
      <c r="B1159" s="106" t="s">
        <v>52</v>
      </c>
      <c r="C1159" s="144">
        <v>48272</v>
      </c>
      <c r="D1159" s="253">
        <v>13265153</v>
      </c>
      <c r="E1159" s="120" t="s">
        <v>760</v>
      </c>
      <c r="F1159" s="83">
        <v>1440</v>
      </c>
      <c r="G1159" s="83"/>
      <c r="H1159" s="83"/>
      <c r="I1159" s="83"/>
      <c r="J1159" s="83"/>
      <c r="K1159" s="83"/>
      <c r="L1159" s="83"/>
      <c r="M1159" s="83"/>
      <c r="N1159" s="110">
        <f>M1159-F1159</f>
        <v>-1440</v>
      </c>
      <c r="O1159" s="110" t="s">
        <v>111</v>
      </c>
      <c r="P1159" s="83"/>
      <c r="Q1159" s="83"/>
      <c r="R1159" s="83"/>
      <c r="S1159" s="83"/>
      <c r="T1159" s="110">
        <f>S1159-Q1159</f>
        <v>0</v>
      </c>
      <c r="U1159" s="59">
        <f t="shared" si="1444"/>
        <v>0</v>
      </c>
      <c r="V1159" s="83"/>
      <c r="W1159" s="83"/>
      <c r="X1159" s="110">
        <f>W1159-M1159</f>
        <v>0</v>
      </c>
      <c r="Y1159" s="110"/>
      <c r="Z1159" s="110"/>
      <c r="AA1159" s="110"/>
      <c r="AB1159" s="83"/>
      <c r="AC1159" s="106"/>
      <c r="AD1159" s="106"/>
      <c r="AE1159" s="100">
        <f t="shared" si="1440"/>
        <v>-1</v>
      </c>
      <c r="AF1159" s="90"/>
      <c r="AG1159" s="109">
        <f t="shared" si="1441"/>
        <v>-1440</v>
      </c>
      <c r="AH1159" s="100">
        <f t="shared" si="1442"/>
        <v>-1</v>
      </c>
      <c r="AI1159" s="100">
        <f t="shared" si="1443"/>
        <v>-1</v>
      </c>
    </row>
    <row r="1160" spans="1:35" s="82" customFormat="1" ht="16.5" customHeight="1" x14ac:dyDescent="0.3">
      <c r="A1160" s="90" t="s">
        <v>46</v>
      </c>
      <c r="B1160" s="90" t="s">
        <v>52</v>
      </c>
      <c r="C1160" s="137"/>
      <c r="D1160" s="90"/>
      <c r="E1160" s="80"/>
      <c r="F1160" s="81">
        <f>SUM(F1159:F1159)</f>
        <v>1440</v>
      </c>
      <c r="G1160" s="81"/>
      <c r="H1160" s="81"/>
      <c r="I1160" s="81"/>
      <c r="J1160" s="81"/>
      <c r="K1160" s="85" t="s">
        <v>330</v>
      </c>
      <c r="L1160" s="81">
        <f>SUM(L1159:L1159)</f>
        <v>0</v>
      </c>
      <c r="M1160" s="81">
        <f>SUM(M1159:M1159)</f>
        <v>0</v>
      </c>
      <c r="N1160" s="81">
        <f>SUM(N1159:N1159)</f>
        <v>-1440</v>
      </c>
      <c r="O1160" s="81"/>
      <c r="P1160" s="81">
        <f>SUM(P1159:P1159)</f>
        <v>0</v>
      </c>
      <c r="Q1160" s="81">
        <f>SUM(Q1159:Q1159)</f>
        <v>0</v>
      </c>
      <c r="R1160" s="81">
        <f>SUM(R1159:R1159)</f>
        <v>0</v>
      </c>
      <c r="S1160" s="81">
        <f>SUM(S1159:S1159)</f>
        <v>0</v>
      </c>
      <c r="T1160" s="81">
        <f>SUM(T1159:T1159)</f>
        <v>0</v>
      </c>
      <c r="U1160" s="59">
        <f t="shared" si="1444"/>
        <v>0</v>
      </c>
      <c r="V1160" s="81">
        <f>SUM(V1159:V1159)</f>
        <v>0</v>
      </c>
      <c r="W1160" s="81">
        <f>SUM(W1159:W1159)</f>
        <v>0</v>
      </c>
      <c r="X1160" s="81">
        <f>SUM(X1159:X1159)</f>
        <v>0</v>
      </c>
      <c r="Y1160" s="81" t="s">
        <v>47</v>
      </c>
      <c r="Z1160" s="110" t="s">
        <v>45</v>
      </c>
      <c r="AA1160" s="110"/>
      <c r="AB1160" s="84"/>
      <c r="AC1160" s="136"/>
      <c r="AD1160" s="136"/>
      <c r="AE1160" s="100">
        <f t="shared" si="1440"/>
        <v>-1</v>
      </c>
      <c r="AF1160" s="90"/>
      <c r="AG1160" s="109">
        <f t="shared" si="1441"/>
        <v>-1440</v>
      </c>
      <c r="AH1160" s="100">
        <f t="shared" si="1442"/>
        <v>-1</v>
      </c>
      <c r="AI1160" s="100">
        <f t="shared" si="1443"/>
        <v>-1</v>
      </c>
    </row>
    <row r="1161" spans="1:35" s="86" customFormat="1" ht="18.75" customHeight="1" x14ac:dyDescent="0.3">
      <c r="A1161" s="106"/>
      <c r="B1161" s="106" t="s">
        <v>52</v>
      </c>
      <c r="C1161" s="144">
        <v>48072</v>
      </c>
      <c r="D1161" s="253">
        <v>13263490</v>
      </c>
      <c r="E1161" s="120" t="s">
        <v>240</v>
      </c>
      <c r="F1161" s="83">
        <v>996</v>
      </c>
      <c r="G1161" s="83"/>
      <c r="H1161" s="83"/>
      <c r="I1161" s="83"/>
      <c r="J1161" s="83"/>
      <c r="K1161" s="83"/>
      <c r="L1161" s="83"/>
      <c r="M1161" s="83">
        <f>378+604</f>
        <v>982</v>
      </c>
      <c r="N1161" s="110">
        <f>M1161-F1161</f>
        <v>-14</v>
      </c>
      <c r="O1161" s="110" t="s">
        <v>111</v>
      </c>
      <c r="P1161" s="83"/>
      <c r="Q1161" s="83"/>
      <c r="R1161" s="83"/>
      <c r="S1161" s="83"/>
      <c r="T1161" s="110">
        <f>S1161-Q1161</f>
        <v>0</v>
      </c>
      <c r="U1161" s="59">
        <f t="shared" si="1444"/>
        <v>21</v>
      </c>
      <c r="V1161" s="83"/>
      <c r="W1161" s="83">
        <v>961</v>
      </c>
      <c r="X1161" s="110">
        <f>W1161-M1161</f>
        <v>-21</v>
      </c>
      <c r="Y1161" s="110"/>
      <c r="Z1161" s="110"/>
      <c r="AA1161" s="110"/>
      <c r="AB1161" s="83"/>
      <c r="AC1161" s="106"/>
      <c r="AD1161" s="106"/>
      <c r="AE1161" s="100">
        <f t="shared" si="1440"/>
        <v>-1.4056224899598393E-2</v>
      </c>
      <c r="AF1161" s="90"/>
      <c r="AG1161" s="109">
        <f t="shared" si="1441"/>
        <v>-14</v>
      </c>
      <c r="AH1161" s="100">
        <f t="shared" si="1442"/>
        <v>-1</v>
      </c>
      <c r="AI1161" s="100">
        <f t="shared" si="1443"/>
        <v>-3.5140562248995984E-2</v>
      </c>
    </row>
    <row r="1162" spans="1:35" s="82" customFormat="1" ht="16.5" customHeight="1" x14ac:dyDescent="0.3">
      <c r="A1162" s="90" t="s">
        <v>46</v>
      </c>
      <c r="B1162" s="90" t="s">
        <v>52</v>
      </c>
      <c r="C1162" s="137"/>
      <c r="D1162" s="90"/>
      <c r="E1162" s="80"/>
      <c r="F1162" s="81">
        <f>SUM(F1161:F1161)</f>
        <v>996</v>
      </c>
      <c r="G1162" s="81"/>
      <c r="H1162" s="81"/>
      <c r="I1162" s="81"/>
      <c r="J1162" s="81" t="s">
        <v>60</v>
      </c>
      <c r="K1162" s="85" t="s">
        <v>324</v>
      </c>
      <c r="L1162" s="81">
        <f>SUM(L1161:L1161)</f>
        <v>0</v>
      </c>
      <c r="M1162" s="81">
        <f>SUM(M1161:M1161)</f>
        <v>982</v>
      </c>
      <c r="N1162" s="81">
        <f>SUM(N1161:N1161)</f>
        <v>-14</v>
      </c>
      <c r="O1162" s="81"/>
      <c r="P1162" s="81">
        <f>SUM(P1161:P1161)</f>
        <v>0</v>
      </c>
      <c r="Q1162" s="81">
        <f>SUM(Q1161:Q1161)</f>
        <v>0</v>
      </c>
      <c r="R1162" s="81">
        <f>SUM(R1161:R1161)</f>
        <v>0</v>
      </c>
      <c r="S1162" s="81">
        <f>SUM(S1161:S1161)</f>
        <v>0</v>
      </c>
      <c r="T1162" s="81">
        <f>SUM(T1161:T1161)</f>
        <v>0</v>
      </c>
      <c r="U1162" s="59">
        <f t="shared" si="1444"/>
        <v>21</v>
      </c>
      <c r="V1162" s="81">
        <f>SUM(V1161:V1161)</f>
        <v>0</v>
      </c>
      <c r="W1162" s="81">
        <f>SUM(W1161:W1161)</f>
        <v>961</v>
      </c>
      <c r="X1162" s="81">
        <f>SUM(X1161:X1161)</f>
        <v>-21</v>
      </c>
      <c r="Y1162" s="81"/>
      <c r="Z1162" s="110"/>
      <c r="AA1162" s="110"/>
      <c r="AB1162" s="84"/>
      <c r="AC1162" s="136"/>
      <c r="AD1162" s="136"/>
      <c r="AE1162" s="100">
        <f t="shared" si="1440"/>
        <v>-1.4056224899598393E-2</v>
      </c>
      <c r="AF1162" s="90"/>
      <c r="AG1162" s="109">
        <f t="shared" si="1441"/>
        <v>-14</v>
      </c>
      <c r="AH1162" s="100">
        <f t="shared" si="1442"/>
        <v>-1</v>
      </c>
      <c r="AI1162" s="100">
        <f t="shared" si="1443"/>
        <v>-3.5140562248995984E-2</v>
      </c>
    </row>
    <row r="1163" spans="1:35" s="86" customFormat="1" ht="18.75" customHeight="1" x14ac:dyDescent="0.3">
      <c r="A1163" s="106"/>
      <c r="B1163" s="106" t="s">
        <v>52</v>
      </c>
      <c r="C1163" s="144">
        <v>48005</v>
      </c>
      <c r="D1163" s="256">
        <v>13264353</v>
      </c>
      <c r="E1163" s="120" t="s">
        <v>202</v>
      </c>
      <c r="F1163" s="83">
        <v>2421</v>
      </c>
      <c r="G1163" s="83"/>
      <c r="H1163" s="83"/>
      <c r="I1163" s="83"/>
      <c r="J1163" s="83"/>
      <c r="K1163" s="83"/>
      <c r="L1163" s="83"/>
      <c r="M1163" s="83">
        <f>1400+130+1030</f>
        <v>2560</v>
      </c>
      <c r="N1163" s="110">
        <f>M1163-F1163</f>
        <v>139</v>
      </c>
      <c r="O1163" s="110" t="s">
        <v>111</v>
      </c>
      <c r="P1163" s="83"/>
      <c r="Q1163" s="83">
        <f>1400+1160</f>
        <v>2560</v>
      </c>
      <c r="R1163" s="83"/>
      <c r="S1163" s="83"/>
      <c r="T1163" s="110">
        <f>S1163-Q1163</f>
        <v>-2560</v>
      </c>
      <c r="U1163" s="59">
        <f t="shared" si="1444"/>
        <v>0</v>
      </c>
      <c r="V1163" s="83"/>
      <c r="W1163" s="83"/>
      <c r="X1163" s="110">
        <f>W1163-M1163</f>
        <v>-2560</v>
      </c>
      <c r="Y1163" s="110"/>
      <c r="Z1163" s="110"/>
      <c r="AA1163" s="110"/>
      <c r="AB1163" s="83"/>
      <c r="AC1163" s="106"/>
      <c r="AD1163" s="106"/>
      <c r="AE1163" s="100">
        <f t="shared" si="1440"/>
        <v>5.7414291615035112E-2</v>
      </c>
      <c r="AF1163" s="90"/>
      <c r="AG1163" s="109">
        <f t="shared" si="1441"/>
        <v>0</v>
      </c>
      <c r="AH1163" s="100">
        <f t="shared" si="1442"/>
        <v>-1</v>
      </c>
      <c r="AI1163" s="100">
        <f t="shared" si="1443"/>
        <v>-1</v>
      </c>
    </row>
    <row r="1164" spans="1:35" s="82" customFormat="1" ht="16.5" customHeight="1" x14ac:dyDescent="0.3">
      <c r="A1164" s="90" t="s">
        <v>46</v>
      </c>
      <c r="B1164" s="90" t="s">
        <v>52</v>
      </c>
      <c r="C1164" s="137"/>
      <c r="D1164" s="90"/>
      <c r="E1164" s="80"/>
      <c r="F1164" s="81">
        <f>SUM(F1163:F1163)</f>
        <v>2421</v>
      </c>
      <c r="G1164" s="81"/>
      <c r="H1164" s="81"/>
      <c r="I1164" s="81"/>
      <c r="J1164" s="81" t="s">
        <v>60</v>
      </c>
      <c r="K1164" s="85" t="s">
        <v>765</v>
      </c>
      <c r="L1164" s="81">
        <f>SUM(L1163:L1163)</f>
        <v>0</v>
      </c>
      <c r="M1164" s="81">
        <f>SUM(M1163:M1163)</f>
        <v>2560</v>
      </c>
      <c r="N1164" s="81">
        <f>SUM(N1163:N1163)</f>
        <v>139</v>
      </c>
      <c r="O1164" s="81" t="s">
        <v>832</v>
      </c>
      <c r="P1164" s="81">
        <f>SUM(P1163:P1163)</f>
        <v>0</v>
      </c>
      <c r="Q1164" s="81">
        <f>SUM(Q1163:Q1163)</f>
        <v>2560</v>
      </c>
      <c r="R1164" s="81">
        <f>SUM(R1163:R1163)</f>
        <v>0</v>
      </c>
      <c r="S1164" s="81">
        <f>SUM(S1163:S1163)</f>
        <v>0</v>
      </c>
      <c r="T1164" s="81">
        <f>SUM(T1163:T1163)</f>
        <v>-2560</v>
      </c>
      <c r="U1164" s="59">
        <f t="shared" si="1444"/>
        <v>0</v>
      </c>
      <c r="V1164" s="81">
        <f>SUM(V1163:V1163)</f>
        <v>0</v>
      </c>
      <c r="W1164" s="81">
        <f>SUM(W1163:W1163)</f>
        <v>0</v>
      </c>
      <c r="X1164" s="81">
        <f>SUM(X1163:X1163)</f>
        <v>-2560</v>
      </c>
      <c r="Y1164" s="81" t="s">
        <v>48</v>
      </c>
      <c r="Z1164" s="110" t="s">
        <v>45</v>
      </c>
      <c r="AA1164" s="110"/>
      <c r="AB1164" s="84"/>
      <c r="AC1164" s="136"/>
      <c r="AD1164" s="136"/>
      <c r="AE1164" s="100">
        <f t="shared" si="1440"/>
        <v>5.7414291615035112E-2</v>
      </c>
      <c r="AF1164" s="90"/>
      <c r="AG1164" s="109">
        <f t="shared" si="1441"/>
        <v>0</v>
      </c>
      <c r="AH1164" s="100">
        <f t="shared" si="1442"/>
        <v>-1</v>
      </c>
      <c r="AI1164" s="100">
        <f t="shared" si="1443"/>
        <v>-1</v>
      </c>
    </row>
    <row r="1165" spans="1:35" s="86" customFormat="1" ht="18.75" customHeight="1" x14ac:dyDescent="0.3">
      <c r="A1165" s="106"/>
      <c r="B1165" s="106" t="s">
        <v>52</v>
      </c>
      <c r="C1165" s="144">
        <v>48006</v>
      </c>
      <c r="D1165" s="184">
        <v>13264355</v>
      </c>
      <c r="E1165" s="120" t="s">
        <v>202</v>
      </c>
      <c r="F1165" s="83">
        <v>2141</v>
      </c>
      <c r="G1165" s="83"/>
      <c r="H1165" s="83"/>
      <c r="I1165" s="83"/>
      <c r="J1165" s="83"/>
      <c r="K1165" s="83"/>
      <c r="L1165" s="83"/>
      <c r="M1165" s="83"/>
      <c r="N1165" s="110">
        <f>M1165-F1165</f>
        <v>-2141</v>
      </c>
      <c r="O1165" s="110" t="s">
        <v>111</v>
      </c>
      <c r="P1165" s="83"/>
      <c r="Q1165" s="83"/>
      <c r="R1165" s="83"/>
      <c r="S1165" s="83"/>
      <c r="T1165" s="110">
        <f>S1165-Q1165</f>
        <v>0</v>
      </c>
      <c r="U1165" s="59">
        <f t="shared" si="1418"/>
        <v>0</v>
      </c>
      <c r="V1165" s="83"/>
      <c r="W1165" s="83"/>
      <c r="X1165" s="110">
        <f>W1165-M1165</f>
        <v>0</v>
      </c>
      <c r="Y1165" s="110"/>
      <c r="Z1165" s="110"/>
      <c r="AA1165" s="110"/>
      <c r="AB1165" s="83"/>
      <c r="AC1165" s="106"/>
      <c r="AD1165" s="106"/>
      <c r="AE1165" s="100">
        <f t="shared" ref="AE1165:AE1166" si="1478">N1165/F1165</f>
        <v>-1</v>
      </c>
      <c r="AF1165" s="90"/>
      <c r="AG1165" s="109">
        <f t="shared" ref="AG1165:AG1166" si="1479">IF(N1165&lt;0,N1165,0)</f>
        <v>-2141</v>
      </c>
      <c r="AH1165" s="100">
        <f t="shared" ref="AH1165:AH1166" si="1480">(S1165-F1165)/F1165</f>
        <v>-1</v>
      </c>
      <c r="AI1165" s="100">
        <f t="shared" ref="AI1165:AI1166" si="1481">(W1165-F1165)/F1165</f>
        <v>-1</v>
      </c>
    </row>
    <row r="1166" spans="1:35" s="82" customFormat="1" ht="16.5" customHeight="1" x14ac:dyDescent="0.3">
      <c r="A1166" s="90" t="s">
        <v>46</v>
      </c>
      <c r="B1166" s="90" t="s">
        <v>52</v>
      </c>
      <c r="C1166" s="137"/>
      <c r="D1166" s="90"/>
      <c r="E1166" s="80"/>
      <c r="F1166" s="81">
        <f>SUM(F1165:F1165)</f>
        <v>2141</v>
      </c>
      <c r="G1166" s="81"/>
      <c r="H1166" s="81"/>
      <c r="I1166" s="81"/>
      <c r="J1166" s="81"/>
      <c r="K1166" s="85" t="s">
        <v>765</v>
      </c>
      <c r="L1166" s="81">
        <f>SUM(L1165:L1165)</f>
        <v>0</v>
      </c>
      <c r="M1166" s="81">
        <f>SUM(M1165:M1165)</f>
        <v>0</v>
      </c>
      <c r="N1166" s="81">
        <f>SUM(N1165:N1165)</f>
        <v>-2141</v>
      </c>
      <c r="O1166" s="81"/>
      <c r="P1166" s="81">
        <f>SUM(P1165:P1165)</f>
        <v>0</v>
      </c>
      <c r="Q1166" s="81">
        <f>SUM(Q1165:Q1165)</f>
        <v>0</v>
      </c>
      <c r="R1166" s="81">
        <f>SUM(R1165:R1165)</f>
        <v>0</v>
      </c>
      <c r="S1166" s="81">
        <f>SUM(S1165:S1165)</f>
        <v>0</v>
      </c>
      <c r="T1166" s="81">
        <f>SUM(T1165:T1165)</f>
        <v>0</v>
      </c>
      <c r="U1166" s="59">
        <f t="shared" si="1418"/>
        <v>0</v>
      </c>
      <c r="V1166" s="81">
        <f>SUM(V1165:V1165)</f>
        <v>0</v>
      </c>
      <c r="W1166" s="81">
        <f>SUM(W1165:W1165)</f>
        <v>0</v>
      </c>
      <c r="X1166" s="81">
        <f>SUM(X1165:X1165)</f>
        <v>0</v>
      </c>
      <c r="Y1166" s="81" t="s">
        <v>48</v>
      </c>
      <c r="Z1166" s="110" t="s">
        <v>45</v>
      </c>
      <c r="AA1166" s="110"/>
      <c r="AB1166" s="84"/>
      <c r="AC1166" s="136"/>
      <c r="AD1166" s="136"/>
      <c r="AE1166" s="100">
        <f t="shared" si="1478"/>
        <v>-1</v>
      </c>
      <c r="AF1166" s="90"/>
      <c r="AG1166" s="109">
        <f t="shared" si="1479"/>
        <v>-2141</v>
      </c>
      <c r="AH1166" s="100">
        <f t="shared" si="1480"/>
        <v>-1</v>
      </c>
      <c r="AI1166" s="100">
        <f t="shared" si="1481"/>
        <v>-1</v>
      </c>
    </row>
    <row r="1167" spans="1:35" s="52" customFormat="1" ht="26.25" customHeight="1" x14ac:dyDescent="0.3">
      <c r="A1167" s="73"/>
      <c r="B1167" s="73" t="s">
        <v>36</v>
      </c>
      <c r="C1167" s="73"/>
      <c r="D1167" s="73"/>
      <c r="E1167" s="73"/>
      <c r="F1167" s="53">
        <f>F1050+F1031+F1029+F416+F1052+F1046+F1060+F1056+F1058+F1044+F428+F426+F1054+F477+F465+F430+F1064+F1033+F444+F447+F1062+F20+F450+F468+F471+F393+F480+F483+F486+F518+F1066+F490+F509+F1128+F1080+F506+F1082+F1078+F1076+F1074+F1072+F1070+F1068+F1048+F512+F635+F515+F389+F546+F1038+F1042+F548+F413+F1084+F565+F534+F587+F574+F568+F531+F581+F1086+F598+F577+F683+F662+F638+F595+F591+F555+F666+F624+F611+F459+F1027+F641+F657+F619+F675+F1036+F1094+F1088+F672+F584+F571+F500+F1120+F648+F644+F551+F603+F420+F494+F503+F522+F525+F528+F537+F540+F543+F606+F614+F627+F630+F651+F654+F669+F678+F687+F690+F693+F696+F699+F1166+F1110+F1098+F1090+F735+F1118+F1116+F769+F767+F755+F744+F718+F705+F1122+F1092+F760+F709+F786+F724+F782+F764+F738+F732+F728+F474+F789+F777+F721+F1130+F1114+F750+F927+F747+F715+F712+F1106+F1100+F1104+F1142+F1108+F1102+F883+F826+F741+F408+F423+F461+F702+F773+F792+F1156+F1153+F1148+F1146+F1144+F1140+F1138+F1136+F1134+F1132+F1126+F1124+F1112+F1096+F1040+F906+F797+F800+F803+F807+F810+F813+F816+F819+F823+F829+F832+F838+F880+F835+F886+F889+F892+F896+F899+F903+F398+F910+F924+F921+F917+F913+F438+F434+F877+F874+F871+F868+F865+F861+F857+F853+F849+F845+F842+F930+F1004+F1000+F997+F994+F991+F987+F984+F981+F977+F974+F971+F968+F963+F958+F954+F950+F946+F942+F938+F934+F1007+F1010+F1014+F1018+F1021+F1024+F497+F455+F404+F402+F1160+F1158+F1162+F1164+F562+F560+F557</f>
        <v>887618</v>
      </c>
      <c r="G1167" s="53"/>
      <c r="H1167" s="53"/>
      <c r="I1167" s="53"/>
      <c r="J1167" s="53"/>
      <c r="K1167" s="53"/>
      <c r="L1167" s="53">
        <f>L1050+L1031+L1029+L416+L1052+L1046+L1060+L1056+L1058+L1044+L428+L426+L1054+L477+L465+L430+L1064+L1033+L444+L447+L1062+L20+L450+L468+L471+L393+L480+L483+L486+L518+L1066+L490+L509+L1128+L1080+L506+L1082+L1078+L1076+L1074+L1072+L1070+L1068+L1048+L512+L635+L515+L389+L546+L1038+L1042+L548+L413+L1084+L565+L534+L587+L574+L568+L531+L581+L1086+L598+L577+L683+L662+L638+L595+L591+L555+L666+L624+L611+L459+L1027+L641+L657+L619+L675+L1036+L1094+L1088+L672+L584+L571+L500+L1120+L648+L644+L551+L603+L420+L494+L503+L522+L525+L528+L537+L540+L543+L606+L614+L627+L630+L651+L654+L669+L678+L687+L690+L693+L696+L699+L1166+L1110+L1098+L1090+L735+L1118+L1116+L769+L767+L755+L744+L718+L705+L1122+L1092+L760+L709+L786+L724+L782+L764+L738+L732+L728+L474+L789+L777+L721+L1130+L1114+L750+L927+L747+L715+L712+L1106+L1100+L1104+L1142+L1108+L1102+L883+L826+L741+L408+L423+L461+L702+L773+L792+L1156+L1153+L1148+L1146+L1144+L1140+L1138+L1136+L1134+L1132+L1126+L1124+L1112+L1096+L1040+L906+L797+L800+L803+L807+L810+L813+L816+L819+L823+L829+L832+L838+L880+L835+L886+L889+L892+L896+L899+L903+L398+L910+L924+L921+L917+L913+L438+L434+L877+L874+L871+L868+L865+L861+L857+L853+L849+L845+L842+L930+L1004+L1000+L997+L994+L991+L987+L984+L981+L977+L974+L971+L968+L963+L958+L954+L950+L946+L942+L938+L934+L1007+L1010+L1014+L1018+L1021+L1024+L497+L455+L404+L402+L1160+L1158+L1162+L1164+L562+L560+L557</f>
        <v>11853</v>
      </c>
      <c r="M1167" s="53">
        <f>M1050+M1031+M1029+M416+M1052+M1046+M1060+M1056+M1058+M1044+M428+M426+M1054+M477+M465+M430+M1064+M1033+M444+M447+M1062+M20+M450+M468+M471+M393+M480+M483+M486+M518+M1066+M490+M509+M1128+M1080+M506+M1082+M1078+M1076+M1074+M1072+M1070+M1068+M1048+M512+M635+M515+M389+M546+M1038+M1042+M548+M413+M1084+M565+M534+M587+M574+M568+M531+M581+M1086+M598+M577+M683+M662+M638+M595+M591+M555+M666+M624+M611+M459+M1027+M641+M657+M619+M675+M1036+M1094+M1088+M672+M584+M571+M500+M1120+M648+M644+M551+M603+M420+M494+M503+M522+M525+M528+M537+M540+M543+M606+M614+M627+M630+M651+M654+M669+M678+M687+M690+M693+M696+M699+M1166+M1110+M1098+M1090+M735+M1118+M1116+M769+M767+M755+M744+M718+M705+M1122+M1092+M760+M709+M786+M724+M782+M764+M738+M732+M728+M474+M789+M777+M721+M1130+M1114+M750+M927+M747+M715+M712+M1106+M1100+M1104+M1142+M1108+M1102+M883+M826+M741+M408+M423+M461+M702+M773+M792+M1156+M1153+M1148+M1146+M1144+M1140+M1138+M1136+M1134+M1132+M1126+M1124+M1112+M1096+M1040+M906+M797+M800+M803+M807+M810+M813+M816+M819+M823+M829+M832+M838+M880+M835+M886+M889+M892+M896+M899+M903+M398+M910+M924+M921+M917+M913+M438+M434+M877+M874+M871+M868+M865+M861+M857+M853+M849+M845+M842+M930+M1004+M1000+M997+M994+M991+M987+M984+M981+M977+M974+M971+M968+M963+M958+M954+M950+M946+M942+M938+M934+M1007+M1010+M1014+M1018+M1021+M1024+M497+M455+M404+M402+M1160+M1158+M1162+M1164+M562+M560+M557</f>
        <v>712187</v>
      </c>
      <c r="N1167" s="53">
        <f>N1050+N1031+N1029+N416+N1052+N1046+N1060+N1056+N1058+N1044+N428+N426+N1054+N477+N465+N430+N1064+N1033+N444+N447+N1062+N20+N450+N468+N471+N393+N480+N483+N486+N518+N1066+N490+N509+N1128+N1080+N506+N1082+N1078+N1076+N1074+N1072+N1070+N1068+N1048+N512+N635+N515+N389+N546+N1038+N1042+N548+N413+N1084+N565+N534+N587+N574+N568+N531+N581+N1086+N598+N577+N683+N662+N638+N595+N591+N555+N666+N624+N611+N459+N1027+N641+N657+N619+N675+N1036+N1094+N1088+N672+N584+N571+N500+N1120+N648+N644+N551+N603+N420+N494+N503+N522+N525+N528+N537+N540+N543+N606+N614+N627+N630+N651+N654+N669+N678+N687+N690+N693+N696+N699+N1166+N1110+N1098+N1090+N735+N1118+N1116+N769+N767+N755+N744+N718+N705+N1122+N1092+N760+N709+N786+N724+N782+N764+N738+N732+N728+N474+N789+N777+N721+N1130+N1114+N750+N927+N747+N715+N712+N1106+N1100+N1104+N1142+N1108+N1102+N883+N826+N741+N408+N423+N461+N702+N773+N792+N1156+N1153+N1148+N1146+N1144+N1140+N1138+N1136+N1134+N1132+N1126+N1124+N1112+N1096+N1040+N906+N797+N800+N803+N807+N810+N813+N816+N819+N823+N829+N832+N838+N880+N835+N886+N889+N892+N896+N899+N903+N398+N910+N924+N921+N917+N913+N438+N434+N877+N874+N871+N868+N865+N861+N857+N853+N849+N845+N842+N930+N1004+N1000+N997+N994+N991+N987+N984+N981+N977+N974+N971+N968+N963+N958+N954+N950+N946+N942+N938+N934+N1007+N1010+N1014+N1018+N1021+N1024+N497+N455+N404+N402+N1160+N1158+N1162+N1164+N562+N560+N557</f>
        <v>-175754</v>
      </c>
      <c r="O1167" s="53"/>
      <c r="P1167" s="53">
        <f t="shared" ref="P1167:X1167" si="1482">P1050+P1031+P1029+P416+P1052+P1046+P1060+P1056+P1058+P1044+P428+P426+P1054+P477+P465+P430+P1064+P1033+P444+P447+P1062+P20+P450+P468+P471+P393+P480+P483+P486+P518+P1066+P490+P509+P1128+P1080+P506+P1082+P1078+P1076+P1074+P1072+P1070+P1068+P1048+P512+P635+P515+P389+P546+P1038+P1042+P548+P413+P1084+P565+P534+P587+P574+P568+P531+P581+P1086+P598+P577+P683+P662+P638+P595+P591+P555+P666+P624+P611+P459+P1027+P641+P657+P619+P675+P1036+P1094+P1088+P672+P584+P571+P500+P1120+P648+P644+P551+P603+P420+P494+P503+P522+P525+P528+P537+P540+P543+P606+P614+P627+P630+P651+P654+P669+P678+P687+P690+P693+P696+P699+P1166+P1110+P1098+P1090+P735+P1118+P1116+P769+P767+P755+P744+P718+P705+P1122+P1092+P760+P709+P786+P724+P782+P764+P738+P732+P728+P474+P789+P777+P721+P1130+P1114+P750+P927+P747+P715+P712+P1106+P1100+P1104+P1142+P1108+P1102+P883+P826+P741+P408+P423+P461+P702+P773+P792+P1156+P1153+P1148+P1146+P1144+P1140+P1138+P1136+P1134+P1132+P1126+P1124+P1112+P1096+P1040+P906+P797+P800+P803+P807+P810+P813+P816+P819+P823+P829+P832+P838+P880+P835+P886+P889+P892+P896+P899+P903+P398+P910+P924+P921+P917+P913+P438+P434+P877+P874+P871+P868+P865+P861+P857+P853+P849+P845+P842+P930+P1004+P1000+P997+P994+P991+P987+P984+P981+P977+P974+P971+P968+P963+P958+P954+P950+P946+P942+P938+P934+P1007+P1010+P1014+P1018+P1021+P1024+P497+P455+P404+P402+P1160+P1158+P1162+P1164+P562+P560+P557</f>
        <v>3294</v>
      </c>
      <c r="Q1167" s="53">
        <f t="shared" si="1482"/>
        <v>597044</v>
      </c>
      <c r="R1167" s="53">
        <f t="shared" si="1482"/>
        <v>10993</v>
      </c>
      <c r="S1167" s="53">
        <f t="shared" si="1482"/>
        <v>526620</v>
      </c>
      <c r="T1167" s="53">
        <f t="shared" si="1482"/>
        <v>-70424</v>
      </c>
      <c r="U1167" s="53">
        <f t="shared" si="1482"/>
        <v>93547</v>
      </c>
      <c r="V1167" s="53">
        <f t="shared" si="1482"/>
        <v>14100</v>
      </c>
      <c r="W1167" s="53">
        <f t="shared" si="1482"/>
        <v>544635</v>
      </c>
      <c r="X1167" s="53">
        <f t="shared" si="1482"/>
        <v>-167552</v>
      </c>
      <c r="Y1167" s="53"/>
      <c r="Z1167" s="53"/>
      <c r="AA1167" s="53"/>
      <c r="AB1167" s="53"/>
      <c r="AC1167" s="53"/>
      <c r="AD1167" s="53"/>
      <c r="AE1167" s="100">
        <f t="shared" si="1377"/>
        <v>-0.19800634957830959</v>
      </c>
      <c r="AF1167" s="90"/>
      <c r="AG1167" s="109">
        <f t="shared" si="1378"/>
        <v>-175754</v>
      </c>
      <c r="AH1167" s="100">
        <f t="shared" si="1379"/>
        <v>-0.40670423538053529</v>
      </c>
      <c r="AI1167" s="100">
        <f t="shared" si="1380"/>
        <v>-0.38640834232744264</v>
      </c>
    </row>
    <row r="1168" spans="1:35" s="47" customFormat="1" ht="21" customHeight="1" x14ac:dyDescent="0.3">
      <c r="A1168" s="103"/>
      <c r="B1168" s="106" t="s">
        <v>53</v>
      </c>
      <c r="C1168" s="107">
        <v>48194</v>
      </c>
      <c r="D1168" s="158">
        <v>22040939</v>
      </c>
      <c r="E1168" s="133" t="s">
        <v>464</v>
      </c>
      <c r="F1168" s="66">
        <v>822</v>
      </c>
      <c r="G1168" s="92"/>
      <c r="H1168" s="66"/>
      <c r="I1168" s="66"/>
      <c r="J1168" s="66"/>
      <c r="K1168" s="78"/>
      <c r="L1168" s="66"/>
      <c r="M1168" s="66"/>
      <c r="N1168" s="110">
        <f>M1168-F1168</f>
        <v>-822</v>
      </c>
      <c r="O1168" s="110"/>
      <c r="P1168" s="66"/>
      <c r="Q1168" s="66"/>
      <c r="R1168" s="66"/>
      <c r="S1168" s="66"/>
      <c r="T1168" s="110">
        <f>S1168-Q1168</f>
        <v>0</v>
      </c>
      <c r="U1168" s="59">
        <f t="shared" si="1418"/>
        <v>0</v>
      </c>
      <c r="V1168" s="66"/>
      <c r="W1168" s="66"/>
      <c r="X1168" s="110">
        <f>W1168-M1168</f>
        <v>0</v>
      </c>
      <c r="Y1168" s="110"/>
      <c r="Z1168" s="110"/>
      <c r="AA1168" s="110"/>
      <c r="AB1168" s="46"/>
      <c r="AC1168" s="78"/>
      <c r="AD1168" s="78"/>
      <c r="AE1168" s="100">
        <f t="shared" ref="AE1168:AE1169" si="1483">N1168/F1168</f>
        <v>-1</v>
      </c>
      <c r="AF1168" s="90"/>
      <c r="AG1168" s="109">
        <f t="shared" ref="AG1168:AG1169" si="1484">IF(N1168&lt;0,N1168,0)</f>
        <v>-822</v>
      </c>
      <c r="AH1168" s="100">
        <f t="shared" ref="AH1168:AH1169" si="1485">(S1168-F1168)/F1168</f>
        <v>-1</v>
      </c>
      <c r="AI1168" s="100">
        <f t="shared" ref="AI1168:AI1169" si="1486">(W1168-F1168)/F1168</f>
        <v>-1</v>
      </c>
    </row>
    <row r="1169" spans="1:35" s="79" customFormat="1" ht="15.75" customHeight="1" x14ac:dyDescent="0.3">
      <c r="A1169" s="90" t="s">
        <v>46</v>
      </c>
      <c r="B1169" s="136" t="s">
        <v>53</v>
      </c>
      <c r="C1169" s="137"/>
      <c r="D1169" s="136"/>
      <c r="E1169" s="138"/>
      <c r="F1169" s="91">
        <f>SUM(F1168:F1168)</f>
        <v>822</v>
      </c>
      <c r="G1169" s="91"/>
      <c r="H1169" s="91"/>
      <c r="I1169" s="91"/>
      <c r="J1169" s="91" t="s">
        <v>58</v>
      </c>
      <c r="K1169" s="65" t="s">
        <v>572</v>
      </c>
      <c r="L1169" s="91">
        <f>SUM(L1168:L1168)</f>
        <v>0</v>
      </c>
      <c r="M1169" s="91">
        <f>SUM(M1168:M1168)</f>
        <v>0</v>
      </c>
      <c r="N1169" s="90">
        <f>SUMIF(N1168:N1168,"&lt;0")</f>
        <v>-822</v>
      </c>
      <c r="O1169" s="91"/>
      <c r="P1169" s="91">
        <f>SUM(P1168:P1168)</f>
        <v>0</v>
      </c>
      <c r="Q1169" s="91">
        <f>SUM(Q1168:Q1168)</f>
        <v>0</v>
      </c>
      <c r="R1169" s="91">
        <f>SUM(R1168:R1168)</f>
        <v>0</v>
      </c>
      <c r="S1169" s="91">
        <f>SUM(S1168:S1168)</f>
        <v>0</v>
      </c>
      <c r="T1169" s="91">
        <f>SUM(T1168:T1168)</f>
        <v>0</v>
      </c>
      <c r="U1169" s="59">
        <f t="shared" si="1418"/>
        <v>0</v>
      </c>
      <c r="V1169" s="91">
        <f>SUM(V1168:V1168)</f>
        <v>0</v>
      </c>
      <c r="W1169" s="91">
        <f>SUM(W1168:W1168)</f>
        <v>0</v>
      </c>
      <c r="X1169" s="91">
        <f>SUM(X1168:X1168)</f>
        <v>0</v>
      </c>
      <c r="Y1169" s="136" t="s">
        <v>47</v>
      </c>
      <c r="Z1169" s="136" t="s">
        <v>45</v>
      </c>
      <c r="AA1169" s="136"/>
      <c r="AB1169" s="84"/>
      <c r="AC1169" s="90"/>
      <c r="AD1169" s="90"/>
      <c r="AE1169" s="100">
        <f t="shared" si="1483"/>
        <v>-1</v>
      </c>
      <c r="AF1169" s="90"/>
      <c r="AG1169" s="109">
        <f t="shared" si="1484"/>
        <v>-822</v>
      </c>
      <c r="AH1169" s="100">
        <f t="shared" si="1485"/>
        <v>-1</v>
      </c>
      <c r="AI1169" s="100">
        <f t="shared" si="1486"/>
        <v>-1</v>
      </c>
    </row>
    <row r="1170" spans="1:35" s="47" customFormat="1" ht="21" customHeight="1" x14ac:dyDescent="0.3">
      <c r="A1170" s="103"/>
      <c r="B1170" s="106" t="s">
        <v>53</v>
      </c>
      <c r="C1170" s="156">
        <v>48195</v>
      </c>
      <c r="D1170" s="163">
        <v>22040938</v>
      </c>
      <c r="E1170" s="133" t="s">
        <v>464</v>
      </c>
      <c r="F1170" s="156">
        <v>618</v>
      </c>
      <c r="G1170" s="92"/>
      <c r="H1170" s="66"/>
      <c r="I1170" s="66"/>
      <c r="J1170" s="66"/>
      <c r="K1170" s="78"/>
      <c r="L1170" s="66"/>
      <c r="M1170" s="66"/>
      <c r="N1170" s="110">
        <f t="shared" ref="N1170" si="1487">M1170-F1170</f>
        <v>-618</v>
      </c>
      <c r="O1170" s="110"/>
      <c r="P1170" s="66"/>
      <c r="Q1170" s="66"/>
      <c r="R1170" s="66"/>
      <c r="S1170" s="66"/>
      <c r="T1170" s="110">
        <f t="shared" ref="T1170" si="1488">S1170-Q1170</f>
        <v>0</v>
      </c>
      <c r="U1170" s="59">
        <f t="shared" si="1418"/>
        <v>0</v>
      </c>
      <c r="V1170" s="66"/>
      <c r="W1170" s="66"/>
      <c r="X1170" s="110">
        <f t="shared" ref="X1170" si="1489">W1170-M1170</f>
        <v>0</v>
      </c>
      <c r="Y1170" s="110"/>
      <c r="Z1170" s="110"/>
      <c r="AA1170" s="110"/>
      <c r="AB1170" s="46"/>
      <c r="AC1170" s="78"/>
      <c r="AD1170" s="78"/>
      <c r="AE1170" s="100">
        <f t="shared" ref="AE1170:AE1220" si="1490">N1170/F1170</f>
        <v>-1</v>
      </c>
      <c r="AF1170" s="90"/>
      <c r="AG1170" s="109">
        <f t="shared" ref="AG1170:AG1220" si="1491">IF(N1170&lt;0,N1170,0)</f>
        <v>-618</v>
      </c>
      <c r="AH1170" s="100">
        <f t="shared" ref="AH1170:AH1220" si="1492">(S1170-F1170)/F1170</f>
        <v>-1</v>
      </c>
      <c r="AI1170" s="100">
        <f t="shared" ref="AI1170:AI1220" si="1493">(W1170-F1170)/F1170</f>
        <v>-1</v>
      </c>
    </row>
    <row r="1171" spans="1:35" s="79" customFormat="1" ht="15.75" customHeight="1" x14ac:dyDescent="0.3">
      <c r="A1171" s="90" t="s">
        <v>46</v>
      </c>
      <c r="B1171" s="136" t="s">
        <v>53</v>
      </c>
      <c r="C1171" s="137"/>
      <c r="D1171" s="136"/>
      <c r="E1171" s="138"/>
      <c r="F1171" s="91">
        <f>SUM(F1170:F1170)</f>
        <v>618</v>
      </c>
      <c r="G1171" s="91"/>
      <c r="H1171" s="91"/>
      <c r="I1171" s="91"/>
      <c r="J1171" s="91" t="s">
        <v>58</v>
      </c>
      <c r="K1171" s="65" t="s">
        <v>572</v>
      </c>
      <c r="L1171" s="91">
        <f>SUM(L1170:L1170)</f>
        <v>0</v>
      </c>
      <c r="M1171" s="91">
        <f>SUM(M1170:M1170)</f>
        <v>0</v>
      </c>
      <c r="N1171" s="90">
        <f>SUMIF(N1170:N1170,"&lt;0")</f>
        <v>-618</v>
      </c>
      <c r="O1171" s="91"/>
      <c r="P1171" s="91">
        <f>SUM(P1170:P1170)</f>
        <v>0</v>
      </c>
      <c r="Q1171" s="91">
        <f>SUM(Q1170:Q1170)</f>
        <v>0</v>
      </c>
      <c r="R1171" s="91">
        <f>SUM(R1170:R1170)</f>
        <v>0</v>
      </c>
      <c r="S1171" s="91">
        <f>SUM(S1170:S1170)</f>
        <v>0</v>
      </c>
      <c r="T1171" s="91">
        <f>SUM(T1170:T1170)</f>
        <v>0</v>
      </c>
      <c r="U1171" s="59">
        <f t="shared" si="1418"/>
        <v>0</v>
      </c>
      <c r="V1171" s="91">
        <f>SUM(V1170:V1170)</f>
        <v>0</v>
      </c>
      <c r="W1171" s="91">
        <f>SUM(W1170:W1170)</f>
        <v>0</v>
      </c>
      <c r="X1171" s="91">
        <f>SUM(X1170:X1170)</f>
        <v>0</v>
      </c>
      <c r="Y1171" s="136" t="s">
        <v>47</v>
      </c>
      <c r="Z1171" s="136" t="s">
        <v>45</v>
      </c>
      <c r="AA1171" s="136"/>
      <c r="AB1171" s="84"/>
      <c r="AC1171" s="90"/>
      <c r="AD1171" s="90"/>
      <c r="AE1171" s="100">
        <f t="shared" si="1490"/>
        <v>-1</v>
      </c>
      <c r="AF1171" s="90"/>
      <c r="AG1171" s="109">
        <f t="shared" si="1491"/>
        <v>-618</v>
      </c>
      <c r="AH1171" s="100">
        <f t="shared" si="1492"/>
        <v>-1</v>
      </c>
      <c r="AI1171" s="100">
        <f t="shared" si="1493"/>
        <v>-1</v>
      </c>
    </row>
    <row r="1172" spans="1:35" s="47" customFormat="1" ht="21" customHeight="1" x14ac:dyDescent="0.3">
      <c r="A1172" s="103"/>
      <c r="B1172" s="106" t="s">
        <v>53</v>
      </c>
      <c r="C1172" s="166" t="s">
        <v>1007</v>
      </c>
      <c r="D1172" s="166">
        <v>22040527</v>
      </c>
      <c r="E1172" s="133" t="s">
        <v>1008</v>
      </c>
      <c r="F1172" s="166">
        <v>950</v>
      </c>
      <c r="G1172" s="92"/>
      <c r="H1172" s="66"/>
      <c r="I1172" s="66"/>
      <c r="J1172" s="66"/>
      <c r="K1172" s="78"/>
      <c r="L1172" s="66"/>
      <c r="M1172" s="66"/>
      <c r="N1172" s="110">
        <f t="shared" ref="N1172" si="1494">M1172-F1172</f>
        <v>-950</v>
      </c>
      <c r="O1172" s="110"/>
      <c r="P1172" s="66"/>
      <c r="Q1172" s="66"/>
      <c r="R1172" s="66"/>
      <c r="S1172" s="66"/>
      <c r="T1172" s="110">
        <f t="shared" ref="T1172" si="1495">S1172-Q1172</f>
        <v>0</v>
      </c>
      <c r="U1172" s="59">
        <f t="shared" si="1418"/>
        <v>0</v>
      </c>
      <c r="V1172" s="66"/>
      <c r="W1172" s="66"/>
      <c r="X1172" s="110">
        <f t="shared" ref="X1172" si="1496">W1172-M1172</f>
        <v>0</v>
      </c>
      <c r="Y1172" s="110"/>
      <c r="Z1172" s="110"/>
      <c r="AA1172" s="110"/>
      <c r="AB1172" s="46"/>
      <c r="AC1172" s="78"/>
      <c r="AD1172" s="78"/>
      <c r="AE1172" s="100">
        <f t="shared" ref="AE1172:AE1188" si="1497">N1172/F1172</f>
        <v>-1</v>
      </c>
      <c r="AF1172" s="90"/>
      <c r="AG1172" s="109">
        <f t="shared" ref="AG1172:AG1188" si="1498">IF(N1172&lt;0,N1172,0)</f>
        <v>-950</v>
      </c>
      <c r="AH1172" s="100">
        <f t="shared" ref="AH1172:AH1188" si="1499">(S1172-F1172)/F1172</f>
        <v>-1</v>
      </c>
      <c r="AI1172" s="100">
        <f t="shared" ref="AI1172:AI1188" si="1500">(W1172-F1172)/F1172</f>
        <v>-1</v>
      </c>
    </row>
    <row r="1173" spans="1:35" s="79" customFormat="1" ht="15.75" customHeight="1" x14ac:dyDescent="0.3">
      <c r="A1173" s="90" t="s">
        <v>46</v>
      </c>
      <c r="B1173" s="136" t="s">
        <v>53</v>
      </c>
      <c r="C1173" s="137"/>
      <c r="D1173" s="136"/>
      <c r="E1173" s="138"/>
      <c r="F1173" s="91">
        <f>SUM(F1172:F1172)</f>
        <v>950</v>
      </c>
      <c r="G1173" s="91"/>
      <c r="H1173" s="91"/>
      <c r="I1173" s="91"/>
      <c r="J1173" s="91" t="s">
        <v>58</v>
      </c>
      <c r="K1173" s="65" t="s">
        <v>609</v>
      </c>
      <c r="L1173" s="91">
        <f>SUM(L1172:L1172)</f>
        <v>0</v>
      </c>
      <c r="M1173" s="91">
        <f>SUM(M1172:M1172)</f>
        <v>0</v>
      </c>
      <c r="N1173" s="90">
        <f>SUMIF(N1172:N1172,"&lt;0")</f>
        <v>-950</v>
      </c>
      <c r="O1173" s="91"/>
      <c r="P1173" s="91">
        <f>SUM(P1172:P1172)</f>
        <v>0</v>
      </c>
      <c r="Q1173" s="91">
        <f>SUM(Q1172:Q1172)</f>
        <v>0</v>
      </c>
      <c r="R1173" s="91">
        <f>SUM(R1172:R1172)</f>
        <v>0</v>
      </c>
      <c r="S1173" s="91">
        <f>SUM(S1172:S1172)</f>
        <v>0</v>
      </c>
      <c r="T1173" s="91">
        <f>SUM(T1172:T1172)</f>
        <v>0</v>
      </c>
      <c r="U1173" s="59">
        <f t="shared" si="1418"/>
        <v>0</v>
      </c>
      <c r="V1173" s="91">
        <f>SUM(V1172:V1172)</f>
        <v>0</v>
      </c>
      <c r="W1173" s="91">
        <f>SUM(W1172:W1172)</f>
        <v>0</v>
      </c>
      <c r="X1173" s="91">
        <f>SUM(X1172:X1172)</f>
        <v>0</v>
      </c>
      <c r="Y1173" s="136"/>
      <c r="Z1173" s="136"/>
      <c r="AA1173" s="136"/>
      <c r="AB1173" s="84"/>
      <c r="AC1173" s="90"/>
      <c r="AD1173" s="90"/>
      <c r="AE1173" s="100">
        <f t="shared" si="1497"/>
        <v>-1</v>
      </c>
      <c r="AF1173" s="90"/>
      <c r="AG1173" s="109">
        <f t="shared" si="1498"/>
        <v>-950</v>
      </c>
      <c r="AH1173" s="100">
        <f t="shared" si="1499"/>
        <v>-1</v>
      </c>
      <c r="AI1173" s="100">
        <f t="shared" si="1500"/>
        <v>-1</v>
      </c>
    </row>
    <row r="1174" spans="1:35" s="47" customFormat="1" ht="21" customHeight="1" x14ac:dyDescent="0.3">
      <c r="A1174" s="103"/>
      <c r="B1174" s="106" t="s">
        <v>53</v>
      </c>
      <c r="C1174" s="200">
        <v>48153</v>
      </c>
      <c r="D1174" s="313" t="s">
        <v>1017</v>
      </c>
      <c r="E1174" s="133" t="s">
        <v>97</v>
      </c>
      <c r="F1174" s="200">
        <v>12052</v>
      </c>
      <c r="G1174" s="92"/>
      <c r="H1174" s="66"/>
      <c r="I1174" s="66"/>
      <c r="J1174" s="66"/>
      <c r="K1174" s="78"/>
      <c r="L1174" s="66"/>
      <c r="M1174" s="66"/>
      <c r="N1174" s="110">
        <f t="shared" ref="N1174:N1179" si="1501">M1174-F1174</f>
        <v>-12052</v>
      </c>
      <c r="O1174" s="110"/>
      <c r="P1174" s="66"/>
      <c r="Q1174" s="66"/>
      <c r="R1174" s="66"/>
      <c r="S1174" s="66"/>
      <c r="T1174" s="110">
        <f t="shared" ref="T1174:T1179" si="1502">S1174-Q1174</f>
        <v>0</v>
      </c>
      <c r="U1174" s="59">
        <f t="shared" si="1418"/>
        <v>0</v>
      </c>
      <c r="V1174" s="66"/>
      <c r="W1174" s="66"/>
      <c r="X1174" s="110">
        <f t="shared" ref="X1174:X1179" si="1503">W1174-M1174</f>
        <v>0</v>
      </c>
      <c r="Y1174" s="110"/>
      <c r="Z1174" s="110"/>
      <c r="AA1174" s="110"/>
      <c r="AB1174" s="46"/>
      <c r="AC1174" s="78"/>
      <c r="AD1174" s="78"/>
      <c r="AE1174" s="100">
        <f t="shared" ref="AE1174:AE1182" si="1504">N1174/F1174</f>
        <v>-1</v>
      </c>
      <c r="AF1174" s="90"/>
      <c r="AG1174" s="109">
        <f t="shared" ref="AG1174:AG1182" si="1505">IF(N1174&lt;0,N1174,0)</f>
        <v>-12052</v>
      </c>
      <c r="AH1174" s="100">
        <f t="shared" ref="AH1174:AH1182" si="1506">(S1174-F1174)/F1174</f>
        <v>-1</v>
      </c>
      <c r="AI1174" s="100">
        <f t="shared" ref="AI1174:AI1182" si="1507">(W1174-F1174)/F1174</f>
        <v>-1</v>
      </c>
    </row>
    <row r="1175" spans="1:35" s="47" customFormat="1" ht="21" customHeight="1" x14ac:dyDescent="0.3">
      <c r="A1175" s="103"/>
      <c r="B1175" s="106" t="s">
        <v>53</v>
      </c>
      <c r="C1175" s="272">
        <v>48153</v>
      </c>
      <c r="D1175" s="314"/>
      <c r="E1175" s="133" t="s">
        <v>1018</v>
      </c>
      <c r="F1175" s="272">
        <v>1208</v>
      </c>
      <c r="G1175" s="92"/>
      <c r="H1175" s="66"/>
      <c r="I1175" s="66"/>
      <c r="J1175" s="66"/>
      <c r="K1175" s="78"/>
      <c r="L1175" s="66"/>
      <c r="M1175" s="66"/>
      <c r="N1175" s="110">
        <f t="shared" si="1501"/>
        <v>-1208</v>
      </c>
      <c r="O1175" s="110"/>
      <c r="P1175" s="66"/>
      <c r="Q1175" s="66"/>
      <c r="R1175" s="66"/>
      <c r="S1175" s="66"/>
      <c r="T1175" s="110">
        <f t="shared" si="1502"/>
        <v>0</v>
      </c>
      <c r="U1175" s="59">
        <f t="shared" si="1418"/>
        <v>0</v>
      </c>
      <c r="V1175" s="66"/>
      <c r="W1175" s="66"/>
      <c r="X1175" s="110">
        <f t="shared" si="1503"/>
        <v>0</v>
      </c>
      <c r="Y1175" s="110"/>
      <c r="Z1175" s="110"/>
      <c r="AA1175" s="110"/>
      <c r="AB1175" s="46"/>
      <c r="AC1175" s="78"/>
      <c r="AD1175" s="78"/>
      <c r="AE1175" s="100">
        <f t="shared" si="1504"/>
        <v>-1</v>
      </c>
      <c r="AF1175" s="90"/>
      <c r="AG1175" s="109">
        <f t="shared" si="1505"/>
        <v>-1208</v>
      </c>
      <c r="AH1175" s="100">
        <f t="shared" si="1506"/>
        <v>-1</v>
      </c>
      <c r="AI1175" s="100">
        <f t="shared" si="1507"/>
        <v>-1</v>
      </c>
    </row>
    <row r="1176" spans="1:35" s="47" customFormat="1" ht="21" customHeight="1" x14ac:dyDescent="0.3">
      <c r="A1176" s="103"/>
      <c r="B1176" s="106" t="s">
        <v>53</v>
      </c>
      <c r="C1176" s="272">
        <v>48153</v>
      </c>
      <c r="D1176" s="314"/>
      <c r="E1176" s="133" t="s">
        <v>49</v>
      </c>
      <c r="F1176" s="272">
        <v>5933</v>
      </c>
      <c r="G1176" s="92"/>
      <c r="H1176" s="66"/>
      <c r="I1176" s="66"/>
      <c r="J1176" s="66"/>
      <c r="K1176" s="78"/>
      <c r="L1176" s="66"/>
      <c r="M1176" s="66"/>
      <c r="N1176" s="110">
        <f t="shared" ref="N1176" si="1508">M1176-F1176</f>
        <v>-5933</v>
      </c>
      <c r="O1176" s="110"/>
      <c r="P1176" s="66"/>
      <c r="Q1176" s="66"/>
      <c r="R1176" s="66"/>
      <c r="S1176" s="66"/>
      <c r="T1176" s="110">
        <f t="shared" ref="T1176" si="1509">S1176-Q1176</f>
        <v>0</v>
      </c>
      <c r="U1176" s="59">
        <f t="shared" ref="U1176" si="1510">IF(Q1176&gt;0,S1176-W1176,M1176-W1176)</f>
        <v>0</v>
      </c>
      <c r="V1176" s="66"/>
      <c r="W1176" s="66"/>
      <c r="X1176" s="110">
        <f t="shared" ref="X1176" si="1511">W1176-M1176</f>
        <v>0</v>
      </c>
      <c r="Y1176" s="110"/>
      <c r="Z1176" s="110"/>
      <c r="AA1176" s="110"/>
      <c r="AB1176" s="46"/>
      <c r="AC1176" s="78"/>
      <c r="AD1176" s="78"/>
      <c r="AE1176" s="100">
        <f t="shared" ref="AE1176" si="1512">N1176/F1176</f>
        <v>-1</v>
      </c>
      <c r="AF1176" s="90"/>
      <c r="AG1176" s="109">
        <f t="shared" ref="AG1176" si="1513">IF(N1176&lt;0,N1176,0)</f>
        <v>-5933</v>
      </c>
      <c r="AH1176" s="100">
        <f t="shared" ref="AH1176" si="1514">(S1176-F1176)/F1176</f>
        <v>-1</v>
      </c>
      <c r="AI1176" s="100">
        <f t="shared" ref="AI1176" si="1515">(W1176-F1176)/F1176</f>
        <v>-1</v>
      </c>
    </row>
    <row r="1177" spans="1:35" s="47" customFormat="1" ht="21" customHeight="1" x14ac:dyDescent="0.3">
      <c r="A1177" s="103"/>
      <c r="B1177" s="106" t="s">
        <v>53</v>
      </c>
      <c r="C1177" s="272">
        <v>48153</v>
      </c>
      <c r="D1177" s="314"/>
      <c r="E1177" s="133" t="s">
        <v>200</v>
      </c>
      <c r="F1177" s="272">
        <v>875</v>
      </c>
      <c r="G1177" s="92"/>
      <c r="H1177" s="66"/>
      <c r="I1177" s="66"/>
      <c r="J1177" s="66"/>
      <c r="K1177" s="78"/>
      <c r="L1177" s="66"/>
      <c r="M1177" s="66"/>
      <c r="N1177" s="110">
        <f t="shared" ref="N1177:N1178" si="1516">M1177-F1177</f>
        <v>-875</v>
      </c>
      <c r="O1177" s="110"/>
      <c r="P1177" s="66"/>
      <c r="Q1177" s="66"/>
      <c r="R1177" s="66"/>
      <c r="S1177" s="66"/>
      <c r="T1177" s="110">
        <f t="shared" ref="T1177:T1178" si="1517">S1177-Q1177</f>
        <v>0</v>
      </c>
      <c r="U1177" s="59">
        <f t="shared" ref="U1177:U1178" si="1518">IF(Q1177&gt;0,S1177-W1177,M1177-W1177)</f>
        <v>0</v>
      </c>
      <c r="V1177" s="66"/>
      <c r="W1177" s="66"/>
      <c r="X1177" s="110">
        <f t="shared" ref="X1177:X1178" si="1519">W1177-M1177</f>
        <v>0</v>
      </c>
      <c r="Y1177" s="110"/>
      <c r="Z1177" s="110"/>
      <c r="AA1177" s="110"/>
      <c r="AB1177" s="46"/>
      <c r="AC1177" s="78"/>
      <c r="AD1177" s="78"/>
      <c r="AE1177" s="100">
        <f t="shared" ref="AE1177:AE1178" si="1520">N1177/F1177</f>
        <v>-1</v>
      </c>
      <c r="AF1177" s="90"/>
      <c r="AG1177" s="109">
        <f t="shared" ref="AG1177:AG1178" si="1521">IF(N1177&lt;0,N1177,0)</f>
        <v>-875</v>
      </c>
      <c r="AH1177" s="100">
        <f t="shared" ref="AH1177:AH1178" si="1522">(S1177-F1177)/F1177</f>
        <v>-1</v>
      </c>
      <c r="AI1177" s="100">
        <f t="shared" ref="AI1177:AI1178" si="1523">(W1177-F1177)/F1177</f>
        <v>-1</v>
      </c>
    </row>
    <row r="1178" spans="1:35" s="47" customFormat="1" ht="21" customHeight="1" x14ac:dyDescent="0.3">
      <c r="A1178" s="103"/>
      <c r="B1178" s="106" t="s">
        <v>53</v>
      </c>
      <c r="C1178" s="272">
        <v>48153</v>
      </c>
      <c r="D1178" s="314"/>
      <c r="E1178" s="133" t="s">
        <v>134</v>
      </c>
      <c r="F1178" s="272">
        <v>12232</v>
      </c>
      <c r="G1178" s="92"/>
      <c r="H1178" s="66"/>
      <c r="I1178" s="66"/>
      <c r="J1178" s="66"/>
      <c r="K1178" s="78"/>
      <c r="L1178" s="66"/>
      <c r="M1178" s="66"/>
      <c r="N1178" s="110">
        <f t="shared" si="1516"/>
        <v>-12232</v>
      </c>
      <c r="O1178" s="110"/>
      <c r="P1178" s="66"/>
      <c r="Q1178" s="66"/>
      <c r="R1178" s="66"/>
      <c r="S1178" s="66"/>
      <c r="T1178" s="110">
        <f t="shared" si="1517"/>
        <v>0</v>
      </c>
      <c r="U1178" s="59">
        <f t="shared" si="1518"/>
        <v>0</v>
      </c>
      <c r="V1178" s="66"/>
      <c r="W1178" s="66"/>
      <c r="X1178" s="110">
        <f t="shared" si="1519"/>
        <v>0</v>
      </c>
      <c r="Y1178" s="110"/>
      <c r="Z1178" s="110"/>
      <c r="AA1178" s="110"/>
      <c r="AB1178" s="46"/>
      <c r="AC1178" s="78"/>
      <c r="AD1178" s="78"/>
      <c r="AE1178" s="100">
        <f t="shared" si="1520"/>
        <v>-1</v>
      </c>
      <c r="AF1178" s="90"/>
      <c r="AG1178" s="109">
        <f t="shared" si="1521"/>
        <v>-12232</v>
      </c>
      <c r="AH1178" s="100">
        <f t="shared" si="1522"/>
        <v>-1</v>
      </c>
      <c r="AI1178" s="100">
        <f t="shared" si="1523"/>
        <v>-1</v>
      </c>
    </row>
    <row r="1179" spans="1:35" s="47" customFormat="1" ht="21" customHeight="1" x14ac:dyDescent="0.3">
      <c r="A1179" s="103"/>
      <c r="B1179" s="106" t="s">
        <v>53</v>
      </c>
      <c r="C1179" s="200">
        <v>48153</v>
      </c>
      <c r="D1179" s="329"/>
      <c r="E1179" s="133" t="s">
        <v>0</v>
      </c>
      <c r="F1179" s="200">
        <v>1433</v>
      </c>
      <c r="G1179" s="92"/>
      <c r="H1179" s="66"/>
      <c r="I1179" s="66"/>
      <c r="J1179" s="66"/>
      <c r="K1179" s="78"/>
      <c r="L1179" s="66"/>
      <c r="M1179" s="66"/>
      <c r="N1179" s="110">
        <f t="shared" si="1501"/>
        <v>-1433</v>
      </c>
      <c r="O1179" s="110"/>
      <c r="P1179" s="66"/>
      <c r="Q1179" s="66"/>
      <c r="R1179" s="66"/>
      <c r="S1179" s="66"/>
      <c r="T1179" s="110">
        <f t="shared" si="1502"/>
        <v>0</v>
      </c>
      <c r="U1179" s="59">
        <f t="shared" si="1418"/>
        <v>0</v>
      </c>
      <c r="V1179" s="66"/>
      <c r="W1179" s="66"/>
      <c r="X1179" s="110">
        <f t="shared" si="1503"/>
        <v>0</v>
      </c>
      <c r="Y1179" s="110"/>
      <c r="Z1179" s="110"/>
      <c r="AA1179" s="110"/>
      <c r="AB1179" s="46"/>
      <c r="AC1179" s="78"/>
      <c r="AD1179" s="78"/>
      <c r="AE1179" s="100">
        <f t="shared" si="1504"/>
        <v>-1</v>
      </c>
      <c r="AF1179" s="90"/>
      <c r="AG1179" s="109">
        <f t="shared" si="1505"/>
        <v>-1433</v>
      </c>
      <c r="AH1179" s="100">
        <f t="shared" si="1506"/>
        <v>-1</v>
      </c>
      <c r="AI1179" s="100">
        <f t="shared" si="1507"/>
        <v>-1</v>
      </c>
    </row>
    <row r="1180" spans="1:35" s="79" customFormat="1" ht="15.75" customHeight="1" x14ac:dyDescent="0.3">
      <c r="A1180" s="90" t="s">
        <v>46</v>
      </c>
      <c r="B1180" s="136" t="s">
        <v>53</v>
      </c>
      <c r="C1180" s="137"/>
      <c r="D1180" s="136"/>
      <c r="E1180" s="138"/>
      <c r="F1180" s="91">
        <f>SUM(F1174:F1179)</f>
        <v>33733</v>
      </c>
      <c r="G1180" s="91"/>
      <c r="H1180" s="91"/>
      <c r="I1180" s="91"/>
      <c r="J1180" s="91" t="s">
        <v>58</v>
      </c>
      <c r="K1180" s="65" t="s">
        <v>410</v>
      </c>
      <c r="L1180" s="91">
        <f>SUM(L1174:L1179)</f>
        <v>0</v>
      </c>
      <c r="M1180" s="91">
        <f>SUM(M1174:M1179)</f>
        <v>0</v>
      </c>
      <c r="N1180" s="90">
        <f>SUMIF(N1174:N1179,"&lt;0")</f>
        <v>-33733</v>
      </c>
      <c r="O1180" s="91"/>
      <c r="P1180" s="91">
        <f>SUM(P1174:P1179)</f>
        <v>0</v>
      </c>
      <c r="Q1180" s="91">
        <f>SUM(Q1174:Q1179)</f>
        <v>0</v>
      </c>
      <c r="R1180" s="91">
        <f>SUM(R1174:R1179)</f>
        <v>0</v>
      </c>
      <c r="S1180" s="91">
        <f>SUM(S1174:S1179)</f>
        <v>0</v>
      </c>
      <c r="T1180" s="91">
        <f>SUM(T1174:T1179)</f>
        <v>0</v>
      </c>
      <c r="U1180" s="59">
        <f t="shared" si="1418"/>
        <v>0</v>
      </c>
      <c r="V1180" s="91">
        <f>SUM(V1174:V1179)</f>
        <v>0</v>
      </c>
      <c r="W1180" s="91">
        <f>SUM(W1174:W1179)</f>
        <v>0</v>
      </c>
      <c r="X1180" s="91">
        <f>SUM(X1174:X1179)</f>
        <v>0</v>
      </c>
      <c r="Y1180" s="136"/>
      <c r="Z1180" s="136"/>
      <c r="AA1180" s="136"/>
      <c r="AB1180" s="84"/>
      <c r="AC1180" s="90"/>
      <c r="AD1180" s="90"/>
      <c r="AE1180" s="100">
        <f t="shared" si="1504"/>
        <v>-1</v>
      </c>
      <c r="AF1180" s="90"/>
      <c r="AG1180" s="109">
        <f t="shared" si="1505"/>
        <v>-33733</v>
      </c>
      <c r="AH1180" s="100">
        <f t="shared" si="1506"/>
        <v>-1</v>
      </c>
      <c r="AI1180" s="100">
        <f t="shared" si="1507"/>
        <v>-1</v>
      </c>
    </row>
    <row r="1181" spans="1:35" s="47" customFormat="1" ht="21" customHeight="1" x14ac:dyDescent="0.3">
      <c r="A1181" s="103"/>
      <c r="B1181" s="106" t="s">
        <v>53</v>
      </c>
      <c r="C1181" s="272" t="s">
        <v>1019</v>
      </c>
      <c r="D1181" s="272">
        <v>22028692</v>
      </c>
      <c r="E1181" s="133" t="s">
        <v>134</v>
      </c>
      <c r="F1181" s="272">
        <v>450</v>
      </c>
      <c r="G1181" s="92"/>
      <c r="H1181" s="66"/>
      <c r="I1181" s="66"/>
      <c r="J1181" s="66"/>
      <c r="K1181" s="78"/>
      <c r="L1181" s="66"/>
      <c r="M1181" s="66"/>
      <c r="N1181" s="110">
        <f t="shared" ref="N1181" si="1524">M1181-F1181</f>
        <v>-450</v>
      </c>
      <c r="O1181" s="110"/>
      <c r="P1181" s="66"/>
      <c r="Q1181" s="66"/>
      <c r="R1181" s="66"/>
      <c r="S1181" s="66"/>
      <c r="T1181" s="110">
        <f t="shared" ref="T1181" si="1525">S1181-Q1181</f>
        <v>0</v>
      </c>
      <c r="U1181" s="59">
        <f t="shared" si="1418"/>
        <v>0</v>
      </c>
      <c r="V1181" s="66"/>
      <c r="W1181" s="66"/>
      <c r="X1181" s="110">
        <f t="shared" ref="X1181" si="1526">W1181-M1181</f>
        <v>0</v>
      </c>
      <c r="Y1181" s="110"/>
      <c r="Z1181" s="110"/>
      <c r="AA1181" s="110"/>
      <c r="AB1181" s="46"/>
      <c r="AC1181" s="78"/>
      <c r="AD1181" s="78"/>
      <c r="AE1181" s="100">
        <f t="shared" si="1504"/>
        <v>-1</v>
      </c>
      <c r="AF1181" s="90"/>
      <c r="AG1181" s="109">
        <f t="shared" si="1505"/>
        <v>-450</v>
      </c>
      <c r="AH1181" s="100">
        <f t="shared" si="1506"/>
        <v>-1</v>
      </c>
      <c r="AI1181" s="100">
        <f t="shared" si="1507"/>
        <v>-1</v>
      </c>
    </row>
    <row r="1182" spans="1:35" s="79" customFormat="1" ht="15.75" customHeight="1" x14ac:dyDescent="0.3">
      <c r="A1182" s="90" t="s">
        <v>46</v>
      </c>
      <c r="B1182" s="136" t="s">
        <v>53</v>
      </c>
      <c r="C1182" s="137"/>
      <c r="D1182" s="136"/>
      <c r="E1182" s="138"/>
      <c r="F1182" s="91">
        <f>SUM(F1181:F1181)</f>
        <v>450</v>
      </c>
      <c r="G1182" s="91"/>
      <c r="H1182" s="91"/>
      <c r="I1182" s="91"/>
      <c r="J1182" s="91" t="s">
        <v>58</v>
      </c>
      <c r="K1182" s="65" t="s">
        <v>1020</v>
      </c>
      <c r="L1182" s="91">
        <f>SUM(L1181:L1181)</f>
        <v>0</v>
      </c>
      <c r="M1182" s="91">
        <f>SUM(M1181:M1181)</f>
        <v>0</v>
      </c>
      <c r="N1182" s="90">
        <f>SUMIF(N1181:N1181,"&lt;0")</f>
        <v>-450</v>
      </c>
      <c r="O1182" s="91"/>
      <c r="P1182" s="91">
        <f>SUM(P1181:P1181)</f>
        <v>0</v>
      </c>
      <c r="Q1182" s="91">
        <f>SUM(Q1181:Q1181)</f>
        <v>0</v>
      </c>
      <c r="R1182" s="91">
        <f>SUM(R1181:R1181)</f>
        <v>0</v>
      </c>
      <c r="S1182" s="91">
        <f>SUM(S1181:S1181)</f>
        <v>0</v>
      </c>
      <c r="T1182" s="91">
        <f>SUM(T1181:T1181)</f>
        <v>0</v>
      </c>
      <c r="U1182" s="59">
        <f t="shared" si="1418"/>
        <v>0</v>
      </c>
      <c r="V1182" s="91">
        <f>SUM(V1181:V1181)</f>
        <v>0</v>
      </c>
      <c r="W1182" s="91">
        <f>SUM(W1181:W1181)</f>
        <v>0</v>
      </c>
      <c r="X1182" s="91">
        <f>SUM(X1181:X1181)</f>
        <v>0</v>
      </c>
      <c r="Y1182" s="136"/>
      <c r="Z1182" s="136"/>
      <c r="AA1182" s="136"/>
      <c r="AB1182" s="84"/>
      <c r="AC1182" s="90"/>
      <c r="AD1182" s="90"/>
      <c r="AE1182" s="100">
        <f t="shared" si="1504"/>
        <v>-1</v>
      </c>
      <c r="AF1182" s="90"/>
      <c r="AG1182" s="109">
        <f t="shared" si="1505"/>
        <v>-450</v>
      </c>
      <c r="AH1182" s="100">
        <f t="shared" si="1506"/>
        <v>-1</v>
      </c>
      <c r="AI1182" s="100">
        <f t="shared" si="1507"/>
        <v>-1</v>
      </c>
    </row>
    <row r="1183" spans="1:35" s="47" customFormat="1" ht="21" customHeight="1" x14ac:dyDescent="0.3">
      <c r="A1183" s="103"/>
      <c r="B1183" s="106" t="s">
        <v>53</v>
      </c>
      <c r="C1183" s="238" t="s">
        <v>980</v>
      </c>
      <c r="D1183" s="312">
        <v>22027015</v>
      </c>
      <c r="E1183" s="133" t="s">
        <v>49</v>
      </c>
      <c r="F1183" s="200">
        <v>1118</v>
      </c>
      <c r="G1183" s="92"/>
      <c r="H1183" s="66"/>
      <c r="I1183" s="66"/>
      <c r="J1183" s="66"/>
      <c r="K1183" s="78"/>
      <c r="L1183" s="66"/>
      <c r="M1183" s="66"/>
      <c r="N1183" s="110">
        <f t="shared" ref="N1183" si="1527">M1183-F1183</f>
        <v>-1118</v>
      </c>
      <c r="O1183" s="110"/>
      <c r="P1183" s="66"/>
      <c r="Q1183" s="66"/>
      <c r="R1183" s="66"/>
      <c r="S1183" s="66"/>
      <c r="T1183" s="110">
        <f t="shared" ref="T1183" si="1528">S1183-Q1183</f>
        <v>0</v>
      </c>
      <c r="U1183" s="59">
        <f t="shared" ref="U1183:U1188" si="1529">IF(Q1183&gt;0,S1183-W1183,M1183-W1183)</f>
        <v>0</v>
      </c>
      <c r="V1183" s="66"/>
      <c r="W1183" s="66"/>
      <c r="X1183" s="110">
        <f t="shared" ref="X1183" si="1530">W1183-M1183</f>
        <v>0</v>
      </c>
      <c r="Y1183" s="110"/>
      <c r="Z1183" s="110"/>
      <c r="AA1183" s="110"/>
      <c r="AB1183" s="46"/>
      <c r="AC1183" s="78"/>
      <c r="AD1183" s="78"/>
      <c r="AE1183" s="100">
        <f t="shared" si="1497"/>
        <v>-1</v>
      </c>
      <c r="AF1183" s="90"/>
      <c r="AG1183" s="109">
        <f t="shared" si="1498"/>
        <v>-1118</v>
      </c>
      <c r="AH1183" s="100">
        <f t="shared" si="1499"/>
        <v>-1</v>
      </c>
      <c r="AI1183" s="100">
        <f t="shared" si="1500"/>
        <v>-1</v>
      </c>
    </row>
    <row r="1184" spans="1:35" s="47" customFormat="1" ht="21" customHeight="1" x14ac:dyDescent="0.3">
      <c r="A1184" s="103"/>
      <c r="B1184" s="106" t="s">
        <v>53</v>
      </c>
      <c r="C1184" s="269" t="s">
        <v>980</v>
      </c>
      <c r="D1184" s="312"/>
      <c r="E1184" s="133" t="s">
        <v>0</v>
      </c>
      <c r="F1184" s="238">
        <v>2756</v>
      </c>
      <c r="G1184" s="92"/>
      <c r="H1184" s="66"/>
      <c r="I1184" s="66"/>
      <c r="J1184" s="66"/>
      <c r="K1184" s="78"/>
      <c r="L1184" s="66"/>
      <c r="M1184" s="66"/>
      <c r="N1184" s="110">
        <f t="shared" ref="N1184:N1185" si="1531">M1184-F1184</f>
        <v>-2756</v>
      </c>
      <c r="O1184" s="110"/>
      <c r="P1184" s="66"/>
      <c r="Q1184" s="66"/>
      <c r="R1184" s="66"/>
      <c r="S1184" s="66"/>
      <c r="T1184" s="110">
        <f t="shared" ref="T1184:T1185" si="1532">S1184-Q1184</f>
        <v>0</v>
      </c>
      <c r="U1184" s="59">
        <f t="shared" ref="U1184:U1185" si="1533">IF(Q1184&gt;0,S1184-W1184,M1184-W1184)</f>
        <v>0</v>
      </c>
      <c r="V1184" s="66"/>
      <c r="W1184" s="66"/>
      <c r="X1184" s="110">
        <f t="shared" ref="X1184:X1185" si="1534">W1184-M1184</f>
        <v>0</v>
      </c>
      <c r="Y1184" s="110"/>
      <c r="Z1184" s="110"/>
      <c r="AA1184" s="110"/>
      <c r="AB1184" s="46"/>
      <c r="AC1184" s="78"/>
      <c r="AD1184" s="78"/>
      <c r="AE1184" s="100">
        <f t="shared" ref="AE1184:AE1185" si="1535">N1184/F1184</f>
        <v>-1</v>
      </c>
      <c r="AF1184" s="90"/>
      <c r="AG1184" s="109">
        <f t="shared" ref="AG1184:AG1185" si="1536">IF(N1184&lt;0,N1184,0)</f>
        <v>-2756</v>
      </c>
      <c r="AH1184" s="100">
        <f t="shared" ref="AH1184:AH1185" si="1537">(S1184-F1184)/F1184</f>
        <v>-1</v>
      </c>
      <c r="AI1184" s="100">
        <f t="shared" ref="AI1184:AI1185" si="1538">(W1184-F1184)/F1184</f>
        <v>-1</v>
      </c>
    </row>
    <row r="1185" spans="1:35" s="47" customFormat="1" ht="21" customHeight="1" x14ac:dyDescent="0.3">
      <c r="A1185" s="103"/>
      <c r="B1185" s="106" t="s">
        <v>53</v>
      </c>
      <c r="C1185" s="269" t="s">
        <v>980</v>
      </c>
      <c r="D1185" s="312"/>
      <c r="E1185" s="133" t="s">
        <v>981</v>
      </c>
      <c r="F1185" s="238">
        <v>798</v>
      </c>
      <c r="G1185" s="92"/>
      <c r="H1185" s="66"/>
      <c r="I1185" s="66"/>
      <c r="J1185" s="66"/>
      <c r="K1185" s="78"/>
      <c r="L1185" s="66"/>
      <c r="M1185" s="66"/>
      <c r="N1185" s="110">
        <f t="shared" si="1531"/>
        <v>-798</v>
      </c>
      <c r="O1185" s="110"/>
      <c r="P1185" s="66"/>
      <c r="Q1185" s="66"/>
      <c r="R1185" s="66"/>
      <c r="S1185" s="66"/>
      <c r="T1185" s="110">
        <f t="shared" si="1532"/>
        <v>0</v>
      </c>
      <c r="U1185" s="59">
        <f t="shared" si="1533"/>
        <v>0</v>
      </c>
      <c r="V1185" s="66"/>
      <c r="W1185" s="66"/>
      <c r="X1185" s="110">
        <f t="shared" si="1534"/>
        <v>0</v>
      </c>
      <c r="Y1185" s="110"/>
      <c r="Z1185" s="110"/>
      <c r="AA1185" s="110"/>
      <c r="AB1185" s="46"/>
      <c r="AC1185" s="78"/>
      <c r="AD1185" s="78"/>
      <c r="AE1185" s="100">
        <f t="shared" si="1535"/>
        <v>-1</v>
      </c>
      <c r="AF1185" s="90"/>
      <c r="AG1185" s="109">
        <f t="shared" si="1536"/>
        <v>-798</v>
      </c>
      <c r="AH1185" s="100">
        <f t="shared" si="1537"/>
        <v>-1</v>
      </c>
      <c r="AI1185" s="100">
        <f t="shared" si="1538"/>
        <v>-1</v>
      </c>
    </row>
    <row r="1186" spans="1:35" s="79" customFormat="1" ht="15.75" customHeight="1" x14ac:dyDescent="0.3">
      <c r="A1186" s="90" t="s">
        <v>46</v>
      </c>
      <c r="B1186" s="136" t="s">
        <v>53</v>
      </c>
      <c r="C1186" s="137"/>
      <c r="D1186" s="136"/>
      <c r="E1186" s="138"/>
      <c r="F1186" s="91">
        <f>SUM(F1183:F1185)</f>
        <v>4672</v>
      </c>
      <c r="G1186" s="91"/>
      <c r="H1186" s="91"/>
      <c r="I1186" s="91"/>
      <c r="J1186" s="91" t="s">
        <v>58</v>
      </c>
      <c r="K1186" s="65" t="s">
        <v>410</v>
      </c>
      <c r="L1186" s="91">
        <f>SUM(L1183:L1185)</f>
        <v>0</v>
      </c>
      <c r="M1186" s="91">
        <f>SUM(M1183:M1185)</f>
        <v>0</v>
      </c>
      <c r="N1186" s="90">
        <f>SUMIF(N1183:N1185,"&lt;0")</f>
        <v>-4672</v>
      </c>
      <c r="O1186" s="91"/>
      <c r="P1186" s="91">
        <f>SUM(P1183:P1185)</f>
        <v>0</v>
      </c>
      <c r="Q1186" s="91">
        <f>SUM(Q1183:Q1185)</f>
        <v>0</v>
      </c>
      <c r="R1186" s="91">
        <f>SUM(R1183:R1185)</f>
        <v>0</v>
      </c>
      <c r="S1186" s="91">
        <f>SUM(S1183:S1185)</f>
        <v>0</v>
      </c>
      <c r="T1186" s="91">
        <f>SUM(T1183:T1185)</f>
        <v>0</v>
      </c>
      <c r="U1186" s="59">
        <f t="shared" si="1529"/>
        <v>0</v>
      </c>
      <c r="V1186" s="91">
        <f>SUM(V1183:V1185)</f>
        <v>0</v>
      </c>
      <c r="W1186" s="91">
        <f>SUM(W1183:W1185)</f>
        <v>0</v>
      </c>
      <c r="X1186" s="91">
        <f>SUM(X1183:X1185)</f>
        <v>0</v>
      </c>
      <c r="Y1186" s="136" t="s">
        <v>47</v>
      </c>
      <c r="Z1186" s="136" t="s">
        <v>45</v>
      </c>
      <c r="AA1186" s="136"/>
      <c r="AB1186" s="84"/>
      <c r="AC1186" s="90"/>
      <c r="AD1186" s="90"/>
      <c r="AE1186" s="100">
        <f t="shared" si="1497"/>
        <v>-1</v>
      </c>
      <c r="AF1186" s="90"/>
      <c r="AG1186" s="109">
        <f t="shared" si="1498"/>
        <v>-4672</v>
      </c>
      <c r="AH1186" s="100">
        <f t="shared" si="1499"/>
        <v>-1</v>
      </c>
      <c r="AI1186" s="100">
        <f t="shared" si="1500"/>
        <v>-1</v>
      </c>
    </row>
    <row r="1187" spans="1:35" s="47" customFormat="1" ht="21" customHeight="1" x14ac:dyDescent="0.3">
      <c r="A1187" s="103"/>
      <c r="B1187" s="106" t="s">
        <v>53</v>
      </c>
      <c r="C1187" s="207" t="s">
        <v>462</v>
      </c>
      <c r="D1187" s="230">
        <v>22041282</v>
      </c>
      <c r="E1187" s="133" t="s">
        <v>133</v>
      </c>
      <c r="F1187" s="207">
        <v>3051</v>
      </c>
      <c r="G1187" s="92"/>
      <c r="H1187" s="66"/>
      <c r="I1187" s="66"/>
      <c r="J1187" s="66"/>
      <c r="K1187" s="78"/>
      <c r="L1187" s="66"/>
      <c r="M1187" s="66">
        <f>927+518+400+1239+69</f>
        <v>3153</v>
      </c>
      <c r="N1187" s="110">
        <f t="shared" ref="N1187" si="1539">M1187-F1187</f>
        <v>102</v>
      </c>
      <c r="O1187" s="110"/>
      <c r="P1187" s="66"/>
      <c r="Q1187" s="66"/>
      <c r="R1187" s="66"/>
      <c r="S1187" s="66"/>
      <c r="T1187" s="110">
        <f t="shared" ref="T1187" si="1540">S1187-Q1187</f>
        <v>0</v>
      </c>
      <c r="U1187" s="59">
        <f t="shared" si="1529"/>
        <v>61</v>
      </c>
      <c r="V1187" s="66"/>
      <c r="W1187" s="66">
        <v>3092</v>
      </c>
      <c r="X1187" s="110">
        <f t="shared" ref="X1187" si="1541">W1187-M1187</f>
        <v>-61</v>
      </c>
      <c r="Y1187" s="110"/>
      <c r="Z1187" s="110"/>
      <c r="AA1187" s="110"/>
      <c r="AB1187" s="46"/>
      <c r="AC1187" s="78"/>
      <c r="AD1187" s="78"/>
      <c r="AE1187" s="100">
        <f t="shared" si="1497"/>
        <v>3.3431661750245818E-2</v>
      </c>
      <c r="AF1187" s="90"/>
      <c r="AG1187" s="109">
        <f t="shared" si="1498"/>
        <v>0</v>
      </c>
      <c r="AH1187" s="100">
        <f t="shared" si="1499"/>
        <v>-1</v>
      </c>
      <c r="AI1187" s="100">
        <f t="shared" si="1500"/>
        <v>1.3438216978039987E-2</v>
      </c>
    </row>
    <row r="1188" spans="1:35" s="79" customFormat="1" ht="15.75" customHeight="1" x14ac:dyDescent="0.3">
      <c r="A1188" s="90" t="s">
        <v>46</v>
      </c>
      <c r="B1188" s="136" t="s">
        <v>53</v>
      </c>
      <c r="C1188" s="137"/>
      <c r="D1188" s="136"/>
      <c r="E1188" s="138"/>
      <c r="F1188" s="91">
        <f>SUM(F1187:F1187)</f>
        <v>3051</v>
      </c>
      <c r="G1188" s="91"/>
      <c r="H1188" s="91"/>
      <c r="I1188" s="91"/>
      <c r="J1188" s="91" t="s">
        <v>58</v>
      </c>
      <c r="K1188" s="65" t="s">
        <v>175</v>
      </c>
      <c r="L1188" s="91">
        <f>SUM(L1187:L1187)</f>
        <v>0</v>
      </c>
      <c r="M1188" s="91">
        <f>SUM(M1187:M1187)</f>
        <v>3153</v>
      </c>
      <c r="N1188" s="90">
        <f>SUMIF(N1187:N1187,"&lt;0")</f>
        <v>0</v>
      </c>
      <c r="O1188" s="91"/>
      <c r="P1188" s="91">
        <f>SUM(P1187:P1187)</f>
        <v>0</v>
      </c>
      <c r="Q1188" s="91">
        <f>SUM(Q1187:Q1187)</f>
        <v>0</v>
      </c>
      <c r="R1188" s="91">
        <f>SUM(R1187:R1187)</f>
        <v>0</v>
      </c>
      <c r="S1188" s="91">
        <f>SUM(S1187:S1187)</f>
        <v>0</v>
      </c>
      <c r="T1188" s="91">
        <f>SUM(T1187:T1187)</f>
        <v>0</v>
      </c>
      <c r="U1188" s="59">
        <f t="shared" si="1529"/>
        <v>61</v>
      </c>
      <c r="V1188" s="91">
        <f>SUM(V1187:V1187)</f>
        <v>0</v>
      </c>
      <c r="W1188" s="91">
        <f>SUM(W1187:W1187)</f>
        <v>3092</v>
      </c>
      <c r="X1188" s="91">
        <f>SUM(X1187:X1187)</f>
        <v>-61</v>
      </c>
      <c r="Y1188" s="136"/>
      <c r="Z1188" s="136"/>
      <c r="AA1188" s="136"/>
      <c r="AB1188" s="84"/>
      <c r="AC1188" s="90"/>
      <c r="AD1188" s="90"/>
      <c r="AE1188" s="100">
        <f t="shared" si="1497"/>
        <v>0</v>
      </c>
      <c r="AF1188" s="90"/>
      <c r="AG1188" s="109">
        <f t="shared" si="1498"/>
        <v>0</v>
      </c>
      <c r="AH1188" s="100">
        <f t="shared" si="1499"/>
        <v>-1</v>
      </c>
      <c r="AI1188" s="100">
        <f t="shared" si="1500"/>
        <v>1.3438216978039987E-2</v>
      </c>
    </row>
    <row r="1189" spans="1:35" s="47" customFormat="1" ht="21" customHeight="1" x14ac:dyDescent="0.3">
      <c r="A1189" s="103"/>
      <c r="B1189" s="106" t="s">
        <v>53</v>
      </c>
      <c r="C1189" s="169">
        <v>47794</v>
      </c>
      <c r="D1189" s="312">
        <v>22036580</v>
      </c>
      <c r="E1189" s="133" t="s">
        <v>611</v>
      </c>
      <c r="F1189" s="169">
        <v>1389</v>
      </c>
      <c r="G1189" s="92"/>
      <c r="H1189" s="66"/>
      <c r="I1189" s="66"/>
      <c r="J1189" s="66"/>
      <c r="K1189" s="78"/>
      <c r="L1189" s="66"/>
      <c r="M1189" s="66"/>
      <c r="N1189" s="110">
        <f t="shared" ref="N1189:N1191" si="1542">M1189-F1189</f>
        <v>-1389</v>
      </c>
      <c r="O1189" s="110"/>
      <c r="P1189" s="66"/>
      <c r="Q1189" s="66"/>
      <c r="R1189" s="66"/>
      <c r="S1189" s="66"/>
      <c r="T1189" s="110">
        <f t="shared" ref="T1189:T1191" si="1543">S1189-Q1189</f>
        <v>0</v>
      </c>
      <c r="U1189" s="59">
        <f t="shared" si="1418"/>
        <v>0</v>
      </c>
      <c r="V1189" s="66"/>
      <c r="W1189" s="66"/>
      <c r="X1189" s="110">
        <f t="shared" ref="X1189:X1191" si="1544">W1189-M1189</f>
        <v>0</v>
      </c>
      <c r="Y1189" s="110"/>
      <c r="Z1189" s="110"/>
      <c r="AA1189" s="110"/>
      <c r="AB1189" s="46"/>
      <c r="AC1189" s="78"/>
      <c r="AD1189" s="78"/>
      <c r="AE1189" s="100">
        <f t="shared" ref="AE1189:AE1210" si="1545">N1189/F1189</f>
        <v>-1</v>
      </c>
      <c r="AF1189" s="90"/>
      <c r="AG1189" s="109">
        <f t="shared" ref="AG1189:AG1210" si="1546">IF(N1189&lt;0,N1189,0)</f>
        <v>-1389</v>
      </c>
      <c r="AH1189" s="100">
        <f t="shared" ref="AH1189:AH1210" si="1547">(S1189-F1189)/F1189</f>
        <v>-1</v>
      </c>
      <c r="AI1189" s="100">
        <f t="shared" ref="AI1189:AI1210" si="1548">(W1189-F1189)/F1189</f>
        <v>-1</v>
      </c>
    </row>
    <row r="1190" spans="1:35" s="47" customFormat="1" ht="21" customHeight="1" x14ac:dyDescent="0.3">
      <c r="A1190" s="103"/>
      <c r="B1190" s="106" t="s">
        <v>53</v>
      </c>
      <c r="C1190" s="240">
        <v>47794</v>
      </c>
      <c r="D1190" s="312"/>
      <c r="E1190" s="133" t="s">
        <v>49</v>
      </c>
      <c r="F1190" s="213">
        <v>2331</v>
      </c>
      <c r="G1190" s="92"/>
      <c r="H1190" s="66"/>
      <c r="I1190" s="66"/>
      <c r="J1190" s="66"/>
      <c r="K1190" s="78"/>
      <c r="L1190" s="66"/>
      <c r="M1190" s="66">
        <f>800+693+648</f>
        <v>2141</v>
      </c>
      <c r="N1190" s="110">
        <f t="shared" ref="N1190" si="1549">M1190-F1190</f>
        <v>-190</v>
      </c>
      <c r="O1190" s="110"/>
      <c r="P1190" s="66"/>
      <c r="Q1190" s="66">
        <f>2141</f>
        <v>2141</v>
      </c>
      <c r="R1190" s="66"/>
      <c r="S1190" s="66"/>
      <c r="T1190" s="110">
        <f t="shared" ref="T1190" si="1550">S1190-Q1190</f>
        <v>-2141</v>
      </c>
      <c r="U1190" s="59">
        <f t="shared" ref="U1190" si="1551">IF(Q1190&gt;0,S1190-W1190,M1190-W1190)</f>
        <v>0</v>
      </c>
      <c r="V1190" s="66"/>
      <c r="W1190" s="66"/>
      <c r="X1190" s="110">
        <f t="shared" ref="X1190" si="1552">W1190-M1190</f>
        <v>-2141</v>
      </c>
      <c r="Y1190" s="110"/>
      <c r="Z1190" s="110"/>
      <c r="AA1190" s="110"/>
      <c r="AB1190" s="46"/>
      <c r="AC1190" s="78"/>
      <c r="AD1190" s="78"/>
      <c r="AE1190" s="100">
        <f t="shared" ref="AE1190" si="1553">N1190/F1190</f>
        <v>-8.1510081510081517E-2</v>
      </c>
      <c r="AF1190" s="90"/>
      <c r="AG1190" s="109">
        <f t="shared" ref="AG1190" si="1554">IF(N1190&lt;0,N1190,0)</f>
        <v>-190</v>
      </c>
      <c r="AH1190" s="100">
        <f t="shared" ref="AH1190" si="1555">(S1190-F1190)/F1190</f>
        <v>-1</v>
      </c>
      <c r="AI1190" s="100">
        <f t="shared" ref="AI1190" si="1556">(W1190-F1190)/F1190</f>
        <v>-1</v>
      </c>
    </row>
    <row r="1191" spans="1:35" s="47" customFormat="1" ht="21" customHeight="1" x14ac:dyDescent="0.3">
      <c r="A1191" s="103"/>
      <c r="B1191" s="106" t="s">
        <v>53</v>
      </c>
      <c r="C1191" s="240">
        <v>47794</v>
      </c>
      <c r="D1191" s="312"/>
      <c r="E1191" s="133" t="s">
        <v>612</v>
      </c>
      <c r="F1191" s="213">
        <v>1011</v>
      </c>
      <c r="G1191" s="92"/>
      <c r="H1191" s="66"/>
      <c r="I1191" s="66"/>
      <c r="J1191" s="66"/>
      <c r="K1191" s="78"/>
      <c r="L1191" s="66"/>
      <c r="M1191" s="66"/>
      <c r="N1191" s="110">
        <f t="shared" si="1542"/>
        <v>-1011</v>
      </c>
      <c r="O1191" s="110"/>
      <c r="P1191" s="66"/>
      <c r="Q1191" s="66"/>
      <c r="R1191" s="66"/>
      <c r="S1191" s="66"/>
      <c r="T1191" s="110">
        <f t="shared" si="1543"/>
        <v>0</v>
      </c>
      <c r="U1191" s="59">
        <f t="shared" si="1418"/>
        <v>0</v>
      </c>
      <c r="V1191" s="66"/>
      <c r="W1191" s="66"/>
      <c r="X1191" s="110">
        <f t="shared" si="1544"/>
        <v>0</v>
      </c>
      <c r="Y1191" s="110"/>
      <c r="Z1191" s="110"/>
      <c r="AA1191" s="110"/>
      <c r="AB1191" s="46"/>
      <c r="AC1191" s="78"/>
      <c r="AD1191" s="78"/>
      <c r="AE1191" s="100">
        <f t="shared" si="1545"/>
        <v>-1</v>
      </c>
      <c r="AF1191" s="90"/>
      <c r="AG1191" s="109">
        <f t="shared" si="1546"/>
        <v>-1011</v>
      </c>
      <c r="AH1191" s="100">
        <f t="shared" si="1547"/>
        <v>-1</v>
      </c>
      <c r="AI1191" s="100">
        <f t="shared" si="1548"/>
        <v>-1</v>
      </c>
    </row>
    <row r="1192" spans="1:35" s="79" customFormat="1" ht="15.75" customHeight="1" x14ac:dyDescent="0.3">
      <c r="A1192" s="90" t="s">
        <v>46</v>
      </c>
      <c r="B1192" s="136" t="s">
        <v>53</v>
      </c>
      <c r="C1192" s="137"/>
      <c r="D1192" s="136"/>
      <c r="E1192" s="138"/>
      <c r="F1192" s="91">
        <f>SUM(F1189:F1191)</f>
        <v>4731</v>
      </c>
      <c r="G1192" s="91"/>
      <c r="H1192" s="91"/>
      <c r="I1192" s="91"/>
      <c r="J1192" s="91" t="s">
        <v>58</v>
      </c>
      <c r="K1192" s="65" t="s">
        <v>410</v>
      </c>
      <c r="L1192" s="91">
        <f>SUM(L1189:L1191)</f>
        <v>0</v>
      </c>
      <c r="M1192" s="91">
        <f>SUM(M1189:M1191)</f>
        <v>2141</v>
      </c>
      <c r="N1192" s="90">
        <f>SUMIF(N1189:N1191,"&lt;0")</f>
        <v>-2590</v>
      </c>
      <c r="O1192" s="91" t="s">
        <v>530</v>
      </c>
      <c r="P1192" s="91">
        <f t="shared" ref="P1192:X1192" si="1557">SUM(P1189:P1191)</f>
        <v>0</v>
      </c>
      <c r="Q1192" s="91">
        <f t="shared" si="1557"/>
        <v>2141</v>
      </c>
      <c r="R1192" s="91">
        <f t="shared" si="1557"/>
        <v>0</v>
      </c>
      <c r="S1192" s="91">
        <f t="shared" si="1557"/>
        <v>0</v>
      </c>
      <c r="T1192" s="91">
        <f t="shared" si="1557"/>
        <v>-2141</v>
      </c>
      <c r="U1192" s="59">
        <f t="shared" si="1557"/>
        <v>0</v>
      </c>
      <c r="V1192" s="91">
        <f t="shared" si="1557"/>
        <v>0</v>
      </c>
      <c r="W1192" s="91">
        <f t="shared" si="1557"/>
        <v>0</v>
      </c>
      <c r="X1192" s="91">
        <f t="shared" si="1557"/>
        <v>-2141</v>
      </c>
      <c r="Y1192" s="136" t="s">
        <v>47</v>
      </c>
      <c r="Z1192" s="136" t="s">
        <v>45</v>
      </c>
      <c r="AA1192" s="136"/>
      <c r="AB1192" s="84"/>
      <c r="AC1192" s="90"/>
      <c r="AD1192" s="90"/>
      <c r="AE1192" s="100">
        <f t="shared" si="1545"/>
        <v>-0.54745296977383218</v>
      </c>
      <c r="AF1192" s="90"/>
      <c r="AG1192" s="109">
        <f t="shared" si="1546"/>
        <v>-2590</v>
      </c>
      <c r="AH1192" s="100">
        <f t="shared" si="1547"/>
        <v>-1</v>
      </c>
      <c r="AI1192" s="100">
        <f t="shared" si="1548"/>
        <v>-1</v>
      </c>
    </row>
    <row r="1193" spans="1:35" s="47" customFormat="1" ht="21" customHeight="1" x14ac:dyDescent="0.3">
      <c r="A1193" s="103"/>
      <c r="B1193" s="106" t="s">
        <v>53</v>
      </c>
      <c r="C1193" s="230">
        <v>48147</v>
      </c>
      <c r="D1193" s="313">
        <v>22039020</v>
      </c>
      <c r="E1193" s="133" t="s">
        <v>464</v>
      </c>
      <c r="F1193" s="230">
        <v>617</v>
      </c>
      <c r="G1193" s="92"/>
      <c r="H1193" s="66"/>
      <c r="I1193" s="66"/>
      <c r="J1193" s="66"/>
      <c r="K1193" s="78"/>
      <c r="L1193" s="66"/>
      <c r="M1193" s="66"/>
      <c r="N1193" s="110">
        <f t="shared" ref="N1193:N1194" si="1558">M1193-F1193</f>
        <v>-617</v>
      </c>
      <c r="O1193" s="110"/>
      <c r="P1193" s="66"/>
      <c r="Q1193" s="66"/>
      <c r="R1193" s="66"/>
      <c r="S1193" s="66"/>
      <c r="T1193" s="110">
        <f t="shared" ref="T1193:T1194" si="1559">S1193-Q1193</f>
        <v>0</v>
      </c>
      <c r="U1193" s="59">
        <f t="shared" ref="U1193:U1270" si="1560">IF(Q1193&gt;0,S1193-W1193,M1193-W1193)</f>
        <v>0</v>
      </c>
      <c r="V1193" s="66"/>
      <c r="W1193" s="66"/>
      <c r="X1193" s="110">
        <f t="shared" ref="X1193:X1194" si="1561">W1193-M1193</f>
        <v>0</v>
      </c>
      <c r="Y1193" s="110"/>
      <c r="Z1193" s="110"/>
      <c r="AA1193" s="110"/>
      <c r="AB1193" s="46"/>
      <c r="AC1193" s="78"/>
      <c r="AD1193" s="78"/>
      <c r="AE1193" s="100">
        <f t="shared" ref="AE1193:AE1195" si="1562">N1193/F1193</f>
        <v>-1</v>
      </c>
      <c r="AF1193" s="90"/>
      <c r="AG1193" s="109">
        <f t="shared" ref="AG1193:AG1195" si="1563">IF(N1193&lt;0,N1193,0)</f>
        <v>-617</v>
      </c>
      <c r="AH1193" s="100">
        <f t="shared" ref="AH1193:AH1195" si="1564">(S1193-F1193)/F1193</f>
        <v>-1</v>
      </c>
      <c r="AI1193" s="100">
        <f t="shared" ref="AI1193:AI1195" si="1565">(W1193-F1193)/F1193</f>
        <v>-1</v>
      </c>
    </row>
    <row r="1194" spans="1:35" s="47" customFormat="1" ht="21" customHeight="1" x14ac:dyDescent="0.3">
      <c r="A1194" s="103"/>
      <c r="B1194" s="106" t="s">
        <v>53</v>
      </c>
      <c r="C1194" s="272">
        <v>48147</v>
      </c>
      <c r="D1194" s="314"/>
      <c r="E1194" s="133" t="s">
        <v>465</v>
      </c>
      <c r="F1194" s="230">
        <v>1061</v>
      </c>
      <c r="G1194" s="92"/>
      <c r="H1194" s="66"/>
      <c r="I1194" s="66"/>
      <c r="J1194" s="66"/>
      <c r="K1194" s="78"/>
      <c r="L1194" s="66"/>
      <c r="M1194" s="66"/>
      <c r="N1194" s="110">
        <f t="shared" si="1558"/>
        <v>-1061</v>
      </c>
      <c r="O1194" s="110"/>
      <c r="P1194" s="66"/>
      <c r="Q1194" s="66"/>
      <c r="R1194" s="66"/>
      <c r="S1194" s="66"/>
      <c r="T1194" s="110">
        <f t="shared" si="1559"/>
        <v>0</v>
      </c>
      <c r="U1194" s="59">
        <f t="shared" si="1560"/>
        <v>0</v>
      </c>
      <c r="V1194" s="66"/>
      <c r="W1194" s="66"/>
      <c r="X1194" s="110">
        <f t="shared" si="1561"/>
        <v>0</v>
      </c>
      <c r="Y1194" s="110"/>
      <c r="Z1194" s="110"/>
      <c r="AA1194" s="110"/>
      <c r="AB1194" s="46"/>
      <c r="AC1194" s="78"/>
      <c r="AD1194" s="78"/>
      <c r="AE1194" s="100">
        <f t="shared" si="1562"/>
        <v>-1</v>
      </c>
      <c r="AF1194" s="90"/>
      <c r="AG1194" s="109">
        <f t="shared" si="1563"/>
        <v>-1061</v>
      </c>
      <c r="AH1194" s="100">
        <f t="shared" si="1564"/>
        <v>-1</v>
      </c>
      <c r="AI1194" s="100">
        <f t="shared" si="1565"/>
        <v>-1</v>
      </c>
    </row>
    <row r="1195" spans="1:35" s="79" customFormat="1" ht="15.75" customHeight="1" x14ac:dyDescent="0.3">
      <c r="A1195" s="90" t="s">
        <v>46</v>
      </c>
      <c r="B1195" s="136" t="s">
        <v>53</v>
      </c>
      <c r="C1195" s="137"/>
      <c r="D1195" s="136"/>
      <c r="E1195" s="138"/>
      <c r="F1195" s="91">
        <f>SUM(F1193:F1194)</f>
        <v>1678</v>
      </c>
      <c r="G1195" s="91"/>
      <c r="H1195" s="91"/>
      <c r="I1195" s="91"/>
      <c r="J1195" s="91" t="s">
        <v>58</v>
      </c>
      <c r="K1195" s="65" t="s">
        <v>860</v>
      </c>
      <c r="L1195" s="91">
        <f>SUM(L1193:L1194)</f>
        <v>0</v>
      </c>
      <c r="M1195" s="91">
        <f>SUM(M1193:M1194)</f>
        <v>0</v>
      </c>
      <c r="N1195" s="90">
        <f>SUMIF(N1193:N1194,"&lt;0")</f>
        <v>-1678</v>
      </c>
      <c r="O1195" s="91"/>
      <c r="P1195" s="91">
        <f>SUM(P1193:P1194)</f>
        <v>0</v>
      </c>
      <c r="Q1195" s="91">
        <f>SUM(Q1193:Q1194)</f>
        <v>0</v>
      </c>
      <c r="R1195" s="91">
        <f>SUM(R1193:R1194)</f>
        <v>0</v>
      </c>
      <c r="S1195" s="91">
        <f>SUM(S1193:S1194)</f>
        <v>0</v>
      </c>
      <c r="T1195" s="91">
        <f>SUM(T1193:T1194)</f>
        <v>0</v>
      </c>
      <c r="U1195" s="59">
        <f t="shared" si="1560"/>
        <v>0</v>
      </c>
      <c r="V1195" s="91">
        <f>SUM(V1193:V1194)</f>
        <v>0</v>
      </c>
      <c r="W1195" s="91">
        <f>SUM(W1193:W1194)</f>
        <v>0</v>
      </c>
      <c r="X1195" s="91">
        <f>SUM(X1193:X1194)</f>
        <v>0</v>
      </c>
      <c r="Y1195" s="136" t="s">
        <v>47</v>
      </c>
      <c r="Z1195" s="136" t="s">
        <v>45</v>
      </c>
      <c r="AA1195" s="136"/>
      <c r="AB1195" s="84"/>
      <c r="AC1195" s="90"/>
      <c r="AD1195" s="90"/>
      <c r="AE1195" s="100">
        <f t="shared" si="1562"/>
        <v>-1</v>
      </c>
      <c r="AF1195" s="90"/>
      <c r="AG1195" s="109">
        <f t="shared" si="1563"/>
        <v>-1678</v>
      </c>
      <c r="AH1195" s="100">
        <f t="shared" si="1564"/>
        <v>-1</v>
      </c>
      <c r="AI1195" s="100">
        <f t="shared" si="1565"/>
        <v>-1</v>
      </c>
    </row>
    <row r="1196" spans="1:35" s="47" customFormat="1" ht="21" customHeight="1" x14ac:dyDescent="0.3">
      <c r="A1196" s="103"/>
      <c r="B1196" s="106" t="s">
        <v>53</v>
      </c>
      <c r="C1196" s="230" t="s">
        <v>461</v>
      </c>
      <c r="D1196" s="313">
        <v>22042193</v>
      </c>
      <c r="E1196" s="133" t="s">
        <v>97</v>
      </c>
      <c r="F1196" s="230">
        <v>5006</v>
      </c>
      <c r="G1196" s="92"/>
      <c r="H1196" s="66"/>
      <c r="I1196" s="66"/>
      <c r="J1196" s="66"/>
      <c r="K1196" s="78"/>
      <c r="L1196" s="66"/>
      <c r="M1196" s="66">
        <f>2416+440+800+400+360+604+153</f>
        <v>5173</v>
      </c>
      <c r="N1196" s="110">
        <f t="shared" ref="N1196:N1209" si="1566">M1196-F1196</f>
        <v>167</v>
      </c>
      <c r="O1196" s="110"/>
      <c r="P1196" s="66"/>
      <c r="Q1196" s="66"/>
      <c r="R1196" s="66"/>
      <c r="S1196" s="66"/>
      <c r="T1196" s="110">
        <f t="shared" ref="T1196:T1209" si="1567">S1196-Q1196</f>
        <v>0</v>
      </c>
      <c r="U1196" s="59">
        <f t="shared" ref="U1196:U1210" si="1568">IF(Q1196&gt;0,S1196-W1196,M1196-W1196)</f>
        <v>0</v>
      </c>
      <c r="V1196" s="66"/>
      <c r="W1196" s="66">
        <f>3656+1364+153</f>
        <v>5173</v>
      </c>
      <c r="X1196" s="110">
        <f t="shared" ref="X1196:X1209" si="1569">W1196-M1196</f>
        <v>0</v>
      </c>
      <c r="Y1196" s="110"/>
      <c r="Z1196" s="110"/>
      <c r="AA1196" s="110"/>
      <c r="AB1196" s="46"/>
      <c r="AC1196" s="78"/>
      <c r="AD1196" s="78"/>
      <c r="AE1196" s="100">
        <f t="shared" si="1545"/>
        <v>3.3359968038353977E-2</v>
      </c>
      <c r="AF1196" s="90"/>
      <c r="AG1196" s="109">
        <f t="shared" si="1546"/>
        <v>0</v>
      </c>
      <c r="AH1196" s="100">
        <f t="shared" si="1547"/>
        <v>-1</v>
      </c>
      <c r="AI1196" s="100">
        <f t="shared" si="1548"/>
        <v>3.3359968038353977E-2</v>
      </c>
    </row>
    <row r="1197" spans="1:35" s="47" customFormat="1" ht="21" customHeight="1" x14ac:dyDescent="0.3">
      <c r="A1197" s="103"/>
      <c r="B1197" s="106" t="s">
        <v>53</v>
      </c>
      <c r="C1197" s="230" t="s">
        <v>461</v>
      </c>
      <c r="D1197" s="314"/>
      <c r="E1197" s="133" t="s">
        <v>279</v>
      </c>
      <c r="F1197" s="230">
        <v>5006</v>
      </c>
      <c r="G1197" s="92"/>
      <c r="H1197" s="66"/>
      <c r="I1197" s="66"/>
      <c r="J1197" s="66"/>
      <c r="K1197" s="78"/>
      <c r="L1197" s="66"/>
      <c r="M1197" s="66">
        <f>848+736+800+1768+852+57+56</f>
        <v>5117</v>
      </c>
      <c r="N1197" s="110">
        <f t="shared" ref="N1197:N1205" si="1570">M1197-F1197</f>
        <v>111</v>
      </c>
      <c r="O1197" s="110"/>
      <c r="P1197" s="66"/>
      <c r="Q1197" s="66"/>
      <c r="R1197" s="66"/>
      <c r="S1197" s="66"/>
      <c r="T1197" s="110">
        <f t="shared" ref="T1197:T1205" si="1571">S1197-Q1197</f>
        <v>0</v>
      </c>
      <c r="U1197" s="59">
        <f t="shared" ref="U1197:U1205" si="1572">IF(Q1197&gt;0,S1197-W1197,M1197-W1197)</f>
        <v>57</v>
      </c>
      <c r="V1197" s="66"/>
      <c r="W1197" s="66">
        <f>1584+3476</f>
        <v>5060</v>
      </c>
      <c r="X1197" s="110">
        <f t="shared" ref="X1197:X1205" si="1573">W1197-M1197</f>
        <v>-57</v>
      </c>
      <c r="Y1197" s="110"/>
      <c r="Z1197" s="110"/>
      <c r="AA1197" s="110"/>
      <c r="AB1197" s="46"/>
      <c r="AC1197" s="78"/>
      <c r="AD1197" s="78"/>
      <c r="AE1197" s="100">
        <f t="shared" ref="AE1197:AE1205" si="1574">N1197/F1197</f>
        <v>2.2173391929684379E-2</v>
      </c>
      <c r="AF1197" s="90"/>
      <c r="AG1197" s="109">
        <f t="shared" ref="AG1197:AG1205" si="1575">IF(N1197&lt;0,N1197,0)</f>
        <v>0</v>
      </c>
      <c r="AH1197" s="100">
        <f t="shared" ref="AH1197:AH1205" si="1576">(S1197-F1197)/F1197</f>
        <v>-1</v>
      </c>
      <c r="AI1197" s="100">
        <f t="shared" ref="AI1197:AI1205" si="1577">(W1197-F1197)/F1197</f>
        <v>1.0787055533359968E-2</v>
      </c>
    </row>
    <row r="1198" spans="1:35" s="47" customFormat="1" ht="21" customHeight="1" x14ac:dyDescent="0.3">
      <c r="A1198" s="103"/>
      <c r="B1198" s="106" t="s">
        <v>53</v>
      </c>
      <c r="C1198" s="230" t="s">
        <v>461</v>
      </c>
      <c r="D1198" s="314"/>
      <c r="E1198" s="133" t="s">
        <v>131</v>
      </c>
      <c r="F1198" s="230">
        <v>4006</v>
      </c>
      <c r="G1198" s="92"/>
      <c r="H1198" s="66"/>
      <c r="I1198" s="66"/>
      <c r="J1198" s="66"/>
      <c r="K1198" s="78"/>
      <c r="L1198" s="66"/>
      <c r="M1198" s="66">
        <f>1040+1032+376+696+640+278</f>
        <v>4062</v>
      </c>
      <c r="N1198" s="110">
        <f t="shared" si="1570"/>
        <v>56</v>
      </c>
      <c r="O1198" s="110"/>
      <c r="P1198" s="66"/>
      <c r="Q1198" s="66"/>
      <c r="R1198" s="66"/>
      <c r="S1198" s="66"/>
      <c r="T1198" s="110">
        <f t="shared" si="1571"/>
        <v>0</v>
      </c>
      <c r="U1198" s="59">
        <f t="shared" si="1572"/>
        <v>0</v>
      </c>
      <c r="V1198" s="66"/>
      <c r="W1198" s="66">
        <f>3144+918</f>
        <v>4062</v>
      </c>
      <c r="X1198" s="110">
        <f t="shared" si="1573"/>
        <v>0</v>
      </c>
      <c r="Y1198" s="110"/>
      <c r="Z1198" s="110"/>
      <c r="AA1198" s="110"/>
      <c r="AB1198" s="46"/>
      <c r="AC1198" s="78"/>
      <c r="AD1198" s="78"/>
      <c r="AE1198" s="100">
        <f t="shared" si="1574"/>
        <v>1.3979031452820768E-2</v>
      </c>
      <c r="AF1198" s="90"/>
      <c r="AG1198" s="109">
        <f t="shared" si="1575"/>
        <v>0</v>
      </c>
      <c r="AH1198" s="100">
        <f t="shared" si="1576"/>
        <v>-1</v>
      </c>
      <c r="AI1198" s="100">
        <f t="shared" si="1577"/>
        <v>1.3979031452820768E-2</v>
      </c>
    </row>
    <row r="1199" spans="1:35" s="47" customFormat="1" ht="21" customHeight="1" x14ac:dyDescent="0.3">
      <c r="A1199" s="103"/>
      <c r="B1199" s="106" t="s">
        <v>53</v>
      </c>
      <c r="C1199" s="230" t="s">
        <v>461</v>
      </c>
      <c r="D1199" s="314"/>
      <c r="E1199" s="133" t="s">
        <v>134</v>
      </c>
      <c r="F1199" s="230">
        <v>4006</v>
      </c>
      <c r="G1199" s="92"/>
      <c r="H1199" s="66"/>
      <c r="I1199" s="66"/>
      <c r="J1199" s="66"/>
      <c r="K1199" s="78"/>
      <c r="L1199" s="66"/>
      <c r="M1199" s="66">
        <f>2424+300+828+204+349</f>
        <v>4105</v>
      </c>
      <c r="N1199" s="110">
        <f t="shared" si="1570"/>
        <v>99</v>
      </c>
      <c r="O1199" s="110"/>
      <c r="P1199" s="66"/>
      <c r="Q1199" s="66"/>
      <c r="R1199" s="66"/>
      <c r="S1199" s="66"/>
      <c r="T1199" s="110">
        <f t="shared" si="1571"/>
        <v>0</v>
      </c>
      <c r="U1199" s="59">
        <f t="shared" si="1572"/>
        <v>33</v>
      </c>
      <c r="V1199" s="66"/>
      <c r="W1199" s="66">
        <f>3726+346</f>
        <v>4072</v>
      </c>
      <c r="X1199" s="110">
        <f t="shared" si="1573"/>
        <v>-33</v>
      </c>
      <c r="Y1199" s="110"/>
      <c r="Z1199" s="110"/>
      <c r="AA1199" s="110"/>
      <c r="AB1199" s="46"/>
      <c r="AC1199" s="78"/>
      <c r="AD1199" s="78"/>
      <c r="AE1199" s="100">
        <f t="shared" si="1574"/>
        <v>2.4712930604093859E-2</v>
      </c>
      <c r="AF1199" s="90"/>
      <c r="AG1199" s="109">
        <f t="shared" si="1575"/>
        <v>0</v>
      </c>
      <c r="AH1199" s="100">
        <f t="shared" si="1576"/>
        <v>-1</v>
      </c>
      <c r="AI1199" s="100">
        <f t="shared" si="1577"/>
        <v>1.6475287069395907E-2</v>
      </c>
    </row>
    <row r="1200" spans="1:35" s="47" customFormat="1" ht="21" customHeight="1" x14ac:dyDescent="0.3">
      <c r="A1200" s="103"/>
      <c r="B1200" s="106" t="s">
        <v>53</v>
      </c>
      <c r="C1200" s="230" t="s">
        <v>461</v>
      </c>
      <c r="D1200" s="314"/>
      <c r="E1200" s="133" t="s">
        <v>115</v>
      </c>
      <c r="F1200" s="230">
        <v>4506</v>
      </c>
      <c r="G1200" s="92"/>
      <c r="H1200" s="66"/>
      <c r="I1200" s="66"/>
      <c r="J1200" s="66"/>
      <c r="K1200" s="78"/>
      <c r="L1200" s="66"/>
      <c r="M1200" s="66">
        <f>736+558+1287+816+654+357+279</f>
        <v>4687</v>
      </c>
      <c r="N1200" s="110">
        <f t="shared" ref="N1200:N1204" si="1578">M1200-F1200</f>
        <v>181</v>
      </c>
      <c r="O1200" s="110"/>
      <c r="P1200" s="66"/>
      <c r="Q1200" s="66"/>
      <c r="R1200" s="66"/>
      <c r="S1200" s="66"/>
      <c r="T1200" s="110">
        <f t="shared" ref="T1200:T1204" si="1579">S1200-Q1200</f>
        <v>0</v>
      </c>
      <c r="U1200" s="59">
        <f t="shared" ref="U1200:U1204" si="1580">IF(Q1200&gt;0,S1200-W1200,M1200-W1200)</f>
        <v>100</v>
      </c>
      <c r="V1200" s="66"/>
      <c r="W1200" s="66">
        <f>2476+1430+681</f>
        <v>4587</v>
      </c>
      <c r="X1200" s="110">
        <f t="shared" ref="X1200:X1204" si="1581">W1200-M1200</f>
        <v>-100</v>
      </c>
      <c r="Y1200" s="110"/>
      <c r="Z1200" s="110"/>
      <c r="AA1200" s="110"/>
      <c r="AB1200" s="46"/>
      <c r="AC1200" s="78"/>
      <c r="AD1200" s="78"/>
      <c r="AE1200" s="100">
        <f t="shared" ref="AE1200:AE1204" si="1582">N1200/F1200</f>
        <v>4.0168664003550819E-2</v>
      </c>
      <c r="AF1200" s="90"/>
      <c r="AG1200" s="109">
        <f t="shared" ref="AG1200:AG1204" si="1583">IF(N1200&lt;0,N1200,0)</f>
        <v>0</v>
      </c>
      <c r="AH1200" s="100">
        <f t="shared" ref="AH1200:AH1204" si="1584">(S1200-F1200)/F1200</f>
        <v>-1</v>
      </c>
      <c r="AI1200" s="100">
        <f t="shared" ref="AI1200:AI1204" si="1585">(W1200-F1200)/F1200</f>
        <v>1.7976031957390146E-2</v>
      </c>
    </row>
    <row r="1201" spans="1:35" s="47" customFormat="1" ht="21" customHeight="1" x14ac:dyDescent="0.3">
      <c r="A1201" s="103"/>
      <c r="B1201" s="106" t="s">
        <v>53</v>
      </c>
      <c r="C1201" s="230" t="s">
        <v>461</v>
      </c>
      <c r="D1201" s="314"/>
      <c r="E1201" s="133" t="s">
        <v>0</v>
      </c>
      <c r="F1201" s="230">
        <v>7006</v>
      </c>
      <c r="G1201" s="92"/>
      <c r="H1201" s="66"/>
      <c r="I1201" s="66"/>
      <c r="J1201" s="66"/>
      <c r="K1201" s="78"/>
      <c r="L1201" s="66"/>
      <c r="M1201" s="66">
        <f>2472+1568+856+1132+1066+82</f>
        <v>7176</v>
      </c>
      <c r="N1201" s="110">
        <f t="shared" si="1578"/>
        <v>170</v>
      </c>
      <c r="O1201" s="110"/>
      <c r="P1201" s="66"/>
      <c r="Q1201" s="66"/>
      <c r="R1201" s="66"/>
      <c r="S1201" s="66"/>
      <c r="T1201" s="110">
        <f t="shared" si="1579"/>
        <v>0</v>
      </c>
      <c r="U1201" s="59">
        <f t="shared" si="1580"/>
        <v>52</v>
      </c>
      <c r="V1201" s="66"/>
      <c r="W1201" s="66">
        <f>3920+3029+175</f>
        <v>7124</v>
      </c>
      <c r="X1201" s="110">
        <f t="shared" si="1581"/>
        <v>-52</v>
      </c>
      <c r="Y1201" s="110"/>
      <c r="Z1201" s="110"/>
      <c r="AA1201" s="110"/>
      <c r="AB1201" s="46"/>
      <c r="AC1201" s="78"/>
      <c r="AD1201" s="78"/>
      <c r="AE1201" s="100">
        <f t="shared" si="1582"/>
        <v>2.4264915786468742E-2</v>
      </c>
      <c r="AF1201" s="90"/>
      <c r="AG1201" s="109">
        <f t="shared" si="1583"/>
        <v>0</v>
      </c>
      <c r="AH1201" s="100">
        <f t="shared" si="1584"/>
        <v>-1</v>
      </c>
      <c r="AI1201" s="100">
        <f t="shared" si="1585"/>
        <v>1.6842706251784186E-2</v>
      </c>
    </row>
    <row r="1202" spans="1:35" s="47" customFormat="1" ht="21" customHeight="1" x14ac:dyDescent="0.3">
      <c r="A1202" s="103"/>
      <c r="B1202" s="106" t="s">
        <v>53</v>
      </c>
      <c r="C1202" s="230" t="s">
        <v>461</v>
      </c>
      <c r="D1202" s="314"/>
      <c r="E1202" s="133" t="s">
        <v>270</v>
      </c>
      <c r="F1202" s="230">
        <v>4006</v>
      </c>
      <c r="G1202" s="92"/>
      <c r="H1202" s="66"/>
      <c r="I1202" s="66"/>
      <c r="J1202" s="66"/>
      <c r="K1202" s="78"/>
      <c r="L1202" s="66"/>
      <c r="M1202" s="66">
        <f>558+1725+984+797</f>
        <v>4064</v>
      </c>
      <c r="N1202" s="110">
        <f t="shared" si="1578"/>
        <v>58</v>
      </c>
      <c r="O1202" s="110"/>
      <c r="P1202" s="66"/>
      <c r="Q1202" s="66"/>
      <c r="R1202" s="66"/>
      <c r="S1202" s="66"/>
      <c r="T1202" s="110">
        <f t="shared" si="1579"/>
        <v>0</v>
      </c>
      <c r="U1202" s="59">
        <f t="shared" si="1580"/>
        <v>0</v>
      </c>
      <c r="V1202" s="66"/>
      <c r="W1202" s="66">
        <v>4064</v>
      </c>
      <c r="X1202" s="110">
        <f t="shared" si="1581"/>
        <v>0</v>
      </c>
      <c r="Y1202" s="110"/>
      <c r="Z1202" s="110"/>
      <c r="AA1202" s="110"/>
      <c r="AB1202" s="46"/>
      <c r="AC1202" s="78"/>
      <c r="AD1202" s="78"/>
      <c r="AE1202" s="100">
        <f t="shared" si="1582"/>
        <v>1.4478282576135796E-2</v>
      </c>
      <c r="AF1202" s="90"/>
      <c r="AG1202" s="109">
        <f t="shared" si="1583"/>
        <v>0</v>
      </c>
      <c r="AH1202" s="100">
        <f t="shared" si="1584"/>
        <v>-1</v>
      </c>
      <c r="AI1202" s="100">
        <f t="shared" si="1585"/>
        <v>1.4478282576135796E-2</v>
      </c>
    </row>
    <row r="1203" spans="1:35" s="47" customFormat="1" ht="21" customHeight="1" x14ac:dyDescent="0.3">
      <c r="A1203" s="103"/>
      <c r="B1203" s="106" t="s">
        <v>53</v>
      </c>
      <c r="C1203" s="230" t="s">
        <v>461</v>
      </c>
      <c r="D1203" s="314"/>
      <c r="E1203" s="133" t="s">
        <v>39</v>
      </c>
      <c r="F1203" s="230">
        <v>9006</v>
      </c>
      <c r="G1203" s="92"/>
      <c r="H1203" s="66"/>
      <c r="I1203" s="66"/>
      <c r="J1203" s="66"/>
      <c r="K1203" s="78"/>
      <c r="L1203" s="66"/>
      <c r="M1203" s="66">
        <f>1600+600+680+1272+1296+344+928+920+792+528+259</f>
        <v>9219</v>
      </c>
      <c r="N1203" s="110">
        <f t="shared" si="1578"/>
        <v>213</v>
      </c>
      <c r="O1203" s="110"/>
      <c r="P1203" s="66"/>
      <c r="Q1203" s="66"/>
      <c r="R1203" s="66"/>
      <c r="S1203" s="66"/>
      <c r="T1203" s="110">
        <f t="shared" si="1579"/>
        <v>0</v>
      </c>
      <c r="U1203" s="59">
        <f t="shared" si="1580"/>
        <v>41</v>
      </c>
      <c r="V1203" s="66"/>
      <c r="W1203" s="66">
        <f>3528+3192+2199+259</f>
        <v>9178</v>
      </c>
      <c r="X1203" s="110">
        <f t="shared" si="1581"/>
        <v>-41</v>
      </c>
      <c r="Y1203" s="110"/>
      <c r="Z1203" s="110"/>
      <c r="AA1203" s="110"/>
      <c r="AB1203" s="46"/>
      <c r="AC1203" s="78"/>
      <c r="AD1203" s="78"/>
      <c r="AE1203" s="100">
        <f t="shared" si="1582"/>
        <v>2.3650899400399734E-2</v>
      </c>
      <c r="AF1203" s="90"/>
      <c r="AG1203" s="109">
        <f t="shared" si="1583"/>
        <v>0</v>
      </c>
      <c r="AH1203" s="100">
        <f t="shared" si="1584"/>
        <v>-1</v>
      </c>
      <c r="AI1203" s="100">
        <f t="shared" si="1585"/>
        <v>1.9098378858538753E-2</v>
      </c>
    </row>
    <row r="1204" spans="1:35" s="47" customFormat="1" ht="21" customHeight="1" x14ac:dyDescent="0.3">
      <c r="A1204" s="103"/>
      <c r="B1204" s="106" t="s">
        <v>53</v>
      </c>
      <c r="C1204" s="230" t="s">
        <v>461</v>
      </c>
      <c r="D1204" s="314"/>
      <c r="E1204" s="133" t="s">
        <v>300</v>
      </c>
      <c r="F1204" s="230">
        <v>3006</v>
      </c>
      <c r="G1204" s="92"/>
      <c r="H1204" s="66"/>
      <c r="I1204" s="66"/>
      <c r="J1204" s="66"/>
      <c r="K1204" s="78"/>
      <c r="L1204" s="66"/>
      <c r="M1204" s="66">
        <f>1206+1827+69</f>
        <v>3102</v>
      </c>
      <c r="N1204" s="110">
        <f t="shared" si="1578"/>
        <v>96</v>
      </c>
      <c r="O1204" s="110"/>
      <c r="P1204" s="66"/>
      <c r="Q1204" s="66"/>
      <c r="R1204" s="66"/>
      <c r="S1204" s="66"/>
      <c r="T1204" s="110">
        <f t="shared" si="1579"/>
        <v>0</v>
      </c>
      <c r="U1204" s="59">
        <f t="shared" si="1580"/>
        <v>44</v>
      </c>
      <c r="V1204" s="66"/>
      <c r="W1204" s="66">
        <f>2989+69</f>
        <v>3058</v>
      </c>
      <c r="X1204" s="110">
        <f t="shared" si="1581"/>
        <v>-44</v>
      </c>
      <c r="Y1204" s="110"/>
      <c r="Z1204" s="110"/>
      <c r="AA1204" s="110"/>
      <c r="AB1204" s="46"/>
      <c r="AC1204" s="78"/>
      <c r="AD1204" s="78"/>
      <c r="AE1204" s="100">
        <f t="shared" si="1582"/>
        <v>3.1936127744510975E-2</v>
      </c>
      <c r="AF1204" s="90"/>
      <c r="AG1204" s="109">
        <f t="shared" si="1583"/>
        <v>0</v>
      </c>
      <c r="AH1204" s="100">
        <f t="shared" si="1584"/>
        <v>-1</v>
      </c>
      <c r="AI1204" s="100">
        <f t="shared" si="1585"/>
        <v>1.7298735861610112E-2</v>
      </c>
    </row>
    <row r="1205" spans="1:35" s="47" customFormat="1" ht="21" customHeight="1" x14ac:dyDescent="0.3">
      <c r="A1205" s="103"/>
      <c r="B1205" s="106" t="s">
        <v>53</v>
      </c>
      <c r="C1205" s="230" t="s">
        <v>461</v>
      </c>
      <c r="D1205" s="314"/>
      <c r="E1205" s="133" t="s">
        <v>117</v>
      </c>
      <c r="F1205" s="230">
        <v>4506</v>
      </c>
      <c r="G1205" s="92"/>
      <c r="H1205" s="66"/>
      <c r="I1205" s="66"/>
      <c r="J1205" s="66"/>
      <c r="K1205" s="78"/>
      <c r="L1205" s="66"/>
      <c r="M1205" s="66">
        <f>800+1538+728+1486</f>
        <v>4552</v>
      </c>
      <c r="N1205" s="110">
        <f t="shared" si="1570"/>
        <v>46</v>
      </c>
      <c r="O1205" s="110"/>
      <c r="P1205" s="66"/>
      <c r="Q1205" s="66"/>
      <c r="R1205" s="66"/>
      <c r="S1205" s="66"/>
      <c r="T1205" s="110">
        <f t="shared" si="1571"/>
        <v>0</v>
      </c>
      <c r="U1205" s="59">
        <f t="shared" si="1572"/>
        <v>0</v>
      </c>
      <c r="V1205" s="66"/>
      <c r="W1205" s="66">
        <v>4552</v>
      </c>
      <c r="X1205" s="110">
        <f t="shared" si="1573"/>
        <v>0</v>
      </c>
      <c r="Y1205" s="110"/>
      <c r="Z1205" s="110"/>
      <c r="AA1205" s="110"/>
      <c r="AB1205" s="46"/>
      <c r="AC1205" s="78"/>
      <c r="AD1205" s="78"/>
      <c r="AE1205" s="100">
        <f t="shared" si="1574"/>
        <v>1.0208610741233911E-2</v>
      </c>
      <c r="AF1205" s="90"/>
      <c r="AG1205" s="109">
        <f t="shared" si="1575"/>
        <v>0</v>
      </c>
      <c r="AH1205" s="100">
        <f t="shared" si="1576"/>
        <v>-1</v>
      </c>
      <c r="AI1205" s="100">
        <f t="shared" si="1577"/>
        <v>1.0208610741233911E-2</v>
      </c>
    </row>
    <row r="1206" spans="1:35" s="47" customFormat="1" ht="21" customHeight="1" x14ac:dyDescent="0.3">
      <c r="A1206" s="103"/>
      <c r="B1206" s="106" t="s">
        <v>53</v>
      </c>
      <c r="C1206" s="230" t="s">
        <v>461</v>
      </c>
      <c r="D1206" s="314"/>
      <c r="E1206" s="133" t="s">
        <v>127</v>
      </c>
      <c r="F1206" s="230">
        <v>2006</v>
      </c>
      <c r="G1206" s="92"/>
      <c r="H1206" s="66"/>
      <c r="I1206" s="66"/>
      <c r="J1206" s="66"/>
      <c r="K1206" s="78"/>
      <c r="L1206" s="66"/>
      <c r="M1206" s="66">
        <f>776+1164+100</f>
        <v>2040</v>
      </c>
      <c r="N1206" s="110">
        <f t="shared" si="1566"/>
        <v>34</v>
      </c>
      <c r="O1206" s="110"/>
      <c r="P1206" s="66"/>
      <c r="Q1206" s="66"/>
      <c r="R1206" s="66"/>
      <c r="S1206" s="66"/>
      <c r="T1206" s="110">
        <f t="shared" si="1567"/>
        <v>0</v>
      </c>
      <c r="U1206" s="59">
        <f t="shared" si="1568"/>
        <v>1</v>
      </c>
      <c r="V1206" s="66"/>
      <c r="W1206" s="66">
        <v>2039</v>
      </c>
      <c r="X1206" s="110">
        <f t="shared" si="1569"/>
        <v>-1</v>
      </c>
      <c r="Y1206" s="110"/>
      <c r="Z1206" s="110"/>
      <c r="AA1206" s="110"/>
      <c r="AB1206" s="46"/>
      <c r="AC1206" s="78"/>
      <c r="AD1206" s="78"/>
      <c r="AE1206" s="100">
        <f t="shared" si="1545"/>
        <v>1.6949152542372881E-2</v>
      </c>
      <c r="AF1206" s="90"/>
      <c r="AG1206" s="109">
        <f t="shared" si="1546"/>
        <v>0</v>
      </c>
      <c r="AH1206" s="100">
        <f t="shared" si="1547"/>
        <v>-1</v>
      </c>
      <c r="AI1206" s="100">
        <f t="shared" si="1548"/>
        <v>1.6450648055832504E-2</v>
      </c>
    </row>
    <row r="1207" spans="1:35" s="47" customFormat="1" ht="21" customHeight="1" x14ac:dyDescent="0.3">
      <c r="A1207" s="103"/>
      <c r="B1207" s="106" t="s">
        <v>53</v>
      </c>
      <c r="C1207" s="230" t="s">
        <v>461</v>
      </c>
      <c r="D1207" s="314"/>
      <c r="E1207" s="133" t="s">
        <v>130</v>
      </c>
      <c r="F1207" s="230">
        <v>4506</v>
      </c>
      <c r="G1207" s="92"/>
      <c r="H1207" s="66"/>
      <c r="I1207" s="66"/>
      <c r="J1207" s="66"/>
      <c r="K1207" s="78"/>
      <c r="L1207" s="66"/>
      <c r="M1207" s="66">
        <f>2295+800+516+808+162</f>
        <v>4581</v>
      </c>
      <c r="N1207" s="110">
        <f t="shared" ref="N1207" si="1586">M1207-F1207</f>
        <v>75</v>
      </c>
      <c r="O1207" s="110"/>
      <c r="P1207" s="66"/>
      <c r="Q1207" s="66"/>
      <c r="R1207" s="66"/>
      <c r="S1207" s="66"/>
      <c r="T1207" s="110">
        <f t="shared" ref="T1207" si="1587">S1207-Q1207</f>
        <v>0</v>
      </c>
      <c r="U1207" s="59">
        <f t="shared" ref="U1207" si="1588">IF(Q1207&gt;0,S1207-W1207,M1207-W1207)</f>
        <v>12</v>
      </c>
      <c r="V1207" s="66"/>
      <c r="W1207" s="66">
        <f>2286+2283</f>
        <v>4569</v>
      </c>
      <c r="X1207" s="110">
        <f t="shared" ref="X1207" si="1589">W1207-M1207</f>
        <v>-12</v>
      </c>
      <c r="Y1207" s="110"/>
      <c r="Z1207" s="110"/>
      <c r="AA1207" s="110"/>
      <c r="AB1207" s="46"/>
      <c r="AC1207" s="78"/>
      <c r="AD1207" s="78"/>
      <c r="AE1207" s="100">
        <f t="shared" ref="AE1207" si="1590">N1207/F1207</f>
        <v>1.6644474034620507E-2</v>
      </c>
      <c r="AF1207" s="90"/>
      <c r="AG1207" s="109">
        <f t="shared" ref="AG1207" si="1591">IF(N1207&lt;0,N1207,0)</f>
        <v>0</v>
      </c>
      <c r="AH1207" s="100">
        <f t="shared" ref="AH1207" si="1592">(S1207-F1207)/F1207</f>
        <v>-1</v>
      </c>
      <c r="AI1207" s="100">
        <f t="shared" ref="AI1207" si="1593">(W1207-F1207)/F1207</f>
        <v>1.3981358189081226E-2</v>
      </c>
    </row>
    <row r="1208" spans="1:35" s="47" customFormat="1" ht="21" customHeight="1" x14ac:dyDescent="0.3">
      <c r="A1208" s="103"/>
      <c r="B1208" s="106" t="s">
        <v>53</v>
      </c>
      <c r="C1208" s="230" t="s">
        <v>461</v>
      </c>
      <c r="D1208" s="314"/>
      <c r="E1208" s="133" t="s">
        <v>133</v>
      </c>
      <c r="F1208" s="230">
        <v>3006</v>
      </c>
      <c r="G1208" s="92"/>
      <c r="H1208" s="66"/>
      <c r="I1208" s="66"/>
      <c r="J1208" s="66"/>
      <c r="K1208" s="78"/>
      <c r="L1208" s="66"/>
      <c r="M1208" s="66">
        <f>774+747+400+818+156+206</f>
        <v>3101</v>
      </c>
      <c r="N1208" s="110">
        <f t="shared" ref="N1208" si="1594">M1208-F1208</f>
        <v>95</v>
      </c>
      <c r="O1208" s="110"/>
      <c r="P1208" s="66"/>
      <c r="Q1208" s="66"/>
      <c r="R1208" s="66"/>
      <c r="S1208" s="66"/>
      <c r="T1208" s="110">
        <f t="shared" ref="T1208" si="1595">S1208-Q1208</f>
        <v>0</v>
      </c>
      <c r="U1208" s="59">
        <f t="shared" ref="U1208" si="1596">IF(Q1208&gt;0,S1208-W1208,M1208-W1208)</f>
        <v>42</v>
      </c>
      <c r="V1208" s="66"/>
      <c r="W1208" s="66">
        <f>2853+206</f>
        <v>3059</v>
      </c>
      <c r="X1208" s="110">
        <f t="shared" ref="X1208" si="1597">W1208-M1208</f>
        <v>-42</v>
      </c>
      <c r="Y1208" s="110"/>
      <c r="Z1208" s="110"/>
      <c r="AA1208" s="110"/>
      <c r="AB1208" s="46"/>
      <c r="AC1208" s="78"/>
      <c r="AD1208" s="78"/>
      <c r="AE1208" s="100">
        <f t="shared" ref="AE1208" si="1598">N1208/F1208</f>
        <v>3.1603459747172324E-2</v>
      </c>
      <c r="AF1208" s="90"/>
      <c r="AG1208" s="109">
        <f t="shared" ref="AG1208" si="1599">IF(N1208&lt;0,N1208,0)</f>
        <v>0</v>
      </c>
      <c r="AH1208" s="100">
        <f t="shared" ref="AH1208" si="1600">(S1208-F1208)/F1208</f>
        <v>-1</v>
      </c>
      <c r="AI1208" s="100">
        <f t="shared" ref="AI1208" si="1601">(W1208-F1208)/F1208</f>
        <v>1.763140385894877E-2</v>
      </c>
    </row>
    <row r="1209" spans="1:35" s="47" customFormat="1" ht="21" customHeight="1" x14ac:dyDescent="0.3">
      <c r="A1209" s="103"/>
      <c r="B1209" s="106" t="s">
        <v>53</v>
      </c>
      <c r="C1209" s="230" t="s">
        <v>461</v>
      </c>
      <c r="D1209" s="314"/>
      <c r="E1209" s="133" t="s">
        <v>269</v>
      </c>
      <c r="F1209" s="230">
        <v>4506</v>
      </c>
      <c r="G1209" s="92"/>
      <c r="H1209" s="66"/>
      <c r="I1209" s="66"/>
      <c r="J1209" s="66"/>
      <c r="K1209" s="78"/>
      <c r="L1209" s="66"/>
      <c r="M1209" s="66">
        <f>920+1400+592+1518+150</f>
        <v>4580</v>
      </c>
      <c r="N1209" s="110">
        <f t="shared" si="1566"/>
        <v>74</v>
      </c>
      <c r="O1209" s="110"/>
      <c r="P1209" s="66"/>
      <c r="Q1209" s="66"/>
      <c r="R1209" s="66"/>
      <c r="S1209" s="66"/>
      <c r="T1209" s="110">
        <f t="shared" si="1567"/>
        <v>0</v>
      </c>
      <c r="U1209" s="59">
        <f t="shared" si="1568"/>
        <v>0</v>
      </c>
      <c r="V1209" s="66"/>
      <c r="W1209" s="66">
        <f>4430+150</f>
        <v>4580</v>
      </c>
      <c r="X1209" s="110">
        <f t="shared" si="1569"/>
        <v>0</v>
      </c>
      <c r="Y1209" s="110"/>
      <c r="Z1209" s="110"/>
      <c r="AA1209" s="110"/>
      <c r="AB1209" s="46"/>
      <c r="AC1209" s="78"/>
      <c r="AD1209" s="78"/>
      <c r="AE1209" s="100">
        <f t="shared" si="1545"/>
        <v>1.6422547714158898E-2</v>
      </c>
      <c r="AF1209" s="90"/>
      <c r="AG1209" s="109">
        <f t="shared" si="1546"/>
        <v>0</v>
      </c>
      <c r="AH1209" s="100">
        <f t="shared" si="1547"/>
        <v>-1</v>
      </c>
      <c r="AI1209" s="100">
        <f t="shared" si="1548"/>
        <v>1.6422547714158898E-2</v>
      </c>
    </row>
    <row r="1210" spans="1:35" s="79" customFormat="1" ht="15.75" customHeight="1" x14ac:dyDescent="0.3">
      <c r="A1210" s="90" t="s">
        <v>46</v>
      </c>
      <c r="B1210" s="136" t="s">
        <v>53</v>
      </c>
      <c r="C1210" s="137"/>
      <c r="D1210" s="136"/>
      <c r="E1210" s="138"/>
      <c r="F1210" s="91">
        <f>SUM(F1196:F1209)</f>
        <v>64084</v>
      </c>
      <c r="G1210" s="91"/>
      <c r="H1210" s="91"/>
      <c r="I1210" s="91"/>
      <c r="J1210" s="91" t="s">
        <v>60</v>
      </c>
      <c r="K1210" s="65" t="s">
        <v>210</v>
      </c>
      <c r="L1210" s="91">
        <f>SUM(L1196:L1209)</f>
        <v>0</v>
      </c>
      <c r="M1210" s="91">
        <f>SUM(M1196:M1209)</f>
        <v>65559</v>
      </c>
      <c r="N1210" s="90">
        <f>SUMIF(N1196:N1209,"&lt;0")</f>
        <v>0</v>
      </c>
      <c r="O1210" s="91"/>
      <c r="P1210" s="91">
        <f>SUM(P1196:P1209)</f>
        <v>0</v>
      </c>
      <c r="Q1210" s="91">
        <f>SUM(Q1196:Q1209)</f>
        <v>0</v>
      </c>
      <c r="R1210" s="91">
        <f>SUM(R1196:R1209)</f>
        <v>0</v>
      </c>
      <c r="S1210" s="91">
        <f>SUM(S1196:S1209)</f>
        <v>0</v>
      </c>
      <c r="T1210" s="91">
        <f>SUM(T1196:T1209)</f>
        <v>0</v>
      </c>
      <c r="U1210" s="59">
        <f t="shared" si="1568"/>
        <v>382</v>
      </c>
      <c r="V1210" s="91">
        <f>SUM(V1196:V1209)</f>
        <v>0</v>
      </c>
      <c r="W1210" s="91">
        <f>SUM(W1196:W1209)</f>
        <v>65177</v>
      </c>
      <c r="X1210" s="91">
        <f>SUM(X1196:X1209)</f>
        <v>-382</v>
      </c>
      <c r="Y1210" s="136" t="s">
        <v>47</v>
      </c>
      <c r="Z1210" s="136" t="s">
        <v>45</v>
      </c>
      <c r="AA1210" s="136"/>
      <c r="AB1210" s="84"/>
      <c r="AC1210" s="90"/>
      <c r="AD1210" s="90"/>
      <c r="AE1210" s="100">
        <f t="shared" si="1545"/>
        <v>0</v>
      </c>
      <c r="AF1210" s="90"/>
      <c r="AG1210" s="109">
        <f t="shared" si="1546"/>
        <v>0</v>
      </c>
      <c r="AH1210" s="100">
        <f t="shared" si="1547"/>
        <v>-1</v>
      </c>
      <c r="AI1210" s="100">
        <f t="shared" si="1548"/>
        <v>1.7055739342113477E-2</v>
      </c>
    </row>
    <row r="1211" spans="1:35" s="47" customFormat="1" ht="21" customHeight="1" x14ac:dyDescent="0.3">
      <c r="A1211" s="103"/>
      <c r="B1211" s="106" t="s">
        <v>53</v>
      </c>
      <c r="C1211" s="176" t="s">
        <v>667</v>
      </c>
      <c r="D1211" s="313">
        <v>22028147</v>
      </c>
      <c r="E1211" s="133" t="s">
        <v>279</v>
      </c>
      <c r="F1211" s="176">
        <v>1314</v>
      </c>
      <c r="G1211" s="92"/>
      <c r="H1211" s="66"/>
      <c r="I1211" s="66"/>
      <c r="J1211" s="66"/>
      <c r="K1211" s="78"/>
      <c r="L1211" s="66"/>
      <c r="M1211" s="66">
        <v>1339</v>
      </c>
      <c r="N1211" s="110">
        <f t="shared" ref="N1211:N1215" si="1602">M1211-F1211</f>
        <v>25</v>
      </c>
      <c r="O1211" s="110"/>
      <c r="P1211" s="66"/>
      <c r="Q1211" s="66"/>
      <c r="R1211" s="66"/>
      <c r="S1211" s="66"/>
      <c r="T1211" s="110">
        <f t="shared" ref="T1211:T1215" si="1603">S1211-Q1211</f>
        <v>0</v>
      </c>
      <c r="U1211" s="59">
        <f t="shared" si="1560"/>
        <v>1339</v>
      </c>
      <c r="V1211" s="66"/>
      <c r="W1211" s="66"/>
      <c r="X1211" s="110">
        <f t="shared" ref="X1211:X1215" si="1604">W1211-M1211</f>
        <v>-1339</v>
      </c>
      <c r="Y1211" s="110"/>
      <c r="Z1211" s="110"/>
      <c r="AA1211" s="110"/>
      <c r="AB1211" s="46"/>
      <c r="AC1211" s="78"/>
      <c r="AD1211" s="78"/>
      <c r="AE1211" s="100">
        <f t="shared" ref="AE1211:AE1218" si="1605">N1211/F1211</f>
        <v>1.9025875190258751E-2</v>
      </c>
      <c r="AF1211" s="90"/>
      <c r="AG1211" s="109">
        <f t="shared" ref="AG1211:AG1218" si="1606">IF(N1211&lt;0,N1211,0)</f>
        <v>0</v>
      </c>
      <c r="AH1211" s="100">
        <f t="shared" ref="AH1211:AH1218" si="1607">(S1211-F1211)/F1211</f>
        <v>-1</v>
      </c>
      <c r="AI1211" s="100">
        <f t="shared" ref="AI1211:AI1218" si="1608">(W1211-F1211)/F1211</f>
        <v>-1</v>
      </c>
    </row>
    <row r="1212" spans="1:35" s="47" customFormat="1" ht="21" customHeight="1" x14ac:dyDescent="0.3">
      <c r="A1212" s="103"/>
      <c r="B1212" s="106" t="s">
        <v>53</v>
      </c>
      <c r="C1212" s="242" t="s">
        <v>667</v>
      </c>
      <c r="D1212" s="314"/>
      <c r="E1212" s="133" t="s">
        <v>117</v>
      </c>
      <c r="F1212" s="242">
        <v>1314</v>
      </c>
      <c r="G1212" s="92"/>
      <c r="H1212" s="66"/>
      <c r="I1212" s="66"/>
      <c r="J1212" s="66"/>
      <c r="K1212" s="78"/>
      <c r="L1212" s="66"/>
      <c r="M1212" s="66">
        <f>1339</f>
        <v>1339</v>
      </c>
      <c r="N1212" s="110">
        <f t="shared" si="1602"/>
        <v>25</v>
      </c>
      <c r="O1212" s="110"/>
      <c r="P1212" s="66"/>
      <c r="Q1212" s="66"/>
      <c r="R1212" s="66"/>
      <c r="S1212" s="66"/>
      <c r="T1212" s="110">
        <f t="shared" si="1603"/>
        <v>0</v>
      </c>
      <c r="U1212" s="59">
        <f t="shared" si="1560"/>
        <v>1339</v>
      </c>
      <c r="V1212" s="66"/>
      <c r="W1212" s="66"/>
      <c r="X1212" s="110">
        <f t="shared" si="1604"/>
        <v>-1339</v>
      </c>
      <c r="Y1212" s="110"/>
      <c r="Z1212" s="110"/>
      <c r="AA1212" s="110"/>
      <c r="AB1212" s="46"/>
      <c r="AC1212" s="78"/>
      <c r="AD1212" s="78"/>
      <c r="AE1212" s="100">
        <f t="shared" si="1605"/>
        <v>1.9025875190258751E-2</v>
      </c>
      <c r="AF1212" s="90"/>
      <c r="AG1212" s="109">
        <f t="shared" si="1606"/>
        <v>0</v>
      </c>
      <c r="AH1212" s="100">
        <f t="shared" si="1607"/>
        <v>-1</v>
      </c>
      <c r="AI1212" s="100">
        <f t="shared" si="1608"/>
        <v>-1</v>
      </c>
    </row>
    <row r="1213" spans="1:35" s="47" customFormat="1" ht="21" customHeight="1" x14ac:dyDescent="0.3">
      <c r="A1213" s="103"/>
      <c r="B1213" s="106" t="s">
        <v>53</v>
      </c>
      <c r="C1213" s="242" t="s">
        <v>667</v>
      </c>
      <c r="D1213" s="314"/>
      <c r="E1213" s="133" t="s">
        <v>269</v>
      </c>
      <c r="F1213" s="242">
        <v>1314</v>
      </c>
      <c r="G1213" s="92"/>
      <c r="H1213" s="66"/>
      <c r="I1213" s="66"/>
      <c r="J1213" s="66"/>
      <c r="K1213" s="78"/>
      <c r="L1213" s="66"/>
      <c r="M1213" s="66"/>
      <c r="N1213" s="110">
        <f t="shared" ref="N1213" si="1609">M1213-F1213</f>
        <v>-1314</v>
      </c>
      <c r="O1213" s="110"/>
      <c r="P1213" s="66"/>
      <c r="Q1213" s="66"/>
      <c r="R1213" s="66"/>
      <c r="S1213" s="66"/>
      <c r="T1213" s="110">
        <f t="shared" ref="T1213" si="1610">S1213-Q1213</f>
        <v>0</v>
      </c>
      <c r="U1213" s="59">
        <f t="shared" ref="U1213" si="1611">IF(Q1213&gt;0,S1213-W1213,M1213-W1213)</f>
        <v>0</v>
      </c>
      <c r="V1213" s="66"/>
      <c r="W1213" s="66"/>
      <c r="X1213" s="110">
        <f t="shared" ref="X1213" si="1612">W1213-M1213</f>
        <v>0</v>
      </c>
      <c r="Y1213" s="110"/>
      <c r="Z1213" s="110"/>
      <c r="AA1213" s="110"/>
      <c r="AB1213" s="46"/>
      <c r="AC1213" s="78"/>
      <c r="AD1213" s="78"/>
      <c r="AE1213" s="100">
        <f t="shared" ref="AE1213" si="1613">N1213/F1213</f>
        <v>-1</v>
      </c>
      <c r="AF1213" s="90"/>
      <c r="AG1213" s="109">
        <f t="shared" ref="AG1213" si="1614">IF(N1213&lt;0,N1213,0)</f>
        <v>-1314</v>
      </c>
      <c r="AH1213" s="100">
        <f t="shared" ref="AH1213" si="1615">(S1213-F1213)/F1213</f>
        <v>-1</v>
      </c>
      <c r="AI1213" s="100">
        <f t="shared" ref="AI1213" si="1616">(W1213-F1213)/F1213</f>
        <v>-1</v>
      </c>
    </row>
    <row r="1214" spans="1:35" s="47" customFormat="1" ht="21" customHeight="1" x14ac:dyDescent="0.3">
      <c r="A1214" s="103"/>
      <c r="B1214" s="106" t="s">
        <v>53</v>
      </c>
      <c r="C1214" s="242" t="s">
        <v>667</v>
      </c>
      <c r="D1214" s="314"/>
      <c r="E1214" s="133" t="s">
        <v>0</v>
      </c>
      <c r="F1214" s="242">
        <v>1896</v>
      </c>
      <c r="G1214" s="92"/>
      <c r="H1214" s="66"/>
      <c r="I1214" s="66"/>
      <c r="J1214" s="66"/>
      <c r="K1214" s="78"/>
      <c r="L1214" s="66"/>
      <c r="M1214" s="66">
        <f>592+720</f>
        <v>1312</v>
      </c>
      <c r="N1214" s="110">
        <f t="shared" ref="N1214" si="1617">M1214-F1214</f>
        <v>-584</v>
      </c>
      <c r="O1214" s="110"/>
      <c r="P1214" s="66"/>
      <c r="Q1214" s="66"/>
      <c r="R1214" s="66"/>
      <c r="S1214" s="66"/>
      <c r="T1214" s="110">
        <f t="shared" ref="T1214" si="1618">S1214-Q1214</f>
        <v>0</v>
      </c>
      <c r="U1214" s="59">
        <f t="shared" ref="U1214" si="1619">IF(Q1214&gt;0,S1214-W1214,M1214-W1214)</f>
        <v>1312</v>
      </c>
      <c r="V1214" s="66"/>
      <c r="W1214" s="66"/>
      <c r="X1214" s="110">
        <f t="shared" ref="X1214" si="1620">W1214-M1214</f>
        <v>-1312</v>
      </c>
      <c r="Y1214" s="110"/>
      <c r="Z1214" s="110"/>
      <c r="AA1214" s="110"/>
      <c r="AB1214" s="46"/>
      <c r="AC1214" s="78"/>
      <c r="AD1214" s="78"/>
      <c r="AE1214" s="100">
        <f t="shared" ref="AE1214" si="1621">N1214/F1214</f>
        <v>-0.30801687763713081</v>
      </c>
      <c r="AF1214" s="90"/>
      <c r="AG1214" s="109">
        <f t="shared" ref="AG1214" si="1622">IF(N1214&lt;0,N1214,0)</f>
        <v>-584</v>
      </c>
      <c r="AH1214" s="100">
        <f t="shared" ref="AH1214" si="1623">(S1214-F1214)/F1214</f>
        <v>-1</v>
      </c>
      <c r="AI1214" s="100">
        <f t="shared" ref="AI1214" si="1624">(W1214-F1214)/F1214</f>
        <v>-1</v>
      </c>
    </row>
    <row r="1215" spans="1:35" s="47" customFormat="1" ht="21" customHeight="1" x14ac:dyDescent="0.3">
      <c r="A1215" s="103"/>
      <c r="B1215" s="106" t="s">
        <v>53</v>
      </c>
      <c r="C1215" s="242" t="s">
        <v>667</v>
      </c>
      <c r="D1215" s="314"/>
      <c r="E1215" s="133" t="s">
        <v>39</v>
      </c>
      <c r="F1215" s="176">
        <v>1896</v>
      </c>
      <c r="G1215" s="92"/>
      <c r="H1215" s="66"/>
      <c r="I1215" s="66"/>
      <c r="J1215" s="66"/>
      <c r="K1215" s="78"/>
      <c r="L1215" s="66"/>
      <c r="M1215" s="66">
        <f>1827</f>
        <v>1827</v>
      </c>
      <c r="N1215" s="110">
        <f t="shared" si="1602"/>
        <v>-69</v>
      </c>
      <c r="O1215" s="110"/>
      <c r="P1215" s="66"/>
      <c r="Q1215" s="66"/>
      <c r="R1215" s="66"/>
      <c r="S1215" s="66"/>
      <c r="T1215" s="110">
        <f t="shared" si="1603"/>
        <v>0</v>
      </c>
      <c r="U1215" s="59">
        <f t="shared" si="1560"/>
        <v>1827</v>
      </c>
      <c r="V1215" s="66"/>
      <c r="W1215" s="66"/>
      <c r="X1215" s="110">
        <f t="shared" si="1604"/>
        <v>-1827</v>
      </c>
      <c r="Y1215" s="110"/>
      <c r="Z1215" s="110"/>
      <c r="AA1215" s="110"/>
      <c r="AB1215" s="46"/>
      <c r="AC1215" s="78"/>
      <c r="AD1215" s="78"/>
      <c r="AE1215" s="100">
        <f t="shared" si="1605"/>
        <v>-3.6392405063291139E-2</v>
      </c>
      <c r="AF1215" s="90"/>
      <c r="AG1215" s="109">
        <f t="shared" si="1606"/>
        <v>-69</v>
      </c>
      <c r="AH1215" s="100">
        <f t="shared" si="1607"/>
        <v>-1</v>
      </c>
      <c r="AI1215" s="100">
        <f t="shared" si="1608"/>
        <v>-1</v>
      </c>
    </row>
    <row r="1216" spans="1:35" s="79" customFormat="1" ht="15.75" customHeight="1" x14ac:dyDescent="0.3">
      <c r="A1216" s="90" t="s">
        <v>46</v>
      </c>
      <c r="B1216" s="136" t="s">
        <v>53</v>
      </c>
      <c r="C1216" s="137"/>
      <c r="D1216" s="136"/>
      <c r="E1216" s="138"/>
      <c r="F1216" s="91">
        <f>SUM(F1211:F1215)</f>
        <v>7734</v>
      </c>
      <c r="G1216" s="91"/>
      <c r="H1216" s="91"/>
      <c r="I1216" s="91"/>
      <c r="J1216" s="91" t="s">
        <v>58</v>
      </c>
      <c r="K1216" s="65" t="s">
        <v>410</v>
      </c>
      <c r="L1216" s="91">
        <f>SUM(L1211:L1215)</f>
        <v>0</v>
      </c>
      <c r="M1216" s="91">
        <f>SUM(M1211:M1215)</f>
        <v>5817</v>
      </c>
      <c r="N1216" s="90">
        <f>SUMIF(N1211:N1215,"&lt;0")</f>
        <v>-1967</v>
      </c>
      <c r="O1216" s="91"/>
      <c r="P1216" s="91">
        <f>SUM(P1211:P1215)</f>
        <v>0</v>
      </c>
      <c r="Q1216" s="91">
        <f>SUM(Q1211:Q1215)</f>
        <v>0</v>
      </c>
      <c r="R1216" s="91">
        <f>SUM(R1211:R1215)</f>
        <v>0</v>
      </c>
      <c r="S1216" s="91">
        <f>SUM(S1211:S1215)</f>
        <v>0</v>
      </c>
      <c r="T1216" s="91">
        <f>SUM(T1211:T1215)</f>
        <v>0</v>
      </c>
      <c r="U1216" s="59">
        <f t="shared" si="1560"/>
        <v>5817</v>
      </c>
      <c r="V1216" s="91">
        <f>SUM(V1211:V1215)</f>
        <v>0</v>
      </c>
      <c r="W1216" s="91">
        <f>SUM(W1211:W1215)</f>
        <v>0</v>
      </c>
      <c r="X1216" s="91">
        <f>SUM(X1211:X1215)</f>
        <v>-5817</v>
      </c>
      <c r="Y1216" s="136" t="s">
        <v>47</v>
      </c>
      <c r="Z1216" s="136" t="s">
        <v>45</v>
      </c>
      <c r="AA1216" s="136"/>
      <c r="AB1216" s="84"/>
      <c r="AC1216" s="90"/>
      <c r="AD1216" s="90"/>
      <c r="AE1216" s="100">
        <f t="shared" si="1605"/>
        <v>-0.25433152314455648</v>
      </c>
      <c r="AF1216" s="90"/>
      <c r="AG1216" s="109">
        <f t="shared" si="1606"/>
        <v>-1967</v>
      </c>
      <c r="AH1216" s="100">
        <f t="shared" si="1607"/>
        <v>-1</v>
      </c>
      <c r="AI1216" s="100">
        <f t="shared" si="1608"/>
        <v>-1</v>
      </c>
    </row>
    <row r="1217" spans="1:35" s="47" customFormat="1" ht="21" customHeight="1" x14ac:dyDescent="0.3">
      <c r="A1217" s="103"/>
      <c r="B1217" s="106" t="s">
        <v>53</v>
      </c>
      <c r="C1217" s="272">
        <v>48149</v>
      </c>
      <c r="D1217" s="301">
        <v>22040756</v>
      </c>
      <c r="E1217" s="133" t="s">
        <v>0</v>
      </c>
      <c r="F1217" s="272">
        <v>740</v>
      </c>
      <c r="G1217" s="92"/>
      <c r="H1217" s="66"/>
      <c r="I1217" s="66"/>
      <c r="J1217" s="66"/>
      <c r="K1217" s="78"/>
      <c r="L1217" s="66"/>
      <c r="M1217" s="66"/>
      <c r="N1217" s="110">
        <f t="shared" ref="N1217:N1218" si="1625">M1217-F1217</f>
        <v>-740</v>
      </c>
      <c r="O1217" s="110"/>
      <c r="P1217" s="66"/>
      <c r="Q1217" s="66"/>
      <c r="R1217" s="66"/>
      <c r="S1217" s="66"/>
      <c r="T1217" s="110">
        <f t="shared" ref="T1217:T1218" si="1626">S1217-Q1217</f>
        <v>0</v>
      </c>
      <c r="U1217" s="59">
        <f t="shared" ref="U1217:U1218" si="1627">IF(Q1217&gt;0,S1217-W1217,M1217-W1217)</f>
        <v>0</v>
      </c>
      <c r="V1217" s="66"/>
      <c r="W1217" s="66"/>
      <c r="X1217" s="110">
        <f t="shared" ref="X1217:X1218" si="1628">W1217-M1217</f>
        <v>0</v>
      </c>
      <c r="Y1217" s="110"/>
      <c r="Z1217" s="110"/>
      <c r="AA1217" s="110"/>
      <c r="AB1217" s="46"/>
      <c r="AC1217" s="78"/>
      <c r="AD1217" s="78"/>
      <c r="AE1217" s="100">
        <f t="shared" si="1605"/>
        <v>-1</v>
      </c>
      <c r="AF1217" s="90"/>
      <c r="AG1217" s="109">
        <f t="shared" si="1606"/>
        <v>-740</v>
      </c>
      <c r="AH1217" s="100">
        <f t="shared" si="1607"/>
        <v>-1</v>
      </c>
      <c r="AI1217" s="100">
        <f t="shared" si="1608"/>
        <v>-1</v>
      </c>
    </row>
    <row r="1218" spans="1:35" s="47" customFormat="1" ht="21" customHeight="1" x14ac:dyDescent="0.3">
      <c r="A1218" s="103"/>
      <c r="B1218" s="106" t="s">
        <v>53</v>
      </c>
      <c r="C1218" s="272">
        <v>48149</v>
      </c>
      <c r="D1218" s="302"/>
      <c r="E1218" s="133" t="s">
        <v>97</v>
      </c>
      <c r="F1218" s="272">
        <v>690</v>
      </c>
      <c r="G1218" s="92"/>
      <c r="H1218" s="66"/>
      <c r="I1218" s="66"/>
      <c r="J1218" s="66"/>
      <c r="K1218" s="78"/>
      <c r="L1218" s="66"/>
      <c r="M1218" s="66"/>
      <c r="N1218" s="110">
        <f t="shared" si="1625"/>
        <v>-690</v>
      </c>
      <c r="O1218" s="110"/>
      <c r="P1218" s="66"/>
      <c r="Q1218" s="66"/>
      <c r="R1218" s="66"/>
      <c r="S1218" s="66"/>
      <c r="T1218" s="110">
        <f t="shared" si="1626"/>
        <v>0</v>
      </c>
      <c r="U1218" s="59">
        <f t="shared" si="1627"/>
        <v>0</v>
      </c>
      <c r="V1218" s="66"/>
      <c r="W1218" s="66"/>
      <c r="X1218" s="110">
        <f t="shared" si="1628"/>
        <v>0</v>
      </c>
      <c r="Y1218" s="110"/>
      <c r="Z1218" s="110"/>
      <c r="AA1218" s="110"/>
      <c r="AB1218" s="46"/>
      <c r="AC1218" s="78"/>
      <c r="AD1218" s="78"/>
      <c r="AE1218" s="100">
        <f t="shared" si="1605"/>
        <v>-1</v>
      </c>
      <c r="AF1218" s="90"/>
      <c r="AG1218" s="109">
        <f t="shared" si="1606"/>
        <v>-690</v>
      </c>
      <c r="AH1218" s="100">
        <f t="shared" si="1607"/>
        <v>-1</v>
      </c>
      <c r="AI1218" s="100">
        <f t="shared" si="1608"/>
        <v>-1</v>
      </c>
    </row>
    <row r="1219" spans="1:35" s="47" customFormat="1" ht="21" customHeight="1" x14ac:dyDescent="0.3">
      <c r="A1219" s="103"/>
      <c r="B1219" s="106" t="s">
        <v>53</v>
      </c>
      <c r="C1219" s="272">
        <v>48149</v>
      </c>
      <c r="D1219" s="303"/>
      <c r="E1219" s="133" t="s">
        <v>39</v>
      </c>
      <c r="F1219" s="169">
        <v>740</v>
      </c>
      <c r="G1219" s="92"/>
      <c r="H1219" s="66"/>
      <c r="I1219" s="66"/>
      <c r="J1219" s="66"/>
      <c r="K1219" s="78"/>
      <c r="L1219" s="66"/>
      <c r="M1219" s="66"/>
      <c r="N1219" s="110">
        <f t="shared" ref="N1219" si="1629">M1219-F1219</f>
        <v>-740</v>
      </c>
      <c r="O1219" s="110"/>
      <c r="P1219" s="66"/>
      <c r="Q1219" s="66"/>
      <c r="R1219" s="66"/>
      <c r="S1219" s="66"/>
      <c r="T1219" s="110">
        <f t="shared" ref="T1219" si="1630">S1219-Q1219</f>
        <v>0</v>
      </c>
      <c r="U1219" s="59">
        <f t="shared" si="1560"/>
        <v>0</v>
      </c>
      <c r="V1219" s="66"/>
      <c r="W1219" s="66"/>
      <c r="X1219" s="110">
        <f t="shared" ref="X1219" si="1631">W1219-M1219</f>
        <v>0</v>
      </c>
      <c r="Y1219" s="110"/>
      <c r="Z1219" s="110"/>
      <c r="AA1219" s="110"/>
      <c r="AB1219" s="46"/>
      <c r="AC1219" s="78"/>
      <c r="AD1219" s="78"/>
      <c r="AE1219" s="100">
        <f t="shared" si="1490"/>
        <v>-1</v>
      </c>
      <c r="AF1219" s="90"/>
      <c r="AG1219" s="109">
        <f t="shared" si="1491"/>
        <v>-740</v>
      </c>
      <c r="AH1219" s="100">
        <f t="shared" si="1492"/>
        <v>-1</v>
      </c>
      <c r="AI1219" s="100">
        <f t="shared" si="1493"/>
        <v>-1</v>
      </c>
    </row>
    <row r="1220" spans="1:35" s="79" customFormat="1" ht="15.75" customHeight="1" x14ac:dyDescent="0.3">
      <c r="A1220" s="90" t="s">
        <v>46</v>
      </c>
      <c r="B1220" s="136" t="s">
        <v>53</v>
      </c>
      <c r="C1220" s="137"/>
      <c r="D1220" s="136"/>
      <c r="E1220" s="138"/>
      <c r="F1220" s="91">
        <f>SUM(F1217:F1219)</f>
        <v>2170</v>
      </c>
      <c r="G1220" s="91"/>
      <c r="H1220" s="91"/>
      <c r="I1220" s="91"/>
      <c r="J1220" s="91" t="s">
        <v>58</v>
      </c>
      <c r="K1220" s="65" t="s">
        <v>410</v>
      </c>
      <c r="L1220" s="91">
        <f>SUM(L1217:L1219)</f>
        <v>0</v>
      </c>
      <c r="M1220" s="91">
        <f>SUM(M1217:M1219)</f>
        <v>0</v>
      </c>
      <c r="N1220" s="91">
        <f>SUM(N1217:N1219)</f>
        <v>-2170</v>
      </c>
      <c r="O1220" s="91"/>
      <c r="P1220" s="91">
        <f t="shared" ref="P1220" si="1632">SUM(P1217:P1219)</f>
        <v>0</v>
      </c>
      <c r="Q1220" s="91">
        <f t="shared" ref="Q1220:R1220" si="1633">SUM(Q1217:Q1219)</f>
        <v>0</v>
      </c>
      <c r="R1220" s="91">
        <f t="shared" si="1633"/>
        <v>0</v>
      </c>
      <c r="S1220" s="91">
        <f t="shared" ref="S1220" si="1634">SUM(S1217:S1219)</f>
        <v>0</v>
      </c>
      <c r="T1220" s="91">
        <f t="shared" ref="T1220:U1220" si="1635">SUM(T1217:T1219)</f>
        <v>0</v>
      </c>
      <c r="U1220" s="91">
        <f t="shared" si="1635"/>
        <v>0</v>
      </c>
      <c r="V1220" s="91">
        <f t="shared" ref="V1220" si="1636">SUM(V1217:V1219)</f>
        <v>0</v>
      </c>
      <c r="W1220" s="91">
        <f t="shared" ref="W1220:X1220" si="1637">SUM(W1217:W1219)</f>
        <v>0</v>
      </c>
      <c r="X1220" s="91">
        <f t="shared" si="1637"/>
        <v>0</v>
      </c>
      <c r="Y1220" s="136" t="s">
        <v>47</v>
      </c>
      <c r="Z1220" s="136" t="s">
        <v>45</v>
      </c>
      <c r="AA1220" s="136"/>
      <c r="AB1220" s="84"/>
      <c r="AC1220" s="90"/>
      <c r="AD1220" s="90"/>
      <c r="AE1220" s="100">
        <f t="shared" si="1490"/>
        <v>-1</v>
      </c>
      <c r="AF1220" s="90"/>
      <c r="AG1220" s="109">
        <f t="shared" si="1491"/>
        <v>-2170</v>
      </c>
      <c r="AH1220" s="100">
        <f t="shared" si="1492"/>
        <v>-1</v>
      </c>
      <c r="AI1220" s="100">
        <f t="shared" si="1493"/>
        <v>-1</v>
      </c>
    </row>
    <row r="1221" spans="1:35" s="47" customFormat="1" ht="21" customHeight="1" x14ac:dyDescent="0.3">
      <c r="A1221" s="103"/>
      <c r="B1221" s="106" t="s">
        <v>53</v>
      </c>
      <c r="C1221" s="183" t="s">
        <v>710</v>
      </c>
      <c r="D1221" s="312">
        <v>22013782</v>
      </c>
      <c r="E1221" s="133" t="s">
        <v>711</v>
      </c>
      <c r="F1221" s="183">
        <f>858</f>
        <v>858</v>
      </c>
      <c r="G1221" s="92"/>
      <c r="H1221" s="66"/>
      <c r="I1221" s="66"/>
      <c r="J1221" s="66"/>
      <c r="K1221" s="78"/>
      <c r="L1221" s="66"/>
      <c r="M1221" s="66">
        <f>45+828</f>
        <v>873</v>
      </c>
      <c r="N1221" s="110">
        <f t="shared" ref="N1221:N1236" si="1638">M1221-F1221</f>
        <v>15</v>
      </c>
      <c r="O1221" s="110"/>
      <c r="P1221" s="66"/>
      <c r="Q1221" s="66"/>
      <c r="R1221" s="66"/>
      <c r="S1221" s="66"/>
      <c r="T1221" s="110">
        <f t="shared" ref="T1221:T1236" si="1639">S1221-Q1221</f>
        <v>0</v>
      </c>
      <c r="U1221" s="59">
        <f t="shared" si="1560"/>
        <v>0</v>
      </c>
      <c r="V1221" s="66"/>
      <c r="W1221" s="66">
        <v>873</v>
      </c>
      <c r="X1221" s="110">
        <f t="shared" ref="X1221:X1236" si="1640">W1221-M1221</f>
        <v>0</v>
      </c>
      <c r="Y1221" s="110"/>
      <c r="Z1221" s="110"/>
      <c r="AA1221" s="110"/>
      <c r="AB1221" s="46"/>
      <c r="AC1221" s="78"/>
      <c r="AD1221" s="78"/>
      <c r="AE1221" s="100">
        <f t="shared" ref="AE1221:AE1257" si="1641">N1221/F1221</f>
        <v>1.7482517482517484E-2</v>
      </c>
      <c r="AF1221" s="90"/>
      <c r="AG1221" s="109">
        <f t="shared" ref="AG1221:AG1257" si="1642">IF(N1221&lt;0,N1221,0)</f>
        <v>0</v>
      </c>
      <c r="AH1221" s="100">
        <f t="shared" ref="AH1221:AH1257" si="1643">(S1221-F1221)/F1221</f>
        <v>-1</v>
      </c>
      <c r="AI1221" s="100">
        <f t="shared" ref="AI1221:AI1257" si="1644">(W1221-F1221)/F1221</f>
        <v>1.7482517482517484E-2</v>
      </c>
    </row>
    <row r="1222" spans="1:35" s="47" customFormat="1" ht="21" customHeight="1" x14ac:dyDescent="0.3">
      <c r="A1222" s="103"/>
      <c r="B1222" s="106" t="s">
        <v>53</v>
      </c>
      <c r="C1222" s="246" t="s">
        <v>710</v>
      </c>
      <c r="D1222" s="312"/>
      <c r="E1222" s="133" t="s">
        <v>39</v>
      </c>
      <c r="F1222" s="246">
        <f>858+923+608</f>
        <v>2389</v>
      </c>
      <c r="G1222" s="92"/>
      <c r="H1222" s="66"/>
      <c r="I1222" s="66"/>
      <c r="J1222" s="66"/>
      <c r="K1222" s="78"/>
      <c r="L1222" s="66">
        <v>43</v>
      </c>
      <c r="M1222" s="66">
        <f>1443+126+617+186+57+43</f>
        <v>2472</v>
      </c>
      <c r="N1222" s="110">
        <f t="shared" si="1638"/>
        <v>83</v>
      </c>
      <c r="O1222" s="110"/>
      <c r="P1222" s="66"/>
      <c r="Q1222" s="66"/>
      <c r="R1222" s="66"/>
      <c r="S1222" s="66"/>
      <c r="T1222" s="110">
        <f t="shared" si="1639"/>
        <v>0</v>
      </c>
      <c r="U1222" s="59">
        <f t="shared" ref="U1222:U1223" si="1645">IF(Q1222&gt;0,S1222-W1222,M1222-W1222)</f>
        <v>43</v>
      </c>
      <c r="V1222" s="66"/>
      <c r="W1222" s="66">
        <f>873+939+617</f>
        <v>2429</v>
      </c>
      <c r="X1222" s="110">
        <f t="shared" si="1640"/>
        <v>-43</v>
      </c>
      <c r="Y1222" s="110"/>
      <c r="Z1222" s="110"/>
      <c r="AA1222" s="110"/>
      <c r="AB1222" s="46"/>
      <c r="AC1222" s="78"/>
      <c r="AD1222" s="78"/>
      <c r="AE1222" s="100">
        <f t="shared" si="1641"/>
        <v>3.4742570113017998E-2</v>
      </c>
      <c r="AF1222" s="90"/>
      <c r="AG1222" s="109">
        <f t="shared" si="1642"/>
        <v>0</v>
      </c>
      <c r="AH1222" s="100">
        <f t="shared" si="1643"/>
        <v>-1</v>
      </c>
      <c r="AI1222" s="100">
        <f t="shared" si="1644"/>
        <v>1.6743407283382167E-2</v>
      </c>
    </row>
    <row r="1223" spans="1:35" s="47" customFormat="1" ht="21" customHeight="1" x14ac:dyDescent="0.3">
      <c r="A1223" s="103"/>
      <c r="B1223" s="106" t="s">
        <v>53</v>
      </c>
      <c r="C1223" s="246" t="s">
        <v>710</v>
      </c>
      <c r="D1223" s="312"/>
      <c r="E1223" s="133" t="s">
        <v>153</v>
      </c>
      <c r="F1223" s="246">
        <f>858</f>
        <v>858</v>
      </c>
      <c r="G1223" s="92"/>
      <c r="H1223" s="66"/>
      <c r="I1223" s="66"/>
      <c r="J1223" s="66"/>
      <c r="K1223" s="78"/>
      <c r="L1223" s="66"/>
      <c r="M1223" s="66">
        <f>45+798+30</f>
        <v>873</v>
      </c>
      <c r="N1223" s="110">
        <f t="shared" ref="N1223" si="1646">M1223-F1223</f>
        <v>15</v>
      </c>
      <c r="O1223" s="110"/>
      <c r="P1223" s="66"/>
      <c r="Q1223" s="66"/>
      <c r="R1223" s="66"/>
      <c r="S1223" s="66"/>
      <c r="T1223" s="110">
        <f t="shared" ref="T1223" si="1647">S1223-Q1223</f>
        <v>0</v>
      </c>
      <c r="U1223" s="59">
        <f t="shared" si="1645"/>
        <v>0</v>
      </c>
      <c r="V1223" s="66"/>
      <c r="W1223" s="66">
        <v>873</v>
      </c>
      <c r="X1223" s="110">
        <f t="shared" ref="X1223" si="1648">W1223-M1223</f>
        <v>0</v>
      </c>
      <c r="Y1223" s="110"/>
      <c r="Z1223" s="110"/>
      <c r="AA1223" s="110"/>
      <c r="AB1223" s="46"/>
      <c r="AC1223" s="78"/>
      <c r="AD1223" s="78"/>
      <c r="AE1223" s="100">
        <f t="shared" ref="AE1223" si="1649">N1223/F1223</f>
        <v>1.7482517482517484E-2</v>
      </c>
      <c r="AF1223" s="90"/>
      <c r="AG1223" s="109">
        <f t="shared" ref="AG1223" si="1650">IF(N1223&lt;0,N1223,0)</f>
        <v>0</v>
      </c>
      <c r="AH1223" s="100">
        <f t="shared" ref="AH1223" si="1651">(S1223-F1223)/F1223</f>
        <v>-1</v>
      </c>
      <c r="AI1223" s="100">
        <f t="shared" ref="AI1223" si="1652">(W1223-F1223)/F1223</f>
        <v>1.7482517482517484E-2</v>
      </c>
    </row>
    <row r="1224" spans="1:35" s="47" customFormat="1" ht="21" customHeight="1" x14ac:dyDescent="0.3">
      <c r="A1224" s="103"/>
      <c r="B1224" s="106" t="s">
        <v>53</v>
      </c>
      <c r="C1224" s="246" t="s">
        <v>710</v>
      </c>
      <c r="D1224" s="312"/>
      <c r="E1224" s="133" t="s">
        <v>0</v>
      </c>
      <c r="F1224" s="183">
        <f>923+308+728</f>
        <v>1959</v>
      </c>
      <c r="G1224" s="92"/>
      <c r="H1224" s="66"/>
      <c r="I1224" s="66"/>
      <c r="J1224" s="66"/>
      <c r="K1224" s="78"/>
      <c r="L1224" s="66">
        <v>6</v>
      </c>
      <c r="M1224" s="66">
        <f>560+180+731+527+6</f>
        <v>2004</v>
      </c>
      <c r="N1224" s="110">
        <f t="shared" ref="N1224:N1235" si="1653">M1224-F1224</f>
        <v>45</v>
      </c>
      <c r="O1224" s="110"/>
      <c r="P1224" s="66"/>
      <c r="Q1224" s="66"/>
      <c r="R1224" s="66"/>
      <c r="S1224" s="66"/>
      <c r="T1224" s="110">
        <f t="shared" ref="T1224:T1235" si="1654">S1224-Q1224</f>
        <v>0</v>
      </c>
      <c r="U1224" s="59">
        <f t="shared" si="1560"/>
        <v>207</v>
      </c>
      <c r="V1224" s="66">
        <f>319+208+6</f>
        <v>533</v>
      </c>
      <c r="W1224" s="66">
        <f>739+319+739</f>
        <v>1797</v>
      </c>
      <c r="X1224" s="110">
        <f t="shared" ref="X1224:X1235" si="1655">W1224-M1224</f>
        <v>-207</v>
      </c>
      <c r="Y1224" s="110"/>
      <c r="Z1224" s="110"/>
      <c r="AA1224" s="110"/>
      <c r="AB1224" s="46"/>
      <c r="AC1224" s="78"/>
      <c r="AD1224" s="78"/>
      <c r="AE1224" s="100">
        <f t="shared" ref="AE1224:AE1235" si="1656">N1224/F1224</f>
        <v>2.2970903522205207E-2</v>
      </c>
      <c r="AF1224" s="90"/>
      <c r="AG1224" s="109">
        <f t="shared" ref="AG1224:AG1235" si="1657">IF(N1224&lt;0,N1224,0)</f>
        <v>0</v>
      </c>
      <c r="AH1224" s="100">
        <f t="shared" ref="AH1224:AH1235" si="1658">(S1224-F1224)/F1224</f>
        <v>-1</v>
      </c>
      <c r="AI1224" s="100">
        <f t="shared" ref="AI1224:AI1235" si="1659">(W1224-F1224)/F1224</f>
        <v>-8.2695252679938741E-2</v>
      </c>
    </row>
    <row r="1225" spans="1:35" s="47" customFormat="1" ht="21" customHeight="1" x14ac:dyDescent="0.3">
      <c r="A1225" s="103"/>
      <c r="B1225" s="106" t="s">
        <v>53</v>
      </c>
      <c r="C1225" s="246" t="s">
        <v>710</v>
      </c>
      <c r="D1225" s="312"/>
      <c r="E1225" s="133" t="s">
        <v>41</v>
      </c>
      <c r="F1225" s="246">
        <f>923+308</f>
        <v>1231</v>
      </c>
      <c r="G1225" s="92"/>
      <c r="H1225" s="66"/>
      <c r="I1225" s="66"/>
      <c r="J1225" s="66"/>
      <c r="K1225" s="78"/>
      <c r="L1225" s="66"/>
      <c r="M1225" s="66">
        <f>243+696+319</f>
        <v>1258</v>
      </c>
      <c r="N1225" s="110">
        <f t="shared" si="1653"/>
        <v>27</v>
      </c>
      <c r="O1225" s="110"/>
      <c r="P1225" s="66"/>
      <c r="Q1225" s="66"/>
      <c r="R1225" s="66"/>
      <c r="S1225" s="66"/>
      <c r="T1225" s="110">
        <f t="shared" si="1654"/>
        <v>0</v>
      </c>
      <c r="U1225" s="59">
        <f t="shared" ref="U1225:U1235" si="1660">IF(Q1225&gt;0,S1225-W1225,M1225-W1225)</f>
        <v>0</v>
      </c>
      <c r="V1225" s="66"/>
      <c r="W1225" s="66">
        <f>939+319</f>
        <v>1258</v>
      </c>
      <c r="X1225" s="110">
        <f t="shared" si="1655"/>
        <v>0</v>
      </c>
      <c r="Y1225" s="110"/>
      <c r="Z1225" s="110"/>
      <c r="AA1225" s="110"/>
      <c r="AB1225" s="46"/>
      <c r="AC1225" s="78"/>
      <c r="AD1225" s="78"/>
      <c r="AE1225" s="100">
        <f t="shared" si="1656"/>
        <v>2.1933387489845652E-2</v>
      </c>
      <c r="AF1225" s="90"/>
      <c r="AG1225" s="109">
        <f t="shared" si="1657"/>
        <v>0</v>
      </c>
      <c r="AH1225" s="100">
        <f t="shared" si="1658"/>
        <v>-1</v>
      </c>
      <c r="AI1225" s="100">
        <f t="shared" si="1659"/>
        <v>2.1933387489845652E-2</v>
      </c>
    </row>
    <row r="1226" spans="1:35" s="47" customFormat="1" ht="21" customHeight="1" x14ac:dyDescent="0.3">
      <c r="A1226" s="103"/>
      <c r="B1226" s="106" t="s">
        <v>53</v>
      </c>
      <c r="C1226" s="246" t="s">
        <v>710</v>
      </c>
      <c r="D1226" s="312"/>
      <c r="E1226" s="133" t="s">
        <v>488</v>
      </c>
      <c r="F1226" s="246">
        <f>608</f>
        <v>608</v>
      </c>
      <c r="G1226" s="92"/>
      <c r="H1226" s="66"/>
      <c r="I1226" s="66"/>
      <c r="J1226" s="66"/>
      <c r="K1226" s="78"/>
      <c r="L1226" s="66"/>
      <c r="M1226" s="66">
        <f>40+585</f>
        <v>625</v>
      </c>
      <c r="N1226" s="110">
        <f t="shared" ref="N1226:N1227" si="1661">M1226-F1226</f>
        <v>17</v>
      </c>
      <c r="O1226" s="110"/>
      <c r="P1226" s="66"/>
      <c r="Q1226" s="66"/>
      <c r="R1226" s="66"/>
      <c r="S1226" s="66"/>
      <c r="T1226" s="110">
        <f t="shared" ref="T1226:T1227" si="1662">S1226-Q1226</f>
        <v>0</v>
      </c>
      <c r="U1226" s="59">
        <f t="shared" ref="U1226:U1227" si="1663">IF(Q1226&gt;0,S1226-W1226,M1226-W1226)</f>
        <v>0</v>
      </c>
      <c r="V1226" s="66"/>
      <c r="W1226" s="66">
        <v>625</v>
      </c>
      <c r="X1226" s="110">
        <f t="shared" ref="X1226:X1227" si="1664">W1226-M1226</f>
        <v>0</v>
      </c>
      <c r="Y1226" s="110"/>
      <c r="Z1226" s="110"/>
      <c r="AA1226" s="110"/>
      <c r="AB1226" s="46"/>
      <c r="AC1226" s="78"/>
      <c r="AD1226" s="78"/>
      <c r="AE1226" s="100">
        <f t="shared" ref="AE1226:AE1227" si="1665">N1226/F1226</f>
        <v>2.7960526315789474E-2</v>
      </c>
      <c r="AF1226" s="90"/>
      <c r="AG1226" s="109">
        <f t="shared" ref="AG1226:AG1227" si="1666">IF(N1226&lt;0,N1226,0)</f>
        <v>0</v>
      </c>
      <c r="AH1226" s="100">
        <f t="shared" ref="AH1226:AH1227" si="1667">(S1226-F1226)/F1226</f>
        <v>-1</v>
      </c>
      <c r="AI1226" s="100">
        <f t="shared" ref="AI1226:AI1227" si="1668">(W1226-F1226)/F1226</f>
        <v>2.7960526315789474E-2</v>
      </c>
    </row>
    <row r="1227" spans="1:35" s="47" customFormat="1" ht="21" customHeight="1" x14ac:dyDescent="0.3">
      <c r="A1227" s="103"/>
      <c r="B1227" s="106" t="s">
        <v>53</v>
      </c>
      <c r="C1227" s="246" t="s">
        <v>710</v>
      </c>
      <c r="D1227" s="312"/>
      <c r="E1227" s="133" t="s">
        <v>306</v>
      </c>
      <c r="F1227" s="246">
        <f>608</f>
        <v>608</v>
      </c>
      <c r="G1227" s="92"/>
      <c r="H1227" s="66"/>
      <c r="I1227" s="66"/>
      <c r="J1227" s="66"/>
      <c r="K1227" s="78"/>
      <c r="L1227" s="66"/>
      <c r="M1227" s="66">
        <f>40+563+14</f>
        <v>617</v>
      </c>
      <c r="N1227" s="110">
        <f t="shared" si="1661"/>
        <v>9</v>
      </c>
      <c r="O1227" s="110"/>
      <c r="P1227" s="66"/>
      <c r="Q1227" s="66"/>
      <c r="R1227" s="66"/>
      <c r="S1227" s="66"/>
      <c r="T1227" s="110">
        <f t="shared" si="1662"/>
        <v>0</v>
      </c>
      <c r="U1227" s="59">
        <f t="shared" si="1663"/>
        <v>0</v>
      </c>
      <c r="V1227" s="66"/>
      <c r="W1227" s="66">
        <v>617</v>
      </c>
      <c r="X1227" s="110">
        <f t="shared" si="1664"/>
        <v>0</v>
      </c>
      <c r="Y1227" s="110"/>
      <c r="Z1227" s="110"/>
      <c r="AA1227" s="110"/>
      <c r="AB1227" s="46"/>
      <c r="AC1227" s="78"/>
      <c r="AD1227" s="78"/>
      <c r="AE1227" s="100">
        <f t="shared" si="1665"/>
        <v>1.4802631578947368E-2</v>
      </c>
      <c r="AF1227" s="90"/>
      <c r="AG1227" s="109">
        <f t="shared" si="1666"/>
        <v>0</v>
      </c>
      <c r="AH1227" s="100">
        <f t="shared" si="1667"/>
        <v>-1</v>
      </c>
      <c r="AI1227" s="100">
        <f t="shared" si="1668"/>
        <v>1.4802631578947368E-2</v>
      </c>
    </row>
    <row r="1228" spans="1:35" s="47" customFormat="1" ht="21" customHeight="1" x14ac:dyDescent="0.3">
      <c r="A1228" s="103"/>
      <c r="B1228" s="106" t="s">
        <v>53</v>
      </c>
      <c r="C1228" s="246" t="s">
        <v>710</v>
      </c>
      <c r="D1228" s="312"/>
      <c r="E1228" s="133" t="s">
        <v>712</v>
      </c>
      <c r="F1228" s="246">
        <f>713</f>
        <v>713</v>
      </c>
      <c r="G1228" s="92"/>
      <c r="H1228" s="66"/>
      <c r="I1228" s="66"/>
      <c r="J1228" s="66"/>
      <c r="K1228" s="78"/>
      <c r="L1228" s="66"/>
      <c r="M1228" s="66">
        <f>25+48+548+38+105</f>
        <v>764</v>
      </c>
      <c r="N1228" s="110">
        <f t="shared" si="1653"/>
        <v>51</v>
      </c>
      <c r="O1228" s="110"/>
      <c r="P1228" s="66"/>
      <c r="Q1228" s="66"/>
      <c r="R1228" s="66"/>
      <c r="S1228" s="66"/>
      <c r="T1228" s="110">
        <f t="shared" si="1654"/>
        <v>0</v>
      </c>
      <c r="U1228" s="59">
        <f t="shared" si="1660"/>
        <v>38</v>
      </c>
      <c r="V1228" s="66"/>
      <c r="W1228" s="66">
        <v>726</v>
      </c>
      <c r="X1228" s="110">
        <f t="shared" si="1655"/>
        <v>-38</v>
      </c>
      <c r="Y1228" s="110"/>
      <c r="Z1228" s="110"/>
      <c r="AA1228" s="110"/>
      <c r="AB1228" s="46"/>
      <c r="AC1228" s="78"/>
      <c r="AD1228" s="78"/>
      <c r="AE1228" s="100">
        <f t="shared" si="1656"/>
        <v>7.1528751753155678E-2</v>
      </c>
      <c r="AF1228" s="90"/>
      <c r="AG1228" s="109">
        <f t="shared" si="1657"/>
        <v>0</v>
      </c>
      <c r="AH1228" s="100">
        <f t="shared" si="1658"/>
        <v>-1</v>
      </c>
      <c r="AI1228" s="100">
        <f t="shared" si="1659"/>
        <v>1.82328190743338E-2</v>
      </c>
    </row>
    <row r="1229" spans="1:35" s="47" customFormat="1" ht="21" customHeight="1" x14ac:dyDescent="0.3">
      <c r="A1229" s="103"/>
      <c r="B1229" s="106" t="s">
        <v>53</v>
      </c>
      <c r="C1229" s="246" t="s">
        <v>710</v>
      </c>
      <c r="D1229" s="312"/>
      <c r="E1229" s="133" t="s">
        <v>713</v>
      </c>
      <c r="F1229" s="246">
        <f>713</f>
        <v>713</v>
      </c>
      <c r="G1229" s="92"/>
      <c r="H1229" s="66"/>
      <c r="I1229" s="66"/>
      <c r="J1229" s="66"/>
      <c r="K1229" s="78"/>
      <c r="L1229" s="66"/>
      <c r="M1229" s="66">
        <f>25+80+621</f>
        <v>726</v>
      </c>
      <c r="N1229" s="110">
        <f t="shared" ref="N1229:N1230" si="1669">M1229-F1229</f>
        <v>13</v>
      </c>
      <c r="O1229" s="110"/>
      <c r="P1229" s="66"/>
      <c r="Q1229" s="66"/>
      <c r="R1229" s="66"/>
      <c r="S1229" s="66"/>
      <c r="T1229" s="110">
        <f t="shared" ref="T1229:T1230" si="1670">S1229-Q1229</f>
        <v>0</v>
      </c>
      <c r="U1229" s="59">
        <f t="shared" ref="U1229:U1230" si="1671">IF(Q1229&gt;0,S1229-W1229,M1229-W1229)</f>
        <v>0</v>
      </c>
      <c r="V1229" s="66"/>
      <c r="W1229" s="66">
        <v>726</v>
      </c>
      <c r="X1229" s="110">
        <f t="shared" ref="X1229:X1230" si="1672">W1229-M1229</f>
        <v>0</v>
      </c>
      <c r="Y1229" s="110"/>
      <c r="Z1229" s="110"/>
      <c r="AA1229" s="110"/>
      <c r="AB1229" s="46"/>
      <c r="AC1229" s="78"/>
      <c r="AD1229" s="78"/>
      <c r="AE1229" s="100">
        <f t="shared" ref="AE1229:AE1230" si="1673">N1229/F1229</f>
        <v>1.82328190743338E-2</v>
      </c>
      <c r="AF1229" s="90"/>
      <c r="AG1229" s="109">
        <f t="shared" ref="AG1229:AG1230" si="1674">IF(N1229&lt;0,N1229,0)</f>
        <v>0</v>
      </c>
      <c r="AH1229" s="100">
        <f t="shared" ref="AH1229:AH1230" si="1675">(S1229-F1229)/F1229</f>
        <v>-1</v>
      </c>
      <c r="AI1229" s="100">
        <f t="shared" ref="AI1229:AI1230" si="1676">(W1229-F1229)/F1229</f>
        <v>1.82328190743338E-2</v>
      </c>
    </row>
    <row r="1230" spans="1:35" s="47" customFormat="1" ht="21" customHeight="1" x14ac:dyDescent="0.3">
      <c r="A1230" s="103"/>
      <c r="B1230" s="106" t="s">
        <v>53</v>
      </c>
      <c r="C1230" s="246" t="s">
        <v>710</v>
      </c>
      <c r="D1230" s="312"/>
      <c r="E1230" s="133" t="s">
        <v>714</v>
      </c>
      <c r="F1230" s="246">
        <f>713</f>
        <v>713</v>
      </c>
      <c r="G1230" s="92"/>
      <c r="H1230" s="66"/>
      <c r="I1230" s="66"/>
      <c r="J1230" s="66"/>
      <c r="K1230" s="78"/>
      <c r="L1230" s="66"/>
      <c r="M1230" s="66">
        <f>25+80+621</f>
        <v>726</v>
      </c>
      <c r="N1230" s="110">
        <f t="shared" si="1669"/>
        <v>13</v>
      </c>
      <c r="O1230" s="110"/>
      <c r="P1230" s="66"/>
      <c r="Q1230" s="66"/>
      <c r="R1230" s="66"/>
      <c r="S1230" s="66"/>
      <c r="T1230" s="110">
        <f t="shared" si="1670"/>
        <v>0</v>
      </c>
      <c r="U1230" s="59">
        <f t="shared" si="1671"/>
        <v>0</v>
      </c>
      <c r="V1230" s="66"/>
      <c r="W1230" s="66">
        <v>726</v>
      </c>
      <c r="X1230" s="110">
        <f t="shared" si="1672"/>
        <v>0</v>
      </c>
      <c r="Y1230" s="110"/>
      <c r="Z1230" s="110"/>
      <c r="AA1230" s="110"/>
      <c r="AB1230" s="46"/>
      <c r="AC1230" s="78"/>
      <c r="AD1230" s="78"/>
      <c r="AE1230" s="100">
        <f t="shared" si="1673"/>
        <v>1.82328190743338E-2</v>
      </c>
      <c r="AF1230" s="90"/>
      <c r="AG1230" s="109">
        <f t="shared" si="1674"/>
        <v>0</v>
      </c>
      <c r="AH1230" s="100">
        <f t="shared" si="1675"/>
        <v>-1</v>
      </c>
      <c r="AI1230" s="100">
        <f t="shared" si="1676"/>
        <v>1.82328190743338E-2</v>
      </c>
    </row>
    <row r="1231" spans="1:35" s="47" customFormat="1" ht="21" customHeight="1" x14ac:dyDescent="0.3">
      <c r="A1231" s="103"/>
      <c r="B1231" s="106" t="s">
        <v>53</v>
      </c>
      <c r="C1231" s="246" t="s">
        <v>710</v>
      </c>
      <c r="D1231" s="312"/>
      <c r="E1231" s="133" t="s">
        <v>5</v>
      </c>
      <c r="F1231" s="246">
        <f>308</f>
        <v>308</v>
      </c>
      <c r="G1231" s="92"/>
      <c r="H1231" s="66"/>
      <c r="I1231" s="66"/>
      <c r="J1231" s="66"/>
      <c r="K1231" s="78"/>
      <c r="L1231" s="66"/>
      <c r="M1231" s="66">
        <f>243+90</f>
        <v>333</v>
      </c>
      <c r="N1231" s="110">
        <f t="shared" si="1653"/>
        <v>25</v>
      </c>
      <c r="O1231" s="110"/>
      <c r="P1231" s="66"/>
      <c r="Q1231" s="66"/>
      <c r="R1231" s="66"/>
      <c r="S1231" s="66"/>
      <c r="T1231" s="110">
        <f t="shared" si="1654"/>
        <v>0</v>
      </c>
      <c r="U1231" s="59">
        <f t="shared" si="1660"/>
        <v>14</v>
      </c>
      <c r="V1231" s="66">
        <v>133</v>
      </c>
      <c r="W1231" s="66">
        <v>319</v>
      </c>
      <c r="X1231" s="110">
        <f t="shared" si="1655"/>
        <v>-14</v>
      </c>
      <c r="Y1231" s="110"/>
      <c r="Z1231" s="110"/>
      <c r="AA1231" s="110"/>
      <c r="AB1231" s="46"/>
      <c r="AC1231" s="78"/>
      <c r="AD1231" s="78"/>
      <c r="AE1231" s="100">
        <f t="shared" si="1656"/>
        <v>8.1168831168831168E-2</v>
      </c>
      <c r="AF1231" s="90"/>
      <c r="AG1231" s="109">
        <f t="shared" si="1657"/>
        <v>0</v>
      </c>
      <c r="AH1231" s="100">
        <f t="shared" si="1658"/>
        <v>-1</v>
      </c>
      <c r="AI1231" s="100">
        <f t="shared" si="1659"/>
        <v>3.5714285714285712E-2</v>
      </c>
    </row>
    <row r="1232" spans="1:35" s="47" customFormat="1" ht="21" customHeight="1" x14ac:dyDescent="0.3">
      <c r="A1232" s="103"/>
      <c r="B1232" s="106" t="s">
        <v>53</v>
      </c>
      <c r="C1232" s="246" t="s">
        <v>710</v>
      </c>
      <c r="D1232" s="312"/>
      <c r="E1232" s="133" t="s">
        <v>705</v>
      </c>
      <c r="F1232" s="246">
        <f>728</f>
        <v>728</v>
      </c>
      <c r="G1232" s="92"/>
      <c r="H1232" s="66"/>
      <c r="I1232" s="66"/>
      <c r="J1232" s="66"/>
      <c r="K1232" s="78"/>
      <c r="L1232" s="66"/>
      <c r="M1232" s="66">
        <f>40+660+64</f>
        <v>764</v>
      </c>
      <c r="N1232" s="110">
        <f t="shared" ref="N1232:N1233" si="1677">M1232-F1232</f>
        <v>36</v>
      </c>
      <c r="O1232" s="110"/>
      <c r="P1232" s="66"/>
      <c r="Q1232" s="66"/>
      <c r="R1232" s="66"/>
      <c r="S1232" s="66"/>
      <c r="T1232" s="110">
        <f t="shared" ref="T1232:T1233" si="1678">S1232-Q1232</f>
        <v>0</v>
      </c>
      <c r="U1232" s="59">
        <f t="shared" ref="U1232:U1233" si="1679">IF(Q1232&gt;0,S1232-W1232,M1232-W1232)</f>
        <v>24</v>
      </c>
      <c r="V1232" s="66"/>
      <c r="W1232" s="66">
        <v>740</v>
      </c>
      <c r="X1232" s="110">
        <f t="shared" ref="X1232:X1233" si="1680">W1232-M1232</f>
        <v>-24</v>
      </c>
      <c r="Y1232" s="110"/>
      <c r="Z1232" s="110"/>
      <c r="AA1232" s="110"/>
      <c r="AB1232" s="46"/>
      <c r="AC1232" s="78"/>
      <c r="AD1232" s="78"/>
      <c r="AE1232" s="100">
        <f t="shared" ref="AE1232:AE1233" si="1681">N1232/F1232</f>
        <v>4.9450549450549448E-2</v>
      </c>
      <c r="AF1232" s="90"/>
      <c r="AG1232" s="109">
        <f t="shared" ref="AG1232:AG1233" si="1682">IF(N1232&lt;0,N1232,0)</f>
        <v>0</v>
      </c>
      <c r="AH1232" s="100">
        <f t="shared" ref="AH1232:AH1233" si="1683">(S1232-F1232)/F1232</f>
        <v>-1</v>
      </c>
      <c r="AI1232" s="100">
        <f t="shared" ref="AI1232:AI1233" si="1684">(W1232-F1232)/F1232</f>
        <v>1.6483516483516484E-2</v>
      </c>
    </row>
    <row r="1233" spans="1:35" s="47" customFormat="1" ht="21" customHeight="1" x14ac:dyDescent="0.3">
      <c r="A1233" s="103"/>
      <c r="B1233" s="106" t="s">
        <v>53</v>
      </c>
      <c r="C1233" s="246" t="s">
        <v>710</v>
      </c>
      <c r="D1233" s="312"/>
      <c r="E1233" s="133" t="s">
        <v>257</v>
      </c>
      <c r="F1233" s="246">
        <f>728</f>
        <v>728</v>
      </c>
      <c r="G1233" s="92"/>
      <c r="H1233" s="66"/>
      <c r="I1233" s="66"/>
      <c r="J1233" s="66"/>
      <c r="K1233" s="78"/>
      <c r="L1233" s="66"/>
      <c r="M1233" s="66">
        <f>40+160+12+28+500</f>
        <v>740</v>
      </c>
      <c r="N1233" s="110">
        <f t="shared" si="1677"/>
        <v>12</v>
      </c>
      <c r="O1233" s="110"/>
      <c r="P1233" s="66"/>
      <c r="Q1233" s="66"/>
      <c r="R1233" s="66"/>
      <c r="S1233" s="66"/>
      <c r="T1233" s="110">
        <f t="shared" si="1678"/>
        <v>0</v>
      </c>
      <c r="U1233" s="59">
        <f t="shared" si="1679"/>
        <v>0</v>
      </c>
      <c r="V1233" s="66"/>
      <c r="W1233" s="66">
        <v>740</v>
      </c>
      <c r="X1233" s="110">
        <f t="shared" si="1680"/>
        <v>0</v>
      </c>
      <c r="Y1233" s="110"/>
      <c r="Z1233" s="110"/>
      <c r="AA1233" s="110"/>
      <c r="AB1233" s="46"/>
      <c r="AC1233" s="78"/>
      <c r="AD1233" s="78"/>
      <c r="AE1233" s="100">
        <f t="shared" si="1681"/>
        <v>1.6483516483516484E-2</v>
      </c>
      <c r="AF1233" s="90"/>
      <c r="AG1233" s="109">
        <f t="shared" si="1682"/>
        <v>0</v>
      </c>
      <c r="AH1233" s="100">
        <f t="shared" si="1683"/>
        <v>-1</v>
      </c>
      <c r="AI1233" s="100">
        <f t="shared" si="1684"/>
        <v>1.6483516483516484E-2</v>
      </c>
    </row>
    <row r="1234" spans="1:35" s="47" customFormat="1" ht="21" customHeight="1" x14ac:dyDescent="0.3">
      <c r="A1234" s="103"/>
      <c r="B1234" s="106" t="s">
        <v>53</v>
      </c>
      <c r="C1234" s="246" t="s">
        <v>710</v>
      </c>
      <c r="D1234" s="312"/>
      <c r="E1234" s="133" t="s">
        <v>715</v>
      </c>
      <c r="F1234" s="246">
        <f>608</f>
        <v>608</v>
      </c>
      <c r="G1234" s="92"/>
      <c r="H1234" s="66"/>
      <c r="I1234" s="66"/>
      <c r="J1234" s="66"/>
      <c r="K1234" s="78"/>
      <c r="L1234" s="66"/>
      <c r="M1234" s="66">
        <f>528+89</f>
        <v>617</v>
      </c>
      <c r="N1234" s="110">
        <f t="shared" si="1653"/>
        <v>9</v>
      </c>
      <c r="O1234" s="110"/>
      <c r="P1234" s="66"/>
      <c r="Q1234" s="66"/>
      <c r="R1234" s="66"/>
      <c r="S1234" s="66"/>
      <c r="T1234" s="110">
        <f t="shared" si="1654"/>
        <v>0</v>
      </c>
      <c r="U1234" s="59">
        <f t="shared" si="1660"/>
        <v>0</v>
      </c>
      <c r="V1234" s="66"/>
      <c r="W1234" s="66">
        <f>617</f>
        <v>617</v>
      </c>
      <c r="X1234" s="110">
        <f t="shared" si="1655"/>
        <v>0</v>
      </c>
      <c r="Y1234" s="110"/>
      <c r="Z1234" s="110"/>
      <c r="AA1234" s="110"/>
      <c r="AB1234" s="46"/>
      <c r="AC1234" s="78"/>
      <c r="AD1234" s="78"/>
      <c r="AE1234" s="100">
        <f t="shared" si="1656"/>
        <v>1.4802631578947368E-2</v>
      </c>
      <c r="AF1234" s="90"/>
      <c r="AG1234" s="109">
        <f t="shared" si="1657"/>
        <v>0</v>
      </c>
      <c r="AH1234" s="100">
        <f t="shared" si="1658"/>
        <v>-1</v>
      </c>
      <c r="AI1234" s="100">
        <f t="shared" si="1659"/>
        <v>1.4802631578947368E-2</v>
      </c>
    </row>
    <row r="1235" spans="1:35" s="47" customFormat="1" ht="21" customHeight="1" x14ac:dyDescent="0.3">
      <c r="A1235" s="103"/>
      <c r="B1235" s="106" t="s">
        <v>53</v>
      </c>
      <c r="C1235" s="246" t="s">
        <v>710</v>
      </c>
      <c r="D1235" s="312"/>
      <c r="E1235" s="133" t="s">
        <v>716</v>
      </c>
      <c r="F1235" s="246">
        <f>608</f>
        <v>608</v>
      </c>
      <c r="G1235" s="92"/>
      <c r="H1235" s="66"/>
      <c r="I1235" s="66"/>
      <c r="J1235" s="66"/>
      <c r="K1235" s="78"/>
      <c r="L1235" s="66"/>
      <c r="M1235" s="66">
        <f>621</f>
        <v>621</v>
      </c>
      <c r="N1235" s="110">
        <f t="shared" si="1653"/>
        <v>13</v>
      </c>
      <c r="O1235" s="110"/>
      <c r="P1235" s="66"/>
      <c r="Q1235" s="66"/>
      <c r="R1235" s="66"/>
      <c r="S1235" s="66"/>
      <c r="T1235" s="110">
        <f t="shared" si="1654"/>
        <v>0</v>
      </c>
      <c r="U1235" s="59">
        <f t="shared" si="1660"/>
        <v>4</v>
      </c>
      <c r="V1235" s="66"/>
      <c r="W1235" s="66">
        <f>617</f>
        <v>617</v>
      </c>
      <c r="X1235" s="110">
        <f t="shared" si="1655"/>
        <v>-4</v>
      </c>
      <c r="Y1235" s="110"/>
      <c r="Z1235" s="110"/>
      <c r="AA1235" s="110"/>
      <c r="AB1235" s="46"/>
      <c r="AC1235" s="78"/>
      <c r="AD1235" s="78"/>
      <c r="AE1235" s="100">
        <f t="shared" si="1656"/>
        <v>2.1381578947368422E-2</v>
      </c>
      <c r="AF1235" s="90"/>
      <c r="AG1235" s="109">
        <f t="shared" si="1657"/>
        <v>0</v>
      </c>
      <c r="AH1235" s="100">
        <f t="shared" si="1658"/>
        <v>-1</v>
      </c>
      <c r="AI1235" s="100">
        <f t="shared" si="1659"/>
        <v>1.4802631578947368E-2</v>
      </c>
    </row>
    <row r="1236" spans="1:35" s="47" customFormat="1" ht="21" customHeight="1" x14ac:dyDescent="0.3">
      <c r="A1236" s="103"/>
      <c r="B1236" s="106" t="s">
        <v>53</v>
      </c>
      <c r="C1236" s="246" t="s">
        <v>710</v>
      </c>
      <c r="D1236" s="312"/>
      <c r="E1236" s="133" t="s">
        <v>717</v>
      </c>
      <c r="F1236" s="183">
        <f>608</f>
        <v>608</v>
      </c>
      <c r="G1236" s="92"/>
      <c r="H1236" s="66"/>
      <c r="I1236" s="66"/>
      <c r="J1236" s="66"/>
      <c r="K1236" s="78"/>
      <c r="L1236" s="66"/>
      <c r="M1236" s="66">
        <f>40+488+89</f>
        <v>617</v>
      </c>
      <c r="N1236" s="110">
        <f t="shared" si="1638"/>
        <v>9</v>
      </c>
      <c r="O1236" s="110"/>
      <c r="P1236" s="66"/>
      <c r="Q1236" s="66"/>
      <c r="R1236" s="66"/>
      <c r="S1236" s="66"/>
      <c r="T1236" s="110">
        <f t="shared" si="1639"/>
        <v>0</v>
      </c>
      <c r="U1236" s="59">
        <f t="shared" si="1560"/>
        <v>0</v>
      </c>
      <c r="V1236" s="66"/>
      <c r="W1236" s="66">
        <f>617</f>
        <v>617</v>
      </c>
      <c r="X1236" s="110">
        <f t="shared" si="1640"/>
        <v>0</v>
      </c>
      <c r="Y1236" s="110"/>
      <c r="Z1236" s="110"/>
      <c r="AA1236" s="110"/>
      <c r="AB1236" s="46"/>
      <c r="AC1236" s="78"/>
      <c r="AD1236" s="78"/>
      <c r="AE1236" s="100">
        <f t="shared" si="1641"/>
        <v>1.4802631578947368E-2</v>
      </c>
      <c r="AF1236" s="90"/>
      <c r="AG1236" s="109">
        <f t="shared" si="1642"/>
        <v>0</v>
      </c>
      <c r="AH1236" s="100">
        <f t="shared" si="1643"/>
        <v>-1</v>
      </c>
      <c r="AI1236" s="100">
        <f t="shared" si="1644"/>
        <v>1.4802631578947368E-2</v>
      </c>
    </row>
    <row r="1237" spans="1:35" s="79" customFormat="1" ht="15.75" customHeight="1" x14ac:dyDescent="0.3">
      <c r="A1237" s="90" t="s">
        <v>46</v>
      </c>
      <c r="B1237" s="136" t="s">
        <v>53</v>
      </c>
      <c r="C1237" s="137"/>
      <c r="D1237" s="136"/>
      <c r="E1237" s="138"/>
      <c r="F1237" s="91">
        <f>SUM(F1221:F1236)</f>
        <v>14238</v>
      </c>
      <c r="G1237" s="91"/>
      <c r="H1237" s="91"/>
      <c r="I1237" s="91"/>
      <c r="J1237" s="91" t="s">
        <v>58</v>
      </c>
      <c r="K1237" s="65" t="s">
        <v>410</v>
      </c>
      <c r="L1237" s="91">
        <f>SUM(L1221:L1236)</f>
        <v>49</v>
      </c>
      <c r="M1237" s="91">
        <f>SUM(M1221:M1236)</f>
        <v>14630</v>
      </c>
      <c r="N1237" s="90">
        <f>SUMIF(N1221:N1236,"&lt;0")</f>
        <v>0</v>
      </c>
      <c r="O1237" s="91"/>
      <c r="P1237" s="91">
        <f>SUM(P1221:P1236)</f>
        <v>0</v>
      </c>
      <c r="Q1237" s="91">
        <f>SUM(Q1221:Q1236)</f>
        <v>0</v>
      </c>
      <c r="R1237" s="91">
        <f>SUM(R1221:R1236)</f>
        <v>0</v>
      </c>
      <c r="S1237" s="91">
        <f>SUM(S1221:S1236)</f>
        <v>0</v>
      </c>
      <c r="T1237" s="91">
        <f>SUM(T1221:T1236)</f>
        <v>0</v>
      </c>
      <c r="U1237" s="59">
        <f>IF(Q1237&gt;0,S1237-W1237,M1237-W1237)</f>
        <v>330</v>
      </c>
      <c r="V1237" s="91">
        <f>SUM(V1221:V1236)</f>
        <v>666</v>
      </c>
      <c r="W1237" s="91">
        <f>SUM(W1221:W1236)</f>
        <v>14300</v>
      </c>
      <c r="X1237" s="91">
        <f>SUM(X1221:X1236)</f>
        <v>-330</v>
      </c>
      <c r="Y1237" s="136"/>
      <c r="Z1237" s="136"/>
      <c r="AA1237" s="136"/>
      <c r="AB1237" s="84"/>
      <c r="AC1237" s="90"/>
      <c r="AD1237" s="90"/>
      <c r="AE1237" s="100">
        <f t="shared" si="1641"/>
        <v>0</v>
      </c>
      <c r="AF1237" s="90"/>
      <c r="AG1237" s="109">
        <f t="shared" si="1642"/>
        <v>0</v>
      </c>
      <c r="AH1237" s="100">
        <f t="shared" si="1643"/>
        <v>-1</v>
      </c>
      <c r="AI1237" s="100">
        <f t="shared" si="1644"/>
        <v>4.3545441775530271E-3</v>
      </c>
    </row>
    <row r="1238" spans="1:35" s="47" customFormat="1" ht="21" customHeight="1" x14ac:dyDescent="0.3">
      <c r="A1238" s="78"/>
      <c r="B1238" s="106" t="s">
        <v>53</v>
      </c>
      <c r="C1238" s="246" t="s">
        <v>718</v>
      </c>
      <c r="D1238" s="304">
        <v>22013782</v>
      </c>
      <c r="E1238" s="133" t="s">
        <v>711</v>
      </c>
      <c r="F1238" s="66">
        <f>296</f>
        <v>296</v>
      </c>
      <c r="G1238" s="66"/>
      <c r="H1238" s="66"/>
      <c r="I1238" s="66"/>
      <c r="J1238" s="66"/>
      <c r="K1238" s="78"/>
      <c r="L1238" s="66"/>
      <c r="M1238" s="66"/>
      <c r="N1238" s="110">
        <f t="shared" ref="N1238:N1251" si="1685">M1238-F1238</f>
        <v>-296</v>
      </c>
      <c r="O1238" s="110"/>
      <c r="P1238" s="66"/>
      <c r="Q1238" s="66"/>
      <c r="R1238" s="66"/>
      <c r="S1238" s="66"/>
      <c r="T1238" s="110">
        <f t="shared" ref="T1238:T1251" si="1686">S1238-Q1238</f>
        <v>0</v>
      </c>
      <c r="U1238" s="59">
        <f t="shared" si="1560"/>
        <v>0</v>
      </c>
      <c r="V1238" s="66"/>
      <c r="W1238" s="66"/>
      <c r="X1238" s="110">
        <f t="shared" ref="X1238:X1251" si="1687">W1238-M1238</f>
        <v>0</v>
      </c>
      <c r="Y1238" s="110"/>
      <c r="Z1238" s="110"/>
      <c r="AA1238" s="110"/>
      <c r="AB1238" s="46"/>
      <c r="AC1238" s="78"/>
      <c r="AD1238" s="78"/>
      <c r="AE1238" s="100">
        <f t="shared" ref="AE1238:AE1251" si="1688">N1238/F1238</f>
        <v>-1</v>
      </c>
      <c r="AF1238" s="90"/>
      <c r="AG1238" s="109">
        <f t="shared" ref="AG1238:AG1251" si="1689">IF(N1238&lt;0,N1238,0)</f>
        <v>-296</v>
      </c>
      <c r="AH1238" s="100">
        <f t="shared" ref="AH1238:AH1251" si="1690">(S1238-F1238)/F1238</f>
        <v>-1</v>
      </c>
      <c r="AI1238" s="100">
        <f t="shared" ref="AI1238:AI1251" si="1691">(W1238-F1238)/F1238</f>
        <v>-1</v>
      </c>
    </row>
    <row r="1239" spans="1:35" s="47" customFormat="1" ht="21" customHeight="1" x14ac:dyDescent="0.3">
      <c r="A1239" s="78"/>
      <c r="B1239" s="106" t="s">
        <v>53</v>
      </c>
      <c r="C1239" s="246" t="s">
        <v>718</v>
      </c>
      <c r="D1239" s="305"/>
      <c r="E1239" s="133" t="s">
        <v>39</v>
      </c>
      <c r="F1239" s="66">
        <f>296+800+1088</f>
        <v>2184</v>
      </c>
      <c r="G1239" s="66"/>
      <c r="H1239" s="66"/>
      <c r="I1239" s="66"/>
      <c r="J1239" s="66"/>
      <c r="K1239" s="78"/>
      <c r="L1239" s="66"/>
      <c r="M1239" s="66"/>
      <c r="N1239" s="110">
        <f t="shared" si="1685"/>
        <v>-2184</v>
      </c>
      <c r="O1239" s="110"/>
      <c r="P1239" s="66"/>
      <c r="Q1239" s="66"/>
      <c r="R1239" s="66"/>
      <c r="S1239" s="66"/>
      <c r="T1239" s="110">
        <f t="shared" si="1686"/>
        <v>0</v>
      </c>
      <c r="U1239" s="59">
        <f t="shared" si="1560"/>
        <v>0</v>
      </c>
      <c r="V1239" s="66"/>
      <c r="W1239" s="66"/>
      <c r="X1239" s="110">
        <f t="shared" si="1687"/>
        <v>0</v>
      </c>
      <c r="Y1239" s="110"/>
      <c r="Z1239" s="110"/>
      <c r="AA1239" s="110"/>
      <c r="AB1239" s="46"/>
      <c r="AC1239" s="78"/>
      <c r="AD1239" s="78"/>
      <c r="AE1239" s="100">
        <f t="shared" si="1688"/>
        <v>-1</v>
      </c>
      <c r="AF1239" s="90"/>
      <c r="AG1239" s="109">
        <f t="shared" si="1689"/>
        <v>-2184</v>
      </c>
      <c r="AH1239" s="100">
        <f t="shared" si="1690"/>
        <v>-1</v>
      </c>
      <c r="AI1239" s="100">
        <f t="shared" si="1691"/>
        <v>-1</v>
      </c>
    </row>
    <row r="1240" spans="1:35" s="47" customFormat="1" ht="21" customHeight="1" x14ac:dyDescent="0.3">
      <c r="A1240" s="78"/>
      <c r="B1240" s="106" t="s">
        <v>53</v>
      </c>
      <c r="C1240" s="246" t="s">
        <v>718</v>
      </c>
      <c r="D1240" s="305"/>
      <c r="E1240" s="133" t="s">
        <v>153</v>
      </c>
      <c r="F1240" s="66">
        <f>296</f>
        <v>296</v>
      </c>
      <c r="G1240" s="66"/>
      <c r="H1240" s="66"/>
      <c r="I1240" s="66"/>
      <c r="J1240" s="66"/>
      <c r="K1240" s="78"/>
      <c r="L1240" s="66"/>
      <c r="M1240" s="66"/>
      <c r="N1240" s="110">
        <f t="shared" si="1685"/>
        <v>-296</v>
      </c>
      <c r="O1240" s="110"/>
      <c r="P1240" s="66"/>
      <c r="Q1240" s="66"/>
      <c r="R1240" s="66"/>
      <c r="S1240" s="66"/>
      <c r="T1240" s="110">
        <f t="shared" si="1686"/>
        <v>0</v>
      </c>
      <c r="U1240" s="59">
        <f t="shared" si="1560"/>
        <v>0</v>
      </c>
      <c r="V1240" s="66"/>
      <c r="W1240" s="66"/>
      <c r="X1240" s="110">
        <f t="shared" si="1687"/>
        <v>0</v>
      </c>
      <c r="Y1240" s="110"/>
      <c r="Z1240" s="110"/>
      <c r="AA1240" s="110"/>
      <c r="AB1240" s="46"/>
      <c r="AC1240" s="78"/>
      <c r="AD1240" s="78"/>
      <c r="AE1240" s="100">
        <f t="shared" si="1688"/>
        <v>-1</v>
      </c>
      <c r="AF1240" s="90"/>
      <c r="AG1240" s="109">
        <f t="shared" si="1689"/>
        <v>-296</v>
      </c>
      <c r="AH1240" s="100">
        <f t="shared" si="1690"/>
        <v>-1</v>
      </c>
      <c r="AI1240" s="100">
        <f t="shared" si="1691"/>
        <v>-1</v>
      </c>
    </row>
    <row r="1241" spans="1:35" s="47" customFormat="1" ht="21" customHeight="1" x14ac:dyDescent="0.3">
      <c r="A1241" s="78"/>
      <c r="B1241" s="106" t="s">
        <v>53</v>
      </c>
      <c r="C1241" s="246" t="s">
        <v>718</v>
      </c>
      <c r="D1241" s="305"/>
      <c r="E1241" s="133" t="s">
        <v>0</v>
      </c>
      <c r="F1241" s="66">
        <f>800+488</f>
        <v>1288</v>
      </c>
      <c r="G1241" s="66"/>
      <c r="H1241" s="66"/>
      <c r="I1241" s="66"/>
      <c r="J1241" s="66"/>
      <c r="K1241" s="78"/>
      <c r="L1241" s="66"/>
      <c r="M1241" s="66"/>
      <c r="N1241" s="110">
        <f t="shared" ref="N1241:N1242" si="1692">M1241-F1241</f>
        <v>-1288</v>
      </c>
      <c r="O1241" s="110"/>
      <c r="P1241" s="66"/>
      <c r="Q1241" s="66"/>
      <c r="R1241" s="66"/>
      <c r="S1241" s="66"/>
      <c r="T1241" s="110">
        <f t="shared" ref="T1241:T1242" si="1693">S1241-Q1241</f>
        <v>0</v>
      </c>
      <c r="U1241" s="59">
        <f t="shared" ref="U1241:U1242" si="1694">IF(Q1241&gt;0,S1241-W1241,M1241-W1241)</f>
        <v>0</v>
      </c>
      <c r="V1241" s="66"/>
      <c r="W1241" s="66"/>
      <c r="X1241" s="110">
        <f t="shared" ref="X1241:X1242" si="1695">W1241-M1241</f>
        <v>0</v>
      </c>
      <c r="Y1241" s="110"/>
      <c r="Z1241" s="110"/>
      <c r="AA1241" s="110"/>
      <c r="AB1241" s="46"/>
      <c r="AC1241" s="78"/>
      <c r="AD1241" s="78"/>
      <c r="AE1241" s="100">
        <f t="shared" ref="AE1241:AE1242" si="1696">N1241/F1241</f>
        <v>-1</v>
      </c>
      <c r="AF1241" s="90"/>
      <c r="AG1241" s="109">
        <f t="shared" ref="AG1241:AG1242" si="1697">IF(N1241&lt;0,N1241,0)</f>
        <v>-1288</v>
      </c>
      <c r="AH1241" s="100">
        <f t="shared" ref="AH1241:AH1242" si="1698">(S1241-F1241)/F1241</f>
        <v>-1</v>
      </c>
      <c r="AI1241" s="100">
        <f t="shared" ref="AI1241:AI1242" si="1699">(W1241-F1241)/F1241</f>
        <v>-1</v>
      </c>
    </row>
    <row r="1242" spans="1:35" s="47" customFormat="1" ht="21" customHeight="1" x14ac:dyDescent="0.3">
      <c r="A1242" s="78"/>
      <c r="B1242" s="106" t="s">
        <v>53</v>
      </c>
      <c r="C1242" s="246" t="s">
        <v>718</v>
      </c>
      <c r="D1242" s="305"/>
      <c r="E1242" s="133" t="s">
        <v>41</v>
      </c>
      <c r="F1242" s="66">
        <f>800+488</f>
        <v>1288</v>
      </c>
      <c r="G1242" s="66"/>
      <c r="H1242" s="66"/>
      <c r="I1242" s="66"/>
      <c r="J1242" s="66"/>
      <c r="K1242" s="78"/>
      <c r="L1242" s="66"/>
      <c r="M1242" s="66"/>
      <c r="N1242" s="110">
        <f t="shared" si="1692"/>
        <v>-1288</v>
      </c>
      <c r="O1242" s="110"/>
      <c r="P1242" s="66"/>
      <c r="Q1242" s="66"/>
      <c r="R1242" s="66"/>
      <c r="S1242" s="66"/>
      <c r="T1242" s="110">
        <f t="shared" si="1693"/>
        <v>0</v>
      </c>
      <c r="U1242" s="59">
        <f t="shared" si="1694"/>
        <v>0</v>
      </c>
      <c r="V1242" s="66"/>
      <c r="W1242" s="66"/>
      <c r="X1242" s="110">
        <f t="shared" si="1695"/>
        <v>0</v>
      </c>
      <c r="Y1242" s="110"/>
      <c r="Z1242" s="110"/>
      <c r="AA1242" s="110"/>
      <c r="AB1242" s="46"/>
      <c r="AC1242" s="78"/>
      <c r="AD1242" s="78"/>
      <c r="AE1242" s="100">
        <f t="shared" si="1696"/>
        <v>-1</v>
      </c>
      <c r="AF1242" s="90"/>
      <c r="AG1242" s="109">
        <f t="shared" si="1697"/>
        <v>-1288</v>
      </c>
      <c r="AH1242" s="100">
        <f t="shared" si="1698"/>
        <v>-1</v>
      </c>
      <c r="AI1242" s="100">
        <f t="shared" si="1699"/>
        <v>-1</v>
      </c>
    </row>
    <row r="1243" spans="1:35" s="47" customFormat="1" ht="21" customHeight="1" x14ac:dyDescent="0.3">
      <c r="A1243" s="78"/>
      <c r="B1243" s="106" t="s">
        <v>53</v>
      </c>
      <c r="C1243" s="246" t="s">
        <v>718</v>
      </c>
      <c r="D1243" s="305"/>
      <c r="E1243" s="133" t="s">
        <v>488</v>
      </c>
      <c r="F1243" s="66">
        <f>1088</f>
        <v>1088</v>
      </c>
      <c r="G1243" s="66"/>
      <c r="H1243" s="66"/>
      <c r="I1243" s="66"/>
      <c r="J1243" s="66"/>
      <c r="K1243" s="78"/>
      <c r="L1243" s="66"/>
      <c r="M1243" s="66"/>
      <c r="N1243" s="110">
        <f t="shared" ref="N1243:N1250" si="1700">M1243-F1243</f>
        <v>-1088</v>
      </c>
      <c r="O1243" s="110"/>
      <c r="P1243" s="66"/>
      <c r="Q1243" s="66"/>
      <c r="R1243" s="66"/>
      <c r="S1243" s="66"/>
      <c r="T1243" s="110">
        <f t="shared" ref="T1243:T1250" si="1701">S1243-Q1243</f>
        <v>0</v>
      </c>
      <c r="U1243" s="59">
        <f t="shared" ref="U1243:U1250" si="1702">IF(Q1243&gt;0,S1243-W1243,M1243-W1243)</f>
        <v>0</v>
      </c>
      <c r="V1243" s="66"/>
      <c r="W1243" s="66"/>
      <c r="X1243" s="110">
        <f t="shared" ref="X1243:X1250" si="1703">W1243-M1243</f>
        <v>0</v>
      </c>
      <c r="Y1243" s="110"/>
      <c r="Z1243" s="110"/>
      <c r="AA1243" s="110"/>
      <c r="AB1243" s="46"/>
      <c r="AC1243" s="78"/>
      <c r="AD1243" s="78"/>
      <c r="AE1243" s="100">
        <f t="shared" ref="AE1243:AE1250" si="1704">N1243/F1243</f>
        <v>-1</v>
      </c>
      <c r="AF1243" s="90"/>
      <c r="AG1243" s="109">
        <f t="shared" ref="AG1243:AG1250" si="1705">IF(N1243&lt;0,N1243,0)</f>
        <v>-1088</v>
      </c>
      <c r="AH1243" s="100">
        <f t="shared" ref="AH1243:AH1250" si="1706">(S1243-F1243)/F1243</f>
        <v>-1</v>
      </c>
      <c r="AI1243" s="100">
        <f t="shared" ref="AI1243:AI1250" si="1707">(W1243-F1243)/F1243</f>
        <v>-1</v>
      </c>
    </row>
    <row r="1244" spans="1:35" s="47" customFormat="1" ht="21" customHeight="1" x14ac:dyDescent="0.3">
      <c r="A1244" s="78"/>
      <c r="B1244" s="106" t="s">
        <v>53</v>
      </c>
      <c r="C1244" s="246" t="s">
        <v>718</v>
      </c>
      <c r="D1244" s="305"/>
      <c r="E1244" s="133" t="s">
        <v>306</v>
      </c>
      <c r="F1244" s="66">
        <f>1088</f>
        <v>1088</v>
      </c>
      <c r="G1244" s="66"/>
      <c r="H1244" s="66"/>
      <c r="I1244" s="66"/>
      <c r="J1244" s="66"/>
      <c r="K1244" s="78"/>
      <c r="L1244" s="66"/>
      <c r="M1244" s="66"/>
      <c r="N1244" s="110">
        <f t="shared" si="1700"/>
        <v>-1088</v>
      </c>
      <c r="O1244" s="110"/>
      <c r="P1244" s="66"/>
      <c r="Q1244" s="66"/>
      <c r="R1244" s="66"/>
      <c r="S1244" s="66"/>
      <c r="T1244" s="110">
        <f t="shared" si="1701"/>
        <v>0</v>
      </c>
      <c r="U1244" s="59">
        <f t="shared" si="1702"/>
        <v>0</v>
      </c>
      <c r="V1244" s="66"/>
      <c r="W1244" s="66"/>
      <c r="X1244" s="110">
        <f t="shared" si="1703"/>
        <v>0</v>
      </c>
      <c r="Y1244" s="110"/>
      <c r="Z1244" s="110"/>
      <c r="AA1244" s="110"/>
      <c r="AB1244" s="46"/>
      <c r="AC1244" s="78"/>
      <c r="AD1244" s="78"/>
      <c r="AE1244" s="100">
        <f t="shared" si="1704"/>
        <v>-1</v>
      </c>
      <c r="AF1244" s="90"/>
      <c r="AG1244" s="109">
        <f t="shared" si="1705"/>
        <v>-1088</v>
      </c>
      <c r="AH1244" s="100">
        <f t="shared" si="1706"/>
        <v>-1</v>
      </c>
      <c r="AI1244" s="100">
        <f t="shared" si="1707"/>
        <v>-1</v>
      </c>
    </row>
    <row r="1245" spans="1:35" s="47" customFormat="1" ht="21" customHeight="1" x14ac:dyDescent="0.3">
      <c r="A1245" s="78"/>
      <c r="B1245" s="106" t="s">
        <v>53</v>
      </c>
      <c r="C1245" s="246" t="s">
        <v>718</v>
      </c>
      <c r="D1245" s="305"/>
      <c r="E1245" s="133" t="s">
        <v>712</v>
      </c>
      <c r="F1245" s="66">
        <f>296</f>
        <v>296</v>
      </c>
      <c r="G1245" s="66"/>
      <c r="H1245" s="66"/>
      <c r="I1245" s="66"/>
      <c r="J1245" s="66"/>
      <c r="K1245" s="78"/>
      <c r="L1245" s="66"/>
      <c r="M1245" s="66"/>
      <c r="N1245" s="110">
        <f t="shared" ref="N1245:N1248" si="1708">M1245-F1245</f>
        <v>-296</v>
      </c>
      <c r="O1245" s="110"/>
      <c r="P1245" s="66"/>
      <c r="Q1245" s="66"/>
      <c r="R1245" s="66"/>
      <c r="S1245" s="66"/>
      <c r="T1245" s="110">
        <f t="shared" ref="T1245:T1248" si="1709">S1245-Q1245</f>
        <v>0</v>
      </c>
      <c r="U1245" s="59">
        <f t="shared" ref="U1245:U1248" si="1710">IF(Q1245&gt;0,S1245-W1245,M1245-W1245)</f>
        <v>0</v>
      </c>
      <c r="V1245" s="66"/>
      <c r="W1245" s="66"/>
      <c r="X1245" s="110">
        <f t="shared" ref="X1245:X1248" si="1711">W1245-M1245</f>
        <v>0</v>
      </c>
      <c r="Y1245" s="110"/>
      <c r="Z1245" s="110"/>
      <c r="AA1245" s="110"/>
      <c r="AB1245" s="46"/>
      <c r="AC1245" s="78"/>
      <c r="AD1245" s="78"/>
      <c r="AE1245" s="100">
        <f t="shared" ref="AE1245:AE1248" si="1712">N1245/F1245</f>
        <v>-1</v>
      </c>
      <c r="AF1245" s="90"/>
      <c r="AG1245" s="109">
        <f t="shared" ref="AG1245:AG1248" si="1713">IF(N1245&lt;0,N1245,0)</f>
        <v>-296</v>
      </c>
      <c r="AH1245" s="100">
        <f t="shared" ref="AH1245:AH1248" si="1714">(S1245-F1245)/F1245</f>
        <v>-1</v>
      </c>
      <c r="AI1245" s="100">
        <f t="shared" ref="AI1245:AI1248" si="1715">(W1245-F1245)/F1245</f>
        <v>-1</v>
      </c>
    </row>
    <row r="1246" spans="1:35" s="47" customFormat="1" ht="21" customHeight="1" x14ac:dyDescent="0.3">
      <c r="A1246" s="78"/>
      <c r="B1246" s="106" t="s">
        <v>53</v>
      </c>
      <c r="C1246" s="246" t="s">
        <v>718</v>
      </c>
      <c r="D1246" s="305"/>
      <c r="E1246" s="133" t="s">
        <v>713</v>
      </c>
      <c r="F1246" s="66">
        <f>296</f>
        <v>296</v>
      </c>
      <c r="G1246" s="66"/>
      <c r="H1246" s="66"/>
      <c r="I1246" s="66"/>
      <c r="J1246" s="66"/>
      <c r="K1246" s="78"/>
      <c r="L1246" s="66"/>
      <c r="M1246" s="66"/>
      <c r="N1246" s="110">
        <f t="shared" si="1708"/>
        <v>-296</v>
      </c>
      <c r="O1246" s="110"/>
      <c r="P1246" s="66"/>
      <c r="Q1246" s="66"/>
      <c r="R1246" s="66"/>
      <c r="S1246" s="66"/>
      <c r="T1246" s="110">
        <f t="shared" si="1709"/>
        <v>0</v>
      </c>
      <c r="U1246" s="59">
        <f t="shared" si="1710"/>
        <v>0</v>
      </c>
      <c r="V1246" s="66"/>
      <c r="W1246" s="66"/>
      <c r="X1246" s="110">
        <f t="shared" si="1711"/>
        <v>0</v>
      </c>
      <c r="Y1246" s="110"/>
      <c r="Z1246" s="110"/>
      <c r="AA1246" s="110"/>
      <c r="AB1246" s="46"/>
      <c r="AC1246" s="78"/>
      <c r="AD1246" s="78"/>
      <c r="AE1246" s="100">
        <f t="shared" si="1712"/>
        <v>-1</v>
      </c>
      <c r="AF1246" s="90"/>
      <c r="AG1246" s="109">
        <f t="shared" si="1713"/>
        <v>-296</v>
      </c>
      <c r="AH1246" s="100">
        <f t="shared" si="1714"/>
        <v>-1</v>
      </c>
      <c r="AI1246" s="100">
        <f t="shared" si="1715"/>
        <v>-1</v>
      </c>
    </row>
    <row r="1247" spans="1:35" s="47" customFormat="1" ht="21" customHeight="1" x14ac:dyDescent="0.3">
      <c r="A1247" s="78"/>
      <c r="B1247" s="106" t="s">
        <v>53</v>
      </c>
      <c r="C1247" s="246" t="s">
        <v>718</v>
      </c>
      <c r="D1247" s="305"/>
      <c r="E1247" s="133" t="s">
        <v>714</v>
      </c>
      <c r="F1247" s="66">
        <f>296</f>
        <v>296</v>
      </c>
      <c r="G1247" s="66"/>
      <c r="H1247" s="66"/>
      <c r="I1247" s="66"/>
      <c r="J1247" s="66"/>
      <c r="K1247" s="78"/>
      <c r="L1247" s="66"/>
      <c r="M1247" s="66"/>
      <c r="N1247" s="110">
        <f t="shared" si="1708"/>
        <v>-296</v>
      </c>
      <c r="O1247" s="110"/>
      <c r="P1247" s="66"/>
      <c r="Q1247" s="66"/>
      <c r="R1247" s="66"/>
      <c r="S1247" s="66"/>
      <c r="T1247" s="110">
        <f t="shared" si="1709"/>
        <v>0</v>
      </c>
      <c r="U1247" s="59">
        <f t="shared" si="1710"/>
        <v>0</v>
      </c>
      <c r="V1247" s="66"/>
      <c r="W1247" s="66"/>
      <c r="X1247" s="110">
        <f t="shared" si="1711"/>
        <v>0</v>
      </c>
      <c r="Y1247" s="110"/>
      <c r="Z1247" s="110"/>
      <c r="AA1247" s="110"/>
      <c r="AB1247" s="46"/>
      <c r="AC1247" s="78"/>
      <c r="AD1247" s="78"/>
      <c r="AE1247" s="100">
        <f t="shared" si="1712"/>
        <v>-1</v>
      </c>
      <c r="AF1247" s="90"/>
      <c r="AG1247" s="109">
        <f t="shared" si="1713"/>
        <v>-296</v>
      </c>
      <c r="AH1247" s="100">
        <f t="shared" si="1714"/>
        <v>-1</v>
      </c>
      <c r="AI1247" s="100">
        <f t="shared" si="1715"/>
        <v>-1</v>
      </c>
    </row>
    <row r="1248" spans="1:35" s="47" customFormat="1" ht="21" customHeight="1" x14ac:dyDescent="0.3">
      <c r="A1248" s="78"/>
      <c r="B1248" s="106" t="s">
        <v>53</v>
      </c>
      <c r="C1248" s="246" t="s">
        <v>718</v>
      </c>
      <c r="D1248" s="305"/>
      <c r="E1248" s="133" t="s">
        <v>5</v>
      </c>
      <c r="F1248" s="66">
        <f>488</f>
        <v>488</v>
      </c>
      <c r="G1248" s="66"/>
      <c r="H1248" s="66"/>
      <c r="I1248" s="66"/>
      <c r="J1248" s="66"/>
      <c r="K1248" s="78"/>
      <c r="L1248" s="66"/>
      <c r="M1248" s="66"/>
      <c r="N1248" s="110">
        <f t="shared" si="1708"/>
        <v>-488</v>
      </c>
      <c r="O1248" s="110"/>
      <c r="P1248" s="66"/>
      <c r="Q1248" s="66"/>
      <c r="R1248" s="66"/>
      <c r="S1248" s="66"/>
      <c r="T1248" s="110">
        <f t="shared" si="1709"/>
        <v>0</v>
      </c>
      <c r="U1248" s="59">
        <f t="shared" si="1710"/>
        <v>0</v>
      </c>
      <c r="V1248" s="66"/>
      <c r="W1248" s="66"/>
      <c r="X1248" s="110">
        <f t="shared" si="1711"/>
        <v>0</v>
      </c>
      <c r="Y1248" s="110"/>
      <c r="Z1248" s="110"/>
      <c r="AA1248" s="110"/>
      <c r="AB1248" s="46"/>
      <c r="AC1248" s="78"/>
      <c r="AD1248" s="78"/>
      <c r="AE1248" s="100">
        <f t="shared" si="1712"/>
        <v>-1</v>
      </c>
      <c r="AF1248" s="90"/>
      <c r="AG1248" s="109">
        <f t="shared" si="1713"/>
        <v>-488</v>
      </c>
      <c r="AH1248" s="100">
        <f t="shared" si="1714"/>
        <v>-1</v>
      </c>
      <c r="AI1248" s="100">
        <f t="shared" si="1715"/>
        <v>-1</v>
      </c>
    </row>
    <row r="1249" spans="1:35" s="47" customFormat="1" ht="21" customHeight="1" x14ac:dyDescent="0.3">
      <c r="A1249" s="78"/>
      <c r="B1249" s="106" t="s">
        <v>53</v>
      </c>
      <c r="C1249" s="246" t="s">
        <v>718</v>
      </c>
      <c r="D1249" s="305"/>
      <c r="E1249" s="133" t="s">
        <v>715</v>
      </c>
      <c r="F1249" s="66">
        <f>296</f>
        <v>296</v>
      </c>
      <c r="G1249" s="66"/>
      <c r="H1249" s="66"/>
      <c r="I1249" s="66"/>
      <c r="J1249" s="66"/>
      <c r="K1249" s="78"/>
      <c r="L1249" s="66"/>
      <c r="M1249" s="66"/>
      <c r="N1249" s="110">
        <f t="shared" si="1700"/>
        <v>-296</v>
      </c>
      <c r="O1249" s="110"/>
      <c r="P1249" s="66"/>
      <c r="Q1249" s="66"/>
      <c r="R1249" s="66"/>
      <c r="S1249" s="66"/>
      <c r="T1249" s="110">
        <f t="shared" si="1701"/>
        <v>0</v>
      </c>
      <c r="U1249" s="59">
        <f t="shared" si="1702"/>
        <v>0</v>
      </c>
      <c r="V1249" s="66"/>
      <c r="W1249" s="66"/>
      <c r="X1249" s="110">
        <f t="shared" si="1703"/>
        <v>0</v>
      </c>
      <c r="Y1249" s="110"/>
      <c r="Z1249" s="110"/>
      <c r="AA1249" s="110"/>
      <c r="AB1249" s="46"/>
      <c r="AC1249" s="78"/>
      <c r="AD1249" s="78"/>
      <c r="AE1249" s="100">
        <f t="shared" si="1704"/>
        <v>-1</v>
      </c>
      <c r="AF1249" s="90"/>
      <c r="AG1249" s="109">
        <f t="shared" si="1705"/>
        <v>-296</v>
      </c>
      <c r="AH1249" s="100">
        <f t="shared" si="1706"/>
        <v>-1</v>
      </c>
      <c r="AI1249" s="100">
        <f t="shared" si="1707"/>
        <v>-1</v>
      </c>
    </row>
    <row r="1250" spans="1:35" s="47" customFormat="1" ht="21" customHeight="1" x14ac:dyDescent="0.3">
      <c r="A1250" s="78"/>
      <c r="B1250" s="106" t="s">
        <v>53</v>
      </c>
      <c r="C1250" s="246" t="s">
        <v>718</v>
      </c>
      <c r="D1250" s="305"/>
      <c r="E1250" s="133" t="s">
        <v>716</v>
      </c>
      <c r="F1250" s="66">
        <f>296</f>
        <v>296</v>
      </c>
      <c r="G1250" s="66"/>
      <c r="H1250" s="66"/>
      <c r="I1250" s="66"/>
      <c r="J1250" s="66"/>
      <c r="K1250" s="78"/>
      <c r="L1250" s="66"/>
      <c r="M1250" s="66"/>
      <c r="N1250" s="110">
        <f t="shared" si="1700"/>
        <v>-296</v>
      </c>
      <c r="O1250" s="110"/>
      <c r="P1250" s="66"/>
      <c r="Q1250" s="66"/>
      <c r="R1250" s="66"/>
      <c r="S1250" s="66"/>
      <c r="T1250" s="110">
        <f t="shared" si="1701"/>
        <v>0</v>
      </c>
      <c r="U1250" s="59">
        <f t="shared" si="1702"/>
        <v>0</v>
      </c>
      <c r="V1250" s="66"/>
      <c r="W1250" s="66"/>
      <c r="X1250" s="110">
        <f t="shared" si="1703"/>
        <v>0</v>
      </c>
      <c r="Y1250" s="110"/>
      <c r="Z1250" s="110"/>
      <c r="AA1250" s="110"/>
      <c r="AB1250" s="46"/>
      <c r="AC1250" s="78"/>
      <c r="AD1250" s="78"/>
      <c r="AE1250" s="100">
        <f t="shared" si="1704"/>
        <v>-1</v>
      </c>
      <c r="AF1250" s="90"/>
      <c r="AG1250" s="109">
        <f t="shared" si="1705"/>
        <v>-296</v>
      </c>
      <c r="AH1250" s="100">
        <f t="shared" si="1706"/>
        <v>-1</v>
      </c>
      <c r="AI1250" s="100">
        <f t="shared" si="1707"/>
        <v>-1</v>
      </c>
    </row>
    <row r="1251" spans="1:35" s="47" customFormat="1" ht="21" customHeight="1" x14ac:dyDescent="0.3">
      <c r="A1251" s="78"/>
      <c r="B1251" s="106" t="s">
        <v>53</v>
      </c>
      <c r="C1251" s="246" t="s">
        <v>718</v>
      </c>
      <c r="D1251" s="305"/>
      <c r="E1251" s="133" t="s">
        <v>717</v>
      </c>
      <c r="F1251" s="66">
        <v>296</v>
      </c>
      <c r="G1251" s="66"/>
      <c r="H1251" s="66"/>
      <c r="I1251" s="66"/>
      <c r="J1251" s="66"/>
      <c r="K1251" s="78"/>
      <c r="L1251" s="66"/>
      <c r="M1251" s="66"/>
      <c r="N1251" s="110">
        <f t="shared" si="1685"/>
        <v>-296</v>
      </c>
      <c r="O1251" s="110"/>
      <c r="P1251" s="66"/>
      <c r="Q1251" s="66"/>
      <c r="R1251" s="66"/>
      <c r="S1251" s="66"/>
      <c r="T1251" s="110">
        <f t="shared" si="1686"/>
        <v>0</v>
      </c>
      <c r="U1251" s="59">
        <f t="shared" si="1560"/>
        <v>0</v>
      </c>
      <c r="V1251" s="66"/>
      <c r="W1251" s="66"/>
      <c r="X1251" s="110">
        <f t="shared" si="1687"/>
        <v>0</v>
      </c>
      <c r="Y1251" s="110"/>
      <c r="Z1251" s="110"/>
      <c r="AA1251" s="110"/>
      <c r="AB1251" s="46"/>
      <c r="AC1251" s="78"/>
      <c r="AD1251" s="78"/>
      <c r="AE1251" s="100">
        <f t="shared" si="1688"/>
        <v>-1</v>
      </c>
      <c r="AF1251" s="90"/>
      <c r="AG1251" s="109">
        <f t="shared" si="1689"/>
        <v>-296</v>
      </c>
      <c r="AH1251" s="100">
        <f t="shared" si="1690"/>
        <v>-1</v>
      </c>
      <c r="AI1251" s="100">
        <f t="shared" si="1691"/>
        <v>-1</v>
      </c>
    </row>
    <row r="1252" spans="1:35" s="79" customFormat="1" ht="15.75" customHeight="1" x14ac:dyDescent="0.3">
      <c r="A1252" s="90" t="s">
        <v>46</v>
      </c>
      <c r="B1252" s="136" t="s">
        <v>53</v>
      </c>
      <c r="C1252" s="137"/>
      <c r="D1252" s="136"/>
      <c r="E1252" s="138"/>
      <c r="F1252" s="91">
        <f>SUM(F1238:F1251)</f>
        <v>9792</v>
      </c>
      <c r="G1252" s="91"/>
      <c r="H1252" s="91"/>
      <c r="I1252" s="91"/>
      <c r="J1252" s="91" t="s">
        <v>58</v>
      </c>
      <c r="K1252" s="65" t="s">
        <v>410</v>
      </c>
      <c r="L1252" s="91">
        <f t="shared" ref="L1252:T1252" si="1716">SUM(L1238:L1251)</f>
        <v>0</v>
      </c>
      <c r="M1252" s="91">
        <f t="shared" si="1716"/>
        <v>0</v>
      </c>
      <c r="N1252" s="91">
        <f t="shared" si="1716"/>
        <v>-9792</v>
      </c>
      <c r="O1252" s="91">
        <f t="shared" si="1716"/>
        <v>0</v>
      </c>
      <c r="P1252" s="91">
        <f t="shared" si="1716"/>
        <v>0</v>
      </c>
      <c r="Q1252" s="91">
        <f t="shared" si="1716"/>
        <v>0</v>
      </c>
      <c r="R1252" s="91">
        <f t="shared" si="1716"/>
        <v>0</v>
      </c>
      <c r="S1252" s="91">
        <f t="shared" si="1716"/>
        <v>0</v>
      </c>
      <c r="T1252" s="91">
        <f t="shared" si="1716"/>
        <v>0</v>
      </c>
      <c r="U1252" s="59">
        <f>IF(Q1252&gt;0,S1252-W1252,M1252-W1252)</f>
        <v>0</v>
      </c>
      <c r="V1252" s="91">
        <f>SUM(V1238:V1251)</f>
        <v>0</v>
      </c>
      <c r="W1252" s="91">
        <f>SUM(W1238:W1251)</f>
        <v>0</v>
      </c>
      <c r="X1252" s="91">
        <f>SUM(X1238:X1251)</f>
        <v>0</v>
      </c>
      <c r="Y1252" s="136"/>
      <c r="Z1252" s="136"/>
      <c r="AA1252" s="136"/>
      <c r="AB1252" s="84"/>
      <c r="AC1252" s="90"/>
      <c r="AD1252" s="90"/>
      <c r="AE1252" s="100">
        <f t="shared" si="1641"/>
        <v>-1</v>
      </c>
      <c r="AF1252" s="90"/>
      <c r="AG1252" s="109">
        <f t="shared" si="1642"/>
        <v>-9792</v>
      </c>
      <c r="AH1252" s="100">
        <f t="shared" si="1643"/>
        <v>-1</v>
      </c>
      <c r="AI1252" s="100">
        <f t="shared" si="1644"/>
        <v>-1</v>
      </c>
    </row>
    <row r="1253" spans="1:35" s="47" customFormat="1" ht="21" customHeight="1" x14ac:dyDescent="0.3">
      <c r="A1253" s="78"/>
      <c r="B1253" s="106" t="s">
        <v>53</v>
      </c>
      <c r="C1253" s="246" t="s">
        <v>719</v>
      </c>
      <c r="D1253" s="304">
        <v>22013782</v>
      </c>
      <c r="E1253" s="133" t="s">
        <v>715</v>
      </c>
      <c r="F1253" s="66">
        <v>1358</v>
      </c>
      <c r="G1253" s="66"/>
      <c r="H1253" s="66"/>
      <c r="I1253" s="66"/>
      <c r="J1253" s="66"/>
      <c r="K1253" s="78"/>
      <c r="L1253" s="66"/>
      <c r="M1253" s="66"/>
      <c r="N1253" s="110">
        <f t="shared" ref="N1253:N1255" si="1717">M1253-F1253</f>
        <v>-1358</v>
      </c>
      <c r="O1253" s="110"/>
      <c r="P1253" s="66"/>
      <c r="Q1253" s="66"/>
      <c r="R1253" s="66"/>
      <c r="S1253" s="66"/>
      <c r="T1253" s="110">
        <f t="shared" ref="T1253:T1255" si="1718">S1253-Q1253</f>
        <v>0</v>
      </c>
      <c r="U1253" s="59">
        <f t="shared" ref="U1253:U1255" si="1719">IF(Q1253&gt;0,S1253-W1253,M1253-W1253)</f>
        <v>0</v>
      </c>
      <c r="V1253" s="66"/>
      <c r="W1253" s="66"/>
      <c r="X1253" s="110">
        <f t="shared" ref="X1253:X1255" si="1720">W1253-M1253</f>
        <v>0</v>
      </c>
      <c r="Y1253" s="110"/>
      <c r="Z1253" s="110"/>
      <c r="AA1253" s="110"/>
      <c r="AB1253" s="46"/>
      <c r="AC1253" s="78"/>
      <c r="AD1253" s="78"/>
      <c r="AE1253" s="100">
        <f t="shared" ref="AE1253:AE1256" si="1721">N1253/F1253</f>
        <v>-1</v>
      </c>
      <c r="AF1253" s="90"/>
      <c r="AG1253" s="109">
        <f t="shared" ref="AG1253:AG1256" si="1722">IF(N1253&lt;0,N1253,0)</f>
        <v>-1358</v>
      </c>
      <c r="AH1253" s="100">
        <f t="shared" ref="AH1253:AH1256" si="1723">(S1253-F1253)/F1253</f>
        <v>-1</v>
      </c>
      <c r="AI1253" s="100">
        <f t="shared" ref="AI1253:AI1256" si="1724">(W1253-F1253)/F1253</f>
        <v>-1</v>
      </c>
    </row>
    <row r="1254" spans="1:35" s="47" customFormat="1" ht="21" customHeight="1" x14ac:dyDescent="0.3">
      <c r="A1254" s="78"/>
      <c r="B1254" s="106" t="s">
        <v>53</v>
      </c>
      <c r="C1254" s="246" t="s">
        <v>719</v>
      </c>
      <c r="D1254" s="305"/>
      <c r="E1254" s="133" t="s">
        <v>716</v>
      </c>
      <c r="F1254" s="66">
        <v>1358</v>
      </c>
      <c r="G1254" s="66"/>
      <c r="H1254" s="66"/>
      <c r="I1254" s="66"/>
      <c r="J1254" s="66"/>
      <c r="K1254" s="78"/>
      <c r="L1254" s="66"/>
      <c r="M1254" s="66"/>
      <c r="N1254" s="110">
        <f t="shared" ref="N1254" si="1725">M1254-F1254</f>
        <v>-1358</v>
      </c>
      <c r="O1254" s="110"/>
      <c r="P1254" s="66"/>
      <c r="Q1254" s="66"/>
      <c r="R1254" s="66"/>
      <c r="S1254" s="66"/>
      <c r="T1254" s="110">
        <f t="shared" ref="T1254" si="1726">S1254-Q1254</f>
        <v>0</v>
      </c>
      <c r="U1254" s="59">
        <f t="shared" ref="U1254" si="1727">IF(Q1254&gt;0,S1254-W1254,M1254-W1254)</f>
        <v>0</v>
      </c>
      <c r="V1254" s="66"/>
      <c r="W1254" s="66"/>
      <c r="X1254" s="110">
        <f t="shared" ref="X1254" si="1728">W1254-M1254</f>
        <v>0</v>
      </c>
      <c r="Y1254" s="110"/>
      <c r="Z1254" s="110"/>
      <c r="AA1254" s="110"/>
      <c r="AB1254" s="46"/>
      <c r="AC1254" s="78"/>
      <c r="AD1254" s="78"/>
      <c r="AE1254" s="100">
        <f t="shared" ref="AE1254" si="1729">N1254/F1254</f>
        <v>-1</v>
      </c>
      <c r="AF1254" s="90"/>
      <c r="AG1254" s="109">
        <f t="shared" ref="AG1254" si="1730">IF(N1254&lt;0,N1254,0)</f>
        <v>-1358</v>
      </c>
      <c r="AH1254" s="100">
        <f t="shared" ref="AH1254" si="1731">(S1254-F1254)/F1254</f>
        <v>-1</v>
      </c>
      <c r="AI1254" s="100">
        <f t="shared" ref="AI1254" si="1732">(W1254-F1254)/F1254</f>
        <v>-1</v>
      </c>
    </row>
    <row r="1255" spans="1:35" s="47" customFormat="1" ht="21" customHeight="1" x14ac:dyDescent="0.3">
      <c r="A1255" s="78"/>
      <c r="B1255" s="106" t="s">
        <v>53</v>
      </c>
      <c r="C1255" s="246" t="s">
        <v>719</v>
      </c>
      <c r="D1255" s="306"/>
      <c r="E1255" s="133" t="s">
        <v>717</v>
      </c>
      <c r="F1255" s="66">
        <v>1358</v>
      </c>
      <c r="G1255" s="66"/>
      <c r="H1255" s="66"/>
      <c r="I1255" s="66"/>
      <c r="J1255" s="66"/>
      <c r="K1255" s="78"/>
      <c r="L1255" s="66"/>
      <c r="M1255" s="66"/>
      <c r="N1255" s="110">
        <f t="shared" si="1717"/>
        <v>-1358</v>
      </c>
      <c r="O1255" s="110"/>
      <c r="P1255" s="66"/>
      <c r="Q1255" s="66"/>
      <c r="R1255" s="66"/>
      <c r="S1255" s="66"/>
      <c r="T1255" s="110">
        <f t="shared" si="1718"/>
        <v>0</v>
      </c>
      <c r="U1255" s="59">
        <f t="shared" si="1719"/>
        <v>0</v>
      </c>
      <c r="V1255" s="66"/>
      <c r="W1255" s="66"/>
      <c r="X1255" s="110">
        <f t="shared" si="1720"/>
        <v>0</v>
      </c>
      <c r="Y1255" s="110"/>
      <c r="Z1255" s="110"/>
      <c r="AA1255" s="110"/>
      <c r="AB1255" s="46"/>
      <c r="AC1255" s="78"/>
      <c r="AD1255" s="78"/>
      <c r="AE1255" s="100">
        <f t="shared" si="1721"/>
        <v>-1</v>
      </c>
      <c r="AF1255" s="90"/>
      <c r="AG1255" s="109">
        <f t="shared" si="1722"/>
        <v>-1358</v>
      </c>
      <c r="AH1255" s="100">
        <f t="shared" si="1723"/>
        <v>-1</v>
      </c>
      <c r="AI1255" s="100">
        <f t="shared" si="1724"/>
        <v>-1</v>
      </c>
    </row>
    <row r="1256" spans="1:35" s="79" customFormat="1" ht="15.75" customHeight="1" x14ac:dyDescent="0.3">
      <c r="A1256" s="90" t="s">
        <v>46</v>
      </c>
      <c r="B1256" s="136" t="s">
        <v>53</v>
      </c>
      <c r="C1256" s="137"/>
      <c r="D1256" s="136"/>
      <c r="E1256" s="138"/>
      <c r="F1256" s="91">
        <f>SUM(F1253:F1255)</f>
        <v>4074</v>
      </c>
      <c r="G1256" s="91"/>
      <c r="H1256" s="91"/>
      <c r="I1256" s="91"/>
      <c r="J1256" s="91" t="s">
        <v>58</v>
      </c>
      <c r="K1256" s="65" t="s">
        <v>410</v>
      </c>
      <c r="L1256" s="91">
        <f>SUM(L1253:L1255)</f>
        <v>0</v>
      </c>
      <c r="M1256" s="91">
        <f t="shared" ref="M1256" si="1733">SUM(M1253:M1255)</f>
        <v>0</v>
      </c>
      <c r="N1256" s="91">
        <f t="shared" ref="N1256" si="1734">SUM(N1253:N1255)</f>
        <v>-4074</v>
      </c>
      <c r="O1256" s="91"/>
      <c r="P1256" s="91">
        <f t="shared" ref="P1256" si="1735">SUM(P1253:P1255)</f>
        <v>0</v>
      </c>
      <c r="Q1256" s="91">
        <f t="shared" ref="Q1256" si="1736">SUM(Q1253:Q1255)</f>
        <v>0</v>
      </c>
      <c r="R1256" s="91">
        <f t="shared" ref="R1256" si="1737">SUM(R1253:R1255)</f>
        <v>0</v>
      </c>
      <c r="S1256" s="91">
        <f t="shared" ref="S1256" si="1738">SUM(S1253:S1255)</f>
        <v>0</v>
      </c>
      <c r="T1256" s="91">
        <f t="shared" ref="T1256" si="1739">SUM(T1253:T1255)</f>
        <v>0</v>
      </c>
      <c r="U1256" s="59">
        <f>IF(Q1256&gt;0,S1256-W1256,M1256-W1256)</f>
        <v>0</v>
      </c>
      <c r="V1256" s="91">
        <f t="shared" ref="V1256" si="1740">SUM(V1253:V1255)</f>
        <v>0</v>
      </c>
      <c r="W1256" s="91">
        <f t="shared" ref="W1256" si="1741">SUM(W1253:W1255)</f>
        <v>0</v>
      </c>
      <c r="X1256" s="91">
        <f t="shared" ref="X1256" si="1742">SUM(X1253:X1255)</f>
        <v>0</v>
      </c>
      <c r="Y1256" s="136"/>
      <c r="Z1256" s="136"/>
      <c r="AA1256" s="136"/>
      <c r="AB1256" s="84"/>
      <c r="AC1256" s="90"/>
      <c r="AD1256" s="90"/>
      <c r="AE1256" s="100">
        <f t="shared" si="1721"/>
        <v>-1</v>
      </c>
      <c r="AF1256" s="90"/>
      <c r="AG1256" s="109">
        <f t="shared" si="1722"/>
        <v>-4074</v>
      </c>
      <c r="AH1256" s="100">
        <f t="shared" si="1723"/>
        <v>-1</v>
      </c>
      <c r="AI1256" s="100">
        <f t="shared" si="1724"/>
        <v>-1</v>
      </c>
    </row>
    <row r="1257" spans="1:35" s="47" customFormat="1" ht="21" customHeight="1" x14ac:dyDescent="0.3">
      <c r="A1257" s="78"/>
      <c r="B1257" s="106" t="s">
        <v>53</v>
      </c>
      <c r="C1257" s="222" t="s">
        <v>373</v>
      </c>
      <c r="D1257" s="304">
        <v>22031973</v>
      </c>
      <c r="E1257" s="133" t="s">
        <v>117</v>
      </c>
      <c r="F1257" s="66">
        <v>1028</v>
      </c>
      <c r="G1257" s="66"/>
      <c r="H1257" s="66"/>
      <c r="I1257" s="66"/>
      <c r="J1257" s="66"/>
      <c r="K1257" s="78"/>
      <c r="L1257" s="66"/>
      <c r="M1257" s="66">
        <f>310+310+428</f>
        <v>1048</v>
      </c>
      <c r="N1257" s="110">
        <f t="shared" ref="N1257" si="1743">M1257-F1257</f>
        <v>20</v>
      </c>
      <c r="O1257" s="110"/>
      <c r="P1257" s="66"/>
      <c r="Q1257" s="66"/>
      <c r="R1257" s="66"/>
      <c r="S1257" s="66"/>
      <c r="T1257" s="110">
        <f t="shared" ref="T1257" si="1744">S1257-Q1257</f>
        <v>0</v>
      </c>
      <c r="U1257" s="59">
        <f t="shared" ref="U1257" si="1745">IF(Q1257&gt;0,S1257-W1257,M1257-W1257)</f>
        <v>0</v>
      </c>
      <c r="V1257" s="66"/>
      <c r="W1257" s="66">
        <v>1048</v>
      </c>
      <c r="X1257" s="110">
        <f t="shared" ref="X1257" si="1746">W1257-M1257</f>
        <v>0</v>
      </c>
      <c r="Y1257" s="110"/>
      <c r="Z1257" s="110"/>
      <c r="AA1257" s="110"/>
      <c r="AB1257" s="46"/>
      <c r="AC1257" s="78"/>
      <c r="AD1257" s="78"/>
      <c r="AE1257" s="100">
        <f t="shared" si="1641"/>
        <v>1.9455252918287938E-2</v>
      </c>
      <c r="AF1257" s="90"/>
      <c r="AG1257" s="109">
        <f t="shared" si="1642"/>
        <v>0</v>
      </c>
      <c r="AH1257" s="100">
        <f t="shared" si="1643"/>
        <v>-1</v>
      </c>
      <c r="AI1257" s="100">
        <f t="shared" si="1644"/>
        <v>1.9455252918287938E-2</v>
      </c>
    </row>
    <row r="1258" spans="1:35" s="47" customFormat="1" ht="21" customHeight="1" x14ac:dyDescent="0.3">
      <c r="A1258" s="78"/>
      <c r="B1258" s="106" t="s">
        <v>53</v>
      </c>
      <c r="C1258" s="222" t="s">
        <v>373</v>
      </c>
      <c r="D1258" s="306"/>
      <c r="E1258" s="133" t="s">
        <v>0</v>
      </c>
      <c r="F1258" s="66">
        <v>2018</v>
      </c>
      <c r="G1258" s="66"/>
      <c r="H1258" s="66"/>
      <c r="I1258" s="66"/>
      <c r="J1258" s="66"/>
      <c r="K1258" s="78"/>
      <c r="L1258" s="66"/>
      <c r="M1258" s="66">
        <f>300+575+305+300+200+136+225+38</f>
        <v>2079</v>
      </c>
      <c r="N1258" s="110">
        <f t="shared" ref="N1258" si="1747">M1258-F1258</f>
        <v>61</v>
      </c>
      <c r="O1258" s="110"/>
      <c r="P1258" s="66"/>
      <c r="Q1258" s="66"/>
      <c r="R1258" s="66"/>
      <c r="S1258" s="66"/>
      <c r="T1258" s="110">
        <f t="shared" ref="T1258" si="1748">S1258-Q1258</f>
        <v>0</v>
      </c>
      <c r="U1258" s="59">
        <f t="shared" si="1560"/>
        <v>34</v>
      </c>
      <c r="V1258" s="66"/>
      <c r="W1258" s="66">
        <v>2045</v>
      </c>
      <c r="X1258" s="110">
        <f t="shared" ref="X1258" si="1749">W1258-M1258</f>
        <v>-34</v>
      </c>
      <c r="Y1258" s="110"/>
      <c r="Z1258" s="110"/>
      <c r="AA1258" s="110"/>
      <c r="AB1258" s="46"/>
      <c r="AC1258" s="78"/>
      <c r="AD1258" s="78"/>
      <c r="AE1258" s="100">
        <f t="shared" ref="AE1258:AE1259" si="1750">N1258/F1258</f>
        <v>3.0227948463825569E-2</v>
      </c>
      <c r="AF1258" s="90"/>
      <c r="AG1258" s="109">
        <f t="shared" ref="AG1258:AG1259" si="1751">IF(N1258&lt;0,N1258,0)</f>
        <v>0</v>
      </c>
      <c r="AH1258" s="100">
        <f t="shared" ref="AH1258:AH1259" si="1752">(S1258-F1258)/F1258</f>
        <v>-1</v>
      </c>
      <c r="AI1258" s="100">
        <f t="shared" ref="AI1258:AI1259" si="1753">(W1258-F1258)/F1258</f>
        <v>1.3379583746283449E-2</v>
      </c>
    </row>
    <row r="1259" spans="1:35" s="79" customFormat="1" ht="15.75" customHeight="1" x14ac:dyDescent="0.3">
      <c r="A1259" s="90" t="s">
        <v>46</v>
      </c>
      <c r="B1259" s="136" t="s">
        <v>53</v>
      </c>
      <c r="C1259" s="137"/>
      <c r="D1259" s="136"/>
      <c r="E1259" s="138"/>
      <c r="F1259" s="91">
        <f>SUM(F1257:F1258)</f>
        <v>3046</v>
      </c>
      <c r="G1259" s="91"/>
      <c r="H1259" s="91"/>
      <c r="I1259" s="91"/>
      <c r="J1259" s="91" t="s">
        <v>58</v>
      </c>
      <c r="K1259" s="65" t="s">
        <v>210</v>
      </c>
      <c r="L1259" s="91">
        <f>SUM(L1257:L1258)</f>
        <v>0</v>
      </c>
      <c r="M1259" s="91">
        <f t="shared" ref="M1259:X1259" si="1754">SUM(M1257:M1258)</f>
        <v>3127</v>
      </c>
      <c r="N1259" s="91">
        <f t="shared" si="1754"/>
        <v>81</v>
      </c>
      <c r="O1259" s="91"/>
      <c r="P1259" s="91">
        <f t="shared" si="1754"/>
        <v>0</v>
      </c>
      <c r="Q1259" s="91">
        <f t="shared" si="1754"/>
        <v>0</v>
      </c>
      <c r="R1259" s="91">
        <f t="shared" si="1754"/>
        <v>0</v>
      </c>
      <c r="S1259" s="91">
        <f t="shared" si="1754"/>
        <v>0</v>
      </c>
      <c r="T1259" s="91">
        <f t="shared" si="1754"/>
        <v>0</v>
      </c>
      <c r="U1259" s="59">
        <f t="shared" si="1560"/>
        <v>34</v>
      </c>
      <c r="V1259" s="91">
        <f t="shared" si="1754"/>
        <v>0</v>
      </c>
      <c r="W1259" s="91">
        <f t="shared" si="1754"/>
        <v>3093</v>
      </c>
      <c r="X1259" s="91">
        <f t="shared" si="1754"/>
        <v>-34</v>
      </c>
      <c r="Y1259" s="136"/>
      <c r="Z1259" s="136"/>
      <c r="AA1259" s="136"/>
      <c r="AB1259" s="84"/>
      <c r="AC1259" s="90"/>
      <c r="AD1259" s="90"/>
      <c r="AE1259" s="100">
        <f t="shared" si="1750"/>
        <v>2.659225213394616E-2</v>
      </c>
      <c r="AF1259" s="90"/>
      <c r="AG1259" s="109">
        <f t="shared" si="1751"/>
        <v>0</v>
      </c>
      <c r="AH1259" s="100">
        <f t="shared" si="1752"/>
        <v>-1</v>
      </c>
      <c r="AI1259" s="100">
        <f t="shared" si="1753"/>
        <v>1.5430072225869994E-2</v>
      </c>
    </row>
    <row r="1260" spans="1:35" s="47" customFormat="1" ht="21" customHeight="1" x14ac:dyDescent="0.3">
      <c r="A1260" s="78"/>
      <c r="B1260" s="106" t="s">
        <v>53</v>
      </c>
      <c r="C1260" s="172" t="s">
        <v>948</v>
      </c>
      <c r="D1260" s="173">
        <v>22031973</v>
      </c>
      <c r="E1260" s="133" t="s">
        <v>117</v>
      </c>
      <c r="F1260" s="66">
        <v>1028</v>
      </c>
      <c r="G1260" s="66"/>
      <c r="H1260" s="66"/>
      <c r="I1260" s="66"/>
      <c r="J1260" s="66"/>
      <c r="K1260" s="78"/>
      <c r="L1260" s="66"/>
      <c r="M1260" s="66">
        <f>745</f>
        <v>745</v>
      </c>
      <c r="N1260" s="110">
        <f t="shared" ref="N1260" si="1755">M1260-F1260</f>
        <v>-283</v>
      </c>
      <c r="O1260" s="110"/>
      <c r="P1260" s="66"/>
      <c r="Q1260" s="66"/>
      <c r="R1260" s="66"/>
      <c r="S1260" s="66"/>
      <c r="T1260" s="110">
        <f t="shared" ref="T1260" si="1756">S1260-Q1260</f>
        <v>0</v>
      </c>
      <c r="U1260" s="59">
        <f t="shared" si="1560"/>
        <v>745</v>
      </c>
      <c r="V1260" s="66"/>
      <c r="W1260" s="66"/>
      <c r="X1260" s="110">
        <f t="shared" ref="X1260" si="1757">W1260-M1260</f>
        <v>-745</v>
      </c>
      <c r="Y1260" s="110"/>
      <c r="Z1260" s="110"/>
      <c r="AA1260" s="110"/>
      <c r="AB1260" s="46"/>
      <c r="AC1260" s="78"/>
      <c r="AD1260" s="78"/>
      <c r="AE1260" s="100">
        <f t="shared" ref="AE1260:AE1267" si="1758">N1260/F1260</f>
        <v>-0.27529182879377434</v>
      </c>
      <c r="AF1260" s="90"/>
      <c r="AG1260" s="109">
        <f t="shared" ref="AG1260:AG1267" si="1759">IF(N1260&lt;0,N1260,0)</f>
        <v>-283</v>
      </c>
      <c r="AH1260" s="100">
        <f t="shared" ref="AH1260:AH1267" si="1760">(S1260-F1260)/F1260</f>
        <v>-1</v>
      </c>
      <c r="AI1260" s="100">
        <f t="shared" ref="AI1260:AI1267" si="1761">(W1260-F1260)/F1260</f>
        <v>-1</v>
      </c>
    </row>
    <row r="1261" spans="1:35" s="79" customFormat="1" ht="15.75" customHeight="1" x14ac:dyDescent="0.3">
      <c r="A1261" s="90" t="s">
        <v>46</v>
      </c>
      <c r="B1261" s="136" t="s">
        <v>53</v>
      </c>
      <c r="C1261" s="137"/>
      <c r="D1261" s="136"/>
      <c r="E1261" s="138"/>
      <c r="F1261" s="91">
        <f>SUM(F1260:F1260)</f>
        <v>1028</v>
      </c>
      <c r="G1261" s="91"/>
      <c r="H1261" s="91"/>
      <c r="I1261" s="91"/>
      <c r="J1261" s="91" t="s">
        <v>58</v>
      </c>
      <c r="K1261" s="65" t="s">
        <v>226</v>
      </c>
      <c r="L1261" s="91">
        <f>SUM(L1260:L1260)</f>
        <v>0</v>
      </c>
      <c r="M1261" s="91">
        <f>SUM(M1260:M1260)</f>
        <v>745</v>
      </c>
      <c r="N1261" s="91">
        <f>SUM(N1260:N1260)</f>
        <v>-283</v>
      </c>
      <c r="O1261" s="91"/>
      <c r="P1261" s="91">
        <f t="shared" ref="P1261:X1261" si="1762">SUM(P1260:P1260)</f>
        <v>0</v>
      </c>
      <c r="Q1261" s="91">
        <f t="shared" si="1762"/>
        <v>0</v>
      </c>
      <c r="R1261" s="91">
        <f t="shared" si="1762"/>
        <v>0</v>
      </c>
      <c r="S1261" s="91">
        <f t="shared" si="1762"/>
        <v>0</v>
      </c>
      <c r="T1261" s="91">
        <f t="shared" si="1762"/>
        <v>0</v>
      </c>
      <c r="U1261" s="59">
        <f t="shared" si="1560"/>
        <v>745</v>
      </c>
      <c r="V1261" s="91">
        <f t="shared" si="1762"/>
        <v>0</v>
      </c>
      <c r="W1261" s="91">
        <f t="shared" si="1762"/>
        <v>0</v>
      </c>
      <c r="X1261" s="91">
        <f t="shared" si="1762"/>
        <v>-745</v>
      </c>
      <c r="Y1261" s="136"/>
      <c r="Z1261" s="136"/>
      <c r="AA1261" s="136"/>
      <c r="AB1261" s="84"/>
      <c r="AC1261" s="90"/>
      <c r="AD1261" s="90"/>
      <c r="AE1261" s="100">
        <f t="shared" si="1758"/>
        <v>-0.27529182879377434</v>
      </c>
      <c r="AF1261" s="90"/>
      <c r="AG1261" s="109">
        <f t="shared" si="1759"/>
        <v>-283</v>
      </c>
      <c r="AH1261" s="100">
        <f t="shared" si="1760"/>
        <v>-1</v>
      </c>
      <c r="AI1261" s="100">
        <f t="shared" si="1761"/>
        <v>-1</v>
      </c>
    </row>
    <row r="1262" spans="1:35" s="47" customFormat="1" ht="21" customHeight="1" x14ac:dyDescent="0.3">
      <c r="A1262" s="78"/>
      <c r="B1262" s="106" t="s">
        <v>53</v>
      </c>
      <c r="C1262" s="107" t="s">
        <v>1021</v>
      </c>
      <c r="D1262" s="304">
        <v>22042341</v>
      </c>
      <c r="E1262" s="133" t="s">
        <v>133</v>
      </c>
      <c r="F1262" s="66">
        <v>3008</v>
      </c>
      <c r="G1262" s="66"/>
      <c r="H1262" s="66"/>
      <c r="I1262" s="66"/>
      <c r="J1262" s="66"/>
      <c r="K1262" s="78"/>
      <c r="L1262" s="66"/>
      <c r="M1262" s="66"/>
      <c r="N1262" s="110">
        <f t="shared" ref="N1262:N1263" si="1763">M1262-F1262</f>
        <v>-3008</v>
      </c>
      <c r="O1262" s="110"/>
      <c r="P1262" s="66"/>
      <c r="Q1262" s="66"/>
      <c r="R1262" s="66"/>
      <c r="S1262" s="66"/>
      <c r="T1262" s="110">
        <f t="shared" ref="T1262:T1263" si="1764">S1262-Q1262</f>
        <v>0</v>
      </c>
      <c r="U1262" s="59">
        <f t="shared" ref="U1262:U1264" si="1765">IF(Q1262&gt;0,S1262-W1262,M1262-W1262)</f>
        <v>0</v>
      </c>
      <c r="V1262" s="66"/>
      <c r="W1262" s="66"/>
      <c r="X1262" s="110">
        <f t="shared" ref="X1262:X1263" si="1766">W1262-M1262</f>
        <v>0</v>
      </c>
      <c r="Y1262" s="110"/>
      <c r="Z1262" s="110"/>
      <c r="AA1262" s="110"/>
      <c r="AB1262" s="46"/>
      <c r="AC1262" s="78"/>
      <c r="AD1262" s="78"/>
      <c r="AE1262" s="100">
        <f t="shared" ref="AE1262:AE1264" si="1767">N1262/F1262</f>
        <v>-1</v>
      </c>
      <c r="AF1262" s="90"/>
      <c r="AG1262" s="109">
        <f t="shared" ref="AG1262:AG1264" si="1768">IF(N1262&lt;0,N1262,0)</f>
        <v>-3008</v>
      </c>
      <c r="AH1262" s="100">
        <f t="shared" ref="AH1262:AH1264" si="1769">(S1262-F1262)/F1262</f>
        <v>-1</v>
      </c>
      <c r="AI1262" s="100">
        <f t="shared" ref="AI1262:AI1264" si="1770">(W1262-F1262)/F1262</f>
        <v>-1</v>
      </c>
    </row>
    <row r="1263" spans="1:35" s="47" customFormat="1" ht="21" customHeight="1" x14ac:dyDescent="0.3">
      <c r="A1263" s="78"/>
      <c r="B1263" s="106" t="s">
        <v>53</v>
      </c>
      <c r="C1263" s="107" t="s">
        <v>1021</v>
      </c>
      <c r="D1263" s="305"/>
      <c r="E1263" s="133" t="s">
        <v>610</v>
      </c>
      <c r="F1263" s="66">
        <v>3008</v>
      </c>
      <c r="G1263" s="66"/>
      <c r="H1263" s="66"/>
      <c r="I1263" s="66"/>
      <c r="J1263" s="66"/>
      <c r="K1263" s="78"/>
      <c r="L1263" s="66"/>
      <c r="M1263" s="66"/>
      <c r="N1263" s="110">
        <f t="shared" si="1763"/>
        <v>-3008</v>
      </c>
      <c r="O1263" s="110"/>
      <c r="P1263" s="66"/>
      <c r="Q1263" s="66"/>
      <c r="R1263" s="66"/>
      <c r="S1263" s="66"/>
      <c r="T1263" s="110">
        <f t="shared" si="1764"/>
        <v>0</v>
      </c>
      <c r="U1263" s="59">
        <f t="shared" si="1765"/>
        <v>0</v>
      </c>
      <c r="V1263" s="66"/>
      <c r="W1263" s="66"/>
      <c r="X1263" s="110">
        <f t="shared" si="1766"/>
        <v>0</v>
      </c>
      <c r="Y1263" s="110"/>
      <c r="Z1263" s="110"/>
      <c r="AA1263" s="110"/>
      <c r="AB1263" s="46"/>
      <c r="AC1263" s="78"/>
      <c r="AD1263" s="78"/>
      <c r="AE1263" s="100">
        <f t="shared" si="1767"/>
        <v>-1</v>
      </c>
      <c r="AF1263" s="90"/>
      <c r="AG1263" s="109">
        <f t="shared" si="1768"/>
        <v>-3008</v>
      </c>
      <c r="AH1263" s="100">
        <f t="shared" si="1769"/>
        <v>-1</v>
      </c>
      <c r="AI1263" s="100">
        <f t="shared" si="1770"/>
        <v>-1</v>
      </c>
    </row>
    <row r="1264" spans="1:35" s="79" customFormat="1" ht="15.75" customHeight="1" x14ac:dyDescent="0.3">
      <c r="A1264" s="90" t="s">
        <v>46</v>
      </c>
      <c r="B1264" s="136" t="s">
        <v>53</v>
      </c>
      <c r="C1264" s="137"/>
      <c r="D1264" s="136"/>
      <c r="E1264" s="138"/>
      <c r="F1264" s="91">
        <f>SUM(F1262:F1263)</f>
        <v>6016</v>
      </c>
      <c r="G1264" s="91"/>
      <c r="H1264" s="91"/>
      <c r="I1264" s="91"/>
      <c r="J1264" s="91" t="s">
        <v>58</v>
      </c>
      <c r="K1264" s="65" t="s">
        <v>377</v>
      </c>
      <c r="L1264" s="91">
        <f>SUM(L1262:L1263)</f>
        <v>0</v>
      </c>
      <c r="M1264" s="91">
        <f>SUM(M1262:M1263)</f>
        <v>0</v>
      </c>
      <c r="N1264" s="91">
        <f>SUM(N1262:N1263)</f>
        <v>-6016</v>
      </c>
      <c r="O1264" s="91"/>
      <c r="P1264" s="91">
        <f t="shared" ref="P1264:T1264" si="1771">SUM(P1262:P1263)</f>
        <v>0</v>
      </c>
      <c r="Q1264" s="91">
        <f t="shared" si="1771"/>
        <v>0</v>
      </c>
      <c r="R1264" s="91">
        <f t="shared" si="1771"/>
        <v>0</v>
      </c>
      <c r="S1264" s="91">
        <f t="shared" si="1771"/>
        <v>0</v>
      </c>
      <c r="T1264" s="91">
        <f t="shared" si="1771"/>
        <v>0</v>
      </c>
      <c r="U1264" s="59">
        <f t="shared" si="1765"/>
        <v>0</v>
      </c>
      <c r="V1264" s="91">
        <f t="shared" ref="V1264:X1264" si="1772">SUM(V1262:V1263)</f>
        <v>0</v>
      </c>
      <c r="W1264" s="91">
        <f t="shared" si="1772"/>
        <v>0</v>
      </c>
      <c r="X1264" s="91">
        <f t="shared" si="1772"/>
        <v>0</v>
      </c>
      <c r="Y1264" s="136" t="s">
        <v>47</v>
      </c>
      <c r="Z1264" s="136" t="s">
        <v>45</v>
      </c>
      <c r="AA1264" s="136"/>
      <c r="AB1264" s="84"/>
      <c r="AC1264" s="90"/>
      <c r="AD1264" s="90"/>
      <c r="AE1264" s="100">
        <f t="shared" si="1767"/>
        <v>-1</v>
      </c>
      <c r="AF1264" s="90"/>
      <c r="AG1264" s="109">
        <f t="shared" si="1768"/>
        <v>-6016</v>
      </c>
      <c r="AH1264" s="100">
        <f t="shared" si="1769"/>
        <v>-1</v>
      </c>
      <c r="AI1264" s="100">
        <f t="shared" si="1770"/>
        <v>-1</v>
      </c>
    </row>
    <row r="1265" spans="1:35" s="47" customFormat="1" ht="21" customHeight="1" x14ac:dyDescent="0.3">
      <c r="A1265" s="78"/>
      <c r="B1265" s="106" t="s">
        <v>53</v>
      </c>
      <c r="C1265" s="107" t="s">
        <v>1022</v>
      </c>
      <c r="D1265" s="304">
        <v>22042341</v>
      </c>
      <c r="E1265" s="133" t="s">
        <v>0</v>
      </c>
      <c r="F1265" s="66">
        <v>2438</v>
      </c>
      <c r="G1265" s="66"/>
      <c r="H1265" s="66"/>
      <c r="I1265" s="66"/>
      <c r="J1265" s="66"/>
      <c r="K1265" s="78"/>
      <c r="L1265" s="66"/>
      <c r="M1265" s="66"/>
      <c r="N1265" s="110">
        <f t="shared" ref="N1265" si="1773">M1265-F1265</f>
        <v>-2438</v>
      </c>
      <c r="O1265" s="110"/>
      <c r="P1265" s="66"/>
      <c r="Q1265" s="66"/>
      <c r="R1265" s="66"/>
      <c r="S1265" s="66"/>
      <c r="T1265" s="110">
        <f t="shared" ref="T1265" si="1774">S1265-Q1265</f>
        <v>0</v>
      </c>
      <c r="U1265" s="59">
        <f t="shared" si="1560"/>
        <v>0</v>
      </c>
      <c r="V1265" s="66"/>
      <c r="W1265" s="66"/>
      <c r="X1265" s="110">
        <f t="shared" ref="X1265" si="1775">W1265-M1265</f>
        <v>0</v>
      </c>
      <c r="Y1265" s="110"/>
      <c r="Z1265" s="110"/>
      <c r="AA1265" s="110"/>
      <c r="AB1265" s="46"/>
      <c r="AC1265" s="78"/>
      <c r="AD1265" s="78"/>
      <c r="AE1265" s="100">
        <f t="shared" si="1758"/>
        <v>-1</v>
      </c>
      <c r="AF1265" s="90"/>
      <c r="AG1265" s="109">
        <f t="shared" si="1759"/>
        <v>-2438</v>
      </c>
      <c r="AH1265" s="100">
        <f t="shared" si="1760"/>
        <v>-1</v>
      </c>
      <c r="AI1265" s="100">
        <f t="shared" si="1761"/>
        <v>-1</v>
      </c>
    </row>
    <row r="1266" spans="1:35" s="47" customFormat="1" ht="21" customHeight="1" x14ac:dyDescent="0.3">
      <c r="A1266" s="78"/>
      <c r="B1266" s="106" t="s">
        <v>53</v>
      </c>
      <c r="C1266" s="107" t="s">
        <v>1022</v>
      </c>
      <c r="D1266" s="305"/>
      <c r="E1266" s="133" t="s">
        <v>1023</v>
      </c>
      <c r="F1266" s="66">
        <v>2438</v>
      </c>
      <c r="G1266" s="66"/>
      <c r="H1266" s="66"/>
      <c r="I1266" s="66"/>
      <c r="J1266" s="66"/>
      <c r="K1266" s="78"/>
      <c r="L1266" s="66"/>
      <c r="M1266" s="66"/>
      <c r="N1266" s="110">
        <f t="shared" ref="N1266" si="1776">M1266-F1266</f>
        <v>-2438</v>
      </c>
      <c r="O1266" s="110"/>
      <c r="P1266" s="66"/>
      <c r="Q1266" s="66"/>
      <c r="R1266" s="66"/>
      <c r="S1266" s="66"/>
      <c r="T1266" s="110">
        <f t="shared" ref="T1266" si="1777">S1266-Q1266</f>
        <v>0</v>
      </c>
      <c r="U1266" s="59">
        <f t="shared" si="1560"/>
        <v>0</v>
      </c>
      <c r="V1266" s="66"/>
      <c r="W1266" s="66"/>
      <c r="X1266" s="110">
        <f t="shared" ref="X1266" si="1778">W1266-M1266</f>
        <v>0</v>
      </c>
      <c r="Y1266" s="110"/>
      <c r="Z1266" s="110"/>
      <c r="AA1266" s="110"/>
      <c r="AB1266" s="46"/>
      <c r="AC1266" s="78"/>
      <c r="AD1266" s="78"/>
      <c r="AE1266" s="100">
        <f t="shared" ref="AE1266" si="1779">N1266/F1266</f>
        <v>-1</v>
      </c>
      <c r="AF1266" s="90"/>
      <c r="AG1266" s="109">
        <f t="shared" ref="AG1266" si="1780">IF(N1266&lt;0,N1266,0)</f>
        <v>-2438</v>
      </c>
      <c r="AH1266" s="100">
        <f t="shared" ref="AH1266" si="1781">(S1266-F1266)/F1266</f>
        <v>-1</v>
      </c>
      <c r="AI1266" s="100">
        <f t="shared" ref="AI1266" si="1782">(W1266-F1266)/F1266</f>
        <v>-1</v>
      </c>
    </row>
    <row r="1267" spans="1:35" s="79" customFormat="1" ht="15.75" customHeight="1" x14ac:dyDescent="0.3">
      <c r="A1267" s="90" t="s">
        <v>46</v>
      </c>
      <c r="B1267" s="136" t="s">
        <v>53</v>
      </c>
      <c r="C1267" s="137"/>
      <c r="D1267" s="136"/>
      <c r="E1267" s="138"/>
      <c r="F1267" s="91">
        <f>SUM(F1265:F1266)</f>
        <v>4876</v>
      </c>
      <c r="G1267" s="91"/>
      <c r="H1267" s="91"/>
      <c r="I1267" s="91"/>
      <c r="J1267" s="91" t="s">
        <v>58</v>
      </c>
      <c r="K1267" s="65" t="s">
        <v>572</v>
      </c>
      <c r="L1267" s="91">
        <f>SUM(L1265:L1266)</f>
        <v>0</v>
      </c>
      <c r="M1267" s="91">
        <f>SUM(M1265:M1266)</f>
        <v>0</v>
      </c>
      <c r="N1267" s="91">
        <f>SUM(N1265:N1266)</f>
        <v>-4876</v>
      </c>
      <c r="O1267" s="91"/>
      <c r="P1267" s="91">
        <f t="shared" ref="P1267:X1267" si="1783">SUM(P1265:P1266)</f>
        <v>0</v>
      </c>
      <c r="Q1267" s="91">
        <f t="shared" si="1783"/>
        <v>0</v>
      </c>
      <c r="R1267" s="91">
        <f t="shared" si="1783"/>
        <v>0</v>
      </c>
      <c r="S1267" s="91">
        <f t="shared" si="1783"/>
        <v>0</v>
      </c>
      <c r="T1267" s="91">
        <f t="shared" si="1783"/>
        <v>0</v>
      </c>
      <c r="U1267" s="59">
        <f t="shared" si="1560"/>
        <v>0</v>
      </c>
      <c r="V1267" s="91">
        <f t="shared" si="1783"/>
        <v>0</v>
      </c>
      <c r="W1267" s="91">
        <f t="shared" si="1783"/>
        <v>0</v>
      </c>
      <c r="X1267" s="91">
        <f t="shared" si="1783"/>
        <v>0</v>
      </c>
      <c r="Y1267" s="136" t="s">
        <v>47</v>
      </c>
      <c r="Z1267" s="136" t="s">
        <v>45</v>
      </c>
      <c r="AA1267" s="136"/>
      <c r="AB1267" s="84"/>
      <c r="AC1267" s="90"/>
      <c r="AD1267" s="90"/>
      <c r="AE1267" s="100">
        <f t="shared" si="1758"/>
        <v>-1</v>
      </c>
      <c r="AF1267" s="90"/>
      <c r="AG1267" s="109">
        <f t="shared" si="1759"/>
        <v>-4876</v>
      </c>
      <c r="AH1267" s="100">
        <f t="shared" si="1760"/>
        <v>-1</v>
      </c>
      <c r="AI1267" s="100">
        <f t="shared" si="1761"/>
        <v>-1</v>
      </c>
    </row>
    <row r="1268" spans="1:35" s="47" customFormat="1" ht="21" customHeight="1" x14ac:dyDescent="0.3">
      <c r="A1268" s="78"/>
      <c r="B1268" s="106" t="s">
        <v>53</v>
      </c>
      <c r="C1268" s="107">
        <v>48191</v>
      </c>
      <c r="D1268" s="304">
        <v>22040941</v>
      </c>
      <c r="E1268" s="133" t="s">
        <v>772</v>
      </c>
      <c r="F1268" s="66">
        <v>590</v>
      </c>
      <c r="G1268" s="66"/>
      <c r="H1268" s="66"/>
      <c r="I1268" s="66"/>
      <c r="J1268" s="66"/>
      <c r="K1268" s="78"/>
      <c r="L1268" s="66"/>
      <c r="M1268" s="66">
        <f>467+150</f>
        <v>617</v>
      </c>
      <c r="N1268" s="110">
        <f t="shared" ref="N1268:N1270" si="1784">M1268-F1268</f>
        <v>27</v>
      </c>
      <c r="O1268" s="110"/>
      <c r="P1268" s="66"/>
      <c r="Q1268" s="66">
        <v>617</v>
      </c>
      <c r="R1268" s="66"/>
      <c r="S1268" s="66">
        <v>614</v>
      </c>
      <c r="T1268" s="110">
        <f t="shared" ref="T1268:T1270" si="1785">S1268-Q1268</f>
        <v>-3</v>
      </c>
      <c r="U1268" s="59">
        <f t="shared" si="1560"/>
        <v>0</v>
      </c>
      <c r="V1268" s="66"/>
      <c r="W1268" s="66">
        <v>614</v>
      </c>
      <c r="X1268" s="110">
        <f t="shared" ref="X1268:X1270" si="1786">W1268-M1268</f>
        <v>-3</v>
      </c>
      <c r="Y1268" s="110"/>
      <c r="Z1268" s="110"/>
      <c r="AA1268" s="110"/>
      <c r="AB1268" s="46"/>
      <c r="AC1268" s="78"/>
      <c r="AD1268" s="78"/>
      <c r="AE1268" s="100">
        <f t="shared" ref="AE1268:AE1372" si="1787">N1268/F1268</f>
        <v>4.576271186440678E-2</v>
      </c>
      <c r="AF1268" s="90"/>
      <c r="AG1268" s="109">
        <f t="shared" ref="AG1268:AG1372" si="1788">IF(N1268&lt;0,N1268,0)</f>
        <v>0</v>
      </c>
      <c r="AH1268" s="100">
        <f t="shared" ref="AH1268:AH1372" si="1789">(S1268-F1268)/F1268</f>
        <v>4.0677966101694912E-2</v>
      </c>
      <c r="AI1268" s="100">
        <f t="shared" ref="AI1268:AI1372" si="1790">(W1268-F1268)/F1268</f>
        <v>4.0677966101694912E-2</v>
      </c>
    </row>
    <row r="1269" spans="1:35" s="47" customFormat="1" ht="21" customHeight="1" x14ac:dyDescent="0.3">
      <c r="A1269" s="78"/>
      <c r="B1269" s="106" t="s">
        <v>53</v>
      </c>
      <c r="C1269" s="107">
        <v>48191</v>
      </c>
      <c r="D1269" s="305"/>
      <c r="E1269" s="133" t="s">
        <v>114</v>
      </c>
      <c r="F1269" s="66">
        <v>578</v>
      </c>
      <c r="G1269" s="66"/>
      <c r="H1269" s="66"/>
      <c r="I1269" s="66"/>
      <c r="J1269" s="66"/>
      <c r="K1269" s="78"/>
      <c r="L1269" s="66"/>
      <c r="M1269" s="66">
        <f>372+224</f>
        <v>596</v>
      </c>
      <c r="N1269" s="110">
        <f t="shared" ref="N1269" si="1791">M1269-F1269</f>
        <v>18</v>
      </c>
      <c r="O1269" s="110"/>
      <c r="P1269" s="66"/>
      <c r="Q1269" s="66">
        <v>596</v>
      </c>
      <c r="R1269" s="66"/>
      <c r="S1269" s="66">
        <v>589</v>
      </c>
      <c r="T1269" s="110">
        <f t="shared" ref="T1269" si="1792">S1269-Q1269</f>
        <v>-7</v>
      </c>
      <c r="U1269" s="59">
        <f t="shared" si="1560"/>
        <v>0</v>
      </c>
      <c r="V1269" s="66"/>
      <c r="W1269" s="66">
        <v>589</v>
      </c>
      <c r="X1269" s="110">
        <f t="shared" ref="X1269" si="1793">W1269-M1269</f>
        <v>-7</v>
      </c>
      <c r="Y1269" s="110"/>
      <c r="Z1269" s="110"/>
      <c r="AA1269" s="110"/>
      <c r="AB1269" s="46"/>
      <c r="AC1269" s="78"/>
      <c r="AD1269" s="78"/>
      <c r="AE1269" s="100">
        <f t="shared" ref="AE1269" si="1794">N1269/F1269</f>
        <v>3.1141868512110725E-2</v>
      </c>
      <c r="AF1269" s="90"/>
      <c r="AG1269" s="109">
        <f t="shared" ref="AG1269" si="1795">IF(N1269&lt;0,N1269,0)</f>
        <v>0</v>
      </c>
      <c r="AH1269" s="100">
        <f t="shared" ref="AH1269" si="1796">(S1269-F1269)/F1269</f>
        <v>1.9031141868512111E-2</v>
      </c>
      <c r="AI1269" s="100">
        <f t="shared" ref="AI1269" si="1797">(W1269-F1269)/F1269</f>
        <v>1.9031141868512111E-2</v>
      </c>
    </row>
    <row r="1270" spans="1:35" s="47" customFormat="1" ht="21" customHeight="1" x14ac:dyDescent="0.3">
      <c r="A1270" s="78"/>
      <c r="B1270" s="106" t="s">
        <v>53</v>
      </c>
      <c r="C1270" s="107">
        <v>48191</v>
      </c>
      <c r="D1270" s="305"/>
      <c r="E1270" s="133" t="s">
        <v>0</v>
      </c>
      <c r="F1270" s="66">
        <v>479</v>
      </c>
      <c r="G1270" s="66"/>
      <c r="H1270" s="66"/>
      <c r="I1270" s="66"/>
      <c r="J1270" s="66"/>
      <c r="K1270" s="78"/>
      <c r="L1270" s="66"/>
      <c r="M1270" s="66">
        <f>304+194</f>
        <v>498</v>
      </c>
      <c r="N1270" s="110">
        <f t="shared" si="1784"/>
        <v>19</v>
      </c>
      <c r="O1270" s="110"/>
      <c r="P1270" s="66"/>
      <c r="Q1270" s="66">
        <f>304+194</f>
        <v>498</v>
      </c>
      <c r="R1270" s="66"/>
      <c r="S1270" s="66">
        <v>496</v>
      </c>
      <c r="T1270" s="110">
        <f t="shared" si="1785"/>
        <v>-2</v>
      </c>
      <c r="U1270" s="59">
        <f t="shared" si="1560"/>
        <v>0</v>
      </c>
      <c r="V1270" s="66"/>
      <c r="W1270" s="66">
        <v>496</v>
      </c>
      <c r="X1270" s="110">
        <f t="shared" si="1786"/>
        <v>-2</v>
      </c>
      <c r="Y1270" s="110"/>
      <c r="Z1270" s="110"/>
      <c r="AA1270" s="110"/>
      <c r="AB1270" s="46"/>
      <c r="AC1270" s="78"/>
      <c r="AD1270" s="78"/>
      <c r="AE1270" s="100">
        <f t="shared" si="1787"/>
        <v>3.9665970772442591E-2</v>
      </c>
      <c r="AF1270" s="90"/>
      <c r="AG1270" s="109">
        <f t="shared" si="1788"/>
        <v>0</v>
      </c>
      <c r="AH1270" s="100">
        <f t="shared" si="1789"/>
        <v>3.5490605427974949E-2</v>
      </c>
      <c r="AI1270" s="100">
        <f t="shared" si="1790"/>
        <v>3.5490605427974949E-2</v>
      </c>
    </row>
    <row r="1271" spans="1:35" s="79" customFormat="1" ht="15.75" customHeight="1" x14ac:dyDescent="0.3">
      <c r="A1271" s="90" t="s">
        <v>46</v>
      </c>
      <c r="B1271" s="136" t="s">
        <v>53</v>
      </c>
      <c r="C1271" s="137"/>
      <c r="D1271" s="136"/>
      <c r="E1271" s="138"/>
      <c r="F1271" s="91">
        <f>SUM(F1268:F1270)</f>
        <v>1647</v>
      </c>
      <c r="G1271" s="91"/>
      <c r="H1271" s="91"/>
      <c r="I1271" s="91"/>
      <c r="J1271" s="91" t="s">
        <v>58</v>
      </c>
      <c r="K1271" s="65" t="s">
        <v>290</v>
      </c>
      <c r="L1271" s="91">
        <f>SUM(L1268:L1270)</f>
        <v>0</v>
      </c>
      <c r="M1271" s="91">
        <f>SUM(M1268:M1270)</f>
        <v>1711</v>
      </c>
      <c r="N1271" s="91">
        <f>SUM(N1268:N1270)</f>
        <v>64</v>
      </c>
      <c r="O1271" s="91" t="s">
        <v>832</v>
      </c>
      <c r="P1271" s="91">
        <f t="shared" ref="P1271:X1271" si="1798">SUM(P1268:P1270)</f>
        <v>0</v>
      </c>
      <c r="Q1271" s="91">
        <f t="shared" si="1798"/>
        <v>1711</v>
      </c>
      <c r="R1271" s="91">
        <f t="shared" si="1798"/>
        <v>0</v>
      </c>
      <c r="S1271" s="91">
        <f t="shared" si="1798"/>
        <v>1699</v>
      </c>
      <c r="T1271" s="91">
        <f t="shared" si="1798"/>
        <v>-12</v>
      </c>
      <c r="U1271" s="59">
        <f t="shared" ref="U1271:U1409" si="1799">IF(Q1271&gt;0,S1271-W1271,M1271-W1271)</f>
        <v>0</v>
      </c>
      <c r="V1271" s="91">
        <f t="shared" si="1798"/>
        <v>0</v>
      </c>
      <c r="W1271" s="91">
        <f t="shared" si="1798"/>
        <v>1699</v>
      </c>
      <c r="X1271" s="91">
        <f t="shared" si="1798"/>
        <v>-12</v>
      </c>
      <c r="Y1271" s="136" t="s">
        <v>47</v>
      </c>
      <c r="Z1271" s="136" t="s">
        <v>45</v>
      </c>
      <c r="AA1271" s="136"/>
      <c r="AB1271" s="84"/>
      <c r="AC1271" s="90"/>
      <c r="AD1271" s="90"/>
      <c r="AE1271" s="100">
        <f t="shared" si="1787"/>
        <v>3.8858530661809353E-2</v>
      </c>
      <c r="AF1271" s="90"/>
      <c r="AG1271" s="109">
        <f t="shared" si="1788"/>
        <v>0</v>
      </c>
      <c r="AH1271" s="100">
        <f t="shared" si="1789"/>
        <v>3.1572556162720096E-2</v>
      </c>
      <c r="AI1271" s="100">
        <f t="shared" si="1790"/>
        <v>3.1572556162720096E-2</v>
      </c>
    </row>
    <row r="1272" spans="1:35" s="47" customFormat="1" ht="21" customHeight="1" x14ac:dyDescent="0.3">
      <c r="A1272" s="78"/>
      <c r="B1272" s="106" t="s">
        <v>53</v>
      </c>
      <c r="C1272" s="107">
        <v>48190</v>
      </c>
      <c r="D1272" s="304">
        <v>22040942</v>
      </c>
      <c r="E1272" s="133" t="s">
        <v>772</v>
      </c>
      <c r="F1272" s="66">
        <v>381</v>
      </c>
      <c r="G1272" s="66"/>
      <c r="H1272" s="66"/>
      <c r="I1272" s="66"/>
      <c r="J1272" s="66"/>
      <c r="K1272" s="78"/>
      <c r="L1272" s="66"/>
      <c r="M1272" s="66">
        <f>403</f>
        <v>403</v>
      </c>
      <c r="N1272" s="110">
        <f t="shared" ref="N1272" si="1800">M1272-F1272</f>
        <v>22</v>
      </c>
      <c r="O1272" s="110"/>
      <c r="P1272" s="66"/>
      <c r="Q1272" s="66">
        <v>403</v>
      </c>
      <c r="R1272" s="66"/>
      <c r="S1272" s="66">
        <v>403</v>
      </c>
      <c r="T1272" s="110">
        <f t="shared" ref="T1272" si="1801">S1272-Q1272</f>
        <v>0</v>
      </c>
      <c r="U1272" s="59">
        <f t="shared" si="1799"/>
        <v>7</v>
      </c>
      <c r="V1272" s="66"/>
      <c r="W1272" s="66">
        <v>396</v>
      </c>
      <c r="X1272" s="110">
        <f t="shared" ref="X1272" si="1802">W1272-M1272</f>
        <v>-7</v>
      </c>
      <c r="Y1272" s="110"/>
      <c r="Z1272" s="110"/>
      <c r="AA1272" s="110"/>
      <c r="AB1272" s="46"/>
      <c r="AC1272" s="78"/>
      <c r="AD1272" s="78"/>
      <c r="AE1272" s="100">
        <f t="shared" ref="AE1272:AE1274" si="1803">N1272/F1272</f>
        <v>5.774278215223097E-2</v>
      </c>
      <c r="AF1272" s="90"/>
      <c r="AG1272" s="109">
        <f t="shared" ref="AG1272:AG1274" si="1804">IF(N1272&lt;0,N1272,0)</f>
        <v>0</v>
      </c>
      <c r="AH1272" s="100">
        <f t="shared" ref="AH1272:AH1274" si="1805">(S1272-F1272)/F1272</f>
        <v>5.774278215223097E-2</v>
      </c>
      <c r="AI1272" s="100">
        <f t="shared" ref="AI1272:AI1274" si="1806">(W1272-F1272)/F1272</f>
        <v>3.937007874015748E-2</v>
      </c>
    </row>
    <row r="1273" spans="1:35" s="47" customFormat="1" ht="21" customHeight="1" x14ac:dyDescent="0.3">
      <c r="A1273" s="78"/>
      <c r="B1273" s="106" t="s">
        <v>53</v>
      </c>
      <c r="C1273" s="107">
        <v>48190</v>
      </c>
      <c r="D1273" s="305"/>
      <c r="E1273" s="133" t="s">
        <v>257</v>
      </c>
      <c r="F1273" s="66">
        <v>878</v>
      </c>
      <c r="G1273" s="66"/>
      <c r="H1273" s="66"/>
      <c r="I1273" s="66"/>
      <c r="J1273" s="66"/>
      <c r="K1273" s="78"/>
      <c r="L1273" s="66"/>
      <c r="M1273" s="66">
        <f>330+250+318</f>
        <v>898</v>
      </c>
      <c r="N1273" s="110">
        <f t="shared" ref="N1273" si="1807">M1273-F1273</f>
        <v>20</v>
      </c>
      <c r="O1273" s="110"/>
      <c r="P1273" s="66"/>
      <c r="Q1273" s="66">
        <f>330+250+318</f>
        <v>898</v>
      </c>
      <c r="R1273" s="66"/>
      <c r="S1273" s="66">
        <v>898</v>
      </c>
      <c r="T1273" s="110">
        <f t="shared" ref="T1273" si="1808">S1273-Q1273</f>
        <v>0</v>
      </c>
      <c r="U1273" s="59">
        <f t="shared" ref="U1273" si="1809">IF(Q1273&gt;0,S1273-W1273,M1273-W1273)</f>
        <v>4</v>
      </c>
      <c r="V1273" s="66"/>
      <c r="W1273" s="66">
        <v>894</v>
      </c>
      <c r="X1273" s="110">
        <f t="shared" ref="X1273" si="1810">W1273-M1273</f>
        <v>-4</v>
      </c>
      <c r="Y1273" s="110"/>
      <c r="Z1273" s="110"/>
      <c r="AA1273" s="110"/>
      <c r="AB1273" s="46"/>
      <c r="AC1273" s="78"/>
      <c r="AD1273" s="78"/>
      <c r="AE1273" s="100">
        <f t="shared" ref="AE1273" si="1811">N1273/F1273</f>
        <v>2.2779043280182234E-2</v>
      </c>
      <c r="AF1273" s="90"/>
      <c r="AG1273" s="109">
        <f t="shared" ref="AG1273" si="1812">IF(N1273&lt;0,N1273,0)</f>
        <v>0</v>
      </c>
      <c r="AH1273" s="100">
        <f t="shared" ref="AH1273" si="1813">(S1273-F1273)/F1273</f>
        <v>2.2779043280182234E-2</v>
      </c>
      <c r="AI1273" s="100">
        <f t="shared" ref="AI1273" si="1814">(W1273-F1273)/F1273</f>
        <v>1.8223234624145785E-2</v>
      </c>
    </row>
    <row r="1274" spans="1:35" s="79" customFormat="1" ht="15.75" customHeight="1" x14ac:dyDescent="0.3">
      <c r="A1274" s="90" t="s">
        <v>46</v>
      </c>
      <c r="B1274" s="136" t="s">
        <v>53</v>
      </c>
      <c r="C1274" s="137"/>
      <c r="D1274" s="136"/>
      <c r="E1274" s="138"/>
      <c r="F1274" s="91">
        <f>SUM(F1272:F1273)</f>
        <v>1259</v>
      </c>
      <c r="G1274" s="91"/>
      <c r="H1274" s="91"/>
      <c r="I1274" s="91"/>
      <c r="J1274" s="91" t="s">
        <v>58</v>
      </c>
      <c r="K1274" s="65" t="s">
        <v>290</v>
      </c>
      <c r="L1274" s="91">
        <f>SUM(L1272:L1273)</f>
        <v>0</v>
      </c>
      <c r="M1274" s="91">
        <f>SUM(M1272:M1273)</f>
        <v>1301</v>
      </c>
      <c r="N1274" s="91">
        <f>SUM(N1272:N1273)</f>
        <v>42</v>
      </c>
      <c r="O1274" s="91" t="s">
        <v>210</v>
      </c>
      <c r="P1274" s="91">
        <f t="shared" ref="P1274:X1274" si="1815">SUM(P1272:P1273)</f>
        <v>0</v>
      </c>
      <c r="Q1274" s="91">
        <f t="shared" si="1815"/>
        <v>1301</v>
      </c>
      <c r="R1274" s="91">
        <f t="shared" si="1815"/>
        <v>0</v>
      </c>
      <c r="S1274" s="91">
        <f t="shared" si="1815"/>
        <v>1301</v>
      </c>
      <c r="T1274" s="91">
        <f t="shared" si="1815"/>
        <v>0</v>
      </c>
      <c r="U1274" s="59">
        <f t="shared" si="1815"/>
        <v>11</v>
      </c>
      <c r="V1274" s="91">
        <f t="shared" si="1815"/>
        <v>0</v>
      </c>
      <c r="W1274" s="91">
        <f t="shared" si="1815"/>
        <v>1290</v>
      </c>
      <c r="X1274" s="91">
        <f t="shared" si="1815"/>
        <v>-11</v>
      </c>
      <c r="Y1274" s="136" t="s">
        <v>47</v>
      </c>
      <c r="Z1274" s="136" t="s">
        <v>45</v>
      </c>
      <c r="AA1274" s="136"/>
      <c r="AB1274" s="84"/>
      <c r="AC1274" s="90"/>
      <c r="AD1274" s="90"/>
      <c r="AE1274" s="100">
        <f t="shared" si="1803"/>
        <v>3.3359809372517868E-2</v>
      </c>
      <c r="AF1274" s="90"/>
      <c r="AG1274" s="109">
        <f t="shared" si="1804"/>
        <v>0</v>
      </c>
      <c r="AH1274" s="100">
        <f t="shared" si="1805"/>
        <v>3.3359809372517868E-2</v>
      </c>
      <c r="AI1274" s="100">
        <f t="shared" si="1806"/>
        <v>2.4622716441620333E-2</v>
      </c>
    </row>
    <row r="1275" spans="1:35" s="47" customFormat="1" ht="21" customHeight="1" x14ac:dyDescent="0.3">
      <c r="A1275" s="78"/>
      <c r="B1275" s="106" t="s">
        <v>53</v>
      </c>
      <c r="C1275" s="107" t="s">
        <v>786</v>
      </c>
      <c r="D1275" s="304">
        <v>22035827</v>
      </c>
      <c r="E1275" s="133" t="s">
        <v>114</v>
      </c>
      <c r="F1275" s="66">
        <v>906</v>
      </c>
      <c r="G1275" s="66"/>
      <c r="H1275" s="66"/>
      <c r="I1275" s="66"/>
      <c r="J1275" s="66"/>
      <c r="K1275" s="78"/>
      <c r="L1275" s="66">
        <f>832+105</f>
        <v>937</v>
      </c>
      <c r="M1275" s="66">
        <f>832+105</f>
        <v>937</v>
      </c>
      <c r="N1275" s="110">
        <f t="shared" ref="N1275:N1281" si="1816">M1275-F1275</f>
        <v>31</v>
      </c>
      <c r="O1275" s="110"/>
      <c r="P1275" s="66">
        <v>937</v>
      </c>
      <c r="Q1275" s="66">
        <v>937</v>
      </c>
      <c r="R1275" s="66"/>
      <c r="S1275" s="66"/>
      <c r="T1275" s="110">
        <f t="shared" ref="T1275:T1281" si="1817">S1275-Q1275</f>
        <v>-937</v>
      </c>
      <c r="U1275" s="59">
        <f t="shared" si="1799"/>
        <v>0</v>
      </c>
      <c r="V1275" s="66"/>
      <c r="W1275" s="66"/>
      <c r="X1275" s="110">
        <f t="shared" ref="X1275:X1281" si="1818">W1275-M1275</f>
        <v>-937</v>
      </c>
      <c r="Y1275" s="110"/>
      <c r="Z1275" s="110"/>
      <c r="AA1275" s="110"/>
      <c r="AB1275" s="46"/>
      <c r="AC1275" s="78"/>
      <c r="AD1275" s="78"/>
      <c r="AE1275" s="100">
        <f t="shared" si="1787"/>
        <v>3.4216335540838853E-2</v>
      </c>
      <c r="AF1275" s="90"/>
      <c r="AG1275" s="109">
        <f t="shared" si="1788"/>
        <v>0</v>
      </c>
      <c r="AH1275" s="100">
        <f t="shared" si="1789"/>
        <v>-1</v>
      </c>
      <c r="AI1275" s="100">
        <f t="shared" si="1790"/>
        <v>-1</v>
      </c>
    </row>
    <row r="1276" spans="1:35" s="47" customFormat="1" ht="21" customHeight="1" x14ac:dyDescent="0.3">
      <c r="A1276" s="78"/>
      <c r="B1276" s="106" t="s">
        <v>53</v>
      </c>
      <c r="C1276" s="107" t="s">
        <v>786</v>
      </c>
      <c r="D1276" s="305"/>
      <c r="E1276" s="133" t="s">
        <v>787</v>
      </c>
      <c r="F1276" s="66">
        <v>906</v>
      </c>
      <c r="G1276" s="66"/>
      <c r="H1276" s="66"/>
      <c r="I1276" s="66"/>
      <c r="J1276" s="66"/>
      <c r="K1276" s="78"/>
      <c r="L1276" s="66"/>
      <c r="M1276" s="66">
        <v>932</v>
      </c>
      <c r="N1276" s="110">
        <f t="shared" ref="N1276:N1279" si="1819">M1276-F1276</f>
        <v>26</v>
      </c>
      <c r="O1276" s="110"/>
      <c r="P1276" s="66"/>
      <c r="Q1276" s="66">
        <v>932</v>
      </c>
      <c r="R1276" s="66"/>
      <c r="S1276" s="66"/>
      <c r="T1276" s="110">
        <f t="shared" ref="T1276:T1279" si="1820">S1276-Q1276</f>
        <v>-932</v>
      </c>
      <c r="U1276" s="59">
        <f t="shared" ref="U1276:U1279" si="1821">IF(Q1276&gt;0,S1276-W1276,M1276-W1276)</f>
        <v>0</v>
      </c>
      <c r="V1276" s="66"/>
      <c r="W1276" s="66"/>
      <c r="X1276" s="110">
        <f t="shared" ref="X1276:X1279" si="1822">W1276-M1276</f>
        <v>-932</v>
      </c>
      <c r="Y1276" s="110"/>
      <c r="Z1276" s="110"/>
      <c r="AA1276" s="110"/>
      <c r="AB1276" s="46"/>
      <c r="AC1276" s="78"/>
      <c r="AD1276" s="78"/>
      <c r="AE1276" s="100">
        <f t="shared" si="1787"/>
        <v>2.8697571743929361E-2</v>
      </c>
      <c r="AF1276" s="90"/>
      <c r="AG1276" s="109">
        <f t="shared" si="1788"/>
        <v>0</v>
      </c>
      <c r="AH1276" s="100">
        <f t="shared" si="1789"/>
        <v>-1</v>
      </c>
      <c r="AI1276" s="100">
        <f t="shared" si="1790"/>
        <v>-1</v>
      </c>
    </row>
    <row r="1277" spans="1:35" s="47" customFormat="1" ht="21" customHeight="1" x14ac:dyDescent="0.3">
      <c r="A1277" s="78"/>
      <c r="B1277" s="106" t="s">
        <v>53</v>
      </c>
      <c r="C1277" s="107" t="s">
        <v>786</v>
      </c>
      <c r="D1277" s="305"/>
      <c r="E1277" s="133" t="s">
        <v>788</v>
      </c>
      <c r="F1277" s="66">
        <v>1106</v>
      </c>
      <c r="G1277" s="66"/>
      <c r="H1277" s="66"/>
      <c r="I1277" s="66"/>
      <c r="J1277" s="66"/>
      <c r="K1277" s="78"/>
      <c r="L1277" s="66"/>
      <c r="M1277" s="66">
        <v>1134</v>
      </c>
      <c r="N1277" s="110">
        <f t="shared" si="1819"/>
        <v>28</v>
      </c>
      <c r="O1277" s="110"/>
      <c r="P1277" s="66"/>
      <c r="Q1277" s="66">
        <v>1134</v>
      </c>
      <c r="R1277" s="66"/>
      <c r="S1277" s="66">
        <f>1133</f>
        <v>1133</v>
      </c>
      <c r="T1277" s="110">
        <f t="shared" si="1820"/>
        <v>-1</v>
      </c>
      <c r="U1277" s="59">
        <f t="shared" si="1821"/>
        <v>1133</v>
      </c>
      <c r="V1277" s="66"/>
      <c r="W1277" s="66"/>
      <c r="X1277" s="110">
        <f t="shared" si="1822"/>
        <v>-1134</v>
      </c>
      <c r="Y1277" s="110"/>
      <c r="Z1277" s="110"/>
      <c r="AA1277" s="110"/>
      <c r="AB1277" s="46"/>
      <c r="AC1277" s="78"/>
      <c r="AD1277" s="78"/>
      <c r="AE1277" s="100">
        <f t="shared" ref="AE1277:AE1279" si="1823">N1277/F1277</f>
        <v>2.5316455696202531E-2</v>
      </c>
      <c r="AF1277" s="90"/>
      <c r="AG1277" s="109">
        <f t="shared" ref="AG1277:AG1279" si="1824">IF(N1277&lt;0,N1277,0)</f>
        <v>0</v>
      </c>
      <c r="AH1277" s="100">
        <f t="shared" ref="AH1277:AH1279" si="1825">(S1277-F1277)/F1277</f>
        <v>2.4412296564195298E-2</v>
      </c>
      <c r="AI1277" s="100">
        <f t="shared" ref="AI1277:AI1279" si="1826">(W1277-F1277)/F1277</f>
        <v>-1</v>
      </c>
    </row>
    <row r="1278" spans="1:35" s="47" customFormat="1" ht="21" customHeight="1" x14ac:dyDescent="0.3">
      <c r="A1278" s="78"/>
      <c r="B1278" s="106" t="s">
        <v>53</v>
      </c>
      <c r="C1278" s="107" t="s">
        <v>786</v>
      </c>
      <c r="D1278" s="305"/>
      <c r="E1278" s="133" t="s">
        <v>789</v>
      </c>
      <c r="F1278" s="66">
        <v>1106</v>
      </c>
      <c r="G1278" s="66"/>
      <c r="H1278" s="66"/>
      <c r="I1278" s="66"/>
      <c r="J1278" s="66"/>
      <c r="K1278" s="78"/>
      <c r="L1278" s="66"/>
      <c r="M1278" s="66">
        <f>1040+150</f>
        <v>1190</v>
      </c>
      <c r="N1278" s="110">
        <f t="shared" si="1819"/>
        <v>84</v>
      </c>
      <c r="O1278" s="110"/>
      <c r="P1278" s="66"/>
      <c r="Q1278" s="66">
        <f>992+150</f>
        <v>1142</v>
      </c>
      <c r="R1278" s="66"/>
      <c r="S1278" s="66">
        <v>1138</v>
      </c>
      <c r="T1278" s="110">
        <f t="shared" si="1820"/>
        <v>-4</v>
      </c>
      <c r="U1278" s="59">
        <f t="shared" si="1821"/>
        <v>1138</v>
      </c>
      <c r="V1278" s="66"/>
      <c r="W1278" s="66"/>
      <c r="X1278" s="110">
        <f t="shared" si="1822"/>
        <v>-1190</v>
      </c>
      <c r="Y1278" s="110"/>
      <c r="Z1278" s="110"/>
      <c r="AA1278" s="110"/>
      <c r="AB1278" s="46"/>
      <c r="AC1278" s="78"/>
      <c r="AD1278" s="78"/>
      <c r="AE1278" s="100">
        <f t="shared" si="1823"/>
        <v>7.5949367088607597E-2</v>
      </c>
      <c r="AF1278" s="90"/>
      <c r="AG1278" s="109">
        <f t="shared" si="1824"/>
        <v>0</v>
      </c>
      <c r="AH1278" s="100">
        <f t="shared" si="1825"/>
        <v>2.8933092224231464E-2</v>
      </c>
      <c r="AI1278" s="100">
        <f t="shared" si="1826"/>
        <v>-1</v>
      </c>
    </row>
    <row r="1279" spans="1:35" s="47" customFormat="1" ht="21" customHeight="1" x14ac:dyDescent="0.3">
      <c r="A1279" s="78"/>
      <c r="B1279" s="106" t="s">
        <v>53</v>
      </c>
      <c r="C1279" s="107" t="s">
        <v>786</v>
      </c>
      <c r="D1279" s="305"/>
      <c r="E1279" s="133" t="s">
        <v>257</v>
      </c>
      <c r="F1279" s="66">
        <v>906</v>
      </c>
      <c r="G1279" s="66"/>
      <c r="H1279" s="66"/>
      <c r="I1279" s="66"/>
      <c r="J1279" s="66"/>
      <c r="K1279" s="78"/>
      <c r="L1279" s="66"/>
      <c r="M1279" s="66">
        <f>721+213</f>
        <v>934</v>
      </c>
      <c r="N1279" s="110">
        <f t="shared" si="1819"/>
        <v>28</v>
      </c>
      <c r="O1279" s="110"/>
      <c r="P1279" s="66"/>
      <c r="Q1279" s="66">
        <v>934</v>
      </c>
      <c r="R1279" s="66"/>
      <c r="S1279" s="66">
        <v>919</v>
      </c>
      <c r="T1279" s="110">
        <f t="shared" si="1820"/>
        <v>-15</v>
      </c>
      <c r="U1279" s="59">
        <f t="shared" si="1821"/>
        <v>919</v>
      </c>
      <c r="V1279" s="66"/>
      <c r="W1279" s="66"/>
      <c r="X1279" s="110">
        <f t="shared" si="1822"/>
        <v>-934</v>
      </c>
      <c r="Y1279" s="110"/>
      <c r="Z1279" s="110"/>
      <c r="AA1279" s="110"/>
      <c r="AB1279" s="46"/>
      <c r="AC1279" s="78"/>
      <c r="AD1279" s="78"/>
      <c r="AE1279" s="100">
        <f t="shared" si="1823"/>
        <v>3.0905077262693158E-2</v>
      </c>
      <c r="AF1279" s="90"/>
      <c r="AG1279" s="109">
        <f t="shared" si="1824"/>
        <v>0</v>
      </c>
      <c r="AH1279" s="100">
        <f t="shared" si="1825"/>
        <v>1.434878587196468E-2</v>
      </c>
      <c r="AI1279" s="100">
        <f t="shared" si="1826"/>
        <v>-1</v>
      </c>
    </row>
    <row r="1280" spans="1:35" s="47" customFormat="1" ht="21" customHeight="1" x14ac:dyDescent="0.3">
      <c r="A1280" s="78"/>
      <c r="B1280" s="106" t="s">
        <v>53</v>
      </c>
      <c r="C1280" s="107" t="s">
        <v>786</v>
      </c>
      <c r="D1280" s="305"/>
      <c r="E1280" s="133" t="s">
        <v>39</v>
      </c>
      <c r="F1280" s="66">
        <v>906</v>
      </c>
      <c r="G1280" s="66"/>
      <c r="H1280" s="66"/>
      <c r="I1280" s="66"/>
      <c r="J1280" s="66"/>
      <c r="K1280" s="78"/>
      <c r="L1280" s="66"/>
      <c r="M1280" s="66">
        <v>848</v>
      </c>
      <c r="N1280" s="110">
        <f t="shared" si="1816"/>
        <v>-58</v>
      </c>
      <c r="O1280" s="110"/>
      <c r="P1280" s="66"/>
      <c r="Q1280" s="66">
        <f>834</f>
        <v>834</v>
      </c>
      <c r="R1280" s="66"/>
      <c r="S1280" s="66">
        <v>821</v>
      </c>
      <c r="T1280" s="110">
        <f t="shared" si="1817"/>
        <v>-13</v>
      </c>
      <c r="U1280" s="59">
        <f t="shared" si="1799"/>
        <v>821</v>
      </c>
      <c r="V1280" s="66"/>
      <c r="W1280" s="66"/>
      <c r="X1280" s="110">
        <f t="shared" si="1818"/>
        <v>-848</v>
      </c>
      <c r="Y1280" s="110"/>
      <c r="Z1280" s="110"/>
      <c r="AA1280" s="110"/>
      <c r="AB1280" s="46"/>
      <c r="AC1280" s="78"/>
      <c r="AD1280" s="78"/>
      <c r="AE1280" s="100">
        <f t="shared" ref="AE1280:AE1282" si="1827">N1280/F1280</f>
        <v>-6.4017660044150104E-2</v>
      </c>
      <c r="AF1280" s="90"/>
      <c r="AG1280" s="109">
        <f t="shared" ref="AG1280:AG1282" si="1828">IF(N1280&lt;0,N1280,0)</f>
        <v>-58</v>
      </c>
      <c r="AH1280" s="100">
        <f t="shared" ref="AH1280:AH1282" si="1829">(S1280-F1280)/F1280</f>
        <v>-9.3818984547461362E-2</v>
      </c>
      <c r="AI1280" s="100">
        <f t="shared" ref="AI1280:AI1282" si="1830">(W1280-F1280)/F1280</f>
        <v>-1</v>
      </c>
    </row>
    <row r="1281" spans="1:35" s="47" customFormat="1" ht="21" customHeight="1" x14ac:dyDescent="0.3">
      <c r="A1281" s="78"/>
      <c r="B1281" s="106" t="s">
        <v>53</v>
      </c>
      <c r="C1281" s="107" t="s">
        <v>786</v>
      </c>
      <c r="D1281" s="305"/>
      <c r="E1281" s="133" t="s">
        <v>790</v>
      </c>
      <c r="F1281" s="66">
        <v>806</v>
      </c>
      <c r="G1281" s="66"/>
      <c r="H1281" s="66"/>
      <c r="I1281" s="66"/>
      <c r="J1281" s="66"/>
      <c r="K1281" s="78"/>
      <c r="L1281" s="66"/>
      <c r="M1281" s="66">
        <f>504+160</f>
        <v>664</v>
      </c>
      <c r="N1281" s="110">
        <f t="shared" si="1816"/>
        <v>-142</v>
      </c>
      <c r="O1281" s="110"/>
      <c r="P1281" s="66"/>
      <c r="Q1281" s="66">
        <f>504+160</f>
        <v>664</v>
      </c>
      <c r="R1281" s="66"/>
      <c r="S1281" s="66"/>
      <c r="T1281" s="110">
        <f t="shared" si="1817"/>
        <v>-664</v>
      </c>
      <c r="U1281" s="59">
        <f t="shared" si="1799"/>
        <v>0</v>
      </c>
      <c r="V1281" s="66"/>
      <c r="W1281" s="66"/>
      <c r="X1281" s="110">
        <f t="shared" si="1818"/>
        <v>-664</v>
      </c>
      <c r="Y1281" s="110"/>
      <c r="Z1281" s="110"/>
      <c r="AA1281" s="110"/>
      <c r="AB1281" s="46"/>
      <c r="AC1281" s="78"/>
      <c r="AD1281" s="78"/>
      <c r="AE1281" s="100">
        <f t="shared" ref="AE1281" si="1831">N1281/F1281</f>
        <v>-0.17617866004962779</v>
      </c>
      <c r="AF1281" s="90"/>
      <c r="AG1281" s="109">
        <f t="shared" ref="AG1281" si="1832">IF(N1281&lt;0,N1281,0)</f>
        <v>-142</v>
      </c>
      <c r="AH1281" s="100">
        <f t="shared" ref="AH1281" si="1833">(S1281-F1281)/F1281</f>
        <v>-1</v>
      </c>
      <c r="AI1281" s="100">
        <f t="shared" ref="AI1281" si="1834">(W1281-F1281)/F1281</f>
        <v>-1</v>
      </c>
    </row>
    <row r="1282" spans="1:35" s="47" customFormat="1" ht="21" customHeight="1" x14ac:dyDescent="0.3">
      <c r="A1282" s="78"/>
      <c r="B1282" s="106" t="s">
        <v>53</v>
      </c>
      <c r="C1282" s="107" t="s">
        <v>786</v>
      </c>
      <c r="D1282" s="305"/>
      <c r="E1282" s="133" t="s">
        <v>791</v>
      </c>
      <c r="F1282" s="66">
        <v>906</v>
      </c>
      <c r="G1282" s="66"/>
      <c r="H1282" s="66"/>
      <c r="I1282" s="66"/>
      <c r="J1282" s="66"/>
      <c r="K1282" s="78"/>
      <c r="L1282" s="66"/>
      <c r="M1282" s="66">
        <f>200+108+624</f>
        <v>932</v>
      </c>
      <c r="N1282" s="110">
        <f t="shared" ref="N1282" si="1835">M1282-F1282</f>
        <v>26</v>
      </c>
      <c r="O1282" s="110"/>
      <c r="P1282" s="66"/>
      <c r="Q1282" s="66">
        <v>932</v>
      </c>
      <c r="R1282" s="66"/>
      <c r="S1282" s="66"/>
      <c r="T1282" s="110">
        <f t="shared" ref="T1282" si="1836">S1282-Q1282</f>
        <v>-932</v>
      </c>
      <c r="U1282" s="59">
        <f t="shared" ref="U1282" si="1837">IF(Q1282&gt;0,S1282-W1282,M1282-W1282)</f>
        <v>0</v>
      </c>
      <c r="V1282" s="66"/>
      <c r="W1282" s="66"/>
      <c r="X1282" s="110">
        <f t="shared" ref="X1282" si="1838">W1282-M1282</f>
        <v>-932</v>
      </c>
      <c r="Y1282" s="110"/>
      <c r="Z1282" s="110"/>
      <c r="AA1282" s="110"/>
      <c r="AB1282" s="46"/>
      <c r="AC1282" s="78"/>
      <c r="AD1282" s="78"/>
      <c r="AE1282" s="100">
        <f t="shared" si="1827"/>
        <v>2.8697571743929361E-2</v>
      </c>
      <c r="AF1282" s="90"/>
      <c r="AG1282" s="109">
        <f t="shared" si="1828"/>
        <v>0</v>
      </c>
      <c r="AH1282" s="100">
        <f t="shared" si="1829"/>
        <v>-1</v>
      </c>
      <c r="AI1282" s="100">
        <f t="shared" si="1830"/>
        <v>-1</v>
      </c>
    </row>
    <row r="1283" spans="1:35" s="79" customFormat="1" ht="15.75" customHeight="1" x14ac:dyDescent="0.3">
      <c r="A1283" s="90" t="s">
        <v>46</v>
      </c>
      <c r="B1283" s="136" t="s">
        <v>53</v>
      </c>
      <c r="C1283" s="137"/>
      <c r="D1283" s="136"/>
      <c r="E1283" s="138"/>
      <c r="F1283" s="91">
        <f>SUM(F1275:F1282)</f>
        <v>7548</v>
      </c>
      <c r="G1283" s="91"/>
      <c r="H1283" s="91"/>
      <c r="I1283" s="91"/>
      <c r="J1283" s="91" t="s">
        <v>58</v>
      </c>
      <c r="K1283" s="65" t="s">
        <v>340</v>
      </c>
      <c r="L1283" s="91">
        <f>SUM(L1275:L1282)</f>
        <v>937</v>
      </c>
      <c r="M1283" s="91">
        <f>SUM(M1275:M1282)</f>
        <v>7571</v>
      </c>
      <c r="N1283" s="91">
        <f>SUM(N1275:N1282)</f>
        <v>23</v>
      </c>
      <c r="O1283" s="91" t="s">
        <v>832</v>
      </c>
      <c r="P1283" s="91">
        <f>SUM(P1275:P1282)</f>
        <v>937</v>
      </c>
      <c r="Q1283" s="91">
        <f>SUM(Q1275:Q1282)</f>
        <v>7509</v>
      </c>
      <c r="R1283" s="91">
        <f>SUM(R1275:R1282)</f>
        <v>0</v>
      </c>
      <c r="S1283" s="91">
        <f>SUM(S1275:S1282)</f>
        <v>4011</v>
      </c>
      <c r="T1283" s="91">
        <f>SUM(T1275:T1282)</f>
        <v>-3498</v>
      </c>
      <c r="U1283" s="59">
        <f t="shared" si="1799"/>
        <v>4011</v>
      </c>
      <c r="V1283" s="91">
        <f>SUM(V1275:V1282)</f>
        <v>0</v>
      </c>
      <c r="W1283" s="91">
        <f>SUM(W1275:W1282)</f>
        <v>0</v>
      </c>
      <c r="X1283" s="91">
        <f>SUM(X1275:X1282)</f>
        <v>-7571</v>
      </c>
      <c r="Y1283" s="136" t="s">
        <v>47</v>
      </c>
      <c r="Z1283" s="136" t="s">
        <v>45</v>
      </c>
      <c r="AA1283" s="136"/>
      <c r="AB1283" s="84"/>
      <c r="AC1283" s="90"/>
      <c r="AD1283" s="90"/>
      <c r="AE1283" s="100">
        <f t="shared" si="1787"/>
        <v>3.0471648118706941E-3</v>
      </c>
      <c r="AF1283" s="90"/>
      <c r="AG1283" s="109">
        <f t="shared" si="1788"/>
        <v>0</v>
      </c>
      <c r="AH1283" s="100">
        <f t="shared" si="1789"/>
        <v>-0.46860095389507156</v>
      </c>
      <c r="AI1283" s="100">
        <f t="shared" si="1790"/>
        <v>-1</v>
      </c>
    </row>
    <row r="1284" spans="1:35" s="47" customFormat="1" ht="21" customHeight="1" x14ac:dyDescent="0.3">
      <c r="A1284" s="78"/>
      <c r="B1284" s="106" t="s">
        <v>53</v>
      </c>
      <c r="C1284" s="107" t="s">
        <v>271</v>
      </c>
      <c r="D1284" s="211">
        <v>22039968</v>
      </c>
      <c r="E1284" s="133" t="s">
        <v>269</v>
      </c>
      <c r="F1284" s="66">
        <v>2213</v>
      </c>
      <c r="G1284" s="66"/>
      <c r="H1284" s="66"/>
      <c r="I1284" s="66"/>
      <c r="J1284" s="66"/>
      <c r="K1284" s="78"/>
      <c r="L1284" s="66"/>
      <c r="M1284" s="66">
        <f>390+360+315+310+96+288+282+192+18</f>
        <v>2251</v>
      </c>
      <c r="N1284" s="110">
        <f t="shared" ref="N1284" si="1839">M1284-F1284</f>
        <v>38</v>
      </c>
      <c r="O1284" s="110"/>
      <c r="P1284" s="123"/>
      <c r="Q1284" s="123"/>
      <c r="R1284" s="66"/>
      <c r="S1284" s="66"/>
      <c r="T1284" s="110">
        <f t="shared" ref="T1284" si="1840">S1284-Q1284</f>
        <v>0</v>
      </c>
      <c r="U1284" s="59">
        <f t="shared" ref="U1284:U1305" si="1841">IF(Q1284&gt;0,S1284-W1284,M1284-W1284)</f>
        <v>0</v>
      </c>
      <c r="V1284" s="66"/>
      <c r="W1284" s="66">
        <v>2251</v>
      </c>
      <c r="X1284" s="110">
        <f t="shared" ref="X1284" si="1842">W1284-M1284</f>
        <v>0</v>
      </c>
      <c r="Y1284" s="110"/>
      <c r="Z1284" s="110"/>
      <c r="AA1284" s="110"/>
      <c r="AB1284" s="46"/>
      <c r="AC1284" s="78"/>
      <c r="AD1284" s="78"/>
      <c r="AE1284" s="100">
        <f t="shared" si="1787"/>
        <v>1.7171260732037959E-2</v>
      </c>
      <c r="AF1284" s="90"/>
      <c r="AG1284" s="109">
        <f t="shared" si="1788"/>
        <v>0</v>
      </c>
      <c r="AH1284" s="100">
        <f t="shared" si="1789"/>
        <v>-1</v>
      </c>
      <c r="AI1284" s="100">
        <f t="shared" si="1790"/>
        <v>1.7171260732037959E-2</v>
      </c>
    </row>
    <row r="1285" spans="1:35" s="79" customFormat="1" ht="15.75" customHeight="1" x14ac:dyDescent="0.3">
      <c r="A1285" s="90" t="s">
        <v>46</v>
      </c>
      <c r="B1285" s="136" t="s">
        <v>53</v>
      </c>
      <c r="C1285" s="137"/>
      <c r="D1285" s="136"/>
      <c r="E1285" s="138"/>
      <c r="F1285" s="91">
        <f>SUM(F1284:F1284)</f>
        <v>2213</v>
      </c>
      <c r="G1285" s="91"/>
      <c r="H1285" s="91"/>
      <c r="I1285" s="91"/>
      <c r="J1285" s="91" t="s">
        <v>58</v>
      </c>
      <c r="K1285" s="65" t="s">
        <v>175</v>
      </c>
      <c r="L1285" s="91">
        <f>SUM(L1284:L1284)</f>
        <v>0</v>
      </c>
      <c r="M1285" s="91">
        <f>SUM(M1284:M1284)</f>
        <v>2251</v>
      </c>
      <c r="N1285" s="91">
        <f>SUM(N1284:N1284)</f>
        <v>38</v>
      </c>
      <c r="O1285" s="91"/>
      <c r="P1285" s="91">
        <f>SUM(P1284:P1284)</f>
        <v>0</v>
      </c>
      <c r="Q1285" s="91">
        <f>SUM(Q1284:Q1284)</f>
        <v>0</v>
      </c>
      <c r="R1285" s="91">
        <f>SUM(R1284:R1284)</f>
        <v>0</v>
      </c>
      <c r="S1285" s="91">
        <f>SUM(S1284:S1284)</f>
        <v>0</v>
      </c>
      <c r="T1285" s="91">
        <f>SUM(T1284:T1284)</f>
        <v>0</v>
      </c>
      <c r="U1285" s="59">
        <f t="shared" si="1841"/>
        <v>0</v>
      </c>
      <c r="V1285" s="91">
        <f>SUM(V1284:V1284)</f>
        <v>0</v>
      </c>
      <c r="W1285" s="91">
        <f>SUM(W1284:W1284)</f>
        <v>2251</v>
      </c>
      <c r="X1285" s="91">
        <f>SUM(X1284:X1284)</f>
        <v>0</v>
      </c>
      <c r="Y1285" s="136"/>
      <c r="Z1285" s="136"/>
      <c r="AA1285" s="136"/>
      <c r="AB1285" s="84"/>
      <c r="AC1285" s="90"/>
      <c r="AD1285" s="90"/>
      <c r="AE1285" s="100">
        <f t="shared" si="1787"/>
        <v>1.7171260732037959E-2</v>
      </c>
      <c r="AF1285" s="90"/>
      <c r="AG1285" s="109">
        <f t="shared" si="1788"/>
        <v>0</v>
      </c>
      <c r="AH1285" s="100">
        <f t="shared" si="1789"/>
        <v>-1</v>
      </c>
      <c r="AI1285" s="100">
        <f t="shared" si="1790"/>
        <v>1.7171260732037959E-2</v>
      </c>
    </row>
    <row r="1286" spans="1:35" s="47" customFormat="1" ht="21" customHeight="1" x14ac:dyDescent="0.3">
      <c r="A1286" s="78"/>
      <c r="B1286" s="106" t="s">
        <v>53</v>
      </c>
      <c r="C1286" s="107">
        <v>48192</v>
      </c>
      <c r="D1286" s="304">
        <v>22041780</v>
      </c>
      <c r="E1286" s="133" t="s">
        <v>97</v>
      </c>
      <c r="F1286" s="66">
        <v>282</v>
      </c>
      <c r="G1286" s="66"/>
      <c r="H1286" s="66"/>
      <c r="I1286" s="66"/>
      <c r="J1286" s="66"/>
      <c r="K1286" s="78"/>
      <c r="L1286" s="66"/>
      <c r="M1286" s="66"/>
      <c r="N1286" s="110">
        <f t="shared" ref="N1286:N1288" si="1843">M1286-F1286</f>
        <v>-282</v>
      </c>
      <c r="O1286" s="110"/>
      <c r="P1286" s="123"/>
      <c r="Q1286" s="123"/>
      <c r="R1286" s="66"/>
      <c r="S1286" s="66"/>
      <c r="T1286" s="110">
        <f t="shared" ref="T1286:T1288" si="1844">S1286-Q1286</f>
        <v>0</v>
      </c>
      <c r="U1286" s="59">
        <f t="shared" si="1841"/>
        <v>0</v>
      </c>
      <c r="V1286" s="66"/>
      <c r="W1286" s="66"/>
      <c r="X1286" s="110">
        <f t="shared" ref="X1286:X1288" si="1845">W1286-M1286</f>
        <v>0</v>
      </c>
      <c r="Y1286" s="110"/>
      <c r="Z1286" s="110"/>
      <c r="AA1286" s="110"/>
      <c r="AB1286" s="46"/>
      <c r="AC1286" s="78"/>
      <c r="AD1286" s="78"/>
      <c r="AE1286" s="100">
        <f t="shared" si="1787"/>
        <v>-1</v>
      </c>
      <c r="AF1286" s="90"/>
      <c r="AG1286" s="109">
        <f t="shared" si="1788"/>
        <v>-282</v>
      </c>
      <c r="AH1286" s="100">
        <f t="shared" si="1789"/>
        <v>-1</v>
      </c>
      <c r="AI1286" s="100">
        <f t="shared" si="1790"/>
        <v>-1</v>
      </c>
    </row>
    <row r="1287" spans="1:35" s="47" customFormat="1" ht="21" customHeight="1" x14ac:dyDescent="0.3">
      <c r="A1287" s="78"/>
      <c r="B1287" s="106" t="s">
        <v>53</v>
      </c>
      <c r="C1287" s="107">
        <v>48192</v>
      </c>
      <c r="D1287" s="305"/>
      <c r="E1287" s="133" t="s">
        <v>39</v>
      </c>
      <c r="F1287" s="66">
        <v>282</v>
      </c>
      <c r="G1287" s="66"/>
      <c r="H1287" s="66"/>
      <c r="I1287" s="66"/>
      <c r="J1287" s="66"/>
      <c r="K1287" s="78"/>
      <c r="L1287" s="66"/>
      <c r="M1287" s="66"/>
      <c r="N1287" s="110">
        <f t="shared" si="1843"/>
        <v>-282</v>
      </c>
      <c r="O1287" s="110"/>
      <c r="P1287" s="121"/>
      <c r="Q1287" s="123"/>
      <c r="R1287" s="66"/>
      <c r="S1287" s="66"/>
      <c r="T1287" s="110">
        <f t="shared" si="1844"/>
        <v>0</v>
      </c>
      <c r="U1287" s="59">
        <f t="shared" si="1841"/>
        <v>0</v>
      </c>
      <c r="V1287" s="66"/>
      <c r="W1287" s="66"/>
      <c r="X1287" s="110">
        <f t="shared" si="1845"/>
        <v>0</v>
      </c>
      <c r="Y1287" s="110"/>
      <c r="Z1287" s="110"/>
      <c r="AA1287" s="110"/>
      <c r="AB1287" s="46"/>
      <c r="AC1287" s="78"/>
      <c r="AD1287" s="78"/>
      <c r="AE1287" s="100">
        <f t="shared" si="1787"/>
        <v>-1</v>
      </c>
      <c r="AF1287" s="90"/>
      <c r="AG1287" s="109">
        <f t="shared" si="1788"/>
        <v>-282</v>
      </c>
      <c r="AH1287" s="100">
        <f t="shared" si="1789"/>
        <v>-1</v>
      </c>
      <c r="AI1287" s="100">
        <f t="shared" si="1790"/>
        <v>-1</v>
      </c>
    </row>
    <row r="1288" spans="1:35" s="47" customFormat="1" ht="21" customHeight="1" x14ac:dyDescent="0.3">
      <c r="A1288" s="78"/>
      <c r="B1288" s="106" t="s">
        <v>53</v>
      </c>
      <c r="C1288" s="107">
        <v>48192</v>
      </c>
      <c r="D1288" s="305"/>
      <c r="E1288" s="133" t="s">
        <v>0</v>
      </c>
      <c r="F1288" s="66">
        <v>282</v>
      </c>
      <c r="G1288" s="66"/>
      <c r="H1288" s="66"/>
      <c r="I1288" s="66"/>
      <c r="J1288" s="66"/>
      <c r="K1288" s="78"/>
      <c r="L1288" s="66"/>
      <c r="M1288" s="66"/>
      <c r="N1288" s="110">
        <f t="shared" si="1843"/>
        <v>-282</v>
      </c>
      <c r="O1288" s="110"/>
      <c r="P1288" s="121"/>
      <c r="Q1288" s="123"/>
      <c r="R1288" s="66"/>
      <c r="S1288" s="66"/>
      <c r="T1288" s="110">
        <f t="shared" si="1844"/>
        <v>0</v>
      </c>
      <c r="U1288" s="59">
        <f t="shared" si="1841"/>
        <v>0</v>
      </c>
      <c r="V1288" s="66"/>
      <c r="W1288" s="66"/>
      <c r="X1288" s="110">
        <f t="shared" si="1845"/>
        <v>0</v>
      </c>
      <c r="Y1288" s="110"/>
      <c r="Z1288" s="110"/>
      <c r="AA1288" s="110"/>
      <c r="AB1288" s="46"/>
      <c r="AC1288" s="78"/>
      <c r="AD1288" s="78"/>
      <c r="AE1288" s="100">
        <f t="shared" si="1787"/>
        <v>-1</v>
      </c>
      <c r="AF1288" s="90"/>
      <c r="AG1288" s="109">
        <f t="shared" si="1788"/>
        <v>-282</v>
      </c>
      <c r="AH1288" s="100">
        <f t="shared" si="1789"/>
        <v>-1</v>
      </c>
      <c r="AI1288" s="100">
        <f t="shared" si="1790"/>
        <v>-1</v>
      </c>
    </row>
    <row r="1289" spans="1:35" s="79" customFormat="1" ht="15.75" customHeight="1" x14ac:dyDescent="0.3">
      <c r="A1289" s="90" t="s">
        <v>46</v>
      </c>
      <c r="B1289" s="136" t="s">
        <v>53</v>
      </c>
      <c r="C1289" s="137"/>
      <c r="D1289" s="136"/>
      <c r="E1289" s="138"/>
      <c r="F1289" s="91">
        <f>SUM(F1286:F1288)</f>
        <v>846</v>
      </c>
      <c r="G1289" s="91"/>
      <c r="H1289" s="91"/>
      <c r="I1289" s="91"/>
      <c r="J1289" s="91"/>
      <c r="K1289" s="65" t="s">
        <v>617</v>
      </c>
      <c r="L1289" s="91">
        <f>SUM(L1286:L1288)</f>
        <v>0</v>
      </c>
      <c r="M1289" s="91">
        <f>SUM(M1286:M1288)</f>
        <v>0</v>
      </c>
      <c r="N1289" s="91">
        <f>SUM(N1286:N1288)</f>
        <v>-846</v>
      </c>
      <c r="O1289" s="91"/>
      <c r="P1289" s="91">
        <f>SUM(P1286:P1288)</f>
        <v>0</v>
      </c>
      <c r="Q1289" s="91">
        <f>SUM(Q1286:Q1288)</f>
        <v>0</v>
      </c>
      <c r="R1289" s="91">
        <f>SUM(R1286:R1288)</f>
        <v>0</v>
      </c>
      <c r="S1289" s="91">
        <f>SUM(S1286:S1288)</f>
        <v>0</v>
      </c>
      <c r="T1289" s="91">
        <f>SUM(T1286:T1288)</f>
        <v>0</v>
      </c>
      <c r="U1289" s="59">
        <f t="shared" si="1841"/>
        <v>0</v>
      </c>
      <c r="V1289" s="91">
        <f>SUM(V1286:V1288)</f>
        <v>0</v>
      </c>
      <c r="W1289" s="91">
        <f>SUM(W1286:W1288)</f>
        <v>0</v>
      </c>
      <c r="X1289" s="91">
        <f>SUM(X1286:X1288)</f>
        <v>0</v>
      </c>
      <c r="Y1289" s="136" t="s">
        <v>47</v>
      </c>
      <c r="Z1289" s="136" t="s">
        <v>45</v>
      </c>
      <c r="AA1289" s="136"/>
      <c r="AB1289" s="84"/>
      <c r="AC1289" s="90"/>
      <c r="AD1289" s="90"/>
      <c r="AE1289" s="100">
        <f t="shared" si="1787"/>
        <v>-1</v>
      </c>
      <c r="AF1289" s="90"/>
      <c r="AG1289" s="109">
        <f t="shared" si="1788"/>
        <v>-846</v>
      </c>
      <c r="AH1289" s="100">
        <f t="shared" si="1789"/>
        <v>-1</v>
      </c>
      <c r="AI1289" s="100">
        <f t="shared" si="1790"/>
        <v>-1</v>
      </c>
    </row>
    <row r="1290" spans="1:35" s="47" customFormat="1" ht="21" customHeight="1" x14ac:dyDescent="0.3">
      <c r="A1290" s="78"/>
      <c r="B1290" s="106" t="s">
        <v>53</v>
      </c>
      <c r="C1290" s="107" t="s">
        <v>273</v>
      </c>
      <c r="D1290" s="304">
        <v>22039968</v>
      </c>
      <c r="E1290" s="133" t="s">
        <v>97</v>
      </c>
      <c r="F1290" s="66">
        <v>1148</v>
      </c>
      <c r="G1290" s="66"/>
      <c r="H1290" s="66"/>
      <c r="I1290" s="66"/>
      <c r="J1290" s="66"/>
      <c r="K1290" s="78"/>
      <c r="L1290" s="66"/>
      <c r="M1290" s="66">
        <f>696+472</f>
        <v>1168</v>
      </c>
      <c r="N1290" s="110">
        <f t="shared" ref="N1290:N1292" si="1846">M1290-F1290</f>
        <v>20</v>
      </c>
      <c r="O1290" s="110"/>
      <c r="P1290" s="123"/>
      <c r="Q1290" s="123"/>
      <c r="R1290" s="66"/>
      <c r="S1290" s="66"/>
      <c r="T1290" s="110">
        <f t="shared" ref="T1290:T1292" si="1847">S1290-Q1290</f>
        <v>0</v>
      </c>
      <c r="U1290" s="59">
        <f t="shared" si="1841"/>
        <v>0</v>
      </c>
      <c r="V1290" s="66"/>
      <c r="W1290" s="66">
        <v>1168</v>
      </c>
      <c r="X1290" s="110">
        <f t="shared" ref="X1290:X1292" si="1848">W1290-M1290</f>
        <v>0</v>
      </c>
      <c r="Y1290" s="110"/>
      <c r="Z1290" s="110"/>
      <c r="AA1290" s="110"/>
      <c r="AB1290" s="46"/>
      <c r="AC1290" s="78"/>
      <c r="AD1290" s="78"/>
      <c r="AE1290" s="100">
        <f t="shared" si="1787"/>
        <v>1.7421602787456445E-2</v>
      </c>
      <c r="AF1290" s="90"/>
      <c r="AG1290" s="109">
        <f t="shared" si="1788"/>
        <v>0</v>
      </c>
      <c r="AH1290" s="100">
        <f t="shared" si="1789"/>
        <v>-1</v>
      </c>
      <c r="AI1290" s="100">
        <f t="shared" si="1790"/>
        <v>1.7421602787456445E-2</v>
      </c>
    </row>
    <row r="1291" spans="1:35" s="47" customFormat="1" ht="21" customHeight="1" x14ac:dyDescent="0.3">
      <c r="A1291" s="78"/>
      <c r="B1291" s="106" t="s">
        <v>53</v>
      </c>
      <c r="C1291" s="107" t="s">
        <v>273</v>
      </c>
      <c r="D1291" s="305"/>
      <c r="E1291" s="133" t="s">
        <v>117</v>
      </c>
      <c r="F1291" s="66">
        <v>1678</v>
      </c>
      <c r="G1291" s="66"/>
      <c r="H1291" s="66"/>
      <c r="I1291" s="66"/>
      <c r="J1291" s="66"/>
      <c r="K1291" s="78"/>
      <c r="L1291" s="66"/>
      <c r="M1291" s="66">
        <f>910+720+68</f>
        <v>1698</v>
      </c>
      <c r="N1291" s="110">
        <f t="shared" si="1846"/>
        <v>20</v>
      </c>
      <c r="O1291" s="110"/>
      <c r="P1291" s="121"/>
      <c r="Q1291" s="123"/>
      <c r="R1291" s="66"/>
      <c r="S1291" s="66"/>
      <c r="T1291" s="110">
        <f t="shared" si="1847"/>
        <v>0</v>
      </c>
      <c r="U1291" s="59">
        <f t="shared" si="1841"/>
        <v>0</v>
      </c>
      <c r="V1291" s="66"/>
      <c r="W1291" s="66">
        <v>1698</v>
      </c>
      <c r="X1291" s="110">
        <f t="shared" si="1848"/>
        <v>0</v>
      </c>
      <c r="Y1291" s="110"/>
      <c r="Z1291" s="110"/>
      <c r="AA1291" s="110"/>
      <c r="AB1291" s="46"/>
      <c r="AC1291" s="78"/>
      <c r="AD1291" s="78"/>
      <c r="AE1291" s="100">
        <f t="shared" si="1787"/>
        <v>1.1918951132300357E-2</v>
      </c>
      <c r="AF1291" s="90"/>
      <c r="AG1291" s="109">
        <f t="shared" si="1788"/>
        <v>0</v>
      </c>
      <c r="AH1291" s="100">
        <f t="shared" si="1789"/>
        <v>-1</v>
      </c>
      <c r="AI1291" s="100">
        <f t="shared" si="1790"/>
        <v>1.1918951132300357E-2</v>
      </c>
    </row>
    <row r="1292" spans="1:35" s="47" customFormat="1" ht="21" customHeight="1" x14ac:dyDescent="0.3">
      <c r="A1292" s="78"/>
      <c r="B1292" s="106" t="s">
        <v>53</v>
      </c>
      <c r="C1292" s="107" t="s">
        <v>273</v>
      </c>
      <c r="D1292" s="305"/>
      <c r="E1292" s="133" t="s">
        <v>0</v>
      </c>
      <c r="F1292" s="66">
        <v>1128</v>
      </c>
      <c r="G1292" s="66"/>
      <c r="H1292" s="66"/>
      <c r="I1292" s="66"/>
      <c r="J1292" s="66"/>
      <c r="K1292" s="78"/>
      <c r="L1292" s="66"/>
      <c r="M1292" s="66">
        <f>324+324+496+18</f>
        <v>1162</v>
      </c>
      <c r="N1292" s="110">
        <f t="shared" si="1846"/>
        <v>34</v>
      </c>
      <c r="O1292" s="110"/>
      <c r="P1292" s="121"/>
      <c r="Q1292" s="123"/>
      <c r="R1292" s="66"/>
      <c r="S1292" s="66"/>
      <c r="T1292" s="110">
        <f t="shared" si="1847"/>
        <v>0</v>
      </c>
      <c r="U1292" s="59">
        <f t="shared" si="1841"/>
        <v>18</v>
      </c>
      <c r="V1292" s="66"/>
      <c r="W1292" s="66">
        <v>1144</v>
      </c>
      <c r="X1292" s="110">
        <f t="shared" si="1848"/>
        <v>-18</v>
      </c>
      <c r="Y1292" s="110"/>
      <c r="Z1292" s="110"/>
      <c r="AA1292" s="110"/>
      <c r="AB1292" s="46"/>
      <c r="AC1292" s="78"/>
      <c r="AD1292" s="78"/>
      <c r="AE1292" s="100">
        <f t="shared" si="1787"/>
        <v>3.0141843971631204E-2</v>
      </c>
      <c r="AF1292" s="90"/>
      <c r="AG1292" s="109">
        <f t="shared" si="1788"/>
        <v>0</v>
      </c>
      <c r="AH1292" s="100">
        <f t="shared" si="1789"/>
        <v>-1</v>
      </c>
      <c r="AI1292" s="100">
        <f t="shared" si="1790"/>
        <v>1.4184397163120567E-2</v>
      </c>
    </row>
    <row r="1293" spans="1:35" s="79" customFormat="1" ht="15.75" customHeight="1" x14ac:dyDescent="0.3">
      <c r="A1293" s="90" t="s">
        <v>46</v>
      </c>
      <c r="B1293" s="136" t="s">
        <v>53</v>
      </c>
      <c r="C1293" s="137"/>
      <c r="D1293" s="136"/>
      <c r="E1293" s="138"/>
      <c r="F1293" s="91">
        <f>SUM(F1290:F1292)</f>
        <v>3954</v>
      </c>
      <c r="G1293" s="91"/>
      <c r="H1293" s="91"/>
      <c r="I1293" s="91"/>
      <c r="J1293" s="91" t="s">
        <v>58</v>
      </c>
      <c r="K1293" s="65" t="s">
        <v>272</v>
      </c>
      <c r="L1293" s="91">
        <f>SUM(L1290:L1292)</f>
        <v>0</v>
      </c>
      <c r="M1293" s="91">
        <f>SUM(M1290:M1292)</f>
        <v>4028</v>
      </c>
      <c r="N1293" s="91">
        <f>SUM(N1290:N1292)</f>
        <v>74</v>
      </c>
      <c r="O1293" s="91"/>
      <c r="P1293" s="91">
        <f>SUM(P1290:P1292)</f>
        <v>0</v>
      </c>
      <c r="Q1293" s="91">
        <f>SUM(Q1290:Q1292)</f>
        <v>0</v>
      </c>
      <c r="R1293" s="91">
        <f>SUM(R1290:R1292)</f>
        <v>0</v>
      </c>
      <c r="S1293" s="91">
        <f>SUM(S1290:S1292)</f>
        <v>0</v>
      </c>
      <c r="T1293" s="91">
        <f>SUM(T1290:T1292)</f>
        <v>0</v>
      </c>
      <c r="U1293" s="59">
        <f t="shared" si="1841"/>
        <v>18</v>
      </c>
      <c r="V1293" s="91">
        <f>SUM(V1290:V1292)</f>
        <v>0</v>
      </c>
      <c r="W1293" s="91">
        <f>SUM(W1290:W1292)</f>
        <v>4010</v>
      </c>
      <c r="X1293" s="91">
        <f>SUM(X1290:X1292)</f>
        <v>-18</v>
      </c>
      <c r="Y1293" s="136"/>
      <c r="Z1293" s="136"/>
      <c r="AA1293" s="136"/>
      <c r="AB1293" s="84"/>
      <c r="AC1293" s="90"/>
      <c r="AD1293" s="90"/>
      <c r="AE1293" s="100">
        <f t="shared" si="1787"/>
        <v>1.8715225088517955E-2</v>
      </c>
      <c r="AF1293" s="90"/>
      <c r="AG1293" s="109">
        <f t="shared" si="1788"/>
        <v>0</v>
      </c>
      <c r="AH1293" s="100">
        <f t="shared" si="1789"/>
        <v>-1</v>
      </c>
      <c r="AI1293" s="100">
        <f t="shared" si="1790"/>
        <v>1.4162873039959535E-2</v>
      </c>
    </row>
    <row r="1294" spans="1:35" s="47" customFormat="1" ht="21" customHeight="1" x14ac:dyDescent="0.3">
      <c r="A1294" s="78"/>
      <c r="B1294" s="106" t="s">
        <v>53</v>
      </c>
      <c r="C1294" s="107" t="s">
        <v>928</v>
      </c>
      <c r="D1294" s="304">
        <v>22039968</v>
      </c>
      <c r="E1294" s="133" t="s">
        <v>97</v>
      </c>
      <c r="F1294" s="66">
        <v>2008</v>
      </c>
      <c r="G1294" s="66"/>
      <c r="H1294" s="66"/>
      <c r="I1294" s="66"/>
      <c r="J1294" s="66"/>
      <c r="K1294" s="78"/>
      <c r="L1294" s="66"/>
      <c r="M1294" s="66"/>
      <c r="N1294" s="110">
        <f t="shared" ref="N1294:N1296" si="1849">M1294-F1294</f>
        <v>-2008</v>
      </c>
      <c r="O1294" s="110"/>
      <c r="P1294" s="123"/>
      <c r="Q1294" s="123"/>
      <c r="R1294" s="66"/>
      <c r="S1294" s="66"/>
      <c r="T1294" s="110">
        <f t="shared" ref="T1294:T1296" si="1850">S1294-Q1294</f>
        <v>0</v>
      </c>
      <c r="U1294" s="59">
        <f t="shared" si="1841"/>
        <v>0</v>
      </c>
      <c r="V1294" s="66"/>
      <c r="W1294" s="66"/>
      <c r="X1294" s="110">
        <f t="shared" ref="X1294:X1296" si="1851">W1294-M1294</f>
        <v>0</v>
      </c>
      <c r="Y1294" s="110"/>
      <c r="Z1294" s="110"/>
      <c r="AA1294" s="110"/>
      <c r="AB1294" s="46"/>
      <c r="AC1294" s="78"/>
      <c r="AD1294" s="78"/>
      <c r="AE1294" s="100">
        <f t="shared" si="1787"/>
        <v>-1</v>
      </c>
      <c r="AF1294" s="90"/>
      <c r="AG1294" s="109">
        <f t="shared" si="1788"/>
        <v>-2008</v>
      </c>
      <c r="AH1294" s="100">
        <f t="shared" si="1789"/>
        <v>-1</v>
      </c>
      <c r="AI1294" s="100">
        <f t="shared" si="1790"/>
        <v>-1</v>
      </c>
    </row>
    <row r="1295" spans="1:35" s="47" customFormat="1" ht="21" customHeight="1" x14ac:dyDescent="0.3">
      <c r="A1295" s="78"/>
      <c r="B1295" s="106" t="s">
        <v>53</v>
      </c>
      <c r="C1295" s="107" t="s">
        <v>928</v>
      </c>
      <c r="D1295" s="305"/>
      <c r="E1295" s="133" t="s">
        <v>117</v>
      </c>
      <c r="F1295" s="66">
        <v>2008</v>
      </c>
      <c r="G1295" s="66"/>
      <c r="H1295" s="66"/>
      <c r="I1295" s="66"/>
      <c r="J1295" s="66"/>
      <c r="K1295" s="78"/>
      <c r="L1295" s="66"/>
      <c r="M1295" s="66">
        <f>150+212+100+468+408+693</f>
        <v>2031</v>
      </c>
      <c r="N1295" s="110">
        <f t="shared" si="1849"/>
        <v>23</v>
      </c>
      <c r="O1295" s="110"/>
      <c r="P1295" s="121"/>
      <c r="Q1295" s="123"/>
      <c r="R1295" s="66"/>
      <c r="S1295" s="66"/>
      <c r="T1295" s="110">
        <f t="shared" si="1850"/>
        <v>0</v>
      </c>
      <c r="U1295" s="59">
        <f t="shared" si="1841"/>
        <v>2031</v>
      </c>
      <c r="V1295" s="66"/>
      <c r="W1295" s="66"/>
      <c r="X1295" s="110">
        <f t="shared" si="1851"/>
        <v>-2031</v>
      </c>
      <c r="Y1295" s="110"/>
      <c r="Z1295" s="110"/>
      <c r="AA1295" s="110"/>
      <c r="AB1295" s="46"/>
      <c r="AC1295" s="78"/>
      <c r="AD1295" s="78"/>
      <c r="AE1295" s="100">
        <f t="shared" si="1787"/>
        <v>1.1454183266932271E-2</v>
      </c>
      <c r="AF1295" s="90"/>
      <c r="AG1295" s="109">
        <f t="shared" si="1788"/>
        <v>0</v>
      </c>
      <c r="AH1295" s="100">
        <f t="shared" si="1789"/>
        <v>-1</v>
      </c>
      <c r="AI1295" s="100">
        <f t="shared" si="1790"/>
        <v>-1</v>
      </c>
    </row>
    <row r="1296" spans="1:35" s="47" customFormat="1" ht="21" customHeight="1" x14ac:dyDescent="0.3">
      <c r="A1296" s="78"/>
      <c r="B1296" s="106" t="s">
        <v>53</v>
      </c>
      <c r="C1296" s="107" t="s">
        <v>928</v>
      </c>
      <c r="D1296" s="305"/>
      <c r="E1296" s="133" t="s">
        <v>0</v>
      </c>
      <c r="F1296" s="66">
        <v>2008</v>
      </c>
      <c r="G1296" s="66"/>
      <c r="H1296" s="66"/>
      <c r="I1296" s="66"/>
      <c r="J1296" s="66"/>
      <c r="K1296" s="78"/>
      <c r="L1296" s="66"/>
      <c r="M1296" s="66">
        <f>612+1272+150</f>
        <v>2034</v>
      </c>
      <c r="N1296" s="110">
        <f t="shared" si="1849"/>
        <v>26</v>
      </c>
      <c r="O1296" s="110"/>
      <c r="P1296" s="121"/>
      <c r="Q1296" s="123"/>
      <c r="R1296" s="66"/>
      <c r="S1296" s="66"/>
      <c r="T1296" s="110">
        <f t="shared" si="1850"/>
        <v>0</v>
      </c>
      <c r="U1296" s="59">
        <f t="shared" si="1841"/>
        <v>20</v>
      </c>
      <c r="V1296" s="66">
        <v>1402</v>
      </c>
      <c r="W1296" s="66">
        <v>2014</v>
      </c>
      <c r="X1296" s="110">
        <f t="shared" si="1851"/>
        <v>-20</v>
      </c>
      <c r="Y1296" s="110"/>
      <c r="Z1296" s="110"/>
      <c r="AA1296" s="110"/>
      <c r="AB1296" s="46"/>
      <c r="AC1296" s="78"/>
      <c r="AD1296" s="78"/>
      <c r="AE1296" s="100">
        <f t="shared" si="1787"/>
        <v>1.2948207171314742E-2</v>
      </c>
      <c r="AF1296" s="90"/>
      <c r="AG1296" s="109">
        <f t="shared" si="1788"/>
        <v>0</v>
      </c>
      <c r="AH1296" s="100">
        <f t="shared" si="1789"/>
        <v>-1</v>
      </c>
      <c r="AI1296" s="100">
        <f t="shared" si="1790"/>
        <v>2.9880478087649402E-3</v>
      </c>
    </row>
    <row r="1297" spans="1:35" s="79" customFormat="1" ht="15.75" customHeight="1" x14ac:dyDescent="0.3">
      <c r="A1297" s="90" t="s">
        <v>46</v>
      </c>
      <c r="B1297" s="136" t="s">
        <v>53</v>
      </c>
      <c r="C1297" s="137"/>
      <c r="D1297" s="136"/>
      <c r="E1297" s="138"/>
      <c r="F1297" s="91">
        <f>SUM(F1294:F1296)</f>
        <v>6024</v>
      </c>
      <c r="G1297" s="91"/>
      <c r="H1297" s="91"/>
      <c r="I1297" s="91"/>
      <c r="J1297" s="91" t="s">
        <v>59</v>
      </c>
      <c r="K1297" s="65" t="s">
        <v>226</v>
      </c>
      <c r="L1297" s="91">
        <f>SUM(L1294:L1296)</f>
        <v>0</v>
      </c>
      <c r="M1297" s="91">
        <f>SUM(M1294:M1296)</f>
        <v>4065</v>
      </c>
      <c r="N1297" s="91">
        <f>SUM(N1294:N1296)</f>
        <v>-1959</v>
      </c>
      <c r="O1297" s="91"/>
      <c r="P1297" s="91">
        <f>SUM(P1294:P1296)</f>
        <v>0</v>
      </c>
      <c r="Q1297" s="91">
        <f>SUM(Q1294:Q1296)</f>
        <v>0</v>
      </c>
      <c r="R1297" s="91">
        <f>SUM(R1294:R1296)</f>
        <v>0</v>
      </c>
      <c r="S1297" s="91">
        <f>SUM(S1294:S1296)</f>
        <v>0</v>
      </c>
      <c r="T1297" s="91">
        <f>SUM(T1294:T1296)</f>
        <v>0</v>
      </c>
      <c r="U1297" s="59">
        <f t="shared" si="1841"/>
        <v>2051</v>
      </c>
      <c r="V1297" s="91">
        <f>SUM(V1294:V1296)</f>
        <v>1402</v>
      </c>
      <c r="W1297" s="91">
        <f>SUM(W1294:W1296)</f>
        <v>2014</v>
      </c>
      <c r="X1297" s="91">
        <f>SUM(X1294:X1296)</f>
        <v>-2051</v>
      </c>
      <c r="Y1297" s="136"/>
      <c r="Z1297" s="136"/>
      <c r="AA1297" s="136"/>
      <c r="AB1297" s="84"/>
      <c r="AC1297" s="90"/>
      <c r="AD1297" s="90"/>
      <c r="AE1297" s="100">
        <f t="shared" si="1787"/>
        <v>-0.32519920318725098</v>
      </c>
      <c r="AF1297" s="90"/>
      <c r="AG1297" s="109">
        <f t="shared" si="1788"/>
        <v>-1959</v>
      </c>
      <c r="AH1297" s="100">
        <f t="shared" si="1789"/>
        <v>-1</v>
      </c>
      <c r="AI1297" s="100">
        <f t="shared" si="1790"/>
        <v>-0.66567065073041165</v>
      </c>
    </row>
    <row r="1298" spans="1:35" s="47" customFormat="1" ht="21" customHeight="1" x14ac:dyDescent="0.3">
      <c r="A1298" s="78"/>
      <c r="B1298" s="106" t="s">
        <v>53</v>
      </c>
      <c r="C1298" s="107" t="s">
        <v>929</v>
      </c>
      <c r="D1298" s="304">
        <v>22039968</v>
      </c>
      <c r="E1298" s="133" t="s">
        <v>97</v>
      </c>
      <c r="F1298" s="66">
        <v>1008</v>
      </c>
      <c r="G1298" s="66"/>
      <c r="H1298" s="66"/>
      <c r="I1298" s="66"/>
      <c r="J1298" s="66"/>
      <c r="K1298" s="78"/>
      <c r="L1298" s="66"/>
      <c r="M1298" s="66"/>
      <c r="N1298" s="110">
        <f t="shared" ref="N1298:N1300" si="1852">M1298-F1298</f>
        <v>-1008</v>
      </c>
      <c r="O1298" s="110"/>
      <c r="P1298" s="123"/>
      <c r="Q1298" s="123"/>
      <c r="R1298" s="66"/>
      <c r="S1298" s="66"/>
      <c r="T1298" s="110">
        <f t="shared" ref="T1298:T1300" si="1853">S1298-Q1298</f>
        <v>0</v>
      </c>
      <c r="U1298" s="59">
        <f t="shared" si="1841"/>
        <v>0</v>
      </c>
      <c r="V1298" s="66"/>
      <c r="W1298" s="66"/>
      <c r="X1298" s="110">
        <f t="shared" ref="X1298:X1300" si="1854">W1298-M1298</f>
        <v>0</v>
      </c>
      <c r="Y1298" s="110"/>
      <c r="Z1298" s="110"/>
      <c r="AA1298" s="110"/>
      <c r="AB1298" s="46"/>
      <c r="AC1298" s="78"/>
      <c r="AD1298" s="78"/>
      <c r="AE1298" s="100">
        <f t="shared" si="1787"/>
        <v>-1</v>
      </c>
      <c r="AF1298" s="90"/>
      <c r="AG1298" s="109">
        <f t="shared" si="1788"/>
        <v>-1008</v>
      </c>
      <c r="AH1298" s="100">
        <f t="shared" si="1789"/>
        <v>-1</v>
      </c>
      <c r="AI1298" s="100">
        <f t="shared" si="1790"/>
        <v>-1</v>
      </c>
    </row>
    <row r="1299" spans="1:35" s="47" customFormat="1" ht="21" customHeight="1" x14ac:dyDescent="0.3">
      <c r="A1299" s="78"/>
      <c r="B1299" s="106" t="s">
        <v>53</v>
      </c>
      <c r="C1299" s="107" t="s">
        <v>929</v>
      </c>
      <c r="D1299" s="305"/>
      <c r="E1299" s="133" t="s">
        <v>117</v>
      </c>
      <c r="F1299" s="66">
        <v>2008</v>
      </c>
      <c r="G1299" s="66"/>
      <c r="H1299" s="66"/>
      <c r="I1299" s="66"/>
      <c r="J1299" s="66"/>
      <c r="K1299" s="78"/>
      <c r="L1299" s="66">
        <f>390+276+154</f>
        <v>820</v>
      </c>
      <c r="M1299" s="66">
        <f>246+240+486+252+390+276+154</f>
        <v>2044</v>
      </c>
      <c r="N1299" s="110">
        <f t="shared" si="1852"/>
        <v>36</v>
      </c>
      <c r="O1299" s="110"/>
      <c r="P1299" s="121"/>
      <c r="Q1299" s="123"/>
      <c r="R1299" s="66"/>
      <c r="S1299" s="66"/>
      <c r="T1299" s="110">
        <f t="shared" si="1853"/>
        <v>0</v>
      </c>
      <c r="U1299" s="59">
        <f t="shared" si="1841"/>
        <v>2044</v>
      </c>
      <c r="V1299" s="66"/>
      <c r="W1299" s="66"/>
      <c r="X1299" s="110">
        <f t="shared" si="1854"/>
        <v>-2044</v>
      </c>
      <c r="Y1299" s="110"/>
      <c r="Z1299" s="110"/>
      <c r="AA1299" s="110"/>
      <c r="AB1299" s="46"/>
      <c r="AC1299" s="78"/>
      <c r="AD1299" s="78"/>
      <c r="AE1299" s="100">
        <f t="shared" si="1787"/>
        <v>1.7928286852589643E-2</v>
      </c>
      <c r="AF1299" s="90"/>
      <c r="AG1299" s="109">
        <f t="shared" si="1788"/>
        <v>0</v>
      </c>
      <c r="AH1299" s="100">
        <f t="shared" si="1789"/>
        <v>-1</v>
      </c>
      <c r="AI1299" s="100">
        <f t="shared" si="1790"/>
        <v>-1</v>
      </c>
    </row>
    <row r="1300" spans="1:35" s="47" customFormat="1" ht="21" customHeight="1" x14ac:dyDescent="0.3">
      <c r="A1300" s="78"/>
      <c r="B1300" s="106" t="s">
        <v>53</v>
      </c>
      <c r="C1300" s="107" t="s">
        <v>929</v>
      </c>
      <c r="D1300" s="305"/>
      <c r="E1300" s="133" t="s">
        <v>0</v>
      </c>
      <c r="F1300" s="66">
        <v>2008</v>
      </c>
      <c r="G1300" s="66"/>
      <c r="H1300" s="66"/>
      <c r="I1300" s="66"/>
      <c r="J1300" s="66"/>
      <c r="K1300" s="78"/>
      <c r="L1300" s="66"/>
      <c r="M1300" s="66">
        <f>306+738</f>
        <v>1044</v>
      </c>
      <c r="N1300" s="110">
        <f t="shared" si="1852"/>
        <v>-964</v>
      </c>
      <c r="O1300" s="110"/>
      <c r="P1300" s="121"/>
      <c r="Q1300" s="123"/>
      <c r="R1300" s="66"/>
      <c r="S1300" s="66"/>
      <c r="T1300" s="110">
        <f t="shared" si="1853"/>
        <v>0</v>
      </c>
      <c r="U1300" s="59">
        <f t="shared" si="1841"/>
        <v>8</v>
      </c>
      <c r="V1300" s="66"/>
      <c r="W1300" s="66">
        <f>612+424</f>
        <v>1036</v>
      </c>
      <c r="X1300" s="110">
        <f t="shared" si="1854"/>
        <v>-8</v>
      </c>
      <c r="Y1300" s="110"/>
      <c r="Z1300" s="110"/>
      <c r="AA1300" s="110"/>
      <c r="AB1300" s="46"/>
      <c r="AC1300" s="78"/>
      <c r="AD1300" s="78"/>
      <c r="AE1300" s="100">
        <f t="shared" si="1787"/>
        <v>-0.48007968127490042</v>
      </c>
      <c r="AF1300" s="90"/>
      <c r="AG1300" s="109">
        <f t="shared" si="1788"/>
        <v>-964</v>
      </c>
      <c r="AH1300" s="100">
        <f t="shared" si="1789"/>
        <v>-1</v>
      </c>
      <c r="AI1300" s="100">
        <f t="shared" si="1790"/>
        <v>-0.48406374501992033</v>
      </c>
    </row>
    <row r="1301" spans="1:35" s="79" customFormat="1" ht="15.75" customHeight="1" x14ac:dyDescent="0.3">
      <c r="A1301" s="90" t="s">
        <v>46</v>
      </c>
      <c r="B1301" s="136" t="s">
        <v>53</v>
      </c>
      <c r="C1301" s="137"/>
      <c r="D1301" s="136"/>
      <c r="E1301" s="138"/>
      <c r="F1301" s="91">
        <f>SUM(F1298:F1300)</f>
        <v>5024</v>
      </c>
      <c r="G1301" s="91"/>
      <c r="H1301" s="91"/>
      <c r="I1301" s="91"/>
      <c r="J1301" s="91" t="s">
        <v>59</v>
      </c>
      <c r="K1301" s="65" t="s">
        <v>377</v>
      </c>
      <c r="L1301" s="91">
        <f>SUM(L1298:L1300)</f>
        <v>820</v>
      </c>
      <c r="M1301" s="91">
        <f>SUM(M1298:M1300)</f>
        <v>3088</v>
      </c>
      <c r="N1301" s="91">
        <f>SUM(N1298:N1300)</f>
        <v>-1936</v>
      </c>
      <c r="O1301" s="91"/>
      <c r="P1301" s="91">
        <f>SUM(P1298:P1300)</f>
        <v>0</v>
      </c>
      <c r="Q1301" s="91">
        <f>SUM(Q1298:Q1300)</f>
        <v>0</v>
      </c>
      <c r="R1301" s="91">
        <f>SUM(R1298:R1300)</f>
        <v>0</v>
      </c>
      <c r="S1301" s="91">
        <f>SUM(S1298:S1300)</f>
        <v>0</v>
      </c>
      <c r="T1301" s="91">
        <f>SUM(T1298:T1300)</f>
        <v>0</v>
      </c>
      <c r="U1301" s="59">
        <f t="shared" si="1841"/>
        <v>2052</v>
      </c>
      <c r="V1301" s="91">
        <f>SUM(V1298:V1300)</f>
        <v>0</v>
      </c>
      <c r="W1301" s="91">
        <f>SUM(W1298:W1300)</f>
        <v>1036</v>
      </c>
      <c r="X1301" s="91">
        <f>SUM(X1298:X1300)</f>
        <v>-2052</v>
      </c>
      <c r="Y1301" s="136"/>
      <c r="Z1301" s="136"/>
      <c r="AA1301" s="136"/>
      <c r="AB1301" s="84"/>
      <c r="AC1301" s="90"/>
      <c r="AD1301" s="90"/>
      <c r="AE1301" s="100">
        <f t="shared" si="1787"/>
        <v>-0.38535031847133761</v>
      </c>
      <c r="AF1301" s="90"/>
      <c r="AG1301" s="109">
        <f t="shared" si="1788"/>
        <v>-1936</v>
      </c>
      <c r="AH1301" s="100">
        <f t="shared" si="1789"/>
        <v>-1</v>
      </c>
      <c r="AI1301" s="100">
        <f t="shared" si="1790"/>
        <v>-0.79378980891719741</v>
      </c>
    </row>
    <row r="1302" spans="1:35" s="47" customFormat="1" ht="21" customHeight="1" x14ac:dyDescent="0.3">
      <c r="A1302" s="78"/>
      <c r="B1302" s="106" t="s">
        <v>53</v>
      </c>
      <c r="C1302" s="107" t="s">
        <v>933</v>
      </c>
      <c r="D1302" s="304">
        <v>22039968</v>
      </c>
      <c r="E1302" s="133" t="s">
        <v>97</v>
      </c>
      <c r="F1302" s="66">
        <v>2008</v>
      </c>
      <c r="G1302" s="66"/>
      <c r="H1302" s="66"/>
      <c r="I1302" s="66"/>
      <c r="J1302" s="66"/>
      <c r="K1302" s="78"/>
      <c r="L1302" s="66"/>
      <c r="M1302" s="66"/>
      <c r="N1302" s="110">
        <f t="shared" ref="N1302:N1304" si="1855">M1302-F1302</f>
        <v>-2008</v>
      </c>
      <c r="O1302" s="110"/>
      <c r="P1302" s="123"/>
      <c r="Q1302" s="123"/>
      <c r="R1302" s="66"/>
      <c r="S1302" s="66"/>
      <c r="T1302" s="110">
        <f t="shared" ref="T1302:T1304" si="1856">S1302-Q1302</f>
        <v>0</v>
      </c>
      <c r="U1302" s="59">
        <f t="shared" si="1841"/>
        <v>0</v>
      </c>
      <c r="V1302" s="66"/>
      <c r="W1302" s="66"/>
      <c r="X1302" s="110">
        <f t="shared" ref="X1302:X1304" si="1857">W1302-M1302</f>
        <v>0</v>
      </c>
      <c r="Y1302" s="110"/>
      <c r="Z1302" s="110"/>
      <c r="AA1302" s="110"/>
      <c r="AB1302" s="46"/>
      <c r="AC1302" s="78"/>
      <c r="AD1302" s="78"/>
      <c r="AE1302" s="100">
        <f t="shared" si="1787"/>
        <v>-1</v>
      </c>
      <c r="AF1302" s="90"/>
      <c r="AG1302" s="109">
        <f t="shared" si="1788"/>
        <v>-2008</v>
      </c>
      <c r="AH1302" s="100">
        <f t="shared" si="1789"/>
        <v>-1</v>
      </c>
      <c r="AI1302" s="100">
        <f t="shared" si="1790"/>
        <v>-1</v>
      </c>
    </row>
    <row r="1303" spans="1:35" s="47" customFormat="1" ht="21" customHeight="1" x14ac:dyDescent="0.3">
      <c r="A1303" s="78"/>
      <c r="B1303" s="106" t="s">
        <v>53</v>
      </c>
      <c r="C1303" s="107" t="s">
        <v>933</v>
      </c>
      <c r="D1303" s="305"/>
      <c r="E1303" s="133" t="s">
        <v>117</v>
      </c>
      <c r="F1303" s="66">
        <v>2008</v>
      </c>
      <c r="G1303" s="66"/>
      <c r="H1303" s="66"/>
      <c r="I1303" s="66"/>
      <c r="J1303" s="66"/>
      <c r="K1303" s="78"/>
      <c r="L1303" s="66"/>
      <c r="M1303" s="66"/>
      <c r="N1303" s="110">
        <f t="shared" si="1855"/>
        <v>-2008</v>
      </c>
      <c r="O1303" s="110"/>
      <c r="P1303" s="121"/>
      <c r="Q1303" s="123"/>
      <c r="R1303" s="66"/>
      <c r="S1303" s="66"/>
      <c r="T1303" s="110">
        <f t="shared" si="1856"/>
        <v>0</v>
      </c>
      <c r="U1303" s="59">
        <f t="shared" si="1841"/>
        <v>0</v>
      </c>
      <c r="V1303" s="66"/>
      <c r="W1303" s="66"/>
      <c r="X1303" s="110">
        <f t="shared" si="1857"/>
        <v>0</v>
      </c>
      <c r="Y1303" s="110"/>
      <c r="Z1303" s="110"/>
      <c r="AA1303" s="110"/>
      <c r="AB1303" s="46"/>
      <c r="AC1303" s="78"/>
      <c r="AD1303" s="78"/>
      <c r="AE1303" s="100">
        <f t="shared" si="1787"/>
        <v>-1</v>
      </c>
      <c r="AF1303" s="90"/>
      <c r="AG1303" s="109">
        <f t="shared" si="1788"/>
        <v>-2008</v>
      </c>
      <c r="AH1303" s="100">
        <f t="shared" si="1789"/>
        <v>-1</v>
      </c>
      <c r="AI1303" s="100">
        <f t="shared" si="1790"/>
        <v>-1</v>
      </c>
    </row>
    <row r="1304" spans="1:35" s="47" customFormat="1" ht="21" customHeight="1" x14ac:dyDescent="0.3">
      <c r="A1304" s="78"/>
      <c r="B1304" s="106" t="s">
        <v>53</v>
      </c>
      <c r="C1304" s="107" t="s">
        <v>933</v>
      </c>
      <c r="D1304" s="305"/>
      <c r="E1304" s="133" t="s">
        <v>0</v>
      </c>
      <c r="F1304" s="66">
        <v>2008</v>
      </c>
      <c r="G1304" s="66"/>
      <c r="H1304" s="66"/>
      <c r="I1304" s="66"/>
      <c r="J1304" s="66"/>
      <c r="K1304" s="78"/>
      <c r="L1304" s="66"/>
      <c r="M1304" s="66"/>
      <c r="N1304" s="110">
        <f t="shared" si="1855"/>
        <v>-2008</v>
      </c>
      <c r="O1304" s="110"/>
      <c r="P1304" s="121"/>
      <c r="Q1304" s="123"/>
      <c r="R1304" s="66"/>
      <c r="S1304" s="66"/>
      <c r="T1304" s="110">
        <f t="shared" si="1856"/>
        <v>0</v>
      </c>
      <c r="U1304" s="59">
        <f t="shared" si="1841"/>
        <v>0</v>
      </c>
      <c r="V1304" s="66"/>
      <c r="W1304" s="66"/>
      <c r="X1304" s="110">
        <f t="shared" si="1857"/>
        <v>0</v>
      </c>
      <c r="Y1304" s="110"/>
      <c r="Z1304" s="110"/>
      <c r="AA1304" s="110"/>
      <c r="AB1304" s="46"/>
      <c r="AC1304" s="78"/>
      <c r="AD1304" s="78"/>
      <c r="AE1304" s="100">
        <f t="shared" si="1787"/>
        <v>-1</v>
      </c>
      <c r="AF1304" s="90"/>
      <c r="AG1304" s="109">
        <f t="shared" si="1788"/>
        <v>-2008</v>
      </c>
      <c r="AH1304" s="100">
        <f t="shared" si="1789"/>
        <v>-1</v>
      </c>
      <c r="AI1304" s="100">
        <f t="shared" si="1790"/>
        <v>-1</v>
      </c>
    </row>
    <row r="1305" spans="1:35" s="79" customFormat="1" ht="15.75" customHeight="1" x14ac:dyDescent="0.3">
      <c r="A1305" s="90" t="s">
        <v>46</v>
      </c>
      <c r="B1305" s="136" t="s">
        <v>53</v>
      </c>
      <c r="C1305" s="137"/>
      <c r="D1305" s="136"/>
      <c r="E1305" s="138"/>
      <c r="F1305" s="91">
        <f>SUM(F1302:F1304)</f>
        <v>6024</v>
      </c>
      <c r="G1305" s="91"/>
      <c r="H1305" s="91"/>
      <c r="I1305" s="91"/>
      <c r="J1305" s="91" t="s">
        <v>59</v>
      </c>
      <c r="K1305" s="65" t="s">
        <v>617</v>
      </c>
      <c r="L1305" s="91">
        <f>SUM(L1302:L1304)</f>
        <v>0</v>
      </c>
      <c r="M1305" s="91">
        <f>SUM(M1302:M1304)</f>
        <v>0</v>
      </c>
      <c r="N1305" s="91">
        <f>SUM(N1302:N1304)</f>
        <v>-6024</v>
      </c>
      <c r="O1305" s="91"/>
      <c r="P1305" s="91">
        <f>SUM(P1302:P1304)</f>
        <v>0</v>
      </c>
      <c r="Q1305" s="91">
        <f>SUM(Q1302:Q1304)</f>
        <v>0</v>
      </c>
      <c r="R1305" s="91">
        <f>SUM(R1302:R1304)</f>
        <v>0</v>
      </c>
      <c r="S1305" s="91">
        <f>SUM(S1302:S1304)</f>
        <v>0</v>
      </c>
      <c r="T1305" s="91">
        <f>SUM(T1302:T1304)</f>
        <v>0</v>
      </c>
      <c r="U1305" s="59">
        <f t="shared" si="1841"/>
        <v>0</v>
      </c>
      <c r="V1305" s="91">
        <f>SUM(V1302:V1304)</f>
        <v>0</v>
      </c>
      <c r="W1305" s="91">
        <f>SUM(W1302:W1304)</f>
        <v>0</v>
      </c>
      <c r="X1305" s="91">
        <f>SUM(X1302:X1304)</f>
        <v>0</v>
      </c>
      <c r="Y1305" s="136"/>
      <c r="Z1305" s="136"/>
      <c r="AA1305" s="136"/>
      <c r="AB1305" s="84"/>
      <c r="AC1305" s="90"/>
      <c r="AD1305" s="90"/>
      <c r="AE1305" s="100">
        <f t="shared" si="1787"/>
        <v>-1</v>
      </c>
      <c r="AF1305" s="90"/>
      <c r="AG1305" s="109">
        <f t="shared" si="1788"/>
        <v>-6024</v>
      </c>
      <c r="AH1305" s="100">
        <f t="shared" si="1789"/>
        <v>-1</v>
      </c>
      <c r="AI1305" s="100">
        <f t="shared" si="1790"/>
        <v>-1</v>
      </c>
    </row>
    <row r="1306" spans="1:35" s="47" customFormat="1" ht="21" customHeight="1" x14ac:dyDescent="0.3">
      <c r="A1306" s="78"/>
      <c r="B1306" s="106" t="s">
        <v>53</v>
      </c>
      <c r="C1306" s="107" t="s">
        <v>934</v>
      </c>
      <c r="D1306" s="265">
        <v>22039968</v>
      </c>
      <c r="E1306" s="133" t="s">
        <v>269</v>
      </c>
      <c r="F1306" s="66">
        <v>4008</v>
      </c>
      <c r="G1306" s="66"/>
      <c r="H1306" s="66"/>
      <c r="I1306" s="66"/>
      <c r="J1306" s="66"/>
      <c r="K1306" s="78"/>
      <c r="L1306" s="66"/>
      <c r="M1306" s="66"/>
      <c r="N1306" s="110">
        <f t="shared" ref="N1306" si="1858">M1306-F1306</f>
        <v>-4008</v>
      </c>
      <c r="O1306" s="110"/>
      <c r="P1306" s="123"/>
      <c r="Q1306" s="123"/>
      <c r="R1306" s="66"/>
      <c r="S1306" s="66"/>
      <c r="T1306" s="110">
        <f t="shared" ref="T1306" si="1859">S1306-Q1306</f>
        <v>0</v>
      </c>
      <c r="U1306" s="59">
        <f t="shared" si="1799"/>
        <v>0</v>
      </c>
      <c r="V1306" s="66"/>
      <c r="W1306" s="66"/>
      <c r="X1306" s="110">
        <f t="shared" ref="X1306" si="1860">W1306-M1306</f>
        <v>0</v>
      </c>
      <c r="Y1306" s="110"/>
      <c r="Z1306" s="110"/>
      <c r="AA1306" s="110"/>
      <c r="AB1306" s="46"/>
      <c r="AC1306" s="78"/>
      <c r="AD1306" s="78"/>
      <c r="AE1306" s="100">
        <f t="shared" ref="AE1306:AE1370" si="1861">N1306/F1306</f>
        <v>-1</v>
      </c>
      <c r="AF1306" s="90"/>
      <c r="AG1306" s="109">
        <f t="shared" ref="AG1306:AG1370" si="1862">IF(N1306&lt;0,N1306,0)</f>
        <v>-4008</v>
      </c>
      <c r="AH1306" s="100">
        <f t="shared" ref="AH1306:AH1370" si="1863">(S1306-F1306)/F1306</f>
        <v>-1</v>
      </c>
      <c r="AI1306" s="100">
        <f t="shared" ref="AI1306:AI1370" si="1864">(W1306-F1306)/F1306</f>
        <v>-1</v>
      </c>
    </row>
    <row r="1307" spans="1:35" s="79" customFormat="1" ht="15.75" customHeight="1" x14ac:dyDescent="0.3">
      <c r="A1307" s="90" t="s">
        <v>46</v>
      </c>
      <c r="B1307" s="136" t="s">
        <v>53</v>
      </c>
      <c r="C1307" s="137"/>
      <c r="D1307" s="136"/>
      <c r="E1307" s="138"/>
      <c r="F1307" s="91">
        <f>SUM(F1306:F1306)</f>
        <v>4008</v>
      </c>
      <c r="G1307" s="91"/>
      <c r="H1307" s="91"/>
      <c r="I1307" s="91"/>
      <c r="J1307" s="91" t="s">
        <v>59</v>
      </c>
      <c r="K1307" s="65" t="s">
        <v>436</v>
      </c>
      <c r="L1307" s="91">
        <f>SUM(L1306:L1306)</f>
        <v>0</v>
      </c>
      <c r="M1307" s="91">
        <f>SUM(M1306:M1306)</f>
        <v>0</v>
      </c>
      <c r="N1307" s="91">
        <f>SUM(N1306:N1306)</f>
        <v>-4008</v>
      </c>
      <c r="O1307" s="91"/>
      <c r="P1307" s="91">
        <f>SUM(P1306:P1306)</f>
        <v>0</v>
      </c>
      <c r="Q1307" s="91">
        <f>SUM(Q1306:Q1306)</f>
        <v>0</v>
      </c>
      <c r="R1307" s="91">
        <f>SUM(R1306:R1306)</f>
        <v>0</v>
      </c>
      <c r="S1307" s="91">
        <f>SUM(S1306:S1306)</f>
        <v>0</v>
      </c>
      <c r="T1307" s="91">
        <f>SUM(T1306:T1306)</f>
        <v>0</v>
      </c>
      <c r="U1307" s="59">
        <f t="shared" si="1799"/>
        <v>0</v>
      </c>
      <c r="V1307" s="91">
        <f>SUM(V1306:V1306)</f>
        <v>0</v>
      </c>
      <c r="W1307" s="91">
        <f>SUM(W1306:W1306)</f>
        <v>0</v>
      </c>
      <c r="X1307" s="91">
        <f>SUM(X1306:X1306)</f>
        <v>0</v>
      </c>
      <c r="Y1307" s="136"/>
      <c r="Z1307" s="136"/>
      <c r="AA1307" s="136"/>
      <c r="AB1307" s="84"/>
      <c r="AC1307" s="90"/>
      <c r="AD1307" s="90"/>
      <c r="AE1307" s="100">
        <f t="shared" si="1861"/>
        <v>-1</v>
      </c>
      <c r="AF1307" s="90"/>
      <c r="AG1307" s="109">
        <f t="shared" si="1862"/>
        <v>-4008</v>
      </c>
      <c r="AH1307" s="100">
        <f t="shared" si="1863"/>
        <v>-1</v>
      </c>
      <c r="AI1307" s="100">
        <f t="shared" si="1864"/>
        <v>-1</v>
      </c>
    </row>
    <row r="1308" spans="1:35" s="47" customFormat="1" ht="21" customHeight="1" x14ac:dyDescent="0.3">
      <c r="A1308" s="78"/>
      <c r="B1308" s="106" t="s">
        <v>53</v>
      </c>
      <c r="C1308" s="107" t="s">
        <v>651</v>
      </c>
      <c r="D1308" s="304">
        <v>22012786</v>
      </c>
      <c r="E1308" s="133" t="s">
        <v>652</v>
      </c>
      <c r="F1308" s="66">
        <f>526</f>
        <v>526</v>
      </c>
      <c r="G1308" s="66"/>
      <c r="H1308" s="66"/>
      <c r="I1308" s="66"/>
      <c r="J1308" s="66"/>
      <c r="K1308" s="78"/>
      <c r="L1308" s="66"/>
      <c r="M1308" s="66">
        <f>18+408+117</f>
        <v>543</v>
      </c>
      <c r="N1308" s="110">
        <f t="shared" ref="N1308:N1330" si="1865">M1308-F1308</f>
        <v>17</v>
      </c>
      <c r="O1308" s="110"/>
      <c r="P1308" s="123"/>
      <c r="Q1308" s="123"/>
      <c r="R1308" s="66"/>
      <c r="S1308" s="66"/>
      <c r="T1308" s="110">
        <f t="shared" ref="T1308:T1330" si="1866">S1308-Q1308</f>
        <v>0</v>
      </c>
      <c r="U1308" s="59">
        <f t="shared" si="1799"/>
        <v>0</v>
      </c>
      <c r="V1308" s="66"/>
      <c r="W1308" s="66">
        <v>543</v>
      </c>
      <c r="X1308" s="110">
        <f t="shared" ref="X1308:X1330" si="1867">W1308-M1308</f>
        <v>0</v>
      </c>
      <c r="Y1308" s="110"/>
      <c r="Z1308" s="110"/>
      <c r="AA1308" s="110"/>
      <c r="AB1308" s="46"/>
      <c r="AC1308" s="78"/>
      <c r="AD1308" s="78"/>
      <c r="AE1308" s="100">
        <f t="shared" si="1861"/>
        <v>3.2319391634980987E-2</v>
      </c>
      <c r="AF1308" s="90"/>
      <c r="AG1308" s="109">
        <f t="shared" si="1862"/>
        <v>0</v>
      </c>
      <c r="AH1308" s="100">
        <f t="shared" si="1863"/>
        <v>-1</v>
      </c>
      <c r="AI1308" s="100">
        <f t="shared" si="1864"/>
        <v>3.2319391634980987E-2</v>
      </c>
    </row>
    <row r="1309" spans="1:35" s="47" customFormat="1" ht="21" customHeight="1" x14ac:dyDescent="0.3">
      <c r="A1309" s="78"/>
      <c r="B1309" s="106" t="s">
        <v>53</v>
      </c>
      <c r="C1309" s="107" t="s">
        <v>651</v>
      </c>
      <c r="D1309" s="305"/>
      <c r="E1309" s="133" t="s">
        <v>653</v>
      </c>
      <c r="F1309" s="66">
        <f>526</f>
        <v>526</v>
      </c>
      <c r="G1309" s="66"/>
      <c r="H1309" s="66"/>
      <c r="I1309" s="66"/>
      <c r="J1309" s="66"/>
      <c r="K1309" s="78"/>
      <c r="L1309" s="66"/>
      <c r="M1309" s="66">
        <f>18+117+408</f>
        <v>543</v>
      </c>
      <c r="N1309" s="110">
        <f t="shared" ref="N1309:N1316" si="1868">M1309-F1309</f>
        <v>17</v>
      </c>
      <c r="O1309" s="110"/>
      <c r="P1309" s="121"/>
      <c r="Q1309" s="123"/>
      <c r="R1309" s="66"/>
      <c r="S1309" s="66"/>
      <c r="T1309" s="110">
        <f t="shared" ref="T1309:T1316" si="1869">S1309-Q1309</f>
        <v>0</v>
      </c>
      <c r="U1309" s="59">
        <f t="shared" ref="U1309:U1316" si="1870">IF(Q1309&gt;0,S1309-W1309,M1309-W1309)</f>
        <v>0</v>
      </c>
      <c r="V1309" s="66"/>
      <c r="W1309" s="66">
        <v>543</v>
      </c>
      <c r="X1309" s="110">
        <f t="shared" ref="X1309:X1316" si="1871">W1309-M1309</f>
        <v>0</v>
      </c>
      <c r="Y1309" s="110"/>
      <c r="Z1309" s="110"/>
      <c r="AA1309" s="110"/>
      <c r="AB1309" s="46"/>
      <c r="AC1309" s="78"/>
      <c r="AD1309" s="78"/>
      <c r="AE1309" s="100">
        <f t="shared" ref="AE1309:AE1316" si="1872">N1309/F1309</f>
        <v>3.2319391634980987E-2</v>
      </c>
      <c r="AF1309" s="90"/>
      <c r="AG1309" s="109">
        <f t="shared" ref="AG1309:AG1316" si="1873">IF(N1309&lt;0,N1309,0)</f>
        <v>0</v>
      </c>
      <c r="AH1309" s="100">
        <f t="shared" ref="AH1309:AH1316" si="1874">(S1309-F1309)/F1309</f>
        <v>-1</v>
      </c>
      <c r="AI1309" s="100">
        <f t="shared" ref="AI1309:AI1316" si="1875">(W1309-F1309)/F1309</f>
        <v>3.2319391634980987E-2</v>
      </c>
    </row>
    <row r="1310" spans="1:35" s="47" customFormat="1" ht="21" customHeight="1" x14ac:dyDescent="0.3">
      <c r="A1310" s="78"/>
      <c r="B1310" s="106" t="s">
        <v>53</v>
      </c>
      <c r="C1310" s="107" t="s">
        <v>651</v>
      </c>
      <c r="D1310" s="305"/>
      <c r="E1310" s="133" t="s">
        <v>654</v>
      </c>
      <c r="F1310" s="66">
        <f>526</f>
        <v>526</v>
      </c>
      <c r="G1310" s="66"/>
      <c r="H1310" s="66"/>
      <c r="I1310" s="66"/>
      <c r="J1310" s="66"/>
      <c r="K1310" s="78"/>
      <c r="L1310" s="66"/>
      <c r="M1310" s="66">
        <f>18+462+68</f>
        <v>548</v>
      </c>
      <c r="N1310" s="110">
        <f t="shared" si="1868"/>
        <v>22</v>
      </c>
      <c r="O1310" s="110"/>
      <c r="P1310" s="121"/>
      <c r="Q1310" s="123"/>
      <c r="R1310" s="66"/>
      <c r="S1310" s="66"/>
      <c r="T1310" s="110">
        <f t="shared" si="1869"/>
        <v>0</v>
      </c>
      <c r="U1310" s="59">
        <f t="shared" si="1870"/>
        <v>0</v>
      </c>
      <c r="V1310" s="66"/>
      <c r="W1310" s="66">
        <v>548</v>
      </c>
      <c r="X1310" s="110">
        <f t="shared" si="1871"/>
        <v>0</v>
      </c>
      <c r="Y1310" s="110"/>
      <c r="Z1310" s="110"/>
      <c r="AA1310" s="110"/>
      <c r="AB1310" s="46"/>
      <c r="AC1310" s="78"/>
      <c r="AD1310" s="78"/>
      <c r="AE1310" s="100">
        <f t="shared" si="1872"/>
        <v>4.1825095057034217E-2</v>
      </c>
      <c r="AF1310" s="90"/>
      <c r="AG1310" s="109">
        <f t="shared" si="1873"/>
        <v>0</v>
      </c>
      <c r="AH1310" s="100">
        <f t="shared" si="1874"/>
        <v>-1</v>
      </c>
      <c r="AI1310" s="100">
        <f t="shared" si="1875"/>
        <v>4.1825095057034217E-2</v>
      </c>
    </row>
    <row r="1311" spans="1:35" s="47" customFormat="1" ht="21" customHeight="1" x14ac:dyDescent="0.3">
      <c r="A1311" s="78"/>
      <c r="B1311" s="106" t="s">
        <v>53</v>
      </c>
      <c r="C1311" s="107" t="s">
        <v>651</v>
      </c>
      <c r="D1311" s="305"/>
      <c r="E1311" s="133" t="s">
        <v>655</v>
      </c>
      <c r="F1311" s="66">
        <f>526</f>
        <v>526</v>
      </c>
      <c r="G1311" s="66"/>
      <c r="H1311" s="66"/>
      <c r="I1311" s="66"/>
      <c r="J1311" s="66"/>
      <c r="K1311" s="78"/>
      <c r="L1311" s="66"/>
      <c r="M1311" s="66">
        <f>18+408+117</f>
        <v>543</v>
      </c>
      <c r="N1311" s="110">
        <f t="shared" si="1868"/>
        <v>17</v>
      </c>
      <c r="O1311" s="110"/>
      <c r="P1311" s="121"/>
      <c r="Q1311" s="123"/>
      <c r="R1311" s="66"/>
      <c r="S1311" s="66"/>
      <c r="T1311" s="110">
        <f t="shared" si="1869"/>
        <v>0</v>
      </c>
      <c r="U1311" s="59">
        <f t="shared" si="1870"/>
        <v>0</v>
      </c>
      <c r="V1311" s="66"/>
      <c r="W1311" s="66">
        <v>543</v>
      </c>
      <c r="X1311" s="110">
        <f t="shared" si="1871"/>
        <v>0</v>
      </c>
      <c r="Y1311" s="110"/>
      <c r="Z1311" s="110"/>
      <c r="AA1311" s="110"/>
      <c r="AB1311" s="46"/>
      <c r="AC1311" s="78"/>
      <c r="AD1311" s="78"/>
      <c r="AE1311" s="100">
        <f t="shared" si="1872"/>
        <v>3.2319391634980987E-2</v>
      </c>
      <c r="AF1311" s="90"/>
      <c r="AG1311" s="109">
        <f t="shared" si="1873"/>
        <v>0</v>
      </c>
      <c r="AH1311" s="100">
        <f t="shared" si="1874"/>
        <v>-1</v>
      </c>
      <c r="AI1311" s="100">
        <f t="shared" si="1875"/>
        <v>3.2319391634980987E-2</v>
      </c>
    </row>
    <row r="1312" spans="1:35" s="47" customFormat="1" ht="21" customHeight="1" x14ac:dyDescent="0.3">
      <c r="A1312" s="78"/>
      <c r="B1312" s="106" t="s">
        <v>53</v>
      </c>
      <c r="C1312" s="107" t="s">
        <v>651</v>
      </c>
      <c r="D1312" s="305"/>
      <c r="E1312" s="133" t="s">
        <v>656</v>
      </c>
      <c r="F1312" s="66">
        <f>526</f>
        <v>526</v>
      </c>
      <c r="G1312" s="66"/>
      <c r="H1312" s="66"/>
      <c r="I1312" s="66"/>
      <c r="J1312" s="66"/>
      <c r="K1312" s="78"/>
      <c r="L1312" s="66"/>
      <c r="M1312" s="66">
        <f>18+117+408</f>
        <v>543</v>
      </c>
      <c r="N1312" s="110">
        <f t="shared" si="1868"/>
        <v>17</v>
      </c>
      <c r="O1312" s="110"/>
      <c r="P1312" s="121"/>
      <c r="Q1312" s="123"/>
      <c r="R1312" s="66"/>
      <c r="S1312" s="66"/>
      <c r="T1312" s="110">
        <f t="shared" si="1869"/>
        <v>0</v>
      </c>
      <c r="U1312" s="59">
        <f t="shared" si="1870"/>
        <v>0</v>
      </c>
      <c r="V1312" s="66"/>
      <c r="W1312" s="66">
        <v>543</v>
      </c>
      <c r="X1312" s="110">
        <f t="shared" si="1871"/>
        <v>0</v>
      </c>
      <c r="Y1312" s="110"/>
      <c r="Z1312" s="110"/>
      <c r="AA1312" s="110"/>
      <c r="AB1312" s="46"/>
      <c r="AC1312" s="78"/>
      <c r="AD1312" s="78"/>
      <c r="AE1312" s="100">
        <f t="shared" si="1872"/>
        <v>3.2319391634980987E-2</v>
      </c>
      <c r="AF1312" s="90"/>
      <c r="AG1312" s="109">
        <f t="shared" si="1873"/>
        <v>0</v>
      </c>
      <c r="AH1312" s="100">
        <f t="shared" si="1874"/>
        <v>-1</v>
      </c>
      <c r="AI1312" s="100">
        <f t="shared" si="1875"/>
        <v>3.2319391634980987E-2</v>
      </c>
    </row>
    <row r="1313" spans="1:35" s="47" customFormat="1" ht="21" customHeight="1" x14ac:dyDescent="0.3">
      <c r="A1313" s="78"/>
      <c r="B1313" s="106" t="s">
        <v>53</v>
      </c>
      <c r="C1313" s="107" t="s">
        <v>651</v>
      </c>
      <c r="D1313" s="305"/>
      <c r="E1313" s="133" t="s">
        <v>117</v>
      </c>
      <c r="F1313" s="66">
        <f>2748</f>
        <v>2748</v>
      </c>
      <c r="G1313" s="66"/>
      <c r="H1313" s="66"/>
      <c r="I1313" s="66"/>
      <c r="J1313" s="66"/>
      <c r="K1313" s="78"/>
      <c r="L1313" s="66"/>
      <c r="M1313" s="66">
        <f>70+944+1776</f>
        <v>2790</v>
      </c>
      <c r="N1313" s="110">
        <f t="shared" si="1868"/>
        <v>42</v>
      </c>
      <c r="O1313" s="110"/>
      <c r="P1313" s="121"/>
      <c r="Q1313" s="123"/>
      <c r="R1313" s="66"/>
      <c r="S1313" s="66"/>
      <c r="T1313" s="110">
        <f t="shared" si="1869"/>
        <v>0</v>
      </c>
      <c r="U1313" s="59">
        <f t="shared" si="1870"/>
        <v>0</v>
      </c>
      <c r="V1313" s="66"/>
      <c r="W1313" s="66">
        <v>2790</v>
      </c>
      <c r="X1313" s="110">
        <f t="shared" si="1871"/>
        <v>0</v>
      </c>
      <c r="Y1313" s="110"/>
      <c r="Z1313" s="110"/>
      <c r="AA1313" s="110"/>
      <c r="AB1313" s="46"/>
      <c r="AC1313" s="78"/>
      <c r="AD1313" s="78"/>
      <c r="AE1313" s="100">
        <f t="shared" si="1872"/>
        <v>1.5283842794759825E-2</v>
      </c>
      <c r="AF1313" s="90"/>
      <c r="AG1313" s="109">
        <f t="shared" si="1873"/>
        <v>0</v>
      </c>
      <c r="AH1313" s="100">
        <f t="shared" si="1874"/>
        <v>-1</v>
      </c>
      <c r="AI1313" s="100">
        <f t="shared" si="1875"/>
        <v>1.5283842794759825E-2</v>
      </c>
    </row>
    <row r="1314" spans="1:35" s="47" customFormat="1" ht="21" customHeight="1" x14ac:dyDescent="0.3">
      <c r="A1314" s="78"/>
      <c r="B1314" s="106" t="s">
        <v>53</v>
      </c>
      <c r="C1314" s="107" t="s">
        <v>651</v>
      </c>
      <c r="D1314" s="305"/>
      <c r="E1314" s="133" t="s">
        <v>463</v>
      </c>
      <c r="F1314" s="66">
        <f>2748</f>
        <v>2748</v>
      </c>
      <c r="G1314" s="66"/>
      <c r="H1314" s="66"/>
      <c r="I1314" s="66"/>
      <c r="J1314" s="66"/>
      <c r="K1314" s="78"/>
      <c r="L1314" s="66"/>
      <c r="M1314" s="66">
        <f>70+944+500+1156+120</f>
        <v>2790</v>
      </c>
      <c r="N1314" s="110">
        <f t="shared" si="1868"/>
        <v>42</v>
      </c>
      <c r="O1314" s="110"/>
      <c r="P1314" s="121"/>
      <c r="Q1314" s="123"/>
      <c r="R1314" s="66"/>
      <c r="S1314" s="66"/>
      <c r="T1314" s="110">
        <f t="shared" si="1869"/>
        <v>0</v>
      </c>
      <c r="U1314" s="59">
        <f t="shared" si="1870"/>
        <v>0</v>
      </c>
      <c r="V1314" s="66"/>
      <c r="W1314" s="66">
        <v>2790</v>
      </c>
      <c r="X1314" s="110">
        <f t="shared" si="1871"/>
        <v>0</v>
      </c>
      <c r="Y1314" s="110"/>
      <c r="Z1314" s="110"/>
      <c r="AA1314" s="110"/>
      <c r="AB1314" s="46"/>
      <c r="AC1314" s="78"/>
      <c r="AD1314" s="78"/>
      <c r="AE1314" s="100">
        <f t="shared" si="1872"/>
        <v>1.5283842794759825E-2</v>
      </c>
      <c r="AF1314" s="90"/>
      <c r="AG1314" s="109">
        <f t="shared" si="1873"/>
        <v>0</v>
      </c>
      <c r="AH1314" s="100">
        <f t="shared" si="1874"/>
        <v>-1</v>
      </c>
      <c r="AI1314" s="100">
        <f t="shared" si="1875"/>
        <v>1.5283842794759825E-2</v>
      </c>
    </row>
    <row r="1315" spans="1:35" s="47" customFormat="1" ht="21" customHeight="1" x14ac:dyDescent="0.3">
      <c r="A1315" s="78"/>
      <c r="B1315" s="106" t="s">
        <v>53</v>
      </c>
      <c r="C1315" s="107" t="s">
        <v>651</v>
      </c>
      <c r="D1315" s="305"/>
      <c r="E1315" s="133" t="s">
        <v>130</v>
      </c>
      <c r="F1315" s="66">
        <f>2748</f>
        <v>2748</v>
      </c>
      <c r="G1315" s="66"/>
      <c r="H1315" s="66"/>
      <c r="I1315" s="66"/>
      <c r="J1315" s="66"/>
      <c r="K1315" s="78"/>
      <c r="L1315" s="66"/>
      <c r="M1315" s="66">
        <f>70+1880+451+400</f>
        <v>2801</v>
      </c>
      <c r="N1315" s="110">
        <f t="shared" si="1868"/>
        <v>53</v>
      </c>
      <c r="O1315" s="110"/>
      <c r="P1315" s="121"/>
      <c r="Q1315" s="123"/>
      <c r="R1315" s="66"/>
      <c r="S1315" s="66"/>
      <c r="T1315" s="110">
        <f t="shared" si="1869"/>
        <v>0</v>
      </c>
      <c r="U1315" s="59">
        <f t="shared" si="1870"/>
        <v>16</v>
      </c>
      <c r="V1315" s="66"/>
      <c r="W1315" s="66">
        <v>2785</v>
      </c>
      <c r="X1315" s="110">
        <f t="shared" si="1871"/>
        <v>-16</v>
      </c>
      <c r="Y1315" s="110"/>
      <c r="Z1315" s="110"/>
      <c r="AA1315" s="110"/>
      <c r="AB1315" s="46"/>
      <c r="AC1315" s="78"/>
      <c r="AD1315" s="78"/>
      <c r="AE1315" s="100">
        <f t="shared" si="1872"/>
        <v>1.9286754002911209E-2</v>
      </c>
      <c r="AF1315" s="90"/>
      <c r="AG1315" s="109">
        <f t="shared" si="1873"/>
        <v>0</v>
      </c>
      <c r="AH1315" s="100">
        <f t="shared" si="1874"/>
        <v>-1</v>
      </c>
      <c r="AI1315" s="100">
        <f t="shared" si="1875"/>
        <v>1.3464337700145561E-2</v>
      </c>
    </row>
    <row r="1316" spans="1:35" s="47" customFormat="1" ht="21" customHeight="1" x14ac:dyDescent="0.3">
      <c r="A1316" s="78"/>
      <c r="B1316" s="106" t="s">
        <v>53</v>
      </c>
      <c r="C1316" s="107" t="s">
        <v>651</v>
      </c>
      <c r="D1316" s="305"/>
      <c r="E1316" s="133" t="s">
        <v>657</v>
      </c>
      <c r="F1316" s="66">
        <f>2748</f>
        <v>2748</v>
      </c>
      <c r="G1316" s="66"/>
      <c r="H1316" s="66"/>
      <c r="I1316" s="66"/>
      <c r="J1316" s="66"/>
      <c r="K1316" s="78"/>
      <c r="L1316" s="66"/>
      <c r="M1316" s="66">
        <f>70+944+120+816+840</f>
        <v>2790</v>
      </c>
      <c r="N1316" s="110">
        <f t="shared" si="1868"/>
        <v>42</v>
      </c>
      <c r="O1316" s="110"/>
      <c r="P1316" s="121"/>
      <c r="Q1316" s="123"/>
      <c r="R1316" s="66"/>
      <c r="S1316" s="66"/>
      <c r="T1316" s="110">
        <f t="shared" si="1869"/>
        <v>0</v>
      </c>
      <c r="U1316" s="59">
        <f t="shared" si="1870"/>
        <v>0</v>
      </c>
      <c r="V1316" s="66"/>
      <c r="W1316" s="66">
        <v>2790</v>
      </c>
      <c r="X1316" s="110">
        <f t="shared" si="1871"/>
        <v>0</v>
      </c>
      <c r="Y1316" s="110"/>
      <c r="Z1316" s="110"/>
      <c r="AA1316" s="110"/>
      <c r="AB1316" s="46"/>
      <c r="AC1316" s="78"/>
      <c r="AD1316" s="78"/>
      <c r="AE1316" s="100">
        <f t="shared" si="1872"/>
        <v>1.5283842794759825E-2</v>
      </c>
      <c r="AF1316" s="90"/>
      <c r="AG1316" s="109">
        <f t="shared" si="1873"/>
        <v>0</v>
      </c>
      <c r="AH1316" s="100">
        <f t="shared" si="1874"/>
        <v>-1</v>
      </c>
      <c r="AI1316" s="100">
        <f t="shared" si="1875"/>
        <v>1.5283842794759825E-2</v>
      </c>
    </row>
    <row r="1317" spans="1:35" s="47" customFormat="1" ht="21" customHeight="1" x14ac:dyDescent="0.3">
      <c r="A1317" s="78"/>
      <c r="B1317" s="106" t="s">
        <v>53</v>
      </c>
      <c r="C1317" s="107" t="s">
        <v>651</v>
      </c>
      <c r="D1317" s="305"/>
      <c r="E1317" s="133" t="s">
        <v>98</v>
      </c>
      <c r="F1317" s="66">
        <f>2748</f>
        <v>2748</v>
      </c>
      <c r="G1317" s="66"/>
      <c r="H1317" s="66"/>
      <c r="I1317" s="66"/>
      <c r="J1317" s="66"/>
      <c r="K1317" s="78"/>
      <c r="L1317" s="66"/>
      <c r="M1317" s="66">
        <f>70+2731</f>
        <v>2801</v>
      </c>
      <c r="N1317" s="110">
        <f t="shared" si="1865"/>
        <v>53</v>
      </c>
      <c r="O1317" s="110"/>
      <c r="P1317" s="121"/>
      <c r="Q1317" s="123"/>
      <c r="R1317" s="66"/>
      <c r="S1317" s="66"/>
      <c r="T1317" s="110">
        <f t="shared" si="1866"/>
        <v>0</v>
      </c>
      <c r="U1317" s="59">
        <f t="shared" si="1799"/>
        <v>7</v>
      </c>
      <c r="V1317" s="66"/>
      <c r="W1317" s="66">
        <v>2794</v>
      </c>
      <c r="X1317" s="110">
        <f t="shared" si="1867"/>
        <v>-7</v>
      </c>
      <c r="Y1317" s="110"/>
      <c r="Z1317" s="110"/>
      <c r="AA1317" s="110"/>
      <c r="AB1317" s="46"/>
      <c r="AC1317" s="78"/>
      <c r="AD1317" s="78"/>
      <c r="AE1317" s="100">
        <f t="shared" si="1861"/>
        <v>1.9286754002911209E-2</v>
      </c>
      <c r="AF1317" s="90"/>
      <c r="AG1317" s="109">
        <f t="shared" si="1862"/>
        <v>0</v>
      </c>
      <c r="AH1317" s="100">
        <f t="shared" si="1863"/>
        <v>-1</v>
      </c>
      <c r="AI1317" s="100">
        <f t="shared" si="1864"/>
        <v>1.6739446870451237E-2</v>
      </c>
    </row>
    <row r="1318" spans="1:35" s="47" customFormat="1" ht="21" customHeight="1" x14ac:dyDescent="0.3">
      <c r="A1318" s="78"/>
      <c r="B1318" s="106" t="s">
        <v>53</v>
      </c>
      <c r="C1318" s="107" t="s">
        <v>651</v>
      </c>
      <c r="D1318" s="305"/>
      <c r="E1318" s="133" t="s">
        <v>49</v>
      </c>
      <c r="F1318" s="66">
        <f>1595</f>
        <v>1595</v>
      </c>
      <c r="G1318" s="66"/>
      <c r="H1318" s="66"/>
      <c r="I1318" s="66"/>
      <c r="J1318" s="66"/>
      <c r="K1318" s="78"/>
      <c r="L1318" s="66"/>
      <c r="M1318" s="66">
        <f>32+800+592+72+152</f>
        <v>1648</v>
      </c>
      <c r="N1318" s="110">
        <f t="shared" si="1865"/>
        <v>53</v>
      </c>
      <c r="O1318" s="110"/>
      <c r="P1318" s="121"/>
      <c r="Q1318" s="123"/>
      <c r="R1318" s="66"/>
      <c r="S1318" s="66"/>
      <c r="T1318" s="110">
        <f t="shared" si="1866"/>
        <v>0</v>
      </c>
      <c r="U1318" s="59">
        <f t="shared" si="1799"/>
        <v>24</v>
      </c>
      <c r="V1318" s="66"/>
      <c r="W1318" s="66">
        <v>1624</v>
      </c>
      <c r="X1318" s="110">
        <f t="shared" si="1867"/>
        <v>-24</v>
      </c>
      <c r="Y1318" s="110"/>
      <c r="Z1318" s="110"/>
      <c r="AA1318" s="110"/>
      <c r="AB1318" s="46"/>
      <c r="AC1318" s="78"/>
      <c r="AD1318" s="78"/>
      <c r="AE1318" s="100">
        <f t="shared" si="1861"/>
        <v>3.3228840125391852E-2</v>
      </c>
      <c r="AF1318" s="90"/>
      <c r="AG1318" s="109">
        <f t="shared" si="1862"/>
        <v>0</v>
      </c>
      <c r="AH1318" s="100">
        <f t="shared" si="1863"/>
        <v>-1</v>
      </c>
      <c r="AI1318" s="100">
        <f t="shared" si="1864"/>
        <v>1.8181818181818181E-2</v>
      </c>
    </row>
    <row r="1319" spans="1:35" s="47" customFormat="1" ht="21" customHeight="1" x14ac:dyDescent="0.3">
      <c r="A1319" s="78"/>
      <c r="B1319" s="106" t="s">
        <v>53</v>
      </c>
      <c r="C1319" s="107" t="s">
        <v>651</v>
      </c>
      <c r="D1319" s="305"/>
      <c r="E1319" s="133" t="s">
        <v>97</v>
      </c>
      <c r="F1319" s="66">
        <f>1595</f>
        <v>1595</v>
      </c>
      <c r="G1319" s="66"/>
      <c r="H1319" s="66"/>
      <c r="I1319" s="66"/>
      <c r="J1319" s="66"/>
      <c r="K1319" s="78"/>
      <c r="L1319" s="66"/>
      <c r="M1319" s="66">
        <f>32+1408+183</f>
        <v>1623</v>
      </c>
      <c r="N1319" s="110">
        <f t="shared" si="1865"/>
        <v>28</v>
      </c>
      <c r="O1319" s="110"/>
      <c r="P1319" s="121"/>
      <c r="Q1319" s="123"/>
      <c r="R1319" s="66"/>
      <c r="S1319" s="66"/>
      <c r="T1319" s="110">
        <f t="shared" si="1866"/>
        <v>0</v>
      </c>
      <c r="U1319" s="59">
        <f t="shared" si="1799"/>
        <v>0</v>
      </c>
      <c r="V1319" s="66"/>
      <c r="W1319" s="66">
        <v>1623</v>
      </c>
      <c r="X1319" s="110">
        <f t="shared" si="1867"/>
        <v>0</v>
      </c>
      <c r="Y1319" s="110"/>
      <c r="Z1319" s="110"/>
      <c r="AA1319" s="110"/>
      <c r="AB1319" s="46"/>
      <c r="AC1319" s="78"/>
      <c r="AD1319" s="78"/>
      <c r="AE1319" s="100">
        <f t="shared" si="1861"/>
        <v>1.755485893416928E-2</v>
      </c>
      <c r="AF1319" s="90"/>
      <c r="AG1319" s="109">
        <f t="shared" si="1862"/>
        <v>0</v>
      </c>
      <c r="AH1319" s="100">
        <f t="shared" si="1863"/>
        <v>-1</v>
      </c>
      <c r="AI1319" s="100">
        <f t="shared" si="1864"/>
        <v>1.755485893416928E-2</v>
      </c>
    </row>
    <row r="1320" spans="1:35" s="47" customFormat="1" ht="21" customHeight="1" x14ac:dyDescent="0.3">
      <c r="A1320" s="78"/>
      <c r="B1320" s="106" t="s">
        <v>53</v>
      </c>
      <c r="C1320" s="107" t="s">
        <v>651</v>
      </c>
      <c r="D1320" s="305"/>
      <c r="E1320" s="133" t="s">
        <v>658</v>
      </c>
      <c r="F1320" s="66">
        <f>1595</f>
        <v>1595</v>
      </c>
      <c r="G1320" s="66"/>
      <c r="H1320" s="66"/>
      <c r="I1320" s="66"/>
      <c r="J1320" s="66"/>
      <c r="K1320" s="78"/>
      <c r="L1320" s="66"/>
      <c r="M1320" s="66">
        <f>832+32+608+183</f>
        <v>1655</v>
      </c>
      <c r="N1320" s="110">
        <f t="shared" ref="N1320" si="1876">M1320-F1320</f>
        <v>60</v>
      </c>
      <c r="O1320" s="110"/>
      <c r="P1320" s="121"/>
      <c r="Q1320" s="123"/>
      <c r="R1320" s="66"/>
      <c r="S1320" s="66"/>
      <c r="T1320" s="110">
        <f t="shared" ref="T1320" si="1877">S1320-Q1320</f>
        <v>0</v>
      </c>
      <c r="U1320" s="59">
        <f t="shared" ref="U1320" si="1878">IF(Q1320&gt;0,S1320-W1320,M1320-W1320)</f>
        <v>32</v>
      </c>
      <c r="V1320" s="66"/>
      <c r="W1320" s="66">
        <v>1623</v>
      </c>
      <c r="X1320" s="110">
        <f t="shared" ref="X1320" si="1879">W1320-M1320</f>
        <v>-32</v>
      </c>
      <c r="Y1320" s="110"/>
      <c r="Z1320" s="110"/>
      <c r="AA1320" s="110"/>
      <c r="AB1320" s="46"/>
      <c r="AC1320" s="78"/>
      <c r="AD1320" s="78"/>
      <c r="AE1320" s="100">
        <f t="shared" ref="AE1320" si="1880">N1320/F1320</f>
        <v>3.7617554858934171E-2</v>
      </c>
      <c r="AF1320" s="90"/>
      <c r="AG1320" s="109">
        <f t="shared" ref="AG1320" si="1881">IF(N1320&lt;0,N1320,0)</f>
        <v>0</v>
      </c>
      <c r="AH1320" s="100">
        <f t="shared" ref="AH1320" si="1882">(S1320-F1320)/F1320</f>
        <v>-1</v>
      </c>
      <c r="AI1320" s="100">
        <f t="shared" ref="AI1320" si="1883">(W1320-F1320)/F1320</f>
        <v>1.755485893416928E-2</v>
      </c>
    </row>
    <row r="1321" spans="1:35" s="47" customFormat="1" ht="21" customHeight="1" x14ac:dyDescent="0.3">
      <c r="A1321" s="78"/>
      <c r="B1321" s="106" t="s">
        <v>53</v>
      </c>
      <c r="C1321" s="107" t="s">
        <v>651</v>
      </c>
      <c r="D1321" s="305"/>
      <c r="E1321" s="133" t="s">
        <v>659</v>
      </c>
      <c r="F1321" s="66">
        <f>1595</f>
        <v>1595</v>
      </c>
      <c r="G1321" s="66"/>
      <c r="H1321" s="66"/>
      <c r="I1321" s="66"/>
      <c r="J1321" s="66"/>
      <c r="K1321" s="78"/>
      <c r="L1321" s="66"/>
      <c r="M1321" s="66">
        <f>832+791</f>
        <v>1623</v>
      </c>
      <c r="N1321" s="110">
        <f t="shared" ref="N1321" si="1884">M1321-F1321</f>
        <v>28</v>
      </c>
      <c r="O1321" s="110"/>
      <c r="P1321" s="121"/>
      <c r="Q1321" s="123"/>
      <c r="R1321" s="66"/>
      <c r="S1321" s="66"/>
      <c r="T1321" s="110">
        <f t="shared" ref="T1321" si="1885">S1321-Q1321</f>
        <v>0</v>
      </c>
      <c r="U1321" s="59">
        <f t="shared" ref="U1321" si="1886">IF(Q1321&gt;0,S1321-W1321,M1321-W1321)</f>
        <v>0</v>
      </c>
      <c r="V1321" s="66"/>
      <c r="W1321" s="66">
        <v>1623</v>
      </c>
      <c r="X1321" s="110">
        <f t="shared" ref="X1321" si="1887">W1321-M1321</f>
        <v>0</v>
      </c>
      <c r="Y1321" s="110"/>
      <c r="Z1321" s="110"/>
      <c r="AA1321" s="110"/>
      <c r="AB1321" s="46"/>
      <c r="AC1321" s="78"/>
      <c r="AD1321" s="78"/>
      <c r="AE1321" s="100">
        <f t="shared" ref="AE1321" si="1888">N1321/F1321</f>
        <v>1.755485893416928E-2</v>
      </c>
      <c r="AF1321" s="90"/>
      <c r="AG1321" s="109">
        <f t="shared" ref="AG1321" si="1889">IF(N1321&lt;0,N1321,0)</f>
        <v>0</v>
      </c>
      <c r="AH1321" s="100">
        <f t="shared" ref="AH1321" si="1890">(S1321-F1321)/F1321</f>
        <v>-1</v>
      </c>
      <c r="AI1321" s="100">
        <f t="shared" ref="AI1321" si="1891">(W1321-F1321)/F1321</f>
        <v>1.755485893416928E-2</v>
      </c>
    </row>
    <row r="1322" spans="1:35" s="47" customFormat="1" ht="21" customHeight="1" x14ac:dyDescent="0.3">
      <c r="A1322" s="78"/>
      <c r="B1322" s="106" t="s">
        <v>53</v>
      </c>
      <c r="C1322" s="107" t="s">
        <v>651</v>
      </c>
      <c r="D1322" s="305"/>
      <c r="E1322" s="133" t="s">
        <v>199</v>
      </c>
      <c r="F1322" s="66">
        <f>1595+111+3390</f>
        <v>5096</v>
      </c>
      <c r="G1322" s="66"/>
      <c r="H1322" s="66"/>
      <c r="I1322" s="66"/>
      <c r="J1322" s="66"/>
      <c r="K1322" s="78"/>
      <c r="L1322" s="66"/>
      <c r="M1322" s="66">
        <f>832+32+791+1792+624+624+502</f>
        <v>5197</v>
      </c>
      <c r="N1322" s="110">
        <f t="shared" ref="N1322:N1329" si="1892">M1322-F1322</f>
        <v>101</v>
      </c>
      <c r="O1322" s="110"/>
      <c r="P1322" s="121"/>
      <c r="Q1322" s="123"/>
      <c r="R1322" s="66"/>
      <c r="S1322" s="66"/>
      <c r="T1322" s="110">
        <f t="shared" ref="T1322:T1329" si="1893">S1322-Q1322</f>
        <v>0</v>
      </c>
      <c r="U1322" s="59">
        <f t="shared" ref="U1322:U1329" si="1894">IF(Q1322&gt;0,S1322-W1322,M1322-W1322)</f>
        <v>1655</v>
      </c>
      <c r="V1322" s="66"/>
      <c r="W1322" s="66">
        <v>3542</v>
      </c>
      <c r="X1322" s="110">
        <f t="shared" ref="X1322:X1329" si="1895">W1322-M1322</f>
        <v>-1655</v>
      </c>
      <c r="Y1322" s="110"/>
      <c r="Z1322" s="110"/>
      <c r="AA1322" s="110"/>
      <c r="AB1322" s="46"/>
      <c r="AC1322" s="78"/>
      <c r="AD1322" s="78"/>
      <c r="AE1322" s="100">
        <f t="shared" ref="AE1322:AE1329" si="1896">N1322/F1322</f>
        <v>1.9819466248037678E-2</v>
      </c>
      <c r="AF1322" s="90"/>
      <c r="AG1322" s="109">
        <f t="shared" ref="AG1322:AG1329" si="1897">IF(N1322&lt;0,N1322,0)</f>
        <v>0</v>
      </c>
      <c r="AH1322" s="100">
        <f t="shared" ref="AH1322:AH1329" si="1898">(S1322-F1322)/F1322</f>
        <v>-1</v>
      </c>
      <c r="AI1322" s="100">
        <f t="shared" ref="AI1322:AI1329" si="1899">(W1322-F1322)/F1322</f>
        <v>-0.30494505494505497</v>
      </c>
    </row>
    <row r="1323" spans="1:35" s="47" customFormat="1" ht="21" customHeight="1" x14ac:dyDescent="0.3">
      <c r="A1323" s="78"/>
      <c r="B1323" s="106" t="s">
        <v>53</v>
      </c>
      <c r="C1323" s="107" t="s">
        <v>651</v>
      </c>
      <c r="D1323" s="305"/>
      <c r="E1323" s="133" t="s">
        <v>5</v>
      </c>
      <c r="F1323" s="66">
        <f>1614</f>
        <v>1614</v>
      </c>
      <c r="G1323" s="66"/>
      <c r="H1323" s="66"/>
      <c r="I1323" s="66"/>
      <c r="J1323" s="66"/>
      <c r="K1323" s="78"/>
      <c r="L1323" s="66"/>
      <c r="M1323" s="66">
        <f>30+138+856+544+80</f>
        <v>1648</v>
      </c>
      <c r="N1323" s="110">
        <f t="shared" si="1892"/>
        <v>34</v>
      </c>
      <c r="O1323" s="110"/>
      <c r="P1323" s="121"/>
      <c r="Q1323" s="123"/>
      <c r="R1323" s="66"/>
      <c r="S1323" s="66"/>
      <c r="T1323" s="110">
        <f t="shared" si="1893"/>
        <v>0</v>
      </c>
      <c r="U1323" s="59">
        <f t="shared" si="1894"/>
        <v>0</v>
      </c>
      <c r="V1323" s="66"/>
      <c r="W1323" s="66">
        <v>1648</v>
      </c>
      <c r="X1323" s="110">
        <f t="shared" si="1895"/>
        <v>0</v>
      </c>
      <c r="Y1323" s="110"/>
      <c r="Z1323" s="110"/>
      <c r="AA1323" s="110"/>
      <c r="AB1323" s="46"/>
      <c r="AC1323" s="78"/>
      <c r="AD1323" s="78"/>
      <c r="AE1323" s="100">
        <f t="shared" si="1896"/>
        <v>2.1065675340768277E-2</v>
      </c>
      <c r="AF1323" s="90"/>
      <c r="AG1323" s="109">
        <f t="shared" si="1897"/>
        <v>0</v>
      </c>
      <c r="AH1323" s="100">
        <f t="shared" si="1898"/>
        <v>-1</v>
      </c>
      <c r="AI1323" s="100">
        <f t="shared" si="1899"/>
        <v>2.1065675340768277E-2</v>
      </c>
    </row>
    <row r="1324" spans="1:35" s="47" customFormat="1" ht="21" customHeight="1" x14ac:dyDescent="0.3">
      <c r="A1324" s="78"/>
      <c r="B1324" s="106" t="s">
        <v>53</v>
      </c>
      <c r="C1324" s="107" t="s">
        <v>651</v>
      </c>
      <c r="D1324" s="305"/>
      <c r="E1324" s="133" t="s">
        <v>660</v>
      </c>
      <c r="F1324" s="66">
        <f>1614</f>
        <v>1614</v>
      </c>
      <c r="G1324" s="66"/>
      <c r="H1324" s="66"/>
      <c r="I1324" s="66"/>
      <c r="J1324" s="66"/>
      <c r="K1324" s="78"/>
      <c r="L1324" s="66"/>
      <c r="M1324" s="66">
        <f>24+848+768</f>
        <v>1640</v>
      </c>
      <c r="N1324" s="110">
        <f t="shared" si="1892"/>
        <v>26</v>
      </c>
      <c r="O1324" s="110"/>
      <c r="P1324" s="121"/>
      <c r="Q1324" s="123"/>
      <c r="R1324" s="66"/>
      <c r="S1324" s="66"/>
      <c r="T1324" s="110">
        <f t="shared" si="1893"/>
        <v>0</v>
      </c>
      <c r="U1324" s="59">
        <f t="shared" si="1894"/>
        <v>0</v>
      </c>
      <c r="V1324" s="66"/>
      <c r="W1324" s="66">
        <v>1640</v>
      </c>
      <c r="X1324" s="110">
        <f t="shared" si="1895"/>
        <v>0</v>
      </c>
      <c r="Y1324" s="110"/>
      <c r="Z1324" s="110"/>
      <c r="AA1324" s="110"/>
      <c r="AB1324" s="46"/>
      <c r="AC1324" s="78"/>
      <c r="AD1324" s="78"/>
      <c r="AE1324" s="100">
        <f t="shared" si="1896"/>
        <v>1.6109045848822799E-2</v>
      </c>
      <c r="AF1324" s="90"/>
      <c r="AG1324" s="109">
        <f t="shared" si="1897"/>
        <v>0</v>
      </c>
      <c r="AH1324" s="100">
        <f t="shared" si="1898"/>
        <v>-1</v>
      </c>
      <c r="AI1324" s="100">
        <f t="shared" si="1899"/>
        <v>1.6109045848822799E-2</v>
      </c>
    </row>
    <row r="1325" spans="1:35" s="47" customFormat="1" ht="21" customHeight="1" x14ac:dyDescent="0.3">
      <c r="A1325" s="78"/>
      <c r="B1325" s="106" t="s">
        <v>53</v>
      </c>
      <c r="C1325" s="107" t="s">
        <v>651</v>
      </c>
      <c r="D1325" s="305"/>
      <c r="E1325" s="133" t="s">
        <v>180</v>
      </c>
      <c r="F1325" s="66">
        <f>1614</f>
        <v>1614</v>
      </c>
      <c r="G1325" s="66"/>
      <c r="H1325" s="66"/>
      <c r="I1325" s="66"/>
      <c r="J1325" s="66"/>
      <c r="K1325" s="78"/>
      <c r="L1325" s="66"/>
      <c r="M1325" s="66">
        <f>848+762+30+16</f>
        <v>1656</v>
      </c>
      <c r="N1325" s="110">
        <f t="shared" ref="N1325:N1326" si="1900">M1325-F1325</f>
        <v>42</v>
      </c>
      <c r="O1325" s="110"/>
      <c r="P1325" s="121"/>
      <c r="Q1325" s="123"/>
      <c r="R1325" s="66"/>
      <c r="S1325" s="66"/>
      <c r="T1325" s="110">
        <f t="shared" ref="T1325:T1326" si="1901">S1325-Q1325</f>
        <v>0</v>
      </c>
      <c r="U1325" s="59">
        <f t="shared" ref="U1325:U1326" si="1902">IF(Q1325&gt;0,S1325-W1325,M1325-W1325)</f>
        <v>16</v>
      </c>
      <c r="V1325" s="66"/>
      <c r="W1325" s="66">
        <v>1640</v>
      </c>
      <c r="X1325" s="110">
        <f t="shared" ref="X1325:X1326" si="1903">W1325-M1325</f>
        <v>-16</v>
      </c>
      <c r="Y1325" s="110"/>
      <c r="Z1325" s="110"/>
      <c r="AA1325" s="110"/>
      <c r="AB1325" s="46"/>
      <c r="AC1325" s="78"/>
      <c r="AD1325" s="78"/>
      <c r="AE1325" s="100">
        <f t="shared" ref="AE1325:AE1326" si="1904">N1325/F1325</f>
        <v>2.6022304832713755E-2</v>
      </c>
      <c r="AF1325" s="90"/>
      <c r="AG1325" s="109">
        <f t="shared" ref="AG1325:AG1326" si="1905">IF(N1325&lt;0,N1325,0)</f>
        <v>0</v>
      </c>
      <c r="AH1325" s="100">
        <f t="shared" ref="AH1325:AH1326" si="1906">(S1325-F1325)/F1325</f>
        <v>-1</v>
      </c>
      <c r="AI1325" s="100">
        <f t="shared" ref="AI1325:AI1326" si="1907">(W1325-F1325)/F1325</f>
        <v>1.6109045848822799E-2</v>
      </c>
    </row>
    <row r="1326" spans="1:35" s="47" customFormat="1" ht="21" customHeight="1" x14ac:dyDescent="0.3">
      <c r="A1326" s="78"/>
      <c r="B1326" s="106" t="s">
        <v>53</v>
      </c>
      <c r="C1326" s="107" t="s">
        <v>651</v>
      </c>
      <c r="D1326" s="305"/>
      <c r="E1326" s="133" t="s">
        <v>575</v>
      </c>
      <c r="F1326" s="66">
        <f>1614</f>
        <v>1614</v>
      </c>
      <c r="G1326" s="66"/>
      <c r="H1326" s="66"/>
      <c r="I1326" s="66"/>
      <c r="J1326" s="66"/>
      <c r="K1326" s="78"/>
      <c r="L1326" s="66"/>
      <c r="M1326" s="66">
        <f>30+288+560+624+124+16</f>
        <v>1642</v>
      </c>
      <c r="N1326" s="110">
        <f t="shared" si="1900"/>
        <v>28</v>
      </c>
      <c r="O1326" s="110"/>
      <c r="P1326" s="121"/>
      <c r="Q1326" s="123"/>
      <c r="R1326" s="66"/>
      <c r="S1326" s="66"/>
      <c r="T1326" s="110">
        <f t="shared" si="1901"/>
        <v>0</v>
      </c>
      <c r="U1326" s="59">
        <f t="shared" si="1902"/>
        <v>0</v>
      </c>
      <c r="V1326" s="66"/>
      <c r="W1326" s="66">
        <v>1642</v>
      </c>
      <c r="X1326" s="110">
        <f t="shared" si="1903"/>
        <v>0</v>
      </c>
      <c r="Y1326" s="110"/>
      <c r="Z1326" s="110"/>
      <c r="AA1326" s="110"/>
      <c r="AB1326" s="46"/>
      <c r="AC1326" s="78"/>
      <c r="AD1326" s="78"/>
      <c r="AE1326" s="100">
        <f t="shared" si="1904"/>
        <v>1.7348203221809171E-2</v>
      </c>
      <c r="AF1326" s="90"/>
      <c r="AG1326" s="109">
        <f t="shared" si="1905"/>
        <v>0</v>
      </c>
      <c r="AH1326" s="100">
        <f t="shared" si="1906"/>
        <v>-1</v>
      </c>
      <c r="AI1326" s="100">
        <f t="shared" si="1907"/>
        <v>1.7348203221809171E-2</v>
      </c>
    </row>
    <row r="1327" spans="1:35" s="47" customFormat="1" ht="21" customHeight="1" x14ac:dyDescent="0.3">
      <c r="A1327" s="78"/>
      <c r="B1327" s="106" t="s">
        <v>53</v>
      </c>
      <c r="C1327" s="107" t="s">
        <v>651</v>
      </c>
      <c r="D1327" s="305"/>
      <c r="E1327" s="133" t="s">
        <v>257</v>
      </c>
      <c r="F1327" s="66">
        <f>1614+111+3390</f>
        <v>5115</v>
      </c>
      <c r="G1327" s="66"/>
      <c r="H1327" s="66"/>
      <c r="I1327" s="66"/>
      <c r="J1327" s="66"/>
      <c r="K1327" s="78"/>
      <c r="L1327" s="66"/>
      <c r="M1327" s="66">
        <f>76+1472+896+896+168+1612</f>
        <v>5120</v>
      </c>
      <c r="N1327" s="110">
        <f t="shared" ref="N1327:N1328" si="1908">M1327-F1327</f>
        <v>5</v>
      </c>
      <c r="O1327" s="110"/>
      <c r="P1327" s="121"/>
      <c r="Q1327" s="123"/>
      <c r="R1327" s="66"/>
      <c r="S1327" s="66"/>
      <c r="T1327" s="110">
        <f t="shared" ref="T1327:T1328" si="1909">S1327-Q1327</f>
        <v>0</v>
      </c>
      <c r="U1327" s="59">
        <f t="shared" ref="U1327:U1328" si="1910">IF(Q1327&gt;0,S1327-W1327,M1327-W1327)</f>
        <v>2576</v>
      </c>
      <c r="V1327" s="66"/>
      <c r="W1327" s="66">
        <f>1648+896</f>
        <v>2544</v>
      </c>
      <c r="X1327" s="110">
        <f t="shared" ref="X1327:X1328" si="1911">W1327-M1327</f>
        <v>-2576</v>
      </c>
      <c r="Y1327" s="110"/>
      <c r="Z1327" s="110"/>
      <c r="AA1327" s="110"/>
      <c r="AB1327" s="46"/>
      <c r="AC1327" s="78"/>
      <c r="AD1327" s="78"/>
      <c r="AE1327" s="100">
        <f t="shared" ref="AE1327:AE1328" si="1912">N1327/F1327</f>
        <v>9.7751710654936461E-4</v>
      </c>
      <c r="AF1327" s="90"/>
      <c r="AG1327" s="109">
        <f t="shared" ref="AG1327:AG1328" si="1913">IF(N1327&lt;0,N1327,0)</f>
        <v>0</v>
      </c>
      <c r="AH1327" s="100">
        <f t="shared" ref="AH1327:AH1328" si="1914">(S1327-F1327)/F1327</f>
        <v>-1</v>
      </c>
      <c r="AI1327" s="100">
        <f t="shared" ref="AI1327:AI1328" si="1915">(W1327-F1327)/F1327</f>
        <v>-0.50263929618768333</v>
      </c>
    </row>
    <row r="1328" spans="1:35" s="47" customFormat="1" ht="21" customHeight="1" x14ac:dyDescent="0.3">
      <c r="A1328" s="78"/>
      <c r="B1328" s="106" t="s">
        <v>53</v>
      </c>
      <c r="C1328" s="107" t="s">
        <v>651</v>
      </c>
      <c r="D1328" s="305"/>
      <c r="E1328" s="133" t="s">
        <v>661</v>
      </c>
      <c r="F1328" s="66">
        <f>111+3390</f>
        <v>3501</v>
      </c>
      <c r="G1328" s="66"/>
      <c r="H1328" s="66"/>
      <c r="I1328" s="66"/>
      <c r="J1328" s="66"/>
      <c r="K1328" s="78"/>
      <c r="L1328" s="66"/>
      <c r="M1328" s="66">
        <f>48+896+896+1200+502</f>
        <v>3542</v>
      </c>
      <c r="N1328" s="110">
        <f t="shared" si="1908"/>
        <v>41</v>
      </c>
      <c r="O1328" s="110"/>
      <c r="P1328" s="121"/>
      <c r="Q1328" s="123"/>
      <c r="R1328" s="66"/>
      <c r="S1328" s="66"/>
      <c r="T1328" s="110">
        <f t="shared" si="1909"/>
        <v>0</v>
      </c>
      <c r="U1328" s="59">
        <f t="shared" si="1910"/>
        <v>0</v>
      </c>
      <c r="V1328" s="66"/>
      <c r="W1328" s="66">
        <v>3542</v>
      </c>
      <c r="X1328" s="110">
        <f t="shared" si="1911"/>
        <v>0</v>
      </c>
      <c r="Y1328" s="110"/>
      <c r="Z1328" s="110"/>
      <c r="AA1328" s="110"/>
      <c r="AB1328" s="46"/>
      <c r="AC1328" s="78"/>
      <c r="AD1328" s="78"/>
      <c r="AE1328" s="100">
        <f t="shared" si="1912"/>
        <v>1.1710939731505284E-2</v>
      </c>
      <c r="AF1328" s="90"/>
      <c r="AG1328" s="109">
        <f t="shared" si="1913"/>
        <v>0</v>
      </c>
      <c r="AH1328" s="100">
        <f t="shared" si="1914"/>
        <v>-1</v>
      </c>
      <c r="AI1328" s="100">
        <f t="shared" si="1915"/>
        <v>1.1710939731505284E-2</v>
      </c>
    </row>
    <row r="1329" spans="1:35" s="47" customFormat="1" ht="21" customHeight="1" x14ac:dyDescent="0.3">
      <c r="A1329" s="78"/>
      <c r="B1329" s="106" t="s">
        <v>53</v>
      </c>
      <c r="C1329" s="107" t="s">
        <v>651</v>
      </c>
      <c r="D1329" s="305"/>
      <c r="E1329" s="133" t="s">
        <v>662</v>
      </c>
      <c r="F1329" s="66">
        <f>111+3390</f>
        <v>3501</v>
      </c>
      <c r="G1329" s="66"/>
      <c r="H1329" s="66"/>
      <c r="I1329" s="66"/>
      <c r="J1329" s="66"/>
      <c r="K1329" s="78"/>
      <c r="L1329" s="66"/>
      <c r="M1329" s="66">
        <f>48+1786+600+600+502+6</f>
        <v>3542</v>
      </c>
      <c r="N1329" s="110">
        <f t="shared" si="1892"/>
        <v>41</v>
      </c>
      <c r="O1329" s="110"/>
      <c r="P1329" s="121"/>
      <c r="Q1329" s="123"/>
      <c r="R1329" s="66"/>
      <c r="S1329" s="66"/>
      <c r="T1329" s="110">
        <f t="shared" si="1893"/>
        <v>0</v>
      </c>
      <c r="U1329" s="59">
        <f t="shared" si="1894"/>
        <v>0</v>
      </c>
      <c r="V1329" s="66"/>
      <c r="W1329" s="66">
        <v>3542</v>
      </c>
      <c r="X1329" s="110">
        <f t="shared" si="1895"/>
        <v>0</v>
      </c>
      <c r="Y1329" s="110"/>
      <c r="Z1329" s="110"/>
      <c r="AA1329" s="110"/>
      <c r="AB1329" s="46"/>
      <c r="AC1329" s="78"/>
      <c r="AD1329" s="78"/>
      <c r="AE1329" s="100">
        <f t="shared" si="1896"/>
        <v>1.1710939731505284E-2</v>
      </c>
      <c r="AF1329" s="90"/>
      <c r="AG1329" s="109">
        <f t="shared" si="1897"/>
        <v>0</v>
      </c>
      <c r="AH1329" s="100">
        <f t="shared" si="1898"/>
        <v>-1</v>
      </c>
      <c r="AI1329" s="100">
        <f t="shared" si="1899"/>
        <v>1.1710939731505284E-2</v>
      </c>
    </row>
    <row r="1330" spans="1:35" s="47" customFormat="1" ht="21" customHeight="1" x14ac:dyDescent="0.3">
      <c r="A1330" s="78"/>
      <c r="B1330" s="106" t="s">
        <v>53</v>
      </c>
      <c r="C1330" s="107" t="s">
        <v>651</v>
      </c>
      <c r="D1330" s="305"/>
      <c r="E1330" s="133" t="s">
        <v>0</v>
      </c>
      <c r="F1330" s="66">
        <f>111+3390</f>
        <v>3501</v>
      </c>
      <c r="G1330" s="66"/>
      <c r="H1330" s="66"/>
      <c r="I1330" s="66"/>
      <c r="J1330" s="66"/>
      <c r="K1330" s="78"/>
      <c r="L1330" s="66"/>
      <c r="M1330" s="66">
        <f>1656+912+570+310+94</f>
        <v>3542</v>
      </c>
      <c r="N1330" s="110">
        <f t="shared" si="1865"/>
        <v>41</v>
      </c>
      <c r="O1330" s="110"/>
      <c r="P1330" s="121"/>
      <c r="Q1330" s="123"/>
      <c r="R1330" s="66"/>
      <c r="S1330" s="66"/>
      <c r="T1330" s="110">
        <f t="shared" si="1866"/>
        <v>0</v>
      </c>
      <c r="U1330" s="59">
        <f t="shared" si="1799"/>
        <v>0</v>
      </c>
      <c r="V1330" s="66"/>
      <c r="W1330" s="66">
        <v>3542</v>
      </c>
      <c r="X1330" s="110">
        <f t="shared" si="1867"/>
        <v>0</v>
      </c>
      <c r="Y1330" s="110"/>
      <c r="Z1330" s="110"/>
      <c r="AA1330" s="110"/>
      <c r="AB1330" s="46"/>
      <c r="AC1330" s="78"/>
      <c r="AD1330" s="78"/>
      <c r="AE1330" s="100">
        <f t="shared" si="1861"/>
        <v>1.1710939731505284E-2</v>
      </c>
      <c r="AF1330" s="90"/>
      <c r="AG1330" s="109">
        <f t="shared" si="1862"/>
        <v>0</v>
      </c>
      <c r="AH1330" s="100">
        <f t="shared" si="1863"/>
        <v>-1</v>
      </c>
      <c r="AI1330" s="100">
        <f t="shared" si="1864"/>
        <v>1.1710939731505284E-2</v>
      </c>
    </row>
    <row r="1331" spans="1:35" s="79" customFormat="1" ht="15.75" customHeight="1" x14ac:dyDescent="0.3">
      <c r="A1331" s="90" t="s">
        <v>46</v>
      </c>
      <c r="B1331" s="136" t="s">
        <v>53</v>
      </c>
      <c r="C1331" s="137"/>
      <c r="D1331" s="136"/>
      <c r="E1331" s="138"/>
      <c r="F1331" s="91">
        <f>SUM(F1308:F1330)</f>
        <v>49920</v>
      </c>
      <c r="G1331" s="91"/>
      <c r="H1331" s="91"/>
      <c r="I1331" s="91"/>
      <c r="J1331" s="91" t="s">
        <v>58</v>
      </c>
      <c r="K1331" s="65" t="s">
        <v>410</v>
      </c>
      <c r="L1331" s="91">
        <f>SUM(L1308:L1330)</f>
        <v>0</v>
      </c>
      <c r="M1331" s="91">
        <f>SUM(M1308:M1330)</f>
        <v>50770</v>
      </c>
      <c r="N1331" s="91">
        <f>SUM(N1308:N1330)</f>
        <v>850</v>
      </c>
      <c r="O1331" s="91"/>
      <c r="P1331" s="91">
        <f>SUM(P1308:P1330)</f>
        <v>0</v>
      </c>
      <c r="Q1331" s="91">
        <f>SUM(Q1308:Q1330)</f>
        <v>0</v>
      </c>
      <c r="R1331" s="91">
        <f>SUM(R1308:R1330)</f>
        <v>0</v>
      </c>
      <c r="S1331" s="91">
        <f>SUM(S1308:S1330)</f>
        <v>0</v>
      </c>
      <c r="T1331" s="91">
        <f>SUM(T1308:T1330)</f>
        <v>0</v>
      </c>
      <c r="U1331" s="59">
        <f t="shared" si="1799"/>
        <v>4326</v>
      </c>
      <c r="V1331" s="91">
        <f>SUM(V1308:V1330)</f>
        <v>0</v>
      </c>
      <c r="W1331" s="91">
        <f>SUM(W1308:W1330)</f>
        <v>46444</v>
      </c>
      <c r="X1331" s="91">
        <f>SUM(X1308:X1330)</f>
        <v>-4326</v>
      </c>
      <c r="Y1331" s="136"/>
      <c r="Z1331" s="136"/>
      <c r="AA1331" s="136"/>
      <c r="AB1331" s="84"/>
      <c r="AC1331" s="90"/>
      <c r="AD1331" s="90"/>
      <c r="AE1331" s="100">
        <f t="shared" si="1861"/>
        <v>1.7027243589743588E-2</v>
      </c>
      <c r="AF1331" s="90"/>
      <c r="AG1331" s="109">
        <f t="shared" si="1862"/>
        <v>0</v>
      </c>
      <c r="AH1331" s="100">
        <f t="shared" si="1863"/>
        <v>-1</v>
      </c>
      <c r="AI1331" s="100">
        <f t="shared" si="1864"/>
        <v>-6.9631410256410259E-2</v>
      </c>
    </row>
    <row r="1332" spans="1:35" s="47" customFormat="1" ht="21" customHeight="1" x14ac:dyDescent="0.3">
      <c r="A1332" s="78"/>
      <c r="B1332" s="106" t="s">
        <v>53</v>
      </c>
      <c r="C1332" s="107" t="s">
        <v>663</v>
      </c>
      <c r="D1332" s="304">
        <v>22012786</v>
      </c>
      <c r="E1332" s="133" t="s">
        <v>652</v>
      </c>
      <c r="F1332" s="66">
        <f>81</f>
        <v>81</v>
      </c>
      <c r="G1332" s="66"/>
      <c r="H1332" s="66"/>
      <c r="I1332" s="66"/>
      <c r="J1332" s="66"/>
      <c r="K1332" s="78"/>
      <c r="L1332" s="66"/>
      <c r="M1332" s="66"/>
      <c r="N1332" s="110">
        <f t="shared" ref="N1332:N1354" si="1916">M1332-F1332</f>
        <v>-81</v>
      </c>
      <c r="O1332" s="110"/>
      <c r="P1332" s="123"/>
      <c r="Q1332" s="123"/>
      <c r="R1332" s="66"/>
      <c r="S1332" s="66"/>
      <c r="T1332" s="110">
        <f t="shared" ref="T1332:T1354" si="1917">S1332-Q1332</f>
        <v>0</v>
      </c>
      <c r="U1332" s="59">
        <f t="shared" ref="U1332:U1366" si="1918">IF(Q1332&gt;0,S1332-W1332,M1332-W1332)</f>
        <v>0</v>
      </c>
      <c r="V1332" s="66"/>
      <c r="W1332" s="66"/>
      <c r="X1332" s="110">
        <f t="shared" ref="X1332:X1354" si="1919">W1332-M1332</f>
        <v>0</v>
      </c>
      <c r="Y1332" s="110"/>
      <c r="Z1332" s="110"/>
      <c r="AA1332" s="110"/>
      <c r="AB1332" s="46"/>
      <c r="AC1332" s="78"/>
      <c r="AD1332" s="78"/>
      <c r="AE1332" s="100">
        <f t="shared" ref="AE1332:AE1366" si="1920">N1332/F1332</f>
        <v>-1</v>
      </c>
      <c r="AF1332" s="90"/>
      <c r="AG1332" s="109">
        <f t="shared" ref="AG1332:AG1366" si="1921">IF(N1332&lt;0,N1332,0)</f>
        <v>-81</v>
      </c>
      <c r="AH1332" s="100">
        <f t="shared" ref="AH1332:AH1366" si="1922">(S1332-F1332)/F1332</f>
        <v>-1</v>
      </c>
      <c r="AI1332" s="100">
        <f t="shared" ref="AI1332:AI1366" si="1923">(W1332-F1332)/F1332</f>
        <v>-1</v>
      </c>
    </row>
    <row r="1333" spans="1:35" s="47" customFormat="1" ht="21" customHeight="1" x14ac:dyDescent="0.3">
      <c r="A1333" s="78"/>
      <c r="B1333" s="106" t="s">
        <v>53</v>
      </c>
      <c r="C1333" s="107" t="s">
        <v>663</v>
      </c>
      <c r="D1333" s="305"/>
      <c r="E1333" s="133" t="s">
        <v>653</v>
      </c>
      <c r="F1333" s="66">
        <f>81</f>
        <v>81</v>
      </c>
      <c r="G1333" s="66"/>
      <c r="H1333" s="66"/>
      <c r="I1333" s="66"/>
      <c r="J1333" s="66"/>
      <c r="K1333" s="78"/>
      <c r="L1333" s="66"/>
      <c r="M1333" s="66"/>
      <c r="N1333" s="110">
        <f t="shared" si="1916"/>
        <v>-81</v>
      </c>
      <c r="O1333" s="110"/>
      <c r="P1333" s="121"/>
      <c r="Q1333" s="123"/>
      <c r="R1333" s="66"/>
      <c r="S1333" s="66"/>
      <c r="T1333" s="110">
        <f t="shared" si="1917"/>
        <v>0</v>
      </c>
      <c r="U1333" s="59">
        <f t="shared" si="1918"/>
        <v>0</v>
      </c>
      <c r="V1333" s="66"/>
      <c r="W1333" s="66"/>
      <c r="X1333" s="110">
        <f t="shared" si="1919"/>
        <v>0</v>
      </c>
      <c r="Y1333" s="110"/>
      <c r="Z1333" s="110"/>
      <c r="AA1333" s="110"/>
      <c r="AB1333" s="46"/>
      <c r="AC1333" s="78"/>
      <c r="AD1333" s="78"/>
      <c r="AE1333" s="100">
        <f t="shared" si="1920"/>
        <v>-1</v>
      </c>
      <c r="AF1333" s="90"/>
      <c r="AG1333" s="109">
        <f t="shared" si="1921"/>
        <v>-81</v>
      </c>
      <c r="AH1333" s="100">
        <f t="shared" si="1922"/>
        <v>-1</v>
      </c>
      <c r="AI1333" s="100">
        <f t="shared" si="1923"/>
        <v>-1</v>
      </c>
    </row>
    <row r="1334" spans="1:35" s="47" customFormat="1" ht="21" customHeight="1" x14ac:dyDescent="0.3">
      <c r="A1334" s="78"/>
      <c r="B1334" s="106" t="s">
        <v>53</v>
      </c>
      <c r="C1334" s="107" t="s">
        <v>663</v>
      </c>
      <c r="D1334" s="305"/>
      <c r="E1334" s="133" t="s">
        <v>654</v>
      </c>
      <c r="F1334" s="66">
        <f>81</f>
        <v>81</v>
      </c>
      <c r="G1334" s="66"/>
      <c r="H1334" s="66"/>
      <c r="I1334" s="66"/>
      <c r="J1334" s="66"/>
      <c r="K1334" s="78"/>
      <c r="L1334" s="66"/>
      <c r="M1334" s="66"/>
      <c r="N1334" s="110">
        <f t="shared" si="1916"/>
        <v>-81</v>
      </c>
      <c r="O1334" s="110"/>
      <c r="P1334" s="121"/>
      <c r="Q1334" s="123"/>
      <c r="R1334" s="66"/>
      <c r="S1334" s="66"/>
      <c r="T1334" s="110">
        <f t="shared" si="1917"/>
        <v>0</v>
      </c>
      <c r="U1334" s="59">
        <f t="shared" si="1918"/>
        <v>0</v>
      </c>
      <c r="V1334" s="66"/>
      <c r="W1334" s="66"/>
      <c r="X1334" s="110">
        <f t="shared" si="1919"/>
        <v>0</v>
      </c>
      <c r="Y1334" s="110"/>
      <c r="Z1334" s="110"/>
      <c r="AA1334" s="110"/>
      <c r="AB1334" s="46"/>
      <c r="AC1334" s="78"/>
      <c r="AD1334" s="78"/>
      <c r="AE1334" s="100">
        <f t="shared" si="1920"/>
        <v>-1</v>
      </c>
      <c r="AF1334" s="90"/>
      <c r="AG1334" s="109">
        <f t="shared" si="1921"/>
        <v>-81</v>
      </c>
      <c r="AH1334" s="100">
        <f t="shared" si="1922"/>
        <v>-1</v>
      </c>
      <c r="AI1334" s="100">
        <f t="shared" si="1923"/>
        <v>-1</v>
      </c>
    </row>
    <row r="1335" spans="1:35" s="47" customFormat="1" ht="21" customHeight="1" x14ac:dyDescent="0.3">
      <c r="A1335" s="78"/>
      <c r="B1335" s="106" t="s">
        <v>53</v>
      </c>
      <c r="C1335" s="107" t="s">
        <v>663</v>
      </c>
      <c r="D1335" s="305"/>
      <c r="E1335" s="133" t="s">
        <v>655</v>
      </c>
      <c r="F1335" s="66">
        <f>81</f>
        <v>81</v>
      </c>
      <c r="G1335" s="66"/>
      <c r="H1335" s="66"/>
      <c r="I1335" s="66"/>
      <c r="J1335" s="66"/>
      <c r="K1335" s="78"/>
      <c r="L1335" s="66"/>
      <c r="M1335" s="66"/>
      <c r="N1335" s="110">
        <f t="shared" si="1916"/>
        <v>-81</v>
      </c>
      <c r="O1335" s="110"/>
      <c r="P1335" s="121"/>
      <c r="Q1335" s="123"/>
      <c r="R1335" s="66"/>
      <c r="S1335" s="66"/>
      <c r="T1335" s="110">
        <f t="shared" si="1917"/>
        <v>0</v>
      </c>
      <c r="U1335" s="59">
        <f t="shared" si="1918"/>
        <v>0</v>
      </c>
      <c r="V1335" s="66"/>
      <c r="W1335" s="66"/>
      <c r="X1335" s="110">
        <f t="shared" si="1919"/>
        <v>0</v>
      </c>
      <c r="Y1335" s="110"/>
      <c r="Z1335" s="110"/>
      <c r="AA1335" s="110"/>
      <c r="AB1335" s="46"/>
      <c r="AC1335" s="78"/>
      <c r="AD1335" s="78"/>
      <c r="AE1335" s="100">
        <f t="shared" si="1920"/>
        <v>-1</v>
      </c>
      <c r="AF1335" s="90"/>
      <c r="AG1335" s="109">
        <f t="shared" si="1921"/>
        <v>-81</v>
      </c>
      <c r="AH1335" s="100">
        <f t="shared" si="1922"/>
        <v>-1</v>
      </c>
      <c r="AI1335" s="100">
        <f t="shared" si="1923"/>
        <v>-1</v>
      </c>
    </row>
    <row r="1336" spans="1:35" s="47" customFormat="1" ht="21" customHeight="1" x14ac:dyDescent="0.3">
      <c r="A1336" s="78"/>
      <c r="B1336" s="106" t="s">
        <v>53</v>
      </c>
      <c r="C1336" s="107" t="s">
        <v>663</v>
      </c>
      <c r="D1336" s="305"/>
      <c r="E1336" s="133" t="s">
        <v>656</v>
      </c>
      <c r="F1336" s="66">
        <f>81</f>
        <v>81</v>
      </c>
      <c r="G1336" s="66"/>
      <c r="H1336" s="66"/>
      <c r="I1336" s="66"/>
      <c r="J1336" s="66"/>
      <c r="K1336" s="78"/>
      <c r="L1336" s="66"/>
      <c r="M1336" s="66"/>
      <c r="N1336" s="110">
        <f t="shared" si="1916"/>
        <v>-81</v>
      </c>
      <c r="O1336" s="110"/>
      <c r="P1336" s="121"/>
      <c r="Q1336" s="123"/>
      <c r="R1336" s="66"/>
      <c r="S1336" s="66"/>
      <c r="T1336" s="110">
        <f t="shared" si="1917"/>
        <v>0</v>
      </c>
      <c r="U1336" s="59">
        <f t="shared" si="1918"/>
        <v>0</v>
      </c>
      <c r="V1336" s="66"/>
      <c r="W1336" s="66"/>
      <c r="X1336" s="110">
        <f t="shared" si="1919"/>
        <v>0</v>
      </c>
      <c r="Y1336" s="110"/>
      <c r="Z1336" s="110"/>
      <c r="AA1336" s="110"/>
      <c r="AB1336" s="46"/>
      <c r="AC1336" s="78"/>
      <c r="AD1336" s="78"/>
      <c r="AE1336" s="100">
        <f t="shared" si="1920"/>
        <v>-1</v>
      </c>
      <c r="AF1336" s="90"/>
      <c r="AG1336" s="109">
        <f t="shared" si="1921"/>
        <v>-81</v>
      </c>
      <c r="AH1336" s="100">
        <f t="shared" si="1922"/>
        <v>-1</v>
      </c>
      <c r="AI1336" s="100">
        <f t="shared" si="1923"/>
        <v>-1</v>
      </c>
    </row>
    <row r="1337" spans="1:35" s="47" customFormat="1" ht="21" customHeight="1" x14ac:dyDescent="0.3">
      <c r="A1337" s="78"/>
      <c r="B1337" s="106" t="s">
        <v>53</v>
      </c>
      <c r="C1337" s="107" t="s">
        <v>663</v>
      </c>
      <c r="D1337" s="305"/>
      <c r="E1337" s="133" t="s">
        <v>117</v>
      </c>
      <c r="F1337" s="66">
        <f>81</f>
        <v>81</v>
      </c>
      <c r="G1337" s="66"/>
      <c r="H1337" s="66"/>
      <c r="I1337" s="66"/>
      <c r="J1337" s="66"/>
      <c r="K1337" s="78"/>
      <c r="L1337" s="66"/>
      <c r="M1337" s="66"/>
      <c r="N1337" s="110">
        <f t="shared" ref="N1337:N1340" si="1924">M1337-F1337</f>
        <v>-81</v>
      </c>
      <c r="O1337" s="110"/>
      <c r="P1337" s="121"/>
      <c r="Q1337" s="123"/>
      <c r="R1337" s="66"/>
      <c r="S1337" s="66"/>
      <c r="T1337" s="110">
        <f t="shared" ref="T1337:T1340" si="1925">S1337-Q1337</f>
        <v>0</v>
      </c>
      <c r="U1337" s="59">
        <f t="shared" ref="U1337:U1340" si="1926">IF(Q1337&gt;0,S1337-W1337,M1337-W1337)</f>
        <v>0</v>
      </c>
      <c r="V1337" s="66"/>
      <c r="W1337" s="66"/>
      <c r="X1337" s="110">
        <f t="shared" ref="X1337:X1340" si="1927">W1337-M1337</f>
        <v>0</v>
      </c>
      <c r="Y1337" s="110"/>
      <c r="Z1337" s="110"/>
      <c r="AA1337" s="110"/>
      <c r="AB1337" s="46"/>
      <c r="AC1337" s="78"/>
      <c r="AD1337" s="78"/>
      <c r="AE1337" s="100">
        <f t="shared" ref="AE1337:AE1340" si="1928">N1337/F1337</f>
        <v>-1</v>
      </c>
      <c r="AF1337" s="90"/>
      <c r="AG1337" s="109">
        <f t="shared" ref="AG1337:AG1340" si="1929">IF(N1337&lt;0,N1337,0)</f>
        <v>-81</v>
      </c>
      <c r="AH1337" s="100">
        <f t="shared" ref="AH1337:AH1340" si="1930">(S1337-F1337)/F1337</f>
        <v>-1</v>
      </c>
      <c r="AI1337" s="100">
        <f t="shared" ref="AI1337:AI1340" si="1931">(W1337-F1337)/F1337</f>
        <v>-1</v>
      </c>
    </row>
    <row r="1338" spans="1:35" s="47" customFormat="1" ht="21" customHeight="1" x14ac:dyDescent="0.3">
      <c r="A1338" s="78"/>
      <c r="B1338" s="106" t="s">
        <v>53</v>
      </c>
      <c r="C1338" s="107" t="s">
        <v>663</v>
      </c>
      <c r="D1338" s="305"/>
      <c r="E1338" s="133" t="s">
        <v>463</v>
      </c>
      <c r="F1338" s="66">
        <f>81</f>
        <v>81</v>
      </c>
      <c r="G1338" s="66"/>
      <c r="H1338" s="66"/>
      <c r="I1338" s="66"/>
      <c r="J1338" s="66"/>
      <c r="K1338" s="78"/>
      <c r="L1338" s="66"/>
      <c r="M1338" s="66"/>
      <c r="N1338" s="110">
        <f t="shared" si="1924"/>
        <v>-81</v>
      </c>
      <c r="O1338" s="110"/>
      <c r="P1338" s="121"/>
      <c r="Q1338" s="123"/>
      <c r="R1338" s="66"/>
      <c r="S1338" s="66"/>
      <c r="T1338" s="110">
        <f t="shared" si="1925"/>
        <v>0</v>
      </c>
      <c r="U1338" s="59">
        <f t="shared" si="1926"/>
        <v>0</v>
      </c>
      <c r="V1338" s="66"/>
      <c r="W1338" s="66"/>
      <c r="X1338" s="110">
        <f t="shared" si="1927"/>
        <v>0</v>
      </c>
      <c r="Y1338" s="110"/>
      <c r="Z1338" s="110"/>
      <c r="AA1338" s="110"/>
      <c r="AB1338" s="46"/>
      <c r="AC1338" s="78"/>
      <c r="AD1338" s="78"/>
      <c r="AE1338" s="100">
        <f t="shared" si="1928"/>
        <v>-1</v>
      </c>
      <c r="AF1338" s="90"/>
      <c r="AG1338" s="109">
        <f t="shared" si="1929"/>
        <v>-81</v>
      </c>
      <c r="AH1338" s="100">
        <f t="shared" si="1930"/>
        <v>-1</v>
      </c>
      <c r="AI1338" s="100">
        <f t="shared" si="1931"/>
        <v>-1</v>
      </c>
    </row>
    <row r="1339" spans="1:35" s="47" customFormat="1" ht="21" customHeight="1" x14ac:dyDescent="0.3">
      <c r="A1339" s="78"/>
      <c r="B1339" s="106" t="s">
        <v>53</v>
      </c>
      <c r="C1339" s="107" t="s">
        <v>663</v>
      </c>
      <c r="D1339" s="305"/>
      <c r="E1339" s="133" t="s">
        <v>130</v>
      </c>
      <c r="F1339" s="66">
        <f>81</f>
        <v>81</v>
      </c>
      <c r="G1339" s="66"/>
      <c r="H1339" s="66"/>
      <c r="I1339" s="66"/>
      <c r="J1339" s="66"/>
      <c r="K1339" s="78"/>
      <c r="L1339" s="66"/>
      <c r="M1339" s="66"/>
      <c r="N1339" s="110">
        <f t="shared" si="1924"/>
        <v>-81</v>
      </c>
      <c r="O1339" s="110"/>
      <c r="P1339" s="121"/>
      <c r="Q1339" s="123"/>
      <c r="R1339" s="66"/>
      <c r="S1339" s="66"/>
      <c r="T1339" s="110">
        <f t="shared" si="1925"/>
        <v>0</v>
      </c>
      <c r="U1339" s="59">
        <f t="shared" si="1926"/>
        <v>0</v>
      </c>
      <c r="V1339" s="66"/>
      <c r="W1339" s="66"/>
      <c r="X1339" s="110">
        <f t="shared" si="1927"/>
        <v>0</v>
      </c>
      <c r="Y1339" s="110"/>
      <c r="Z1339" s="110"/>
      <c r="AA1339" s="110"/>
      <c r="AB1339" s="46"/>
      <c r="AC1339" s="78"/>
      <c r="AD1339" s="78"/>
      <c r="AE1339" s="100">
        <f t="shared" si="1928"/>
        <v>-1</v>
      </c>
      <c r="AF1339" s="90"/>
      <c r="AG1339" s="109">
        <f t="shared" si="1929"/>
        <v>-81</v>
      </c>
      <c r="AH1339" s="100">
        <f t="shared" si="1930"/>
        <v>-1</v>
      </c>
      <c r="AI1339" s="100">
        <f t="shared" si="1931"/>
        <v>-1</v>
      </c>
    </row>
    <row r="1340" spans="1:35" s="47" customFormat="1" ht="21" customHeight="1" x14ac:dyDescent="0.3">
      <c r="A1340" s="78"/>
      <c r="B1340" s="106" t="s">
        <v>53</v>
      </c>
      <c r="C1340" s="107" t="s">
        <v>663</v>
      </c>
      <c r="D1340" s="305"/>
      <c r="E1340" s="133" t="s">
        <v>657</v>
      </c>
      <c r="F1340" s="66">
        <f>81</f>
        <v>81</v>
      </c>
      <c r="G1340" s="66"/>
      <c r="H1340" s="66"/>
      <c r="I1340" s="66"/>
      <c r="J1340" s="66"/>
      <c r="K1340" s="78"/>
      <c r="L1340" s="66"/>
      <c r="M1340" s="66"/>
      <c r="N1340" s="110">
        <f t="shared" si="1924"/>
        <v>-81</v>
      </c>
      <c r="O1340" s="110"/>
      <c r="P1340" s="121"/>
      <c r="Q1340" s="123"/>
      <c r="R1340" s="66"/>
      <c r="S1340" s="66"/>
      <c r="T1340" s="110">
        <f t="shared" si="1925"/>
        <v>0</v>
      </c>
      <c r="U1340" s="59">
        <f t="shared" si="1926"/>
        <v>0</v>
      </c>
      <c r="V1340" s="66"/>
      <c r="W1340" s="66"/>
      <c r="X1340" s="110">
        <f t="shared" si="1927"/>
        <v>0</v>
      </c>
      <c r="Y1340" s="110"/>
      <c r="Z1340" s="110"/>
      <c r="AA1340" s="110"/>
      <c r="AB1340" s="46"/>
      <c r="AC1340" s="78"/>
      <c r="AD1340" s="78"/>
      <c r="AE1340" s="100">
        <f t="shared" si="1928"/>
        <v>-1</v>
      </c>
      <c r="AF1340" s="90"/>
      <c r="AG1340" s="109">
        <f t="shared" si="1929"/>
        <v>-81</v>
      </c>
      <c r="AH1340" s="100">
        <f t="shared" si="1930"/>
        <v>-1</v>
      </c>
      <c r="AI1340" s="100">
        <f t="shared" si="1931"/>
        <v>-1</v>
      </c>
    </row>
    <row r="1341" spans="1:35" s="47" customFormat="1" ht="21" customHeight="1" x14ac:dyDescent="0.3">
      <c r="A1341" s="78"/>
      <c r="B1341" s="106" t="s">
        <v>53</v>
      </c>
      <c r="C1341" s="107" t="s">
        <v>663</v>
      </c>
      <c r="D1341" s="305"/>
      <c r="E1341" s="133" t="s">
        <v>98</v>
      </c>
      <c r="F1341" s="66">
        <f>81</f>
        <v>81</v>
      </c>
      <c r="G1341" s="66"/>
      <c r="H1341" s="66"/>
      <c r="I1341" s="66"/>
      <c r="J1341" s="66"/>
      <c r="K1341" s="78"/>
      <c r="L1341" s="66"/>
      <c r="M1341" s="66"/>
      <c r="N1341" s="110">
        <f t="shared" ref="N1341:N1350" si="1932">M1341-F1341</f>
        <v>-81</v>
      </c>
      <c r="O1341" s="110"/>
      <c r="P1341" s="121"/>
      <c r="Q1341" s="123"/>
      <c r="R1341" s="66"/>
      <c r="S1341" s="66"/>
      <c r="T1341" s="110">
        <f t="shared" ref="T1341:T1350" si="1933">S1341-Q1341</f>
        <v>0</v>
      </c>
      <c r="U1341" s="59">
        <f t="shared" ref="U1341:U1350" si="1934">IF(Q1341&gt;0,S1341-W1341,M1341-W1341)</f>
        <v>0</v>
      </c>
      <c r="V1341" s="66"/>
      <c r="W1341" s="66"/>
      <c r="X1341" s="110">
        <f t="shared" ref="X1341:X1350" si="1935">W1341-M1341</f>
        <v>0</v>
      </c>
      <c r="Y1341" s="110"/>
      <c r="Z1341" s="110"/>
      <c r="AA1341" s="110"/>
      <c r="AB1341" s="46"/>
      <c r="AC1341" s="78"/>
      <c r="AD1341" s="78"/>
      <c r="AE1341" s="100">
        <f t="shared" ref="AE1341:AE1350" si="1936">N1341/F1341</f>
        <v>-1</v>
      </c>
      <c r="AF1341" s="90"/>
      <c r="AG1341" s="109">
        <f t="shared" ref="AG1341:AG1350" si="1937">IF(N1341&lt;0,N1341,0)</f>
        <v>-81</v>
      </c>
      <c r="AH1341" s="100">
        <f t="shared" ref="AH1341:AH1350" si="1938">(S1341-F1341)/F1341</f>
        <v>-1</v>
      </c>
      <c r="AI1341" s="100">
        <f t="shared" ref="AI1341:AI1350" si="1939">(W1341-F1341)/F1341</f>
        <v>-1</v>
      </c>
    </row>
    <row r="1342" spans="1:35" s="47" customFormat="1" ht="21" customHeight="1" x14ac:dyDescent="0.3">
      <c r="A1342" s="78"/>
      <c r="B1342" s="106" t="s">
        <v>53</v>
      </c>
      <c r="C1342" s="107" t="s">
        <v>663</v>
      </c>
      <c r="D1342" s="305"/>
      <c r="E1342" s="133" t="s">
        <v>49</v>
      </c>
      <c r="F1342" s="66">
        <f>1701</f>
        <v>1701</v>
      </c>
      <c r="G1342" s="66"/>
      <c r="H1342" s="66"/>
      <c r="I1342" s="66"/>
      <c r="J1342" s="66"/>
      <c r="K1342" s="78"/>
      <c r="L1342" s="66"/>
      <c r="M1342" s="66"/>
      <c r="N1342" s="110">
        <f t="shared" si="1932"/>
        <v>-1701</v>
      </c>
      <c r="O1342" s="110"/>
      <c r="P1342" s="121"/>
      <c r="Q1342" s="123"/>
      <c r="R1342" s="66"/>
      <c r="S1342" s="66"/>
      <c r="T1342" s="110">
        <f t="shared" si="1933"/>
        <v>0</v>
      </c>
      <c r="U1342" s="59">
        <f t="shared" si="1934"/>
        <v>0</v>
      </c>
      <c r="V1342" s="66"/>
      <c r="W1342" s="66"/>
      <c r="X1342" s="110">
        <f t="shared" si="1935"/>
        <v>0</v>
      </c>
      <c r="Y1342" s="110"/>
      <c r="Z1342" s="110"/>
      <c r="AA1342" s="110"/>
      <c r="AB1342" s="46"/>
      <c r="AC1342" s="78"/>
      <c r="AD1342" s="78"/>
      <c r="AE1342" s="100">
        <f t="shared" si="1936"/>
        <v>-1</v>
      </c>
      <c r="AF1342" s="90"/>
      <c r="AG1342" s="109">
        <f t="shared" si="1937"/>
        <v>-1701</v>
      </c>
      <c r="AH1342" s="100">
        <f t="shared" si="1938"/>
        <v>-1</v>
      </c>
      <c r="AI1342" s="100">
        <f t="shared" si="1939"/>
        <v>-1</v>
      </c>
    </row>
    <row r="1343" spans="1:35" s="47" customFormat="1" ht="21" customHeight="1" x14ac:dyDescent="0.3">
      <c r="A1343" s="78"/>
      <c r="B1343" s="106" t="s">
        <v>53</v>
      </c>
      <c r="C1343" s="107" t="s">
        <v>663</v>
      </c>
      <c r="D1343" s="305"/>
      <c r="E1343" s="133" t="s">
        <v>97</v>
      </c>
      <c r="F1343" s="66">
        <f>1701</f>
        <v>1701</v>
      </c>
      <c r="G1343" s="66"/>
      <c r="H1343" s="66"/>
      <c r="I1343" s="66"/>
      <c r="J1343" s="66"/>
      <c r="K1343" s="78"/>
      <c r="L1343" s="66"/>
      <c r="M1343" s="66">
        <f>45+1682</f>
        <v>1727</v>
      </c>
      <c r="N1343" s="110">
        <f t="shared" ref="N1343:N1348" si="1940">M1343-F1343</f>
        <v>26</v>
      </c>
      <c r="O1343" s="110"/>
      <c r="P1343" s="121"/>
      <c r="Q1343" s="123"/>
      <c r="R1343" s="66"/>
      <c r="S1343" s="66"/>
      <c r="T1343" s="110">
        <f t="shared" ref="T1343:T1348" si="1941">S1343-Q1343</f>
        <v>0</v>
      </c>
      <c r="U1343" s="59">
        <f t="shared" ref="U1343:U1348" si="1942">IF(Q1343&gt;0,S1343-W1343,M1343-W1343)</f>
        <v>1727</v>
      </c>
      <c r="V1343" s="66"/>
      <c r="W1343" s="66"/>
      <c r="X1343" s="110">
        <f t="shared" ref="X1343:X1348" si="1943">W1343-M1343</f>
        <v>-1727</v>
      </c>
      <c r="Y1343" s="110"/>
      <c r="Z1343" s="110"/>
      <c r="AA1343" s="110"/>
      <c r="AB1343" s="46"/>
      <c r="AC1343" s="78"/>
      <c r="AD1343" s="78"/>
      <c r="AE1343" s="100">
        <f t="shared" ref="AE1343:AE1348" si="1944">N1343/F1343</f>
        <v>1.5285126396237508E-2</v>
      </c>
      <c r="AF1343" s="90"/>
      <c r="AG1343" s="109">
        <f t="shared" ref="AG1343:AG1348" si="1945">IF(N1343&lt;0,N1343,0)</f>
        <v>0</v>
      </c>
      <c r="AH1343" s="100">
        <f t="shared" ref="AH1343:AH1348" si="1946">(S1343-F1343)/F1343</f>
        <v>-1</v>
      </c>
      <c r="AI1343" s="100">
        <f t="shared" ref="AI1343:AI1348" si="1947">(W1343-F1343)/F1343</f>
        <v>-1</v>
      </c>
    </row>
    <row r="1344" spans="1:35" s="47" customFormat="1" ht="21" customHeight="1" x14ac:dyDescent="0.3">
      <c r="A1344" s="78"/>
      <c r="B1344" s="106" t="s">
        <v>53</v>
      </c>
      <c r="C1344" s="107" t="s">
        <v>663</v>
      </c>
      <c r="D1344" s="305"/>
      <c r="E1344" s="133" t="s">
        <v>658</v>
      </c>
      <c r="F1344" s="66">
        <f>1701</f>
        <v>1701</v>
      </c>
      <c r="G1344" s="66"/>
      <c r="H1344" s="66"/>
      <c r="I1344" s="66"/>
      <c r="J1344" s="66"/>
      <c r="K1344" s="78"/>
      <c r="L1344" s="66">
        <v>1683</v>
      </c>
      <c r="M1344" s="66">
        <f>35+1683</f>
        <v>1718</v>
      </c>
      <c r="N1344" s="110">
        <f t="shared" si="1940"/>
        <v>17</v>
      </c>
      <c r="O1344" s="110"/>
      <c r="P1344" s="121"/>
      <c r="Q1344" s="123"/>
      <c r="R1344" s="66"/>
      <c r="S1344" s="66"/>
      <c r="T1344" s="110">
        <f t="shared" si="1941"/>
        <v>0</v>
      </c>
      <c r="U1344" s="59">
        <f t="shared" si="1942"/>
        <v>1718</v>
      </c>
      <c r="V1344" s="66"/>
      <c r="W1344" s="66"/>
      <c r="X1344" s="110">
        <f t="shared" si="1943"/>
        <v>-1718</v>
      </c>
      <c r="Y1344" s="110"/>
      <c r="Z1344" s="110"/>
      <c r="AA1344" s="110"/>
      <c r="AB1344" s="46"/>
      <c r="AC1344" s="78"/>
      <c r="AD1344" s="78"/>
      <c r="AE1344" s="100">
        <f t="shared" si="1944"/>
        <v>9.9941211052322169E-3</v>
      </c>
      <c r="AF1344" s="90"/>
      <c r="AG1344" s="109">
        <f t="shared" si="1945"/>
        <v>0</v>
      </c>
      <c r="AH1344" s="100">
        <f t="shared" si="1946"/>
        <v>-1</v>
      </c>
      <c r="AI1344" s="100">
        <f t="shared" si="1947"/>
        <v>-1</v>
      </c>
    </row>
    <row r="1345" spans="1:35" s="47" customFormat="1" ht="21" customHeight="1" x14ac:dyDescent="0.3">
      <c r="A1345" s="78"/>
      <c r="B1345" s="106" t="s">
        <v>53</v>
      </c>
      <c r="C1345" s="107" t="s">
        <v>663</v>
      </c>
      <c r="D1345" s="305"/>
      <c r="E1345" s="133" t="s">
        <v>659</v>
      </c>
      <c r="F1345" s="66">
        <f>1701</f>
        <v>1701</v>
      </c>
      <c r="G1345" s="66"/>
      <c r="H1345" s="66"/>
      <c r="I1345" s="66"/>
      <c r="J1345" s="66"/>
      <c r="K1345" s="78"/>
      <c r="L1345" s="66"/>
      <c r="M1345" s="66">
        <f>35+1683</f>
        <v>1718</v>
      </c>
      <c r="N1345" s="110">
        <f t="shared" si="1940"/>
        <v>17</v>
      </c>
      <c r="O1345" s="110"/>
      <c r="P1345" s="121"/>
      <c r="Q1345" s="123"/>
      <c r="R1345" s="66"/>
      <c r="S1345" s="66"/>
      <c r="T1345" s="110">
        <f t="shared" si="1941"/>
        <v>0</v>
      </c>
      <c r="U1345" s="59">
        <f t="shared" si="1942"/>
        <v>1718</v>
      </c>
      <c r="V1345" s="66"/>
      <c r="W1345" s="66"/>
      <c r="X1345" s="110">
        <f t="shared" si="1943"/>
        <v>-1718</v>
      </c>
      <c r="Y1345" s="110"/>
      <c r="Z1345" s="110"/>
      <c r="AA1345" s="110"/>
      <c r="AB1345" s="46"/>
      <c r="AC1345" s="78"/>
      <c r="AD1345" s="78"/>
      <c r="AE1345" s="100">
        <f t="shared" si="1944"/>
        <v>9.9941211052322169E-3</v>
      </c>
      <c r="AF1345" s="90"/>
      <c r="AG1345" s="109">
        <f t="shared" si="1945"/>
        <v>0</v>
      </c>
      <c r="AH1345" s="100">
        <f t="shared" si="1946"/>
        <v>-1</v>
      </c>
      <c r="AI1345" s="100">
        <f t="shared" si="1947"/>
        <v>-1</v>
      </c>
    </row>
    <row r="1346" spans="1:35" s="47" customFormat="1" ht="21" customHeight="1" x14ac:dyDescent="0.3">
      <c r="A1346" s="78"/>
      <c r="B1346" s="106" t="s">
        <v>53</v>
      </c>
      <c r="C1346" s="107" t="s">
        <v>663</v>
      </c>
      <c r="D1346" s="305"/>
      <c r="E1346" s="133" t="s">
        <v>199</v>
      </c>
      <c r="F1346" s="66">
        <f>1701+81</f>
        <v>1782</v>
      </c>
      <c r="G1346" s="66"/>
      <c r="H1346" s="66"/>
      <c r="I1346" s="66"/>
      <c r="J1346" s="66"/>
      <c r="K1346" s="78"/>
      <c r="L1346" s="66">
        <v>109</v>
      </c>
      <c r="M1346" s="66">
        <f>1035+666+109</f>
        <v>1810</v>
      </c>
      <c r="N1346" s="110">
        <f t="shared" si="1940"/>
        <v>28</v>
      </c>
      <c r="O1346" s="110"/>
      <c r="P1346" s="121"/>
      <c r="Q1346" s="123"/>
      <c r="R1346" s="66"/>
      <c r="S1346" s="66"/>
      <c r="T1346" s="110">
        <f t="shared" si="1941"/>
        <v>0</v>
      </c>
      <c r="U1346" s="59">
        <f t="shared" si="1942"/>
        <v>1810</v>
      </c>
      <c r="V1346" s="66"/>
      <c r="W1346" s="66"/>
      <c r="X1346" s="110">
        <f t="shared" si="1943"/>
        <v>-1810</v>
      </c>
      <c r="Y1346" s="110"/>
      <c r="Z1346" s="110"/>
      <c r="AA1346" s="110"/>
      <c r="AB1346" s="46"/>
      <c r="AC1346" s="78"/>
      <c r="AD1346" s="78"/>
      <c r="AE1346" s="100">
        <f t="shared" si="1944"/>
        <v>1.5712682379349047E-2</v>
      </c>
      <c r="AF1346" s="90"/>
      <c r="AG1346" s="109">
        <f t="shared" si="1945"/>
        <v>0</v>
      </c>
      <c r="AH1346" s="100">
        <f t="shared" si="1946"/>
        <v>-1</v>
      </c>
      <c r="AI1346" s="100">
        <f t="shared" si="1947"/>
        <v>-1</v>
      </c>
    </row>
    <row r="1347" spans="1:35" s="47" customFormat="1" ht="21" customHeight="1" x14ac:dyDescent="0.3">
      <c r="A1347" s="78"/>
      <c r="B1347" s="106" t="s">
        <v>53</v>
      </c>
      <c r="C1347" s="107" t="s">
        <v>663</v>
      </c>
      <c r="D1347" s="305"/>
      <c r="E1347" s="133" t="s">
        <v>5</v>
      </c>
      <c r="F1347" s="66">
        <f>81</f>
        <v>81</v>
      </c>
      <c r="G1347" s="66"/>
      <c r="H1347" s="66"/>
      <c r="I1347" s="66"/>
      <c r="J1347" s="66"/>
      <c r="K1347" s="78"/>
      <c r="L1347" s="66"/>
      <c r="M1347" s="66"/>
      <c r="N1347" s="110">
        <f t="shared" si="1940"/>
        <v>-81</v>
      </c>
      <c r="O1347" s="110"/>
      <c r="P1347" s="121"/>
      <c r="Q1347" s="123"/>
      <c r="R1347" s="66"/>
      <c r="S1347" s="66"/>
      <c r="T1347" s="110">
        <f t="shared" si="1941"/>
        <v>0</v>
      </c>
      <c r="U1347" s="59">
        <f t="shared" si="1942"/>
        <v>0</v>
      </c>
      <c r="V1347" s="66"/>
      <c r="W1347" s="66"/>
      <c r="X1347" s="110">
        <f t="shared" si="1943"/>
        <v>0</v>
      </c>
      <c r="Y1347" s="110"/>
      <c r="Z1347" s="110"/>
      <c r="AA1347" s="110"/>
      <c r="AB1347" s="46"/>
      <c r="AC1347" s="78"/>
      <c r="AD1347" s="78"/>
      <c r="AE1347" s="100">
        <f t="shared" si="1944"/>
        <v>-1</v>
      </c>
      <c r="AF1347" s="90"/>
      <c r="AG1347" s="109">
        <f t="shared" si="1945"/>
        <v>-81</v>
      </c>
      <c r="AH1347" s="100">
        <f t="shared" si="1946"/>
        <v>-1</v>
      </c>
      <c r="AI1347" s="100">
        <f t="shared" si="1947"/>
        <v>-1</v>
      </c>
    </row>
    <row r="1348" spans="1:35" s="47" customFormat="1" ht="21" customHeight="1" x14ac:dyDescent="0.3">
      <c r="A1348" s="78"/>
      <c r="B1348" s="106" t="s">
        <v>53</v>
      </c>
      <c r="C1348" s="107" t="s">
        <v>663</v>
      </c>
      <c r="D1348" s="305"/>
      <c r="E1348" s="133" t="s">
        <v>660</v>
      </c>
      <c r="F1348" s="66">
        <f>81</f>
        <v>81</v>
      </c>
      <c r="G1348" s="66"/>
      <c r="H1348" s="66"/>
      <c r="I1348" s="66"/>
      <c r="J1348" s="66"/>
      <c r="K1348" s="78"/>
      <c r="L1348" s="66"/>
      <c r="M1348" s="66"/>
      <c r="N1348" s="110">
        <f t="shared" si="1940"/>
        <v>-81</v>
      </c>
      <c r="O1348" s="110"/>
      <c r="P1348" s="121"/>
      <c r="Q1348" s="123"/>
      <c r="R1348" s="66"/>
      <c r="S1348" s="66"/>
      <c r="T1348" s="110">
        <f t="shared" si="1941"/>
        <v>0</v>
      </c>
      <c r="U1348" s="59">
        <f t="shared" si="1942"/>
        <v>0</v>
      </c>
      <c r="V1348" s="66"/>
      <c r="W1348" s="66"/>
      <c r="X1348" s="110">
        <f t="shared" si="1943"/>
        <v>0</v>
      </c>
      <c r="Y1348" s="110"/>
      <c r="Z1348" s="110"/>
      <c r="AA1348" s="110"/>
      <c r="AB1348" s="46"/>
      <c r="AC1348" s="78"/>
      <c r="AD1348" s="78"/>
      <c r="AE1348" s="100">
        <f t="shared" si="1944"/>
        <v>-1</v>
      </c>
      <c r="AF1348" s="90"/>
      <c r="AG1348" s="109">
        <f t="shared" si="1945"/>
        <v>-81</v>
      </c>
      <c r="AH1348" s="100">
        <f t="shared" si="1946"/>
        <v>-1</v>
      </c>
      <c r="AI1348" s="100">
        <f t="shared" si="1947"/>
        <v>-1</v>
      </c>
    </row>
    <row r="1349" spans="1:35" s="47" customFormat="1" ht="21" customHeight="1" x14ac:dyDescent="0.3">
      <c r="A1349" s="78"/>
      <c r="B1349" s="106" t="s">
        <v>53</v>
      </c>
      <c r="C1349" s="107" t="s">
        <v>663</v>
      </c>
      <c r="D1349" s="305"/>
      <c r="E1349" s="133" t="s">
        <v>180</v>
      </c>
      <c r="F1349" s="66">
        <f>81</f>
        <v>81</v>
      </c>
      <c r="G1349" s="66"/>
      <c r="H1349" s="66"/>
      <c r="I1349" s="66"/>
      <c r="J1349" s="66"/>
      <c r="K1349" s="78"/>
      <c r="L1349" s="66"/>
      <c r="M1349" s="66"/>
      <c r="N1349" s="110">
        <f t="shared" si="1932"/>
        <v>-81</v>
      </c>
      <c r="O1349" s="110"/>
      <c r="P1349" s="121"/>
      <c r="Q1349" s="123"/>
      <c r="R1349" s="66"/>
      <c r="S1349" s="66"/>
      <c r="T1349" s="110">
        <f t="shared" si="1933"/>
        <v>0</v>
      </c>
      <c r="U1349" s="59">
        <f t="shared" si="1934"/>
        <v>0</v>
      </c>
      <c r="V1349" s="66"/>
      <c r="W1349" s="66"/>
      <c r="X1349" s="110">
        <f t="shared" si="1935"/>
        <v>0</v>
      </c>
      <c r="Y1349" s="110"/>
      <c r="Z1349" s="110"/>
      <c r="AA1349" s="110"/>
      <c r="AB1349" s="46"/>
      <c r="AC1349" s="78"/>
      <c r="AD1349" s="78"/>
      <c r="AE1349" s="100">
        <f t="shared" si="1936"/>
        <v>-1</v>
      </c>
      <c r="AF1349" s="90"/>
      <c r="AG1349" s="109">
        <f t="shared" si="1937"/>
        <v>-81</v>
      </c>
      <c r="AH1349" s="100">
        <f t="shared" si="1938"/>
        <v>-1</v>
      </c>
      <c r="AI1349" s="100">
        <f t="shared" si="1939"/>
        <v>-1</v>
      </c>
    </row>
    <row r="1350" spans="1:35" s="47" customFormat="1" ht="21" customHeight="1" x14ac:dyDescent="0.3">
      <c r="A1350" s="78"/>
      <c r="B1350" s="106" t="s">
        <v>53</v>
      </c>
      <c r="C1350" s="107" t="s">
        <v>663</v>
      </c>
      <c r="D1350" s="305"/>
      <c r="E1350" s="133" t="s">
        <v>575</v>
      </c>
      <c r="F1350" s="66">
        <f>81</f>
        <v>81</v>
      </c>
      <c r="G1350" s="66"/>
      <c r="H1350" s="66"/>
      <c r="I1350" s="66"/>
      <c r="J1350" s="66"/>
      <c r="K1350" s="78"/>
      <c r="L1350" s="66"/>
      <c r="M1350" s="66"/>
      <c r="N1350" s="110">
        <f t="shared" si="1932"/>
        <v>-81</v>
      </c>
      <c r="O1350" s="110"/>
      <c r="P1350" s="121"/>
      <c r="Q1350" s="123"/>
      <c r="R1350" s="66"/>
      <c r="S1350" s="66"/>
      <c r="T1350" s="110">
        <f t="shared" si="1933"/>
        <v>0</v>
      </c>
      <c r="U1350" s="59">
        <f t="shared" si="1934"/>
        <v>0</v>
      </c>
      <c r="V1350" s="66"/>
      <c r="W1350" s="66"/>
      <c r="X1350" s="110">
        <f t="shared" si="1935"/>
        <v>0</v>
      </c>
      <c r="Y1350" s="110"/>
      <c r="Z1350" s="110"/>
      <c r="AA1350" s="110"/>
      <c r="AB1350" s="46"/>
      <c r="AC1350" s="78"/>
      <c r="AD1350" s="78"/>
      <c r="AE1350" s="100">
        <f t="shared" si="1936"/>
        <v>-1</v>
      </c>
      <c r="AF1350" s="90"/>
      <c r="AG1350" s="109">
        <f t="shared" si="1937"/>
        <v>-81</v>
      </c>
      <c r="AH1350" s="100">
        <f t="shared" si="1938"/>
        <v>-1</v>
      </c>
      <c r="AI1350" s="100">
        <f t="shared" si="1939"/>
        <v>-1</v>
      </c>
    </row>
    <row r="1351" spans="1:35" s="47" customFormat="1" ht="21" customHeight="1" x14ac:dyDescent="0.3">
      <c r="A1351" s="78"/>
      <c r="B1351" s="106" t="s">
        <v>53</v>
      </c>
      <c r="C1351" s="107" t="s">
        <v>663</v>
      </c>
      <c r="D1351" s="305"/>
      <c r="E1351" s="133" t="s">
        <v>257</v>
      </c>
      <c r="F1351" s="66">
        <f>81+81</f>
        <v>162</v>
      </c>
      <c r="G1351" s="66"/>
      <c r="H1351" s="66"/>
      <c r="I1351" s="66"/>
      <c r="J1351" s="66"/>
      <c r="K1351" s="78"/>
      <c r="L1351" s="66"/>
      <c r="M1351" s="66"/>
      <c r="N1351" s="110">
        <f t="shared" si="1916"/>
        <v>-162</v>
      </c>
      <c r="O1351" s="110"/>
      <c r="P1351" s="121"/>
      <c r="Q1351" s="123"/>
      <c r="R1351" s="66"/>
      <c r="S1351" s="66"/>
      <c r="T1351" s="110">
        <f t="shared" si="1917"/>
        <v>0</v>
      </c>
      <c r="U1351" s="59">
        <f t="shared" si="1918"/>
        <v>0</v>
      </c>
      <c r="V1351" s="66"/>
      <c r="W1351" s="66"/>
      <c r="X1351" s="110">
        <f t="shared" si="1919"/>
        <v>0</v>
      </c>
      <c r="Y1351" s="110"/>
      <c r="Z1351" s="110"/>
      <c r="AA1351" s="110"/>
      <c r="AB1351" s="46"/>
      <c r="AC1351" s="78"/>
      <c r="AD1351" s="78"/>
      <c r="AE1351" s="100">
        <f t="shared" si="1920"/>
        <v>-1</v>
      </c>
      <c r="AF1351" s="90"/>
      <c r="AG1351" s="109">
        <f t="shared" si="1921"/>
        <v>-162</v>
      </c>
      <c r="AH1351" s="100">
        <f t="shared" si="1922"/>
        <v>-1</v>
      </c>
      <c r="AI1351" s="100">
        <f t="shared" si="1923"/>
        <v>-1</v>
      </c>
    </row>
    <row r="1352" spans="1:35" s="47" customFormat="1" ht="21" customHeight="1" x14ac:dyDescent="0.3">
      <c r="A1352" s="78"/>
      <c r="B1352" s="106" t="s">
        <v>53</v>
      </c>
      <c r="C1352" s="107" t="s">
        <v>663</v>
      </c>
      <c r="D1352" s="305"/>
      <c r="E1352" s="133" t="s">
        <v>661</v>
      </c>
      <c r="F1352" s="66">
        <f>81</f>
        <v>81</v>
      </c>
      <c r="G1352" s="66"/>
      <c r="H1352" s="66"/>
      <c r="I1352" s="66"/>
      <c r="J1352" s="66"/>
      <c r="K1352" s="78"/>
      <c r="L1352" s="66"/>
      <c r="M1352" s="66"/>
      <c r="N1352" s="110">
        <f t="shared" ref="N1352" si="1948">M1352-F1352</f>
        <v>-81</v>
      </c>
      <c r="O1352" s="110"/>
      <c r="P1352" s="121"/>
      <c r="Q1352" s="123"/>
      <c r="R1352" s="66"/>
      <c r="S1352" s="66"/>
      <c r="T1352" s="110">
        <f t="shared" ref="T1352" si="1949">S1352-Q1352</f>
        <v>0</v>
      </c>
      <c r="U1352" s="59">
        <f t="shared" ref="U1352" si="1950">IF(Q1352&gt;0,S1352-W1352,M1352-W1352)</f>
        <v>0</v>
      </c>
      <c r="V1352" s="66"/>
      <c r="W1352" s="66"/>
      <c r="X1352" s="110">
        <f t="shared" ref="X1352" si="1951">W1352-M1352</f>
        <v>0</v>
      </c>
      <c r="Y1352" s="110"/>
      <c r="Z1352" s="110"/>
      <c r="AA1352" s="110"/>
      <c r="AB1352" s="46"/>
      <c r="AC1352" s="78"/>
      <c r="AD1352" s="78"/>
      <c r="AE1352" s="100">
        <f t="shared" ref="AE1352" si="1952">N1352/F1352</f>
        <v>-1</v>
      </c>
      <c r="AF1352" s="90"/>
      <c r="AG1352" s="109">
        <f t="shared" ref="AG1352" si="1953">IF(N1352&lt;0,N1352,0)</f>
        <v>-81</v>
      </c>
      <c r="AH1352" s="100">
        <f t="shared" ref="AH1352" si="1954">(S1352-F1352)/F1352</f>
        <v>-1</v>
      </c>
      <c r="AI1352" s="100">
        <f t="shared" ref="AI1352" si="1955">(W1352-F1352)/F1352</f>
        <v>-1</v>
      </c>
    </row>
    <row r="1353" spans="1:35" s="47" customFormat="1" ht="21" customHeight="1" x14ac:dyDescent="0.3">
      <c r="A1353" s="78"/>
      <c r="B1353" s="106" t="s">
        <v>53</v>
      </c>
      <c r="C1353" s="107" t="s">
        <v>663</v>
      </c>
      <c r="D1353" s="305"/>
      <c r="E1353" s="133" t="s">
        <v>662</v>
      </c>
      <c r="F1353" s="66">
        <f>81</f>
        <v>81</v>
      </c>
      <c r="G1353" s="66"/>
      <c r="H1353" s="66"/>
      <c r="I1353" s="66"/>
      <c r="J1353" s="66"/>
      <c r="K1353" s="78"/>
      <c r="L1353" s="66"/>
      <c r="M1353" s="66"/>
      <c r="N1353" s="110">
        <f t="shared" ref="N1353" si="1956">M1353-F1353</f>
        <v>-81</v>
      </c>
      <c r="O1353" s="110"/>
      <c r="P1353" s="121"/>
      <c r="Q1353" s="123"/>
      <c r="R1353" s="66"/>
      <c r="S1353" s="66"/>
      <c r="T1353" s="110">
        <f t="shared" ref="T1353" si="1957">S1353-Q1353</f>
        <v>0</v>
      </c>
      <c r="U1353" s="59">
        <f t="shared" ref="U1353" si="1958">IF(Q1353&gt;0,S1353-W1353,M1353-W1353)</f>
        <v>0</v>
      </c>
      <c r="V1353" s="66"/>
      <c r="W1353" s="66"/>
      <c r="X1353" s="110">
        <f t="shared" ref="X1353" si="1959">W1353-M1353</f>
        <v>0</v>
      </c>
      <c r="Y1353" s="110"/>
      <c r="Z1353" s="110"/>
      <c r="AA1353" s="110"/>
      <c r="AB1353" s="46"/>
      <c r="AC1353" s="78"/>
      <c r="AD1353" s="78"/>
      <c r="AE1353" s="100">
        <f t="shared" ref="AE1353" si="1960">N1353/F1353</f>
        <v>-1</v>
      </c>
      <c r="AF1353" s="90"/>
      <c r="AG1353" s="109">
        <f t="shared" ref="AG1353" si="1961">IF(N1353&lt;0,N1353,0)</f>
        <v>-81</v>
      </c>
      <c r="AH1353" s="100">
        <f t="shared" ref="AH1353" si="1962">(S1353-F1353)/F1353</f>
        <v>-1</v>
      </c>
      <c r="AI1353" s="100">
        <f t="shared" ref="AI1353" si="1963">(W1353-F1353)/F1353</f>
        <v>-1</v>
      </c>
    </row>
    <row r="1354" spans="1:35" s="47" customFormat="1" ht="21" customHeight="1" x14ac:dyDescent="0.3">
      <c r="A1354" s="78"/>
      <c r="B1354" s="106" t="s">
        <v>53</v>
      </c>
      <c r="C1354" s="107" t="s">
        <v>663</v>
      </c>
      <c r="D1354" s="305"/>
      <c r="E1354" s="133" t="s">
        <v>0</v>
      </c>
      <c r="F1354" s="66">
        <v>81</v>
      </c>
      <c r="G1354" s="66"/>
      <c r="H1354" s="66"/>
      <c r="I1354" s="66"/>
      <c r="J1354" s="66"/>
      <c r="K1354" s="78"/>
      <c r="L1354" s="66"/>
      <c r="M1354" s="66"/>
      <c r="N1354" s="110">
        <f t="shared" si="1916"/>
        <v>-81</v>
      </c>
      <c r="O1354" s="110"/>
      <c r="P1354" s="121"/>
      <c r="Q1354" s="123"/>
      <c r="R1354" s="66"/>
      <c r="S1354" s="66"/>
      <c r="T1354" s="110">
        <f t="shared" si="1917"/>
        <v>0</v>
      </c>
      <c r="U1354" s="59">
        <f t="shared" si="1918"/>
        <v>0</v>
      </c>
      <c r="V1354" s="66"/>
      <c r="W1354" s="66"/>
      <c r="X1354" s="110">
        <f t="shared" si="1919"/>
        <v>0</v>
      </c>
      <c r="Y1354" s="110"/>
      <c r="Z1354" s="110"/>
      <c r="AA1354" s="110"/>
      <c r="AB1354" s="46"/>
      <c r="AC1354" s="78"/>
      <c r="AD1354" s="78"/>
      <c r="AE1354" s="100">
        <f t="shared" si="1920"/>
        <v>-1</v>
      </c>
      <c r="AF1354" s="90"/>
      <c r="AG1354" s="109">
        <f t="shared" si="1921"/>
        <v>-81</v>
      </c>
      <c r="AH1354" s="100">
        <f t="shared" si="1922"/>
        <v>-1</v>
      </c>
      <c r="AI1354" s="100">
        <f t="shared" si="1923"/>
        <v>-1</v>
      </c>
    </row>
    <row r="1355" spans="1:35" s="79" customFormat="1" ht="15.75" customHeight="1" x14ac:dyDescent="0.3">
      <c r="A1355" s="90" t="s">
        <v>46</v>
      </c>
      <c r="B1355" s="136" t="s">
        <v>53</v>
      </c>
      <c r="C1355" s="137"/>
      <c r="D1355" s="136"/>
      <c r="E1355" s="138"/>
      <c r="F1355" s="91">
        <f>SUM(F1332:F1354)</f>
        <v>10125</v>
      </c>
      <c r="G1355" s="91"/>
      <c r="H1355" s="91"/>
      <c r="I1355" s="91"/>
      <c r="J1355" s="91" t="s">
        <v>58</v>
      </c>
      <c r="K1355" s="65" t="s">
        <v>410</v>
      </c>
      <c r="L1355" s="91">
        <f>SUM(L1332:L1354)</f>
        <v>1792</v>
      </c>
      <c r="M1355" s="91">
        <f>SUM(M1332:M1354)</f>
        <v>6973</v>
      </c>
      <c r="N1355" s="91">
        <f>SUM(N1332:N1354)</f>
        <v>-3152</v>
      </c>
      <c r="O1355" s="91"/>
      <c r="P1355" s="91">
        <f>SUM(P1332:P1354)</f>
        <v>0</v>
      </c>
      <c r="Q1355" s="91">
        <f>SUM(Q1332:Q1354)</f>
        <v>0</v>
      </c>
      <c r="R1355" s="91">
        <f>SUM(R1332:R1354)</f>
        <v>0</v>
      </c>
      <c r="S1355" s="91">
        <f>SUM(S1332:S1354)</f>
        <v>0</v>
      </c>
      <c r="T1355" s="91">
        <f>SUM(T1332:T1354)</f>
        <v>0</v>
      </c>
      <c r="U1355" s="59">
        <f t="shared" si="1918"/>
        <v>6973</v>
      </c>
      <c r="V1355" s="91">
        <f>SUM(V1332:V1354)</f>
        <v>0</v>
      </c>
      <c r="W1355" s="91">
        <f>SUM(W1332:W1354)</f>
        <v>0</v>
      </c>
      <c r="X1355" s="91">
        <f>SUM(X1332:X1354)</f>
        <v>-6973</v>
      </c>
      <c r="Y1355" s="136"/>
      <c r="Z1355" s="136"/>
      <c r="AA1355" s="136"/>
      <c r="AB1355" s="84"/>
      <c r="AC1355" s="90"/>
      <c r="AD1355" s="90"/>
      <c r="AE1355" s="100">
        <f t="shared" si="1920"/>
        <v>-0.31130864197530866</v>
      </c>
      <c r="AF1355" s="90"/>
      <c r="AG1355" s="109">
        <f t="shared" si="1921"/>
        <v>-3152</v>
      </c>
      <c r="AH1355" s="100">
        <f t="shared" si="1922"/>
        <v>-1</v>
      </c>
      <c r="AI1355" s="100">
        <f t="shared" si="1923"/>
        <v>-1</v>
      </c>
    </row>
    <row r="1356" spans="1:35" s="47" customFormat="1" ht="21" customHeight="1" x14ac:dyDescent="0.3">
      <c r="A1356" s="78"/>
      <c r="B1356" s="106" t="s">
        <v>53</v>
      </c>
      <c r="C1356" s="107" t="s">
        <v>1032</v>
      </c>
      <c r="D1356" s="304">
        <v>22036392</v>
      </c>
      <c r="E1356" s="133" t="s">
        <v>49</v>
      </c>
      <c r="F1356" s="66">
        <v>1116</v>
      </c>
      <c r="G1356" s="66"/>
      <c r="H1356" s="66"/>
      <c r="I1356" s="66"/>
      <c r="J1356" s="66"/>
      <c r="K1356" s="78"/>
      <c r="L1356" s="66"/>
      <c r="M1356" s="66"/>
      <c r="N1356" s="110">
        <f t="shared" ref="N1356:N1357" si="1964">M1356-F1356</f>
        <v>-1116</v>
      </c>
      <c r="O1356" s="110"/>
      <c r="P1356" s="123"/>
      <c r="Q1356" s="123"/>
      <c r="R1356" s="66"/>
      <c r="S1356" s="66"/>
      <c r="T1356" s="110">
        <f t="shared" ref="T1356:T1357" si="1965">S1356-Q1356</f>
        <v>0</v>
      </c>
      <c r="U1356" s="59">
        <f t="shared" si="1918"/>
        <v>0</v>
      </c>
      <c r="V1356" s="66"/>
      <c r="W1356" s="66"/>
      <c r="X1356" s="110">
        <f t="shared" ref="X1356:X1357" si="1966">W1356-M1356</f>
        <v>0</v>
      </c>
      <c r="Y1356" s="110"/>
      <c r="Z1356" s="110"/>
      <c r="AA1356" s="110"/>
      <c r="AB1356" s="46"/>
      <c r="AC1356" s="78"/>
      <c r="AD1356" s="78"/>
      <c r="AE1356" s="100">
        <f t="shared" si="1920"/>
        <v>-1</v>
      </c>
      <c r="AF1356" s="90"/>
      <c r="AG1356" s="109">
        <f t="shared" si="1921"/>
        <v>-1116</v>
      </c>
      <c r="AH1356" s="100">
        <f t="shared" si="1922"/>
        <v>-1</v>
      </c>
      <c r="AI1356" s="100">
        <f t="shared" si="1923"/>
        <v>-1</v>
      </c>
    </row>
    <row r="1357" spans="1:35" s="47" customFormat="1" ht="21" customHeight="1" x14ac:dyDescent="0.3">
      <c r="A1357" s="78"/>
      <c r="B1357" s="106" t="s">
        <v>53</v>
      </c>
      <c r="C1357" s="107" t="s">
        <v>1032</v>
      </c>
      <c r="D1357" s="305"/>
      <c r="E1357" s="133" t="s">
        <v>130</v>
      </c>
      <c r="F1357" s="66">
        <v>776</v>
      </c>
      <c r="G1357" s="66"/>
      <c r="H1357" s="66"/>
      <c r="I1357" s="66"/>
      <c r="J1357" s="66"/>
      <c r="K1357" s="78"/>
      <c r="L1357" s="66"/>
      <c r="M1357" s="66"/>
      <c r="N1357" s="110">
        <f t="shared" si="1964"/>
        <v>-776</v>
      </c>
      <c r="O1357" s="110"/>
      <c r="P1357" s="121"/>
      <c r="Q1357" s="123"/>
      <c r="R1357" s="66"/>
      <c r="S1357" s="66"/>
      <c r="T1357" s="110">
        <f t="shared" si="1965"/>
        <v>0</v>
      </c>
      <c r="U1357" s="59">
        <f t="shared" si="1918"/>
        <v>0</v>
      </c>
      <c r="V1357" s="66"/>
      <c r="W1357" s="66"/>
      <c r="X1357" s="110">
        <f t="shared" si="1966"/>
        <v>0</v>
      </c>
      <c r="Y1357" s="110"/>
      <c r="Z1357" s="110"/>
      <c r="AA1357" s="110"/>
      <c r="AB1357" s="46"/>
      <c r="AC1357" s="78"/>
      <c r="AD1357" s="78"/>
      <c r="AE1357" s="100">
        <f t="shared" si="1920"/>
        <v>-1</v>
      </c>
      <c r="AF1357" s="90"/>
      <c r="AG1357" s="109">
        <f t="shared" si="1921"/>
        <v>-776</v>
      </c>
      <c r="AH1357" s="100">
        <f t="shared" si="1922"/>
        <v>-1</v>
      </c>
      <c r="AI1357" s="100">
        <f t="shared" si="1923"/>
        <v>-1</v>
      </c>
    </row>
    <row r="1358" spans="1:35" s="79" customFormat="1" ht="15.75" customHeight="1" x14ac:dyDescent="0.3">
      <c r="A1358" s="90" t="s">
        <v>46</v>
      </c>
      <c r="B1358" s="136" t="s">
        <v>53</v>
      </c>
      <c r="C1358" s="137"/>
      <c r="D1358" s="136"/>
      <c r="E1358" s="138"/>
      <c r="F1358" s="91">
        <f>SUM(F1356:F1357)</f>
        <v>1892</v>
      </c>
      <c r="G1358" s="91"/>
      <c r="H1358" s="91"/>
      <c r="I1358" s="91"/>
      <c r="J1358" s="91"/>
      <c r="K1358" s="65" t="s">
        <v>410</v>
      </c>
      <c r="L1358" s="91">
        <f>SUM(L1356:L1357)</f>
        <v>0</v>
      </c>
      <c r="M1358" s="91">
        <f>SUM(M1356:M1357)</f>
        <v>0</v>
      </c>
      <c r="N1358" s="91">
        <f>SUM(N1356:N1357)</f>
        <v>-1892</v>
      </c>
      <c r="O1358" s="91"/>
      <c r="P1358" s="91">
        <f>SUM(P1356:P1357)</f>
        <v>0</v>
      </c>
      <c r="Q1358" s="91">
        <f>SUM(Q1356:Q1357)</f>
        <v>0</v>
      </c>
      <c r="R1358" s="91">
        <f>SUM(R1356:R1357)</f>
        <v>0</v>
      </c>
      <c r="S1358" s="91">
        <f>SUM(S1356:S1357)</f>
        <v>0</v>
      </c>
      <c r="T1358" s="91">
        <f>SUM(T1356:T1357)</f>
        <v>0</v>
      </c>
      <c r="U1358" s="59">
        <f t="shared" si="1918"/>
        <v>0</v>
      </c>
      <c r="V1358" s="91">
        <f>SUM(V1356:V1357)</f>
        <v>0</v>
      </c>
      <c r="W1358" s="91">
        <f>SUM(W1356:W1357)</f>
        <v>0</v>
      </c>
      <c r="X1358" s="91">
        <f>SUM(X1356:X1357)</f>
        <v>0</v>
      </c>
      <c r="Y1358" s="136"/>
      <c r="Z1358" s="136"/>
      <c r="AA1358" s="136"/>
      <c r="AB1358" s="84"/>
      <c r="AC1358" s="90"/>
      <c r="AD1358" s="90"/>
      <c r="AE1358" s="100">
        <f t="shared" si="1920"/>
        <v>-1</v>
      </c>
      <c r="AF1358" s="90"/>
      <c r="AG1358" s="109">
        <f t="shared" si="1921"/>
        <v>-1892</v>
      </c>
      <c r="AH1358" s="100">
        <f t="shared" si="1922"/>
        <v>-1</v>
      </c>
      <c r="AI1358" s="100">
        <f t="shared" si="1923"/>
        <v>-1</v>
      </c>
    </row>
    <row r="1359" spans="1:35" s="47" customFormat="1" ht="21" customHeight="1" x14ac:dyDescent="0.3">
      <c r="A1359" s="78"/>
      <c r="B1359" s="106" t="s">
        <v>53</v>
      </c>
      <c r="C1359" s="107">
        <v>48146</v>
      </c>
      <c r="D1359" s="304">
        <v>22036387</v>
      </c>
      <c r="E1359" s="133" t="s">
        <v>97</v>
      </c>
      <c r="F1359" s="66">
        <v>3063</v>
      </c>
      <c r="G1359" s="66"/>
      <c r="H1359" s="66"/>
      <c r="I1359" s="66"/>
      <c r="J1359" s="66"/>
      <c r="K1359" s="78"/>
      <c r="L1359" s="66"/>
      <c r="M1359" s="66"/>
      <c r="N1359" s="110">
        <f t="shared" ref="N1359:N1361" si="1967">M1359-F1359</f>
        <v>-3063</v>
      </c>
      <c r="O1359" s="110"/>
      <c r="P1359" s="123"/>
      <c r="Q1359" s="123"/>
      <c r="R1359" s="66"/>
      <c r="S1359" s="66"/>
      <c r="T1359" s="110">
        <f t="shared" ref="T1359:T1361" si="1968">S1359-Q1359</f>
        <v>0</v>
      </c>
      <c r="U1359" s="59">
        <f t="shared" ref="U1359:U1362" si="1969">IF(Q1359&gt;0,S1359-W1359,M1359-W1359)</f>
        <v>0</v>
      </c>
      <c r="V1359" s="66"/>
      <c r="W1359" s="66"/>
      <c r="X1359" s="110">
        <f t="shared" ref="X1359:X1361" si="1970">W1359-M1359</f>
        <v>0</v>
      </c>
      <c r="Y1359" s="110"/>
      <c r="Z1359" s="110"/>
      <c r="AA1359" s="110"/>
      <c r="AB1359" s="46"/>
      <c r="AC1359" s="78"/>
      <c r="AD1359" s="78"/>
      <c r="AE1359" s="100">
        <f t="shared" ref="AE1359:AE1362" si="1971">N1359/F1359</f>
        <v>-1</v>
      </c>
      <c r="AF1359" s="90"/>
      <c r="AG1359" s="109">
        <f t="shared" ref="AG1359:AG1362" si="1972">IF(N1359&lt;0,N1359,0)</f>
        <v>-3063</v>
      </c>
      <c r="AH1359" s="100">
        <f t="shared" ref="AH1359:AH1362" si="1973">(S1359-F1359)/F1359</f>
        <v>-1</v>
      </c>
      <c r="AI1359" s="100">
        <f t="shared" ref="AI1359:AI1362" si="1974">(W1359-F1359)/F1359</f>
        <v>-1</v>
      </c>
    </row>
    <row r="1360" spans="1:35" s="47" customFormat="1" ht="21" customHeight="1" x14ac:dyDescent="0.3">
      <c r="A1360" s="78"/>
      <c r="B1360" s="106" t="s">
        <v>53</v>
      </c>
      <c r="C1360" s="107">
        <v>48146</v>
      </c>
      <c r="D1360" s="305"/>
      <c r="E1360" s="133" t="s">
        <v>134</v>
      </c>
      <c r="F1360" s="66">
        <v>3023</v>
      </c>
      <c r="G1360" s="66"/>
      <c r="H1360" s="66"/>
      <c r="I1360" s="66"/>
      <c r="J1360" s="66"/>
      <c r="K1360" s="78"/>
      <c r="L1360" s="66"/>
      <c r="M1360" s="66"/>
      <c r="N1360" s="110">
        <f t="shared" si="1967"/>
        <v>-3023</v>
      </c>
      <c r="O1360" s="110"/>
      <c r="P1360" s="121"/>
      <c r="Q1360" s="123"/>
      <c r="R1360" s="66"/>
      <c r="S1360" s="66"/>
      <c r="T1360" s="110">
        <f t="shared" si="1968"/>
        <v>0</v>
      </c>
      <c r="U1360" s="59">
        <f t="shared" si="1969"/>
        <v>0</v>
      </c>
      <c r="V1360" s="66"/>
      <c r="W1360" s="66"/>
      <c r="X1360" s="110">
        <f t="shared" si="1970"/>
        <v>0</v>
      </c>
      <c r="Y1360" s="110"/>
      <c r="Z1360" s="110"/>
      <c r="AA1360" s="110"/>
      <c r="AB1360" s="46"/>
      <c r="AC1360" s="78"/>
      <c r="AD1360" s="78"/>
      <c r="AE1360" s="100">
        <f t="shared" si="1971"/>
        <v>-1</v>
      </c>
      <c r="AF1360" s="90"/>
      <c r="AG1360" s="109">
        <f t="shared" si="1972"/>
        <v>-3023</v>
      </c>
      <c r="AH1360" s="100">
        <f t="shared" si="1973"/>
        <v>-1</v>
      </c>
      <c r="AI1360" s="100">
        <f t="shared" si="1974"/>
        <v>-1</v>
      </c>
    </row>
    <row r="1361" spans="1:35" s="47" customFormat="1" ht="21" customHeight="1" x14ac:dyDescent="0.3">
      <c r="A1361" s="78"/>
      <c r="B1361" s="106" t="s">
        <v>53</v>
      </c>
      <c r="C1361" s="107">
        <v>48146</v>
      </c>
      <c r="D1361" s="305"/>
      <c r="E1361" s="133" t="s">
        <v>0</v>
      </c>
      <c r="F1361" s="66">
        <v>953</v>
      </c>
      <c r="G1361" s="66"/>
      <c r="H1361" s="66"/>
      <c r="I1361" s="66"/>
      <c r="J1361" s="66"/>
      <c r="K1361" s="78"/>
      <c r="L1361" s="66"/>
      <c r="M1361" s="66"/>
      <c r="N1361" s="110">
        <f t="shared" si="1967"/>
        <v>-953</v>
      </c>
      <c r="O1361" s="110"/>
      <c r="P1361" s="121"/>
      <c r="Q1361" s="123"/>
      <c r="R1361" s="66"/>
      <c r="S1361" s="66"/>
      <c r="T1361" s="110">
        <f t="shared" si="1968"/>
        <v>0</v>
      </c>
      <c r="U1361" s="59">
        <f t="shared" si="1969"/>
        <v>0</v>
      </c>
      <c r="V1361" s="66"/>
      <c r="W1361" s="66"/>
      <c r="X1361" s="110">
        <f t="shared" si="1970"/>
        <v>0</v>
      </c>
      <c r="Y1361" s="110"/>
      <c r="Z1361" s="110"/>
      <c r="AA1361" s="110"/>
      <c r="AB1361" s="46"/>
      <c r="AC1361" s="78"/>
      <c r="AD1361" s="78"/>
      <c r="AE1361" s="100">
        <f t="shared" si="1971"/>
        <v>-1</v>
      </c>
      <c r="AF1361" s="90"/>
      <c r="AG1361" s="109">
        <f t="shared" si="1972"/>
        <v>-953</v>
      </c>
      <c r="AH1361" s="100">
        <f t="shared" si="1973"/>
        <v>-1</v>
      </c>
      <c r="AI1361" s="100">
        <f t="shared" si="1974"/>
        <v>-1</v>
      </c>
    </row>
    <row r="1362" spans="1:35" s="79" customFormat="1" ht="15.75" customHeight="1" x14ac:dyDescent="0.3">
      <c r="A1362" s="90" t="s">
        <v>46</v>
      </c>
      <c r="B1362" s="136" t="s">
        <v>53</v>
      </c>
      <c r="C1362" s="137"/>
      <c r="D1362" s="136"/>
      <c r="E1362" s="138"/>
      <c r="F1362" s="91">
        <f>SUM(F1359:F1361)</f>
        <v>7039</v>
      </c>
      <c r="G1362" s="91"/>
      <c r="H1362" s="91"/>
      <c r="I1362" s="91"/>
      <c r="J1362" s="91"/>
      <c r="K1362" s="65" t="s">
        <v>1033</v>
      </c>
      <c r="L1362" s="91">
        <f>SUM(L1359:L1361)</f>
        <v>0</v>
      </c>
      <c r="M1362" s="91">
        <f>SUM(M1359:M1361)</f>
        <v>0</v>
      </c>
      <c r="N1362" s="91">
        <f>SUM(N1359:N1361)</f>
        <v>-7039</v>
      </c>
      <c r="O1362" s="91"/>
      <c r="P1362" s="91">
        <f>SUM(P1359:P1361)</f>
        <v>0</v>
      </c>
      <c r="Q1362" s="91">
        <f>SUM(Q1359:Q1361)</f>
        <v>0</v>
      </c>
      <c r="R1362" s="91">
        <f>SUM(R1359:R1361)</f>
        <v>0</v>
      </c>
      <c r="S1362" s="91">
        <f>SUM(S1359:S1361)</f>
        <v>0</v>
      </c>
      <c r="T1362" s="91">
        <f>SUM(T1359:T1361)</f>
        <v>0</v>
      </c>
      <c r="U1362" s="59">
        <f t="shared" si="1969"/>
        <v>0</v>
      </c>
      <c r="V1362" s="91">
        <f>SUM(V1359:V1361)</f>
        <v>0</v>
      </c>
      <c r="W1362" s="91">
        <f>SUM(W1359:W1361)</f>
        <v>0</v>
      </c>
      <c r="X1362" s="91">
        <f>SUM(X1359:X1361)</f>
        <v>0</v>
      </c>
      <c r="Y1362" s="136"/>
      <c r="Z1362" s="136"/>
      <c r="AA1362" s="136"/>
      <c r="AB1362" s="84"/>
      <c r="AC1362" s="90"/>
      <c r="AD1362" s="90"/>
      <c r="AE1362" s="100">
        <f t="shared" si="1971"/>
        <v>-1</v>
      </c>
      <c r="AF1362" s="90"/>
      <c r="AG1362" s="109">
        <f t="shared" si="1972"/>
        <v>-7039</v>
      </c>
      <c r="AH1362" s="100">
        <f t="shared" si="1973"/>
        <v>-1</v>
      </c>
      <c r="AI1362" s="100">
        <f t="shared" si="1974"/>
        <v>-1</v>
      </c>
    </row>
    <row r="1363" spans="1:35" s="47" customFormat="1" ht="21" customHeight="1" x14ac:dyDescent="0.3">
      <c r="A1363" s="78"/>
      <c r="B1363" s="106" t="s">
        <v>53</v>
      </c>
      <c r="C1363" s="107">
        <v>48152</v>
      </c>
      <c r="D1363" s="304">
        <v>22028694</v>
      </c>
      <c r="E1363" s="133" t="s">
        <v>49</v>
      </c>
      <c r="F1363" s="66">
        <v>1064</v>
      </c>
      <c r="G1363" s="66"/>
      <c r="H1363" s="66"/>
      <c r="I1363" s="66"/>
      <c r="J1363" s="66"/>
      <c r="K1363" s="78"/>
      <c r="L1363" s="66"/>
      <c r="M1363" s="66"/>
      <c r="N1363" s="110">
        <f t="shared" ref="N1363:N1365" si="1975">M1363-F1363</f>
        <v>-1064</v>
      </c>
      <c r="O1363" s="110"/>
      <c r="P1363" s="123"/>
      <c r="Q1363" s="123"/>
      <c r="R1363" s="66"/>
      <c r="S1363" s="66"/>
      <c r="T1363" s="110">
        <f t="shared" ref="T1363:T1365" si="1976">S1363-Q1363</f>
        <v>0</v>
      </c>
      <c r="U1363" s="59">
        <f t="shared" si="1918"/>
        <v>0</v>
      </c>
      <c r="V1363" s="66"/>
      <c r="W1363" s="66"/>
      <c r="X1363" s="110">
        <f t="shared" ref="X1363:X1365" si="1977">W1363-M1363</f>
        <v>0</v>
      </c>
      <c r="Y1363" s="110"/>
      <c r="Z1363" s="110"/>
      <c r="AA1363" s="110"/>
      <c r="AB1363" s="46"/>
      <c r="AC1363" s="78"/>
      <c r="AD1363" s="78"/>
      <c r="AE1363" s="100">
        <f t="shared" si="1920"/>
        <v>-1</v>
      </c>
      <c r="AF1363" s="90"/>
      <c r="AG1363" s="109">
        <f t="shared" si="1921"/>
        <v>-1064</v>
      </c>
      <c r="AH1363" s="100">
        <f t="shared" si="1922"/>
        <v>-1</v>
      </c>
      <c r="AI1363" s="100">
        <f t="shared" si="1923"/>
        <v>-1</v>
      </c>
    </row>
    <row r="1364" spans="1:35" s="47" customFormat="1" ht="21" customHeight="1" x14ac:dyDescent="0.3">
      <c r="A1364" s="78"/>
      <c r="B1364" s="106" t="s">
        <v>53</v>
      </c>
      <c r="C1364" s="107">
        <v>48152</v>
      </c>
      <c r="D1364" s="305"/>
      <c r="E1364" s="133" t="s">
        <v>134</v>
      </c>
      <c r="F1364" s="66">
        <v>1064</v>
      </c>
      <c r="G1364" s="66"/>
      <c r="H1364" s="66"/>
      <c r="I1364" s="66"/>
      <c r="J1364" s="66"/>
      <c r="K1364" s="78"/>
      <c r="L1364" s="66"/>
      <c r="M1364" s="66"/>
      <c r="N1364" s="110">
        <f t="shared" si="1975"/>
        <v>-1064</v>
      </c>
      <c r="O1364" s="110"/>
      <c r="P1364" s="121"/>
      <c r="Q1364" s="123"/>
      <c r="R1364" s="66"/>
      <c r="S1364" s="66"/>
      <c r="T1364" s="110">
        <f t="shared" si="1976"/>
        <v>0</v>
      </c>
      <c r="U1364" s="59">
        <f t="shared" si="1918"/>
        <v>0</v>
      </c>
      <c r="V1364" s="66"/>
      <c r="W1364" s="66"/>
      <c r="X1364" s="110">
        <f t="shared" si="1977"/>
        <v>0</v>
      </c>
      <c r="Y1364" s="110"/>
      <c r="Z1364" s="110"/>
      <c r="AA1364" s="110"/>
      <c r="AB1364" s="46"/>
      <c r="AC1364" s="78"/>
      <c r="AD1364" s="78"/>
      <c r="AE1364" s="100">
        <f t="shared" si="1920"/>
        <v>-1</v>
      </c>
      <c r="AF1364" s="90"/>
      <c r="AG1364" s="109">
        <f t="shared" si="1921"/>
        <v>-1064</v>
      </c>
      <c r="AH1364" s="100">
        <f t="shared" si="1922"/>
        <v>-1</v>
      </c>
      <c r="AI1364" s="100">
        <f t="shared" si="1923"/>
        <v>-1</v>
      </c>
    </row>
    <row r="1365" spans="1:35" s="47" customFormat="1" ht="21" customHeight="1" x14ac:dyDescent="0.3">
      <c r="A1365" s="78"/>
      <c r="B1365" s="106" t="s">
        <v>53</v>
      </c>
      <c r="C1365" s="107">
        <v>48152</v>
      </c>
      <c r="D1365" s="305"/>
      <c r="E1365" s="133" t="s">
        <v>0</v>
      </c>
      <c r="F1365" s="66">
        <v>1064</v>
      </c>
      <c r="G1365" s="66"/>
      <c r="H1365" s="66"/>
      <c r="I1365" s="66"/>
      <c r="J1365" s="66"/>
      <c r="K1365" s="78"/>
      <c r="L1365" s="66"/>
      <c r="M1365" s="66"/>
      <c r="N1365" s="110">
        <f t="shared" si="1975"/>
        <v>-1064</v>
      </c>
      <c r="O1365" s="110"/>
      <c r="P1365" s="121"/>
      <c r="Q1365" s="123"/>
      <c r="R1365" s="66"/>
      <c r="S1365" s="66"/>
      <c r="T1365" s="110">
        <f t="shared" si="1976"/>
        <v>0</v>
      </c>
      <c r="U1365" s="59">
        <f t="shared" si="1918"/>
        <v>0</v>
      </c>
      <c r="V1365" s="66"/>
      <c r="W1365" s="66"/>
      <c r="X1365" s="110">
        <f t="shared" si="1977"/>
        <v>0</v>
      </c>
      <c r="Y1365" s="110"/>
      <c r="Z1365" s="110"/>
      <c r="AA1365" s="110"/>
      <c r="AB1365" s="46"/>
      <c r="AC1365" s="78"/>
      <c r="AD1365" s="78"/>
      <c r="AE1365" s="100">
        <f t="shared" si="1920"/>
        <v>-1</v>
      </c>
      <c r="AF1365" s="90"/>
      <c r="AG1365" s="109">
        <f t="shared" si="1921"/>
        <v>-1064</v>
      </c>
      <c r="AH1365" s="100">
        <f t="shared" si="1922"/>
        <v>-1</v>
      </c>
      <c r="AI1365" s="100">
        <f t="shared" si="1923"/>
        <v>-1</v>
      </c>
    </row>
    <row r="1366" spans="1:35" s="79" customFormat="1" ht="15.75" customHeight="1" x14ac:dyDescent="0.3">
      <c r="A1366" s="90" t="s">
        <v>46</v>
      </c>
      <c r="B1366" s="136" t="s">
        <v>53</v>
      </c>
      <c r="C1366" s="137"/>
      <c r="D1366" s="136"/>
      <c r="E1366" s="138"/>
      <c r="F1366" s="91">
        <f>SUM(F1363:F1365)</f>
        <v>3192</v>
      </c>
      <c r="G1366" s="91"/>
      <c r="H1366" s="91"/>
      <c r="I1366" s="91"/>
      <c r="J1366" s="91"/>
      <c r="K1366" s="65" t="s">
        <v>410</v>
      </c>
      <c r="L1366" s="91">
        <f>SUM(L1363:L1365)</f>
        <v>0</v>
      </c>
      <c r="M1366" s="91">
        <f>SUM(M1363:M1365)</f>
        <v>0</v>
      </c>
      <c r="N1366" s="91">
        <f>SUM(N1363:N1365)</f>
        <v>-3192</v>
      </c>
      <c r="O1366" s="91"/>
      <c r="P1366" s="91">
        <f>SUM(P1363:P1365)</f>
        <v>0</v>
      </c>
      <c r="Q1366" s="91">
        <f>SUM(Q1363:Q1365)</f>
        <v>0</v>
      </c>
      <c r="R1366" s="91">
        <f>SUM(R1363:R1365)</f>
        <v>0</v>
      </c>
      <c r="S1366" s="91">
        <f>SUM(S1363:S1365)</f>
        <v>0</v>
      </c>
      <c r="T1366" s="91">
        <f>SUM(T1363:T1365)</f>
        <v>0</v>
      </c>
      <c r="U1366" s="59">
        <f t="shared" si="1918"/>
        <v>0</v>
      </c>
      <c r="V1366" s="91">
        <f>SUM(V1363:V1365)</f>
        <v>0</v>
      </c>
      <c r="W1366" s="91">
        <f>SUM(W1363:W1365)</f>
        <v>0</v>
      </c>
      <c r="X1366" s="91">
        <f>SUM(X1363:X1365)</f>
        <v>0</v>
      </c>
      <c r="Y1366" s="136"/>
      <c r="Z1366" s="136"/>
      <c r="AA1366" s="136"/>
      <c r="AB1366" s="84"/>
      <c r="AC1366" s="90"/>
      <c r="AD1366" s="90"/>
      <c r="AE1366" s="100">
        <f t="shared" si="1920"/>
        <v>-1</v>
      </c>
      <c r="AF1366" s="90"/>
      <c r="AG1366" s="109">
        <f t="shared" si="1921"/>
        <v>-3192</v>
      </c>
      <c r="AH1366" s="100">
        <f t="shared" si="1922"/>
        <v>-1</v>
      </c>
      <c r="AI1366" s="100">
        <f t="shared" si="1923"/>
        <v>-1</v>
      </c>
    </row>
    <row r="1367" spans="1:35" s="47" customFormat="1" ht="21" customHeight="1" x14ac:dyDescent="0.3">
      <c r="A1367" s="78"/>
      <c r="B1367" s="106" t="s">
        <v>53</v>
      </c>
      <c r="C1367" s="107">
        <v>48193</v>
      </c>
      <c r="D1367" s="304">
        <v>22040861</v>
      </c>
      <c r="E1367" s="133" t="s">
        <v>97</v>
      </c>
      <c r="F1367" s="66">
        <v>201</v>
      </c>
      <c r="G1367" s="66"/>
      <c r="H1367" s="66"/>
      <c r="I1367" s="66"/>
      <c r="J1367" s="66"/>
      <c r="K1367" s="78"/>
      <c r="L1367" s="66"/>
      <c r="M1367" s="66"/>
      <c r="N1367" s="110">
        <f t="shared" ref="N1367:N1369" si="1978">M1367-F1367</f>
        <v>-201</v>
      </c>
      <c r="O1367" s="110"/>
      <c r="P1367" s="123"/>
      <c r="Q1367" s="123"/>
      <c r="R1367" s="66"/>
      <c r="S1367" s="66"/>
      <c r="T1367" s="110">
        <f t="shared" ref="T1367:T1369" si="1979">S1367-Q1367</f>
        <v>0</v>
      </c>
      <c r="U1367" s="59">
        <f t="shared" si="1799"/>
        <v>0</v>
      </c>
      <c r="V1367" s="66"/>
      <c r="W1367" s="66"/>
      <c r="X1367" s="110">
        <f t="shared" ref="X1367:X1369" si="1980">W1367-M1367</f>
        <v>0</v>
      </c>
      <c r="Y1367" s="110"/>
      <c r="Z1367" s="110"/>
      <c r="AA1367" s="110"/>
      <c r="AB1367" s="46"/>
      <c r="AC1367" s="78"/>
      <c r="AD1367" s="78"/>
      <c r="AE1367" s="100">
        <f t="shared" si="1861"/>
        <v>-1</v>
      </c>
      <c r="AF1367" s="90"/>
      <c r="AG1367" s="109">
        <f t="shared" si="1862"/>
        <v>-201</v>
      </c>
      <c r="AH1367" s="100">
        <f t="shared" si="1863"/>
        <v>-1</v>
      </c>
      <c r="AI1367" s="100">
        <f t="shared" si="1864"/>
        <v>-1</v>
      </c>
    </row>
    <row r="1368" spans="1:35" s="47" customFormat="1" ht="21" customHeight="1" x14ac:dyDescent="0.3">
      <c r="A1368" s="78"/>
      <c r="B1368" s="106" t="s">
        <v>53</v>
      </c>
      <c r="C1368" s="107">
        <v>48193</v>
      </c>
      <c r="D1368" s="305"/>
      <c r="E1368" s="133" t="s">
        <v>39</v>
      </c>
      <c r="F1368" s="66">
        <v>156</v>
      </c>
      <c r="G1368" s="66"/>
      <c r="H1368" s="66"/>
      <c r="I1368" s="66"/>
      <c r="J1368" s="66"/>
      <c r="K1368" s="78"/>
      <c r="L1368" s="66"/>
      <c r="M1368" s="66"/>
      <c r="N1368" s="110">
        <f t="shared" ref="N1368" si="1981">M1368-F1368</f>
        <v>-156</v>
      </c>
      <c r="O1368" s="110"/>
      <c r="P1368" s="121"/>
      <c r="Q1368" s="123"/>
      <c r="R1368" s="66"/>
      <c r="S1368" s="66"/>
      <c r="T1368" s="110">
        <f t="shared" ref="T1368" si="1982">S1368-Q1368</f>
        <v>0</v>
      </c>
      <c r="U1368" s="59">
        <f t="shared" ref="U1368" si="1983">IF(Q1368&gt;0,S1368-W1368,M1368-W1368)</f>
        <v>0</v>
      </c>
      <c r="V1368" s="66"/>
      <c r="W1368" s="66"/>
      <c r="X1368" s="110">
        <f t="shared" ref="X1368" si="1984">W1368-M1368</f>
        <v>0</v>
      </c>
      <c r="Y1368" s="110"/>
      <c r="Z1368" s="110"/>
      <c r="AA1368" s="110"/>
      <c r="AB1368" s="46"/>
      <c r="AC1368" s="78"/>
      <c r="AD1368" s="78"/>
      <c r="AE1368" s="100">
        <f t="shared" ref="AE1368" si="1985">N1368/F1368</f>
        <v>-1</v>
      </c>
      <c r="AF1368" s="90"/>
      <c r="AG1368" s="109">
        <f t="shared" ref="AG1368" si="1986">IF(N1368&lt;0,N1368,0)</f>
        <v>-156</v>
      </c>
      <c r="AH1368" s="100">
        <f t="shared" ref="AH1368" si="1987">(S1368-F1368)/F1368</f>
        <v>-1</v>
      </c>
      <c r="AI1368" s="100">
        <f t="shared" ref="AI1368" si="1988">(W1368-F1368)/F1368</f>
        <v>-1</v>
      </c>
    </row>
    <row r="1369" spans="1:35" s="47" customFormat="1" ht="21" customHeight="1" x14ac:dyDescent="0.3">
      <c r="A1369" s="78"/>
      <c r="B1369" s="106" t="s">
        <v>53</v>
      </c>
      <c r="C1369" s="107">
        <v>48193</v>
      </c>
      <c r="D1369" s="305"/>
      <c r="E1369" s="133" t="s">
        <v>0</v>
      </c>
      <c r="F1369" s="66">
        <v>186</v>
      </c>
      <c r="G1369" s="66"/>
      <c r="H1369" s="66"/>
      <c r="I1369" s="66"/>
      <c r="J1369" s="66"/>
      <c r="K1369" s="78"/>
      <c r="L1369" s="66"/>
      <c r="M1369" s="66"/>
      <c r="N1369" s="110">
        <f t="shared" si="1978"/>
        <v>-186</v>
      </c>
      <c r="O1369" s="110"/>
      <c r="P1369" s="121"/>
      <c r="Q1369" s="123"/>
      <c r="R1369" s="66"/>
      <c r="S1369" s="66"/>
      <c r="T1369" s="110">
        <f t="shared" si="1979"/>
        <v>0</v>
      </c>
      <c r="U1369" s="59">
        <f t="shared" si="1799"/>
        <v>0</v>
      </c>
      <c r="V1369" s="66"/>
      <c r="W1369" s="66"/>
      <c r="X1369" s="110">
        <f t="shared" si="1980"/>
        <v>0</v>
      </c>
      <c r="Y1369" s="110"/>
      <c r="Z1369" s="110"/>
      <c r="AA1369" s="110"/>
      <c r="AB1369" s="46"/>
      <c r="AC1369" s="78"/>
      <c r="AD1369" s="78"/>
      <c r="AE1369" s="100">
        <f t="shared" si="1861"/>
        <v>-1</v>
      </c>
      <c r="AF1369" s="90"/>
      <c r="AG1369" s="109">
        <f t="shared" si="1862"/>
        <v>-186</v>
      </c>
      <c r="AH1369" s="100">
        <f t="shared" si="1863"/>
        <v>-1</v>
      </c>
      <c r="AI1369" s="100">
        <f t="shared" si="1864"/>
        <v>-1</v>
      </c>
    </row>
    <row r="1370" spans="1:35" s="79" customFormat="1" ht="15.75" customHeight="1" x14ac:dyDescent="0.3">
      <c r="A1370" s="90" t="s">
        <v>46</v>
      </c>
      <c r="B1370" s="136" t="s">
        <v>53</v>
      </c>
      <c r="C1370" s="137"/>
      <c r="D1370" s="136"/>
      <c r="E1370" s="138"/>
      <c r="F1370" s="91">
        <f>SUM(F1367:F1369)</f>
        <v>543</v>
      </c>
      <c r="G1370" s="91"/>
      <c r="H1370" s="91"/>
      <c r="I1370" s="91"/>
      <c r="J1370" s="91"/>
      <c r="K1370" s="65" t="s">
        <v>617</v>
      </c>
      <c r="L1370" s="91">
        <f>SUM(L1367:L1369)</f>
        <v>0</v>
      </c>
      <c r="M1370" s="91">
        <f>SUM(M1367:M1369)</f>
        <v>0</v>
      </c>
      <c r="N1370" s="91">
        <f>SUM(N1367:N1369)</f>
        <v>-543</v>
      </c>
      <c r="O1370" s="91"/>
      <c r="P1370" s="91">
        <f>SUM(P1367:P1369)</f>
        <v>0</v>
      </c>
      <c r="Q1370" s="91">
        <f>SUM(Q1367:Q1369)</f>
        <v>0</v>
      </c>
      <c r="R1370" s="91">
        <f>SUM(R1367:R1369)</f>
        <v>0</v>
      </c>
      <c r="S1370" s="91">
        <f>SUM(S1367:S1369)</f>
        <v>0</v>
      </c>
      <c r="T1370" s="91">
        <f>SUM(T1367:T1369)</f>
        <v>0</v>
      </c>
      <c r="U1370" s="59">
        <f t="shared" si="1799"/>
        <v>0</v>
      </c>
      <c r="V1370" s="91">
        <f>SUM(V1367:V1369)</f>
        <v>0</v>
      </c>
      <c r="W1370" s="91">
        <f>SUM(W1367:W1369)</f>
        <v>0</v>
      </c>
      <c r="X1370" s="91">
        <f>SUM(X1367:X1369)</f>
        <v>0</v>
      </c>
      <c r="Y1370" s="136" t="s">
        <v>47</v>
      </c>
      <c r="Z1370" s="136" t="s">
        <v>45</v>
      </c>
      <c r="AA1370" s="136"/>
      <c r="AB1370" s="84"/>
      <c r="AC1370" s="90"/>
      <c r="AD1370" s="90"/>
      <c r="AE1370" s="100">
        <f t="shared" si="1861"/>
        <v>-1</v>
      </c>
      <c r="AF1370" s="90"/>
      <c r="AG1370" s="109">
        <f t="shared" si="1862"/>
        <v>-543</v>
      </c>
      <c r="AH1370" s="100">
        <f t="shared" si="1863"/>
        <v>-1</v>
      </c>
      <c r="AI1370" s="100">
        <f t="shared" si="1864"/>
        <v>-1</v>
      </c>
    </row>
    <row r="1371" spans="1:35" s="47" customFormat="1" ht="21" customHeight="1" x14ac:dyDescent="0.3">
      <c r="A1371" s="78"/>
      <c r="B1371" s="106" t="s">
        <v>53</v>
      </c>
      <c r="C1371" s="107" t="s">
        <v>1006</v>
      </c>
      <c r="D1371" s="273">
        <v>22002973</v>
      </c>
      <c r="E1371" s="133" t="s">
        <v>0</v>
      </c>
      <c r="F1371" s="66">
        <v>2004</v>
      </c>
      <c r="G1371" s="66"/>
      <c r="H1371" s="66"/>
      <c r="I1371" s="66"/>
      <c r="J1371" s="66"/>
      <c r="K1371" s="78"/>
      <c r="L1371" s="66"/>
      <c r="M1371" s="66"/>
      <c r="N1371" s="110">
        <f t="shared" ref="N1371" si="1989">M1371-F1371</f>
        <v>-2004</v>
      </c>
      <c r="O1371" s="110"/>
      <c r="P1371" s="123"/>
      <c r="Q1371" s="123"/>
      <c r="R1371" s="66"/>
      <c r="S1371" s="66"/>
      <c r="T1371" s="110">
        <f t="shared" ref="T1371" si="1990">S1371-Q1371</f>
        <v>0</v>
      </c>
      <c r="U1371" s="59">
        <f t="shared" ref="U1371:U1372" si="1991">IF(Q1371&gt;0,S1371-W1371,M1371-W1371)</f>
        <v>0</v>
      </c>
      <c r="V1371" s="66"/>
      <c r="W1371" s="66"/>
      <c r="X1371" s="110">
        <f t="shared" ref="X1371" si="1992">W1371-M1371</f>
        <v>0</v>
      </c>
      <c r="Y1371" s="110"/>
      <c r="Z1371" s="110"/>
      <c r="AA1371" s="110"/>
      <c r="AB1371" s="46"/>
      <c r="AC1371" s="78"/>
      <c r="AD1371" s="78"/>
      <c r="AE1371" s="100">
        <f t="shared" si="1787"/>
        <v>-1</v>
      </c>
      <c r="AF1371" s="90"/>
      <c r="AG1371" s="109">
        <f t="shared" si="1788"/>
        <v>-2004</v>
      </c>
      <c r="AH1371" s="100">
        <f t="shared" si="1789"/>
        <v>-1</v>
      </c>
      <c r="AI1371" s="100">
        <f t="shared" si="1790"/>
        <v>-1</v>
      </c>
    </row>
    <row r="1372" spans="1:35" s="79" customFormat="1" ht="15.75" customHeight="1" x14ac:dyDescent="0.3">
      <c r="A1372" s="90" t="s">
        <v>46</v>
      </c>
      <c r="B1372" s="136" t="s">
        <v>53</v>
      </c>
      <c r="C1372" s="137"/>
      <c r="D1372" s="136"/>
      <c r="E1372" s="138"/>
      <c r="F1372" s="91">
        <f>SUM(F1371:F1371)</f>
        <v>2004</v>
      </c>
      <c r="G1372" s="91"/>
      <c r="H1372" s="91"/>
      <c r="I1372" s="91"/>
      <c r="J1372" s="91" t="s">
        <v>58</v>
      </c>
      <c r="K1372" s="65" t="s">
        <v>377</v>
      </c>
      <c r="L1372" s="91">
        <f>SUM(L1371:L1371)</f>
        <v>0</v>
      </c>
      <c r="M1372" s="91">
        <f>SUM(M1371:M1371)</f>
        <v>0</v>
      </c>
      <c r="N1372" s="91">
        <f>SUM(N1371:N1371)</f>
        <v>-2004</v>
      </c>
      <c r="O1372" s="91"/>
      <c r="P1372" s="91">
        <f>SUM(P1371:P1371)</f>
        <v>0</v>
      </c>
      <c r="Q1372" s="91">
        <f>SUM(Q1371:Q1371)</f>
        <v>0</v>
      </c>
      <c r="R1372" s="91">
        <f>SUM(R1371:R1371)</f>
        <v>0</v>
      </c>
      <c r="S1372" s="91">
        <f>SUM(S1371:S1371)</f>
        <v>0</v>
      </c>
      <c r="T1372" s="91">
        <f>SUM(T1371:T1371)</f>
        <v>0</v>
      </c>
      <c r="U1372" s="59">
        <f t="shared" si="1991"/>
        <v>0</v>
      </c>
      <c r="V1372" s="91">
        <f>SUM(V1371:V1371)</f>
        <v>0</v>
      </c>
      <c r="W1372" s="91">
        <f>SUM(W1371:W1371)</f>
        <v>0</v>
      </c>
      <c r="X1372" s="91">
        <f>SUM(X1371:X1371)</f>
        <v>0</v>
      </c>
      <c r="Y1372" s="136"/>
      <c r="Z1372" s="136"/>
      <c r="AA1372" s="136"/>
      <c r="AB1372" s="84"/>
      <c r="AC1372" s="90"/>
      <c r="AD1372" s="90"/>
      <c r="AE1372" s="100">
        <f t="shared" si="1787"/>
        <v>-1</v>
      </c>
      <c r="AF1372" s="90"/>
      <c r="AG1372" s="109">
        <f t="shared" si="1788"/>
        <v>-2004</v>
      </c>
      <c r="AH1372" s="100">
        <f t="shared" si="1789"/>
        <v>-1</v>
      </c>
      <c r="AI1372" s="100">
        <f t="shared" si="1790"/>
        <v>-1</v>
      </c>
    </row>
    <row r="1373" spans="1:35" s="47" customFormat="1" ht="21" customHeight="1" x14ac:dyDescent="0.3">
      <c r="A1373" s="78"/>
      <c r="B1373" s="106" t="s">
        <v>53</v>
      </c>
      <c r="C1373" s="107" t="s">
        <v>1014</v>
      </c>
      <c r="D1373" s="273">
        <v>22002973</v>
      </c>
      <c r="E1373" s="133" t="s">
        <v>5</v>
      </c>
      <c r="F1373" s="66">
        <v>1048</v>
      </c>
      <c r="G1373" s="66"/>
      <c r="H1373" s="66"/>
      <c r="I1373" s="66"/>
      <c r="J1373" s="66"/>
      <c r="K1373" s="78"/>
      <c r="L1373" s="66"/>
      <c r="M1373" s="66"/>
      <c r="N1373" s="110">
        <f t="shared" ref="N1373" si="1993">M1373-F1373</f>
        <v>-1048</v>
      </c>
      <c r="O1373" s="110"/>
      <c r="P1373" s="123"/>
      <c r="Q1373" s="123"/>
      <c r="R1373" s="66"/>
      <c r="S1373" s="66"/>
      <c r="T1373" s="110">
        <f t="shared" ref="T1373" si="1994">S1373-Q1373</f>
        <v>0</v>
      </c>
      <c r="U1373" s="59">
        <f t="shared" si="1799"/>
        <v>0</v>
      </c>
      <c r="V1373" s="66"/>
      <c r="W1373" s="66"/>
      <c r="X1373" s="110">
        <f t="shared" ref="X1373" si="1995">W1373-M1373</f>
        <v>0</v>
      </c>
      <c r="Y1373" s="110"/>
      <c r="Z1373" s="110"/>
      <c r="AA1373" s="110"/>
      <c r="AB1373" s="46"/>
      <c r="AC1373" s="78"/>
      <c r="AD1373" s="78"/>
      <c r="AE1373" s="100">
        <f t="shared" ref="AE1373:AE1390" si="1996">N1373/F1373</f>
        <v>-1</v>
      </c>
      <c r="AF1373" s="90"/>
      <c r="AG1373" s="109">
        <f t="shared" ref="AG1373:AG1390" si="1997">IF(N1373&lt;0,N1373,0)</f>
        <v>-1048</v>
      </c>
      <c r="AH1373" s="100">
        <f t="shared" ref="AH1373:AH1390" si="1998">(S1373-F1373)/F1373</f>
        <v>-1</v>
      </c>
      <c r="AI1373" s="100">
        <f t="shared" ref="AI1373:AI1390" si="1999">(W1373-F1373)/F1373</f>
        <v>-1</v>
      </c>
    </row>
    <row r="1374" spans="1:35" s="79" customFormat="1" ht="15.75" customHeight="1" x14ac:dyDescent="0.3">
      <c r="A1374" s="90" t="s">
        <v>46</v>
      </c>
      <c r="B1374" s="136" t="s">
        <v>53</v>
      </c>
      <c r="C1374" s="137"/>
      <c r="D1374" s="136"/>
      <c r="E1374" s="138"/>
      <c r="F1374" s="91">
        <f>SUM(F1373:F1373)</f>
        <v>1048</v>
      </c>
      <c r="G1374" s="91"/>
      <c r="H1374" s="91"/>
      <c r="I1374" s="91"/>
      <c r="J1374" s="91" t="s">
        <v>58</v>
      </c>
      <c r="K1374" s="65" t="s">
        <v>594</v>
      </c>
      <c r="L1374" s="91">
        <f>SUM(L1373:L1373)</f>
        <v>0</v>
      </c>
      <c r="M1374" s="91">
        <f>SUM(M1373:M1373)</f>
        <v>0</v>
      </c>
      <c r="N1374" s="91">
        <f>SUM(N1373:N1373)</f>
        <v>-1048</v>
      </c>
      <c r="O1374" s="91"/>
      <c r="P1374" s="91">
        <f>SUM(P1373:P1373)</f>
        <v>0</v>
      </c>
      <c r="Q1374" s="91">
        <f>SUM(Q1373:Q1373)</f>
        <v>0</v>
      </c>
      <c r="R1374" s="91">
        <f>SUM(R1373:R1373)</f>
        <v>0</v>
      </c>
      <c r="S1374" s="91">
        <f>SUM(S1373:S1373)</f>
        <v>0</v>
      </c>
      <c r="T1374" s="91">
        <f>SUM(T1373:T1373)</f>
        <v>0</v>
      </c>
      <c r="U1374" s="59">
        <f t="shared" si="1799"/>
        <v>0</v>
      </c>
      <c r="V1374" s="91">
        <f>SUM(V1373:V1373)</f>
        <v>0</v>
      </c>
      <c r="W1374" s="91">
        <f>SUM(W1373:W1373)</f>
        <v>0</v>
      </c>
      <c r="X1374" s="91">
        <f>SUM(X1373:X1373)</f>
        <v>0</v>
      </c>
      <c r="Y1374" s="136"/>
      <c r="Z1374" s="136"/>
      <c r="AA1374" s="136"/>
      <c r="AB1374" s="84"/>
      <c r="AC1374" s="90"/>
      <c r="AD1374" s="90"/>
      <c r="AE1374" s="100">
        <f t="shared" si="1996"/>
        <v>-1</v>
      </c>
      <c r="AF1374" s="90"/>
      <c r="AG1374" s="109">
        <f t="shared" si="1997"/>
        <v>-1048</v>
      </c>
      <c r="AH1374" s="100">
        <f t="shared" si="1998"/>
        <v>-1</v>
      </c>
      <c r="AI1374" s="100">
        <f t="shared" si="1999"/>
        <v>-1</v>
      </c>
    </row>
    <row r="1375" spans="1:35" s="47" customFormat="1" ht="21" customHeight="1" x14ac:dyDescent="0.3">
      <c r="A1375" s="78"/>
      <c r="B1375" s="106" t="s">
        <v>53</v>
      </c>
      <c r="C1375" s="107" t="s">
        <v>752</v>
      </c>
      <c r="D1375" s="201">
        <v>22029225</v>
      </c>
      <c r="E1375" s="133" t="s">
        <v>115</v>
      </c>
      <c r="F1375" s="92">
        <v>1008</v>
      </c>
      <c r="G1375" s="66"/>
      <c r="H1375" s="66"/>
      <c r="I1375" s="66"/>
      <c r="J1375" s="66"/>
      <c r="K1375" s="78"/>
      <c r="L1375" s="66"/>
      <c r="M1375" s="66">
        <f>500+454+76+7</f>
        <v>1037</v>
      </c>
      <c r="N1375" s="110">
        <f t="shared" ref="N1375" si="2000">M1375-F1375</f>
        <v>29</v>
      </c>
      <c r="O1375" s="110"/>
      <c r="P1375" s="123"/>
      <c r="Q1375" s="123"/>
      <c r="R1375" s="66"/>
      <c r="S1375" s="66"/>
      <c r="T1375" s="110">
        <f t="shared" ref="T1375" si="2001">S1375-Q1375</f>
        <v>0</v>
      </c>
      <c r="U1375" s="59">
        <f t="shared" si="1799"/>
        <v>0</v>
      </c>
      <c r="V1375" s="66"/>
      <c r="W1375" s="66">
        <v>1037</v>
      </c>
      <c r="X1375" s="110">
        <f t="shared" ref="X1375" si="2002">W1375-M1375</f>
        <v>0</v>
      </c>
      <c r="Y1375" s="110"/>
      <c r="Z1375" s="110"/>
      <c r="AA1375" s="110"/>
      <c r="AB1375" s="46"/>
      <c r="AC1375" s="78"/>
      <c r="AD1375" s="78"/>
      <c r="AE1375" s="100">
        <f t="shared" ref="AE1375:AE1376" si="2003">N1375/F1375</f>
        <v>2.8769841269841268E-2</v>
      </c>
      <c r="AF1375" s="90"/>
      <c r="AG1375" s="109">
        <f t="shared" ref="AG1375:AG1376" si="2004">IF(N1375&lt;0,N1375,0)</f>
        <v>0</v>
      </c>
      <c r="AH1375" s="100">
        <f t="shared" ref="AH1375:AH1376" si="2005">(S1375-F1375)/F1375</f>
        <v>-1</v>
      </c>
      <c r="AI1375" s="100">
        <f t="shared" ref="AI1375:AI1376" si="2006">(W1375-F1375)/F1375</f>
        <v>2.8769841269841268E-2</v>
      </c>
    </row>
    <row r="1376" spans="1:35" s="79" customFormat="1" ht="15.75" customHeight="1" x14ac:dyDescent="0.3">
      <c r="A1376" s="90" t="s">
        <v>46</v>
      </c>
      <c r="B1376" s="136" t="s">
        <v>53</v>
      </c>
      <c r="C1376" s="137"/>
      <c r="D1376" s="136"/>
      <c r="E1376" s="138"/>
      <c r="F1376" s="91">
        <f>SUM(F1375:F1375)</f>
        <v>1008</v>
      </c>
      <c r="G1376" s="91"/>
      <c r="H1376" s="91"/>
      <c r="I1376" s="91"/>
      <c r="J1376" s="91" t="s">
        <v>59</v>
      </c>
      <c r="K1376" s="65" t="s">
        <v>210</v>
      </c>
      <c r="L1376" s="91">
        <f>SUM(L1375:L1375)</f>
        <v>0</v>
      </c>
      <c r="M1376" s="91">
        <f>SUM(M1375:M1375)</f>
        <v>1037</v>
      </c>
      <c r="N1376" s="91">
        <f>SUM(N1375:N1375)</f>
        <v>29</v>
      </c>
      <c r="O1376" s="91"/>
      <c r="P1376" s="91">
        <f>SUM(P1375:P1375)</f>
        <v>0</v>
      </c>
      <c r="Q1376" s="91">
        <f>SUM(Q1375:Q1375)</f>
        <v>0</v>
      </c>
      <c r="R1376" s="91">
        <f>SUM(R1375:R1375)</f>
        <v>0</v>
      </c>
      <c r="S1376" s="91">
        <f>SUM(S1375:S1375)</f>
        <v>0</v>
      </c>
      <c r="T1376" s="91">
        <f>SUM(T1375:T1375)</f>
        <v>0</v>
      </c>
      <c r="U1376" s="59">
        <f t="shared" si="1799"/>
        <v>0</v>
      </c>
      <c r="V1376" s="91">
        <f>SUM(V1375:V1375)</f>
        <v>0</v>
      </c>
      <c r="W1376" s="91">
        <f>SUM(W1375:W1375)</f>
        <v>1037</v>
      </c>
      <c r="X1376" s="91">
        <f>SUM(X1375:X1375)</f>
        <v>0</v>
      </c>
      <c r="Y1376" s="136"/>
      <c r="Z1376" s="136"/>
      <c r="AA1376" s="136"/>
      <c r="AB1376" s="84"/>
      <c r="AC1376" s="90"/>
      <c r="AD1376" s="90"/>
      <c r="AE1376" s="100">
        <f t="shared" si="2003"/>
        <v>2.8769841269841268E-2</v>
      </c>
      <c r="AF1376" s="90"/>
      <c r="AG1376" s="109">
        <f t="shared" si="2004"/>
        <v>0</v>
      </c>
      <c r="AH1376" s="100">
        <f t="shared" si="2005"/>
        <v>-1</v>
      </c>
      <c r="AI1376" s="100">
        <f t="shared" si="2006"/>
        <v>2.8769841269841268E-2</v>
      </c>
    </row>
    <row r="1377" spans="1:35" s="47" customFormat="1" ht="21" customHeight="1" x14ac:dyDescent="0.3">
      <c r="A1377" s="78"/>
      <c r="B1377" s="106" t="s">
        <v>53</v>
      </c>
      <c r="C1377" s="107" t="s">
        <v>753</v>
      </c>
      <c r="D1377" s="250">
        <v>22029225</v>
      </c>
      <c r="E1377" s="187" t="s">
        <v>367</v>
      </c>
      <c r="F1377" s="92">
        <v>1208</v>
      </c>
      <c r="G1377" s="66"/>
      <c r="H1377" s="66"/>
      <c r="I1377" s="66"/>
      <c r="J1377" s="66"/>
      <c r="K1377" s="78"/>
      <c r="L1377" s="66"/>
      <c r="M1377" s="123"/>
      <c r="N1377" s="110">
        <f t="shared" ref="N1377" si="2007">M1377-F1377</f>
        <v>-1208</v>
      </c>
      <c r="O1377" s="110"/>
      <c r="P1377" s="123"/>
      <c r="Q1377" s="123"/>
      <c r="R1377" s="66"/>
      <c r="S1377" s="66"/>
      <c r="T1377" s="110">
        <f t="shared" ref="T1377" si="2008">S1377-Q1377</f>
        <v>0</v>
      </c>
      <c r="U1377" s="59">
        <f t="shared" ref="U1377:U1390" si="2009">IF(Q1377&gt;0,S1377-W1377,M1377-W1377)</f>
        <v>0</v>
      </c>
      <c r="V1377" s="66"/>
      <c r="W1377" s="66"/>
      <c r="X1377" s="110">
        <f t="shared" ref="X1377" si="2010">W1377-M1377</f>
        <v>0</v>
      </c>
      <c r="Y1377" s="110"/>
      <c r="Z1377" s="110"/>
      <c r="AA1377" s="110"/>
      <c r="AB1377" s="46"/>
      <c r="AC1377" s="78"/>
      <c r="AD1377" s="78"/>
      <c r="AE1377" s="100">
        <f t="shared" si="1996"/>
        <v>-1</v>
      </c>
      <c r="AF1377" s="90"/>
      <c r="AG1377" s="109">
        <f t="shared" si="1997"/>
        <v>-1208</v>
      </c>
      <c r="AH1377" s="100">
        <f t="shared" si="1998"/>
        <v>-1</v>
      </c>
      <c r="AI1377" s="100">
        <f t="shared" si="1999"/>
        <v>-1</v>
      </c>
    </row>
    <row r="1378" spans="1:35" s="79" customFormat="1" ht="15.75" customHeight="1" x14ac:dyDescent="0.3">
      <c r="A1378" s="90" t="s">
        <v>46</v>
      </c>
      <c r="B1378" s="136" t="s">
        <v>53</v>
      </c>
      <c r="C1378" s="137"/>
      <c r="D1378" s="136"/>
      <c r="E1378" s="138"/>
      <c r="F1378" s="91">
        <f>SUM(F1377:F1377)</f>
        <v>1208</v>
      </c>
      <c r="G1378" s="91"/>
      <c r="H1378" s="91"/>
      <c r="I1378" s="91"/>
      <c r="J1378" s="91" t="s">
        <v>59</v>
      </c>
      <c r="K1378" s="65" t="s">
        <v>594</v>
      </c>
      <c r="L1378" s="91">
        <f>SUM(L1377:L1377)</f>
        <v>0</v>
      </c>
      <c r="M1378" s="91">
        <f>SUM(M1377:M1377)</f>
        <v>0</v>
      </c>
      <c r="N1378" s="91">
        <f>SUM(N1377:N1377)</f>
        <v>-1208</v>
      </c>
      <c r="O1378" s="91"/>
      <c r="P1378" s="91">
        <f>SUM(P1377:P1377)</f>
        <v>0</v>
      </c>
      <c r="Q1378" s="91">
        <f>SUM(Q1377:Q1377)</f>
        <v>0</v>
      </c>
      <c r="R1378" s="91">
        <f>SUM(R1377:R1377)</f>
        <v>0</v>
      </c>
      <c r="S1378" s="91">
        <f>SUM(S1377:S1377)</f>
        <v>0</v>
      </c>
      <c r="T1378" s="91">
        <f>SUM(T1377:T1377)</f>
        <v>0</v>
      </c>
      <c r="U1378" s="59">
        <f t="shared" si="2009"/>
        <v>0</v>
      </c>
      <c r="V1378" s="91">
        <f>SUM(V1377:V1377)</f>
        <v>0</v>
      </c>
      <c r="W1378" s="91">
        <f>SUM(W1377:W1377)</f>
        <v>0</v>
      </c>
      <c r="X1378" s="91">
        <f>SUM(X1377:X1377)</f>
        <v>0</v>
      </c>
      <c r="Y1378" s="136"/>
      <c r="Z1378" s="136"/>
      <c r="AA1378" s="136"/>
      <c r="AB1378" s="84"/>
      <c r="AC1378" s="90"/>
      <c r="AD1378" s="90"/>
      <c r="AE1378" s="100">
        <f t="shared" si="1996"/>
        <v>-1</v>
      </c>
      <c r="AF1378" s="90"/>
      <c r="AG1378" s="109">
        <f t="shared" si="1997"/>
        <v>-1208</v>
      </c>
      <c r="AH1378" s="100">
        <f t="shared" si="1998"/>
        <v>-1</v>
      </c>
      <c r="AI1378" s="100">
        <f t="shared" si="1999"/>
        <v>-1</v>
      </c>
    </row>
    <row r="1379" spans="1:35" s="47" customFormat="1" ht="21" customHeight="1" x14ac:dyDescent="0.3">
      <c r="A1379" s="78"/>
      <c r="B1379" s="106" t="s">
        <v>53</v>
      </c>
      <c r="C1379" s="107" t="s">
        <v>370</v>
      </c>
      <c r="D1379" s="327">
        <v>22029225</v>
      </c>
      <c r="E1379" s="187" t="s">
        <v>371</v>
      </c>
      <c r="F1379" s="92">
        <v>590</v>
      </c>
      <c r="G1379" s="66"/>
      <c r="H1379" s="66"/>
      <c r="I1379" s="66"/>
      <c r="J1379" s="66"/>
      <c r="K1379" s="78"/>
      <c r="L1379" s="66"/>
      <c r="M1379" s="123">
        <f>204+392+16</f>
        <v>612</v>
      </c>
      <c r="N1379" s="110">
        <f t="shared" ref="N1379:N1383" si="2011">M1379-F1379</f>
        <v>22</v>
      </c>
      <c r="O1379" s="110"/>
      <c r="P1379" s="123"/>
      <c r="Q1379" s="123"/>
      <c r="R1379" s="66"/>
      <c r="S1379" s="66"/>
      <c r="T1379" s="110">
        <f t="shared" ref="T1379:T1383" si="2012">S1379-Q1379</f>
        <v>0</v>
      </c>
      <c r="U1379" s="59">
        <f t="shared" ref="U1379:U1384" si="2013">IF(Q1379&gt;0,S1379-W1379,M1379-W1379)</f>
        <v>0</v>
      </c>
      <c r="V1379" s="66"/>
      <c r="W1379" s="66">
        <v>612</v>
      </c>
      <c r="X1379" s="110">
        <f t="shared" ref="X1379:X1383" si="2014">W1379-M1379</f>
        <v>0</v>
      </c>
      <c r="Y1379" s="110"/>
      <c r="Z1379" s="110"/>
      <c r="AA1379" s="110"/>
      <c r="AB1379" s="46"/>
      <c r="AC1379" s="78"/>
      <c r="AD1379" s="78"/>
      <c r="AE1379" s="100">
        <f t="shared" ref="AE1379:AE1384" si="2015">N1379/F1379</f>
        <v>3.7288135593220341E-2</v>
      </c>
      <c r="AF1379" s="90"/>
      <c r="AG1379" s="109">
        <f t="shared" ref="AG1379:AG1384" si="2016">IF(N1379&lt;0,N1379,0)</f>
        <v>0</v>
      </c>
      <c r="AH1379" s="100">
        <f t="shared" ref="AH1379:AH1384" si="2017">(S1379-F1379)/F1379</f>
        <v>-1</v>
      </c>
      <c r="AI1379" s="100">
        <f t="shared" ref="AI1379:AI1384" si="2018">(W1379-F1379)/F1379</f>
        <v>3.7288135593220341E-2</v>
      </c>
    </row>
    <row r="1380" spans="1:35" s="47" customFormat="1" ht="21" customHeight="1" x14ac:dyDescent="0.3">
      <c r="A1380" s="78"/>
      <c r="B1380" s="106" t="s">
        <v>53</v>
      </c>
      <c r="C1380" s="107" t="s">
        <v>370</v>
      </c>
      <c r="D1380" s="328"/>
      <c r="E1380" s="187" t="s">
        <v>366</v>
      </c>
      <c r="F1380" s="92">
        <v>1325</v>
      </c>
      <c r="G1380" s="66"/>
      <c r="H1380" s="66"/>
      <c r="I1380" s="66"/>
      <c r="J1380" s="66"/>
      <c r="K1380" s="78"/>
      <c r="L1380" s="66"/>
      <c r="M1380" s="66">
        <f>348+148+245+580+30</f>
        <v>1351</v>
      </c>
      <c r="N1380" s="110">
        <f t="shared" si="2011"/>
        <v>26</v>
      </c>
      <c r="O1380" s="110"/>
      <c r="P1380" s="121"/>
      <c r="Q1380" s="123"/>
      <c r="R1380" s="66"/>
      <c r="S1380" s="66"/>
      <c r="T1380" s="110">
        <f t="shared" si="2012"/>
        <v>0</v>
      </c>
      <c r="U1380" s="59">
        <f t="shared" si="2013"/>
        <v>0</v>
      </c>
      <c r="V1380" s="66"/>
      <c r="W1380" s="66">
        <v>1351</v>
      </c>
      <c r="X1380" s="110">
        <f t="shared" si="2014"/>
        <v>0</v>
      </c>
      <c r="Y1380" s="110"/>
      <c r="Z1380" s="110"/>
      <c r="AA1380" s="110"/>
      <c r="AB1380" s="46"/>
      <c r="AC1380" s="78"/>
      <c r="AD1380" s="78"/>
      <c r="AE1380" s="100">
        <f t="shared" si="2015"/>
        <v>1.9622641509433963E-2</v>
      </c>
      <c r="AF1380" s="90"/>
      <c r="AG1380" s="109">
        <f t="shared" si="2016"/>
        <v>0</v>
      </c>
      <c r="AH1380" s="100">
        <f t="shared" si="2017"/>
        <v>-1</v>
      </c>
      <c r="AI1380" s="100">
        <f t="shared" si="2018"/>
        <v>1.9622641509433963E-2</v>
      </c>
    </row>
    <row r="1381" spans="1:35" s="47" customFormat="1" ht="21" customHeight="1" x14ac:dyDescent="0.3">
      <c r="A1381" s="78"/>
      <c r="B1381" s="106" t="s">
        <v>53</v>
      </c>
      <c r="C1381" s="107" t="s">
        <v>370</v>
      </c>
      <c r="D1381" s="328"/>
      <c r="E1381" s="187" t="s">
        <v>41</v>
      </c>
      <c r="F1381" s="92">
        <v>623</v>
      </c>
      <c r="G1381" s="66"/>
      <c r="H1381" s="66"/>
      <c r="I1381" s="66"/>
      <c r="J1381" s="66"/>
      <c r="K1381" s="78"/>
      <c r="L1381" s="66"/>
      <c r="M1381" s="66">
        <f>148+320+168</f>
        <v>636</v>
      </c>
      <c r="N1381" s="110">
        <f t="shared" si="2011"/>
        <v>13</v>
      </c>
      <c r="O1381" s="110"/>
      <c r="P1381" s="121"/>
      <c r="Q1381" s="123"/>
      <c r="R1381" s="66"/>
      <c r="S1381" s="66"/>
      <c r="T1381" s="110">
        <f t="shared" si="2012"/>
        <v>0</v>
      </c>
      <c r="U1381" s="59">
        <f t="shared" si="2013"/>
        <v>0</v>
      </c>
      <c r="V1381" s="66"/>
      <c r="W1381" s="66">
        <v>636</v>
      </c>
      <c r="X1381" s="110">
        <f t="shared" si="2014"/>
        <v>0</v>
      </c>
      <c r="Y1381" s="110"/>
      <c r="Z1381" s="110"/>
      <c r="AA1381" s="110"/>
      <c r="AB1381" s="46"/>
      <c r="AC1381" s="78"/>
      <c r="AD1381" s="78"/>
      <c r="AE1381" s="100">
        <f t="shared" si="2015"/>
        <v>2.0866773675762441E-2</v>
      </c>
      <c r="AF1381" s="90"/>
      <c r="AG1381" s="109">
        <f t="shared" si="2016"/>
        <v>0</v>
      </c>
      <c r="AH1381" s="100">
        <f t="shared" si="2017"/>
        <v>-1</v>
      </c>
      <c r="AI1381" s="100">
        <f t="shared" si="2018"/>
        <v>2.0866773675762441E-2</v>
      </c>
    </row>
    <row r="1382" spans="1:35" s="47" customFormat="1" ht="21" customHeight="1" x14ac:dyDescent="0.3">
      <c r="A1382" s="78"/>
      <c r="B1382" s="106" t="s">
        <v>53</v>
      </c>
      <c r="C1382" s="107" t="s">
        <v>370</v>
      </c>
      <c r="D1382" s="328"/>
      <c r="E1382" s="187" t="s">
        <v>270</v>
      </c>
      <c r="F1382" s="92">
        <v>1163</v>
      </c>
      <c r="G1382" s="66"/>
      <c r="H1382" s="66"/>
      <c r="I1382" s="66"/>
      <c r="J1382" s="66"/>
      <c r="K1382" s="78"/>
      <c r="L1382" s="66"/>
      <c r="M1382" s="66">
        <f>448+744</f>
        <v>1192</v>
      </c>
      <c r="N1382" s="110">
        <f t="shared" si="2011"/>
        <v>29</v>
      </c>
      <c r="O1382" s="110"/>
      <c r="P1382" s="121"/>
      <c r="Q1382" s="123"/>
      <c r="R1382" s="66"/>
      <c r="S1382" s="66"/>
      <c r="T1382" s="110">
        <f t="shared" si="2012"/>
        <v>0</v>
      </c>
      <c r="U1382" s="59">
        <f t="shared" si="2013"/>
        <v>0</v>
      </c>
      <c r="V1382" s="66"/>
      <c r="W1382" s="66">
        <v>1192</v>
      </c>
      <c r="X1382" s="110">
        <f t="shared" si="2014"/>
        <v>0</v>
      </c>
      <c r="Y1382" s="110"/>
      <c r="Z1382" s="110"/>
      <c r="AA1382" s="110"/>
      <c r="AB1382" s="46"/>
      <c r="AC1382" s="78"/>
      <c r="AD1382" s="78"/>
      <c r="AE1382" s="100">
        <f t="shared" si="2015"/>
        <v>2.4935511607910577E-2</v>
      </c>
      <c r="AF1382" s="90"/>
      <c r="AG1382" s="109">
        <f t="shared" si="2016"/>
        <v>0</v>
      </c>
      <c r="AH1382" s="100">
        <f t="shared" si="2017"/>
        <v>-1</v>
      </c>
      <c r="AI1382" s="100">
        <f t="shared" si="2018"/>
        <v>2.4935511607910577E-2</v>
      </c>
    </row>
    <row r="1383" spans="1:35" s="47" customFormat="1" ht="21" customHeight="1" x14ac:dyDescent="0.3">
      <c r="A1383" s="78"/>
      <c r="B1383" s="106" t="s">
        <v>53</v>
      </c>
      <c r="C1383" s="107" t="s">
        <v>370</v>
      </c>
      <c r="D1383" s="328"/>
      <c r="E1383" s="187" t="s">
        <v>367</v>
      </c>
      <c r="F1383" s="92">
        <v>1415</v>
      </c>
      <c r="G1383" s="66"/>
      <c r="H1383" s="66"/>
      <c r="I1383" s="66"/>
      <c r="J1383" s="66"/>
      <c r="K1383" s="78"/>
      <c r="L1383" s="66"/>
      <c r="M1383" s="66">
        <f>348+559+496+30</f>
        <v>1433</v>
      </c>
      <c r="N1383" s="110">
        <f t="shared" si="2011"/>
        <v>18</v>
      </c>
      <c r="O1383" s="110"/>
      <c r="P1383" s="121"/>
      <c r="Q1383" s="123"/>
      <c r="R1383" s="66"/>
      <c r="S1383" s="66"/>
      <c r="T1383" s="110">
        <f t="shared" si="2012"/>
        <v>0</v>
      </c>
      <c r="U1383" s="59">
        <f t="shared" si="2013"/>
        <v>0</v>
      </c>
      <c r="V1383" s="66"/>
      <c r="W1383" s="66">
        <f>807+596+30</f>
        <v>1433</v>
      </c>
      <c r="X1383" s="110">
        <f t="shared" si="2014"/>
        <v>0</v>
      </c>
      <c r="Y1383" s="110"/>
      <c r="Z1383" s="110"/>
      <c r="AA1383" s="110"/>
      <c r="AB1383" s="46"/>
      <c r="AC1383" s="78"/>
      <c r="AD1383" s="78"/>
      <c r="AE1383" s="100">
        <f t="shared" si="2015"/>
        <v>1.2720848056537103E-2</v>
      </c>
      <c r="AF1383" s="90"/>
      <c r="AG1383" s="109">
        <f t="shared" si="2016"/>
        <v>0</v>
      </c>
      <c r="AH1383" s="100">
        <f t="shared" si="2017"/>
        <v>-1</v>
      </c>
      <c r="AI1383" s="100">
        <f t="shared" si="2018"/>
        <v>1.2720848056537103E-2</v>
      </c>
    </row>
    <row r="1384" spans="1:35" s="79" customFormat="1" ht="15.75" customHeight="1" x14ac:dyDescent="0.3">
      <c r="A1384" s="90" t="s">
        <v>46</v>
      </c>
      <c r="B1384" s="136" t="s">
        <v>53</v>
      </c>
      <c r="C1384" s="137"/>
      <c r="D1384" s="136"/>
      <c r="E1384" s="138"/>
      <c r="F1384" s="91">
        <f>SUM(F1379:F1383)</f>
        <v>5116</v>
      </c>
      <c r="G1384" s="91"/>
      <c r="H1384" s="91"/>
      <c r="I1384" s="91"/>
      <c r="J1384" s="91" t="s">
        <v>59</v>
      </c>
      <c r="K1384" s="65" t="s">
        <v>272</v>
      </c>
      <c r="L1384" s="91">
        <f>SUM(L1379:L1383)</f>
        <v>0</v>
      </c>
      <c r="M1384" s="91">
        <f>SUM(M1379:M1383)</f>
        <v>5224</v>
      </c>
      <c r="N1384" s="91">
        <f>SUM(N1379:N1383)</f>
        <v>108</v>
      </c>
      <c r="O1384" s="91"/>
      <c r="P1384" s="91">
        <f>SUM(P1379:P1383)</f>
        <v>0</v>
      </c>
      <c r="Q1384" s="91">
        <f>SUM(Q1379:Q1383)</f>
        <v>0</v>
      </c>
      <c r="R1384" s="91">
        <f>SUM(R1379:R1383)</f>
        <v>0</v>
      </c>
      <c r="S1384" s="91">
        <f>SUM(S1379:S1383)</f>
        <v>0</v>
      </c>
      <c r="T1384" s="91">
        <f>SUM(T1379:T1383)</f>
        <v>0</v>
      </c>
      <c r="U1384" s="59">
        <f t="shared" si="2013"/>
        <v>0</v>
      </c>
      <c r="V1384" s="91">
        <f>SUM(V1379:V1383)</f>
        <v>0</v>
      </c>
      <c r="W1384" s="91">
        <f>SUM(W1379:W1383)</f>
        <v>5224</v>
      </c>
      <c r="X1384" s="91">
        <f>SUM(X1379:X1383)</f>
        <v>0</v>
      </c>
      <c r="Y1384" s="136"/>
      <c r="Z1384" s="136"/>
      <c r="AA1384" s="136"/>
      <c r="AB1384" s="84"/>
      <c r="AC1384" s="90"/>
      <c r="AD1384" s="90"/>
      <c r="AE1384" s="100">
        <f t="shared" si="2015"/>
        <v>2.1110242376856918E-2</v>
      </c>
      <c r="AF1384" s="90"/>
      <c r="AG1384" s="109">
        <f t="shared" si="2016"/>
        <v>0</v>
      </c>
      <c r="AH1384" s="100">
        <f t="shared" si="2017"/>
        <v>-1</v>
      </c>
      <c r="AI1384" s="100">
        <f t="shared" si="2018"/>
        <v>2.1110242376856918E-2</v>
      </c>
    </row>
    <row r="1385" spans="1:35" s="47" customFormat="1" ht="21" customHeight="1" x14ac:dyDescent="0.3">
      <c r="A1385" s="78"/>
      <c r="B1385" s="106" t="s">
        <v>53</v>
      </c>
      <c r="C1385" s="107" t="s">
        <v>372</v>
      </c>
      <c r="D1385" s="304">
        <v>22029225</v>
      </c>
      <c r="E1385" s="187" t="s">
        <v>97</v>
      </c>
      <c r="F1385" s="92">
        <v>1508</v>
      </c>
      <c r="G1385" s="66"/>
      <c r="H1385" s="66"/>
      <c r="I1385" s="66"/>
      <c r="J1385" s="66"/>
      <c r="K1385" s="78"/>
      <c r="L1385" s="66"/>
      <c r="M1385" s="259">
        <f>184+184+368+164+160+108+192+167</f>
        <v>1527</v>
      </c>
      <c r="N1385" s="110">
        <f t="shared" ref="N1385:N1389" si="2019">M1385-F1385</f>
        <v>19</v>
      </c>
      <c r="O1385" s="110"/>
      <c r="P1385" s="123"/>
      <c r="Q1385" s="123"/>
      <c r="R1385" s="66"/>
      <c r="S1385" s="66"/>
      <c r="T1385" s="110">
        <f t="shared" ref="T1385:T1389" si="2020">S1385-Q1385</f>
        <v>0</v>
      </c>
      <c r="U1385" s="59">
        <f t="shared" si="2009"/>
        <v>0</v>
      </c>
      <c r="V1385" s="66"/>
      <c r="W1385" s="66">
        <f>1360+167</f>
        <v>1527</v>
      </c>
      <c r="X1385" s="110">
        <f t="shared" ref="X1385:X1389" si="2021">W1385-M1385</f>
        <v>0</v>
      </c>
      <c r="Y1385" s="110"/>
      <c r="Z1385" s="110"/>
      <c r="AA1385" s="110"/>
      <c r="AB1385" s="46"/>
      <c r="AC1385" s="78"/>
      <c r="AD1385" s="78"/>
      <c r="AE1385" s="100">
        <f t="shared" si="1996"/>
        <v>1.2599469496021221E-2</v>
      </c>
      <c r="AF1385" s="90"/>
      <c r="AG1385" s="109">
        <f t="shared" si="1997"/>
        <v>0</v>
      </c>
      <c r="AH1385" s="100">
        <f t="shared" si="1998"/>
        <v>-1</v>
      </c>
      <c r="AI1385" s="100">
        <f t="shared" si="1999"/>
        <v>1.2599469496021221E-2</v>
      </c>
    </row>
    <row r="1386" spans="1:35" s="47" customFormat="1" ht="21" customHeight="1" x14ac:dyDescent="0.3">
      <c r="A1386" s="78"/>
      <c r="B1386" s="106" t="s">
        <v>53</v>
      </c>
      <c r="C1386" s="107" t="s">
        <v>372</v>
      </c>
      <c r="D1386" s="305"/>
      <c r="E1386" s="187" t="s">
        <v>117</v>
      </c>
      <c r="F1386" s="92">
        <v>1508</v>
      </c>
      <c r="G1386" s="66"/>
      <c r="H1386" s="66"/>
      <c r="I1386" s="66"/>
      <c r="J1386" s="66"/>
      <c r="K1386" s="78"/>
      <c r="L1386" s="66"/>
      <c r="M1386" s="66">
        <f>400+116+351+168+288+204</f>
        <v>1527</v>
      </c>
      <c r="N1386" s="110">
        <f t="shared" ref="N1386:N1387" si="2022">M1386-F1386</f>
        <v>19</v>
      </c>
      <c r="O1386" s="110"/>
      <c r="P1386" s="121"/>
      <c r="Q1386" s="123"/>
      <c r="R1386" s="66"/>
      <c r="S1386" s="66"/>
      <c r="T1386" s="110">
        <f t="shared" ref="T1386:T1387" si="2023">S1386-Q1386</f>
        <v>0</v>
      </c>
      <c r="U1386" s="59">
        <f t="shared" ref="U1386:U1387" si="2024">IF(Q1386&gt;0,S1386-W1386,M1386-W1386)</f>
        <v>0</v>
      </c>
      <c r="V1386" s="66"/>
      <c r="W1386" s="66">
        <f>1181+346</f>
        <v>1527</v>
      </c>
      <c r="X1386" s="110">
        <f t="shared" ref="X1386:X1387" si="2025">W1386-M1386</f>
        <v>0</v>
      </c>
      <c r="Y1386" s="110"/>
      <c r="Z1386" s="110"/>
      <c r="AA1386" s="110"/>
      <c r="AB1386" s="46"/>
      <c r="AC1386" s="78"/>
      <c r="AD1386" s="78"/>
      <c r="AE1386" s="100">
        <f t="shared" ref="AE1386:AE1387" si="2026">N1386/F1386</f>
        <v>1.2599469496021221E-2</v>
      </c>
      <c r="AF1386" s="90"/>
      <c r="AG1386" s="109">
        <f t="shared" ref="AG1386:AG1387" si="2027">IF(N1386&lt;0,N1386,0)</f>
        <v>0</v>
      </c>
      <c r="AH1386" s="100">
        <f t="shared" ref="AH1386:AH1387" si="2028">(S1386-F1386)/F1386</f>
        <v>-1</v>
      </c>
      <c r="AI1386" s="100">
        <f t="shared" ref="AI1386:AI1387" si="2029">(W1386-F1386)/F1386</f>
        <v>1.2599469496021221E-2</v>
      </c>
    </row>
    <row r="1387" spans="1:35" s="47" customFormat="1" ht="21" customHeight="1" x14ac:dyDescent="0.3">
      <c r="A1387" s="78"/>
      <c r="B1387" s="106" t="s">
        <v>53</v>
      </c>
      <c r="C1387" s="107" t="s">
        <v>372</v>
      </c>
      <c r="D1387" s="305"/>
      <c r="E1387" s="187" t="s">
        <v>267</v>
      </c>
      <c r="F1387" s="92">
        <v>808</v>
      </c>
      <c r="G1387" s="66"/>
      <c r="H1387" s="66"/>
      <c r="I1387" s="66"/>
      <c r="J1387" s="66"/>
      <c r="K1387" s="78"/>
      <c r="L1387" s="66"/>
      <c r="M1387" s="66">
        <f>368+422+16+18</f>
        <v>824</v>
      </c>
      <c r="N1387" s="110">
        <f t="shared" si="2022"/>
        <v>16</v>
      </c>
      <c r="O1387" s="110"/>
      <c r="P1387" s="121"/>
      <c r="Q1387" s="123"/>
      <c r="R1387" s="66"/>
      <c r="S1387" s="66"/>
      <c r="T1387" s="110">
        <f t="shared" si="2023"/>
        <v>0</v>
      </c>
      <c r="U1387" s="59">
        <f t="shared" si="2024"/>
        <v>0</v>
      </c>
      <c r="V1387" s="66"/>
      <c r="W1387" s="66">
        <v>824</v>
      </c>
      <c r="X1387" s="110">
        <f t="shared" si="2025"/>
        <v>0</v>
      </c>
      <c r="Y1387" s="110"/>
      <c r="Z1387" s="110"/>
      <c r="AA1387" s="110"/>
      <c r="AB1387" s="46"/>
      <c r="AC1387" s="78"/>
      <c r="AD1387" s="78"/>
      <c r="AE1387" s="100">
        <f t="shared" si="2026"/>
        <v>1.9801980198019802E-2</v>
      </c>
      <c r="AF1387" s="90"/>
      <c r="AG1387" s="109">
        <f t="shared" si="2027"/>
        <v>0</v>
      </c>
      <c r="AH1387" s="100">
        <f t="shared" si="2028"/>
        <v>-1</v>
      </c>
      <c r="AI1387" s="100">
        <f t="shared" si="2029"/>
        <v>1.9801980198019802E-2</v>
      </c>
    </row>
    <row r="1388" spans="1:35" s="47" customFormat="1" ht="21" customHeight="1" x14ac:dyDescent="0.3">
      <c r="A1388" s="78"/>
      <c r="B1388" s="106" t="s">
        <v>53</v>
      </c>
      <c r="C1388" s="107" t="s">
        <v>372</v>
      </c>
      <c r="D1388" s="305"/>
      <c r="E1388" s="187" t="s">
        <v>0</v>
      </c>
      <c r="F1388" s="92">
        <v>1508</v>
      </c>
      <c r="G1388" s="66"/>
      <c r="H1388" s="66"/>
      <c r="I1388" s="66"/>
      <c r="J1388" s="66"/>
      <c r="K1388" s="78"/>
      <c r="L1388" s="66"/>
      <c r="M1388" s="66">
        <f>1100+16+248+172</f>
        <v>1536</v>
      </c>
      <c r="N1388" s="110">
        <f t="shared" si="2019"/>
        <v>28</v>
      </c>
      <c r="O1388" s="110"/>
      <c r="P1388" s="121"/>
      <c r="Q1388" s="123"/>
      <c r="R1388" s="66"/>
      <c r="S1388" s="66"/>
      <c r="T1388" s="110">
        <f t="shared" si="2020"/>
        <v>0</v>
      </c>
      <c r="U1388" s="59">
        <f t="shared" si="2009"/>
        <v>0</v>
      </c>
      <c r="V1388" s="66"/>
      <c r="W1388" s="66">
        <v>1536</v>
      </c>
      <c r="X1388" s="110">
        <f t="shared" si="2021"/>
        <v>0</v>
      </c>
      <c r="Y1388" s="110"/>
      <c r="Z1388" s="110"/>
      <c r="AA1388" s="110"/>
      <c r="AB1388" s="46"/>
      <c r="AC1388" s="78"/>
      <c r="AD1388" s="78"/>
      <c r="AE1388" s="100">
        <f t="shared" si="1996"/>
        <v>1.8567639257294429E-2</v>
      </c>
      <c r="AF1388" s="90"/>
      <c r="AG1388" s="109">
        <f t="shared" si="1997"/>
        <v>0</v>
      </c>
      <c r="AH1388" s="100">
        <f t="shared" si="1998"/>
        <v>-1</v>
      </c>
      <c r="AI1388" s="100">
        <f t="shared" si="1999"/>
        <v>1.8567639257294429E-2</v>
      </c>
    </row>
    <row r="1389" spans="1:35" s="47" customFormat="1" ht="21" customHeight="1" x14ac:dyDescent="0.3">
      <c r="A1389" s="78"/>
      <c r="B1389" s="106" t="s">
        <v>53</v>
      </c>
      <c r="C1389" s="107" t="s">
        <v>372</v>
      </c>
      <c r="D1389" s="305"/>
      <c r="E1389" s="187" t="s">
        <v>268</v>
      </c>
      <c r="F1389" s="92">
        <v>808</v>
      </c>
      <c r="G1389" s="66"/>
      <c r="H1389" s="66"/>
      <c r="I1389" s="66"/>
      <c r="J1389" s="66"/>
      <c r="K1389" s="78"/>
      <c r="L1389" s="66"/>
      <c r="M1389" s="66">
        <f>204+204+164+256</f>
        <v>828</v>
      </c>
      <c r="N1389" s="110">
        <f t="shared" si="2019"/>
        <v>20</v>
      </c>
      <c r="O1389" s="110"/>
      <c r="P1389" s="121"/>
      <c r="Q1389" s="123"/>
      <c r="R1389" s="66"/>
      <c r="S1389" s="66"/>
      <c r="T1389" s="110">
        <f t="shared" si="2020"/>
        <v>0</v>
      </c>
      <c r="U1389" s="59">
        <f t="shared" si="2009"/>
        <v>0</v>
      </c>
      <c r="V1389" s="66"/>
      <c r="W1389" s="66">
        <v>828</v>
      </c>
      <c r="X1389" s="110">
        <f t="shared" si="2021"/>
        <v>0</v>
      </c>
      <c r="Y1389" s="110"/>
      <c r="Z1389" s="110"/>
      <c r="AA1389" s="110"/>
      <c r="AB1389" s="46"/>
      <c r="AC1389" s="78"/>
      <c r="AD1389" s="78"/>
      <c r="AE1389" s="100">
        <f t="shared" si="1996"/>
        <v>2.4752475247524754E-2</v>
      </c>
      <c r="AF1389" s="90"/>
      <c r="AG1389" s="109">
        <f t="shared" si="1997"/>
        <v>0</v>
      </c>
      <c r="AH1389" s="100">
        <f t="shared" si="1998"/>
        <v>-1</v>
      </c>
      <c r="AI1389" s="100">
        <f t="shared" si="1999"/>
        <v>2.4752475247524754E-2</v>
      </c>
    </row>
    <row r="1390" spans="1:35" s="79" customFormat="1" ht="15.75" customHeight="1" x14ac:dyDescent="0.3">
      <c r="A1390" s="90" t="s">
        <v>46</v>
      </c>
      <c r="B1390" s="136" t="s">
        <v>53</v>
      </c>
      <c r="C1390" s="137"/>
      <c r="D1390" s="136"/>
      <c r="E1390" s="138"/>
      <c r="F1390" s="91">
        <f>SUM(F1385:F1389)</f>
        <v>6140</v>
      </c>
      <c r="G1390" s="91"/>
      <c r="H1390" s="91"/>
      <c r="I1390" s="91"/>
      <c r="J1390" s="91" t="s">
        <v>59</v>
      </c>
      <c r="K1390" s="65" t="s">
        <v>210</v>
      </c>
      <c r="L1390" s="91">
        <f>SUM(L1385:L1389)</f>
        <v>0</v>
      </c>
      <c r="M1390" s="91">
        <f>SUM(M1385:M1389)</f>
        <v>6242</v>
      </c>
      <c r="N1390" s="91">
        <f>SUM(N1385:N1389)</f>
        <v>102</v>
      </c>
      <c r="O1390" s="91"/>
      <c r="P1390" s="91">
        <f>SUM(P1385:P1389)</f>
        <v>0</v>
      </c>
      <c r="Q1390" s="91">
        <f>SUM(Q1385:Q1389)</f>
        <v>0</v>
      </c>
      <c r="R1390" s="91">
        <f>SUM(R1385:R1389)</f>
        <v>0</v>
      </c>
      <c r="S1390" s="91">
        <f>SUM(S1385:S1389)</f>
        <v>0</v>
      </c>
      <c r="T1390" s="91">
        <f>SUM(T1385:T1389)</f>
        <v>0</v>
      </c>
      <c r="U1390" s="59">
        <f t="shared" si="2009"/>
        <v>0</v>
      </c>
      <c r="V1390" s="91">
        <f>SUM(V1385:V1389)</f>
        <v>0</v>
      </c>
      <c r="W1390" s="91">
        <f>SUM(W1385:W1389)</f>
        <v>6242</v>
      </c>
      <c r="X1390" s="91">
        <f>SUM(X1385:X1389)</f>
        <v>0</v>
      </c>
      <c r="Y1390" s="136"/>
      <c r="Z1390" s="136"/>
      <c r="AA1390" s="136"/>
      <c r="AB1390" s="84"/>
      <c r="AC1390" s="90"/>
      <c r="AD1390" s="90"/>
      <c r="AE1390" s="100">
        <f t="shared" si="1996"/>
        <v>1.6612377850162865E-2</v>
      </c>
      <c r="AF1390" s="90"/>
      <c r="AG1390" s="109">
        <f t="shared" si="1997"/>
        <v>0</v>
      </c>
      <c r="AH1390" s="100">
        <f t="shared" si="1998"/>
        <v>-1</v>
      </c>
      <c r="AI1390" s="100">
        <f t="shared" si="1999"/>
        <v>1.6612377850162865E-2</v>
      </c>
    </row>
    <row r="1391" spans="1:35" s="47" customFormat="1" ht="21" customHeight="1" x14ac:dyDescent="0.3">
      <c r="A1391" s="78"/>
      <c r="B1391" s="106" t="s">
        <v>53</v>
      </c>
      <c r="C1391" s="107" t="s">
        <v>941</v>
      </c>
      <c r="D1391" s="304">
        <v>22029225</v>
      </c>
      <c r="E1391" s="187" t="s">
        <v>97</v>
      </c>
      <c r="F1391" s="92">
        <v>1508</v>
      </c>
      <c r="G1391" s="66"/>
      <c r="H1391" s="66"/>
      <c r="I1391" s="66"/>
      <c r="J1391" s="66"/>
      <c r="K1391" s="78"/>
      <c r="L1391" s="66"/>
      <c r="M1391" s="123"/>
      <c r="N1391" s="110">
        <f t="shared" ref="N1391:N1394" si="2030">M1391-F1391</f>
        <v>-1508</v>
      </c>
      <c r="O1391" s="110"/>
      <c r="P1391" s="123"/>
      <c r="Q1391" s="123"/>
      <c r="R1391" s="66"/>
      <c r="S1391" s="66"/>
      <c r="T1391" s="110">
        <f t="shared" ref="T1391:T1394" si="2031">S1391-Q1391</f>
        <v>0</v>
      </c>
      <c r="U1391" s="59">
        <f t="shared" si="1799"/>
        <v>0</v>
      </c>
      <c r="V1391" s="66"/>
      <c r="W1391" s="66"/>
      <c r="X1391" s="110">
        <f t="shared" ref="X1391:X1394" si="2032">W1391-M1391</f>
        <v>0</v>
      </c>
      <c r="Y1391" s="110"/>
      <c r="Z1391" s="110"/>
      <c r="AA1391" s="110"/>
      <c r="AB1391" s="46"/>
      <c r="AC1391" s="78"/>
      <c r="AD1391" s="78"/>
      <c r="AE1391" s="100">
        <f t="shared" ref="AE1391:AE1400" si="2033">N1391/F1391</f>
        <v>-1</v>
      </c>
      <c r="AF1391" s="90"/>
      <c r="AG1391" s="109">
        <f t="shared" ref="AG1391:AG1400" si="2034">IF(N1391&lt;0,N1391,0)</f>
        <v>-1508</v>
      </c>
      <c r="AH1391" s="100">
        <f t="shared" ref="AH1391:AH1400" si="2035">(S1391-F1391)/F1391</f>
        <v>-1</v>
      </c>
      <c r="AI1391" s="100">
        <f t="shared" ref="AI1391:AI1400" si="2036">(W1391-F1391)/F1391</f>
        <v>-1</v>
      </c>
    </row>
    <row r="1392" spans="1:35" s="47" customFormat="1" ht="21" customHeight="1" x14ac:dyDescent="0.3">
      <c r="A1392" s="78"/>
      <c r="B1392" s="106" t="s">
        <v>53</v>
      </c>
      <c r="C1392" s="107" t="s">
        <v>941</v>
      </c>
      <c r="D1392" s="305"/>
      <c r="E1392" s="187" t="s">
        <v>117</v>
      </c>
      <c r="F1392" s="92">
        <v>1508</v>
      </c>
      <c r="G1392" s="66"/>
      <c r="H1392" s="66"/>
      <c r="I1392" s="66"/>
      <c r="J1392" s="66"/>
      <c r="K1392" s="78"/>
      <c r="L1392" s="66"/>
      <c r="M1392" s="66"/>
      <c r="N1392" s="110">
        <f t="shared" ref="N1392:N1393" si="2037">M1392-F1392</f>
        <v>-1508</v>
      </c>
      <c r="O1392" s="110"/>
      <c r="P1392" s="121"/>
      <c r="Q1392" s="123"/>
      <c r="R1392" s="66"/>
      <c r="S1392" s="66"/>
      <c r="T1392" s="110">
        <f t="shared" ref="T1392:T1393" si="2038">S1392-Q1392</f>
        <v>0</v>
      </c>
      <c r="U1392" s="59">
        <f t="shared" ref="U1392:U1393" si="2039">IF(Q1392&gt;0,S1392-W1392,M1392-W1392)</f>
        <v>0</v>
      </c>
      <c r="V1392" s="66"/>
      <c r="W1392" s="66"/>
      <c r="X1392" s="110">
        <f t="shared" ref="X1392:X1393" si="2040">W1392-M1392</f>
        <v>0</v>
      </c>
      <c r="Y1392" s="110"/>
      <c r="Z1392" s="110"/>
      <c r="AA1392" s="110"/>
      <c r="AB1392" s="46"/>
      <c r="AC1392" s="78"/>
      <c r="AD1392" s="78"/>
      <c r="AE1392" s="100">
        <f t="shared" ref="AE1392:AE1393" si="2041">N1392/F1392</f>
        <v>-1</v>
      </c>
      <c r="AF1392" s="90"/>
      <c r="AG1392" s="109">
        <f t="shared" ref="AG1392:AG1393" si="2042">IF(N1392&lt;0,N1392,0)</f>
        <v>-1508</v>
      </c>
      <c r="AH1392" s="100">
        <f t="shared" ref="AH1392:AH1393" si="2043">(S1392-F1392)/F1392</f>
        <v>-1</v>
      </c>
      <c r="AI1392" s="100">
        <f t="shared" ref="AI1392:AI1393" si="2044">(W1392-F1392)/F1392</f>
        <v>-1</v>
      </c>
    </row>
    <row r="1393" spans="1:35" s="47" customFormat="1" ht="21" customHeight="1" x14ac:dyDescent="0.3">
      <c r="A1393" s="78"/>
      <c r="B1393" s="106" t="s">
        <v>53</v>
      </c>
      <c r="C1393" s="107" t="s">
        <v>941</v>
      </c>
      <c r="D1393" s="305"/>
      <c r="E1393" s="133" t="s">
        <v>115</v>
      </c>
      <c r="F1393" s="92">
        <v>1508</v>
      </c>
      <c r="G1393" s="66"/>
      <c r="H1393" s="66"/>
      <c r="I1393" s="66"/>
      <c r="J1393" s="66"/>
      <c r="K1393" s="78"/>
      <c r="L1393" s="66"/>
      <c r="M1393" s="66"/>
      <c r="N1393" s="110">
        <f t="shared" si="2037"/>
        <v>-1508</v>
      </c>
      <c r="O1393" s="110"/>
      <c r="P1393" s="121"/>
      <c r="Q1393" s="123"/>
      <c r="R1393" s="66"/>
      <c r="S1393" s="66"/>
      <c r="T1393" s="110">
        <f t="shared" si="2038"/>
        <v>0</v>
      </c>
      <c r="U1393" s="59">
        <f t="shared" si="2039"/>
        <v>0</v>
      </c>
      <c r="V1393" s="66"/>
      <c r="W1393" s="66"/>
      <c r="X1393" s="110">
        <f t="shared" si="2040"/>
        <v>0</v>
      </c>
      <c r="Y1393" s="110"/>
      <c r="Z1393" s="110"/>
      <c r="AA1393" s="110"/>
      <c r="AB1393" s="46"/>
      <c r="AC1393" s="78"/>
      <c r="AD1393" s="78"/>
      <c r="AE1393" s="100">
        <f t="shared" si="2041"/>
        <v>-1</v>
      </c>
      <c r="AF1393" s="90"/>
      <c r="AG1393" s="109">
        <f t="shared" si="2042"/>
        <v>-1508</v>
      </c>
      <c r="AH1393" s="100">
        <f t="shared" si="2043"/>
        <v>-1</v>
      </c>
      <c r="AI1393" s="100">
        <f t="shared" si="2044"/>
        <v>-1</v>
      </c>
    </row>
    <row r="1394" spans="1:35" s="47" customFormat="1" ht="21" customHeight="1" x14ac:dyDescent="0.3">
      <c r="A1394" s="78"/>
      <c r="B1394" s="106" t="s">
        <v>53</v>
      </c>
      <c r="C1394" s="107" t="s">
        <v>941</v>
      </c>
      <c r="D1394" s="305"/>
      <c r="E1394" s="187" t="s">
        <v>0</v>
      </c>
      <c r="F1394" s="92">
        <v>1508</v>
      </c>
      <c r="G1394" s="66"/>
      <c r="H1394" s="66"/>
      <c r="I1394" s="66"/>
      <c r="J1394" s="66"/>
      <c r="K1394" s="78"/>
      <c r="L1394" s="66"/>
      <c r="M1394" s="66"/>
      <c r="N1394" s="110">
        <f t="shared" si="2030"/>
        <v>-1508</v>
      </c>
      <c r="O1394" s="110"/>
      <c r="P1394" s="121"/>
      <c r="Q1394" s="123"/>
      <c r="R1394" s="66"/>
      <c r="S1394" s="66"/>
      <c r="T1394" s="110">
        <f t="shared" si="2031"/>
        <v>0</v>
      </c>
      <c r="U1394" s="59">
        <f t="shared" si="1799"/>
        <v>0</v>
      </c>
      <c r="V1394" s="66"/>
      <c r="W1394" s="66"/>
      <c r="X1394" s="110">
        <f t="shared" si="2032"/>
        <v>0</v>
      </c>
      <c r="Y1394" s="110"/>
      <c r="Z1394" s="110"/>
      <c r="AA1394" s="110"/>
      <c r="AB1394" s="46"/>
      <c r="AC1394" s="78"/>
      <c r="AD1394" s="78"/>
      <c r="AE1394" s="100">
        <f t="shared" si="2033"/>
        <v>-1</v>
      </c>
      <c r="AF1394" s="90"/>
      <c r="AG1394" s="109">
        <f t="shared" si="2034"/>
        <v>-1508</v>
      </c>
      <c r="AH1394" s="100">
        <f t="shared" si="2035"/>
        <v>-1</v>
      </c>
      <c r="AI1394" s="100">
        <f t="shared" si="2036"/>
        <v>-1</v>
      </c>
    </row>
    <row r="1395" spans="1:35" s="79" customFormat="1" ht="15.75" customHeight="1" x14ac:dyDescent="0.3">
      <c r="A1395" s="90" t="s">
        <v>46</v>
      </c>
      <c r="B1395" s="136" t="s">
        <v>53</v>
      </c>
      <c r="C1395" s="137"/>
      <c r="D1395" s="136"/>
      <c r="E1395" s="138"/>
      <c r="F1395" s="91">
        <f>SUM(F1391:F1394)</f>
        <v>6032</v>
      </c>
      <c r="G1395" s="91"/>
      <c r="H1395" s="91"/>
      <c r="I1395" s="91"/>
      <c r="J1395" s="91" t="s">
        <v>58</v>
      </c>
      <c r="K1395" s="65" t="s">
        <v>617</v>
      </c>
      <c r="L1395" s="91">
        <f>SUM(L1391:L1394)</f>
        <v>0</v>
      </c>
      <c r="M1395" s="91">
        <f>SUM(M1391:M1394)</f>
        <v>0</v>
      </c>
      <c r="N1395" s="91">
        <f>SUM(N1391:N1394)</f>
        <v>-6032</v>
      </c>
      <c r="O1395" s="91"/>
      <c r="P1395" s="91">
        <f>SUM(P1391:P1394)</f>
        <v>0</v>
      </c>
      <c r="Q1395" s="91">
        <f>SUM(Q1391:Q1394)</f>
        <v>0</v>
      </c>
      <c r="R1395" s="91">
        <f>SUM(R1391:R1394)</f>
        <v>0</v>
      </c>
      <c r="S1395" s="91">
        <f>SUM(S1391:S1394)</f>
        <v>0</v>
      </c>
      <c r="T1395" s="91">
        <f>SUM(T1391:T1394)</f>
        <v>0</v>
      </c>
      <c r="U1395" s="59">
        <f t="shared" si="1799"/>
        <v>0</v>
      </c>
      <c r="V1395" s="91">
        <f>SUM(V1391:V1394)</f>
        <v>0</v>
      </c>
      <c r="W1395" s="91">
        <f>SUM(W1391:W1394)</f>
        <v>0</v>
      </c>
      <c r="X1395" s="91">
        <f>SUM(X1391:X1394)</f>
        <v>0</v>
      </c>
      <c r="Y1395" s="136"/>
      <c r="Z1395" s="136"/>
      <c r="AA1395" s="136"/>
      <c r="AB1395" s="84"/>
      <c r="AC1395" s="90"/>
      <c r="AD1395" s="90"/>
      <c r="AE1395" s="100">
        <f t="shared" si="2033"/>
        <v>-1</v>
      </c>
      <c r="AF1395" s="90"/>
      <c r="AG1395" s="109">
        <f t="shared" si="2034"/>
        <v>-6032</v>
      </c>
      <c r="AH1395" s="100">
        <f t="shared" si="2035"/>
        <v>-1</v>
      </c>
      <c r="AI1395" s="100">
        <f t="shared" si="2036"/>
        <v>-1</v>
      </c>
    </row>
    <row r="1396" spans="1:35" s="47" customFormat="1" ht="21" customHeight="1" x14ac:dyDescent="0.3">
      <c r="A1396" s="78"/>
      <c r="B1396" s="106" t="s">
        <v>53</v>
      </c>
      <c r="C1396" s="241" t="s">
        <v>624</v>
      </c>
      <c r="D1396" s="304">
        <v>22031724</v>
      </c>
      <c r="E1396" s="133" t="s">
        <v>97</v>
      </c>
      <c r="F1396" s="66">
        <v>3000</v>
      </c>
      <c r="G1396" s="66"/>
      <c r="H1396" s="66"/>
      <c r="I1396" s="66"/>
      <c r="J1396" s="66"/>
      <c r="K1396" s="78"/>
      <c r="L1396" s="66"/>
      <c r="M1396" s="66">
        <f>1015+473+500+500+432+122</f>
        <v>3042</v>
      </c>
      <c r="N1396" s="110">
        <f>M1396-F1396</f>
        <v>42</v>
      </c>
      <c r="O1396" s="110"/>
      <c r="P1396" s="123"/>
      <c r="Q1396" s="123"/>
      <c r="R1396" s="66"/>
      <c r="S1396" s="66"/>
      <c r="T1396" s="110">
        <f>S1396-Q1396</f>
        <v>0</v>
      </c>
      <c r="U1396" s="59">
        <f t="shared" si="1799"/>
        <v>8</v>
      </c>
      <c r="V1396" s="66"/>
      <c r="W1396" s="66">
        <v>3034</v>
      </c>
      <c r="X1396" s="110">
        <f>W1396-M1396</f>
        <v>-8</v>
      </c>
      <c r="Y1396" s="110"/>
      <c r="Z1396" s="110"/>
      <c r="AA1396" s="110"/>
      <c r="AB1396" s="46"/>
      <c r="AC1396" s="78"/>
      <c r="AD1396" s="78"/>
      <c r="AE1396" s="100">
        <f t="shared" ref="AE1396:AE1398" si="2045">N1396/F1396</f>
        <v>1.4E-2</v>
      </c>
      <c r="AF1396" s="90"/>
      <c r="AG1396" s="109">
        <f t="shared" ref="AG1396:AG1398" si="2046">IF(N1396&lt;0,N1396,0)</f>
        <v>0</v>
      </c>
      <c r="AH1396" s="100">
        <f t="shared" ref="AH1396:AH1398" si="2047">(S1396-F1396)/F1396</f>
        <v>-1</v>
      </c>
      <c r="AI1396" s="100">
        <f t="shared" ref="AI1396:AI1398" si="2048">(W1396-F1396)/F1396</f>
        <v>1.1333333333333334E-2</v>
      </c>
    </row>
    <row r="1397" spans="1:35" s="47" customFormat="1" ht="21" customHeight="1" x14ac:dyDescent="0.3">
      <c r="A1397" s="78"/>
      <c r="B1397" s="106" t="s">
        <v>53</v>
      </c>
      <c r="C1397" s="241" t="s">
        <v>624</v>
      </c>
      <c r="D1397" s="305"/>
      <c r="E1397" s="133" t="s">
        <v>5</v>
      </c>
      <c r="F1397" s="66">
        <v>4000</v>
      </c>
      <c r="G1397" s="66"/>
      <c r="H1397" s="66"/>
      <c r="I1397" s="66"/>
      <c r="J1397" s="66"/>
      <c r="K1397" s="78"/>
      <c r="L1397" s="66"/>
      <c r="M1397" s="66">
        <f>480+1000+525+500+1194+144+188+84</f>
        <v>4115</v>
      </c>
      <c r="N1397" s="110">
        <f>M1397-F1397</f>
        <v>115</v>
      </c>
      <c r="O1397" s="110"/>
      <c r="P1397" s="123"/>
      <c r="Q1397" s="123"/>
      <c r="R1397" s="66"/>
      <c r="S1397" s="66"/>
      <c r="T1397" s="110">
        <f>S1397-Q1397</f>
        <v>0</v>
      </c>
      <c r="U1397" s="59">
        <f t="shared" ref="U1397" si="2049">IF(Q1397&gt;0,S1397-W1397,M1397-W1397)</f>
        <v>73</v>
      </c>
      <c r="V1397" s="66"/>
      <c r="W1397" s="66">
        <v>4042</v>
      </c>
      <c r="X1397" s="110">
        <f>W1397-M1397</f>
        <v>-73</v>
      </c>
      <c r="Y1397" s="110"/>
      <c r="Z1397" s="110"/>
      <c r="AA1397" s="110"/>
      <c r="AB1397" s="46"/>
      <c r="AC1397" s="78"/>
      <c r="AD1397" s="78"/>
      <c r="AE1397" s="100">
        <f t="shared" ref="AE1397" si="2050">N1397/F1397</f>
        <v>2.8750000000000001E-2</v>
      </c>
      <c r="AF1397" s="90"/>
      <c r="AG1397" s="109">
        <f t="shared" ref="AG1397" si="2051">IF(N1397&lt;0,N1397,0)</f>
        <v>0</v>
      </c>
      <c r="AH1397" s="100">
        <f t="shared" ref="AH1397" si="2052">(S1397-F1397)/F1397</f>
        <v>-1</v>
      </c>
      <c r="AI1397" s="100">
        <f t="shared" ref="AI1397" si="2053">(W1397-F1397)/F1397</f>
        <v>1.0500000000000001E-2</v>
      </c>
    </row>
    <row r="1398" spans="1:35" s="47" customFormat="1" ht="21" customHeight="1" x14ac:dyDescent="0.3">
      <c r="A1398" s="78"/>
      <c r="B1398" s="106" t="s">
        <v>53</v>
      </c>
      <c r="C1398" s="241" t="s">
        <v>624</v>
      </c>
      <c r="D1398" s="305"/>
      <c r="E1398" s="133" t="s">
        <v>117</v>
      </c>
      <c r="F1398" s="66">
        <v>4000</v>
      </c>
      <c r="G1398" s="66"/>
      <c r="H1398" s="66"/>
      <c r="I1398" s="66"/>
      <c r="J1398" s="66"/>
      <c r="K1398" s="78"/>
      <c r="L1398" s="66"/>
      <c r="M1398" s="66">
        <f>1000+485+535+805+515+505+160+44+58</f>
        <v>4107</v>
      </c>
      <c r="N1398" s="110">
        <f>M1398-F1398</f>
        <v>107</v>
      </c>
      <c r="O1398" s="110"/>
      <c r="P1398" s="123"/>
      <c r="Q1398" s="123"/>
      <c r="R1398" s="66"/>
      <c r="S1398" s="66"/>
      <c r="T1398" s="110">
        <f>S1398-Q1398</f>
        <v>0</v>
      </c>
      <c r="U1398" s="59">
        <f t="shared" si="1799"/>
        <v>55</v>
      </c>
      <c r="V1398" s="66"/>
      <c r="W1398" s="66">
        <v>4052</v>
      </c>
      <c r="X1398" s="110">
        <f>W1398-M1398</f>
        <v>-55</v>
      </c>
      <c r="Y1398" s="110"/>
      <c r="Z1398" s="110"/>
      <c r="AA1398" s="110"/>
      <c r="AB1398" s="46"/>
      <c r="AC1398" s="78"/>
      <c r="AD1398" s="78"/>
      <c r="AE1398" s="100">
        <f t="shared" si="2045"/>
        <v>2.6749999999999999E-2</v>
      </c>
      <c r="AF1398" s="90"/>
      <c r="AG1398" s="109">
        <f t="shared" si="2046"/>
        <v>0</v>
      </c>
      <c r="AH1398" s="100">
        <f t="shared" si="2047"/>
        <v>-1</v>
      </c>
      <c r="AI1398" s="100">
        <f t="shared" si="2048"/>
        <v>1.2999999999999999E-2</v>
      </c>
    </row>
    <row r="1399" spans="1:35" s="47" customFormat="1" ht="21" customHeight="1" x14ac:dyDescent="0.3">
      <c r="A1399" s="78"/>
      <c r="B1399" s="106" t="s">
        <v>53</v>
      </c>
      <c r="C1399" s="241" t="s">
        <v>624</v>
      </c>
      <c r="D1399" s="306"/>
      <c r="E1399" s="133" t="s">
        <v>0</v>
      </c>
      <c r="F1399" s="66">
        <v>3000</v>
      </c>
      <c r="G1399" s="66"/>
      <c r="H1399" s="66"/>
      <c r="I1399" s="66"/>
      <c r="J1399" s="66"/>
      <c r="K1399" s="78"/>
      <c r="L1399" s="66"/>
      <c r="M1399" s="66">
        <f>500+500+195+500+1010+273+21+38</f>
        <v>3037</v>
      </c>
      <c r="N1399" s="110">
        <f>M1399-F1399</f>
        <v>37</v>
      </c>
      <c r="O1399" s="110"/>
      <c r="P1399" s="123"/>
      <c r="Q1399" s="123"/>
      <c r="R1399" s="66"/>
      <c r="S1399" s="66"/>
      <c r="T1399" s="110">
        <f>S1399-Q1399</f>
        <v>0</v>
      </c>
      <c r="U1399" s="59">
        <f t="shared" ref="U1399:U1400" si="2054">IF(Q1399&gt;0,S1399-W1399,M1399-W1399)</f>
        <v>0</v>
      </c>
      <c r="V1399" s="66"/>
      <c r="W1399" s="66">
        <v>3037</v>
      </c>
      <c r="X1399" s="110">
        <f>W1399-M1399</f>
        <v>0</v>
      </c>
      <c r="Y1399" s="110"/>
      <c r="Z1399" s="110"/>
      <c r="AA1399" s="110"/>
      <c r="AB1399" s="46"/>
      <c r="AC1399" s="78"/>
      <c r="AD1399" s="78"/>
      <c r="AE1399" s="100">
        <f t="shared" si="2033"/>
        <v>1.2333333333333333E-2</v>
      </c>
      <c r="AF1399" s="90"/>
      <c r="AG1399" s="109">
        <f t="shared" si="2034"/>
        <v>0</v>
      </c>
      <c r="AH1399" s="100">
        <f t="shared" si="2035"/>
        <v>-1</v>
      </c>
      <c r="AI1399" s="100">
        <f t="shared" si="2036"/>
        <v>1.2333333333333333E-2</v>
      </c>
    </row>
    <row r="1400" spans="1:35" s="79" customFormat="1" ht="15.75" customHeight="1" x14ac:dyDescent="0.3">
      <c r="A1400" s="90" t="s">
        <v>46</v>
      </c>
      <c r="B1400" s="136" t="s">
        <v>53</v>
      </c>
      <c r="C1400" s="137"/>
      <c r="D1400" s="136"/>
      <c r="E1400" s="138"/>
      <c r="F1400" s="91">
        <f>SUM(F1396:F1399)</f>
        <v>14000</v>
      </c>
      <c r="G1400" s="91"/>
      <c r="H1400" s="91"/>
      <c r="I1400" s="91"/>
      <c r="J1400" s="91" t="s">
        <v>58</v>
      </c>
      <c r="K1400" s="65" t="s">
        <v>290</v>
      </c>
      <c r="L1400" s="91">
        <f t="shared" ref="L1400:T1400" si="2055">SUM(L1396:L1399)</f>
        <v>0</v>
      </c>
      <c r="M1400" s="91">
        <f t="shared" si="2055"/>
        <v>14301</v>
      </c>
      <c r="N1400" s="91">
        <f t="shared" si="2055"/>
        <v>301</v>
      </c>
      <c r="O1400" s="91">
        <f t="shared" si="2055"/>
        <v>0</v>
      </c>
      <c r="P1400" s="91">
        <f t="shared" si="2055"/>
        <v>0</v>
      </c>
      <c r="Q1400" s="91">
        <f t="shared" si="2055"/>
        <v>0</v>
      </c>
      <c r="R1400" s="91">
        <f t="shared" si="2055"/>
        <v>0</v>
      </c>
      <c r="S1400" s="91">
        <f t="shared" si="2055"/>
        <v>0</v>
      </c>
      <c r="T1400" s="91">
        <f t="shared" si="2055"/>
        <v>0</v>
      </c>
      <c r="U1400" s="59">
        <f t="shared" si="2054"/>
        <v>136</v>
      </c>
      <c r="V1400" s="91">
        <f>SUM(V1396:V1399)</f>
        <v>0</v>
      </c>
      <c r="W1400" s="91">
        <f>SUM(W1396:W1399)</f>
        <v>14165</v>
      </c>
      <c r="X1400" s="91">
        <f>SUM(X1396:X1399)</f>
        <v>-136</v>
      </c>
      <c r="Y1400" s="136"/>
      <c r="Z1400" s="136"/>
      <c r="AA1400" s="136"/>
      <c r="AB1400" s="84"/>
      <c r="AC1400" s="90"/>
      <c r="AD1400" s="90"/>
      <c r="AE1400" s="100">
        <f t="shared" si="2033"/>
        <v>2.1499999999999998E-2</v>
      </c>
      <c r="AF1400" s="90"/>
      <c r="AG1400" s="109">
        <f t="shared" si="2034"/>
        <v>0</v>
      </c>
      <c r="AH1400" s="100">
        <f t="shared" si="2035"/>
        <v>-1</v>
      </c>
      <c r="AI1400" s="100">
        <f t="shared" si="2036"/>
        <v>1.1785714285714287E-2</v>
      </c>
    </row>
    <row r="1401" spans="1:35" s="47" customFormat="1" ht="21" customHeight="1" x14ac:dyDescent="0.3">
      <c r="A1401" s="78"/>
      <c r="B1401" s="106" t="s">
        <v>53</v>
      </c>
      <c r="C1401" s="241" t="s">
        <v>278</v>
      </c>
      <c r="D1401" s="177">
        <v>22031724</v>
      </c>
      <c r="E1401" s="133" t="s">
        <v>0</v>
      </c>
      <c r="F1401" s="66">
        <v>3000</v>
      </c>
      <c r="G1401" s="66"/>
      <c r="H1401" s="66"/>
      <c r="I1401" s="66"/>
      <c r="J1401" s="66"/>
      <c r="K1401" s="78"/>
      <c r="L1401" s="66"/>
      <c r="M1401" s="66">
        <f>1260+160+232+608+372+441+24</f>
        <v>3097</v>
      </c>
      <c r="N1401" s="110">
        <f>M1401-F1401</f>
        <v>97</v>
      </c>
      <c r="O1401" s="110"/>
      <c r="P1401" s="123"/>
      <c r="Q1401" s="123"/>
      <c r="R1401" s="66"/>
      <c r="S1401" s="66"/>
      <c r="T1401" s="110">
        <f>S1401-Q1401</f>
        <v>0</v>
      </c>
      <c r="U1401" s="59">
        <f t="shared" si="1799"/>
        <v>45</v>
      </c>
      <c r="V1401" s="66"/>
      <c r="W1401" s="66">
        <v>3052</v>
      </c>
      <c r="X1401" s="110">
        <f>W1401-M1401</f>
        <v>-45</v>
      </c>
      <c r="Y1401" s="110"/>
      <c r="Z1401" s="110"/>
      <c r="AA1401" s="110"/>
      <c r="AB1401" s="46"/>
      <c r="AC1401" s="78"/>
      <c r="AD1401" s="78"/>
      <c r="AE1401" s="100">
        <f t="shared" ref="AE1401:AE1402" si="2056">N1401/F1401</f>
        <v>3.2333333333333332E-2</v>
      </c>
      <c r="AF1401" s="90"/>
      <c r="AG1401" s="109">
        <f t="shared" ref="AG1401:AG1402" si="2057">IF(N1401&lt;0,N1401,0)</f>
        <v>0</v>
      </c>
      <c r="AH1401" s="100">
        <f t="shared" ref="AH1401:AH1402" si="2058">(S1401-F1401)/F1401</f>
        <v>-1</v>
      </c>
      <c r="AI1401" s="100">
        <f t="shared" ref="AI1401:AI1402" si="2059">(W1401-F1401)/F1401</f>
        <v>1.7333333333333333E-2</v>
      </c>
    </row>
    <row r="1402" spans="1:35" s="79" customFormat="1" ht="15.75" customHeight="1" x14ac:dyDescent="0.3">
      <c r="A1402" s="90" t="s">
        <v>46</v>
      </c>
      <c r="B1402" s="136" t="s">
        <v>53</v>
      </c>
      <c r="C1402" s="137"/>
      <c r="D1402" s="136"/>
      <c r="E1402" s="138"/>
      <c r="F1402" s="91">
        <f>SUM(F1401:F1401)</f>
        <v>3000</v>
      </c>
      <c r="G1402" s="91"/>
      <c r="H1402" s="91"/>
      <c r="I1402" s="91"/>
      <c r="J1402" s="91" t="s">
        <v>58</v>
      </c>
      <c r="K1402" s="65" t="s">
        <v>248</v>
      </c>
      <c r="L1402" s="91">
        <f>SUM(L1401:L1401)</f>
        <v>0</v>
      </c>
      <c r="M1402" s="91">
        <f>SUM(M1401:M1401)</f>
        <v>3097</v>
      </c>
      <c r="N1402" s="91">
        <f>SUM(N1401:N1401)</f>
        <v>97</v>
      </c>
      <c r="O1402" s="91"/>
      <c r="P1402" s="91">
        <f>SUM(P1401:P1401)</f>
        <v>0</v>
      </c>
      <c r="Q1402" s="91">
        <f>SUM(Q1401:Q1401)</f>
        <v>0</v>
      </c>
      <c r="R1402" s="91">
        <f>SUM(R1401:R1401)</f>
        <v>0</v>
      </c>
      <c r="S1402" s="91">
        <f>SUM(S1401:S1401)</f>
        <v>0</v>
      </c>
      <c r="T1402" s="91">
        <f>SUM(T1401:T1401)</f>
        <v>0</v>
      </c>
      <c r="U1402" s="59">
        <f t="shared" si="1799"/>
        <v>45</v>
      </c>
      <c r="V1402" s="91">
        <f>SUM(V1401:V1401)</f>
        <v>0</v>
      </c>
      <c r="W1402" s="91">
        <f>SUM(W1401:W1401)</f>
        <v>3052</v>
      </c>
      <c r="X1402" s="91">
        <f>SUM(X1401:X1401)</f>
        <v>-45</v>
      </c>
      <c r="Y1402" s="136"/>
      <c r="Z1402" s="136"/>
      <c r="AA1402" s="136"/>
      <c r="AB1402" s="84"/>
      <c r="AC1402" s="90"/>
      <c r="AD1402" s="90"/>
      <c r="AE1402" s="100">
        <f t="shared" si="2056"/>
        <v>3.2333333333333332E-2</v>
      </c>
      <c r="AF1402" s="90"/>
      <c r="AG1402" s="109">
        <f t="shared" si="2057"/>
        <v>0</v>
      </c>
      <c r="AH1402" s="100">
        <f t="shared" si="2058"/>
        <v>-1</v>
      </c>
      <c r="AI1402" s="100">
        <f t="shared" si="2059"/>
        <v>1.7333333333333333E-2</v>
      </c>
    </row>
    <row r="1403" spans="1:35" s="47" customFormat="1" ht="21" customHeight="1" x14ac:dyDescent="0.3">
      <c r="A1403" s="78"/>
      <c r="B1403" s="106" t="s">
        <v>53</v>
      </c>
      <c r="C1403" s="241" t="s">
        <v>468</v>
      </c>
      <c r="D1403" s="304">
        <v>22037659</v>
      </c>
      <c r="E1403" s="133" t="s">
        <v>469</v>
      </c>
      <c r="F1403" s="66">
        <v>1272</v>
      </c>
      <c r="G1403" s="66"/>
      <c r="H1403" s="66"/>
      <c r="I1403" s="66"/>
      <c r="J1403" s="66"/>
      <c r="K1403" s="78"/>
      <c r="L1403" s="66"/>
      <c r="M1403" s="66">
        <f>693+678</f>
        <v>1371</v>
      </c>
      <c r="N1403" s="110">
        <f>M1403-F1403</f>
        <v>99</v>
      </c>
      <c r="O1403" s="110"/>
      <c r="P1403" s="123"/>
      <c r="Q1403" s="123">
        <f>630+678+6</f>
        <v>1314</v>
      </c>
      <c r="R1403" s="83"/>
      <c r="S1403" s="83">
        <f>606+476+232</f>
        <v>1314</v>
      </c>
      <c r="T1403" s="110">
        <f>S1403-Q1403</f>
        <v>0</v>
      </c>
      <c r="U1403" s="59">
        <f t="shared" si="1799"/>
        <v>11</v>
      </c>
      <c r="V1403" s="66"/>
      <c r="W1403" s="66">
        <v>1303</v>
      </c>
      <c r="X1403" s="110">
        <f>W1403-M1403</f>
        <v>-68</v>
      </c>
      <c r="Y1403" s="110"/>
      <c r="Z1403" s="110"/>
      <c r="AA1403" s="110"/>
      <c r="AB1403" s="46"/>
      <c r="AC1403" s="78"/>
      <c r="AD1403" s="78"/>
      <c r="AE1403" s="100">
        <f t="shared" ref="AE1403:AE1408" si="2060">N1403/F1403</f>
        <v>7.783018867924528E-2</v>
      </c>
      <c r="AF1403" s="90"/>
      <c r="AG1403" s="109">
        <f t="shared" ref="AG1403:AG1408" si="2061">IF(N1403&lt;0,N1403,0)</f>
        <v>0</v>
      </c>
      <c r="AH1403" s="100">
        <f t="shared" ref="AH1403:AH1408" si="2062">(S1403-F1403)/F1403</f>
        <v>3.3018867924528301E-2</v>
      </c>
      <c r="AI1403" s="100">
        <f t="shared" ref="AI1403:AI1408" si="2063">(W1403-F1403)/F1403</f>
        <v>2.4371069182389939E-2</v>
      </c>
    </row>
    <row r="1404" spans="1:35" s="47" customFormat="1" ht="21" customHeight="1" x14ac:dyDescent="0.3">
      <c r="A1404" s="78"/>
      <c r="B1404" s="106" t="s">
        <v>53</v>
      </c>
      <c r="C1404" s="241" t="s">
        <v>468</v>
      </c>
      <c r="D1404" s="305"/>
      <c r="E1404" s="133" t="s">
        <v>470</v>
      </c>
      <c r="F1404" s="66">
        <v>480</v>
      </c>
      <c r="G1404" s="66"/>
      <c r="H1404" s="66"/>
      <c r="I1404" s="66"/>
      <c r="J1404" s="66"/>
      <c r="K1404" s="78"/>
      <c r="L1404" s="66"/>
      <c r="M1404" s="66">
        <f>502</f>
        <v>502</v>
      </c>
      <c r="N1404" s="110">
        <f>M1404-F1404</f>
        <v>22</v>
      </c>
      <c r="O1404" s="110"/>
      <c r="P1404" s="123"/>
      <c r="Q1404" s="123">
        <v>502</v>
      </c>
      <c r="R1404" s="83"/>
      <c r="S1404" s="83">
        <v>502</v>
      </c>
      <c r="T1404" s="110">
        <f>S1404-Q1404</f>
        <v>0</v>
      </c>
      <c r="U1404" s="59">
        <f t="shared" si="1799"/>
        <v>3</v>
      </c>
      <c r="V1404" s="66"/>
      <c r="W1404" s="66">
        <v>499</v>
      </c>
      <c r="X1404" s="110">
        <f>W1404-M1404</f>
        <v>-3</v>
      </c>
      <c r="Y1404" s="110"/>
      <c r="Z1404" s="110"/>
      <c r="AA1404" s="110"/>
      <c r="AB1404" s="46"/>
      <c r="AC1404" s="78"/>
      <c r="AD1404" s="78"/>
      <c r="AE1404" s="100">
        <f t="shared" ref="AE1404:AE1406" si="2064">N1404/F1404</f>
        <v>4.583333333333333E-2</v>
      </c>
      <c r="AF1404" s="90"/>
      <c r="AG1404" s="109">
        <f t="shared" ref="AG1404:AG1406" si="2065">IF(N1404&lt;0,N1404,0)</f>
        <v>0</v>
      </c>
      <c r="AH1404" s="100">
        <f t="shared" ref="AH1404:AH1406" si="2066">(S1404-F1404)/F1404</f>
        <v>4.583333333333333E-2</v>
      </c>
      <c r="AI1404" s="100">
        <f t="shared" ref="AI1404:AI1406" si="2067">(W1404-F1404)/F1404</f>
        <v>3.9583333333333331E-2</v>
      </c>
    </row>
    <row r="1405" spans="1:35" s="47" customFormat="1" ht="21" customHeight="1" x14ac:dyDescent="0.3">
      <c r="A1405" s="78"/>
      <c r="B1405" s="106" t="s">
        <v>53</v>
      </c>
      <c r="C1405" s="241" t="s">
        <v>468</v>
      </c>
      <c r="D1405" s="305"/>
      <c r="E1405" s="133" t="s">
        <v>471</v>
      </c>
      <c r="F1405" s="66">
        <v>1274</v>
      </c>
      <c r="G1405" s="66"/>
      <c r="H1405" s="66"/>
      <c r="I1405" s="66"/>
      <c r="J1405" s="66"/>
      <c r="K1405" s="78"/>
      <c r="L1405" s="66"/>
      <c r="M1405" s="66">
        <f>483+822</f>
        <v>1305</v>
      </c>
      <c r="N1405" s="110">
        <f>M1405-F1405</f>
        <v>31</v>
      </c>
      <c r="O1405" s="110"/>
      <c r="P1405" s="123"/>
      <c r="Q1405" s="123">
        <f>483+822</f>
        <v>1305</v>
      </c>
      <c r="R1405" s="83"/>
      <c r="S1405" s="83">
        <f>927+378</f>
        <v>1305</v>
      </c>
      <c r="T1405" s="110">
        <f>S1405-Q1405</f>
        <v>0</v>
      </c>
      <c r="U1405" s="59">
        <f t="shared" ref="U1405" si="2068">IF(Q1405&gt;0,S1405-W1405,M1405-W1405)</f>
        <v>1</v>
      </c>
      <c r="V1405" s="66"/>
      <c r="W1405" s="66">
        <v>1304</v>
      </c>
      <c r="X1405" s="110">
        <f>W1405-M1405</f>
        <v>-1</v>
      </c>
      <c r="Y1405" s="110"/>
      <c r="Z1405" s="110"/>
      <c r="AA1405" s="110"/>
      <c r="AB1405" s="46"/>
      <c r="AC1405" s="78"/>
      <c r="AD1405" s="78"/>
      <c r="AE1405" s="100">
        <f t="shared" ref="AE1405" si="2069">N1405/F1405</f>
        <v>2.4332810047095761E-2</v>
      </c>
      <c r="AF1405" s="90"/>
      <c r="AG1405" s="109">
        <f t="shared" ref="AG1405" si="2070">IF(N1405&lt;0,N1405,0)</f>
        <v>0</v>
      </c>
      <c r="AH1405" s="100">
        <f t="shared" ref="AH1405" si="2071">(S1405-F1405)/F1405</f>
        <v>2.4332810047095761E-2</v>
      </c>
      <c r="AI1405" s="100">
        <f t="shared" ref="AI1405" si="2072">(W1405-F1405)/F1405</f>
        <v>2.3547880690737835E-2</v>
      </c>
    </row>
    <row r="1406" spans="1:35" s="47" customFormat="1" ht="21" customHeight="1" x14ac:dyDescent="0.3">
      <c r="A1406" s="78"/>
      <c r="B1406" s="106" t="s">
        <v>53</v>
      </c>
      <c r="C1406" s="241" t="s">
        <v>468</v>
      </c>
      <c r="D1406" s="305"/>
      <c r="E1406" s="133" t="s">
        <v>472</v>
      </c>
      <c r="F1406" s="66">
        <v>1322</v>
      </c>
      <c r="G1406" s="66"/>
      <c r="H1406" s="66"/>
      <c r="I1406" s="66"/>
      <c r="J1406" s="66"/>
      <c r="K1406" s="78"/>
      <c r="L1406" s="66"/>
      <c r="M1406" s="66">
        <v>1356</v>
      </c>
      <c r="N1406" s="110">
        <f>M1406-F1406</f>
        <v>34</v>
      </c>
      <c r="O1406" s="110"/>
      <c r="P1406" s="123"/>
      <c r="Q1406" s="123">
        <f>630+726</f>
        <v>1356</v>
      </c>
      <c r="R1406" s="83"/>
      <c r="S1406" s="83">
        <f>537+566+247</f>
        <v>1350</v>
      </c>
      <c r="T1406" s="110">
        <f>S1406-Q1406</f>
        <v>-6</v>
      </c>
      <c r="U1406" s="59">
        <f t="shared" si="1799"/>
        <v>0</v>
      </c>
      <c r="V1406" s="66"/>
      <c r="W1406" s="66">
        <v>1350</v>
      </c>
      <c r="X1406" s="110">
        <f>W1406-M1406</f>
        <v>-6</v>
      </c>
      <c r="Y1406" s="110"/>
      <c r="Z1406" s="110"/>
      <c r="AA1406" s="110"/>
      <c r="AB1406" s="46"/>
      <c r="AC1406" s="78"/>
      <c r="AD1406" s="78"/>
      <c r="AE1406" s="100">
        <f t="shared" si="2064"/>
        <v>2.5718608169440244E-2</v>
      </c>
      <c r="AF1406" s="90"/>
      <c r="AG1406" s="109">
        <f t="shared" si="2065"/>
        <v>0</v>
      </c>
      <c r="AH1406" s="100">
        <f t="shared" si="2066"/>
        <v>2.118003025718608E-2</v>
      </c>
      <c r="AI1406" s="100">
        <f t="shared" si="2067"/>
        <v>2.118003025718608E-2</v>
      </c>
    </row>
    <row r="1407" spans="1:35" s="79" customFormat="1" ht="15.75" customHeight="1" x14ac:dyDescent="0.3">
      <c r="A1407" s="90" t="s">
        <v>46</v>
      </c>
      <c r="B1407" s="136" t="s">
        <v>53</v>
      </c>
      <c r="C1407" s="137"/>
      <c r="D1407" s="136"/>
      <c r="E1407" s="138"/>
      <c r="F1407" s="91">
        <f>SUM(F1403:F1406)</f>
        <v>4348</v>
      </c>
      <c r="G1407" s="91"/>
      <c r="H1407" s="91"/>
      <c r="I1407" s="91"/>
      <c r="J1407" s="91" t="s">
        <v>58</v>
      </c>
      <c r="K1407" s="65" t="s">
        <v>340</v>
      </c>
      <c r="L1407" s="91">
        <f>SUM(L1403:L1406)</f>
        <v>0</v>
      </c>
      <c r="M1407" s="91">
        <f>SUM(M1403:M1406)</f>
        <v>4534</v>
      </c>
      <c r="N1407" s="91">
        <f>SUM(N1403:N1406)</f>
        <v>186</v>
      </c>
      <c r="O1407" s="91" t="s">
        <v>501</v>
      </c>
      <c r="P1407" s="91">
        <f>SUM(P1403:P1406)</f>
        <v>0</v>
      </c>
      <c r="Q1407" s="91">
        <f>SUM(Q1403:Q1406)</f>
        <v>4477</v>
      </c>
      <c r="R1407" s="91">
        <f>SUM(R1403:R1406)</f>
        <v>0</v>
      </c>
      <c r="S1407" s="91">
        <f>SUM(S1403:S1406)</f>
        <v>4471</v>
      </c>
      <c r="T1407" s="91">
        <f>SUM(T1403:T1406)</f>
        <v>-6</v>
      </c>
      <c r="U1407" s="59">
        <f t="shared" si="1799"/>
        <v>15</v>
      </c>
      <c r="V1407" s="91">
        <f>SUM(V1403:V1406)</f>
        <v>0</v>
      </c>
      <c r="W1407" s="91">
        <f>SUM(W1403:W1406)</f>
        <v>4456</v>
      </c>
      <c r="X1407" s="91">
        <f>SUM(X1403:X1406)</f>
        <v>-78</v>
      </c>
      <c r="Y1407" s="136" t="s">
        <v>57</v>
      </c>
      <c r="Z1407" s="136" t="s">
        <v>45</v>
      </c>
      <c r="AA1407" s="136"/>
      <c r="AB1407" s="84"/>
      <c r="AC1407" s="90"/>
      <c r="AD1407" s="90"/>
      <c r="AE1407" s="100">
        <f t="shared" si="2060"/>
        <v>4.2778288868445265E-2</v>
      </c>
      <c r="AF1407" s="90"/>
      <c r="AG1407" s="109">
        <f t="shared" si="2061"/>
        <v>0</v>
      </c>
      <c r="AH1407" s="100">
        <f t="shared" si="2062"/>
        <v>2.828886844526219E-2</v>
      </c>
      <c r="AI1407" s="100">
        <f t="shared" si="2063"/>
        <v>2.4839006439742409E-2</v>
      </c>
    </row>
    <row r="1408" spans="1:35" s="47" customFormat="1" ht="21" customHeight="1" x14ac:dyDescent="0.3">
      <c r="A1408" s="78"/>
      <c r="B1408" s="106" t="s">
        <v>53</v>
      </c>
      <c r="C1408" s="157" t="s">
        <v>1024</v>
      </c>
      <c r="D1408" s="304">
        <v>22029227</v>
      </c>
      <c r="E1408" s="133" t="s">
        <v>117</v>
      </c>
      <c r="F1408" s="66">
        <v>3528</v>
      </c>
      <c r="G1408" s="66"/>
      <c r="H1408" s="66"/>
      <c r="I1408" s="66"/>
      <c r="J1408" s="66"/>
      <c r="K1408" s="78"/>
      <c r="L1408" s="66"/>
      <c r="M1408" s="123"/>
      <c r="N1408" s="110">
        <f>M1408-F1408</f>
        <v>-3528</v>
      </c>
      <c r="O1408" s="110"/>
      <c r="P1408" s="123"/>
      <c r="Q1408" s="123"/>
      <c r="R1408" s="66"/>
      <c r="S1408" s="66"/>
      <c r="T1408" s="110">
        <f>S1408-Q1408</f>
        <v>0</v>
      </c>
      <c r="U1408" s="59">
        <f t="shared" ref="U1408" si="2073">IF(Q1408&gt;0,S1408-W1408,M1408-W1408)</f>
        <v>0</v>
      </c>
      <c r="V1408" s="66"/>
      <c r="W1408" s="66"/>
      <c r="X1408" s="110">
        <f>W1408-M1408</f>
        <v>0</v>
      </c>
      <c r="Y1408" s="110"/>
      <c r="Z1408" s="110"/>
      <c r="AA1408" s="110"/>
      <c r="AB1408" s="46"/>
      <c r="AC1408" s="78"/>
      <c r="AD1408" s="78"/>
      <c r="AE1408" s="100">
        <f t="shared" si="2060"/>
        <v>-1</v>
      </c>
      <c r="AF1408" s="90"/>
      <c r="AG1408" s="109">
        <f t="shared" si="2061"/>
        <v>-3528</v>
      </c>
      <c r="AH1408" s="100">
        <f t="shared" si="2062"/>
        <v>-1</v>
      </c>
      <c r="AI1408" s="100">
        <f t="shared" si="2063"/>
        <v>-1</v>
      </c>
    </row>
    <row r="1409" spans="1:35" s="47" customFormat="1" ht="21" customHeight="1" x14ac:dyDescent="0.3">
      <c r="A1409" s="78"/>
      <c r="B1409" s="106" t="s">
        <v>53</v>
      </c>
      <c r="C1409" s="148" t="s">
        <v>1024</v>
      </c>
      <c r="D1409" s="306"/>
      <c r="E1409" s="133" t="s">
        <v>0</v>
      </c>
      <c r="F1409" s="66">
        <v>3528</v>
      </c>
      <c r="G1409" s="66"/>
      <c r="H1409" s="66"/>
      <c r="I1409" s="66"/>
      <c r="J1409" s="66"/>
      <c r="K1409" s="78"/>
      <c r="L1409" s="66"/>
      <c r="M1409" s="123"/>
      <c r="N1409" s="110">
        <f>M1409-F1409</f>
        <v>-3528</v>
      </c>
      <c r="O1409" s="110"/>
      <c r="P1409" s="123"/>
      <c r="Q1409" s="123"/>
      <c r="R1409" s="66"/>
      <c r="S1409" s="66"/>
      <c r="T1409" s="110">
        <f>S1409-Q1409</f>
        <v>0</v>
      </c>
      <c r="U1409" s="59">
        <f t="shared" si="1799"/>
        <v>0</v>
      </c>
      <c r="V1409" s="66"/>
      <c r="W1409" s="66"/>
      <c r="X1409" s="110">
        <f>W1409-M1409</f>
        <v>0</v>
      </c>
      <c r="Y1409" s="110"/>
      <c r="Z1409" s="110"/>
      <c r="AA1409" s="110"/>
      <c r="AB1409" s="46"/>
      <c r="AC1409" s="78"/>
      <c r="AD1409" s="78"/>
      <c r="AE1409" s="100">
        <f t="shared" ref="AE1409:AE1410" si="2074">N1409/F1409</f>
        <v>-1</v>
      </c>
      <c r="AF1409" s="90"/>
      <c r="AG1409" s="109">
        <f t="shared" ref="AG1409:AG1410" si="2075">IF(N1409&lt;0,N1409,0)</f>
        <v>-3528</v>
      </c>
      <c r="AH1409" s="100">
        <f t="shared" ref="AH1409:AH1410" si="2076">(S1409-F1409)/F1409</f>
        <v>-1</v>
      </c>
      <c r="AI1409" s="100">
        <f t="shared" ref="AI1409:AI1410" si="2077">(W1409-F1409)/F1409</f>
        <v>-1</v>
      </c>
    </row>
    <row r="1410" spans="1:35" s="79" customFormat="1" ht="15.75" customHeight="1" x14ac:dyDescent="0.3">
      <c r="A1410" s="90" t="s">
        <v>46</v>
      </c>
      <c r="B1410" s="136" t="s">
        <v>53</v>
      </c>
      <c r="C1410" s="137"/>
      <c r="D1410" s="136"/>
      <c r="E1410" s="138"/>
      <c r="F1410" s="91">
        <f>SUM(F1408:F1409)</f>
        <v>7056</v>
      </c>
      <c r="G1410" s="91"/>
      <c r="H1410" s="91"/>
      <c r="I1410" s="91"/>
      <c r="J1410" s="91" t="s">
        <v>60</v>
      </c>
      <c r="K1410" s="65" t="s">
        <v>377</v>
      </c>
      <c r="L1410" s="91">
        <f>SUM(L1408:L1409)</f>
        <v>0</v>
      </c>
      <c r="M1410" s="91">
        <f t="shared" ref="M1410:X1410" si="2078">SUM(M1408:M1409)</f>
        <v>0</v>
      </c>
      <c r="N1410" s="91">
        <f t="shared" si="2078"/>
        <v>-7056</v>
      </c>
      <c r="O1410" s="91"/>
      <c r="P1410" s="91">
        <f t="shared" si="2078"/>
        <v>0</v>
      </c>
      <c r="Q1410" s="91">
        <f t="shared" si="2078"/>
        <v>0</v>
      </c>
      <c r="R1410" s="91">
        <f t="shared" si="2078"/>
        <v>0</v>
      </c>
      <c r="S1410" s="91">
        <f t="shared" si="2078"/>
        <v>0</v>
      </c>
      <c r="T1410" s="91">
        <f t="shared" si="2078"/>
        <v>0</v>
      </c>
      <c r="U1410" s="91">
        <f t="shared" si="2078"/>
        <v>0</v>
      </c>
      <c r="V1410" s="91">
        <f t="shared" si="2078"/>
        <v>0</v>
      </c>
      <c r="W1410" s="91">
        <f t="shared" si="2078"/>
        <v>0</v>
      </c>
      <c r="X1410" s="91">
        <f t="shared" si="2078"/>
        <v>0</v>
      </c>
      <c r="Y1410" s="136"/>
      <c r="Z1410" s="136"/>
      <c r="AA1410" s="136"/>
      <c r="AB1410" s="84"/>
      <c r="AC1410" s="90"/>
      <c r="AD1410" s="90"/>
      <c r="AE1410" s="100">
        <f t="shared" si="2074"/>
        <v>-1</v>
      </c>
      <c r="AF1410" s="90"/>
      <c r="AG1410" s="109">
        <f t="shared" si="2075"/>
        <v>-7056</v>
      </c>
      <c r="AH1410" s="100">
        <f t="shared" si="2076"/>
        <v>-1</v>
      </c>
      <c r="AI1410" s="100">
        <f t="shared" si="2077"/>
        <v>-1</v>
      </c>
    </row>
    <row r="1411" spans="1:35" s="47" customFormat="1" ht="21" customHeight="1" x14ac:dyDescent="0.3">
      <c r="A1411" s="78"/>
      <c r="B1411" s="106" t="s">
        <v>53</v>
      </c>
      <c r="C1411" s="117" t="s">
        <v>782</v>
      </c>
      <c r="D1411" s="299">
        <v>22039183</v>
      </c>
      <c r="E1411" s="127" t="s">
        <v>0</v>
      </c>
      <c r="F1411" s="66">
        <v>2008</v>
      </c>
      <c r="G1411" s="66"/>
      <c r="H1411" s="66"/>
      <c r="I1411" s="66"/>
      <c r="J1411" s="66"/>
      <c r="K1411" s="78"/>
      <c r="L1411" s="66"/>
      <c r="M1411" s="66">
        <f>240+492+240+244+248+30+148+5+204+164+24+10</f>
        <v>2049</v>
      </c>
      <c r="N1411" s="110">
        <f>M1411-F1411</f>
        <v>41</v>
      </c>
      <c r="O1411" s="110"/>
      <c r="P1411" s="66"/>
      <c r="Q1411" s="66">
        <f>492+240+484+230+201+204+164+24+10</f>
        <v>2049</v>
      </c>
      <c r="R1411" s="66"/>
      <c r="S1411" s="66">
        <f>1588+59+370+18</f>
        <v>2035</v>
      </c>
      <c r="T1411" s="110">
        <f>S1411-Q1411</f>
        <v>-14</v>
      </c>
      <c r="U1411" s="59">
        <f t="shared" ref="U1411:U1509" si="2079">IF(Q1411&gt;0,S1411-W1411,M1411-W1411)</f>
        <v>0</v>
      </c>
      <c r="V1411" s="66"/>
      <c r="W1411" s="66">
        <f>1641+394</f>
        <v>2035</v>
      </c>
      <c r="X1411" s="110">
        <f>W1411-M1411</f>
        <v>-14</v>
      </c>
      <c r="Y1411" s="110"/>
      <c r="Z1411" s="110"/>
      <c r="AA1411" s="110"/>
      <c r="AB1411" s="46"/>
      <c r="AC1411" s="78"/>
      <c r="AD1411" s="78"/>
      <c r="AE1411" s="100">
        <f t="shared" ref="AE1411:AE1414" si="2080">N1411/F1411</f>
        <v>2.0418326693227091E-2</v>
      </c>
      <c r="AF1411" s="90"/>
      <c r="AG1411" s="109">
        <f t="shared" ref="AG1411:AG1414" si="2081">IF(N1411&lt;0,N1411,0)</f>
        <v>0</v>
      </c>
      <c r="AH1411" s="100">
        <f t="shared" ref="AH1411:AH1414" si="2082">(S1411-F1411)/F1411</f>
        <v>1.3446215139442231E-2</v>
      </c>
      <c r="AI1411" s="100">
        <f t="shared" ref="AI1411:AI1414" si="2083">(W1411-F1411)/F1411</f>
        <v>1.3446215139442231E-2</v>
      </c>
    </row>
    <row r="1412" spans="1:35" s="47" customFormat="1" ht="21" customHeight="1" x14ac:dyDescent="0.3">
      <c r="A1412" s="78"/>
      <c r="B1412" s="106" t="s">
        <v>53</v>
      </c>
      <c r="C1412" s="117" t="s">
        <v>782</v>
      </c>
      <c r="D1412" s="300"/>
      <c r="E1412" s="127" t="s">
        <v>134</v>
      </c>
      <c r="F1412" s="66">
        <v>2008</v>
      </c>
      <c r="G1412" s="66"/>
      <c r="H1412" s="66"/>
      <c r="I1412" s="66"/>
      <c r="J1412" s="66"/>
      <c r="K1412" s="78"/>
      <c r="L1412" s="66"/>
      <c r="M1412" s="66">
        <f>960+250+704+69+41+26</f>
        <v>2050</v>
      </c>
      <c r="N1412" s="110">
        <f>M1412-F1412</f>
        <v>42</v>
      </c>
      <c r="O1412" s="110"/>
      <c r="P1412" s="66"/>
      <c r="Q1412" s="66">
        <f>480+480+434+493+69+68+26</f>
        <v>2050</v>
      </c>
      <c r="R1412" s="66"/>
      <c r="S1412" s="66">
        <f>958+954+18+96+11</f>
        <v>2037</v>
      </c>
      <c r="T1412" s="110">
        <f>S1412-Q1412</f>
        <v>-13</v>
      </c>
      <c r="U1412" s="59">
        <f t="shared" si="2079"/>
        <v>0</v>
      </c>
      <c r="V1412" s="66"/>
      <c r="W1412" s="66">
        <f>1930+107</f>
        <v>2037</v>
      </c>
      <c r="X1412" s="110">
        <f>W1412-M1412</f>
        <v>-13</v>
      </c>
      <c r="Y1412" s="110"/>
      <c r="Z1412" s="110"/>
      <c r="AA1412" s="110"/>
      <c r="AB1412" s="46"/>
      <c r="AC1412" s="78"/>
      <c r="AD1412" s="78"/>
      <c r="AE1412" s="100">
        <f t="shared" si="2080"/>
        <v>2.091633466135458E-2</v>
      </c>
      <c r="AF1412" s="90"/>
      <c r="AG1412" s="109">
        <f t="shared" si="2081"/>
        <v>0</v>
      </c>
      <c r="AH1412" s="100">
        <f t="shared" si="2082"/>
        <v>1.444223107569721E-2</v>
      </c>
      <c r="AI1412" s="100">
        <f t="shared" si="2083"/>
        <v>1.444223107569721E-2</v>
      </c>
    </row>
    <row r="1413" spans="1:35" s="47" customFormat="1" ht="21" customHeight="1" x14ac:dyDescent="0.3">
      <c r="A1413" s="78"/>
      <c r="B1413" s="106" t="s">
        <v>53</v>
      </c>
      <c r="C1413" s="117" t="s">
        <v>782</v>
      </c>
      <c r="D1413" s="300"/>
      <c r="E1413" s="127" t="s">
        <v>97</v>
      </c>
      <c r="F1413" s="66">
        <v>1508</v>
      </c>
      <c r="G1413" s="66"/>
      <c r="H1413" s="66"/>
      <c r="I1413" s="66"/>
      <c r="J1413" s="66"/>
      <c r="K1413" s="78"/>
      <c r="L1413" s="66"/>
      <c r="M1413" s="66">
        <f>240+176+346+78+364+126+209</f>
        <v>1539</v>
      </c>
      <c r="N1413" s="110">
        <f>M1413-F1413</f>
        <v>31</v>
      </c>
      <c r="O1413" s="110"/>
      <c r="P1413" s="66"/>
      <c r="Q1413" s="66">
        <f>416+260+152+364+126+209+12</f>
        <v>1539</v>
      </c>
      <c r="R1413" s="66"/>
      <c r="S1413" s="66">
        <f>787+358+375+14</f>
        <v>1534</v>
      </c>
      <c r="T1413" s="110">
        <f>S1413-Q1413</f>
        <v>-5</v>
      </c>
      <c r="U1413" s="59">
        <f t="shared" si="2079"/>
        <v>0</v>
      </c>
      <c r="V1413" s="66"/>
      <c r="W1413" s="66">
        <f>1520+14</f>
        <v>1534</v>
      </c>
      <c r="X1413" s="110">
        <f>W1413-M1413</f>
        <v>-5</v>
      </c>
      <c r="Y1413" s="110"/>
      <c r="Z1413" s="110"/>
      <c r="AA1413" s="110"/>
      <c r="AB1413" s="46"/>
      <c r="AC1413" s="78"/>
      <c r="AD1413" s="78"/>
      <c r="AE1413" s="100">
        <f t="shared" si="2080"/>
        <v>2.0557029177718834E-2</v>
      </c>
      <c r="AF1413" s="90"/>
      <c r="AG1413" s="109">
        <f t="shared" si="2081"/>
        <v>0</v>
      </c>
      <c r="AH1413" s="100">
        <f t="shared" si="2082"/>
        <v>1.7241379310344827E-2</v>
      </c>
      <c r="AI1413" s="100">
        <f t="shared" si="2083"/>
        <v>1.7241379310344827E-2</v>
      </c>
    </row>
    <row r="1414" spans="1:35" s="79" customFormat="1" ht="15.75" customHeight="1" x14ac:dyDescent="0.3">
      <c r="A1414" s="90" t="s">
        <v>46</v>
      </c>
      <c r="B1414" s="136" t="s">
        <v>53</v>
      </c>
      <c r="C1414" s="137"/>
      <c r="D1414" s="136"/>
      <c r="E1414" s="138"/>
      <c r="F1414" s="91">
        <f>SUM(F1411:F1413)</f>
        <v>5524</v>
      </c>
      <c r="G1414" s="91"/>
      <c r="H1414" s="91"/>
      <c r="I1414" s="91"/>
      <c r="J1414" s="91" t="s">
        <v>58</v>
      </c>
      <c r="K1414" s="65" t="s">
        <v>290</v>
      </c>
      <c r="L1414" s="91">
        <f>SUM(L1411:L1413)</f>
        <v>0</v>
      </c>
      <c r="M1414" s="91">
        <f>SUM(M1411:M1413)</f>
        <v>5638</v>
      </c>
      <c r="N1414" s="91">
        <f>SUM(N1411:N1413)</f>
        <v>114</v>
      </c>
      <c r="O1414" s="91" t="s">
        <v>851</v>
      </c>
      <c r="P1414" s="91">
        <f>SUM(P1411:P1413)</f>
        <v>0</v>
      </c>
      <c r="Q1414" s="91">
        <f>SUM(Q1411:Q1413)</f>
        <v>5638</v>
      </c>
      <c r="R1414" s="91">
        <f>SUM(R1411:R1413)</f>
        <v>0</v>
      </c>
      <c r="S1414" s="91">
        <f>SUM(S1411:S1413)</f>
        <v>5606</v>
      </c>
      <c r="T1414" s="91">
        <f>SUM(T1411:T1413)</f>
        <v>-32</v>
      </c>
      <c r="U1414" s="59">
        <f t="shared" si="2079"/>
        <v>0</v>
      </c>
      <c r="V1414" s="91">
        <f>SUM(V1411:V1413)</f>
        <v>0</v>
      </c>
      <c r="W1414" s="91">
        <f>SUM(W1411:W1413)</f>
        <v>5606</v>
      </c>
      <c r="X1414" s="91">
        <f>SUM(X1411:X1413)</f>
        <v>-32</v>
      </c>
      <c r="Y1414" s="136" t="s">
        <v>47</v>
      </c>
      <c r="Z1414" s="136" t="s">
        <v>45</v>
      </c>
      <c r="AA1414" s="136"/>
      <c r="AB1414" s="84"/>
      <c r="AC1414" s="90"/>
      <c r="AD1414" s="90"/>
      <c r="AE1414" s="100">
        <f t="shared" si="2080"/>
        <v>2.0637219406227373E-2</v>
      </c>
      <c r="AF1414" s="90"/>
      <c r="AG1414" s="109">
        <f t="shared" si="2081"/>
        <v>0</v>
      </c>
      <c r="AH1414" s="100">
        <f t="shared" si="2082"/>
        <v>1.4844315713251267E-2</v>
      </c>
      <c r="AI1414" s="100">
        <f t="shared" si="2083"/>
        <v>1.4844315713251267E-2</v>
      </c>
    </row>
    <row r="1415" spans="1:35" s="47" customFormat="1" ht="21" customHeight="1" x14ac:dyDescent="0.3">
      <c r="A1415" s="78"/>
      <c r="B1415" s="106" t="s">
        <v>53</v>
      </c>
      <c r="C1415" s="117">
        <v>47811</v>
      </c>
      <c r="D1415" s="299">
        <v>22039022</v>
      </c>
      <c r="E1415" s="133" t="s">
        <v>464</v>
      </c>
      <c r="F1415" s="66">
        <v>1213</v>
      </c>
      <c r="G1415" s="66"/>
      <c r="H1415" s="66"/>
      <c r="I1415" s="66"/>
      <c r="J1415" s="66"/>
      <c r="K1415" s="78"/>
      <c r="L1415" s="66"/>
      <c r="M1415" s="66">
        <f>1051+65</f>
        <v>1116</v>
      </c>
      <c r="N1415" s="110">
        <f t="shared" ref="N1415:N1416" si="2084">M1415-F1415</f>
        <v>-97</v>
      </c>
      <c r="O1415" s="110"/>
      <c r="P1415" s="66"/>
      <c r="Q1415" s="66">
        <f>516+275+260+62</f>
        <v>1113</v>
      </c>
      <c r="R1415" s="66"/>
      <c r="S1415" s="66">
        <v>1047</v>
      </c>
      <c r="T1415" s="110">
        <f t="shared" ref="T1415:T1416" si="2085">S1415-Q1415</f>
        <v>-66</v>
      </c>
      <c r="U1415" s="59">
        <f t="shared" ref="U1415:U1452" si="2086">IF(Q1415&gt;0,S1415-W1415,M1415-W1415)</f>
        <v>4</v>
      </c>
      <c r="V1415" s="66"/>
      <c r="W1415" s="66">
        <v>1043</v>
      </c>
      <c r="X1415" s="110">
        <f t="shared" ref="X1415:X1416" si="2087">W1415-M1415</f>
        <v>-73</v>
      </c>
      <c r="Y1415" s="110"/>
      <c r="Z1415" s="110"/>
      <c r="AA1415" s="110"/>
      <c r="AB1415" s="46"/>
      <c r="AC1415" s="78"/>
      <c r="AD1415" s="78"/>
      <c r="AE1415" s="100">
        <f t="shared" ref="AE1415:AE1452" si="2088">N1415/F1415</f>
        <v>-7.996702390766694E-2</v>
      </c>
      <c r="AF1415" s="90"/>
      <c r="AG1415" s="109">
        <f t="shared" ref="AG1415:AG1452" si="2089">IF(N1415&lt;0,N1415,0)</f>
        <v>-97</v>
      </c>
      <c r="AH1415" s="100">
        <f t="shared" ref="AH1415:AH1452" si="2090">(S1415-F1415)/F1415</f>
        <v>-0.1368507831821929</v>
      </c>
      <c r="AI1415" s="100">
        <f t="shared" ref="AI1415:AI1452" si="2091">(W1415-F1415)/F1415</f>
        <v>-0.14014839241549876</v>
      </c>
    </row>
    <row r="1416" spans="1:35" s="47" customFormat="1" ht="21" customHeight="1" x14ac:dyDescent="0.3">
      <c r="A1416" s="78"/>
      <c r="B1416" s="106" t="s">
        <v>53</v>
      </c>
      <c r="C1416" s="117">
        <v>47811</v>
      </c>
      <c r="D1416" s="300"/>
      <c r="E1416" s="133" t="s">
        <v>465</v>
      </c>
      <c r="F1416" s="66">
        <v>914</v>
      </c>
      <c r="G1416" s="66"/>
      <c r="H1416" s="66"/>
      <c r="I1416" s="66"/>
      <c r="J1416" s="66"/>
      <c r="K1416" s="78"/>
      <c r="L1416" s="66"/>
      <c r="M1416" s="66">
        <f>627+190+36</f>
        <v>853</v>
      </c>
      <c r="N1416" s="110">
        <f t="shared" si="2084"/>
        <v>-61</v>
      </c>
      <c r="O1416" s="110"/>
      <c r="P1416" s="66"/>
      <c r="Q1416" s="66">
        <f>627+181+36</f>
        <v>844</v>
      </c>
      <c r="R1416" s="66"/>
      <c r="S1416" s="66">
        <f>179+615</f>
        <v>794</v>
      </c>
      <c r="T1416" s="110">
        <f t="shared" si="2085"/>
        <v>-50</v>
      </c>
      <c r="U1416" s="59">
        <f t="shared" si="2086"/>
        <v>0</v>
      </c>
      <c r="V1416" s="66"/>
      <c r="W1416" s="66">
        <v>794</v>
      </c>
      <c r="X1416" s="110">
        <f t="shared" si="2087"/>
        <v>-59</v>
      </c>
      <c r="Y1416" s="110"/>
      <c r="Z1416" s="110"/>
      <c r="AA1416" s="110"/>
      <c r="AB1416" s="46"/>
      <c r="AC1416" s="78"/>
      <c r="AD1416" s="78"/>
      <c r="AE1416" s="100">
        <f t="shared" si="2088"/>
        <v>-6.6739606126914666E-2</v>
      </c>
      <c r="AF1416" s="90"/>
      <c r="AG1416" s="109">
        <f t="shared" si="2089"/>
        <v>-61</v>
      </c>
      <c r="AH1416" s="100">
        <f t="shared" si="2090"/>
        <v>-0.13129102844638948</v>
      </c>
      <c r="AI1416" s="100">
        <f t="shared" si="2091"/>
        <v>-0.13129102844638948</v>
      </c>
    </row>
    <row r="1417" spans="1:35" s="79" customFormat="1" ht="15.75" customHeight="1" x14ac:dyDescent="0.3">
      <c r="A1417" s="90" t="s">
        <v>46</v>
      </c>
      <c r="B1417" s="136" t="s">
        <v>53</v>
      </c>
      <c r="C1417" s="137"/>
      <c r="D1417" s="136"/>
      <c r="E1417" s="138"/>
      <c r="F1417" s="91">
        <f>SUM(F1415:F1416)</f>
        <v>2127</v>
      </c>
      <c r="G1417" s="91"/>
      <c r="H1417" s="91"/>
      <c r="I1417" s="91"/>
      <c r="J1417" s="91" t="s">
        <v>58</v>
      </c>
      <c r="K1417" s="65" t="s">
        <v>298</v>
      </c>
      <c r="L1417" s="91">
        <f>SUM(L1415:L1416)</f>
        <v>0</v>
      </c>
      <c r="M1417" s="91">
        <f>SUM(M1415:M1416)</f>
        <v>1969</v>
      </c>
      <c r="N1417" s="91">
        <f>SUM(N1415:N1416)</f>
        <v>-158</v>
      </c>
      <c r="O1417" s="91" t="s">
        <v>668</v>
      </c>
      <c r="P1417" s="91">
        <f>SUM(P1415:P1416)</f>
        <v>0</v>
      </c>
      <c r="Q1417" s="91">
        <f>SUM(Q1415:Q1416)</f>
        <v>1957</v>
      </c>
      <c r="R1417" s="91">
        <f>SUM(R1415:R1416)</f>
        <v>0</v>
      </c>
      <c r="S1417" s="91">
        <f>SUM(S1415:S1416)</f>
        <v>1841</v>
      </c>
      <c r="T1417" s="91">
        <f>SUM(T1415:T1416)</f>
        <v>-116</v>
      </c>
      <c r="U1417" s="59">
        <f t="shared" si="2086"/>
        <v>4</v>
      </c>
      <c r="V1417" s="91">
        <f>SUM(V1415:V1416)</f>
        <v>0</v>
      </c>
      <c r="W1417" s="91">
        <f>SUM(W1415:W1416)</f>
        <v>1837</v>
      </c>
      <c r="X1417" s="91">
        <f>SUM(X1415:X1416)</f>
        <v>-132</v>
      </c>
      <c r="Y1417" s="136" t="s">
        <v>47</v>
      </c>
      <c r="Z1417" s="136" t="s">
        <v>45</v>
      </c>
      <c r="AA1417" s="136"/>
      <c r="AB1417" s="84"/>
      <c r="AC1417" s="90"/>
      <c r="AD1417" s="90"/>
      <c r="AE1417" s="100">
        <f t="shared" si="2088"/>
        <v>-7.4283027738598961E-2</v>
      </c>
      <c r="AF1417" s="90"/>
      <c r="AG1417" s="109">
        <f t="shared" si="2089"/>
        <v>-158</v>
      </c>
      <c r="AH1417" s="100">
        <f t="shared" si="2090"/>
        <v>-0.13446168312176776</v>
      </c>
      <c r="AI1417" s="100">
        <f t="shared" si="2091"/>
        <v>-0.13634226610249178</v>
      </c>
    </row>
    <row r="1418" spans="1:35" s="47" customFormat="1" ht="21" customHeight="1" x14ac:dyDescent="0.3">
      <c r="A1418" s="78"/>
      <c r="B1418" s="106" t="s">
        <v>53</v>
      </c>
      <c r="C1418" s="117">
        <v>47812</v>
      </c>
      <c r="D1418" s="229">
        <v>22040834</v>
      </c>
      <c r="E1418" s="133" t="s">
        <v>464</v>
      </c>
      <c r="F1418" s="66">
        <v>493</v>
      </c>
      <c r="G1418" s="66"/>
      <c r="H1418" s="66"/>
      <c r="I1418" s="66"/>
      <c r="J1418" s="66"/>
      <c r="K1418" s="78"/>
      <c r="L1418" s="66"/>
      <c r="M1418" s="66">
        <f>513</f>
        <v>513</v>
      </c>
      <c r="N1418" s="110">
        <f t="shared" ref="N1418" si="2092">M1418-F1418</f>
        <v>20</v>
      </c>
      <c r="O1418" s="110"/>
      <c r="P1418" s="66"/>
      <c r="Q1418" s="66">
        <f>360+153</f>
        <v>513</v>
      </c>
      <c r="R1418" s="66"/>
      <c r="S1418" s="66">
        <f>360+153</f>
        <v>513</v>
      </c>
      <c r="T1418" s="110">
        <f t="shared" ref="T1418" si="2093">S1418-Q1418</f>
        <v>0</v>
      </c>
      <c r="U1418" s="59">
        <f t="shared" si="2086"/>
        <v>4</v>
      </c>
      <c r="V1418" s="66"/>
      <c r="W1418" s="66">
        <v>509</v>
      </c>
      <c r="X1418" s="110">
        <f t="shared" ref="X1418" si="2094">W1418-M1418</f>
        <v>-4</v>
      </c>
      <c r="Y1418" s="110"/>
      <c r="Z1418" s="110"/>
      <c r="AA1418" s="110"/>
      <c r="AB1418" s="46"/>
      <c r="AC1418" s="78"/>
      <c r="AD1418" s="78"/>
      <c r="AE1418" s="100">
        <f t="shared" si="2088"/>
        <v>4.0567951318458417E-2</v>
      </c>
      <c r="AF1418" s="90"/>
      <c r="AG1418" s="109">
        <f t="shared" si="2089"/>
        <v>0</v>
      </c>
      <c r="AH1418" s="100">
        <f t="shared" si="2090"/>
        <v>4.0567951318458417E-2</v>
      </c>
      <c r="AI1418" s="100">
        <f t="shared" si="2091"/>
        <v>3.2454361054766734E-2</v>
      </c>
    </row>
    <row r="1419" spans="1:35" s="79" customFormat="1" ht="15.75" customHeight="1" x14ac:dyDescent="0.3">
      <c r="A1419" s="90" t="s">
        <v>46</v>
      </c>
      <c r="B1419" s="136" t="s">
        <v>53</v>
      </c>
      <c r="C1419" s="137"/>
      <c r="D1419" s="136"/>
      <c r="E1419" s="138"/>
      <c r="F1419" s="91">
        <f>SUM(F1418:F1418)</f>
        <v>493</v>
      </c>
      <c r="G1419" s="91"/>
      <c r="H1419" s="91"/>
      <c r="I1419" s="91"/>
      <c r="J1419" s="91" t="s">
        <v>58</v>
      </c>
      <c r="K1419" s="65" t="s">
        <v>340</v>
      </c>
      <c r="L1419" s="91">
        <f>SUM(L1418:L1418)</f>
        <v>0</v>
      </c>
      <c r="M1419" s="91">
        <f>SUM(M1418:M1418)</f>
        <v>513</v>
      </c>
      <c r="N1419" s="91">
        <f>SUM(N1418:N1418)</f>
        <v>20</v>
      </c>
      <c r="O1419" s="91" t="s">
        <v>266</v>
      </c>
      <c r="P1419" s="91">
        <f>SUM(P1418:P1418)</f>
        <v>0</v>
      </c>
      <c r="Q1419" s="91">
        <f>SUM(Q1418:Q1418)</f>
        <v>513</v>
      </c>
      <c r="R1419" s="91">
        <f>SUM(R1418:R1418)</f>
        <v>0</v>
      </c>
      <c r="S1419" s="91">
        <f>SUM(S1418:S1418)</f>
        <v>513</v>
      </c>
      <c r="T1419" s="91">
        <f>SUM(T1418:T1418)</f>
        <v>0</v>
      </c>
      <c r="U1419" s="59">
        <f t="shared" si="2086"/>
        <v>4</v>
      </c>
      <c r="V1419" s="91">
        <f>SUM(V1418:V1418)</f>
        <v>0</v>
      </c>
      <c r="W1419" s="91">
        <f>SUM(W1418:W1418)</f>
        <v>509</v>
      </c>
      <c r="X1419" s="91">
        <f>SUM(X1418:X1418)</f>
        <v>-4</v>
      </c>
      <c r="Y1419" s="136" t="s">
        <v>47</v>
      </c>
      <c r="Z1419" s="136" t="s">
        <v>45</v>
      </c>
      <c r="AA1419" s="136"/>
      <c r="AB1419" s="84"/>
      <c r="AC1419" s="90"/>
      <c r="AD1419" s="90"/>
      <c r="AE1419" s="100">
        <f t="shared" si="2088"/>
        <v>4.0567951318458417E-2</v>
      </c>
      <c r="AF1419" s="90"/>
      <c r="AG1419" s="109">
        <f t="shared" si="2089"/>
        <v>0</v>
      </c>
      <c r="AH1419" s="100">
        <f t="shared" si="2090"/>
        <v>4.0567951318458417E-2</v>
      </c>
      <c r="AI1419" s="100">
        <f t="shared" si="2091"/>
        <v>3.2454361054766734E-2</v>
      </c>
    </row>
    <row r="1420" spans="1:35" s="47" customFormat="1" ht="21" customHeight="1" x14ac:dyDescent="0.3">
      <c r="A1420" s="78"/>
      <c r="B1420" s="106" t="s">
        <v>53</v>
      </c>
      <c r="C1420" s="117" t="s">
        <v>783</v>
      </c>
      <c r="D1420" s="299">
        <v>22029226</v>
      </c>
      <c r="E1420" s="133" t="s">
        <v>97</v>
      </c>
      <c r="F1420" s="66">
        <v>2008</v>
      </c>
      <c r="G1420" s="66"/>
      <c r="H1420" s="66"/>
      <c r="I1420" s="66"/>
      <c r="J1420" s="66"/>
      <c r="K1420" s="78"/>
      <c r="L1420" s="66"/>
      <c r="M1420" s="66">
        <f>413+448+645+147+189+64+202</f>
        <v>2108</v>
      </c>
      <c r="N1420" s="110">
        <f t="shared" ref="N1420:N1423" si="2095">M1420-F1420</f>
        <v>100</v>
      </c>
      <c r="O1420" s="110"/>
      <c r="P1420" s="66"/>
      <c r="Q1420" s="66"/>
      <c r="R1420" s="66"/>
      <c r="S1420" s="66"/>
      <c r="T1420" s="110">
        <f t="shared" ref="T1420:T1423" si="2096">S1420-Q1420</f>
        <v>0</v>
      </c>
      <c r="U1420" s="59">
        <f t="shared" si="2086"/>
        <v>49</v>
      </c>
      <c r="V1420" s="66"/>
      <c r="W1420" s="66">
        <f>1857+202</f>
        <v>2059</v>
      </c>
      <c r="X1420" s="110">
        <f t="shared" ref="X1420:X1423" si="2097">W1420-M1420</f>
        <v>-49</v>
      </c>
      <c r="Y1420" s="110"/>
      <c r="Z1420" s="110"/>
      <c r="AA1420" s="110"/>
      <c r="AB1420" s="46"/>
      <c r="AC1420" s="78"/>
      <c r="AD1420" s="78"/>
      <c r="AE1420" s="100">
        <f t="shared" si="2088"/>
        <v>4.9800796812749001E-2</v>
      </c>
      <c r="AF1420" s="90"/>
      <c r="AG1420" s="109">
        <f t="shared" si="2089"/>
        <v>0</v>
      </c>
      <c r="AH1420" s="100">
        <f t="shared" si="2090"/>
        <v>-1</v>
      </c>
      <c r="AI1420" s="100">
        <f t="shared" si="2091"/>
        <v>2.5398406374501994E-2</v>
      </c>
    </row>
    <row r="1421" spans="1:35" s="47" customFormat="1" ht="21" customHeight="1" x14ac:dyDescent="0.3">
      <c r="A1421" s="78"/>
      <c r="B1421" s="106" t="s">
        <v>53</v>
      </c>
      <c r="C1421" s="117" t="s">
        <v>783</v>
      </c>
      <c r="D1421" s="300"/>
      <c r="E1421" s="127" t="s">
        <v>49</v>
      </c>
      <c r="F1421" s="66">
        <v>3008</v>
      </c>
      <c r="G1421" s="66"/>
      <c r="H1421" s="66"/>
      <c r="I1421" s="66"/>
      <c r="J1421" s="66"/>
      <c r="K1421" s="78"/>
      <c r="L1421" s="66"/>
      <c r="M1421" s="66">
        <f>868+308+434+420+693</f>
        <v>2723</v>
      </c>
      <c r="N1421" s="110">
        <f t="shared" si="2095"/>
        <v>-285</v>
      </c>
      <c r="O1421" s="110"/>
      <c r="P1421" s="66"/>
      <c r="Q1421" s="66"/>
      <c r="R1421" s="66"/>
      <c r="S1421" s="66"/>
      <c r="T1421" s="110">
        <f t="shared" si="2096"/>
        <v>0</v>
      </c>
      <c r="U1421" s="59">
        <f t="shared" si="2086"/>
        <v>81</v>
      </c>
      <c r="V1421" s="66"/>
      <c r="W1421" s="66">
        <v>2642</v>
      </c>
      <c r="X1421" s="110">
        <f t="shared" si="2097"/>
        <v>-81</v>
      </c>
      <c r="Y1421" s="110"/>
      <c r="Z1421" s="110"/>
      <c r="AA1421" s="110"/>
      <c r="AB1421" s="46"/>
      <c r="AC1421" s="78"/>
      <c r="AD1421" s="78"/>
      <c r="AE1421" s="100">
        <f t="shared" si="2088"/>
        <v>-9.4747340425531915E-2</v>
      </c>
      <c r="AF1421" s="90"/>
      <c r="AG1421" s="109">
        <f t="shared" si="2089"/>
        <v>-285</v>
      </c>
      <c r="AH1421" s="100">
        <f t="shared" si="2090"/>
        <v>-1</v>
      </c>
      <c r="AI1421" s="100">
        <f t="shared" si="2091"/>
        <v>-0.12167553191489362</v>
      </c>
    </row>
    <row r="1422" spans="1:35" s="47" customFormat="1" ht="21" customHeight="1" x14ac:dyDescent="0.3">
      <c r="A1422" s="78"/>
      <c r="B1422" s="106" t="s">
        <v>53</v>
      </c>
      <c r="C1422" s="117" t="s">
        <v>783</v>
      </c>
      <c r="D1422" s="300"/>
      <c r="E1422" s="127" t="s">
        <v>0</v>
      </c>
      <c r="F1422" s="66">
        <v>3008</v>
      </c>
      <c r="G1422" s="66"/>
      <c r="H1422" s="66"/>
      <c r="I1422" s="66"/>
      <c r="J1422" s="66"/>
      <c r="K1422" s="78"/>
      <c r="L1422" s="66"/>
      <c r="M1422" s="66">
        <f>455+504+322+580+548+108+12+519</f>
        <v>3048</v>
      </c>
      <c r="N1422" s="110">
        <f t="shared" si="2095"/>
        <v>40</v>
      </c>
      <c r="O1422" s="110"/>
      <c r="P1422" s="66"/>
      <c r="Q1422" s="66"/>
      <c r="R1422" s="66"/>
      <c r="S1422" s="66"/>
      <c r="T1422" s="110">
        <f t="shared" si="2096"/>
        <v>0</v>
      </c>
      <c r="U1422" s="59">
        <f t="shared" si="2086"/>
        <v>0</v>
      </c>
      <c r="V1422" s="66"/>
      <c r="W1422" s="66">
        <f>1762+1286</f>
        <v>3048</v>
      </c>
      <c r="X1422" s="110">
        <f t="shared" si="2097"/>
        <v>0</v>
      </c>
      <c r="Y1422" s="110"/>
      <c r="Z1422" s="110"/>
      <c r="AA1422" s="110"/>
      <c r="AB1422" s="46"/>
      <c r="AC1422" s="78"/>
      <c r="AD1422" s="78"/>
      <c r="AE1422" s="100">
        <f t="shared" si="2088"/>
        <v>1.3297872340425532E-2</v>
      </c>
      <c r="AF1422" s="90"/>
      <c r="AG1422" s="109">
        <f t="shared" si="2089"/>
        <v>0</v>
      </c>
      <c r="AH1422" s="100">
        <f t="shared" si="2090"/>
        <v>-1</v>
      </c>
      <c r="AI1422" s="100">
        <f t="shared" si="2091"/>
        <v>1.3297872340425532E-2</v>
      </c>
    </row>
    <row r="1423" spans="1:35" s="47" customFormat="1" ht="21" customHeight="1" x14ac:dyDescent="0.3">
      <c r="A1423" s="78"/>
      <c r="B1423" s="106" t="s">
        <v>53</v>
      </c>
      <c r="C1423" s="117" t="s">
        <v>783</v>
      </c>
      <c r="D1423" s="300"/>
      <c r="E1423" s="127" t="s">
        <v>117</v>
      </c>
      <c r="F1423" s="66">
        <v>3008</v>
      </c>
      <c r="G1423" s="66"/>
      <c r="H1423" s="66"/>
      <c r="I1423" s="66"/>
      <c r="J1423" s="66"/>
      <c r="K1423" s="78"/>
      <c r="L1423" s="66"/>
      <c r="M1423" s="66">
        <f>381+854+343+626+322+381+128</f>
        <v>3035</v>
      </c>
      <c r="N1423" s="110">
        <f t="shared" si="2095"/>
        <v>27</v>
      </c>
      <c r="O1423" s="110"/>
      <c r="P1423" s="66"/>
      <c r="Q1423" s="66"/>
      <c r="R1423" s="66"/>
      <c r="S1423" s="66"/>
      <c r="T1423" s="110">
        <f t="shared" si="2096"/>
        <v>0</v>
      </c>
      <c r="U1423" s="59">
        <f t="shared" si="2086"/>
        <v>0</v>
      </c>
      <c r="V1423" s="66"/>
      <c r="W1423" s="66">
        <f>2907+128</f>
        <v>3035</v>
      </c>
      <c r="X1423" s="110">
        <f t="shared" si="2097"/>
        <v>0</v>
      </c>
      <c r="Y1423" s="110"/>
      <c r="Z1423" s="110"/>
      <c r="AA1423" s="110"/>
      <c r="AB1423" s="46"/>
      <c r="AC1423" s="78"/>
      <c r="AD1423" s="78"/>
      <c r="AE1423" s="100">
        <f t="shared" si="2088"/>
        <v>8.9760638297872349E-3</v>
      </c>
      <c r="AF1423" s="90"/>
      <c r="AG1423" s="109">
        <f t="shared" si="2089"/>
        <v>0</v>
      </c>
      <c r="AH1423" s="100">
        <f t="shared" si="2090"/>
        <v>-1</v>
      </c>
      <c r="AI1423" s="100">
        <f t="shared" si="2091"/>
        <v>8.9760638297872349E-3</v>
      </c>
    </row>
    <row r="1424" spans="1:35" s="79" customFormat="1" ht="15.75" customHeight="1" x14ac:dyDescent="0.3">
      <c r="A1424" s="90" t="s">
        <v>46</v>
      </c>
      <c r="B1424" s="136" t="s">
        <v>53</v>
      </c>
      <c r="C1424" s="137"/>
      <c r="D1424" s="136"/>
      <c r="E1424" s="138"/>
      <c r="F1424" s="91">
        <f>SUM(F1420:F1423)</f>
        <v>11032</v>
      </c>
      <c r="G1424" s="91"/>
      <c r="H1424" s="91"/>
      <c r="I1424" s="91"/>
      <c r="J1424" s="91" t="s">
        <v>58</v>
      </c>
      <c r="K1424" s="65" t="s">
        <v>226</v>
      </c>
      <c r="L1424" s="91">
        <f>SUM(L1420:L1423)</f>
        <v>0</v>
      </c>
      <c r="M1424" s="91">
        <f>SUM(M1420:M1423)</f>
        <v>10914</v>
      </c>
      <c r="N1424" s="91">
        <f>SUM(N1420:N1423)</f>
        <v>-118</v>
      </c>
      <c r="O1424" s="91"/>
      <c r="P1424" s="91">
        <f>SUM(P1420:P1423)</f>
        <v>0</v>
      </c>
      <c r="Q1424" s="91">
        <f>SUM(Q1420:Q1423)</f>
        <v>0</v>
      </c>
      <c r="R1424" s="91">
        <f>SUM(R1420:R1423)</f>
        <v>0</v>
      </c>
      <c r="S1424" s="91">
        <f>SUM(S1420:S1423)</f>
        <v>0</v>
      </c>
      <c r="T1424" s="91">
        <f>SUM(T1420:T1423)</f>
        <v>0</v>
      </c>
      <c r="U1424" s="59">
        <f t="shared" si="2086"/>
        <v>130</v>
      </c>
      <c r="V1424" s="91">
        <f>SUM(V1420:V1423)</f>
        <v>0</v>
      </c>
      <c r="W1424" s="91">
        <f>SUM(W1420:W1423)</f>
        <v>10784</v>
      </c>
      <c r="X1424" s="91">
        <f>SUM(X1420:X1423)</f>
        <v>-130</v>
      </c>
      <c r="Y1424" s="136"/>
      <c r="Z1424" s="136"/>
      <c r="AA1424" s="136"/>
      <c r="AB1424" s="84"/>
      <c r="AC1424" s="90"/>
      <c r="AD1424" s="90"/>
      <c r="AE1424" s="100">
        <f t="shared" si="2088"/>
        <v>-1.069615663524293E-2</v>
      </c>
      <c r="AF1424" s="90"/>
      <c r="AG1424" s="109">
        <f t="shared" si="2089"/>
        <v>-118</v>
      </c>
      <c r="AH1424" s="100">
        <f t="shared" si="2090"/>
        <v>-1</v>
      </c>
      <c r="AI1424" s="100">
        <f t="shared" si="2091"/>
        <v>-2.2480058013052938E-2</v>
      </c>
    </row>
    <row r="1425" spans="1:35" s="47" customFormat="1" ht="21" customHeight="1" x14ac:dyDescent="0.3">
      <c r="A1425" s="78"/>
      <c r="B1425" s="106" t="s">
        <v>53</v>
      </c>
      <c r="C1425" s="117" t="s">
        <v>784</v>
      </c>
      <c r="D1425" s="254">
        <v>22029226</v>
      </c>
      <c r="E1425" s="133" t="s">
        <v>133</v>
      </c>
      <c r="F1425" s="66">
        <v>1508</v>
      </c>
      <c r="G1425" s="66"/>
      <c r="H1425" s="66"/>
      <c r="I1425" s="66"/>
      <c r="J1425" s="66"/>
      <c r="K1425" s="78"/>
      <c r="L1425" s="66"/>
      <c r="M1425" s="66"/>
      <c r="N1425" s="110">
        <f t="shared" ref="N1425" si="2098">M1425-F1425</f>
        <v>-1508</v>
      </c>
      <c r="O1425" s="110"/>
      <c r="P1425" s="66"/>
      <c r="Q1425" s="66"/>
      <c r="R1425" s="66"/>
      <c r="S1425" s="66"/>
      <c r="T1425" s="110">
        <f t="shared" ref="T1425" si="2099">S1425-Q1425</f>
        <v>0</v>
      </c>
      <c r="U1425" s="59">
        <f t="shared" si="2086"/>
        <v>0</v>
      </c>
      <c r="V1425" s="66"/>
      <c r="W1425" s="66"/>
      <c r="X1425" s="110">
        <f t="shared" ref="X1425" si="2100">W1425-M1425</f>
        <v>0</v>
      </c>
      <c r="Y1425" s="110"/>
      <c r="Z1425" s="110"/>
      <c r="AA1425" s="110"/>
      <c r="AB1425" s="46"/>
      <c r="AC1425" s="78"/>
      <c r="AD1425" s="78"/>
      <c r="AE1425" s="100">
        <f t="shared" si="2088"/>
        <v>-1</v>
      </c>
      <c r="AF1425" s="90"/>
      <c r="AG1425" s="109">
        <f t="shared" si="2089"/>
        <v>-1508</v>
      </c>
      <c r="AH1425" s="100">
        <f t="shared" si="2090"/>
        <v>-1</v>
      </c>
      <c r="AI1425" s="100">
        <f t="shared" si="2091"/>
        <v>-1</v>
      </c>
    </row>
    <row r="1426" spans="1:35" s="79" customFormat="1" ht="15.75" customHeight="1" x14ac:dyDescent="0.3">
      <c r="A1426" s="90" t="s">
        <v>46</v>
      </c>
      <c r="B1426" s="136" t="s">
        <v>53</v>
      </c>
      <c r="C1426" s="137"/>
      <c r="D1426" s="136"/>
      <c r="E1426" s="138"/>
      <c r="F1426" s="91">
        <f>SUM(F1425:F1425)</f>
        <v>1508</v>
      </c>
      <c r="G1426" s="91"/>
      <c r="H1426" s="91"/>
      <c r="I1426" s="91"/>
      <c r="J1426" s="91" t="s">
        <v>58</v>
      </c>
      <c r="K1426" s="65" t="s">
        <v>377</v>
      </c>
      <c r="L1426" s="91">
        <f>SUM(L1425:L1425)</f>
        <v>0</v>
      </c>
      <c r="M1426" s="91">
        <f>SUM(M1425:M1425)</f>
        <v>0</v>
      </c>
      <c r="N1426" s="91">
        <f>SUM(N1425:N1425)</f>
        <v>-1508</v>
      </c>
      <c r="O1426" s="91"/>
      <c r="P1426" s="91">
        <f>SUM(P1425:P1425)</f>
        <v>0</v>
      </c>
      <c r="Q1426" s="91">
        <f>SUM(Q1425:Q1425)</f>
        <v>0</v>
      </c>
      <c r="R1426" s="91">
        <f>SUM(R1425:R1425)</f>
        <v>0</v>
      </c>
      <c r="S1426" s="91">
        <f>SUM(S1425:S1425)</f>
        <v>0</v>
      </c>
      <c r="T1426" s="91">
        <f>SUM(T1425:T1425)</f>
        <v>0</v>
      </c>
      <c r="U1426" s="59">
        <f t="shared" si="2086"/>
        <v>0</v>
      </c>
      <c r="V1426" s="91">
        <f>SUM(V1425:V1425)</f>
        <v>0</v>
      </c>
      <c r="W1426" s="91">
        <f>SUM(W1425:W1425)</f>
        <v>0</v>
      </c>
      <c r="X1426" s="91">
        <f>SUM(X1425:X1425)</f>
        <v>0</v>
      </c>
      <c r="Y1426" s="136"/>
      <c r="Z1426" s="136"/>
      <c r="AA1426" s="136"/>
      <c r="AB1426" s="84"/>
      <c r="AC1426" s="90"/>
      <c r="AD1426" s="90"/>
      <c r="AE1426" s="100">
        <f t="shared" si="2088"/>
        <v>-1</v>
      </c>
      <c r="AF1426" s="90"/>
      <c r="AG1426" s="109">
        <f t="shared" si="2089"/>
        <v>-1508</v>
      </c>
      <c r="AH1426" s="100">
        <f t="shared" si="2090"/>
        <v>-1</v>
      </c>
      <c r="AI1426" s="100">
        <f t="shared" si="2091"/>
        <v>-1</v>
      </c>
    </row>
    <row r="1427" spans="1:35" s="47" customFormat="1" ht="21" customHeight="1" x14ac:dyDescent="0.3">
      <c r="A1427" s="78"/>
      <c r="B1427" s="106" t="s">
        <v>53</v>
      </c>
      <c r="C1427" s="117" t="s">
        <v>785</v>
      </c>
      <c r="D1427" s="257">
        <v>22029226</v>
      </c>
      <c r="E1427" s="127" t="s">
        <v>49</v>
      </c>
      <c r="F1427" s="66">
        <v>1008</v>
      </c>
      <c r="G1427" s="66"/>
      <c r="H1427" s="66"/>
      <c r="I1427" s="66"/>
      <c r="J1427" s="66"/>
      <c r="K1427" s="78"/>
      <c r="L1427" s="66"/>
      <c r="M1427" s="66"/>
      <c r="N1427" s="110">
        <f t="shared" ref="N1427" si="2101">M1427-F1427</f>
        <v>-1008</v>
      </c>
      <c r="O1427" s="110"/>
      <c r="P1427" s="66"/>
      <c r="Q1427" s="66"/>
      <c r="R1427" s="66"/>
      <c r="S1427" s="66"/>
      <c r="T1427" s="110">
        <f t="shared" ref="T1427" si="2102">S1427-Q1427</f>
        <v>0</v>
      </c>
      <c r="U1427" s="59">
        <f t="shared" si="2086"/>
        <v>0</v>
      </c>
      <c r="V1427" s="66"/>
      <c r="W1427" s="66"/>
      <c r="X1427" s="110">
        <f t="shared" ref="X1427" si="2103">W1427-M1427</f>
        <v>0</v>
      </c>
      <c r="Y1427" s="110"/>
      <c r="Z1427" s="110"/>
      <c r="AA1427" s="110"/>
      <c r="AB1427" s="46"/>
      <c r="AC1427" s="78"/>
      <c r="AD1427" s="78"/>
      <c r="AE1427" s="100">
        <f t="shared" si="2088"/>
        <v>-1</v>
      </c>
      <c r="AF1427" s="90"/>
      <c r="AG1427" s="109">
        <f t="shared" si="2089"/>
        <v>-1008</v>
      </c>
      <c r="AH1427" s="100">
        <f t="shared" si="2090"/>
        <v>-1</v>
      </c>
      <c r="AI1427" s="100">
        <f t="shared" si="2091"/>
        <v>-1</v>
      </c>
    </row>
    <row r="1428" spans="1:35" s="79" customFormat="1" ht="15.75" customHeight="1" x14ac:dyDescent="0.3">
      <c r="A1428" s="90" t="s">
        <v>46</v>
      </c>
      <c r="B1428" s="136" t="s">
        <v>53</v>
      </c>
      <c r="C1428" s="137"/>
      <c r="D1428" s="136"/>
      <c r="E1428" s="138"/>
      <c r="F1428" s="91">
        <f>SUM(F1427:F1427)</f>
        <v>1008</v>
      </c>
      <c r="G1428" s="91"/>
      <c r="H1428" s="91"/>
      <c r="I1428" s="91"/>
      <c r="J1428" s="91" t="s">
        <v>58</v>
      </c>
      <c r="K1428" s="65" t="s">
        <v>401</v>
      </c>
      <c r="L1428" s="91">
        <f>SUM(L1427:L1427)</f>
        <v>0</v>
      </c>
      <c r="M1428" s="91">
        <f>SUM(M1427:M1427)</f>
        <v>0</v>
      </c>
      <c r="N1428" s="91">
        <f>SUM(N1427:N1427)</f>
        <v>-1008</v>
      </c>
      <c r="O1428" s="91"/>
      <c r="P1428" s="91">
        <f>SUM(P1427:P1427)</f>
        <v>0</v>
      </c>
      <c r="Q1428" s="91">
        <f>SUM(Q1427:Q1427)</f>
        <v>0</v>
      </c>
      <c r="R1428" s="91">
        <f>SUM(R1427:R1427)</f>
        <v>0</v>
      </c>
      <c r="S1428" s="91">
        <f>SUM(S1427:S1427)</f>
        <v>0</v>
      </c>
      <c r="T1428" s="91">
        <f>SUM(T1427:T1427)</f>
        <v>0</v>
      </c>
      <c r="U1428" s="59">
        <f t="shared" si="2086"/>
        <v>0</v>
      </c>
      <c r="V1428" s="91">
        <f>SUM(V1427:V1427)</f>
        <v>0</v>
      </c>
      <c r="W1428" s="91">
        <f>SUM(W1427:W1427)</f>
        <v>0</v>
      </c>
      <c r="X1428" s="91">
        <f>SUM(X1427:X1427)</f>
        <v>0</v>
      </c>
      <c r="Y1428" s="136"/>
      <c r="Z1428" s="136"/>
      <c r="AA1428" s="136"/>
      <c r="AB1428" s="84"/>
      <c r="AC1428" s="90"/>
      <c r="AD1428" s="90"/>
      <c r="AE1428" s="100">
        <f t="shared" si="2088"/>
        <v>-1</v>
      </c>
      <c r="AF1428" s="90"/>
      <c r="AG1428" s="109">
        <f t="shared" si="2089"/>
        <v>-1008</v>
      </c>
      <c r="AH1428" s="100">
        <f t="shared" si="2090"/>
        <v>-1</v>
      </c>
      <c r="AI1428" s="100">
        <f t="shared" si="2091"/>
        <v>-1</v>
      </c>
    </row>
    <row r="1429" spans="1:35" s="47" customFormat="1" ht="21" customHeight="1" x14ac:dyDescent="0.3">
      <c r="A1429" s="78"/>
      <c r="B1429" s="106" t="s">
        <v>53</v>
      </c>
      <c r="C1429" s="117" t="s">
        <v>974</v>
      </c>
      <c r="D1429" s="299">
        <v>22029226</v>
      </c>
      <c r="E1429" s="133" t="s">
        <v>267</v>
      </c>
      <c r="F1429" s="66">
        <v>2008</v>
      </c>
      <c r="G1429" s="66"/>
      <c r="H1429" s="66"/>
      <c r="I1429" s="66"/>
      <c r="J1429" s="66"/>
      <c r="K1429" s="78"/>
      <c r="L1429" s="66"/>
      <c r="M1429" s="66"/>
      <c r="N1429" s="110">
        <f t="shared" ref="N1429:N1431" si="2104">M1429-F1429</f>
        <v>-2008</v>
      </c>
      <c r="O1429" s="110"/>
      <c r="P1429" s="66"/>
      <c r="Q1429" s="66"/>
      <c r="R1429" s="66"/>
      <c r="S1429" s="66"/>
      <c r="T1429" s="110">
        <f t="shared" ref="T1429:T1431" si="2105">S1429-Q1429</f>
        <v>0</v>
      </c>
      <c r="U1429" s="59">
        <f t="shared" ref="U1429:U1432" si="2106">IF(Q1429&gt;0,S1429-W1429,M1429-W1429)</f>
        <v>0</v>
      </c>
      <c r="V1429" s="66"/>
      <c r="W1429" s="66"/>
      <c r="X1429" s="110">
        <f t="shared" ref="X1429:X1431" si="2107">W1429-M1429</f>
        <v>0</v>
      </c>
      <c r="Y1429" s="110"/>
      <c r="Z1429" s="110"/>
      <c r="AA1429" s="110"/>
      <c r="AB1429" s="46"/>
      <c r="AC1429" s="78"/>
      <c r="AD1429" s="78"/>
      <c r="AE1429" s="100">
        <f t="shared" ref="AE1429:AE1432" si="2108">N1429/F1429</f>
        <v>-1</v>
      </c>
      <c r="AF1429" s="90"/>
      <c r="AG1429" s="109">
        <f t="shared" ref="AG1429:AG1432" si="2109">IF(N1429&lt;0,N1429,0)</f>
        <v>-2008</v>
      </c>
      <c r="AH1429" s="100">
        <f t="shared" ref="AH1429:AH1432" si="2110">(S1429-F1429)/F1429</f>
        <v>-1</v>
      </c>
      <c r="AI1429" s="100">
        <f t="shared" ref="AI1429:AI1432" si="2111">(W1429-F1429)/F1429</f>
        <v>-1</v>
      </c>
    </row>
    <row r="1430" spans="1:35" s="47" customFormat="1" ht="21" customHeight="1" x14ac:dyDescent="0.3">
      <c r="A1430" s="78"/>
      <c r="B1430" s="106" t="s">
        <v>53</v>
      </c>
      <c r="C1430" s="117" t="s">
        <v>974</v>
      </c>
      <c r="D1430" s="300"/>
      <c r="E1430" s="133" t="s">
        <v>269</v>
      </c>
      <c r="F1430" s="66">
        <v>1008</v>
      </c>
      <c r="G1430" s="66"/>
      <c r="H1430" s="66"/>
      <c r="I1430" s="66"/>
      <c r="J1430" s="66"/>
      <c r="K1430" s="78"/>
      <c r="L1430" s="66"/>
      <c r="M1430" s="66"/>
      <c r="N1430" s="110">
        <f t="shared" si="2104"/>
        <v>-1008</v>
      </c>
      <c r="O1430" s="110"/>
      <c r="P1430" s="66"/>
      <c r="Q1430" s="66"/>
      <c r="R1430" s="66"/>
      <c r="S1430" s="66"/>
      <c r="T1430" s="110">
        <f t="shared" si="2105"/>
        <v>0</v>
      </c>
      <c r="U1430" s="59">
        <f t="shared" si="2106"/>
        <v>0</v>
      </c>
      <c r="V1430" s="66"/>
      <c r="W1430" s="66"/>
      <c r="X1430" s="110">
        <f t="shared" si="2107"/>
        <v>0</v>
      </c>
      <c r="Y1430" s="110"/>
      <c r="Z1430" s="110"/>
      <c r="AA1430" s="110"/>
      <c r="AB1430" s="46"/>
      <c r="AC1430" s="78"/>
      <c r="AD1430" s="78"/>
      <c r="AE1430" s="100">
        <f t="shared" si="2108"/>
        <v>-1</v>
      </c>
      <c r="AF1430" s="90"/>
      <c r="AG1430" s="109">
        <f t="shared" si="2109"/>
        <v>-1008</v>
      </c>
      <c r="AH1430" s="100">
        <f t="shared" si="2110"/>
        <v>-1</v>
      </c>
      <c r="AI1430" s="100">
        <f t="shared" si="2111"/>
        <v>-1</v>
      </c>
    </row>
    <row r="1431" spans="1:35" s="47" customFormat="1" ht="21" customHeight="1" x14ac:dyDescent="0.3">
      <c r="A1431" s="78"/>
      <c r="B1431" s="106" t="s">
        <v>53</v>
      </c>
      <c r="C1431" s="117" t="s">
        <v>974</v>
      </c>
      <c r="D1431" s="300"/>
      <c r="E1431" s="127" t="s">
        <v>268</v>
      </c>
      <c r="F1431" s="66">
        <v>1008</v>
      </c>
      <c r="G1431" s="66"/>
      <c r="H1431" s="66"/>
      <c r="I1431" s="66"/>
      <c r="J1431" s="66"/>
      <c r="K1431" s="78"/>
      <c r="L1431" s="66"/>
      <c r="M1431" s="66"/>
      <c r="N1431" s="110">
        <f t="shared" si="2104"/>
        <v>-1008</v>
      </c>
      <c r="O1431" s="110"/>
      <c r="P1431" s="66"/>
      <c r="Q1431" s="66"/>
      <c r="R1431" s="66"/>
      <c r="S1431" s="66"/>
      <c r="T1431" s="110">
        <f t="shared" si="2105"/>
        <v>0</v>
      </c>
      <c r="U1431" s="59">
        <f t="shared" si="2106"/>
        <v>0</v>
      </c>
      <c r="V1431" s="66"/>
      <c r="W1431" s="66"/>
      <c r="X1431" s="110">
        <f t="shared" si="2107"/>
        <v>0</v>
      </c>
      <c r="Y1431" s="110"/>
      <c r="Z1431" s="110"/>
      <c r="AA1431" s="110"/>
      <c r="AB1431" s="46"/>
      <c r="AC1431" s="78"/>
      <c r="AD1431" s="78"/>
      <c r="AE1431" s="100">
        <f t="shared" si="2108"/>
        <v>-1</v>
      </c>
      <c r="AF1431" s="90"/>
      <c r="AG1431" s="109">
        <f t="shared" si="2109"/>
        <v>-1008</v>
      </c>
      <c r="AH1431" s="100">
        <f t="shared" si="2110"/>
        <v>-1</v>
      </c>
      <c r="AI1431" s="100">
        <f t="shared" si="2111"/>
        <v>-1</v>
      </c>
    </row>
    <row r="1432" spans="1:35" s="79" customFormat="1" ht="15.75" customHeight="1" x14ac:dyDescent="0.3">
      <c r="A1432" s="90" t="s">
        <v>46</v>
      </c>
      <c r="B1432" s="136" t="s">
        <v>53</v>
      </c>
      <c r="C1432" s="137"/>
      <c r="D1432" s="136"/>
      <c r="E1432" s="138"/>
      <c r="F1432" s="91">
        <f>SUM(F1429:F1431)</f>
        <v>4024</v>
      </c>
      <c r="G1432" s="91"/>
      <c r="H1432" s="91"/>
      <c r="I1432" s="91"/>
      <c r="J1432" s="91" t="s">
        <v>58</v>
      </c>
      <c r="K1432" s="65" t="s">
        <v>436</v>
      </c>
      <c r="L1432" s="91">
        <f>SUM(L1429:L1431)</f>
        <v>0</v>
      </c>
      <c r="M1432" s="91">
        <f>SUM(M1429:M1431)</f>
        <v>0</v>
      </c>
      <c r="N1432" s="91">
        <f>SUM(N1429:N1431)</f>
        <v>-4024</v>
      </c>
      <c r="O1432" s="91"/>
      <c r="P1432" s="91">
        <f>SUM(P1429:P1431)</f>
        <v>0</v>
      </c>
      <c r="Q1432" s="91">
        <f>SUM(Q1429:Q1431)</f>
        <v>0</v>
      </c>
      <c r="R1432" s="91">
        <f>SUM(R1429:R1431)</f>
        <v>0</v>
      </c>
      <c r="S1432" s="91">
        <f>SUM(S1429:S1431)</f>
        <v>0</v>
      </c>
      <c r="T1432" s="91">
        <f>SUM(T1429:T1431)</f>
        <v>0</v>
      </c>
      <c r="U1432" s="59">
        <f t="shared" si="2106"/>
        <v>0</v>
      </c>
      <c r="V1432" s="91">
        <f>SUM(V1429:V1431)</f>
        <v>0</v>
      </c>
      <c r="W1432" s="91">
        <f>SUM(W1429:W1431)</f>
        <v>0</v>
      </c>
      <c r="X1432" s="91">
        <f>SUM(X1429:X1431)</f>
        <v>0</v>
      </c>
      <c r="Y1432" s="136"/>
      <c r="Z1432" s="136"/>
      <c r="AA1432" s="136"/>
      <c r="AB1432" s="84"/>
      <c r="AC1432" s="90"/>
      <c r="AD1432" s="90"/>
      <c r="AE1432" s="100">
        <f t="shared" si="2108"/>
        <v>-1</v>
      </c>
      <c r="AF1432" s="90"/>
      <c r="AG1432" s="109">
        <f t="shared" si="2109"/>
        <v>-4024</v>
      </c>
      <c r="AH1432" s="100">
        <f t="shared" si="2110"/>
        <v>-1</v>
      </c>
      <c r="AI1432" s="100">
        <f t="shared" si="2111"/>
        <v>-1</v>
      </c>
    </row>
    <row r="1433" spans="1:35" s="47" customFormat="1" ht="21" customHeight="1" x14ac:dyDescent="0.3">
      <c r="A1433" s="78"/>
      <c r="B1433" s="106" t="s">
        <v>53</v>
      </c>
      <c r="C1433" s="117" t="s">
        <v>975</v>
      </c>
      <c r="D1433" s="299">
        <v>22029226</v>
      </c>
      <c r="E1433" s="133" t="s">
        <v>97</v>
      </c>
      <c r="F1433" s="66">
        <v>2008</v>
      </c>
      <c r="G1433" s="66"/>
      <c r="H1433" s="66"/>
      <c r="I1433" s="66"/>
      <c r="J1433" s="66"/>
      <c r="K1433" s="78"/>
      <c r="L1433" s="66"/>
      <c r="M1433" s="66"/>
      <c r="N1433" s="110">
        <f t="shared" ref="N1433:N1437" si="2112">M1433-F1433</f>
        <v>-2008</v>
      </c>
      <c r="O1433" s="110"/>
      <c r="P1433" s="66"/>
      <c r="Q1433" s="66"/>
      <c r="R1433" s="66"/>
      <c r="S1433" s="66"/>
      <c r="T1433" s="110">
        <f t="shared" ref="T1433:T1437" si="2113">S1433-Q1433</f>
        <v>0</v>
      </c>
      <c r="U1433" s="59">
        <f t="shared" si="2086"/>
        <v>0</v>
      </c>
      <c r="V1433" s="66"/>
      <c r="W1433" s="66"/>
      <c r="X1433" s="110">
        <f t="shared" ref="X1433:X1437" si="2114">W1433-M1433</f>
        <v>0</v>
      </c>
      <c r="Y1433" s="110"/>
      <c r="Z1433" s="110"/>
      <c r="AA1433" s="110"/>
      <c r="AB1433" s="46"/>
      <c r="AC1433" s="78"/>
      <c r="AD1433" s="78"/>
      <c r="AE1433" s="100">
        <f t="shared" si="2088"/>
        <v>-1</v>
      </c>
      <c r="AF1433" s="90"/>
      <c r="AG1433" s="109">
        <f t="shared" si="2089"/>
        <v>-2008</v>
      </c>
      <c r="AH1433" s="100">
        <f t="shared" si="2090"/>
        <v>-1</v>
      </c>
      <c r="AI1433" s="100">
        <f t="shared" si="2091"/>
        <v>-1</v>
      </c>
    </row>
    <row r="1434" spans="1:35" s="47" customFormat="1" ht="21" customHeight="1" x14ac:dyDescent="0.3">
      <c r="A1434" s="78"/>
      <c r="B1434" s="106" t="s">
        <v>53</v>
      </c>
      <c r="C1434" s="117" t="s">
        <v>975</v>
      </c>
      <c r="D1434" s="300"/>
      <c r="E1434" s="133" t="s">
        <v>41</v>
      </c>
      <c r="F1434" s="66">
        <v>1008</v>
      </c>
      <c r="G1434" s="66"/>
      <c r="H1434" s="66"/>
      <c r="I1434" s="66"/>
      <c r="J1434" s="66"/>
      <c r="K1434" s="78"/>
      <c r="L1434" s="66"/>
      <c r="M1434" s="66"/>
      <c r="N1434" s="110">
        <f t="shared" ref="N1434:N1435" si="2115">M1434-F1434</f>
        <v>-1008</v>
      </c>
      <c r="O1434" s="110"/>
      <c r="P1434" s="66"/>
      <c r="Q1434" s="66"/>
      <c r="R1434" s="66"/>
      <c r="S1434" s="66"/>
      <c r="T1434" s="110">
        <f t="shared" ref="T1434:T1435" si="2116">S1434-Q1434</f>
        <v>0</v>
      </c>
      <c r="U1434" s="59">
        <f t="shared" ref="U1434:U1435" si="2117">IF(Q1434&gt;0,S1434-W1434,M1434-W1434)</f>
        <v>0</v>
      </c>
      <c r="V1434" s="66"/>
      <c r="W1434" s="66"/>
      <c r="X1434" s="110">
        <f t="shared" ref="X1434:X1435" si="2118">W1434-M1434</f>
        <v>0</v>
      </c>
      <c r="Y1434" s="110"/>
      <c r="Z1434" s="110"/>
      <c r="AA1434" s="110"/>
      <c r="AB1434" s="46"/>
      <c r="AC1434" s="78"/>
      <c r="AD1434" s="78"/>
      <c r="AE1434" s="100">
        <f t="shared" ref="AE1434:AE1435" si="2119">N1434/F1434</f>
        <v>-1</v>
      </c>
      <c r="AF1434" s="90"/>
      <c r="AG1434" s="109">
        <f t="shared" ref="AG1434:AG1435" si="2120">IF(N1434&lt;0,N1434,0)</f>
        <v>-1008</v>
      </c>
      <c r="AH1434" s="100">
        <f t="shared" ref="AH1434:AH1435" si="2121">(S1434-F1434)/F1434</f>
        <v>-1</v>
      </c>
      <c r="AI1434" s="100">
        <f t="shared" ref="AI1434:AI1435" si="2122">(W1434-F1434)/F1434</f>
        <v>-1</v>
      </c>
    </row>
    <row r="1435" spans="1:35" s="47" customFormat="1" ht="21" customHeight="1" x14ac:dyDescent="0.3">
      <c r="A1435" s="78"/>
      <c r="B1435" s="106" t="s">
        <v>53</v>
      </c>
      <c r="C1435" s="117" t="s">
        <v>975</v>
      </c>
      <c r="D1435" s="300"/>
      <c r="E1435" s="127" t="s">
        <v>117</v>
      </c>
      <c r="F1435" s="66">
        <v>3008</v>
      </c>
      <c r="G1435" s="66"/>
      <c r="H1435" s="66"/>
      <c r="I1435" s="66"/>
      <c r="J1435" s="66"/>
      <c r="K1435" s="78"/>
      <c r="L1435" s="66"/>
      <c r="M1435" s="66"/>
      <c r="N1435" s="110">
        <f t="shared" si="2115"/>
        <v>-3008</v>
      </c>
      <c r="O1435" s="110"/>
      <c r="P1435" s="66"/>
      <c r="Q1435" s="66"/>
      <c r="R1435" s="66"/>
      <c r="S1435" s="66"/>
      <c r="T1435" s="110">
        <f t="shared" si="2116"/>
        <v>0</v>
      </c>
      <c r="U1435" s="59">
        <f t="shared" si="2117"/>
        <v>0</v>
      </c>
      <c r="V1435" s="66"/>
      <c r="W1435" s="66"/>
      <c r="X1435" s="110">
        <f t="shared" si="2118"/>
        <v>0</v>
      </c>
      <c r="Y1435" s="110"/>
      <c r="Z1435" s="110"/>
      <c r="AA1435" s="110"/>
      <c r="AB1435" s="46"/>
      <c r="AC1435" s="78"/>
      <c r="AD1435" s="78"/>
      <c r="AE1435" s="100">
        <f t="shared" si="2119"/>
        <v>-1</v>
      </c>
      <c r="AF1435" s="90"/>
      <c r="AG1435" s="109">
        <f t="shared" si="2120"/>
        <v>-3008</v>
      </c>
      <c r="AH1435" s="100">
        <f t="shared" si="2121"/>
        <v>-1</v>
      </c>
      <c r="AI1435" s="100">
        <f t="shared" si="2122"/>
        <v>-1</v>
      </c>
    </row>
    <row r="1436" spans="1:35" s="47" customFormat="1" ht="21" customHeight="1" x14ac:dyDescent="0.3">
      <c r="A1436" s="78"/>
      <c r="B1436" s="106" t="s">
        <v>53</v>
      </c>
      <c r="C1436" s="117" t="s">
        <v>975</v>
      </c>
      <c r="D1436" s="300"/>
      <c r="E1436" s="133" t="s">
        <v>115</v>
      </c>
      <c r="F1436" s="66">
        <v>2008</v>
      </c>
      <c r="G1436" s="66"/>
      <c r="H1436" s="66"/>
      <c r="I1436" s="66"/>
      <c r="J1436" s="66"/>
      <c r="K1436" s="78"/>
      <c r="L1436" s="66"/>
      <c r="M1436" s="66"/>
      <c r="N1436" s="110">
        <f t="shared" si="2112"/>
        <v>-2008</v>
      </c>
      <c r="O1436" s="110"/>
      <c r="P1436" s="66"/>
      <c r="Q1436" s="66"/>
      <c r="R1436" s="66"/>
      <c r="S1436" s="66"/>
      <c r="T1436" s="110">
        <f t="shared" si="2113"/>
        <v>0</v>
      </c>
      <c r="U1436" s="59">
        <f t="shared" si="2086"/>
        <v>0</v>
      </c>
      <c r="V1436" s="66"/>
      <c r="W1436" s="66"/>
      <c r="X1436" s="110">
        <f t="shared" si="2114"/>
        <v>0</v>
      </c>
      <c r="Y1436" s="110"/>
      <c r="Z1436" s="110"/>
      <c r="AA1436" s="110"/>
      <c r="AB1436" s="46"/>
      <c r="AC1436" s="78"/>
      <c r="AD1436" s="78"/>
      <c r="AE1436" s="100">
        <f t="shared" si="2088"/>
        <v>-1</v>
      </c>
      <c r="AF1436" s="90"/>
      <c r="AG1436" s="109">
        <f t="shared" si="2089"/>
        <v>-2008</v>
      </c>
      <c r="AH1436" s="100">
        <f t="shared" si="2090"/>
        <v>-1</v>
      </c>
      <c r="AI1436" s="100">
        <f t="shared" si="2091"/>
        <v>-1</v>
      </c>
    </row>
    <row r="1437" spans="1:35" s="47" customFormat="1" ht="21" customHeight="1" x14ac:dyDescent="0.3">
      <c r="A1437" s="78"/>
      <c r="B1437" s="106" t="s">
        <v>53</v>
      </c>
      <c r="C1437" s="117" t="s">
        <v>975</v>
      </c>
      <c r="D1437" s="300"/>
      <c r="E1437" s="127" t="s">
        <v>0</v>
      </c>
      <c r="F1437" s="66">
        <v>3008</v>
      </c>
      <c r="G1437" s="66"/>
      <c r="H1437" s="66"/>
      <c r="I1437" s="66"/>
      <c r="J1437" s="66"/>
      <c r="K1437" s="78"/>
      <c r="L1437" s="66"/>
      <c r="M1437" s="66"/>
      <c r="N1437" s="110">
        <f t="shared" si="2112"/>
        <v>-3008</v>
      </c>
      <c r="O1437" s="110"/>
      <c r="P1437" s="66"/>
      <c r="Q1437" s="66"/>
      <c r="R1437" s="66"/>
      <c r="S1437" s="66"/>
      <c r="T1437" s="110">
        <f t="shared" si="2113"/>
        <v>0</v>
      </c>
      <c r="U1437" s="59">
        <f t="shared" si="2086"/>
        <v>0</v>
      </c>
      <c r="V1437" s="66"/>
      <c r="W1437" s="66"/>
      <c r="X1437" s="110">
        <f t="shared" si="2114"/>
        <v>0</v>
      </c>
      <c r="Y1437" s="110"/>
      <c r="Z1437" s="110"/>
      <c r="AA1437" s="110"/>
      <c r="AB1437" s="46"/>
      <c r="AC1437" s="78"/>
      <c r="AD1437" s="78"/>
      <c r="AE1437" s="100">
        <f t="shared" si="2088"/>
        <v>-1</v>
      </c>
      <c r="AF1437" s="90"/>
      <c r="AG1437" s="109">
        <f t="shared" si="2089"/>
        <v>-3008</v>
      </c>
      <c r="AH1437" s="100">
        <f t="shared" si="2090"/>
        <v>-1</v>
      </c>
      <c r="AI1437" s="100">
        <f t="shared" si="2091"/>
        <v>-1</v>
      </c>
    </row>
    <row r="1438" spans="1:35" s="79" customFormat="1" ht="15.75" customHeight="1" x14ac:dyDescent="0.3">
      <c r="A1438" s="90" t="s">
        <v>46</v>
      </c>
      <c r="B1438" s="136" t="s">
        <v>53</v>
      </c>
      <c r="C1438" s="137"/>
      <c r="D1438" s="136"/>
      <c r="E1438" s="138"/>
      <c r="F1438" s="91">
        <f>SUM(F1433:F1437)</f>
        <v>11040</v>
      </c>
      <c r="G1438" s="91"/>
      <c r="H1438" s="91"/>
      <c r="I1438" s="91"/>
      <c r="J1438" s="91" t="s">
        <v>58</v>
      </c>
      <c r="K1438" s="65" t="s">
        <v>617</v>
      </c>
      <c r="L1438" s="91">
        <f>SUM(L1433:L1437)</f>
        <v>0</v>
      </c>
      <c r="M1438" s="91">
        <f>SUM(M1433:M1437)</f>
        <v>0</v>
      </c>
      <c r="N1438" s="91">
        <f>SUM(N1433:N1437)</f>
        <v>-11040</v>
      </c>
      <c r="O1438" s="91"/>
      <c r="P1438" s="91">
        <f>SUM(P1433:P1437)</f>
        <v>0</v>
      </c>
      <c r="Q1438" s="91">
        <f>SUM(Q1433:Q1437)</f>
        <v>0</v>
      </c>
      <c r="R1438" s="91">
        <f>SUM(R1433:R1437)</f>
        <v>0</v>
      </c>
      <c r="S1438" s="91">
        <f>SUM(S1433:S1437)</f>
        <v>0</v>
      </c>
      <c r="T1438" s="91">
        <f>SUM(T1433:T1437)</f>
        <v>0</v>
      </c>
      <c r="U1438" s="59">
        <f t="shared" si="2086"/>
        <v>0</v>
      </c>
      <c r="V1438" s="91">
        <f>SUM(V1433:V1437)</f>
        <v>0</v>
      </c>
      <c r="W1438" s="91">
        <f>SUM(W1433:W1437)</f>
        <v>0</v>
      </c>
      <c r="X1438" s="91">
        <f>SUM(X1433:X1437)</f>
        <v>0</v>
      </c>
      <c r="Y1438" s="136"/>
      <c r="Z1438" s="136"/>
      <c r="AA1438" s="136"/>
      <c r="AB1438" s="84"/>
      <c r="AC1438" s="90"/>
      <c r="AD1438" s="90"/>
      <c r="AE1438" s="100">
        <f t="shared" si="2088"/>
        <v>-1</v>
      </c>
      <c r="AF1438" s="90"/>
      <c r="AG1438" s="109">
        <f t="shared" si="2089"/>
        <v>-11040</v>
      </c>
      <c r="AH1438" s="100">
        <f t="shared" si="2090"/>
        <v>-1</v>
      </c>
      <c r="AI1438" s="100">
        <f t="shared" si="2091"/>
        <v>-1</v>
      </c>
    </row>
    <row r="1439" spans="1:35" s="47" customFormat="1" ht="21" customHeight="1" x14ac:dyDescent="0.3">
      <c r="A1439" s="78"/>
      <c r="B1439" s="106" t="s">
        <v>53</v>
      </c>
      <c r="C1439" s="117" t="s">
        <v>365</v>
      </c>
      <c r="D1439" s="299">
        <v>22029226</v>
      </c>
      <c r="E1439" s="133" t="s">
        <v>366</v>
      </c>
      <c r="F1439" s="66">
        <v>668</v>
      </c>
      <c r="G1439" s="66"/>
      <c r="H1439" s="66"/>
      <c r="I1439" s="66"/>
      <c r="J1439" s="66"/>
      <c r="K1439" s="78"/>
      <c r="L1439" s="66"/>
      <c r="M1439" s="66">
        <f>127+520+32</f>
        <v>679</v>
      </c>
      <c r="N1439" s="110">
        <f t="shared" ref="N1439:N1444" si="2123">M1439-F1439</f>
        <v>11</v>
      </c>
      <c r="O1439" s="110"/>
      <c r="P1439" s="66"/>
      <c r="Q1439" s="66"/>
      <c r="R1439" s="66"/>
      <c r="S1439" s="66"/>
      <c r="T1439" s="110">
        <f t="shared" ref="T1439:T1444" si="2124">S1439-Q1439</f>
        <v>0</v>
      </c>
      <c r="U1439" s="59">
        <f t="shared" si="2086"/>
        <v>0</v>
      </c>
      <c r="V1439" s="66"/>
      <c r="W1439" s="66">
        <v>679</v>
      </c>
      <c r="X1439" s="110">
        <f t="shared" ref="X1439:X1444" si="2125">W1439-M1439</f>
        <v>0</v>
      </c>
      <c r="Y1439" s="110"/>
      <c r="Z1439" s="110"/>
      <c r="AA1439" s="110"/>
      <c r="AB1439" s="46"/>
      <c r="AC1439" s="78"/>
      <c r="AD1439" s="78"/>
      <c r="AE1439" s="100">
        <f t="shared" si="2088"/>
        <v>1.6467065868263474E-2</v>
      </c>
      <c r="AF1439" s="90"/>
      <c r="AG1439" s="109">
        <f t="shared" si="2089"/>
        <v>0</v>
      </c>
      <c r="AH1439" s="100">
        <f t="shared" si="2090"/>
        <v>-1</v>
      </c>
      <c r="AI1439" s="100">
        <f t="shared" si="2091"/>
        <v>1.6467065868263474E-2</v>
      </c>
    </row>
    <row r="1440" spans="1:35" s="47" customFormat="1" ht="21" customHeight="1" x14ac:dyDescent="0.3">
      <c r="A1440" s="78"/>
      <c r="B1440" s="106" t="s">
        <v>53</v>
      </c>
      <c r="C1440" s="117" t="s">
        <v>365</v>
      </c>
      <c r="D1440" s="300"/>
      <c r="E1440" s="133" t="s">
        <v>97</v>
      </c>
      <c r="F1440" s="66">
        <v>428</v>
      </c>
      <c r="G1440" s="66"/>
      <c r="H1440" s="66"/>
      <c r="I1440" s="66"/>
      <c r="J1440" s="66"/>
      <c r="K1440" s="78"/>
      <c r="L1440" s="66"/>
      <c r="M1440" s="66">
        <f>383+56</f>
        <v>439</v>
      </c>
      <c r="N1440" s="110">
        <f t="shared" si="2123"/>
        <v>11</v>
      </c>
      <c r="O1440" s="110"/>
      <c r="P1440" s="66"/>
      <c r="Q1440" s="66"/>
      <c r="R1440" s="66"/>
      <c r="S1440" s="66"/>
      <c r="T1440" s="110">
        <f t="shared" si="2124"/>
        <v>0</v>
      </c>
      <c r="U1440" s="59">
        <f t="shared" si="2086"/>
        <v>0</v>
      </c>
      <c r="V1440" s="66"/>
      <c r="W1440" s="66">
        <v>439</v>
      </c>
      <c r="X1440" s="110">
        <f t="shared" si="2125"/>
        <v>0</v>
      </c>
      <c r="Y1440" s="110"/>
      <c r="Z1440" s="110"/>
      <c r="AA1440" s="110"/>
      <c r="AB1440" s="46"/>
      <c r="AC1440" s="78"/>
      <c r="AD1440" s="78"/>
      <c r="AE1440" s="100">
        <f t="shared" si="2088"/>
        <v>2.5700934579439252E-2</v>
      </c>
      <c r="AF1440" s="90"/>
      <c r="AG1440" s="109">
        <f t="shared" si="2089"/>
        <v>0</v>
      </c>
      <c r="AH1440" s="100">
        <f t="shared" si="2090"/>
        <v>-1</v>
      </c>
      <c r="AI1440" s="100">
        <f t="shared" si="2091"/>
        <v>2.5700934579439252E-2</v>
      </c>
    </row>
    <row r="1441" spans="1:35" s="47" customFormat="1" ht="21" customHeight="1" x14ac:dyDescent="0.3">
      <c r="A1441" s="78"/>
      <c r="B1441" s="106" t="s">
        <v>53</v>
      </c>
      <c r="C1441" s="117" t="s">
        <v>365</v>
      </c>
      <c r="D1441" s="300"/>
      <c r="E1441" s="127" t="s">
        <v>117</v>
      </c>
      <c r="F1441" s="66">
        <v>623</v>
      </c>
      <c r="G1441" s="66"/>
      <c r="H1441" s="66"/>
      <c r="I1441" s="66"/>
      <c r="J1441" s="66"/>
      <c r="K1441" s="78"/>
      <c r="L1441" s="66"/>
      <c r="M1441" s="66">
        <f>441+194</f>
        <v>635</v>
      </c>
      <c r="N1441" s="110">
        <f t="shared" si="2123"/>
        <v>12</v>
      </c>
      <c r="O1441" s="110"/>
      <c r="P1441" s="66"/>
      <c r="Q1441" s="66"/>
      <c r="R1441" s="66"/>
      <c r="S1441" s="66"/>
      <c r="T1441" s="110">
        <f t="shared" si="2124"/>
        <v>0</v>
      </c>
      <c r="U1441" s="59">
        <f t="shared" si="2086"/>
        <v>0</v>
      </c>
      <c r="V1441" s="66"/>
      <c r="W1441" s="66">
        <v>635</v>
      </c>
      <c r="X1441" s="110">
        <f t="shared" si="2125"/>
        <v>0</v>
      </c>
      <c r="Y1441" s="110"/>
      <c r="Z1441" s="110"/>
      <c r="AA1441" s="110"/>
      <c r="AB1441" s="46"/>
      <c r="AC1441" s="78"/>
      <c r="AD1441" s="78"/>
      <c r="AE1441" s="100">
        <f t="shared" si="2088"/>
        <v>1.9261637239165328E-2</v>
      </c>
      <c r="AF1441" s="90"/>
      <c r="AG1441" s="109">
        <f t="shared" si="2089"/>
        <v>0</v>
      </c>
      <c r="AH1441" s="100">
        <f t="shared" si="2090"/>
        <v>-1</v>
      </c>
      <c r="AI1441" s="100">
        <f t="shared" si="2091"/>
        <v>1.9261637239165328E-2</v>
      </c>
    </row>
    <row r="1442" spans="1:35" s="47" customFormat="1" ht="21" customHeight="1" x14ac:dyDescent="0.3">
      <c r="A1442" s="78"/>
      <c r="B1442" s="106" t="s">
        <v>53</v>
      </c>
      <c r="C1442" s="117" t="s">
        <v>365</v>
      </c>
      <c r="D1442" s="300"/>
      <c r="E1442" s="127" t="s">
        <v>270</v>
      </c>
      <c r="F1442" s="66">
        <v>338</v>
      </c>
      <c r="G1442" s="66"/>
      <c r="H1442" s="66"/>
      <c r="I1442" s="66"/>
      <c r="J1442" s="66"/>
      <c r="K1442" s="78"/>
      <c r="L1442" s="66"/>
      <c r="M1442" s="66">
        <v>350</v>
      </c>
      <c r="N1442" s="110">
        <f t="shared" si="2123"/>
        <v>12</v>
      </c>
      <c r="O1442" s="110"/>
      <c r="P1442" s="66"/>
      <c r="Q1442" s="66"/>
      <c r="R1442" s="66"/>
      <c r="S1442" s="66"/>
      <c r="T1442" s="110">
        <f t="shared" si="2124"/>
        <v>0</v>
      </c>
      <c r="U1442" s="59">
        <f t="shared" si="2086"/>
        <v>2</v>
      </c>
      <c r="V1442" s="66"/>
      <c r="W1442" s="66">
        <v>348</v>
      </c>
      <c r="X1442" s="110">
        <f t="shared" si="2125"/>
        <v>-2</v>
      </c>
      <c r="Y1442" s="110"/>
      <c r="Z1442" s="110"/>
      <c r="AA1442" s="110"/>
      <c r="AB1442" s="46"/>
      <c r="AC1442" s="78"/>
      <c r="AD1442" s="78"/>
      <c r="AE1442" s="100">
        <f t="shared" si="2088"/>
        <v>3.5502958579881658E-2</v>
      </c>
      <c r="AF1442" s="90"/>
      <c r="AG1442" s="109">
        <f t="shared" si="2089"/>
        <v>0</v>
      </c>
      <c r="AH1442" s="100">
        <f t="shared" si="2090"/>
        <v>-1</v>
      </c>
      <c r="AI1442" s="100">
        <f t="shared" si="2091"/>
        <v>2.9585798816568046E-2</v>
      </c>
    </row>
    <row r="1443" spans="1:35" s="47" customFormat="1" ht="21" customHeight="1" x14ac:dyDescent="0.3">
      <c r="A1443" s="78"/>
      <c r="B1443" s="106" t="s">
        <v>53</v>
      </c>
      <c r="C1443" s="117" t="s">
        <v>365</v>
      </c>
      <c r="D1443" s="300"/>
      <c r="E1443" s="127" t="s">
        <v>268</v>
      </c>
      <c r="F1443" s="66">
        <v>748</v>
      </c>
      <c r="G1443" s="66"/>
      <c r="H1443" s="66"/>
      <c r="I1443" s="66"/>
      <c r="J1443" s="66"/>
      <c r="K1443" s="78"/>
      <c r="L1443" s="66"/>
      <c r="M1443" s="66">
        <v>761</v>
      </c>
      <c r="N1443" s="110">
        <f t="shared" si="2123"/>
        <v>13</v>
      </c>
      <c r="O1443" s="110"/>
      <c r="P1443" s="66"/>
      <c r="Q1443" s="66"/>
      <c r="R1443" s="66"/>
      <c r="S1443" s="66"/>
      <c r="T1443" s="110">
        <f t="shared" si="2124"/>
        <v>0</v>
      </c>
      <c r="U1443" s="59">
        <f t="shared" si="2086"/>
        <v>0</v>
      </c>
      <c r="V1443" s="66"/>
      <c r="W1443" s="66">
        <v>761</v>
      </c>
      <c r="X1443" s="110">
        <f t="shared" si="2125"/>
        <v>0</v>
      </c>
      <c r="Y1443" s="110"/>
      <c r="Z1443" s="110"/>
      <c r="AA1443" s="110"/>
      <c r="AB1443" s="46"/>
      <c r="AC1443" s="78"/>
      <c r="AD1443" s="78"/>
      <c r="AE1443" s="100">
        <f t="shared" si="2088"/>
        <v>1.7379679144385027E-2</v>
      </c>
      <c r="AF1443" s="90"/>
      <c r="AG1443" s="109">
        <f t="shared" si="2089"/>
        <v>0</v>
      </c>
      <c r="AH1443" s="100">
        <f t="shared" si="2090"/>
        <v>-1</v>
      </c>
      <c r="AI1443" s="100">
        <f t="shared" si="2091"/>
        <v>1.7379679144385027E-2</v>
      </c>
    </row>
    <row r="1444" spans="1:35" s="47" customFormat="1" ht="21" customHeight="1" x14ac:dyDescent="0.3">
      <c r="A1444" s="78"/>
      <c r="B1444" s="106" t="s">
        <v>53</v>
      </c>
      <c r="C1444" s="117" t="s">
        <v>365</v>
      </c>
      <c r="D1444" s="300"/>
      <c r="E1444" s="127" t="s">
        <v>367</v>
      </c>
      <c r="F1444" s="66">
        <v>488</v>
      </c>
      <c r="G1444" s="66"/>
      <c r="H1444" s="66"/>
      <c r="I1444" s="66"/>
      <c r="J1444" s="66"/>
      <c r="K1444" s="78"/>
      <c r="L1444" s="66"/>
      <c r="M1444" s="66">
        <v>504</v>
      </c>
      <c r="N1444" s="110">
        <f t="shared" si="2123"/>
        <v>16</v>
      </c>
      <c r="O1444" s="110"/>
      <c r="P1444" s="66"/>
      <c r="Q1444" s="66"/>
      <c r="R1444" s="66"/>
      <c r="S1444" s="66"/>
      <c r="T1444" s="110">
        <f t="shared" si="2124"/>
        <v>0</v>
      </c>
      <c r="U1444" s="59">
        <f t="shared" si="2086"/>
        <v>3</v>
      </c>
      <c r="V1444" s="66"/>
      <c r="W1444" s="66">
        <v>501</v>
      </c>
      <c r="X1444" s="110">
        <f t="shared" si="2125"/>
        <v>-3</v>
      </c>
      <c r="Y1444" s="110"/>
      <c r="Z1444" s="110"/>
      <c r="AA1444" s="110"/>
      <c r="AB1444" s="46"/>
      <c r="AC1444" s="78"/>
      <c r="AD1444" s="78"/>
      <c r="AE1444" s="100">
        <f t="shared" si="2088"/>
        <v>3.2786885245901641E-2</v>
      </c>
      <c r="AF1444" s="90"/>
      <c r="AG1444" s="109">
        <f t="shared" si="2089"/>
        <v>0</v>
      </c>
      <c r="AH1444" s="100">
        <f t="shared" si="2090"/>
        <v>-1</v>
      </c>
      <c r="AI1444" s="100">
        <f t="shared" si="2091"/>
        <v>2.663934426229508E-2</v>
      </c>
    </row>
    <row r="1445" spans="1:35" s="79" customFormat="1" ht="15.75" customHeight="1" x14ac:dyDescent="0.3">
      <c r="A1445" s="90" t="s">
        <v>46</v>
      </c>
      <c r="B1445" s="136" t="s">
        <v>53</v>
      </c>
      <c r="C1445" s="137"/>
      <c r="D1445" s="136"/>
      <c r="E1445" s="138"/>
      <c r="F1445" s="91">
        <f>SUM(F1439:F1444)</f>
        <v>3293</v>
      </c>
      <c r="G1445" s="91"/>
      <c r="H1445" s="91"/>
      <c r="I1445" s="91"/>
      <c r="J1445" s="91" t="s">
        <v>58</v>
      </c>
      <c r="K1445" s="65" t="s">
        <v>290</v>
      </c>
      <c r="L1445" s="91">
        <f>SUM(L1439:L1444)</f>
        <v>0</v>
      </c>
      <c r="M1445" s="91">
        <f>SUM(M1439:M1444)</f>
        <v>3368</v>
      </c>
      <c r="N1445" s="91">
        <f>SUM(N1439:N1444)</f>
        <v>75</v>
      </c>
      <c r="O1445" s="91"/>
      <c r="P1445" s="91">
        <f>SUM(P1439:P1444)</f>
        <v>0</v>
      </c>
      <c r="Q1445" s="91">
        <f>SUM(Q1439:Q1444)</f>
        <v>0</v>
      </c>
      <c r="R1445" s="91">
        <f>SUM(R1439:R1444)</f>
        <v>0</v>
      </c>
      <c r="S1445" s="91">
        <f>SUM(S1439:S1444)</f>
        <v>0</v>
      </c>
      <c r="T1445" s="91">
        <f>SUM(T1439:T1444)</f>
        <v>0</v>
      </c>
      <c r="U1445" s="59">
        <f t="shared" si="2086"/>
        <v>5</v>
      </c>
      <c r="V1445" s="91">
        <f>SUM(V1439:V1444)</f>
        <v>0</v>
      </c>
      <c r="W1445" s="91">
        <f>SUM(W1439:W1444)</f>
        <v>3363</v>
      </c>
      <c r="X1445" s="91">
        <f>SUM(X1439:X1444)</f>
        <v>-5</v>
      </c>
      <c r="Y1445" s="136"/>
      <c r="Z1445" s="136"/>
      <c r="AA1445" s="136"/>
      <c r="AB1445" s="84"/>
      <c r="AC1445" s="90"/>
      <c r="AD1445" s="90"/>
      <c r="AE1445" s="100">
        <f t="shared" si="2088"/>
        <v>2.2775584573337383E-2</v>
      </c>
      <c r="AF1445" s="90"/>
      <c r="AG1445" s="109">
        <f t="shared" si="2089"/>
        <v>0</v>
      </c>
      <c r="AH1445" s="100">
        <f t="shared" si="2090"/>
        <v>-1</v>
      </c>
      <c r="AI1445" s="100">
        <f t="shared" si="2091"/>
        <v>2.1257212268448223E-2</v>
      </c>
    </row>
    <row r="1446" spans="1:35" s="47" customFormat="1" ht="21" customHeight="1" x14ac:dyDescent="0.3">
      <c r="A1446" s="78"/>
      <c r="B1446" s="106" t="s">
        <v>53</v>
      </c>
      <c r="C1446" s="117" t="s">
        <v>368</v>
      </c>
      <c r="D1446" s="221">
        <v>22029226</v>
      </c>
      <c r="E1446" s="133" t="s">
        <v>115</v>
      </c>
      <c r="F1446" s="66">
        <v>2008</v>
      </c>
      <c r="G1446" s="66"/>
      <c r="H1446" s="66"/>
      <c r="I1446" s="66"/>
      <c r="J1446" s="66"/>
      <c r="K1446" s="78"/>
      <c r="L1446" s="66"/>
      <c r="M1446" s="66">
        <f>448+385+350+437+225+159+31</f>
        <v>2035</v>
      </c>
      <c r="N1446" s="110">
        <f t="shared" ref="N1446" si="2126">M1446-F1446</f>
        <v>27</v>
      </c>
      <c r="O1446" s="110"/>
      <c r="P1446" s="66"/>
      <c r="Q1446" s="66"/>
      <c r="R1446" s="66"/>
      <c r="S1446" s="66"/>
      <c r="T1446" s="110">
        <f t="shared" ref="T1446" si="2127">S1446-Q1446</f>
        <v>0</v>
      </c>
      <c r="U1446" s="59">
        <f t="shared" si="2086"/>
        <v>0</v>
      </c>
      <c r="V1446" s="66"/>
      <c r="W1446" s="66">
        <v>2035</v>
      </c>
      <c r="X1446" s="110">
        <f t="shared" ref="X1446" si="2128">W1446-M1446</f>
        <v>0</v>
      </c>
      <c r="Y1446" s="110"/>
      <c r="Z1446" s="110"/>
      <c r="AA1446" s="110"/>
      <c r="AB1446" s="46"/>
      <c r="AC1446" s="78"/>
      <c r="AD1446" s="78"/>
      <c r="AE1446" s="100">
        <f t="shared" si="2088"/>
        <v>1.3446215139442231E-2</v>
      </c>
      <c r="AF1446" s="90"/>
      <c r="AG1446" s="109">
        <f t="shared" si="2089"/>
        <v>0</v>
      </c>
      <c r="AH1446" s="100">
        <f t="shared" si="2090"/>
        <v>-1</v>
      </c>
      <c r="AI1446" s="100">
        <f t="shared" si="2091"/>
        <v>1.3446215139442231E-2</v>
      </c>
    </row>
    <row r="1447" spans="1:35" s="79" customFormat="1" ht="15.75" customHeight="1" x14ac:dyDescent="0.3">
      <c r="A1447" s="90" t="s">
        <v>46</v>
      </c>
      <c r="B1447" s="136" t="s">
        <v>53</v>
      </c>
      <c r="C1447" s="137"/>
      <c r="D1447" s="136"/>
      <c r="E1447" s="138"/>
      <c r="F1447" s="91">
        <f>SUM(F1446:F1446)</f>
        <v>2008</v>
      </c>
      <c r="G1447" s="91"/>
      <c r="H1447" s="91"/>
      <c r="I1447" s="91"/>
      <c r="J1447" s="91" t="s">
        <v>58</v>
      </c>
      <c r="K1447" s="65" t="s">
        <v>287</v>
      </c>
      <c r="L1447" s="91">
        <f>SUM(L1446:L1446)</f>
        <v>0</v>
      </c>
      <c r="M1447" s="91">
        <f>SUM(M1446:M1446)</f>
        <v>2035</v>
      </c>
      <c r="N1447" s="91">
        <f>SUM(N1446:N1446)</f>
        <v>27</v>
      </c>
      <c r="O1447" s="91"/>
      <c r="P1447" s="91">
        <f>SUM(P1446:P1446)</f>
        <v>0</v>
      </c>
      <c r="Q1447" s="91">
        <f>SUM(Q1446:Q1446)</f>
        <v>0</v>
      </c>
      <c r="R1447" s="91">
        <f>SUM(R1446:R1446)</f>
        <v>0</v>
      </c>
      <c r="S1447" s="91">
        <f>SUM(S1446:S1446)</f>
        <v>0</v>
      </c>
      <c r="T1447" s="91">
        <f>SUM(T1446:T1446)</f>
        <v>0</v>
      </c>
      <c r="U1447" s="59">
        <f t="shared" si="2086"/>
        <v>0</v>
      </c>
      <c r="V1447" s="91">
        <f>SUM(V1446:V1446)</f>
        <v>0</v>
      </c>
      <c r="W1447" s="91">
        <f>SUM(W1446:W1446)</f>
        <v>2035</v>
      </c>
      <c r="X1447" s="91">
        <f>SUM(X1446:X1446)</f>
        <v>0</v>
      </c>
      <c r="Y1447" s="136"/>
      <c r="Z1447" s="136"/>
      <c r="AA1447" s="136"/>
      <c r="AB1447" s="84"/>
      <c r="AC1447" s="90"/>
      <c r="AD1447" s="90"/>
      <c r="AE1447" s="100">
        <f t="shared" si="2088"/>
        <v>1.3446215139442231E-2</v>
      </c>
      <c r="AF1447" s="90"/>
      <c r="AG1447" s="109">
        <f t="shared" si="2089"/>
        <v>0</v>
      </c>
      <c r="AH1447" s="100">
        <f t="shared" si="2090"/>
        <v>-1</v>
      </c>
      <c r="AI1447" s="100">
        <f t="shared" si="2091"/>
        <v>1.3446215139442231E-2</v>
      </c>
    </row>
    <row r="1448" spans="1:35" s="47" customFormat="1" ht="21" customHeight="1" x14ac:dyDescent="0.3">
      <c r="A1448" s="78"/>
      <c r="B1448" s="106" t="s">
        <v>53</v>
      </c>
      <c r="C1448" s="117" t="s">
        <v>973</v>
      </c>
      <c r="D1448" s="299">
        <v>22029226</v>
      </c>
      <c r="E1448" s="133" t="s">
        <v>97</v>
      </c>
      <c r="F1448" s="66">
        <v>3004</v>
      </c>
      <c r="G1448" s="66"/>
      <c r="H1448" s="66"/>
      <c r="I1448" s="66"/>
      <c r="J1448" s="66"/>
      <c r="K1448" s="78"/>
      <c r="L1448" s="66"/>
      <c r="M1448" s="66">
        <f>582</f>
        <v>582</v>
      </c>
      <c r="N1448" s="110">
        <f t="shared" ref="N1448:N1451" si="2129">M1448-F1448</f>
        <v>-2422</v>
      </c>
      <c r="O1448" s="110"/>
      <c r="P1448" s="66"/>
      <c r="Q1448" s="66"/>
      <c r="R1448" s="66"/>
      <c r="S1448" s="66"/>
      <c r="T1448" s="110">
        <f t="shared" ref="T1448:T1451" si="2130">S1448-Q1448</f>
        <v>0</v>
      </c>
      <c r="U1448" s="59">
        <f t="shared" si="2086"/>
        <v>582</v>
      </c>
      <c r="V1448" s="66"/>
      <c r="W1448" s="66"/>
      <c r="X1448" s="110">
        <f t="shared" ref="X1448:X1451" si="2131">W1448-M1448</f>
        <v>-582</v>
      </c>
      <c r="Y1448" s="110"/>
      <c r="Z1448" s="110"/>
      <c r="AA1448" s="110"/>
      <c r="AB1448" s="46"/>
      <c r="AC1448" s="78"/>
      <c r="AD1448" s="78"/>
      <c r="AE1448" s="100">
        <f t="shared" si="2088"/>
        <v>-0.80625832223701732</v>
      </c>
      <c r="AF1448" s="90"/>
      <c r="AG1448" s="109">
        <f t="shared" si="2089"/>
        <v>-2422</v>
      </c>
      <c r="AH1448" s="100">
        <f t="shared" si="2090"/>
        <v>-1</v>
      </c>
      <c r="AI1448" s="100">
        <f t="shared" si="2091"/>
        <v>-1</v>
      </c>
    </row>
    <row r="1449" spans="1:35" s="47" customFormat="1" ht="21" customHeight="1" x14ac:dyDescent="0.3">
      <c r="A1449" s="78"/>
      <c r="B1449" s="106" t="s">
        <v>53</v>
      </c>
      <c r="C1449" s="117" t="s">
        <v>973</v>
      </c>
      <c r="D1449" s="300"/>
      <c r="E1449" s="127" t="s">
        <v>117</v>
      </c>
      <c r="F1449" s="66">
        <v>3004</v>
      </c>
      <c r="G1449" s="66"/>
      <c r="H1449" s="66"/>
      <c r="I1449" s="66"/>
      <c r="J1449" s="66"/>
      <c r="K1449" s="78"/>
      <c r="L1449" s="66"/>
      <c r="M1449" s="66">
        <f>766+770+559</f>
        <v>2095</v>
      </c>
      <c r="N1449" s="110">
        <f t="shared" si="2129"/>
        <v>-909</v>
      </c>
      <c r="O1449" s="110"/>
      <c r="P1449" s="66"/>
      <c r="Q1449" s="66"/>
      <c r="R1449" s="66"/>
      <c r="S1449" s="66"/>
      <c r="T1449" s="110">
        <f t="shared" si="2130"/>
        <v>0</v>
      </c>
      <c r="U1449" s="59">
        <f t="shared" si="2086"/>
        <v>2095</v>
      </c>
      <c r="V1449" s="66"/>
      <c r="W1449" s="66"/>
      <c r="X1449" s="110">
        <f t="shared" si="2131"/>
        <v>-2095</v>
      </c>
      <c r="Y1449" s="110"/>
      <c r="Z1449" s="110"/>
      <c r="AA1449" s="110"/>
      <c r="AB1449" s="46"/>
      <c r="AC1449" s="78"/>
      <c r="AD1449" s="78"/>
      <c r="AE1449" s="100">
        <f t="shared" si="2088"/>
        <v>-0.30259653794940078</v>
      </c>
      <c r="AF1449" s="90"/>
      <c r="AG1449" s="109">
        <f t="shared" si="2089"/>
        <v>-909</v>
      </c>
      <c r="AH1449" s="100">
        <f t="shared" si="2090"/>
        <v>-1</v>
      </c>
      <c r="AI1449" s="100">
        <f t="shared" si="2091"/>
        <v>-1</v>
      </c>
    </row>
    <row r="1450" spans="1:35" s="47" customFormat="1" ht="21" customHeight="1" x14ac:dyDescent="0.3">
      <c r="A1450" s="78"/>
      <c r="B1450" s="106" t="s">
        <v>53</v>
      </c>
      <c r="C1450" s="117" t="s">
        <v>973</v>
      </c>
      <c r="D1450" s="300"/>
      <c r="E1450" s="127" t="s">
        <v>115</v>
      </c>
      <c r="F1450" s="66">
        <v>2004</v>
      </c>
      <c r="G1450" s="66"/>
      <c r="H1450" s="66"/>
      <c r="I1450" s="66"/>
      <c r="J1450" s="66"/>
      <c r="K1450" s="78"/>
      <c r="L1450" s="66">
        <f>1267+278</f>
        <v>1545</v>
      </c>
      <c r="M1450" s="66">
        <f>1267+278</f>
        <v>1545</v>
      </c>
      <c r="N1450" s="110">
        <f t="shared" ref="N1450" si="2132">M1450-F1450</f>
        <v>-459</v>
      </c>
      <c r="O1450" s="110"/>
      <c r="P1450" s="66"/>
      <c r="Q1450" s="66"/>
      <c r="R1450" s="66"/>
      <c r="S1450" s="66"/>
      <c r="T1450" s="110">
        <f t="shared" ref="T1450" si="2133">S1450-Q1450</f>
        <v>0</v>
      </c>
      <c r="U1450" s="59">
        <f t="shared" ref="U1450" si="2134">IF(Q1450&gt;0,S1450-W1450,M1450-W1450)</f>
        <v>1545</v>
      </c>
      <c r="V1450" s="66"/>
      <c r="W1450" s="66"/>
      <c r="X1450" s="110">
        <f t="shared" ref="X1450" si="2135">W1450-M1450</f>
        <v>-1545</v>
      </c>
      <c r="Y1450" s="110"/>
      <c r="Z1450" s="110"/>
      <c r="AA1450" s="110"/>
      <c r="AB1450" s="46"/>
      <c r="AC1450" s="78"/>
      <c r="AD1450" s="78"/>
      <c r="AE1450" s="100">
        <f t="shared" ref="AE1450" si="2136">N1450/F1450</f>
        <v>-0.22904191616766467</v>
      </c>
      <c r="AF1450" s="90"/>
      <c r="AG1450" s="109">
        <f t="shared" ref="AG1450" si="2137">IF(N1450&lt;0,N1450,0)</f>
        <v>-459</v>
      </c>
      <c r="AH1450" s="100">
        <f t="shared" ref="AH1450" si="2138">(S1450-F1450)/F1450</f>
        <v>-1</v>
      </c>
      <c r="AI1450" s="100">
        <f t="shared" ref="AI1450" si="2139">(W1450-F1450)/F1450</f>
        <v>-1</v>
      </c>
    </row>
    <row r="1451" spans="1:35" s="47" customFormat="1" ht="21" customHeight="1" x14ac:dyDescent="0.3">
      <c r="A1451" s="78"/>
      <c r="B1451" s="106" t="s">
        <v>53</v>
      </c>
      <c r="C1451" s="117" t="s">
        <v>973</v>
      </c>
      <c r="D1451" s="300"/>
      <c r="E1451" s="127" t="s">
        <v>0</v>
      </c>
      <c r="F1451" s="66">
        <v>3004</v>
      </c>
      <c r="G1451" s="66"/>
      <c r="H1451" s="66"/>
      <c r="I1451" s="66"/>
      <c r="J1451" s="66"/>
      <c r="K1451" s="78"/>
      <c r="L1451" s="66">
        <f>455+118+342</f>
        <v>915</v>
      </c>
      <c r="M1451" s="66">
        <f>1601+360+455+118+342</f>
        <v>2876</v>
      </c>
      <c r="N1451" s="110">
        <f t="shared" si="2129"/>
        <v>-128</v>
      </c>
      <c r="O1451" s="110"/>
      <c r="P1451" s="66"/>
      <c r="Q1451" s="66"/>
      <c r="R1451" s="66"/>
      <c r="S1451" s="66"/>
      <c r="T1451" s="110">
        <f t="shared" si="2130"/>
        <v>0</v>
      </c>
      <c r="U1451" s="59">
        <f t="shared" si="2086"/>
        <v>1268</v>
      </c>
      <c r="V1451" s="66"/>
      <c r="W1451" s="66">
        <f>823+785</f>
        <v>1608</v>
      </c>
      <c r="X1451" s="110">
        <f t="shared" si="2131"/>
        <v>-1268</v>
      </c>
      <c r="Y1451" s="110"/>
      <c r="Z1451" s="110"/>
      <c r="AA1451" s="110"/>
      <c r="AB1451" s="46"/>
      <c r="AC1451" s="78"/>
      <c r="AD1451" s="78"/>
      <c r="AE1451" s="100">
        <f t="shared" si="2088"/>
        <v>-4.2609853528628498E-2</v>
      </c>
      <c r="AF1451" s="90"/>
      <c r="AG1451" s="109">
        <f t="shared" si="2089"/>
        <v>-128</v>
      </c>
      <c r="AH1451" s="100">
        <f t="shared" si="2090"/>
        <v>-1</v>
      </c>
      <c r="AI1451" s="100">
        <f t="shared" si="2091"/>
        <v>-0.46471371504660453</v>
      </c>
    </row>
    <row r="1452" spans="1:35" s="79" customFormat="1" ht="15.75" customHeight="1" x14ac:dyDescent="0.3">
      <c r="A1452" s="90" t="s">
        <v>46</v>
      </c>
      <c r="B1452" s="136" t="s">
        <v>53</v>
      </c>
      <c r="C1452" s="137"/>
      <c r="D1452" s="136"/>
      <c r="E1452" s="138"/>
      <c r="F1452" s="91">
        <f>SUM(F1448:F1451)</f>
        <v>11016</v>
      </c>
      <c r="G1452" s="91"/>
      <c r="H1452" s="91"/>
      <c r="I1452" s="91"/>
      <c r="J1452" s="91" t="s">
        <v>58</v>
      </c>
      <c r="K1452" s="65" t="s">
        <v>226</v>
      </c>
      <c r="L1452" s="91">
        <f>SUM(L1448:L1451)</f>
        <v>2460</v>
      </c>
      <c r="M1452" s="91">
        <f>SUM(M1448:M1451)</f>
        <v>7098</v>
      </c>
      <c r="N1452" s="91">
        <f>SUM(N1448:N1451)</f>
        <v>-3918</v>
      </c>
      <c r="O1452" s="91"/>
      <c r="P1452" s="91">
        <f>SUM(P1448:P1451)</f>
        <v>0</v>
      </c>
      <c r="Q1452" s="91">
        <f>SUM(Q1448:Q1451)</f>
        <v>0</v>
      </c>
      <c r="R1452" s="91">
        <f>SUM(R1448:R1451)</f>
        <v>0</v>
      </c>
      <c r="S1452" s="91">
        <f>SUM(S1448:S1451)</f>
        <v>0</v>
      </c>
      <c r="T1452" s="91">
        <f>SUM(T1448:T1451)</f>
        <v>0</v>
      </c>
      <c r="U1452" s="59">
        <f t="shared" si="2086"/>
        <v>5490</v>
      </c>
      <c r="V1452" s="91">
        <f>SUM(V1448:V1451)</f>
        <v>0</v>
      </c>
      <c r="W1452" s="91">
        <f>SUM(W1448:W1451)</f>
        <v>1608</v>
      </c>
      <c r="X1452" s="91">
        <f>SUM(X1448:X1451)</f>
        <v>-5490</v>
      </c>
      <c r="Y1452" s="136"/>
      <c r="Z1452" s="136"/>
      <c r="AA1452" s="136"/>
      <c r="AB1452" s="84"/>
      <c r="AC1452" s="90"/>
      <c r="AD1452" s="90"/>
      <c r="AE1452" s="100">
        <f t="shared" si="2088"/>
        <v>-0.35566448801742917</v>
      </c>
      <c r="AF1452" s="90"/>
      <c r="AG1452" s="109">
        <f t="shared" si="2089"/>
        <v>-3918</v>
      </c>
      <c r="AH1452" s="100">
        <f t="shared" si="2090"/>
        <v>-1</v>
      </c>
      <c r="AI1452" s="100">
        <f t="shared" si="2091"/>
        <v>-0.85403050108932466</v>
      </c>
    </row>
    <row r="1453" spans="1:35" s="47" customFormat="1" ht="21" customHeight="1" x14ac:dyDescent="0.3">
      <c r="A1453" s="78"/>
      <c r="B1453" s="106" t="s">
        <v>53</v>
      </c>
      <c r="C1453" s="117" t="s">
        <v>369</v>
      </c>
      <c r="D1453" s="299">
        <v>22029226</v>
      </c>
      <c r="E1453" s="133" t="s">
        <v>97</v>
      </c>
      <c r="F1453" s="66">
        <v>2008</v>
      </c>
      <c r="G1453" s="66"/>
      <c r="H1453" s="66"/>
      <c r="I1453" s="66"/>
      <c r="J1453" s="66"/>
      <c r="K1453" s="78"/>
      <c r="L1453" s="66"/>
      <c r="M1453" s="66">
        <f>720+413+826+70</f>
        <v>2029</v>
      </c>
      <c r="N1453" s="110">
        <f t="shared" ref="N1453:N1459" si="2140">M1453-F1453</f>
        <v>21</v>
      </c>
      <c r="O1453" s="110"/>
      <c r="P1453" s="66"/>
      <c r="Q1453" s="66"/>
      <c r="R1453" s="66"/>
      <c r="S1453" s="66"/>
      <c r="T1453" s="110">
        <f t="shared" ref="T1453:T1459" si="2141">S1453-Q1453</f>
        <v>0</v>
      </c>
      <c r="U1453" s="59">
        <f t="shared" si="2079"/>
        <v>0</v>
      </c>
      <c r="V1453" s="66"/>
      <c r="W1453" s="66">
        <v>2029</v>
      </c>
      <c r="X1453" s="110">
        <f t="shared" ref="X1453:X1459" si="2142">W1453-M1453</f>
        <v>0</v>
      </c>
      <c r="Y1453" s="110"/>
      <c r="Z1453" s="110"/>
      <c r="AA1453" s="110"/>
      <c r="AB1453" s="46"/>
      <c r="AC1453" s="78"/>
      <c r="AD1453" s="78"/>
      <c r="AE1453" s="100">
        <f t="shared" ref="AE1453:AE1466" si="2143">N1453/F1453</f>
        <v>1.045816733067729E-2</v>
      </c>
      <c r="AF1453" s="90"/>
      <c r="AG1453" s="109">
        <f t="shared" ref="AG1453:AG1466" si="2144">IF(N1453&lt;0,N1453,0)</f>
        <v>0</v>
      </c>
      <c r="AH1453" s="100">
        <f t="shared" ref="AH1453:AH1466" si="2145">(S1453-F1453)/F1453</f>
        <v>-1</v>
      </c>
      <c r="AI1453" s="100">
        <f t="shared" ref="AI1453:AI1466" si="2146">(W1453-F1453)/F1453</f>
        <v>1.045816733067729E-2</v>
      </c>
    </row>
    <row r="1454" spans="1:35" s="47" customFormat="1" ht="21" customHeight="1" x14ac:dyDescent="0.3">
      <c r="A1454" s="78"/>
      <c r="B1454" s="106" t="s">
        <v>53</v>
      </c>
      <c r="C1454" s="117" t="s">
        <v>369</v>
      </c>
      <c r="D1454" s="300"/>
      <c r="E1454" s="127" t="s">
        <v>115</v>
      </c>
      <c r="F1454" s="66">
        <v>1008</v>
      </c>
      <c r="G1454" s="66"/>
      <c r="H1454" s="66"/>
      <c r="I1454" s="66"/>
      <c r="J1454" s="66"/>
      <c r="K1454" s="78"/>
      <c r="L1454" s="66"/>
      <c r="M1454" s="66">
        <f>441+392+273</f>
        <v>1106</v>
      </c>
      <c r="N1454" s="110">
        <f t="shared" ref="N1454:N1456" si="2147">M1454-F1454</f>
        <v>98</v>
      </c>
      <c r="O1454" s="110"/>
      <c r="P1454" s="66"/>
      <c r="Q1454" s="66"/>
      <c r="R1454" s="66"/>
      <c r="S1454" s="66"/>
      <c r="T1454" s="110">
        <f t="shared" ref="T1454:T1456" si="2148">S1454-Q1454</f>
        <v>0</v>
      </c>
      <c r="U1454" s="59">
        <f t="shared" ref="U1454:U1456" si="2149">IF(Q1454&gt;0,S1454-W1454,M1454-W1454)</f>
        <v>79</v>
      </c>
      <c r="V1454" s="66"/>
      <c r="W1454" s="66">
        <v>1027</v>
      </c>
      <c r="X1454" s="110">
        <f t="shared" ref="X1454:X1456" si="2150">W1454-M1454</f>
        <v>-79</v>
      </c>
      <c r="Y1454" s="110"/>
      <c r="Z1454" s="110"/>
      <c r="AA1454" s="110"/>
      <c r="AB1454" s="46"/>
      <c r="AC1454" s="78"/>
      <c r="AD1454" s="78"/>
      <c r="AE1454" s="100">
        <f t="shared" ref="AE1454:AE1456" si="2151">N1454/F1454</f>
        <v>9.7222222222222224E-2</v>
      </c>
      <c r="AF1454" s="90"/>
      <c r="AG1454" s="109">
        <f t="shared" ref="AG1454:AG1456" si="2152">IF(N1454&lt;0,N1454,0)</f>
        <v>0</v>
      </c>
      <c r="AH1454" s="100">
        <f t="shared" ref="AH1454:AH1456" si="2153">(S1454-F1454)/F1454</f>
        <v>-1</v>
      </c>
      <c r="AI1454" s="100">
        <f t="shared" ref="AI1454:AI1456" si="2154">(W1454-F1454)/F1454</f>
        <v>1.8849206349206348E-2</v>
      </c>
    </row>
    <row r="1455" spans="1:35" s="47" customFormat="1" ht="21" customHeight="1" x14ac:dyDescent="0.3">
      <c r="A1455" s="78"/>
      <c r="B1455" s="106" t="s">
        <v>53</v>
      </c>
      <c r="C1455" s="117" t="s">
        <v>369</v>
      </c>
      <c r="D1455" s="300"/>
      <c r="E1455" s="127" t="s">
        <v>267</v>
      </c>
      <c r="F1455" s="66">
        <v>1508</v>
      </c>
      <c r="G1455" s="66"/>
      <c r="H1455" s="66"/>
      <c r="I1455" s="66"/>
      <c r="J1455" s="66"/>
      <c r="K1455" s="78"/>
      <c r="L1455" s="66"/>
      <c r="M1455" s="66">
        <f>270+875+150+239</f>
        <v>1534</v>
      </c>
      <c r="N1455" s="110">
        <f t="shared" ref="N1455" si="2155">M1455-F1455</f>
        <v>26</v>
      </c>
      <c r="O1455" s="110"/>
      <c r="P1455" s="66"/>
      <c r="Q1455" s="66"/>
      <c r="R1455" s="66"/>
      <c r="S1455" s="66"/>
      <c r="T1455" s="110">
        <f t="shared" ref="T1455" si="2156">S1455-Q1455</f>
        <v>0</v>
      </c>
      <c r="U1455" s="59">
        <f t="shared" ref="U1455" si="2157">IF(Q1455&gt;0,S1455-W1455,M1455-W1455)</f>
        <v>0</v>
      </c>
      <c r="V1455" s="66"/>
      <c r="W1455" s="66">
        <v>1534</v>
      </c>
      <c r="X1455" s="110">
        <f t="shared" ref="X1455" si="2158">W1455-M1455</f>
        <v>0</v>
      </c>
      <c r="Y1455" s="110"/>
      <c r="Z1455" s="110"/>
      <c r="AA1455" s="110"/>
      <c r="AB1455" s="46"/>
      <c r="AC1455" s="78"/>
      <c r="AD1455" s="78"/>
      <c r="AE1455" s="100">
        <f t="shared" ref="AE1455" si="2159">N1455/F1455</f>
        <v>1.7241379310344827E-2</v>
      </c>
      <c r="AF1455" s="90"/>
      <c r="AG1455" s="109">
        <f t="shared" ref="AG1455" si="2160">IF(N1455&lt;0,N1455,0)</f>
        <v>0</v>
      </c>
      <c r="AH1455" s="100">
        <f t="shared" ref="AH1455" si="2161">(S1455-F1455)/F1455</f>
        <v>-1</v>
      </c>
      <c r="AI1455" s="100">
        <f t="shared" ref="AI1455" si="2162">(W1455-F1455)/F1455</f>
        <v>1.7241379310344827E-2</v>
      </c>
    </row>
    <row r="1456" spans="1:35" s="47" customFormat="1" ht="21" customHeight="1" x14ac:dyDescent="0.3">
      <c r="A1456" s="78"/>
      <c r="B1456" s="106" t="s">
        <v>53</v>
      </c>
      <c r="C1456" s="117" t="s">
        <v>369</v>
      </c>
      <c r="D1456" s="300"/>
      <c r="E1456" s="127" t="s">
        <v>269</v>
      </c>
      <c r="F1456" s="66">
        <v>1508</v>
      </c>
      <c r="G1456" s="66"/>
      <c r="H1456" s="66"/>
      <c r="I1456" s="66"/>
      <c r="J1456" s="66"/>
      <c r="K1456" s="78"/>
      <c r="L1456" s="66"/>
      <c r="M1456" s="66">
        <f>420+420+448+236+66</f>
        <v>1590</v>
      </c>
      <c r="N1456" s="110">
        <f t="shared" si="2147"/>
        <v>82</v>
      </c>
      <c r="O1456" s="110"/>
      <c r="P1456" s="66"/>
      <c r="Q1456" s="66"/>
      <c r="R1456" s="66"/>
      <c r="S1456" s="66"/>
      <c r="T1456" s="110">
        <f t="shared" si="2148"/>
        <v>0</v>
      </c>
      <c r="U1456" s="59">
        <f t="shared" si="2149"/>
        <v>56</v>
      </c>
      <c r="V1456" s="66"/>
      <c r="W1456" s="66">
        <v>1534</v>
      </c>
      <c r="X1456" s="110">
        <f t="shared" si="2150"/>
        <v>-56</v>
      </c>
      <c r="Y1456" s="110"/>
      <c r="Z1456" s="110"/>
      <c r="AA1456" s="110"/>
      <c r="AB1456" s="46"/>
      <c r="AC1456" s="78"/>
      <c r="AD1456" s="78"/>
      <c r="AE1456" s="100">
        <f t="shared" si="2151"/>
        <v>5.4376657824933686E-2</v>
      </c>
      <c r="AF1456" s="90"/>
      <c r="AG1456" s="109">
        <f t="shared" si="2152"/>
        <v>0</v>
      </c>
      <c r="AH1456" s="100">
        <f t="shared" si="2153"/>
        <v>-1</v>
      </c>
      <c r="AI1456" s="100">
        <f t="shared" si="2154"/>
        <v>1.7241379310344827E-2</v>
      </c>
    </row>
    <row r="1457" spans="1:35" s="47" customFormat="1" ht="21" customHeight="1" x14ac:dyDescent="0.3">
      <c r="A1457" s="78"/>
      <c r="B1457" s="106" t="s">
        <v>53</v>
      </c>
      <c r="C1457" s="117" t="s">
        <v>369</v>
      </c>
      <c r="D1457" s="300"/>
      <c r="E1457" s="127" t="s">
        <v>0</v>
      </c>
      <c r="F1457" s="66">
        <v>2008</v>
      </c>
      <c r="G1457" s="66"/>
      <c r="H1457" s="66"/>
      <c r="I1457" s="66"/>
      <c r="J1457" s="66"/>
      <c r="K1457" s="78"/>
      <c r="L1457" s="66"/>
      <c r="M1457" s="66">
        <f>254+420+427+399+399+188</f>
        <v>2087</v>
      </c>
      <c r="N1457" s="110">
        <f t="shared" si="2140"/>
        <v>79</v>
      </c>
      <c r="O1457" s="110"/>
      <c r="P1457" s="66"/>
      <c r="Q1457" s="66"/>
      <c r="R1457" s="66"/>
      <c r="S1457" s="66"/>
      <c r="T1457" s="110">
        <f t="shared" si="2141"/>
        <v>0</v>
      </c>
      <c r="U1457" s="59">
        <f t="shared" si="2079"/>
        <v>57</v>
      </c>
      <c r="V1457" s="66"/>
      <c r="W1457" s="66">
        <v>2030</v>
      </c>
      <c r="X1457" s="110">
        <f t="shared" si="2142"/>
        <v>-57</v>
      </c>
      <c r="Y1457" s="110"/>
      <c r="Z1457" s="110"/>
      <c r="AA1457" s="110"/>
      <c r="AB1457" s="46"/>
      <c r="AC1457" s="78"/>
      <c r="AD1457" s="78"/>
      <c r="AE1457" s="100">
        <f t="shared" si="2143"/>
        <v>3.9342629482071713E-2</v>
      </c>
      <c r="AF1457" s="90"/>
      <c r="AG1457" s="109">
        <f t="shared" si="2144"/>
        <v>0</v>
      </c>
      <c r="AH1457" s="100">
        <f t="shared" si="2145"/>
        <v>-1</v>
      </c>
      <c r="AI1457" s="100">
        <f t="shared" si="2146"/>
        <v>1.0956175298804782E-2</v>
      </c>
    </row>
    <row r="1458" spans="1:35" s="47" customFormat="1" ht="21" customHeight="1" x14ac:dyDescent="0.3">
      <c r="A1458" s="78"/>
      <c r="B1458" s="106" t="s">
        <v>53</v>
      </c>
      <c r="C1458" s="117" t="s">
        <v>369</v>
      </c>
      <c r="D1458" s="300"/>
      <c r="E1458" s="127" t="s">
        <v>270</v>
      </c>
      <c r="F1458" s="66">
        <v>808</v>
      </c>
      <c r="G1458" s="66"/>
      <c r="H1458" s="66"/>
      <c r="I1458" s="66"/>
      <c r="J1458" s="66"/>
      <c r="K1458" s="78"/>
      <c r="L1458" s="66"/>
      <c r="M1458" s="66">
        <f>378+350+76+39</f>
        <v>843</v>
      </c>
      <c r="N1458" s="110">
        <f t="shared" ref="N1458" si="2163">M1458-F1458</f>
        <v>35</v>
      </c>
      <c r="O1458" s="110"/>
      <c r="P1458" s="66"/>
      <c r="Q1458" s="66"/>
      <c r="R1458" s="66"/>
      <c r="S1458" s="66"/>
      <c r="T1458" s="110">
        <f t="shared" ref="T1458" si="2164">S1458-Q1458</f>
        <v>0</v>
      </c>
      <c r="U1458" s="59">
        <f t="shared" ref="U1458" si="2165">IF(Q1458&gt;0,S1458-W1458,M1458-W1458)</f>
        <v>25</v>
      </c>
      <c r="V1458" s="66"/>
      <c r="W1458" s="66">
        <v>818</v>
      </c>
      <c r="X1458" s="110">
        <f t="shared" ref="X1458" si="2166">W1458-M1458</f>
        <v>-25</v>
      </c>
      <c r="Y1458" s="110"/>
      <c r="Z1458" s="110"/>
      <c r="AA1458" s="110"/>
      <c r="AB1458" s="46"/>
      <c r="AC1458" s="78"/>
      <c r="AD1458" s="78"/>
      <c r="AE1458" s="100">
        <f t="shared" ref="AE1458" si="2167">N1458/F1458</f>
        <v>4.3316831683168314E-2</v>
      </c>
      <c r="AF1458" s="90"/>
      <c r="AG1458" s="109">
        <f t="shared" ref="AG1458" si="2168">IF(N1458&lt;0,N1458,0)</f>
        <v>0</v>
      </c>
      <c r="AH1458" s="100">
        <f t="shared" ref="AH1458" si="2169">(S1458-F1458)/F1458</f>
        <v>-1</v>
      </c>
      <c r="AI1458" s="100">
        <f t="shared" ref="AI1458" si="2170">(W1458-F1458)/F1458</f>
        <v>1.2376237623762377E-2</v>
      </c>
    </row>
    <row r="1459" spans="1:35" s="47" customFormat="1" ht="21" customHeight="1" x14ac:dyDescent="0.3">
      <c r="A1459" s="78"/>
      <c r="B1459" s="106" t="s">
        <v>53</v>
      </c>
      <c r="C1459" s="117" t="s">
        <v>369</v>
      </c>
      <c r="D1459" s="300"/>
      <c r="E1459" s="127" t="s">
        <v>268</v>
      </c>
      <c r="F1459" s="66">
        <v>1508</v>
      </c>
      <c r="G1459" s="66"/>
      <c r="H1459" s="66"/>
      <c r="I1459" s="66"/>
      <c r="J1459" s="66"/>
      <c r="K1459" s="78"/>
      <c r="L1459" s="66"/>
      <c r="M1459" s="66">
        <f>364+350+648+75+81+9</f>
        <v>1527</v>
      </c>
      <c r="N1459" s="110">
        <f t="shared" si="2140"/>
        <v>19</v>
      </c>
      <c r="O1459" s="110"/>
      <c r="P1459" s="66"/>
      <c r="Q1459" s="66"/>
      <c r="R1459" s="66"/>
      <c r="S1459" s="66"/>
      <c r="T1459" s="110">
        <f t="shared" si="2141"/>
        <v>0</v>
      </c>
      <c r="U1459" s="59">
        <f t="shared" si="2079"/>
        <v>0</v>
      </c>
      <c r="V1459" s="66"/>
      <c r="W1459" s="66">
        <v>1527</v>
      </c>
      <c r="X1459" s="110">
        <f t="shared" si="2142"/>
        <v>0</v>
      </c>
      <c r="Y1459" s="110"/>
      <c r="Z1459" s="110"/>
      <c r="AA1459" s="110"/>
      <c r="AB1459" s="46"/>
      <c r="AC1459" s="78"/>
      <c r="AD1459" s="78"/>
      <c r="AE1459" s="100">
        <f t="shared" si="2143"/>
        <v>1.2599469496021221E-2</v>
      </c>
      <c r="AF1459" s="90"/>
      <c r="AG1459" s="109">
        <f t="shared" si="2144"/>
        <v>0</v>
      </c>
      <c r="AH1459" s="100">
        <f t="shared" si="2145"/>
        <v>-1</v>
      </c>
      <c r="AI1459" s="100">
        <f t="shared" si="2146"/>
        <v>1.2599469496021221E-2</v>
      </c>
    </row>
    <row r="1460" spans="1:35" s="79" customFormat="1" ht="15.75" customHeight="1" x14ac:dyDescent="0.3">
      <c r="A1460" s="90" t="s">
        <v>46</v>
      </c>
      <c r="B1460" s="136" t="s">
        <v>53</v>
      </c>
      <c r="C1460" s="137"/>
      <c r="D1460" s="136"/>
      <c r="E1460" s="138"/>
      <c r="F1460" s="91">
        <f>SUM(F1453:F1459)</f>
        <v>10356</v>
      </c>
      <c r="G1460" s="91"/>
      <c r="H1460" s="91"/>
      <c r="I1460" s="91"/>
      <c r="J1460" s="91" t="s">
        <v>58</v>
      </c>
      <c r="K1460" s="65" t="s">
        <v>210</v>
      </c>
      <c r="L1460" s="91">
        <f>SUM(L1453:L1459)</f>
        <v>0</v>
      </c>
      <c r="M1460" s="91">
        <f>SUM(M1453:M1459)</f>
        <v>10716</v>
      </c>
      <c r="N1460" s="91">
        <f>SUM(N1453:N1459)</f>
        <v>360</v>
      </c>
      <c r="O1460" s="91"/>
      <c r="P1460" s="91">
        <f>SUM(P1453:P1459)</f>
        <v>0</v>
      </c>
      <c r="Q1460" s="91">
        <f>SUM(Q1453:Q1459)</f>
        <v>0</v>
      </c>
      <c r="R1460" s="91">
        <f>SUM(R1453:R1459)</f>
        <v>0</v>
      </c>
      <c r="S1460" s="91">
        <f>SUM(S1453:S1459)</f>
        <v>0</v>
      </c>
      <c r="T1460" s="91">
        <f>SUM(T1453:T1459)</f>
        <v>0</v>
      </c>
      <c r="U1460" s="59">
        <f t="shared" si="2079"/>
        <v>217</v>
      </c>
      <c r="V1460" s="91">
        <f>SUM(V1453:V1459)</f>
        <v>0</v>
      </c>
      <c r="W1460" s="91">
        <f>SUM(W1453:W1459)</f>
        <v>10499</v>
      </c>
      <c r="X1460" s="91">
        <f>SUM(X1453:X1459)</f>
        <v>-217</v>
      </c>
      <c r="Y1460" s="136"/>
      <c r="Z1460" s="136"/>
      <c r="AA1460" s="136"/>
      <c r="AB1460" s="84"/>
      <c r="AC1460" s="90"/>
      <c r="AD1460" s="90"/>
      <c r="AE1460" s="100">
        <f t="shared" si="2143"/>
        <v>3.4762456546929318E-2</v>
      </c>
      <c r="AF1460" s="90"/>
      <c r="AG1460" s="109">
        <f t="shared" si="2144"/>
        <v>0</v>
      </c>
      <c r="AH1460" s="100">
        <f t="shared" si="2145"/>
        <v>-1</v>
      </c>
      <c r="AI1460" s="100">
        <f t="shared" si="2146"/>
        <v>1.3808420239474701E-2</v>
      </c>
    </row>
    <row r="1461" spans="1:35" s="47" customFormat="1" ht="21" customHeight="1" x14ac:dyDescent="0.3">
      <c r="A1461" s="78"/>
      <c r="B1461" s="106" t="s">
        <v>51</v>
      </c>
      <c r="C1461" s="117" t="s">
        <v>357</v>
      </c>
      <c r="D1461" s="235">
        <v>15204712</v>
      </c>
      <c r="E1461" s="129" t="s">
        <v>0</v>
      </c>
      <c r="F1461" s="66">
        <v>3040</v>
      </c>
      <c r="G1461" s="66"/>
      <c r="H1461" s="66"/>
      <c r="I1461" s="66"/>
      <c r="J1461" s="66"/>
      <c r="K1461" s="78"/>
      <c r="L1461" s="66"/>
      <c r="M1461" s="66">
        <v>3073</v>
      </c>
      <c r="N1461" s="110">
        <f>M1461-F1461</f>
        <v>33</v>
      </c>
      <c r="O1461" s="110"/>
      <c r="P1461" s="66"/>
      <c r="Q1461" s="66"/>
      <c r="R1461" s="66"/>
      <c r="S1461" s="66"/>
      <c r="T1461" s="110">
        <f>S1461-Q1461</f>
        <v>0</v>
      </c>
      <c r="U1461" s="59">
        <f t="shared" si="2079"/>
        <v>0</v>
      </c>
      <c r="V1461" s="66"/>
      <c r="W1461" s="66">
        <v>3073</v>
      </c>
      <c r="X1461" s="110">
        <f>W1461-M1461</f>
        <v>0</v>
      </c>
      <c r="Y1461" s="110"/>
      <c r="Z1461" s="110"/>
      <c r="AA1461" s="110"/>
      <c r="AB1461" s="46"/>
      <c r="AC1461" s="78"/>
      <c r="AD1461" s="78"/>
      <c r="AE1461" s="100">
        <f t="shared" si="2143"/>
        <v>1.0855263157894738E-2</v>
      </c>
      <c r="AF1461" s="90"/>
      <c r="AG1461" s="109">
        <f t="shared" si="2144"/>
        <v>0</v>
      </c>
      <c r="AH1461" s="100">
        <f t="shared" si="2145"/>
        <v>-1</v>
      </c>
      <c r="AI1461" s="100">
        <f t="shared" si="2146"/>
        <v>1.0855263157894738E-2</v>
      </c>
    </row>
    <row r="1462" spans="1:35" s="79" customFormat="1" ht="15.75" customHeight="1" x14ac:dyDescent="0.3">
      <c r="A1462" s="90" t="s">
        <v>46</v>
      </c>
      <c r="B1462" s="136" t="s">
        <v>51</v>
      </c>
      <c r="C1462" s="137"/>
      <c r="D1462" s="136"/>
      <c r="E1462" s="138"/>
      <c r="F1462" s="91">
        <f>SUM(F1461:F1461)</f>
        <v>3040</v>
      </c>
      <c r="G1462" s="91"/>
      <c r="H1462" s="91"/>
      <c r="I1462" s="91"/>
      <c r="J1462" s="91" t="s">
        <v>58</v>
      </c>
      <c r="K1462" s="65" t="s">
        <v>175</v>
      </c>
      <c r="L1462" s="91">
        <f>SUM(L1461:L1461)</f>
        <v>0</v>
      </c>
      <c r="M1462" s="91">
        <f>SUM(M1461:M1461)</f>
        <v>3073</v>
      </c>
      <c r="N1462" s="91">
        <f>SUM(N1461:N1461)</f>
        <v>33</v>
      </c>
      <c r="O1462" s="91"/>
      <c r="P1462" s="91">
        <f>SUM(P1461:P1461)</f>
        <v>0</v>
      </c>
      <c r="Q1462" s="91">
        <f>SUM(Q1461:Q1461)</f>
        <v>0</v>
      </c>
      <c r="R1462" s="91">
        <f>SUM(R1461:R1461)</f>
        <v>0</v>
      </c>
      <c r="S1462" s="91">
        <f>SUM(S1461:S1461)</f>
        <v>0</v>
      </c>
      <c r="T1462" s="91">
        <f>SUM(T1461:T1461)</f>
        <v>0</v>
      </c>
      <c r="U1462" s="59">
        <f t="shared" si="2079"/>
        <v>0</v>
      </c>
      <c r="V1462" s="91">
        <f>SUM(V1461:V1461)</f>
        <v>0</v>
      </c>
      <c r="W1462" s="91">
        <f>SUM(W1461:W1461)</f>
        <v>3073</v>
      </c>
      <c r="X1462" s="91">
        <f>SUM(X1461:X1461)</f>
        <v>0</v>
      </c>
      <c r="Y1462" s="136"/>
      <c r="Z1462" s="136"/>
      <c r="AA1462" s="136"/>
      <c r="AB1462" s="84"/>
      <c r="AC1462" s="90"/>
      <c r="AD1462" s="90"/>
      <c r="AE1462" s="100">
        <f t="shared" si="2143"/>
        <v>1.0855263157894738E-2</v>
      </c>
      <c r="AF1462" s="90"/>
      <c r="AG1462" s="109">
        <f t="shared" si="2144"/>
        <v>0</v>
      </c>
      <c r="AH1462" s="100">
        <f t="shared" si="2145"/>
        <v>-1</v>
      </c>
      <c r="AI1462" s="100">
        <f t="shared" si="2146"/>
        <v>1.0855263157894738E-2</v>
      </c>
    </row>
    <row r="1463" spans="1:35" s="47" customFormat="1" ht="21" customHeight="1" x14ac:dyDescent="0.3">
      <c r="A1463" s="78"/>
      <c r="B1463" s="106" t="s">
        <v>51</v>
      </c>
      <c r="C1463" s="117" t="s">
        <v>355</v>
      </c>
      <c r="D1463" s="235">
        <v>15204712</v>
      </c>
      <c r="E1463" s="129" t="s">
        <v>0</v>
      </c>
      <c r="F1463" s="66">
        <v>10061</v>
      </c>
      <c r="G1463" s="66"/>
      <c r="H1463" s="66"/>
      <c r="I1463" s="66"/>
      <c r="J1463" s="66"/>
      <c r="K1463" s="78"/>
      <c r="L1463" s="66"/>
      <c r="M1463" s="66">
        <f>2000+1000+1080+200+800+2220+470+120+2265</f>
        <v>10155</v>
      </c>
      <c r="N1463" s="110">
        <f>M1463-F1463</f>
        <v>94</v>
      </c>
      <c r="O1463" s="110"/>
      <c r="P1463" s="66"/>
      <c r="Q1463" s="66"/>
      <c r="R1463" s="66"/>
      <c r="S1463" s="66"/>
      <c r="T1463" s="110">
        <f>S1463-Q1463</f>
        <v>0</v>
      </c>
      <c r="U1463" s="59">
        <f t="shared" ref="U1463:U1464" si="2171">IF(Q1463&gt;0,S1463-W1463,M1463-W1463)</f>
        <v>0</v>
      </c>
      <c r="V1463" s="66"/>
      <c r="W1463" s="66">
        <v>10155</v>
      </c>
      <c r="X1463" s="110">
        <f>W1463-M1463</f>
        <v>0</v>
      </c>
      <c r="Y1463" s="110"/>
      <c r="Z1463" s="110"/>
      <c r="AA1463" s="110"/>
      <c r="AB1463" s="46"/>
      <c r="AC1463" s="78"/>
      <c r="AD1463" s="78"/>
      <c r="AE1463" s="100">
        <f t="shared" ref="AE1463:AE1464" si="2172">N1463/F1463</f>
        <v>9.3430076533147794E-3</v>
      </c>
      <c r="AF1463" s="90"/>
      <c r="AG1463" s="109">
        <f t="shared" ref="AG1463:AG1464" si="2173">IF(N1463&lt;0,N1463,0)</f>
        <v>0</v>
      </c>
      <c r="AH1463" s="100">
        <f t="shared" ref="AH1463:AH1464" si="2174">(S1463-F1463)/F1463</f>
        <v>-1</v>
      </c>
      <c r="AI1463" s="100">
        <f t="shared" ref="AI1463:AI1464" si="2175">(W1463-F1463)/F1463</f>
        <v>9.3430076533147794E-3</v>
      </c>
    </row>
    <row r="1464" spans="1:35" s="79" customFormat="1" ht="15.75" customHeight="1" x14ac:dyDescent="0.3">
      <c r="A1464" s="90" t="s">
        <v>46</v>
      </c>
      <c r="B1464" s="136" t="s">
        <v>51</v>
      </c>
      <c r="C1464" s="137"/>
      <c r="D1464" s="136"/>
      <c r="E1464" s="138"/>
      <c r="F1464" s="91">
        <f>SUM(F1463:F1463)</f>
        <v>10061</v>
      </c>
      <c r="G1464" s="91"/>
      <c r="H1464" s="91"/>
      <c r="I1464" s="91"/>
      <c r="J1464" s="91" t="s">
        <v>58</v>
      </c>
      <c r="K1464" s="65" t="s">
        <v>175</v>
      </c>
      <c r="L1464" s="91">
        <f>SUM(L1463:L1463)</f>
        <v>0</v>
      </c>
      <c r="M1464" s="91">
        <f>SUM(M1463:M1463)</f>
        <v>10155</v>
      </c>
      <c r="N1464" s="91">
        <f>SUM(N1463:N1463)</f>
        <v>94</v>
      </c>
      <c r="O1464" s="91"/>
      <c r="P1464" s="91">
        <f>SUM(P1463:P1463)</f>
        <v>0</v>
      </c>
      <c r="Q1464" s="91">
        <f>SUM(Q1463:Q1463)</f>
        <v>0</v>
      </c>
      <c r="R1464" s="91">
        <f>SUM(R1463:R1463)</f>
        <v>0</v>
      </c>
      <c r="S1464" s="91">
        <f>SUM(S1463:S1463)</f>
        <v>0</v>
      </c>
      <c r="T1464" s="91">
        <f>SUM(T1463:T1463)</f>
        <v>0</v>
      </c>
      <c r="U1464" s="59">
        <f t="shared" si="2171"/>
        <v>0</v>
      </c>
      <c r="V1464" s="91">
        <f>SUM(V1463:V1463)</f>
        <v>0</v>
      </c>
      <c r="W1464" s="91">
        <f>SUM(W1463:W1463)</f>
        <v>10155</v>
      </c>
      <c r="X1464" s="91">
        <f>SUM(X1463:X1463)</f>
        <v>0</v>
      </c>
      <c r="Y1464" s="136"/>
      <c r="Z1464" s="136"/>
      <c r="AA1464" s="136"/>
      <c r="AB1464" s="84"/>
      <c r="AC1464" s="90"/>
      <c r="AD1464" s="90"/>
      <c r="AE1464" s="100">
        <f t="shared" si="2172"/>
        <v>9.3430076533147794E-3</v>
      </c>
      <c r="AF1464" s="90"/>
      <c r="AG1464" s="109">
        <f t="shared" si="2173"/>
        <v>0</v>
      </c>
      <c r="AH1464" s="100">
        <f t="shared" si="2174"/>
        <v>-1</v>
      </c>
      <c r="AI1464" s="100">
        <f t="shared" si="2175"/>
        <v>9.3430076533147794E-3</v>
      </c>
    </row>
    <row r="1465" spans="1:35" s="47" customFormat="1" ht="21" customHeight="1" x14ac:dyDescent="0.3">
      <c r="A1465" s="78"/>
      <c r="B1465" s="106" t="s">
        <v>51</v>
      </c>
      <c r="C1465" s="117" t="s">
        <v>496</v>
      </c>
      <c r="D1465" s="220">
        <v>15204712</v>
      </c>
      <c r="E1465" s="129" t="s">
        <v>5</v>
      </c>
      <c r="F1465" s="66">
        <v>9070</v>
      </c>
      <c r="G1465" s="66"/>
      <c r="H1465" s="66"/>
      <c r="I1465" s="66"/>
      <c r="J1465" s="66"/>
      <c r="K1465" s="78"/>
      <c r="L1465" s="66"/>
      <c r="M1465" s="66">
        <f>500+1000+500+1960+1100+800+1000+550+1387+261+126</f>
        <v>9184</v>
      </c>
      <c r="N1465" s="110">
        <f>M1465-F1465</f>
        <v>114</v>
      </c>
      <c r="O1465" s="110"/>
      <c r="P1465" s="66"/>
      <c r="Q1465" s="66"/>
      <c r="R1465" s="66"/>
      <c r="S1465" s="66"/>
      <c r="T1465" s="110">
        <f>S1465-Q1465</f>
        <v>0</v>
      </c>
      <c r="U1465" s="59">
        <f t="shared" si="2079"/>
        <v>27</v>
      </c>
      <c r="V1465" s="66"/>
      <c r="W1465" s="66">
        <v>9157</v>
      </c>
      <c r="X1465" s="110">
        <f>W1465-M1465</f>
        <v>-27</v>
      </c>
      <c r="Y1465" s="110"/>
      <c r="Z1465" s="110"/>
      <c r="AA1465" s="110"/>
      <c r="AB1465" s="46"/>
      <c r="AC1465" s="78"/>
      <c r="AD1465" s="78"/>
      <c r="AE1465" s="100">
        <f t="shared" si="2143"/>
        <v>1.256890848952591E-2</v>
      </c>
      <c r="AF1465" s="90"/>
      <c r="AG1465" s="109">
        <f t="shared" si="2144"/>
        <v>0</v>
      </c>
      <c r="AH1465" s="100">
        <f t="shared" si="2145"/>
        <v>-1</v>
      </c>
      <c r="AI1465" s="100">
        <f t="shared" si="2146"/>
        <v>9.5920617420066148E-3</v>
      </c>
    </row>
    <row r="1466" spans="1:35" s="79" customFormat="1" ht="15.75" customHeight="1" x14ac:dyDescent="0.3">
      <c r="A1466" s="90" t="s">
        <v>46</v>
      </c>
      <c r="B1466" s="136" t="s">
        <v>51</v>
      </c>
      <c r="C1466" s="137"/>
      <c r="D1466" s="136"/>
      <c r="E1466" s="138"/>
      <c r="F1466" s="91">
        <f>SUM(F1465:F1465)</f>
        <v>9070</v>
      </c>
      <c r="G1466" s="91"/>
      <c r="H1466" s="91"/>
      <c r="I1466" s="91"/>
      <c r="J1466" s="91" t="s">
        <v>58</v>
      </c>
      <c r="K1466" s="65" t="s">
        <v>175</v>
      </c>
      <c r="L1466" s="91">
        <f>SUM(L1465:L1465)</f>
        <v>0</v>
      </c>
      <c r="M1466" s="91">
        <f>SUM(M1465:M1465)</f>
        <v>9184</v>
      </c>
      <c r="N1466" s="91">
        <f>SUM(N1465:N1465)</f>
        <v>114</v>
      </c>
      <c r="O1466" s="91"/>
      <c r="P1466" s="91">
        <f>SUM(P1465:P1465)</f>
        <v>0</v>
      </c>
      <c r="Q1466" s="91">
        <f>SUM(Q1465:Q1465)</f>
        <v>0</v>
      </c>
      <c r="R1466" s="91">
        <f>SUM(R1465:R1465)</f>
        <v>0</v>
      </c>
      <c r="S1466" s="91">
        <f>SUM(S1465:S1465)</f>
        <v>0</v>
      </c>
      <c r="T1466" s="91">
        <f>SUM(T1465:T1465)</f>
        <v>0</v>
      </c>
      <c r="U1466" s="59">
        <f t="shared" si="2079"/>
        <v>27</v>
      </c>
      <c r="V1466" s="91">
        <f>SUM(V1465:V1465)</f>
        <v>0</v>
      </c>
      <c r="W1466" s="91">
        <f>SUM(W1465:W1465)</f>
        <v>9157</v>
      </c>
      <c r="X1466" s="91">
        <f>SUM(X1465:X1465)</f>
        <v>-27</v>
      </c>
      <c r="Y1466" s="136"/>
      <c r="Z1466" s="136"/>
      <c r="AA1466" s="136"/>
      <c r="AB1466" s="84"/>
      <c r="AC1466" s="90"/>
      <c r="AD1466" s="90"/>
      <c r="AE1466" s="100">
        <f t="shared" si="2143"/>
        <v>1.256890848952591E-2</v>
      </c>
      <c r="AF1466" s="90"/>
      <c r="AG1466" s="109">
        <f t="shared" si="2144"/>
        <v>0</v>
      </c>
      <c r="AH1466" s="100">
        <f t="shared" si="2145"/>
        <v>-1</v>
      </c>
      <c r="AI1466" s="100">
        <f t="shared" si="2146"/>
        <v>9.5920617420066148E-3</v>
      </c>
    </row>
    <row r="1467" spans="1:35" s="47" customFormat="1" ht="21" customHeight="1" x14ac:dyDescent="0.3">
      <c r="A1467" s="78"/>
      <c r="B1467" s="106" t="s">
        <v>51</v>
      </c>
      <c r="C1467" s="117" t="s">
        <v>356</v>
      </c>
      <c r="D1467" s="299">
        <v>15204712</v>
      </c>
      <c r="E1467" s="129" t="s">
        <v>234</v>
      </c>
      <c r="F1467" s="66">
        <v>552</v>
      </c>
      <c r="G1467" s="66"/>
      <c r="H1467" s="66"/>
      <c r="I1467" s="66"/>
      <c r="J1467" s="66"/>
      <c r="K1467" s="78"/>
      <c r="L1467" s="66"/>
      <c r="M1467" s="66">
        <f>480+92</f>
        <v>572</v>
      </c>
      <c r="N1467" s="110">
        <f>M1467-F1467</f>
        <v>20</v>
      </c>
      <c r="O1467" s="110"/>
      <c r="P1467" s="66"/>
      <c r="Q1467" s="66"/>
      <c r="R1467" s="66"/>
      <c r="S1467" s="66"/>
      <c r="T1467" s="110">
        <f>S1467-Q1467</f>
        <v>0</v>
      </c>
      <c r="U1467" s="59">
        <f t="shared" ref="U1467:U1470" si="2176">IF(Q1467&gt;0,S1467-W1467,M1467-W1467)</f>
        <v>0</v>
      </c>
      <c r="V1467" s="66"/>
      <c r="W1467" s="66">
        <v>572</v>
      </c>
      <c r="X1467" s="110">
        <f>W1467-M1467</f>
        <v>0</v>
      </c>
      <c r="Y1467" s="110"/>
      <c r="Z1467" s="110"/>
      <c r="AA1467" s="110"/>
      <c r="AB1467" s="46"/>
      <c r="AC1467" s="78"/>
      <c r="AD1467" s="78"/>
      <c r="AE1467" s="100">
        <f t="shared" ref="AE1467:AE1470" si="2177">N1467/F1467</f>
        <v>3.6231884057971016E-2</v>
      </c>
      <c r="AF1467" s="90"/>
      <c r="AG1467" s="109">
        <f t="shared" ref="AG1467:AG1470" si="2178">IF(N1467&lt;0,N1467,0)</f>
        <v>0</v>
      </c>
      <c r="AH1467" s="100">
        <f t="shared" ref="AH1467:AH1470" si="2179">(S1467-F1467)/F1467</f>
        <v>-1</v>
      </c>
      <c r="AI1467" s="100">
        <f t="shared" ref="AI1467:AI1470" si="2180">(W1467-F1467)/F1467</f>
        <v>3.6231884057971016E-2</v>
      </c>
    </row>
    <row r="1468" spans="1:35" s="47" customFormat="1" ht="21" customHeight="1" x14ac:dyDescent="0.3">
      <c r="A1468" s="78"/>
      <c r="B1468" s="106" t="s">
        <v>51</v>
      </c>
      <c r="C1468" s="117" t="s">
        <v>356</v>
      </c>
      <c r="D1468" s="300"/>
      <c r="E1468" s="129" t="s">
        <v>141</v>
      </c>
      <c r="F1468" s="66">
        <v>552</v>
      </c>
      <c r="G1468" s="66"/>
      <c r="H1468" s="66"/>
      <c r="I1468" s="66"/>
      <c r="J1468" s="66"/>
      <c r="K1468" s="78"/>
      <c r="L1468" s="66"/>
      <c r="M1468" s="66">
        <f>138+426</f>
        <v>564</v>
      </c>
      <c r="N1468" s="110">
        <f>M1468-F1468</f>
        <v>12</v>
      </c>
      <c r="O1468" s="110"/>
      <c r="P1468" s="66"/>
      <c r="Q1468" s="66"/>
      <c r="R1468" s="66"/>
      <c r="S1468" s="66"/>
      <c r="T1468" s="110">
        <f>S1468-Q1468</f>
        <v>0</v>
      </c>
      <c r="U1468" s="59">
        <f t="shared" ref="U1468" si="2181">IF(Q1468&gt;0,S1468-W1468,M1468-W1468)</f>
        <v>0</v>
      </c>
      <c r="V1468" s="66"/>
      <c r="W1468" s="66">
        <v>564</v>
      </c>
      <c r="X1468" s="110">
        <f>W1468-M1468</f>
        <v>0</v>
      </c>
      <c r="Y1468" s="110"/>
      <c r="Z1468" s="110"/>
      <c r="AA1468" s="110"/>
      <c r="AB1468" s="46"/>
      <c r="AC1468" s="78"/>
      <c r="AD1468" s="78"/>
      <c r="AE1468" s="100">
        <f t="shared" ref="AE1468" si="2182">N1468/F1468</f>
        <v>2.1739130434782608E-2</v>
      </c>
      <c r="AF1468" s="90"/>
      <c r="AG1468" s="109">
        <f t="shared" ref="AG1468" si="2183">IF(N1468&lt;0,N1468,0)</f>
        <v>0</v>
      </c>
      <c r="AH1468" s="100">
        <f t="shared" ref="AH1468" si="2184">(S1468-F1468)/F1468</f>
        <v>-1</v>
      </c>
      <c r="AI1468" s="100">
        <f t="shared" ref="AI1468" si="2185">(W1468-F1468)/F1468</f>
        <v>2.1739130434782608E-2</v>
      </c>
    </row>
    <row r="1469" spans="1:35" s="47" customFormat="1" ht="21" customHeight="1" x14ac:dyDescent="0.3">
      <c r="A1469" s="78"/>
      <c r="B1469" s="106" t="s">
        <v>51</v>
      </c>
      <c r="C1469" s="117" t="s">
        <v>356</v>
      </c>
      <c r="D1469" s="300"/>
      <c r="E1469" s="129" t="s">
        <v>228</v>
      </c>
      <c r="F1469" s="66">
        <v>552</v>
      </c>
      <c r="G1469" s="66"/>
      <c r="H1469" s="66"/>
      <c r="I1469" s="66"/>
      <c r="J1469" s="66"/>
      <c r="K1469" s="78"/>
      <c r="L1469" s="66"/>
      <c r="M1469" s="66">
        <f>562</f>
        <v>562</v>
      </c>
      <c r="N1469" s="110">
        <f>M1469-F1469</f>
        <v>10</v>
      </c>
      <c r="O1469" s="110"/>
      <c r="P1469" s="66"/>
      <c r="Q1469" s="66"/>
      <c r="R1469" s="66"/>
      <c r="S1469" s="66"/>
      <c r="T1469" s="110">
        <f>S1469-Q1469</f>
        <v>0</v>
      </c>
      <c r="U1469" s="59">
        <f t="shared" si="2176"/>
        <v>0</v>
      </c>
      <c r="V1469" s="66"/>
      <c r="W1469" s="66">
        <v>562</v>
      </c>
      <c r="X1469" s="110">
        <f>W1469-M1469</f>
        <v>0</v>
      </c>
      <c r="Y1469" s="110"/>
      <c r="Z1469" s="110"/>
      <c r="AA1469" s="110"/>
      <c r="AB1469" s="46"/>
      <c r="AC1469" s="78"/>
      <c r="AD1469" s="78"/>
      <c r="AE1469" s="100">
        <f t="shared" si="2177"/>
        <v>1.8115942028985508E-2</v>
      </c>
      <c r="AF1469" s="90"/>
      <c r="AG1469" s="109">
        <f t="shared" si="2178"/>
        <v>0</v>
      </c>
      <c r="AH1469" s="100">
        <f t="shared" si="2179"/>
        <v>-1</v>
      </c>
      <c r="AI1469" s="100">
        <f t="shared" si="2180"/>
        <v>1.8115942028985508E-2</v>
      </c>
    </row>
    <row r="1470" spans="1:35" s="79" customFormat="1" ht="15.75" customHeight="1" x14ac:dyDescent="0.3">
      <c r="A1470" s="90" t="s">
        <v>46</v>
      </c>
      <c r="B1470" s="136" t="s">
        <v>51</v>
      </c>
      <c r="C1470" s="137"/>
      <c r="D1470" s="136"/>
      <c r="E1470" s="138"/>
      <c r="F1470" s="91">
        <f>SUM(F1467:F1469)</f>
        <v>1656</v>
      </c>
      <c r="G1470" s="91"/>
      <c r="H1470" s="91"/>
      <c r="I1470" s="91"/>
      <c r="J1470" s="91" t="s">
        <v>58</v>
      </c>
      <c r="K1470" s="65" t="s">
        <v>290</v>
      </c>
      <c r="L1470" s="91">
        <f>SUM(L1467:L1469)</f>
        <v>0</v>
      </c>
      <c r="M1470" s="91">
        <f>SUM(M1467:M1469)</f>
        <v>1698</v>
      </c>
      <c r="N1470" s="91">
        <f>SUM(N1467:N1469)</f>
        <v>42</v>
      </c>
      <c r="O1470" s="91"/>
      <c r="P1470" s="91">
        <f>SUM(P1467:P1469)</f>
        <v>0</v>
      </c>
      <c r="Q1470" s="91">
        <f>SUM(Q1467:Q1469)</f>
        <v>0</v>
      </c>
      <c r="R1470" s="91">
        <f>SUM(R1467:R1469)</f>
        <v>0</v>
      </c>
      <c r="S1470" s="91">
        <f>SUM(S1467:S1469)</f>
        <v>0</v>
      </c>
      <c r="T1470" s="91">
        <f>SUM(T1467:T1469)</f>
        <v>0</v>
      </c>
      <c r="U1470" s="59">
        <f t="shared" si="2176"/>
        <v>0</v>
      </c>
      <c r="V1470" s="91">
        <f>SUM(V1467:V1469)</f>
        <v>0</v>
      </c>
      <c r="W1470" s="91">
        <f>SUM(W1467:W1469)</f>
        <v>1698</v>
      </c>
      <c r="X1470" s="91">
        <f>SUM(X1467:X1469)</f>
        <v>0</v>
      </c>
      <c r="Y1470" s="136"/>
      <c r="Z1470" s="136"/>
      <c r="AA1470" s="136"/>
      <c r="AB1470" s="84"/>
      <c r="AC1470" s="90"/>
      <c r="AD1470" s="90"/>
      <c r="AE1470" s="100">
        <f t="shared" si="2177"/>
        <v>2.5362318840579712E-2</v>
      </c>
      <c r="AF1470" s="90"/>
      <c r="AG1470" s="109">
        <f t="shared" si="2178"/>
        <v>0</v>
      </c>
      <c r="AH1470" s="100">
        <f t="shared" si="2179"/>
        <v>-1</v>
      </c>
      <c r="AI1470" s="100">
        <f t="shared" si="2180"/>
        <v>2.5362318840579712E-2</v>
      </c>
    </row>
    <row r="1471" spans="1:35" s="47" customFormat="1" ht="21" customHeight="1" x14ac:dyDescent="0.3">
      <c r="A1471" s="78"/>
      <c r="B1471" s="106" t="s">
        <v>51</v>
      </c>
      <c r="C1471" s="117" t="s">
        <v>855</v>
      </c>
      <c r="D1471" s="304">
        <v>15270390</v>
      </c>
      <c r="E1471" s="129" t="s">
        <v>228</v>
      </c>
      <c r="F1471" s="66">
        <v>3698</v>
      </c>
      <c r="G1471" s="66"/>
      <c r="H1471" s="66"/>
      <c r="I1471" s="66"/>
      <c r="J1471" s="66"/>
      <c r="K1471" s="78"/>
      <c r="L1471" s="66"/>
      <c r="M1471" s="66"/>
      <c r="N1471" s="110">
        <f t="shared" ref="N1471:N1480" si="2186">M1471-F1471</f>
        <v>-3698</v>
      </c>
      <c r="O1471" s="110"/>
      <c r="P1471" s="66"/>
      <c r="Q1471" s="66"/>
      <c r="R1471" s="66"/>
      <c r="S1471" s="66"/>
      <c r="T1471" s="110">
        <f t="shared" ref="T1471:T1480" si="2187">S1471-Q1471</f>
        <v>0</v>
      </c>
      <c r="U1471" s="59">
        <f t="shared" si="2079"/>
        <v>0</v>
      </c>
      <c r="V1471" s="66"/>
      <c r="W1471" s="66"/>
      <c r="X1471" s="110">
        <f t="shared" ref="X1471:X1480" si="2188">W1471-M1471</f>
        <v>0</v>
      </c>
      <c r="Y1471" s="110"/>
      <c r="Z1471" s="110"/>
      <c r="AA1471" s="110"/>
      <c r="AB1471" s="46"/>
      <c r="AC1471" s="78"/>
      <c r="AD1471" s="78"/>
      <c r="AE1471" s="100">
        <f t="shared" ref="AE1471:AE1492" si="2189">N1471/F1471</f>
        <v>-1</v>
      </c>
      <c r="AF1471" s="90"/>
      <c r="AG1471" s="109">
        <f t="shared" ref="AG1471:AG1492" si="2190">IF(N1471&lt;0,N1471,0)</f>
        <v>-3698</v>
      </c>
      <c r="AH1471" s="100">
        <f t="shared" ref="AH1471:AH1492" si="2191">(S1471-F1471)/F1471</f>
        <v>-1</v>
      </c>
      <c r="AI1471" s="100">
        <f t="shared" ref="AI1471:AI1492" si="2192">(W1471-F1471)/F1471</f>
        <v>-1</v>
      </c>
    </row>
    <row r="1472" spans="1:35" s="47" customFormat="1" ht="21" customHeight="1" x14ac:dyDescent="0.3">
      <c r="A1472" s="78"/>
      <c r="B1472" s="106" t="s">
        <v>51</v>
      </c>
      <c r="C1472" s="117" t="s">
        <v>855</v>
      </c>
      <c r="D1472" s="305"/>
      <c r="E1472" s="129" t="s">
        <v>97</v>
      </c>
      <c r="F1472" s="66">
        <v>4773</v>
      </c>
      <c r="G1472" s="66"/>
      <c r="H1472" s="66"/>
      <c r="I1472" s="66"/>
      <c r="J1472" s="66"/>
      <c r="K1472" s="78"/>
      <c r="L1472" s="66"/>
      <c r="M1472" s="66"/>
      <c r="N1472" s="110">
        <f t="shared" si="2186"/>
        <v>-4773</v>
      </c>
      <c r="O1472" s="110"/>
      <c r="P1472" s="66"/>
      <c r="Q1472" s="66"/>
      <c r="R1472" s="66"/>
      <c r="S1472" s="66"/>
      <c r="T1472" s="110">
        <f t="shared" si="2187"/>
        <v>0</v>
      </c>
      <c r="U1472" s="59">
        <f t="shared" ref="U1472:U1475" si="2193">IF(Q1472&gt;0,S1472-W1472,M1472-W1472)</f>
        <v>0</v>
      </c>
      <c r="V1472" s="66"/>
      <c r="W1472" s="66"/>
      <c r="X1472" s="110">
        <f t="shared" si="2188"/>
        <v>0</v>
      </c>
      <c r="Y1472" s="110"/>
      <c r="Z1472" s="110"/>
      <c r="AA1472" s="110"/>
      <c r="AB1472" s="46"/>
      <c r="AC1472" s="78"/>
      <c r="AD1472" s="78"/>
      <c r="AE1472" s="100">
        <f t="shared" ref="AE1472:AE1475" si="2194">N1472/F1472</f>
        <v>-1</v>
      </c>
      <c r="AF1472" s="90"/>
      <c r="AG1472" s="109">
        <f t="shared" ref="AG1472:AG1475" si="2195">IF(N1472&lt;0,N1472,0)</f>
        <v>-4773</v>
      </c>
      <c r="AH1472" s="100">
        <f t="shared" ref="AH1472:AH1475" si="2196">(S1472-F1472)/F1472</f>
        <v>-1</v>
      </c>
      <c r="AI1472" s="100">
        <f t="shared" ref="AI1472:AI1475" si="2197">(W1472-F1472)/F1472</f>
        <v>-1</v>
      </c>
    </row>
    <row r="1473" spans="1:35" s="47" customFormat="1" ht="21" customHeight="1" x14ac:dyDescent="0.3">
      <c r="A1473" s="78"/>
      <c r="B1473" s="106" t="s">
        <v>51</v>
      </c>
      <c r="C1473" s="117" t="s">
        <v>855</v>
      </c>
      <c r="D1473" s="305"/>
      <c r="E1473" s="129" t="s">
        <v>856</v>
      </c>
      <c r="F1473" s="66">
        <v>288</v>
      </c>
      <c r="G1473" s="66"/>
      <c r="H1473" s="66"/>
      <c r="I1473" s="66"/>
      <c r="J1473" s="66"/>
      <c r="K1473" s="78"/>
      <c r="L1473" s="66"/>
      <c r="M1473" s="66"/>
      <c r="N1473" s="110">
        <f t="shared" si="2186"/>
        <v>-288</v>
      </c>
      <c r="O1473" s="110"/>
      <c r="P1473" s="66"/>
      <c r="Q1473" s="66"/>
      <c r="R1473" s="66"/>
      <c r="S1473" s="66"/>
      <c r="T1473" s="110">
        <f t="shared" si="2187"/>
        <v>0</v>
      </c>
      <c r="U1473" s="59">
        <f t="shared" si="2193"/>
        <v>0</v>
      </c>
      <c r="V1473" s="66"/>
      <c r="W1473" s="66"/>
      <c r="X1473" s="110">
        <f t="shared" si="2188"/>
        <v>0</v>
      </c>
      <c r="Y1473" s="110"/>
      <c r="Z1473" s="110"/>
      <c r="AA1473" s="110"/>
      <c r="AB1473" s="46"/>
      <c r="AC1473" s="78"/>
      <c r="AD1473" s="78"/>
      <c r="AE1473" s="100">
        <f t="shared" si="2194"/>
        <v>-1</v>
      </c>
      <c r="AF1473" s="90"/>
      <c r="AG1473" s="109">
        <f t="shared" si="2195"/>
        <v>-288</v>
      </c>
      <c r="AH1473" s="100">
        <f t="shared" si="2196"/>
        <v>-1</v>
      </c>
      <c r="AI1473" s="100">
        <f t="shared" si="2197"/>
        <v>-1</v>
      </c>
    </row>
    <row r="1474" spans="1:35" s="47" customFormat="1" ht="21" customHeight="1" x14ac:dyDescent="0.3">
      <c r="A1474" s="78"/>
      <c r="B1474" s="106" t="s">
        <v>51</v>
      </c>
      <c r="C1474" s="117" t="s">
        <v>855</v>
      </c>
      <c r="D1474" s="305"/>
      <c r="E1474" s="129" t="s">
        <v>5</v>
      </c>
      <c r="F1474" s="66">
        <v>6016</v>
      </c>
      <c r="G1474" s="66"/>
      <c r="H1474" s="66"/>
      <c r="I1474" s="66"/>
      <c r="J1474" s="66"/>
      <c r="K1474" s="78"/>
      <c r="L1474" s="66"/>
      <c r="M1474" s="66"/>
      <c r="N1474" s="110">
        <f t="shared" si="2186"/>
        <v>-6016</v>
      </c>
      <c r="O1474" s="110"/>
      <c r="P1474" s="66"/>
      <c r="Q1474" s="66"/>
      <c r="R1474" s="66"/>
      <c r="S1474" s="66"/>
      <c r="T1474" s="110">
        <f t="shared" si="2187"/>
        <v>0</v>
      </c>
      <c r="U1474" s="59">
        <f t="shared" si="2193"/>
        <v>0</v>
      </c>
      <c r="V1474" s="66"/>
      <c r="W1474" s="66"/>
      <c r="X1474" s="110">
        <f t="shared" si="2188"/>
        <v>0</v>
      </c>
      <c r="Y1474" s="110"/>
      <c r="Z1474" s="110"/>
      <c r="AA1474" s="110"/>
      <c r="AB1474" s="46"/>
      <c r="AC1474" s="78"/>
      <c r="AD1474" s="78"/>
      <c r="AE1474" s="100">
        <f t="shared" si="2194"/>
        <v>-1</v>
      </c>
      <c r="AF1474" s="90"/>
      <c r="AG1474" s="109">
        <f t="shared" si="2195"/>
        <v>-6016</v>
      </c>
      <c r="AH1474" s="100">
        <f t="shared" si="2196"/>
        <v>-1</v>
      </c>
      <c r="AI1474" s="100">
        <f t="shared" si="2197"/>
        <v>-1</v>
      </c>
    </row>
    <row r="1475" spans="1:35" s="47" customFormat="1" ht="21" customHeight="1" x14ac:dyDescent="0.3">
      <c r="A1475" s="78"/>
      <c r="B1475" s="106" t="s">
        <v>51</v>
      </c>
      <c r="C1475" s="117" t="s">
        <v>855</v>
      </c>
      <c r="D1475" s="305"/>
      <c r="E1475" s="129" t="s">
        <v>857</v>
      </c>
      <c r="F1475" s="66">
        <v>5164</v>
      </c>
      <c r="G1475" s="66"/>
      <c r="H1475" s="66"/>
      <c r="I1475" s="66"/>
      <c r="J1475" s="66"/>
      <c r="K1475" s="78"/>
      <c r="L1475" s="66"/>
      <c r="M1475" s="66"/>
      <c r="N1475" s="110">
        <f t="shared" si="2186"/>
        <v>-5164</v>
      </c>
      <c r="O1475" s="110"/>
      <c r="P1475" s="66"/>
      <c r="Q1475" s="66"/>
      <c r="R1475" s="66"/>
      <c r="S1475" s="66"/>
      <c r="T1475" s="110">
        <f t="shared" si="2187"/>
        <v>0</v>
      </c>
      <c r="U1475" s="59">
        <f t="shared" si="2193"/>
        <v>0</v>
      </c>
      <c r="V1475" s="66"/>
      <c r="W1475" s="66"/>
      <c r="X1475" s="110">
        <f t="shared" si="2188"/>
        <v>0</v>
      </c>
      <c r="Y1475" s="110"/>
      <c r="Z1475" s="110"/>
      <c r="AA1475" s="110"/>
      <c r="AB1475" s="46"/>
      <c r="AC1475" s="78"/>
      <c r="AD1475" s="78"/>
      <c r="AE1475" s="100">
        <f t="shared" si="2194"/>
        <v>-1</v>
      </c>
      <c r="AF1475" s="90"/>
      <c r="AG1475" s="109">
        <f t="shared" si="2195"/>
        <v>-5164</v>
      </c>
      <c r="AH1475" s="100">
        <f t="shared" si="2196"/>
        <v>-1</v>
      </c>
      <c r="AI1475" s="100">
        <f t="shared" si="2197"/>
        <v>-1</v>
      </c>
    </row>
    <row r="1476" spans="1:35" s="47" customFormat="1" ht="21" customHeight="1" x14ac:dyDescent="0.3">
      <c r="A1476" s="78"/>
      <c r="B1476" s="106" t="s">
        <v>51</v>
      </c>
      <c r="C1476" s="117" t="s">
        <v>855</v>
      </c>
      <c r="D1476" s="305"/>
      <c r="E1476" s="129" t="s">
        <v>575</v>
      </c>
      <c r="F1476" s="66">
        <v>795</v>
      </c>
      <c r="G1476" s="66"/>
      <c r="H1476" s="66"/>
      <c r="I1476" s="66"/>
      <c r="J1476" s="66"/>
      <c r="K1476" s="78"/>
      <c r="L1476" s="66"/>
      <c r="M1476" s="66"/>
      <c r="N1476" s="110">
        <f t="shared" si="2186"/>
        <v>-795</v>
      </c>
      <c r="O1476" s="110"/>
      <c r="P1476" s="66"/>
      <c r="Q1476" s="66"/>
      <c r="R1476" s="66"/>
      <c r="S1476" s="66"/>
      <c r="T1476" s="110">
        <f t="shared" si="2187"/>
        <v>0</v>
      </c>
      <c r="U1476" s="59">
        <f t="shared" si="2079"/>
        <v>0</v>
      </c>
      <c r="V1476" s="66"/>
      <c r="W1476" s="66"/>
      <c r="X1476" s="110">
        <f t="shared" si="2188"/>
        <v>0</v>
      </c>
      <c r="Y1476" s="110"/>
      <c r="Z1476" s="110"/>
      <c r="AA1476" s="110"/>
      <c r="AB1476" s="46"/>
      <c r="AC1476" s="78"/>
      <c r="AD1476" s="78"/>
      <c r="AE1476" s="100">
        <f t="shared" si="2189"/>
        <v>-1</v>
      </c>
      <c r="AF1476" s="90"/>
      <c r="AG1476" s="109">
        <f t="shared" si="2190"/>
        <v>-795</v>
      </c>
      <c r="AH1476" s="100">
        <f t="shared" si="2191"/>
        <v>-1</v>
      </c>
      <c r="AI1476" s="100">
        <f t="shared" si="2192"/>
        <v>-1</v>
      </c>
    </row>
    <row r="1477" spans="1:35" s="47" customFormat="1" ht="21" customHeight="1" x14ac:dyDescent="0.3">
      <c r="A1477" s="78"/>
      <c r="B1477" s="106" t="s">
        <v>51</v>
      </c>
      <c r="C1477" s="117" t="s">
        <v>855</v>
      </c>
      <c r="D1477" s="305"/>
      <c r="E1477" s="129" t="s">
        <v>858</v>
      </c>
      <c r="F1477" s="66">
        <v>795</v>
      </c>
      <c r="G1477" s="66"/>
      <c r="H1477" s="66"/>
      <c r="I1477" s="66"/>
      <c r="J1477" s="66"/>
      <c r="K1477" s="78"/>
      <c r="L1477" s="66"/>
      <c r="M1477" s="66"/>
      <c r="N1477" s="110">
        <f t="shared" si="2186"/>
        <v>-795</v>
      </c>
      <c r="O1477" s="110"/>
      <c r="P1477" s="66"/>
      <c r="Q1477" s="66"/>
      <c r="R1477" s="66"/>
      <c r="S1477" s="66"/>
      <c r="T1477" s="110">
        <f t="shared" si="2187"/>
        <v>0</v>
      </c>
      <c r="U1477" s="59">
        <f t="shared" ref="U1477" si="2198">IF(Q1477&gt;0,S1477-W1477,M1477-W1477)</f>
        <v>0</v>
      </c>
      <c r="V1477" s="66"/>
      <c r="W1477" s="66"/>
      <c r="X1477" s="110">
        <f t="shared" si="2188"/>
        <v>0</v>
      </c>
      <c r="Y1477" s="110"/>
      <c r="Z1477" s="110"/>
      <c r="AA1477" s="110"/>
      <c r="AB1477" s="46"/>
      <c r="AC1477" s="78"/>
      <c r="AD1477" s="78"/>
      <c r="AE1477" s="100">
        <f t="shared" ref="AE1477" si="2199">N1477/F1477</f>
        <v>-1</v>
      </c>
      <c r="AF1477" s="90"/>
      <c r="AG1477" s="109">
        <f t="shared" ref="AG1477" si="2200">IF(N1477&lt;0,N1477,0)</f>
        <v>-795</v>
      </c>
      <c r="AH1477" s="100">
        <f t="shared" ref="AH1477" si="2201">(S1477-F1477)/F1477</f>
        <v>-1</v>
      </c>
      <c r="AI1477" s="100">
        <f t="shared" ref="AI1477" si="2202">(W1477-F1477)/F1477</f>
        <v>-1</v>
      </c>
    </row>
    <row r="1478" spans="1:35" s="47" customFormat="1" ht="21" customHeight="1" x14ac:dyDescent="0.3">
      <c r="A1478" s="78"/>
      <c r="B1478" s="106" t="s">
        <v>51</v>
      </c>
      <c r="C1478" s="117" t="s">
        <v>855</v>
      </c>
      <c r="D1478" s="305"/>
      <c r="E1478" s="129" t="s">
        <v>859</v>
      </c>
      <c r="F1478" s="66">
        <v>2568</v>
      </c>
      <c r="G1478" s="66"/>
      <c r="H1478" s="66"/>
      <c r="I1478" s="66"/>
      <c r="J1478" s="66"/>
      <c r="K1478" s="78"/>
      <c r="L1478" s="66"/>
      <c r="M1478" s="66"/>
      <c r="N1478" s="110">
        <f t="shared" si="2186"/>
        <v>-2568</v>
      </c>
      <c r="O1478" s="110"/>
      <c r="P1478" s="66"/>
      <c r="Q1478" s="66"/>
      <c r="R1478" s="66"/>
      <c r="S1478" s="66"/>
      <c r="T1478" s="110">
        <f t="shared" si="2187"/>
        <v>0</v>
      </c>
      <c r="U1478" s="59">
        <f t="shared" ref="U1478:U1479" si="2203">IF(Q1478&gt;0,S1478-W1478,M1478-W1478)</f>
        <v>0</v>
      </c>
      <c r="V1478" s="66"/>
      <c r="W1478" s="66"/>
      <c r="X1478" s="110">
        <f t="shared" si="2188"/>
        <v>0</v>
      </c>
      <c r="Y1478" s="110"/>
      <c r="Z1478" s="110"/>
      <c r="AA1478" s="110"/>
      <c r="AB1478" s="46"/>
      <c r="AC1478" s="78"/>
      <c r="AD1478" s="78"/>
      <c r="AE1478" s="100">
        <f t="shared" ref="AE1478:AE1479" si="2204">N1478/F1478</f>
        <v>-1</v>
      </c>
      <c r="AF1478" s="90"/>
      <c r="AG1478" s="109">
        <f t="shared" ref="AG1478:AG1479" si="2205">IF(N1478&lt;0,N1478,0)</f>
        <v>-2568</v>
      </c>
      <c r="AH1478" s="100">
        <f t="shared" ref="AH1478:AH1479" si="2206">(S1478-F1478)/F1478</f>
        <v>-1</v>
      </c>
      <c r="AI1478" s="100">
        <f t="shared" ref="AI1478:AI1479" si="2207">(W1478-F1478)/F1478</f>
        <v>-1</v>
      </c>
    </row>
    <row r="1479" spans="1:35" s="47" customFormat="1" ht="21" customHeight="1" x14ac:dyDescent="0.3">
      <c r="A1479" s="78"/>
      <c r="B1479" s="106" t="s">
        <v>51</v>
      </c>
      <c r="C1479" s="117" t="s">
        <v>855</v>
      </c>
      <c r="D1479" s="305"/>
      <c r="E1479" s="129" t="s">
        <v>292</v>
      </c>
      <c r="F1479" s="66">
        <v>2958</v>
      </c>
      <c r="G1479" s="66"/>
      <c r="H1479" s="66"/>
      <c r="I1479" s="66"/>
      <c r="J1479" s="66"/>
      <c r="K1479" s="78"/>
      <c r="L1479" s="66"/>
      <c r="M1479" s="66"/>
      <c r="N1479" s="110">
        <f t="shared" si="2186"/>
        <v>-2958</v>
      </c>
      <c r="O1479" s="110"/>
      <c r="P1479" s="66"/>
      <c r="Q1479" s="66"/>
      <c r="R1479" s="66"/>
      <c r="S1479" s="66"/>
      <c r="T1479" s="110">
        <f t="shared" si="2187"/>
        <v>0</v>
      </c>
      <c r="U1479" s="59">
        <f t="shared" si="2203"/>
        <v>0</v>
      </c>
      <c r="V1479" s="66"/>
      <c r="W1479" s="66"/>
      <c r="X1479" s="110">
        <f t="shared" si="2188"/>
        <v>0</v>
      </c>
      <c r="Y1479" s="110"/>
      <c r="Z1479" s="110"/>
      <c r="AA1479" s="110"/>
      <c r="AB1479" s="46"/>
      <c r="AC1479" s="78"/>
      <c r="AD1479" s="78"/>
      <c r="AE1479" s="100">
        <f t="shared" si="2204"/>
        <v>-1</v>
      </c>
      <c r="AF1479" s="90"/>
      <c r="AG1479" s="109">
        <f t="shared" si="2205"/>
        <v>-2958</v>
      </c>
      <c r="AH1479" s="100">
        <f t="shared" si="2206"/>
        <v>-1</v>
      </c>
      <c r="AI1479" s="100">
        <f t="shared" si="2207"/>
        <v>-1</v>
      </c>
    </row>
    <row r="1480" spans="1:35" s="47" customFormat="1" ht="21" customHeight="1" x14ac:dyDescent="0.3">
      <c r="A1480" s="78"/>
      <c r="B1480" s="106" t="s">
        <v>51</v>
      </c>
      <c r="C1480" s="117" t="s">
        <v>855</v>
      </c>
      <c r="D1480" s="305"/>
      <c r="E1480" s="129" t="s">
        <v>0</v>
      </c>
      <c r="F1480" s="66">
        <v>7888</v>
      </c>
      <c r="G1480" s="66"/>
      <c r="H1480" s="66"/>
      <c r="I1480" s="66"/>
      <c r="J1480" s="66"/>
      <c r="K1480" s="78"/>
      <c r="L1480" s="66"/>
      <c r="M1480" s="66"/>
      <c r="N1480" s="110">
        <f t="shared" si="2186"/>
        <v>-7888</v>
      </c>
      <c r="O1480" s="110"/>
      <c r="P1480" s="66"/>
      <c r="Q1480" s="66"/>
      <c r="R1480" s="66"/>
      <c r="S1480" s="66"/>
      <c r="T1480" s="110">
        <f t="shared" si="2187"/>
        <v>0</v>
      </c>
      <c r="U1480" s="59">
        <f t="shared" si="2079"/>
        <v>0</v>
      </c>
      <c r="V1480" s="66"/>
      <c r="W1480" s="66"/>
      <c r="X1480" s="110">
        <f t="shared" si="2188"/>
        <v>0</v>
      </c>
      <c r="Y1480" s="110"/>
      <c r="Z1480" s="110"/>
      <c r="AA1480" s="110"/>
      <c r="AB1480" s="46"/>
      <c r="AC1480" s="78"/>
      <c r="AD1480" s="78"/>
      <c r="AE1480" s="100">
        <f t="shared" si="2189"/>
        <v>-1</v>
      </c>
      <c r="AF1480" s="90"/>
      <c r="AG1480" s="109">
        <f t="shared" si="2190"/>
        <v>-7888</v>
      </c>
      <c r="AH1480" s="100">
        <f t="shared" si="2191"/>
        <v>-1</v>
      </c>
      <c r="AI1480" s="100">
        <f t="shared" si="2192"/>
        <v>-1</v>
      </c>
    </row>
    <row r="1481" spans="1:35" s="79" customFormat="1" ht="15.75" customHeight="1" x14ac:dyDescent="0.3">
      <c r="A1481" s="90" t="s">
        <v>46</v>
      </c>
      <c r="B1481" s="136" t="s">
        <v>51</v>
      </c>
      <c r="C1481" s="137"/>
      <c r="D1481" s="136"/>
      <c r="E1481" s="138"/>
      <c r="F1481" s="91">
        <f>SUM(F1471:F1480)</f>
        <v>34943</v>
      </c>
      <c r="G1481" s="91"/>
      <c r="H1481" s="91"/>
      <c r="I1481" s="91"/>
      <c r="J1481" s="91" t="s">
        <v>60</v>
      </c>
      <c r="K1481" s="65" t="s">
        <v>726</v>
      </c>
      <c r="L1481" s="91">
        <f>SUM(L1471:L1480)</f>
        <v>0</v>
      </c>
      <c r="M1481" s="91">
        <f>SUM(M1471:M1480)</f>
        <v>0</v>
      </c>
      <c r="N1481" s="91">
        <f>SUM(N1471:N1480)</f>
        <v>-34943</v>
      </c>
      <c r="O1481" s="91"/>
      <c r="P1481" s="91">
        <f>SUM(P1471:P1480)</f>
        <v>0</v>
      </c>
      <c r="Q1481" s="91">
        <f>SUM(Q1471:Q1480)</f>
        <v>0</v>
      </c>
      <c r="R1481" s="91">
        <f>SUM(R1471:R1480)</f>
        <v>0</v>
      </c>
      <c r="S1481" s="91">
        <f>SUM(S1471:S1480)</f>
        <v>0</v>
      </c>
      <c r="T1481" s="91">
        <f>SUM(T1471:T1480)</f>
        <v>0</v>
      </c>
      <c r="U1481" s="59">
        <f t="shared" si="2079"/>
        <v>0</v>
      </c>
      <c r="V1481" s="91">
        <f>SUM(V1471:V1480)</f>
        <v>0</v>
      </c>
      <c r="W1481" s="91">
        <f>SUM(W1471:W1480)</f>
        <v>0</v>
      </c>
      <c r="X1481" s="91">
        <f>SUM(X1471:X1480)</f>
        <v>0</v>
      </c>
      <c r="Y1481" s="136"/>
      <c r="Z1481" s="136"/>
      <c r="AA1481" s="136"/>
      <c r="AB1481" s="84"/>
      <c r="AC1481" s="90"/>
      <c r="AD1481" s="90"/>
      <c r="AE1481" s="100">
        <f t="shared" si="2189"/>
        <v>-1</v>
      </c>
      <c r="AF1481" s="90"/>
      <c r="AG1481" s="109">
        <f t="shared" si="2190"/>
        <v>-34943</v>
      </c>
      <c r="AH1481" s="100">
        <f t="shared" si="2191"/>
        <v>-1</v>
      </c>
      <c r="AI1481" s="100">
        <f t="shared" si="2192"/>
        <v>-1</v>
      </c>
    </row>
    <row r="1482" spans="1:35" s="47" customFormat="1" ht="21" customHeight="1" x14ac:dyDescent="0.3">
      <c r="A1482" s="78"/>
      <c r="B1482" s="106" t="s">
        <v>51</v>
      </c>
      <c r="C1482" s="117" t="s">
        <v>861</v>
      </c>
      <c r="D1482" s="304">
        <v>15270390</v>
      </c>
      <c r="E1482" s="129" t="s">
        <v>228</v>
      </c>
      <c r="F1482" s="66">
        <v>3600</v>
      </c>
      <c r="G1482" s="66"/>
      <c r="H1482" s="66"/>
      <c r="I1482" s="66"/>
      <c r="J1482" s="66"/>
      <c r="K1482" s="78"/>
      <c r="L1482" s="66"/>
      <c r="M1482" s="66"/>
      <c r="N1482" s="110">
        <f t="shared" ref="N1482:N1489" si="2208">M1482-F1482</f>
        <v>-3600</v>
      </c>
      <c r="O1482" s="110"/>
      <c r="P1482" s="66"/>
      <c r="Q1482" s="66"/>
      <c r="R1482" s="66"/>
      <c r="S1482" s="66"/>
      <c r="T1482" s="110">
        <f t="shared" ref="T1482:T1489" si="2209">S1482-Q1482</f>
        <v>0</v>
      </c>
      <c r="U1482" s="59">
        <f t="shared" si="2079"/>
        <v>0</v>
      </c>
      <c r="V1482" s="66"/>
      <c r="W1482" s="66"/>
      <c r="X1482" s="110">
        <f t="shared" ref="X1482:X1489" si="2210">W1482-M1482</f>
        <v>0</v>
      </c>
      <c r="Y1482" s="110"/>
      <c r="Z1482" s="110"/>
      <c r="AA1482" s="110"/>
      <c r="AB1482" s="46"/>
      <c r="AC1482" s="78"/>
      <c r="AD1482" s="78"/>
      <c r="AE1482" s="100">
        <f t="shared" ref="AE1482:AE1488" si="2211">N1482/F1482</f>
        <v>-1</v>
      </c>
      <c r="AF1482" s="90"/>
      <c r="AG1482" s="109">
        <f t="shared" ref="AG1482:AG1488" si="2212">IF(N1482&lt;0,N1482,0)</f>
        <v>-3600</v>
      </c>
      <c r="AH1482" s="100">
        <f t="shared" ref="AH1482:AH1488" si="2213">(S1482-F1482)/F1482</f>
        <v>-1</v>
      </c>
      <c r="AI1482" s="100">
        <f t="shared" ref="AI1482:AI1488" si="2214">(W1482-F1482)/F1482</f>
        <v>-1</v>
      </c>
    </row>
    <row r="1483" spans="1:35" s="47" customFormat="1" ht="21" customHeight="1" x14ac:dyDescent="0.3">
      <c r="A1483" s="78"/>
      <c r="B1483" s="106" t="s">
        <v>51</v>
      </c>
      <c r="C1483" s="117" t="s">
        <v>861</v>
      </c>
      <c r="D1483" s="305"/>
      <c r="E1483" s="129" t="s">
        <v>97</v>
      </c>
      <c r="F1483" s="66">
        <v>1800</v>
      </c>
      <c r="G1483" s="66"/>
      <c r="H1483" s="66"/>
      <c r="I1483" s="66"/>
      <c r="J1483" s="66"/>
      <c r="K1483" s="78"/>
      <c r="L1483" s="66"/>
      <c r="M1483" s="66"/>
      <c r="N1483" s="110">
        <f t="shared" si="2208"/>
        <v>-1800</v>
      </c>
      <c r="O1483" s="110"/>
      <c r="P1483" s="66"/>
      <c r="Q1483" s="66"/>
      <c r="R1483" s="66"/>
      <c r="S1483" s="66"/>
      <c r="T1483" s="110">
        <f t="shared" si="2209"/>
        <v>0</v>
      </c>
      <c r="U1483" s="59">
        <f t="shared" si="2079"/>
        <v>0</v>
      </c>
      <c r="V1483" s="66"/>
      <c r="W1483" s="66"/>
      <c r="X1483" s="110">
        <f t="shared" si="2210"/>
        <v>0</v>
      </c>
      <c r="Y1483" s="110"/>
      <c r="Z1483" s="110"/>
      <c r="AA1483" s="110"/>
      <c r="AB1483" s="46"/>
      <c r="AC1483" s="78"/>
      <c r="AD1483" s="78"/>
      <c r="AE1483" s="100">
        <f t="shared" si="2211"/>
        <v>-1</v>
      </c>
      <c r="AF1483" s="90"/>
      <c r="AG1483" s="109">
        <f t="shared" si="2212"/>
        <v>-1800</v>
      </c>
      <c r="AH1483" s="100">
        <f t="shared" si="2213"/>
        <v>-1</v>
      </c>
      <c r="AI1483" s="100">
        <f t="shared" si="2214"/>
        <v>-1</v>
      </c>
    </row>
    <row r="1484" spans="1:35" s="47" customFormat="1" ht="21" customHeight="1" x14ac:dyDescent="0.3">
      <c r="A1484" s="78"/>
      <c r="B1484" s="106" t="s">
        <v>51</v>
      </c>
      <c r="C1484" s="117" t="s">
        <v>861</v>
      </c>
      <c r="D1484" s="305"/>
      <c r="E1484" s="129" t="s">
        <v>856</v>
      </c>
      <c r="F1484" s="66">
        <v>1008</v>
      </c>
      <c r="G1484" s="66"/>
      <c r="H1484" s="66"/>
      <c r="I1484" s="66"/>
      <c r="J1484" s="66"/>
      <c r="K1484" s="78"/>
      <c r="L1484" s="66"/>
      <c r="M1484" s="66"/>
      <c r="N1484" s="110">
        <f t="shared" si="2208"/>
        <v>-1008</v>
      </c>
      <c r="O1484" s="110"/>
      <c r="P1484" s="66"/>
      <c r="Q1484" s="66"/>
      <c r="R1484" s="66"/>
      <c r="S1484" s="66"/>
      <c r="T1484" s="110">
        <f t="shared" si="2209"/>
        <v>0</v>
      </c>
      <c r="U1484" s="59">
        <f t="shared" si="2079"/>
        <v>0</v>
      </c>
      <c r="V1484" s="66"/>
      <c r="W1484" s="66"/>
      <c r="X1484" s="110">
        <f t="shared" si="2210"/>
        <v>0</v>
      </c>
      <c r="Y1484" s="110"/>
      <c r="Z1484" s="110"/>
      <c r="AA1484" s="110"/>
      <c r="AB1484" s="46"/>
      <c r="AC1484" s="78"/>
      <c r="AD1484" s="78"/>
      <c r="AE1484" s="100">
        <f t="shared" si="2211"/>
        <v>-1</v>
      </c>
      <c r="AF1484" s="90"/>
      <c r="AG1484" s="109">
        <f t="shared" si="2212"/>
        <v>-1008</v>
      </c>
      <c r="AH1484" s="100">
        <f t="shared" si="2213"/>
        <v>-1</v>
      </c>
      <c r="AI1484" s="100">
        <f t="shared" si="2214"/>
        <v>-1</v>
      </c>
    </row>
    <row r="1485" spans="1:35" s="47" customFormat="1" ht="21" customHeight="1" x14ac:dyDescent="0.3">
      <c r="A1485" s="78"/>
      <c r="B1485" s="106" t="s">
        <v>51</v>
      </c>
      <c r="C1485" s="117" t="s">
        <v>861</v>
      </c>
      <c r="D1485" s="305"/>
      <c r="E1485" s="129" t="s">
        <v>5</v>
      </c>
      <c r="F1485" s="66">
        <v>4508</v>
      </c>
      <c r="G1485" s="66"/>
      <c r="H1485" s="66"/>
      <c r="I1485" s="66"/>
      <c r="J1485" s="66"/>
      <c r="K1485" s="78"/>
      <c r="L1485" s="66"/>
      <c r="M1485" s="66"/>
      <c r="N1485" s="110">
        <f t="shared" si="2208"/>
        <v>-4508</v>
      </c>
      <c r="O1485" s="110"/>
      <c r="P1485" s="66"/>
      <c r="Q1485" s="66"/>
      <c r="R1485" s="66"/>
      <c r="S1485" s="66"/>
      <c r="T1485" s="110">
        <f t="shared" si="2209"/>
        <v>0</v>
      </c>
      <c r="U1485" s="59">
        <f t="shared" ref="U1485" si="2215">IF(Q1485&gt;0,S1485-W1485,M1485-W1485)</f>
        <v>0</v>
      </c>
      <c r="V1485" s="66"/>
      <c r="W1485" s="66"/>
      <c r="X1485" s="110">
        <f t="shared" si="2210"/>
        <v>0</v>
      </c>
      <c r="Y1485" s="110"/>
      <c r="Z1485" s="110"/>
      <c r="AA1485" s="110"/>
      <c r="AB1485" s="46"/>
      <c r="AC1485" s="78"/>
      <c r="AD1485" s="78"/>
      <c r="AE1485" s="100">
        <f t="shared" ref="AE1485" si="2216">N1485/F1485</f>
        <v>-1</v>
      </c>
      <c r="AF1485" s="90"/>
      <c r="AG1485" s="109">
        <f t="shared" ref="AG1485" si="2217">IF(N1485&lt;0,N1485,0)</f>
        <v>-4508</v>
      </c>
      <c r="AH1485" s="100">
        <f t="shared" ref="AH1485" si="2218">(S1485-F1485)/F1485</f>
        <v>-1</v>
      </c>
      <c r="AI1485" s="100">
        <f t="shared" ref="AI1485" si="2219">(W1485-F1485)/F1485</f>
        <v>-1</v>
      </c>
    </row>
    <row r="1486" spans="1:35" s="47" customFormat="1" ht="21" customHeight="1" x14ac:dyDescent="0.3">
      <c r="A1486" s="78"/>
      <c r="B1486" s="106" t="s">
        <v>51</v>
      </c>
      <c r="C1486" s="117" t="s">
        <v>861</v>
      </c>
      <c r="D1486" s="305"/>
      <c r="E1486" s="129" t="s">
        <v>857</v>
      </c>
      <c r="F1486" s="66">
        <v>1208</v>
      </c>
      <c r="G1486" s="66"/>
      <c r="H1486" s="66"/>
      <c r="I1486" s="66"/>
      <c r="J1486" s="66"/>
      <c r="K1486" s="78"/>
      <c r="L1486" s="66"/>
      <c r="M1486" s="66"/>
      <c r="N1486" s="110">
        <f t="shared" si="2208"/>
        <v>-1208</v>
      </c>
      <c r="O1486" s="110"/>
      <c r="P1486" s="66"/>
      <c r="Q1486" s="66"/>
      <c r="R1486" s="66"/>
      <c r="S1486" s="66"/>
      <c r="T1486" s="110">
        <f t="shared" si="2209"/>
        <v>0</v>
      </c>
      <c r="U1486" s="59">
        <f t="shared" ref="U1486:U1487" si="2220">IF(Q1486&gt;0,S1486-W1486,M1486-W1486)</f>
        <v>0</v>
      </c>
      <c r="V1486" s="66"/>
      <c r="W1486" s="66"/>
      <c r="X1486" s="110">
        <f t="shared" si="2210"/>
        <v>0</v>
      </c>
      <c r="Y1486" s="110"/>
      <c r="Z1486" s="110"/>
      <c r="AA1486" s="110"/>
      <c r="AB1486" s="46"/>
      <c r="AC1486" s="78"/>
      <c r="AD1486" s="78"/>
      <c r="AE1486" s="100">
        <f t="shared" ref="AE1486:AE1487" si="2221">N1486/F1486</f>
        <v>-1</v>
      </c>
      <c r="AF1486" s="90"/>
      <c r="AG1486" s="109">
        <f t="shared" ref="AG1486:AG1487" si="2222">IF(N1486&lt;0,N1486,0)</f>
        <v>-1208</v>
      </c>
      <c r="AH1486" s="100">
        <f t="shared" ref="AH1486:AH1487" si="2223">(S1486-F1486)/F1486</f>
        <v>-1</v>
      </c>
      <c r="AI1486" s="100">
        <f t="shared" ref="AI1486:AI1487" si="2224">(W1486-F1486)/F1486</f>
        <v>-1</v>
      </c>
    </row>
    <row r="1487" spans="1:35" s="47" customFormat="1" ht="21" customHeight="1" x14ac:dyDescent="0.3">
      <c r="A1487" s="78"/>
      <c r="B1487" s="106" t="s">
        <v>51</v>
      </c>
      <c r="C1487" s="117" t="s">
        <v>861</v>
      </c>
      <c r="D1487" s="305"/>
      <c r="E1487" s="129" t="s">
        <v>292</v>
      </c>
      <c r="F1487" s="66">
        <v>3380</v>
      </c>
      <c r="G1487" s="66"/>
      <c r="H1487" s="66"/>
      <c r="I1487" s="66"/>
      <c r="J1487" s="66"/>
      <c r="K1487" s="78"/>
      <c r="L1487" s="66">
        <f>603+240</f>
        <v>843</v>
      </c>
      <c r="M1487" s="66">
        <f>900+954+603+240</f>
        <v>2697</v>
      </c>
      <c r="N1487" s="110">
        <f t="shared" si="2208"/>
        <v>-683</v>
      </c>
      <c r="O1487" s="110"/>
      <c r="P1487" s="66"/>
      <c r="Q1487" s="66"/>
      <c r="R1487" s="66"/>
      <c r="S1487" s="66"/>
      <c r="T1487" s="110">
        <f t="shared" si="2209"/>
        <v>0</v>
      </c>
      <c r="U1487" s="59">
        <f t="shared" si="2220"/>
        <v>2697</v>
      </c>
      <c r="V1487" s="66"/>
      <c r="W1487" s="66"/>
      <c r="X1487" s="110">
        <f t="shared" si="2210"/>
        <v>-2697</v>
      </c>
      <c r="Y1487" s="110"/>
      <c r="Z1487" s="110"/>
      <c r="AA1487" s="110"/>
      <c r="AB1487" s="46"/>
      <c r="AC1487" s="78"/>
      <c r="AD1487" s="78"/>
      <c r="AE1487" s="100">
        <f t="shared" si="2221"/>
        <v>-0.20207100591715976</v>
      </c>
      <c r="AF1487" s="90"/>
      <c r="AG1487" s="109">
        <f t="shared" si="2222"/>
        <v>-683</v>
      </c>
      <c r="AH1487" s="100">
        <f t="shared" si="2223"/>
        <v>-1</v>
      </c>
      <c r="AI1487" s="100">
        <f t="shared" si="2224"/>
        <v>-1</v>
      </c>
    </row>
    <row r="1488" spans="1:35" s="47" customFormat="1" ht="21" customHeight="1" x14ac:dyDescent="0.3">
      <c r="A1488" s="78"/>
      <c r="B1488" s="106" t="s">
        <v>51</v>
      </c>
      <c r="C1488" s="117" t="s">
        <v>861</v>
      </c>
      <c r="D1488" s="305"/>
      <c r="E1488" s="129" t="s">
        <v>0</v>
      </c>
      <c r="F1488" s="66">
        <v>4168</v>
      </c>
      <c r="G1488" s="66"/>
      <c r="H1488" s="66"/>
      <c r="I1488" s="66"/>
      <c r="J1488" s="66"/>
      <c r="K1488" s="78"/>
      <c r="L1488" s="66"/>
      <c r="M1488" s="66">
        <f>1251+1386+1062+325</f>
        <v>4024</v>
      </c>
      <c r="N1488" s="110">
        <f t="shared" si="2208"/>
        <v>-144</v>
      </c>
      <c r="O1488" s="110"/>
      <c r="P1488" s="66"/>
      <c r="Q1488" s="66"/>
      <c r="R1488" s="66"/>
      <c r="S1488" s="66"/>
      <c r="T1488" s="110">
        <f t="shared" si="2209"/>
        <v>0</v>
      </c>
      <c r="U1488" s="59">
        <f t="shared" si="2079"/>
        <v>4024</v>
      </c>
      <c r="V1488" s="66"/>
      <c r="W1488" s="66"/>
      <c r="X1488" s="110">
        <f t="shared" si="2210"/>
        <v>-4024</v>
      </c>
      <c r="Y1488" s="110"/>
      <c r="Z1488" s="110"/>
      <c r="AA1488" s="110"/>
      <c r="AB1488" s="46"/>
      <c r="AC1488" s="78"/>
      <c r="AD1488" s="78"/>
      <c r="AE1488" s="100">
        <f t="shared" si="2211"/>
        <v>-3.4548944337811902E-2</v>
      </c>
      <c r="AF1488" s="90"/>
      <c r="AG1488" s="109">
        <f t="shared" si="2212"/>
        <v>-144</v>
      </c>
      <c r="AH1488" s="100">
        <f t="shared" si="2213"/>
        <v>-1</v>
      </c>
      <c r="AI1488" s="100">
        <f t="shared" si="2214"/>
        <v>-1</v>
      </c>
    </row>
    <row r="1489" spans="1:35" s="47" customFormat="1" ht="21" customHeight="1" x14ac:dyDescent="0.3">
      <c r="A1489" s="78"/>
      <c r="B1489" s="106" t="s">
        <v>51</v>
      </c>
      <c r="C1489" s="117" t="s">
        <v>861</v>
      </c>
      <c r="D1489" s="306"/>
      <c r="E1489" s="129" t="s">
        <v>614</v>
      </c>
      <c r="F1489" s="66">
        <v>792</v>
      </c>
      <c r="G1489" s="66"/>
      <c r="H1489" s="66"/>
      <c r="I1489" s="66"/>
      <c r="J1489" s="66"/>
      <c r="K1489" s="78"/>
      <c r="L1489" s="66"/>
      <c r="M1489" s="66"/>
      <c r="N1489" s="110">
        <f t="shared" si="2208"/>
        <v>-792</v>
      </c>
      <c r="O1489" s="110"/>
      <c r="P1489" s="66"/>
      <c r="Q1489" s="66"/>
      <c r="R1489" s="66"/>
      <c r="S1489" s="66"/>
      <c r="T1489" s="110">
        <f t="shared" si="2209"/>
        <v>0</v>
      </c>
      <c r="U1489" s="59">
        <f t="shared" ref="U1489:U1492" si="2225">IF(Q1489&gt;0,S1489-W1489,M1489-W1489)</f>
        <v>0</v>
      </c>
      <c r="V1489" s="66"/>
      <c r="W1489" s="66"/>
      <c r="X1489" s="110">
        <f t="shared" si="2210"/>
        <v>0</v>
      </c>
      <c r="Y1489" s="110"/>
      <c r="Z1489" s="110"/>
      <c r="AA1489" s="110"/>
      <c r="AB1489" s="46"/>
      <c r="AC1489" s="78"/>
      <c r="AD1489" s="78"/>
      <c r="AE1489" s="100">
        <f t="shared" si="2189"/>
        <v>-1</v>
      </c>
      <c r="AF1489" s="90"/>
      <c r="AG1489" s="109">
        <f t="shared" si="2190"/>
        <v>-792</v>
      </c>
      <c r="AH1489" s="100">
        <f t="shared" si="2191"/>
        <v>-1</v>
      </c>
      <c r="AI1489" s="100">
        <f t="shared" si="2192"/>
        <v>-1</v>
      </c>
    </row>
    <row r="1490" spans="1:35" s="79" customFormat="1" ht="15.75" customHeight="1" x14ac:dyDescent="0.3">
      <c r="A1490" s="90" t="s">
        <v>46</v>
      </c>
      <c r="B1490" s="136" t="s">
        <v>51</v>
      </c>
      <c r="C1490" s="137"/>
      <c r="D1490" s="136"/>
      <c r="E1490" s="138"/>
      <c r="F1490" s="91">
        <f>SUM(F1482:F1489)</f>
        <v>20464</v>
      </c>
      <c r="G1490" s="91"/>
      <c r="H1490" s="91"/>
      <c r="I1490" s="91"/>
      <c r="J1490" s="91" t="s">
        <v>60</v>
      </c>
      <c r="K1490" s="65" t="s">
        <v>860</v>
      </c>
      <c r="L1490" s="91">
        <f>SUM(L1482:L1489)</f>
        <v>843</v>
      </c>
      <c r="M1490" s="91">
        <f>SUM(M1482:M1489)</f>
        <v>6721</v>
      </c>
      <c r="N1490" s="91">
        <f>SUM(N1482:N1489)</f>
        <v>-13743</v>
      </c>
      <c r="O1490" s="91"/>
      <c r="P1490" s="91">
        <f t="shared" ref="P1490:X1490" si="2226">SUM(P1482:P1489)</f>
        <v>0</v>
      </c>
      <c r="Q1490" s="91">
        <f t="shared" si="2226"/>
        <v>0</v>
      </c>
      <c r="R1490" s="91">
        <f t="shared" si="2226"/>
        <v>0</v>
      </c>
      <c r="S1490" s="91">
        <f t="shared" si="2226"/>
        <v>0</v>
      </c>
      <c r="T1490" s="91">
        <f t="shared" si="2226"/>
        <v>0</v>
      </c>
      <c r="U1490" s="91">
        <f t="shared" si="2226"/>
        <v>6721</v>
      </c>
      <c r="V1490" s="91">
        <f t="shared" si="2226"/>
        <v>0</v>
      </c>
      <c r="W1490" s="91">
        <f t="shared" si="2226"/>
        <v>0</v>
      </c>
      <c r="X1490" s="91">
        <f t="shared" si="2226"/>
        <v>-6721</v>
      </c>
      <c r="Y1490" s="136"/>
      <c r="Z1490" s="136"/>
      <c r="AA1490" s="136"/>
      <c r="AB1490" s="84"/>
      <c r="AC1490" s="90"/>
      <c r="AD1490" s="90"/>
      <c r="AE1490" s="100">
        <f t="shared" si="2189"/>
        <v>-0.67156958561376079</v>
      </c>
      <c r="AF1490" s="90"/>
      <c r="AG1490" s="109">
        <f t="shared" si="2190"/>
        <v>-13743</v>
      </c>
      <c r="AH1490" s="100">
        <f t="shared" si="2191"/>
        <v>-1</v>
      </c>
      <c r="AI1490" s="100">
        <f t="shared" si="2192"/>
        <v>-1</v>
      </c>
    </row>
    <row r="1491" spans="1:35" s="47" customFormat="1" ht="21" customHeight="1" x14ac:dyDescent="0.3">
      <c r="A1491" s="78"/>
      <c r="B1491" s="106" t="s">
        <v>51</v>
      </c>
      <c r="C1491" s="117" t="s">
        <v>260</v>
      </c>
      <c r="D1491" s="209">
        <v>15270390</v>
      </c>
      <c r="E1491" s="129" t="s">
        <v>5</v>
      </c>
      <c r="F1491" s="66">
        <v>3040</v>
      </c>
      <c r="G1491" s="66"/>
      <c r="H1491" s="66"/>
      <c r="I1491" s="66"/>
      <c r="J1491" s="66"/>
      <c r="K1491" s="78"/>
      <c r="L1491" s="66"/>
      <c r="M1491" s="66">
        <f>1258+1000+820</f>
        <v>3078</v>
      </c>
      <c r="N1491" s="110">
        <f>M1491-F1491</f>
        <v>38</v>
      </c>
      <c r="O1491" s="110"/>
      <c r="P1491" s="66"/>
      <c r="Q1491" s="66"/>
      <c r="R1491" s="66"/>
      <c r="S1491" s="66"/>
      <c r="T1491" s="110">
        <f>S1491-Q1491</f>
        <v>0</v>
      </c>
      <c r="U1491" s="59">
        <f t="shared" si="2225"/>
        <v>0</v>
      </c>
      <c r="V1491" s="66"/>
      <c r="W1491" s="66">
        <v>3078</v>
      </c>
      <c r="X1491" s="110">
        <f>W1491-M1491</f>
        <v>0</v>
      </c>
      <c r="Y1491" s="110"/>
      <c r="Z1491" s="110"/>
      <c r="AA1491" s="110"/>
      <c r="AB1491" s="46"/>
      <c r="AC1491" s="78"/>
      <c r="AD1491" s="78"/>
      <c r="AE1491" s="100">
        <f t="shared" si="2189"/>
        <v>1.2500000000000001E-2</v>
      </c>
      <c r="AF1491" s="90"/>
      <c r="AG1491" s="109">
        <f t="shared" si="2190"/>
        <v>0</v>
      </c>
      <c r="AH1491" s="100">
        <f t="shared" si="2191"/>
        <v>-1</v>
      </c>
      <c r="AI1491" s="100">
        <f t="shared" si="2192"/>
        <v>1.2500000000000001E-2</v>
      </c>
    </row>
    <row r="1492" spans="1:35" s="79" customFormat="1" ht="15.75" customHeight="1" x14ac:dyDescent="0.3">
      <c r="A1492" s="90" t="s">
        <v>46</v>
      </c>
      <c r="B1492" s="136" t="s">
        <v>51</v>
      </c>
      <c r="C1492" s="137"/>
      <c r="D1492" s="136"/>
      <c r="E1492" s="138"/>
      <c r="F1492" s="91">
        <f>SUM(F1491:F1491)</f>
        <v>3040</v>
      </c>
      <c r="G1492" s="91"/>
      <c r="H1492" s="91"/>
      <c r="I1492" s="91"/>
      <c r="J1492" s="91" t="s">
        <v>60</v>
      </c>
      <c r="K1492" s="65" t="s">
        <v>208</v>
      </c>
      <c r="L1492" s="91">
        <f>SUM(L1491:L1491)</f>
        <v>0</v>
      </c>
      <c r="M1492" s="91">
        <f>SUM(M1491:M1491)</f>
        <v>3078</v>
      </c>
      <c r="N1492" s="91">
        <f>SUM(N1491:N1491)</f>
        <v>38</v>
      </c>
      <c r="O1492" s="91"/>
      <c r="P1492" s="91">
        <f>SUM(P1491:P1491)</f>
        <v>0</v>
      </c>
      <c r="Q1492" s="91">
        <f>SUM(Q1491:Q1491)</f>
        <v>0</v>
      </c>
      <c r="R1492" s="91">
        <f>SUM(R1491:R1491)</f>
        <v>0</v>
      </c>
      <c r="S1492" s="91">
        <f>SUM(S1491:S1491)</f>
        <v>0</v>
      </c>
      <c r="T1492" s="91">
        <f>SUM(T1491:T1491)</f>
        <v>0</v>
      </c>
      <c r="U1492" s="59">
        <f t="shared" si="2225"/>
        <v>0</v>
      </c>
      <c r="V1492" s="91">
        <f>SUM(V1491:V1491)</f>
        <v>0</v>
      </c>
      <c r="W1492" s="91">
        <f>SUM(W1491:W1491)</f>
        <v>3078</v>
      </c>
      <c r="X1492" s="91">
        <f>SUM(X1491:X1491)</f>
        <v>0</v>
      </c>
      <c r="Y1492" s="136"/>
      <c r="Z1492" s="136"/>
      <c r="AA1492" s="136"/>
      <c r="AB1492" s="84"/>
      <c r="AC1492" s="90"/>
      <c r="AD1492" s="90"/>
      <c r="AE1492" s="100">
        <f t="shared" si="2189"/>
        <v>1.2500000000000001E-2</v>
      </c>
      <c r="AF1492" s="90"/>
      <c r="AG1492" s="109">
        <f t="shared" si="2190"/>
        <v>0</v>
      </c>
      <c r="AH1492" s="100">
        <f t="shared" si="2191"/>
        <v>-1</v>
      </c>
      <c r="AI1492" s="100">
        <f t="shared" si="2192"/>
        <v>1.2500000000000001E-2</v>
      </c>
    </row>
    <row r="1493" spans="1:35" s="47" customFormat="1" ht="21" customHeight="1" x14ac:dyDescent="0.3">
      <c r="A1493" s="78"/>
      <c r="B1493" s="106" t="s">
        <v>51</v>
      </c>
      <c r="C1493" s="117" t="s">
        <v>261</v>
      </c>
      <c r="D1493" s="209">
        <v>15270390</v>
      </c>
      <c r="E1493" s="129" t="s">
        <v>5</v>
      </c>
      <c r="F1493" s="66">
        <v>3840</v>
      </c>
      <c r="G1493" s="66"/>
      <c r="H1493" s="66"/>
      <c r="I1493" s="66"/>
      <c r="J1493" s="66"/>
      <c r="K1493" s="78"/>
      <c r="L1493" s="66"/>
      <c r="M1493" s="66">
        <f>1000+1000+880+820+168</f>
        <v>3868</v>
      </c>
      <c r="N1493" s="110">
        <f>M1493-F1493</f>
        <v>28</v>
      </c>
      <c r="O1493" s="110"/>
      <c r="P1493" s="66"/>
      <c r="Q1493" s="66"/>
      <c r="R1493" s="66"/>
      <c r="S1493" s="66"/>
      <c r="T1493" s="110">
        <f>S1493-Q1493</f>
        <v>0</v>
      </c>
      <c r="U1493" s="59">
        <f t="shared" si="2079"/>
        <v>0</v>
      </c>
      <c r="V1493" s="66"/>
      <c r="W1493" s="66">
        <f>1980+1888</f>
        <v>3868</v>
      </c>
      <c r="X1493" s="110">
        <f>W1493-M1493</f>
        <v>0</v>
      </c>
      <c r="Y1493" s="110"/>
      <c r="Z1493" s="110"/>
      <c r="AA1493" s="110"/>
      <c r="AB1493" s="46"/>
      <c r="AC1493" s="78"/>
      <c r="AD1493" s="78"/>
      <c r="AE1493" s="100">
        <f t="shared" ref="AE1493:AE1496" si="2227">N1493/F1493</f>
        <v>7.2916666666666668E-3</v>
      </c>
      <c r="AF1493" s="90"/>
      <c r="AG1493" s="109">
        <f t="shared" ref="AG1493:AG1496" si="2228">IF(N1493&lt;0,N1493,0)</f>
        <v>0</v>
      </c>
      <c r="AH1493" s="100">
        <f t="shared" ref="AH1493:AH1496" si="2229">(S1493-F1493)/F1493</f>
        <v>-1</v>
      </c>
      <c r="AI1493" s="100">
        <f t="shared" ref="AI1493:AI1496" si="2230">(W1493-F1493)/F1493</f>
        <v>7.2916666666666668E-3</v>
      </c>
    </row>
    <row r="1494" spans="1:35" s="79" customFormat="1" ht="15.75" customHeight="1" x14ac:dyDescent="0.3">
      <c r="A1494" s="90" t="s">
        <v>46</v>
      </c>
      <c r="B1494" s="136" t="s">
        <v>51</v>
      </c>
      <c r="C1494" s="137"/>
      <c r="D1494" s="136"/>
      <c r="E1494" s="138"/>
      <c r="F1494" s="91">
        <f>SUM(F1493:F1493)</f>
        <v>3840</v>
      </c>
      <c r="G1494" s="91"/>
      <c r="H1494" s="91"/>
      <c r="I1494" s="91"/>
      <c r="J1494" s="91" t="s">
        <v>60</v>
      </c>
      <c r="K1494" s="65" t="s">
        <v>262</v>
      </c>
      <c r="L1494" s="91">
        <f>SUM(L1493:L1493)</f>
        <v>0</v>
      </c>
      <c r="M1494" s="91">
        <f>SUM(M1493:M1493)</f>
        <v>3868</v>
      </c>
      <c r="N1494" s="91">
        <f>SUM(N1493:N1493)</f>
        <v>28</v>
      </c>
      <c r="O1494" s="91"/>
      <c r="P1494" s="91">
        <f>SUM(P1493:P1493)</f>
        <v>0</v>
      </c>
      <c r="Q1494" s="91">
        <f>SUM(Q1493:Q1493)</f>
        <v>0</v>
      </c>
      <c r="R1494" s="91">
        <f>SUM(R1493:R1493)</f>
        <v>0</v>
      </c>
      <c r="S1494" s="91">
        <f>SUM(S1493:S1493)</f>
        <v>0</v>
      </c>
      <c r="T1494" s="91">
        <f>SUM(T1493:T1493)</f>
        <v>0</v>
      </c>
      <c r="U1494" s="59">
        <f t="shared" si="2079"/>
        <v>0</v>
      </c>
      <c r="V1494" s="91">
        <f>SUM(V1493:V1493)</f>
        <v>0</v>
      </c>
      <c r="W1494" s="91">
        <f>SUM(W1493:W1493)</f>
        <v>3868</v>
      </c>
      <c r="X1494" s="91">
        <f>SUM(X1493:X1493)</f>
        <v>0</v>
      </c>
      <c r="Y1494" s="136"/>
      <c r="Z1494" s="136"/>
      <c r="AA1494" s="136"/>
      <c r="AB1494" s="84"/>
      <c r="AC1494" s="90"/>
      <c r="AD1494" s="90"/>
      <c r="AE1494" s="100">
        <f t="shared" si="2227"/>
        <v>7.2916666666666668E-3</v>
      </c>
      <c r="AF1494" s="90"/>
      <c r="AG1494" s="109">
        <f t="shared" si="2228"/>
        <v>0</v>
      </c>
      <c r="AH1494" s="100">
        <f t="shared" si="2229"/>
        <v>-1</v>
      </c>
      <c r="AI1494" s="100">
        <f t="shared" si="2230"/>
        <v>7.2916666666666668E-3</v>
      </c>
    </row>
    <row r="1495" spans="1:35" s="47" customFormat="1" ht="21" customHeight="1" x14ac:dyDescent="0.3">
      <c r="A1495" s="78"/>
      <c r="B1495" s="106" t="s">
        <v>51</v>
      </c>
      <c r="C1495" s="117" t="s">
        <v>541</v>
      </c>
      <c r="D1495" s="304">
        <v>15095808</v>
      </c>
      <c r="E1495" s="131" t="s">
        <v>234</v>
      </c>
      <c r="F1495" s="66">
        <v>1032</v>
      </c>
      <c r="G1495" s="66"/>
      <c r="H1495" s="66"/>
      <c r="I1495" s="66"/>
      <c r="J1495" s="66"/>
      <c r="K1495" s="78"/>
      <c r="L1495" s="66"/>
      <c r="M1495" s="66">
        <v>1056</v>
      </c>
      <c r="N1495" s="110">
        <f t="shared" ref="N1495:N1496" si="2231">M1495-F1495</f>
        <v>24</v>
      </c>
      <c r="O1495" s="110"/>
      <c r="P1495" s="66"/>
      <c r="Q1495" s="66"/>
      <c r="R1495" s="66"/>
      <c r="S1495" s="66"/>
      <c r="T1495" s="110">
        <f>S1495-Q1495</f>
        <v>0</v>
      </c>
      <c r="U1495" s="59">
        <f t="shared" ref="U1495:U1496" si="2232">IF(Q1495&gt;0,S1495-W1495,M1495-W1495)</f>
        <v>0</v>
      </c>
      <c r="V1495" s="66"/>
      <c r="W1495" s="66">
        <v>1056</v>
      </c>
      <c r="X1495" s="110">
        <f>W1495-M1495</f>
        <v>0</v>
      </c>
      <c r="Y1495" s="110"/>
      <c r="Z1495" s="110"/>
      <c r="AA1495" s="110"/>
      <c r="AB1495" s="46"/>
      <c r="AC1495" s="78"/>
      <c r="AD1495" s="78"/>
      <c r="AE1495" s="100">
        <f t="shared" si="2227"/>
        <v>2.3255813953488372E-2</v>
      </c>
      <c r="AF1495" s="90"/>
      <c r="AG1495" s="109">
        <f t="shared" si="2228"/>
        <v>0</v>
      </c>
      <c r="AH1495" s="100">
        <f t="shared" si="2229"/>
        <v>-1</v>
      </c>
      <c r="AI1495" s="100">
        <f t="shared" si="2230"/>
        <v>2.3255813953488372E-2</v>
      </c>
    </row>
    <row r="1496" spans="1:35" s="47" customFormat="1" ht="21" customHeight="1" x14ac:dyDescent="0.3">
      <c r="A1496" s="78"/>
      <c r="B1496" s="106" t="s">
        <v>51</v>
      </c>
      <c r="C1496" s="117" t="s">
        <v>541</v>
      </c>
      <c r="D1496" s="305"/>
      <c r="E1496" s="131" t="s">
        <v>141</v>
      </c>
      <c r="F1496" s="66">
        <v>1032</v>
      </c>
      <c r="G1496" s="66"/>
      <c r="H1496" s="66"/>
      <c r="I1496" s="66"/>
      <c r="J1496" s="66"/>
      <c r="K1496" s="78"/>
      <c r="L1496" s="66"/>
      <c r="M1496" s="66">
        <f>948+120</f>
        <v>1068</v>
      </c>
      <c r="N1496" s="110">
        <f t="shared" si="2231"/>
        <v>36</v>
      </c>
      <c r="O1496" s="110"/>
      <c r="P1496" s="66"/>
      <c r="Q1496" s="66"/>
      <c r="R1496" s="66"/>
      <c r="S1496" s="66"/>
      <c r="T1496" s="110">
        <f>S1496-Q1496</f>
        <v>0</v>
      </c>
      <c r="U1496" s="59">
        <f t="shared" si="2232"/>
        <v>9</v>
      </c>
      <c r="V1496" s="66"/>
      <c r="W1496" s="66">
        <v>1059</v>
      </c>
      <c r="X1496" s="110">
        <f>W1496-M1496</f>
        <v>-9</v>
      </c>
      <c r="Y1496" s="110"/>
      <c r="Z1496" s="110"/>
      <c r="AA1496" s="110"/>
      <c r="AB1496" s="46"/>
      <c r="AC1496" s="78"/>
      <c r="AD1496" s="78"/>
      <c r="AE1496" s="100">
        <f t="shared" si="2227"/>
        <v>3.4883720930232558E-2</v>
      </c>
      <c r="AF1496" s="90"/>
      <c r="AG1496" s="109">
        <f t="shared" si="2228"/>
        <v>0</v>
      </c>
      <c r="AH1496" s="100">
        <f t="shared" si="2229"/>
        <v>-1</v>
      </c>
      <c r="AI1496" s="100">
        <f t="shared" si="2230"/>
        <v>2.616279069767442E-2</v>
      </c>
    </row>
    <row r="1497" spans="1:35" s="47" customFormat="1" ht="21" customHeight="1" x14ac:dyDescent="0.3">
      <c r="A1497" s="78"/>
      <c r="B1497" s="106" t="s">
        <v>51</v>
      </c>
      <c r="C1497" s="117" t="s">
        <v>541</v>
      </c>
      <c r="D1497" s="306"/>
      <c r="E1497" s="131" t="s">
        <v>228</v>
      </c>
      <c r="F1497" s="66">
        <v>1032</v>
      </c>
      <c r="G1497" s="66"/>
      <c r="H1497" s="66"/>
      <c r="I1497" s="66"/>
      <c r="J1497" s="66"/>
      <c r="K1497" s="78"/>
      <c r="L1497" s="66"/>
      <c r="M1497" s="66">
        <v>1056</v>
      </c>
      <c r="N1497" s="110">
        <f t="shared" ref="N1497" si="2233">M1497-F1497</f>
        <v>24</v>
      </c>
      <c r="O1497" s="110"/>
      <c r="P1497" s="66"/>
      <c r="Q1497" s="66"/>
      <c r="R1497" s="66"/>
      <c r="S1497" s="66"/>
      <c r="T1497" s="110">
        <f>S1497-Q1497</f>
        <v>0</v>
      </c>
      <c r="U1497" s="59">
        <f t="shared" si="2079"/>
        <v>0</v>
      </c>
      <c r="V1497" s="66"/>
      <c r="W1497" s="66">
        <v>1056</v>
      </c>
      <c r="X1497" s="110">
        <f>W1497-M1497</f>
        <v>0</v>
      </c>
      <c r="Y1497" s="110"/>
      <c r="Z1497" s="110"/>
      <c r="AA1497" s="110"/>
      <c r="AB1497" s="46"/>
      <c r="AC1497" s="78"/>
      <c r="AD1497" s="78"/>
      <c r="AE1497" s="100">
        <f t="shared" ref="AE1497:AE1503" si="2234">N1497/F1497</f>
        <v>2.3255813953488372E-2</v>
      </c>
      <c r="AF1497" s="90"/>
      <c r="AG1497" s="109">
        <f t="shared" ref="AG1497:AG1503" si="2235">IF(N1497&lt;0,N1497,0)</f>
        <v>0</v>
      </c>
      <c r="AH1497" s="100">
        <f t="shared" ref="AH1497:AH1503" si="2236">(S1497-F1497)/F1497</f>
        <v>-1</v>
      </c>
      <c r="AI1497" s="100">
        <f t="shared" ref="AI1497:AI1503" si="2237">(W1497-F1497)/F1497</f>
        <v>2.3255813953488372E-2</v>
      </c>
    </row>
    <row r="1498" spans="1:35" s="79" customFormat="1" ht="15.75" customHeight="1" x14ac:dyDescent="0.3">
      <c r="A1498" s="90" t="s">
        <v>46</v>
      </c>
      <c r="B1498" s="136" t="s">
        <v>51</v>
      </c>
      <c r="C1498" s="137"/>
      <c r="D1498" s="136"/>
      <c r="E1498" s="138"/>
      <c r="F1498" s="91">
        <f>SUM(F1495:F1497)</f>
        <v>3096</v>
      </c>
      <c r="G1498" s="91"/>
      <c r="H1498" s="91"/>
      <c r="I1498" s="91"/>
      <c r="J1498" s="91" t="s">
        <v>60</v>
      </c>
      <c r="K1498" s="65" t="s">
        <v>290</v>
      </c>
      <c r="L1498" s="91">
        <f t="shared" ref="L1498:X1498" si="2238">SUM(L1495:L1497)</f>
        <v>0</v>
      </c>
      <c r="M1498" s="91">
        <f t="shared" si="2238"/>
        <v>3180</v>
      </c>
      <c r="N1498" s="91">
        <f t="shared" si="2238"/>
        <v>84</v>
      </c>
      <c r="O1498" s="91">
        <f t="shared" si="2238"/>
        <v>0</v>
      </c>
      <c r="P1498" s="91">
        <f t="shared" si="2238"/>
        <v>0</v>
      </c>
      <c r="Q1498" s="91">
        <f t="shared" si="2238"/>
        <v>0</v>
      </c>
      <c r="R1498" s="91">
        <f t="shared" si="2238"/>
        <v>0</v>
      </c>
      <c r="S1498" s="91">
        <f t="shared" si="2238"/>
        <v>0</v>
      </c>
      <c r="T1498" s="91">
        <f t="shared" si="2238"/>
        <v>0</v>
      </c>
      <c r="U1498" s="59">
        <f>IF(Q1498&gt;0,S1498-W1498,M1498-W1498)</f>
        <v>9</v>
      </c>
      <c r="V1498" s="91">
        <f t="shared" si="2238"/>
        <v>0</v>
      </c>
      <c r="W1498" s="91">
        <f t="shared" si="2238"/>
        <v>3171</v>
      </c>
      <c r="X1498" s="91">
        <f t="shared" si="2238"/>
        <v>-9</v>
      </c>
      <c r="Y1498" s="136"/>
      <c r="Z1498" s="136"/>
      <c r="AA1498" s="136"/>
      <c r="AB1498" s="84"/>
      <c r="AC1498" s="90"/>
      <c r="AD1498" s="90"/>
      <c r="AE1498" s="100">
        <f t="shared" si="2234"/>
        <v>2.7131782945736434E-2</v>
      </c>
      <c r="AF1498" s="90"/>
      <c r="AG1498" s="109">
        <f t="shared" si="2235"/>
        <v>0</v>
      </c>
      <c r="AH1498" s="100">
        <f t="shared" si="2236"/>
        <v>-1</v>
      </c>
      <c r="AI1498" s="100">
        <f t="shared" si="2237"/>
        <v>2.4224806201550389E-2</v>
      </c>
    </row>
    <row r="1499" spans="1:35" s="47" customFormat="1" ht="21" customHeight="1" x14ac:dyDescent="0.3">
      <c r="A1499" s="78"/>
      <c r="B1499" s="106" t="s">
        <v>51</v>
      </c>
      <c r="C1499" s="117" t="s">
        <v>842</v>
      </c>
      <c r="D1499" s="304">
        <v>15095808</v>
      </c>
      <c r="E1499" s="131" t="s">
        <v>0</v>
      </c>
      <c r="F1499" s="66">
        <v>10974</v>
      </c>
      <c r="G1499" s="66"/>
      <c r="H1499" s="66"/>
      <c r="I1499" s="66"/>
      <c r="J1499" s="66"/>
      <c r="K1499" s="78"/>
      <c r="L1499" s="66"/>
      <c r="M1499" s="66"/>
      <c r="N1499" s="110">
        <f t="shared" ref="N1499:N1500" si="2239">M1499-F1499</f>
        <v>-10974</v>
      </c>
      <c r="O1499" s="110"/>
      <c r="P1499" s="66"/>
      <c r="Q1499" s="66"/>
      <c r="R1499" s="66"/>
      <c r="S1499" s="66"/>
      <c r="T1499" s="110">
        <f>S1499-Q1499</f>
        <v>0</v>
      </c>
      <c r="U1499" s="59">
        <f>IF(Q1499&gt;0,S1499-W1499,M1499-W1499)</f>
        <v>0</v>
      </c>
      <c r="V1499" s="66"/>
      <c r="W1499" s="66"/>
      <c r="X1499" s="110">
        <f>W1499-M1499</f>
        <v>0</v>
      </c>
      <c r="Y1499" s="110"/>
      <c r="Z1499" s="110"/>
      <c r="AA1499" s="110"/>
      <c r="AB1499" s="46"/>
      <c r="AC1499" s="78"/>
      <c r="AD1499" s="78"/>
      <c r="AE1499" s="100">
        <f t="shared" ref="AE1499:AE1501" si="2240">N1499/F1499</f>
        <v>-1</v>
      </c>
      <c r="AF1499" s="90"/>
      <c r="AG1499" s="109">
        <f t="shared" ref="AG1499:AG1501" si="2241">IF(N1499&lt;0,N1499,0)</f>
        <v>-10974</v>
      </c>
      <c r="AH1499" s="100">
        <f t="shared" ref="AH1499:AH1501" si="2242">(S1499-F1499)/F1499</f>
        <v>-1</v>
      </c>
      <c r="AI1499" s="100">
        <f t="shared" ref="AI1499:AI1501" si="2243">(W1499-F1499)/F1499</f>
        <v>-1</v>
      </c>
    </row>
    <row r="1500" spans="1:35" s="47" customFormat="1" ht="21" customHeight="1" x14ac:dyDescent="0.3">
      <c r="A1500" s="78"/>
      <c r="B1500" s="106" t="s">
        <v>51</v>
      </c>
      <c r="C1500" s="117" t="s">
        <v>842</v>
      </c>
      <c r="D1500" s="305"/>
      <c r="E1500" s="131" t="s">
        <v>5</v>
      </c>
      <c r="F1500" s="66">
        <v>11074</v>
      </c>
      <c r="G1500" s="66"/>
      <c r="H1500" s="66"/>
      <c r="I1500" s="66"/>
      <c r="J1500" s="66"/>
      <c r="K1500" s="78"/>
      <c r="L1500" s="66"/>
      <c r="M1500" s="66"/>
      <c r="N1500" s="110">
        <f t="shared" si="2239"/>
        <v>-11074</v>
      </c>
      <c r="O1500" s="110"/>
      <c r="P1500" s="66"/>
      <c r="Q1500" s="66"/>
      <c r="R1500" s="66"/>
      <c r="S1500" s="66"/>
      <c r="T1500" s="110">
        <f>S1500-Q1500</f>
        <v>0</v>
      </c>
      <c r="U1500" s="59">
        <f t="shared" ref="U1500" si="2244">IF(Q1500&gt;0,S1500-W1500,M1500-W1500)</f>
        <v>0</v>
      </c>
      <c r="V1500" s="66"/>
      <c r="W1500" s="66"/>
      <c r="X1500" s="110">
        <f>W1500-M1500</f>
        <v>0</v>
      </c>
      <c r="Y1500" s="110"/>
      <c r="Z1500" s="110"/>
      <c r="AA1500" s="110"/>
      <c r="AB1500" s="46"/>
      <c r="AC1500" s="78"/>
      <c r="AD1500" s="78"/>
      <c r="AE1500" s="100">
        <f t="shared" si="2240"/>
        <v>-1</v>
      </c>
      <c r="AF1500" s="90"/>
      <c r="AG1500" s="109">
        <f t="shared" si="2241"/>
        <v>-11074</v>
      </c>
      <c r="AH1500" s="100">
        <f t="shared" si="2242"/>
        <v>-1</v>
      </c>
      <c r="AI1500" s="100">
        <f t="shared" si="2243"/>
        <v>-1</v>
      </c>
    </row>
    <row r="1501" spans="1:35" s="79" customFormat="1" ht="15.75" customHeight="1" x14ac:dyDescent="0.3">
      <c r="A1501" s="90" t="s">
        <v>46</v>
      </c>
      <c r="B1501" s="136" t="s">
        <v>51</v>
      </c>
      <c r="C1501" s="137"/>
      <c r="D1501" s="136"/>
      <c r="E1501" s="138"/>
      <c r="F1501" s="91">
        <f>SUM(F1499:F1500)</f>
        <v>22048</v>
      </c>
      <c r="G1501" s="91"/>
      <c r="H1501" s="91"/>
      <c r="I1501" s="91"/>
      <c r="J1501" s="91" t="s">
        <v>60</v>
      </c>
      <c r="K1501" s="65" t="s">
        <v>377</v>
      </c>
      <c r="L1501" s="91">
        <f>SUM(L1499:L1500)</f>
        <v>0</v>
      </c>
      <c r="M1501" s="91">
        <f>SUM(M1499:M1500)</f>
        <v>0</v>
      </c>
      <c r="N1501" s="91">
        <f>SUM(N1499:N1500)</f>
        <v>-22048</v>
      </c>
      <c r="O1501" s="91"/>
      <c r="P1501" s="91">
        <f>SUM(P1499:P1500)</f>
        <v>0</v>
      </c>
      <c r="Q1501" s="91">
        <f>SUM(Q1499:Q1500)</f>
        <v>0</v>
      </c>
      <c r="R1501" s="91">
        <f>SUM(R1499:R1500)</f>
        <v>0</v>
      </c>
      <c r="S1501" s="91">
        <f>SUM(S1499:S1500)</f>
        <v>0</v>
      </c>
      <c r="T1501" s="91">
        <f>SUM(T1499:T1500)</f>
        <v>0</v>
      </c>
      <c r="U1501" s="59">
        <f>IF(Q1501&gt;0,S1501-W1501,M1501-W1501)</f>
        <v>0</v>
      </c>
      <c r="V1501" s="91">
        <f>SUM(V1499:V1500)</f>
        <v>0</v>
      </c>
      <c r="W1501" s="91">
        <f>SUM(W1499:W1500)</f>
        <v>0</v>
      </c>
      <c r="X1501" s="91">
        <f>SUM(X1499:X1500)</f>
        <v>0</v>
      </c>
      <c r="Y1501" s="136"/>
      <c r="Z1501" s="136"/>
      <c r="AA1501" s="136"/>
      <c r="AB1501" s="84"/>
      <c r="AC1501" s="90"/>
      <c r="AD1501" s="90"/>
      <c r="AE1501" s="100">
        <f t="shared" si="2240"/>
        <v>-1</v>
      </c>
      <c r="AF1501" s="90"/>
      <c r="AG1501" s="109">
        <f t="shared" si="2241"/>
        <v>-22048</v>
      </c>
      <c r="AH1501" s="100">
        <f t="shared" si="2242"/>
        <v>-1</v>
      </c>
      <c r="AI1501" s="100">
        <f t="shared" si="2243"/>
        <v>-1</v>
      </c>
    </row>
    <row r="1502" spans="1:35" s="47" customFormat="1" ht="21" customHeight="1" x14ac:dyDescent="0.3">
      <c r="A1502" s="78"/>
      <c r="B1502" s="106" t="s">
        <v>51</v>
      </c>
      <c r="C1502" s="117" t="s">
        <v>542</v>
      </c>
      <c r="D1502" s="304">
        <v>15095808</v>
      </c>
      <c r="E1502" s="131" t="s">
        <v>543</v>
      </c>
      <c r="F1502" s="66">
        <v>708</v>
      </c>
      <c r="G1502" s="66"/>
      <c r="H1502" s="66"/>
      <c r="I1502" s="66"/>
      <c r="J1502" s="66"/>
      <c r="K1502" s="78"/>
      <c r="L1502" s="66"/>
      <c r="M1502" s="66"/>
      <c r="N1502" s="110">
        <f t="shared" ref="N1502:N1503" si="2245">M1502-F1502</f>
        <v>-708</v>
      </c>
      <c r="O1502" s="110"/>
      <c r="P1502" s="66"/>
      <c r="Q1502" s="66"/>
      <c r="R1502" s="66"/>
      <c r="S1502" s="66"/>
      <c r="T1502" s="110">
        <f>S1502-Q1502</f>
        <v>0</v>
      </c>
      <c r="U1502" s="59">
        <f>IF(Q1502&gt;0,S1502-W1502,M1502-W1502)</f>
        <v>0</v>
      </c>
      <c r="V1502" s="66"/>
      <c r="W1502" s="66"/>
      <c r="X1502" s="110">
        <f>W1502-M1502</f>
        <v>0</v>
      </c>
      <c r="Y1502" s="110"/>
      <c r="Z1502" s="110"/>
      <c r="AA1502" s="110"/>
      <c r="AB1502" s="46"/>
      <c r="AC1502" s="78"/>
      <c r="AD1502" s="78"/>
      <c r="AE1502" s="100">
        <f t="shared" si="2234"/>
        <v>-1</v>
      </c>
      <c r="AF1502" s="90"/>
      <c r="AG1502" s="109">
        <f t="shared" si="2235"/>
        <v>-708</v>
      </c>
      <c r="AH1502" s="100">
        <f t="shared" si="2236"/>
        <v>-1</v>
      </c>
      <c r="AI1502" s="100">
        <f t="shared" si="2237"/>
        <v>-1</v>
      </c>
    </row>
    <row r="1503" spans="1:35" s="47" customFormat="1" ht="21" customHeight="1" x14ac:dyDescent="0.3">
      <c r="A1503" s="78"/>
      <c r="B1503" s="106" t="s">
        <v>51</v>
      </c>
      <c r="C1503" s="117" t="s">
        <v>542</v>
      </c>
      <c r="D1503" s="305"/>
      <c r="E1503" s="131" t="s">
        <v>56</v>
      </c>
      <c r="F1503" s="66">
        <v>708</v>
      </c>
      <c r="G1503" s="66"/>
      <c r="H1503" s="66"/>
      <c r="I1503" s="66"/>
      <c r="J1503" s="66"/>
      <c r="K1503" s="78"/>
      <c r="L1503" s="66"/>
      <c r="M1503" s="66"/>
      <c r="N1503" s="110">
        <f t="shared" si="2245"/>
        <v>-708</v>
      </c>
      <c r="O1503" s="110"/>
      <c r="P1503" s="66"/>
      <c r="Q1503" s="66"/>
      <c r="R1503" s="66"/>
      <c r="S1503" s="66"/>
      <c r="T1503" s="110">
        <f>S1503-Q1503</f>
        <v>0</v>
      </c>
      <c r="U1503" s="59">
        <f t="shared" ref="U1503" si="2246">IF(Q1503&gt;0,S1503-W1503,M1503-W1503)</f>
        <v>0</v>
      </c>
      <c r="V1503" s="66"/>
      <c r="W1503" s="66"/>
      <c r="X1503" s="110">
        <f>W1503-M1503</f>
        <v>0</v>
      </c>
      <c r="Y1503" s="110"/>
      <c r="Z1503" s="110"/>
      <c r="AA1503" s="110"/>
      <c r="AB1503" s="46"/>
      <c r="AC1503" s="78"/>
      <c r="AD1503" s="78"/>
      <c r="AE1503" s="100">
        <f t="shared" si="2234"/>
        <v>-1</v>
      </c>
      <c r="AF1503" s="90"/>
      <c r="AG1503" s="109">
        <f t="shared" si="2235"/>
        <v>-708</v>
      </c>
      <c r="AH1503" s="100">
        <f t="shared" si="2236"/>
        <v>-1</v>
      </c>
      <c r="AI1503" s="100">
        <f t="shared" si="2237"/>
        <v>-1</v>
      </c>
    </row>
    <row r="1504" spans="1:35" s="47" customFormat="1" ht="21" customHeight="1" x14ac:dyDescent="0.3">
      <c r="A1504" s="78"/>
      <c r="B1504" s="106" t="s">
        <v>51</v>
      </c>
      <c r="C1504" s="117" t="s">
        <v>542</v>
      </c>
      <c r="D1504" s="306"/>
      <c r="E1504" s="131" t="s">
        <v>544</v>
      </c>
      <c r="F1504" s="66">
        <v>708</v>
      </c>
      <c r="G1504" s="66"/>
      <c r="H1504" s="66"/>
      <c r="I1504" s="66"/>
      <c r="J1504" s="66"/>
      <c r="K1504" s="78"/>
      <c r="L1504" s="66"/>
      <c r="M1504" s="66"/>
      <c r="N1504" s="110">
        <f t="shared" ref="N1504" si="2247">M1504-F1504</f>
        <v>-708</v>
      </c>
      <c r="O1504" s="110"/>
      <c r="P1504" s="66"/>
      <c r="Q1504" s="66"/>
      <c r="R1504" s="66"/>
      <c r="S1504" s="66"/>
      <c r="T1504" s="110">
        <f>S1504-Q1504</f>
        <v>0</v>
      </c>
      <c r="U1504" s="59">
        <f t="shared" si="2079"/>
        <v>0</v>
      </c>
      <c r="V1504" s="66"/>
      <c r="W1504" s="66"/>
      <c r="X1504" s="110">
        <f>W1504-M1504</f>
        <v>0</v>
      </c>
      <c r="Y1504" s="110"/>
      <c r="Z1504" s="110"/>
      <c r="AA1504" s="110"/>
      <c r="AB1504" s="46"/>
      <c r="AC1504" s="78"/>
      <c r="AD1504" s="78"/>
      <c r="AE1504" s="100">
        <f t="shared" ref="AE1504:AE1505" si="2248">N1504/F1504</f>
        <v>-1</v>
      </c>
      <c r="AF1504" s="90"/>
      <c r="AG1504" s="109">
        <f t="shared" ref="AG1504:AG1505" si="2249">IF(N1504&lt;0,N1504,0)</f>
        <v>-708</v>
      </c>
      <c r="AH1504" s="100">
        <f t="shared" ref="AH1504:AH1505" si="2250">(S1504-F1504)/F1504</f>
        <v>-1</v>
      </c>
      <c r="AI1504" s="100">
        <f t="shared" ref="AI1504:AI1505" si="2251">(W1504-F1504)/F1504</f>
        <v>-1</v>
      </c>
    </row>
    <row r="1505" spans="1:35" s="79" customFormat="1" ht="15.75" customHeight="1" x14ac:dyDescent="0.3">
      <c r="A1505" s="90" t="s">
        <v>46</v>
      </c>
      <c r="B1505" s="136" t="s">
        <v>51</v>
      </c>
      <c r="C1505" s="137"/>
      <c r="D1505" s="136"/>
      <c r="E1505" s="138"/>
      <c r="F1505" s="91">
        <f>SUM(F1502:F1504)</f>
        <v>2124</v>
      </c>
      <c r="G1505" s="91"/>
      <c r="H1505" s="91"/>
      <c r="I1505" s="91"/>
      <c r="J1505" s="91" t="s">
        <v>60</v>
      </c>
      <c r="K1505" s="65" t="s">
        <v>410</v>
      </c>
      <c r="L1505" s="91">
        <f>SUM(L1502:L1504)</f>
        <v>0</v>
      </c>
      <c r="M1505" s="91">
        <f t="shared" ref="M1505:X1505" si="2252">SUM(M1502:M1504)</f>
        <v>0</v>
      </c>
      <c r="N1505" s="91">
        <f t="shared" si="2252"/>
        <v>-2124</v>
      </c>
      <c r="O1505" s="91"/>
      <c r="P1505" s="91">
        <f t="shared" si="2252"/>
        <v>0</v>
      </c>
      <c r="Q1505" s="91">
        <f t="shared" si="2252"/>
        <v>0</v>
      </c>
      <c r="R1505" s="91">
        <f t="shared" si="2252"/>
        <v>0</v>
      </c>
      <c r="S1505" s="91">
        <f t="shared" si="2252"/>
        <v>0</v>
      </c>
      <c r="T1505" s="91">
        <f t="shared" si="2252"/>
        <v>0</v>
      </c>
      <c r="U1505" s="59">
        <f>IF(Q1505&gt;0,S1505-W1505,M1505-W1505)</f>
        <v>0</v>
      </c>
      <c r="V1505" s="91">
        <f t="shared" si="2252"/>
        <v>0</v>
      </c>
      <c r="W1505" s="91">
        <f t="shared" si="2252"/>
        <v>0</v>
      </c>
      <c r="X1505" s="91">
        <f t="shared" si="2252"/>
        <v>0</v>
      </c>
      <c r="Y1505" s="136"/>
      <c r="Z1505" s="136"/>
      <c r="AA1505" s="136"/>
      <c r="AB1505" s="84"/>
      <c r="AC1505" s="90"/>
      <c r="AD1505" s="90"/>
      <c r="AE1505" s="100">
        <f t="shared" si="2248"/>
        <v>-1</v>
      </c>
      <c r="AF1505" s="90"/>
      <c r="AG1505" s="109">
        <f t="shared" si="2249"/>
        <v>-2124</v>
      </c>
      <c r="AH1505" s="100">
        <f t="shared" si="2250"/>
        <v>-1</v>
      </c>
      <c r="AI1505" s="100">
        <f t="shared" si="2251"/>
        <v>-1</v>
      </c>
    </row>
    <row r="1506" spans="1:35" s="47" customFormat="1" ht="21" customHeight="1" x14ac:dyDescent="0.3">
      <c r="A1506" s="78"/>
      <c r="B1506" s="106" t="s">
        <v>51</v>
      </c>
      <c r="C1506" s="117" t="s">
        <v>546</v>
      </c>
      <c r="D1506" s="304">
        <v>15095808</v>
      </c>
      <c r="E1506" s="131" t="s">
        <v>547</v>
      </c>
      <c r="F1506" s="66">
        <v>816</v>
      </c>
      <c r="G1506" s="66"/>
      <c r="H1506" s="66"/>
      <c r="I1506" s="66"/>
      <c r="J1506" s="66"/>
      <c r="K1506" s="78"/>
      <c r="L1506" s="66"/>
      <c r="M1506" s="66"/>
      <c r="N1506" s="110">
        <f t="shared" ref="N1506:N1507" si="2253">M1506-F1506</f>
        <v>-816</v>
      </c>
      <c r="O1506" s="110"/>
      <c r="P1506" s="66"/>
      <c r="Q1506" s="66"/>
      <c r="R1506" s="66"/>
      <c r="S1506" s="66"/>
      <c r="T1506" s="110">
        <f>S1506-Q1506</f>
        <v>0</v>
      </c>
      <c r="U1506" s="59">
        <f t="shared" si="2079"/>
        <v>0</v>
      </c>
      <c r="V1506" s="66"/>
      <c r="W1506" s="66"/>
      <c r="X1506" s="110">
        <f>W1506-M1506</f>
        <v>0</v>
      </c>
      <c r="Y1506" s="110"/>
      <c r="Z1506" s="110"/>
      <c r="AA1506" s="110"/>
      <c r="AB1506" s="46"/>
      <c r="AC1506" s="78"/>
      <c r="AD1506" s="78"/>
      <c r="AE1506" s="100">
        <f t="shared" ref="AE1506:AE1509" si="2254">N1506/F1506</f>
        <v>-1</v>
      </c>
      <c r="AF1506" s="90"/>
      <c r="AG1506" s="109">
        <f t="shared" ref="AG1506:AG1509" si="2255">IF(N1506&lt;0,N1506,0)</f>
        <v>-816</v>
      </c>
      <c r="AH1506" s="100">
        <f t="shared" ref="AH1506:AH1509" si="2256">(S1506-F1506)/F1506</f>
        <v>-1</v>
      </c>
      <c r="AI1506" s="100">
        <f t="shared" ref="AI1506:AI1509" si="2257">(W1506-F1506)/F1506</f>
        <v>-1</v>
      </c>
    </row>
    <row r="1507" spans="1:35" s="47" customFormat="1" ht="21" customHeight="1" x14ac:dyDescent="0.3">
      <c r="A1507" s="78"/>
      <c r="B1507" s="106" t="s">
        <v>51</v>
      </c>
      <c r="C1507" s="117" t="s">
        <v>546</v>
      </c>
      <c r="D1507" s="305"/>
      <c r="E1507" s="131" t="s">
        <v>548</v>
      </c>
      <c r="F1507" s="66">
        <v>816</v>
      </c>
      <c r="G1507" s="66"/>
      <c r="H1507" s="66"/>
      <c r="I1507" s="66"/>
      <c r="J1507" s="66"/>
      <c r="K1507" s="78"/>
      <c r="L1507" s="66"/>
      <c r="M1507" s="66"/>
      <c r="N1507" s="110">
        <f t="shared" si="2253"/>
        <v>-816</v>
      </c>
      <c r="O1507" s="110"/>
      <c r="P1507" s="66"/>
      <c r="Q1507" s="66"/>
      <c r="R1507" s="66"/>
      <c r="S1507" s="66"/>
      <c r="T1507" s="110">
        <f t="shared" ref="T1507" si="2258">S1507-Q1507</f>
        <v>0</v>
      </c>
      <c r="U1507" s="59">
        <f t="shared" ref="U1507" si="2259">IF(Q1507&gt;0,S1507-W1507,M1507-W1507)</f>
        <v>0</v>
      </c>
      <c r="V1507" s="66"/>
      <c r="W1507" s="66"/>
      <c r="X1507" s="110">
        <f t="shared" ref="X1507" si="2260">W1507-M1507</f>
        <v>0</v>
      </c>
      <c r="Y1507" s="110"/>
      <c r="Z1507" s="110"/>
      <c r="AA1507" s="110"/>
      <c r="AB1507" s="46"/>
      <c r="AC1507" s="78"/>
      <c r="AD1507" s="78"/>
      <c r="AE1507" s="100">
        <f t="shared" si="2254"/>
        <v>-1</v>
      </c>
      <c r="AF1507" s="90"/>
      <c r="AG1507" s="109">
        <f t="shared" si="2255"/>
        <v>-816</v>
      </c>
      <c r="AH1507" s="100">
        <f t="shared" si="2256"/>
        <v>-1</v>
      </c>
      <c r="AI1507" s="100">
        <f t="shared" si="2257"/>
        <v>-1</v>
      </c>
    </row>
    <row r="1508" spans="1:35" s="47" customFormat="1" ht="21" customHeight="1" x14ac:dyDescent="0.3">
      <c r="A1508" s="78"/>
      <c r="B1508" s="106" t="s">
        <v>51</v>
      </c>
      <c r="C1508" s="117" t="s">
        <v>546</v>
      </c>
      <c r="D1508" s="306"/>
      <c r="E1508" s="131" t="s">
        <v>497</v>
      </c>
      <c r="F1508" s="66">
        <v>816</v>
      </c>
      <c r="G1508" s="66"/>
      <c r="H1508" s="66"/>
      <c r="I1508" s="66"/>
      <c r="J1508" s="66"/>
      <c r="K1508" s="78"/>
      <c r="L1508" s="66"/>
      <c r="M1508" s="66"/>
      <c r="N1508" s="110">
        <f t="shared" ref="N1508" si="2261">M1508-F1508</f>
        <v>-816</v>
      </c>
      <c r="O1508" s="110"/>
      <c r="P1508" s="66"/>
      <c r="Q1508" s="66"/>
      <c r="R1508" s="66"/>
      <c r="S1508" s="66"/>
      <c r="T1508" s="110">
        <f t="shared" ref="T1508" si="2262">S1508-Q1508</f>
        <v>0</v>
      </c>
      <c r="U1508" s="59">
        <f t="shared" si="2079"/>
        <v>0</v>
      </c>
      <c r="V1508" s="66"/>
      <c r="W1508" s="66"/>
      <c r="X1508" s="110">
        <f t="shared" ref="X1508" si="2263">W1508-M1508</f>
        <v>0</v>
      </c>
      <c r="Y1508" s="110"/>
      <c r="Z1508" s="110"/>
      <c r="AA1508" s="110"/>
      <c r="AB1508" s="46"/>
      <c r="AC1508" s="78"/>
      <c r="AD1508" s="78"/>
      <c r="AE1508" s="100">
        <f t="shared" ref="AE1508" si="2264">N1508/F1508</f>
        <v>-1</v>
      </c>
      <c r="AF1508" s="90"/>
      <c r="AG1508" s="109">
        <f t="shared" ref="AG1508" si="2265">IF(N1508&lt;0,N1508,0)</f>
        <v>-816</v>
      </c>
      <c r="AH1508" s="100">
        <f t="shared" ref="AH1508" si="2266">(S1508-F1508)/F1508</f>
        <v>-1</v>
      </c>
      <c r="AI1508" s="100">
        <f t="shared" ref="AI1508" si="2267">(W1508-F1508)/F1508</f>
        <v>-1</v>
      </c>
    </row>
    <row r="1509" spans="1:35" s="79" customFormat="1" ht="15.75" customHeight="1" x14ac:dyDescent="0.3">
      <c r="A1509" s="90" t="s">
        <v>46</v>
      </c>
      <c r="B1509" s="136" t="s">
        <v>51</v>
      </c>
      <c r="C1509" s="137"/>
      <c r="D1509" s="136"/>
      <c r="E1509" s="138"/>
      <c r="F1509" s="91">
        <f>SUM(F1506:F1508)</f>
        <v>2448</v>
      </c>
      <c r="G1509" s="91"/>
      <c r="H1509" s="91"/>
      <c r="I1509" s="91"/>
      <c r="J1509" s="91" t="s">
        <v>60</v>
      </c>
      <c r="K1509" s="65" t="s">
        <v>545</v>
      </c>
      <c r="L1509" s="91">
        <f>SUM(L1506:L1508)</f>
        <v>0</v>
      </c>
      <c r="M1509" s="91">
        <f>SUM(M1506:M1508)</f>
        <v>0</v>
      </c>
      <c r="N1509" s="91">
        <f>SUM(N1506:N1508)</f>
        <v>-2448</v>
      </c>
      <c r="O1509" s="91"/>
      <c r="P1509" s="91">
        <f>SUM(P1506:P1508)</f>
        <v>0</v>
      </c>
      <c r="Q1509" s="91">
        <f>SUM(Q1506:Q1508)</f>
        <v>0</v>
      </c>
      <c r="R1509" s="91">
        <f>SUM(R1506:R1508)</f>
        <v>0</v>
      </c>
      <c r="S1509" s="91">
        <f>SUM(S1506:S1508)</f>
        <v>0</v>
      </c>
      <c r="T1509" s="91">
        <f>SUM(T1506:T1508)</f>
        <v>0</v>
      </c>
      <c r="U1509" s="59">
        <f t="shared" si="2079"/>
        <v>0</v>
      </c>
      <c r="V1509" s="91">
        <f>SUM(V1506:V1508)</f>
        <v>0</v>
      </c>
      <c r="W1509" s="91">
        <f>SUM(W1506:W1508)</f>
        <v>0</v>
      </c>
      <c r="X1509" s="91">
        <f>SUM(X1506:X1508)</f>
        <v>0</v>
      </c>
      <c r="Y1509" s="136"/>
      <c r="Z1509" s="136"/>
      <c r="AA1509" s="136"/>
      <c r="AB1509" s="84"/>
      <c r="AC1509" s="90"/>
      <c r="AD1509" s="90"/>
      <c r="AE1509" s="100">
        <f t="shared" si="2254"/>
        <v>-1</v>
      </c>
      <c r="AF1509" s="90"/>
      <c r="AG1509" s="109">
        <f t="shared" si="2255"/>
        <v>-2448</v>
      </c>
      <c r="AH1509" s="100">
        <f t="shared" si="2256"/>
        <v>-1</v>
      </c>
      <c r="AI1509" s="100">
        <f t="shared" si="2257"/>
        <v>-1</v>
      </c>
    </row>
    <row r="1510" spans="1:35" s="47" customFormat="1" ht="21" customHeight="1" x14ac:dyDescent="0.3">
      <c r="A1510" s="78"/>
      <c r="B1510" s="106" t="s">
        <v>51</v>
      </c>
      <c r="C1510" s="117" t="s">
        <v>567</v>
      </c>
      <c r="D1510" s="198">
        <v>15312874</v>
      </c>
      <c r="E1510" s="131" t="s">
        <v>0</v>
      </c>
      <c r="F1510" s="66">
        <v>3024</v>
      </c>
      <c r="G1510" s="66"/>
      <c r="H1510" s="66"/>
      <c r="I1510" s="66"/>
      <c r="J1510" s="66"/>
      <c r="K1510" s="78"/>
      <c r="L1510" s="66"/>
      <c r="M1510" s="66"/>
      <c r="N1510" s="110">
        <f t="shared" ref="N1510" si="2268">M1510-F1510</f>
        <v>-3024</v>
      </c>
      <c r="O1510" s="110"/>
      <c r="P1510" s="66"/>
      <c r="Q1510" s="66"/>
      <c r="R1510" s="66"/>
      <c r="S1510" s="66"/>
      <c r="T1510" s="110">
        <f>S1510-Q1510</f>
        <v>0</v>
      </c>
      <c r="U1510" s="59">
        <f t="shared" ref="U1510:U1520" si="2269">IF(Q1510&gt;0,S1510-W1510,M1510-W1510)</f>
        <v>0</v>
      </c>
      <c r="V1510" s="66"/>
      <c r="W1510" s="66"/>
      <c r="X1510" s="110">
        <f>W1510-M1510</f>
        <v>0</v>
      </c>
      <c r="Y1510" s="110"/>
      <c r="Z1510" s="110"/>
      <c r="AA1510" s="110"/>
      <c r="AB1510" s="46"/>
      <c r="AC1510" s="78"/>
      <c r="AD1510" s="78"/>
      <c r="AE1510" s="100">
        <f t="shared" ref="AE1510:AE1520" si="2270">N1510/F1510</f>
        <v>-1</v>
      </c>
      <c r="AF1510" s="90"/>
      <c r="AG1510" s="109">
        <f t="shared" ref="AG1510:AG1520" si="2271">IF(N1510&lt;0,N1510,0)</f>
        <v>-3024</v>
      </c>
      <c r="AH1510" s="100">
        <f t="shared" ref="AH1510:AH1520" si="2272">(S1510-F1510)/F1510</f>
        <v>-1</v>
      </c>
      <c r="AI1510" s="100">
        <f t="shared" ref="AI1510:AI1520" si="2273">(W1510-F1510)/F1510</f>
        <v>-1</v>
      </c>
    </row>
    <row r="1511" spans="1:35" s="79" customFormat="1" ht="15.75" customHeight="1" x14ac:dyDescent="0.3">
      <c r="A1511" s="90" t="s">
        <v>46</v>
      </c>
      <c r="B1511" s="136" t="s">
        <v>51</v>
      </c>
      <c r="C1511" s="137"/>
      <c r="D1511" s="136"/>
      <c r="E1511" s="138"/>
      <c r="F1511" s="91">
        <f>SUM(F1510:F1510)</f>
        <v>3024</v>
      </c>
      <c r="G1511" s="91"/>
      <c r="H1511" s="91"/>
      <c r="I1511" s="91"/>
      <c r="J1511" s="91" t="s">
        <v>58</v>
      </c>
      <c r="K1511" s="65" t="s">
        <v>377</v>
      </c>
      <c r="L1511" s="91">
        <f>SUM(L1510:L1510)</f>
        <v>0</v>
      </c>
      <c r="M1511" s="91">
        <f>SUM(M1510:M1510)</f>
        <v>0</v>
      </c>
      <c r="N1511" s="91">
        <f>SUM(N1510:N1510)</f>
        <v>-3024</v>
      </c>
      <c r="O1511" s="91"/>
      <c r="P1511" s="91">
        <f>SUM(P1510:P1510)</f>
        <v>0</v>
      </c>
      <c r="Q1511" s="91">
        <f>SUM(Q1510:Q1510)</f>
        <v>0</v>
      </c>
      <c r="R1511" s="91">
        <f>SUM(R1510:R1510)</f>
        <v>0</v>
      </c>
      <c r="S1511" s="91">
        <f>SUM(S1510:S1510)</f>
        <v>0</v>
      </c>
      <c r="T1511" s="91">
        <f>SUM(T1510:T1510)</f>
        <v>0</v>
      </c>
      <c r="U1511" s="59">
        <f t="shared" si="2269"/>
        <v>0</v>
      </c>
      <c r="V1511" s="91">
        <f>SUM(V1510:V1510)</f>
        <v>0</v>
      </c>
      <c r="W1511" s="91">
        <f>SUM(W1510:W1510)</f>
        <v>0</v>
      </c>
      <c r="X1511" s="91">
        <f>SUM(X1510:X1510)</f>
        <v>0</v>
      </c>
      <c r="Y1511" s="136" t="s">
        <v>48</v>
      </c>
      <c r="Z1511" s="136" t="s">
        <v>45</v>
      </c>
      <c r="AA1511" s="136"/>
      <c r="AB1511" s="84"/>
      <c r="AC1511" s="90"/>
      <c r="AD1511" s="90"/>
      <c r="AE1511" s="100">
        <f t="shared" si="2270"/>
        <v>-1</v>
      </c>
      <c r="AF1511" s="90"/>
      <c r="AG1511" s="109">
        <f t="shared" si="2271"/>
        <v>-3024</v>
      </c>
      <c r="AH1511" s="100">
        <f t="shared" si="2272"/>
        <v>-1</v>
      </c>
      <c r="AI1511" s="100">
        <f t="shared" si="2273"/>
        <v>-1</v>
      </c>
    </row>
    <row r="1512" spans="1:35" s="47" customFormat="1" ht="21" customHeight="1" x14ac:dyDescent="0.3">
      <c r="A1512" s="78"/>
      <c r="B1512" s="106" t="s">
        <v>51</v>
      </c>
      <c r="C1512" s="117" t="s">
        <v>568</v>
      </c>
      <c r="D1512" s="304">
        <v>15312874</v>
      </c>
      <c r="E1512" s="131" t="s">
        <v>234</v>
      </c>
      <c r="F1512" s="66">
        <v>2412</v>
      </c>
      <c r="G1512" s="66"/>
      <c r="H1512" s="66"/>
      <c r="I1512" s="66"/>
      <c r="J1512" s="66"/>
      <c r="K1512" s="78"/>
      <c r="L1512" s="66"/>
      <c r="M1512" s="66">
        <f>1272+204+378+548+50</f>
        <v>2452</v>
      </c>
      <c r="N1512" s="110">
        <f t="shared" ref="N1512:N1516" si="2274">M1512-F1512</f>
        <v>40</v>
      </c>
      <c r="O1512" s="110"/>
      <c r="P1512" s="66"/>
      <c r="Q1512" s="66">
        <f>1230+420+204+548+50</f>
        <v>2452</v>
      </c>
      <c r="R1512" s="66"/>
      <c r="S1512" s="66">
        <f>844+1010+597</f>
        <v>2451</v>
      </c>
      <c r="T1512" s="110">
        <f>S1512-Q1512</f>
        <v>-1</v>
      </c>
      <c r="U1512" s="59">
        <f t="shared" si="2269"/>
        <v>7</v>
      </c>
      <c r="V1512" s="66"/>
      <c r="W1512" s="66">
        <v>2444</v>
      </c>
      <c r="X1512" s="110">
        <f>W1512-M1512</f>
        <v>-8</v>
      </c>
      <c r="Y1512" s="110"/>
      <c r="Z1512" s="110"/>
      <c r="AA1512" s="110"/>
      <c r="AB1512" s="46"/>
      <c r="AC1512" s="78"/>
      <c r="AD1512" s="78"/>
      <c r="AE1512" s="100">
        <f t="shared" si="2270"/>
        <v>1.658374792703151E-2</v>
      </c>
      <c r="AF1512" s="90"/>
      <c r="AG1512" s="109">
        <f t="shared" si="2271"/>
        <v>0</v>
      </c>
      <c r="AH1512" s="100">
        <f t="shared" si="2272"/>
        <v>1.6169154228855721E-2</v>
      </c>
      <c r="AI1512" s="100">
        <f t="shared" si="2273"/>
        <v>1.3266998341625208E-2</v>
      </c>
    </row>
    <row r="1513" spans="1:35" s="47" customFormat="1" ht="21" customHeight="1" x14ac:dyDescent="0.3">
      <c r="A1513" s="78"/>
      <c r="B1513" s="106" t="s">
        <v>51</v>
      </c>
      <c r="C1513" s="117" t="s">
        <v>568</v>
      </c>
      <c r="D1513" s="305"/>
      <c r="E1513" s="131" t="s">
        <v>292</v>
      </c>
      <c r="F1513" s="66">
        <v>5460</v>
      </c>
      <c r="G1513" s="66"/>
      <c r="H1513" s="66"/>
      <c r="I1513" s="66"/>
      <c r="J1513" s="66"/>
      <c r="K1513" s="78"/>
      <c r="L1513" s="66"/>
      <c r="M1513" s="66">
        <f>360+740+160+524+486+432+432+1400+438+582+28</f>
        <v>5582</v>
      </c>
      <c r="N1513" s="110">
        <f t="shared" si="2274"/>
        <v>122</v>
      </c>
      <c r="O1513" s="110"/>
      <c r="P1513" s="66"/>
      <c r="Q1513" s="66">
        <f>728+372+1170+1400+864+1016</f>
        <v>5550</v>
      </c>
      <c r="R1513" s="66"/>
      <c r="S1513" s="66">
        <f>1299+1762+821+1667</f>
        <v>5549</v>
      </c>
      <c r="T1513" s="110">
        <f t="shared" ref="T1513:T1516" si="2275">S1513-Q1513</f>
        <v>-1</v>
      </c>
      <c r="U1513" s="59">
        <f t="shared" si="2269"/>
        <v>7</v>
      </c>
      <c r="V1513" s="66"/>
      <c r="W1513" s="66">
        <v>5542</v>
      </c>
      <c r="X1513" s="110">
        <f t="shared" ref="X1513:X1516" si="2276">W1513-M1513</f>
        <v>-40</v>
      </c>
      <c r="Y1513" s="110"/>
      <c r="Z1513" s="110"/>
      <c r="AA1513" s="110"/>
      <c r="AB1513" s="46"/>
      <c r="AC1513" s="78"/>
      <c r="AD1513" s="78"/>
      <c r="AE1513" s="100">
        <f t="shared" si="2270"/>
        <v>2.2344322344322345E-2</v>
      </c>
      <c r="AF1513" s="90"/>
      <c r="AG1513" s="109">
        <f t="shared" si="2271"/>
        <v>0</v>
      </c>
      <c r="AH1513" s="100">
        <f t="shared" si="2272"/>
        <v>1.6300366300366301E-2</v>
      </c>
      <c r="AI1513" s="100">
        <f t="shared" si="2273"/>
        <v>1.5018315018315019E-2</v>
      </c>
    </row>
    <row r="1514" spans="1:35" s="47" customFormat="1" ht="21" customHeight="1" x14ac:dyDescent="0.3">
      <c r="A1514" s="78"/>
      <c r="B1514" s="106" t="s">
        <v>51</v>
      </c>
      <c r="C1514" s="117" t="s">
        <v>568</v>
      </c>
      <c r="D1514" s="305"/>
      <c r="E1514" s="131" t="s">
        <v>56</v>
      </c>
      <c r="F1514" s="66">
        <v>840</v>
      </c>
      <c r="G1514" s="66"/>
      <c r="H1514" s="66"/>
      <c r="I1514" s="66"/>
      <c r="J1514" s="66"/>
      <c r="K1514" s="78"/>
      <c r="L1514" s="66"/>
      <c r="M1514" s="66">
        <v>861</v>
      </c>
      <c r="N1514" s="110">
        <f t="shared" si="2274"/>
        <v>21</v>
      </c>
      <c r="O1514" s="110"/>
      <c r="P1514" s="66"/>
      <c r="Q1514" s="66">
        <v>861</v>
      </c>
      <c r="R1514" s="66"/>
      <c r="S1514" s="66">
        <v>861</v>
      </c>
      <c r="T1514" s="110">
        <f t="shared" si="2275"/>
        <v>0</v>
      </c>
      <c r="U1514" s="59">
        <f t="shared" si="2269"/>
        <v>1</v>
      </c>
      <c r="V1514" s="66"/>
      <c r="W1514" s="66">
        <v>860</v>
      </c>
      <c r="X1514" s="110">
        <f t="shared" si="2276"/>
        <v>-1</v>
      </c>
      <c r="Y1514" s="110"/>
      <c r="Z1514" s="110"/>
      <c r="AA1514" s="110"/>
      <c r="AB1514" s="46"/>
      <c r="AC1514" s="78"/>
      <c r="AD1514" s="78"/>
      <c r="AE1514" s="100">
        <f t="shared" si="2270"/>
        <v>2.5000000000000001E-2</v>
      </c>
      <c r="AF1514" s="90"/>
      <c r="AG1514" s="109">
        <f t="shared" si="2271"/>
        <v>0</v>
      </c>
      <c r="AH1514" s="100">
        <f t="shared" si="2272"/>
        <v>2.5000000000000001E-2</v>
      </c>
      <c r="AI1514" s="100">
        <f t="shared" si="2273"/>
        <v>2.3809523809523808E-2</v>
      </c>
    </row>
    <row r="1515" spans="1:35" s="47" customFormat="1" ht="21" customHeight="1" x14ac:dyDescent="0.3">
      <c r="A1515" s="78"/>
      <c r="B1515" s="106" t="s">
        <v>51</v>
      </c>
      <c r="C1515" s="117" t="s">
        <v>568</v>
      </c>
      <c r="D1515" s="305"/>
      <c r="E1515" s="131" t="s">
        <v>228</v>
      </c>
      <c r="F1515" s="66">
        <v>5460</v>
      </c>
      <c r="G1515" s="66"/>
      <c r="H1515" s="66"/>
      <c r="I1515" s="66"/>
      <c r="J1515" s="66"/>
      <c r="K1515" s="78"/>
      <c r="L1515" s="66"/>
      <c r="M1515" s="66">
        <f>416+456+816+438+372+420+420+414+64+936+801</f>
        <v>5553</v>
      </c>
      <c r="N1515" s="110">
        <f t="shared" si="2274"/>
        <v>93</v>
      </c>
      <c r="O1515" s="110"/>
      <c r="P1515" s="66"/>
      <c r="Q1515" s="66">
        <f>872+816+438+372+840+414+64+720+216+420+381</f>
        <v>5553</v>
      </c>
      <c r="R1515" s="66"/>
      <c r="S1515" s="66">
        <f>823+1278+771+789+84+66+937+802</f>
        <v>5550</v>
      </c>
      <c r="T1515" s="110">
        <f t="shared" si="2275"/>
        <v>-3</v>
      </c>
      <c r="U1515" s="59">
        <f t="shared" si="2269"/>
        <v>2</v>
      </c>
      <c r="V1515" s="66"/>
      <c r="W1515" s="66">
        <v>5548</v>
      </c>
      <c r="X1515" s="110">
        <f t="shared" si="2276"/>
        <v>-5</v>
      </c>
      <c r="Y1515" s="110"/>
      <c r="Z1515" s="110"/>
      <c r="AA1515" s="110"/>
      <c r="AB1515" s="46"/>
      <c r="AC1515" s="78"/>
      <c r="AD1515" s="78"/>
      <c r="AE1515" s="100">
        <f t="shared" si="2270"/>
        <v>1.7032967032967031E-2</v>
      </c>
      <c r="AF1515" s="90"/>
      <c r="AG1515" s="109">
        <f t="shared" si="2271"/>
        <v>0</v>
      </c>
      <c r="AH1515" s="100">
        <f t="shared" si="2272"/>
        <v>1.6483516483516484E-2</v>
      </c>
      <c r="AI1515" s="100">
        <f t="shared" si="2273"/>
        <v>1.6117216117216119E-2</v>
      </c>
    </row>
    <row r="1516" spans="1:35" s="47" customFormat="1" ht="21" customHeight="1" x14ac:dyDescent="0.3">
      <c r="A1516" s="78"/>
      <c r="B1516" s="106" t="s">
        <v>51</v>
      </c>
      <c r="C1516" s="117" t="s">
        <v>568</v>
      </c>
      <c r="D1516" s="306"/>
      <c r="E1516" s="131" t="s">
        <v>569</v>
      </c>
      <c r="F1516" s="66">
        <v>840</v>
      </c>
      <c r="G1516" s="66"/>
      <c r="H1516" s="66"/>
      <c r="I1516" s="66"/>
      <c r="J1516" s="66"/>
      <c r="K1516" s="78"/>
      <c r="L1516" s="66"/>
      <c r="M1516" s="66">
        <f>360+489+45</f>
        <v>894</v>
      </c>
      <c r="N1516" s="110">
        <f t="shared" si="2274"/>
        <v>54</v>
      </c>
      <c r="O1516" s="110"/>
      <c r="P1516" s="66"/>
      <c r="Q1516" s="66">
        <f>828+45</f>
        <v>873</v>
      </c>
      <c r="R1516" s="66"/>
      <c r="S1516" s="66">
        <f>823+45</f>
        <v>868</v>
      </c>
      <c r="T1516" s="110">
        <f t="shared" si="2275"/>
        <v>-5</v>
      </c>
      <c r="U1516" s="59">
        <f t="shared" si="2269"/>
        <v>46</v>
      </c>
      <c r="V1516" s="66"/>
      <c r="W1516" s="66">
        <v>822</v>
      </c>
      <c r="X1516" s="110">
        <f t="shared" si="2276"/>
        <v>-72</v>
      </c>
      <c r="Y1516" s="110"/>
      <c r="Z1516" s="110"/>
      <c r="AA1516" s="110"/>
      <c r="AB1516" s="46"/>
      <c r="AC1516" s="78"/>
      <c r="AD1516" s="78"/>
      <c r="AE1516" s="100">
        <f t="shared" si="2270"/>
        <v>6.4285714285714279E-2</v>
      </c>
      <c r="AF1516" s="90"/>
      <c r="AG1516" s="109">
        <f t="shared" si="2271"/>
        <v>0</v>
      </c>
      <c r="AH1516" s="100">
        <f t="shared" si="2272"/>
        <v>3.3333333333333333E-2</v>
      </c>
      <c r="AI1516" s="100">
        <f t="shared" si="2273"/>
        <v>-2.1428571428571429E-2</v>
      </c>
    </row>
    <row r="1517" spans="1:35" s="79" customFormat="1" ht="15.75" customHeight="1" x14ac:dyDescent="0.3">
      <c r="A1517" s="90" t="s">
        <v>46</v>
      </c>
      <c r="B1517" s="136" t="s">
        <v>51</v>
      </c>
      <c r="C1517" s="137"/>
      <c r="D1517" s="136"/>
      <c r="E1517" s="138"/>
      <c r="F1517" s="91">
        <f>SUM(F1512:F1516)</f>
        <v>15012</v>
      </c>
      <c r="G1517" s="91"/>
      <c r="H1517" s="91"/>
      <c r="I1517" s="91"/>
      <c r="J1517" s="91" t="s">
        <v>58</v>
      </c>
      <c r="K1517" s="65" t="s">
        <v>290</v>
      </c>
      <c r="L1517" s="91">
        <f>SUM(L1512:L1516)</f>
        <v>0</v>
      </c>
      <c r="M1517" s="91">
        <f>SUM(M1512:M1516)</f>
        <v>15342</v>
      </c>
      <c r="N1517" s="91">
        <f>SUM(N1512:N1516)</f>
        <v>330</v>
      </c>
      <c r="O1517" s="91" t="s">
        <v>175</v>
      </c>
      <c r="P1517" s="91">
        <f>SUM(P1512:P1516)</f>
        <v>0</v>
      </c>
      <c r="Q1517" s="91">
        <f>SUM(Q1512:Q1516)</f>
        <v>15289</v>
      </c>
      <c r="R1517" s="91">
        <f>SUM(R1512:R1516)</f>
        <v>0</v>
      </c>
      <c r="S1517" s="91">
        <f>SUM(S1512:S1516)</f>
        <v>15279</v>
      </c>
      <c r="T1517" s="91">
        <f>SUM(T1512:T1516)</f>
        <v>-10</v>
      </c>
      <c r="U1517" s="59">
        <f t="shared" si="2269"/>
        <v>63</v>
      </c>
      <c r="V1517" s="91">
        <f>SUM(V1512:V1516)</f>
        <v>0</v>
      </c>
      <c r="W1517" s="91">
        <f>SUM(W1512:W1516)</f>
        <v>15216</v>
      </c>
      <c r="X1517" s="91">
        <f>SUM(X1512:X1516)</f>
        <v>-126</v>
      </c>
      <c r="Y1517" s="136" t="s">
        <v>48</v>
      </c>
      <c r="Z1517" s="136" t="s">
        <v>45</v>
      </c>
      <c r="AA1517" s="136"/>
      <c r="AB1517" s="84"/>
      <c r="AC1517" s="90"/>
      <c r="AD1517" s="90"/>
      <c r="AE1517" s="100">
        <f t="shared" si="2270"/>
        <v>2.1982414068745005E-2</v>
      </c>
      <c r="AF1517" s="90"/>
      <c r="AG1517" s="109">
        <f t="shared" si="2271"/>
        <v>0</v>
      </c>
      <c r="AH1517" s="100">
        <f t="shared" si="2272"/>
        <v>1.7785771382893684E-2</v>
      </c>
      <c r="AI1517" s="100">
        <f t="shared" si="2273"/>
        <v>1.3589128697042365E-2</v>
      </c>
    </row>
    <row r="1518" spans="1:35" s="47" customFormat="1" ht="21" customHeight="1" x14ac:dyDescent="0.3">
      <c r="A1518" s="78"/>
      <c r="B1518" s="106" t="s">
        <v>51</v>
      </c>
      <c r="C1518" s="117" t="s">
        <v>570</v>
      </c>
      <c r="D1518" s="304">
        <v>15312874</v>
      </c>
      <c r="E1518" s="131" t="s">
        <v>292</v>
      </c>
      <c r="F1518" s="66">
        <v>3024</v>
      </c>
      <c r="G1518" s="66"/>
      <c r="H1518" s="66"/>
      <c r="I1518" s="66"/>
      <c r="J1518" s="66"/>
      <c r="K1518" s="78"/>
      <c r="L1518" s="66"/>
      <c r="M1518" s="66"/>
      <c r="N1518" s="110">
        <f t="shared" ref="N1518:N1519" si="2277">M1518-F1518</f>
        <v>-3024</v>
      </c>
      <c r="O1518" s="110"/>
      <c r="P1518" s="66"/>
      <c r="Q1518" s="66"/>
      <c r="R1518" s="66"/>
      <c r="S1518" s="66"/>
      <c r="T1518" s="110">
        <f>S1518-Q1518</f>
        <v>0</v>
      </c>
      <c r="U1518" s="59">
        <f t="shared" si="2269"/>
        <v>0</v>
      </c>
      <c r="V1518" s="66"/>
      <c r="W1518" s="66"/>
      <c r="X1518" s="110">
        <f>W1518-M1518</f>
        <v>0</v>
      </c>
      <c r="Y1518" s="110"/>
      <c r="Z1518" s="110"/>
      <c r="AA1518" s="110"/>
      <c r="AB1518" s="46"/>
      <c r="AC1518" s="78"/>
      <c r="AD1518" s="78"/>
      <c r="AE1518" s="100">
        <f t="shared" si="2270"/>
        <v>-1</v>
      </c>
      <c r="AF1518" s="90"/>
      <c r="AG1518" s="109">
        <f t="shared" si="2271"/>
        <v>-3024</v>
      </c>
      <c r="AH1518" s="100">
        <f t="shared" si="2272"/>
        <v>-1</v>
      </c>
      <c r="AI1518" s="100">
        <f t="shared" si="2273"/>
        <v>-1</v>
      </c>
    </row>
    <row r="1519" spans="1:35" s="47" customFormat="1" ht="21" customHeight="1" x14ac:dyDescent="0.3">
      <c r="A1519" s="78"/>
      <c r="B1519" s="106" t="s">
        <v>51</v>
      </c>
      <c r="C1519" s="117" t="s">
        <v>570</v>
      </c>
      <c r="D1519" s="305"/>
      <c r="E1519" s="131" t="s">
        <v>228</v>
      </c>
      <c r="F1519" s="66">
        <v>3024</v>
      </c>
      <c r="G1519" s="66"/>
      <c r="H1519" s="66"/>
      <c r="I1519" s="66"/>
      <c r="J1519" s="66"/>
      <c r="K1519" s="78"/>
      <c r="L1519" s="66">
        <v>390</v>
      </c>
      <c r="M1519" s="66">
        <f>840+126+420+420+390</f>
        <v>2196</v>
      </c>
      <c r="N1519" s="110">
        <f t="shared" si="2277"/>
        <v>-828</v>
      </c>
      <c r="O1519" s="110"/>
      <c r="P1519" s="66"/>
      <c r="Q1519" s="66">
        <f>840+546+420</f>
        <v>1806</v>
      </c>
      <c r="R1519" s="66"/>
      <c r="S1519" s="66">
        <f>1800</f>
        <v>1800</v>
      </c>
      <c r="T1519" s="110">
        <f t="shared" ref="T1519" si="2278">S1519-Q1519</f>
        <v>-6</v>
      </c>
      <c r="U1519" s="59">
        <f t="shared" si="2269"/>
        <v>1800</v>
      </c>
      <c r="V1519" s="66"/>
      <c r="W1519" s="66"/>
      <c r="X1519" s="110">
        <f t="shared" ref="X1519" si="2279">W1519-M1519</f>
        <v>-2196</v>
      </c>
      <c r="Y1519" s="110"/>
      <c r="Z1519" s="110"/>
      <c r="AA1519" s="110"/>
      <c r="AB1519" s="46"/>
      <c r="AC1519" s="78"/>
      <c r="AD1519" s="78"/>
      <c r="AE1519" s="100">
        <f t="shared" si="2270"/>
        <v>-0.27380952380952384</v>
      </c>
      <c r="AF1519" s="90"/>
      <c r="AG1519" s="109">
        <f t="shared" si="2271"/>
        <v>-828</v>
      </c>
      <c r="AH1519" s="100">
        <f t="shared" si="2272"/>
        <v>-0.40476190476190477</v>
      </c>
      <c r="AI1519" s="100">
        <f t="shared" si="2273"/>
        <v>-1</v>
      </c>
    </row>
    <row r="1520" spans="1:35" s="79" customFormat="1" ht="15.75" customHeight="1" x14ac:dyDescent="0.3">
      <c r="A1520" s="90" t="s">
        <v>46</v>
      </c>
      <c r="B1520" s="136" t="s">
        <v>51</v>
      </c>
      <c r="C1520" s="137"/>
      <c r="D1520" s="136"/>
      <c r="E1520" s="138"/>
      <c r="F1520" s="91">
        <f>SUM(F1518:F1519)</f>
        <v>6048</v>
      </c>
      <c r="G1520" s="91"/>
      <c r="H1520" s="91"/>
      <c r="I1520" s="91"/>
      <c r="J1520" s="91" t="s">
        <v>58</v>
      </c>
      <c r="K1520" s="65" t="s">
        <v>436</v>
      </c>
      <c r="L1520" s="91">
        <f>SUM(L1518:L1519)</f>
        <v>390</v>
      </c>
      <c r="M1520" s="91">
        <f>SUM(M1518:M1519)</f>
        <v>2196</v>
      </c>
      <c r="N1520" s="91">
        <f>SUM(N1518:N1519)</f>
        <v>-3852</v>
      </c>
      <c r="O1520" s="91" t="s">
        <v>210</v>
      </c>
      <c r="P1520" s="91">
        <f>SUM(P1518:P1519)</f>
        <v>0</v>
      </c>
      <c r="Q1520" s="91">
        <f>SUM(Q1518:Q1519)</f>
        <v>1806</v>
      </c>
      <c r="R1520" s="91">
        <f>SUM(R1518:R1519)</f>
        <v>0</v>
      </c>
      <c r="S1520" s="91">
        <f>SUM(S1518:S1519)</f>
        <v>1800</v>
      </c>
      <c r="T1520" s="91">
        <f>SUM(T1518:T1519)</f>
        <v>-6</v>
      </c>
      <c r="U1520" s="59">
        <f t="shared" si="2269"/>
        <v>1800</v>
      </c>
      <c r="V1520" s="91">
        <f>SUM(V1518:V1519)</f>
        <v>0</v>
      </c>
      <c r="W1520" s="91">
        <f>SUM(W1518:W1519)</f>
        <v>0</v>
      </c>
      <c r="X1520" s="91">
        <f>SUM(X1518:X1519)</f>
        <v>-2196</v>
      </c>
      <c r="Y1520" s="136" t="s">
        <v>48</v>
      </c>
      <c r="Z1520" s="136" t="s">
        <v>45</v>
      </c>
      <c r="AA1520" s="136"/>
      <c r="AB1520" s="84"/>
      <c r="AC1520" s="90"/>
      <c r="AD1520" s="90"/>
      <c r="AE1520" s="100">
        <f t="shared" si="2270"/>
        <v>-0.63690476190476186</v>
      </c>
      <c r="AF1520" s="90"/>
      <c r="AG1520" s="109">
        <f t="shared" si="2271"/>
        <v>-3852</v>
      </c>
      <c r="AH1520" s="100">
        <f t="shared" si="2272"/>
        <v>-0.70238095238095233</v>
      </c>
      <c r="AI1520" s="100">
        <f t="shared" si="2273"/>
        <v>-1</v>
      </c>
    </row>
    <row r="1521" spans="1:35" s="47" customFormat="1" ht="21" customHeight="1" x14ac:dyDescent="0.3">
      <c r="A1521" s="78"/>
      <c r="B1521" s="106" t="s">
        <v>51</v>
      </c>
      <c r="C1521" s="117" t="s">
        <v>571</v>
      </c>
      <c r="D1521" s="304">
        <v>15312874</v>
      </c>
      <c r="E1521" s="131" t="s">
        <v>292</v>
      </c>
      <c r="F1521" s="66">
        <v>2016</v>
      </c>
      <c r="G1521" s="66"/>
      <c r="H1521" s="66"/>
      <c r="I1521" s="66"/>
      <c r="J1521" s="66"/>
      <c r="K1521" s="78"/>
      <c r="L1521" s="66"/>
      <c r="M1521" s="66"/>
      <c r="N1521" s="110">
        <f t="shared" ref="N1521:N1522" si="2280">M1521-F1521</f>
        <v>-2016</v>
      </c>
      <c r="O1521" s="110"/>
      <c r="P1521" s="66"/>
      <c r="Q1521" s="66"/>
      <c r="R1521" s="66"/>
      <c r="S1521" s="66"/>
      <c r="T1521" s="110">
        <f>S1521-Q1521</f>
        <v>0</v>
      </c>
      <c r="U1521" s="59">
        <f t="shared" ref="U1521:U1525" si="2281">IF(Q1521&gt;0,S1521-W1521,M1521-W1521)</f>
        <v>0</v>
      </c>
      <c r="V1521" s="66"/>
      <c r="W1521" s="66"/>
      <c r="X1521" s="110">
        <f>W1521-M1521</f>
        <v>0</v>
      </c>
      <c r="Y1521" s="110"/>
      <c r="Z1521" s="110"/>
      <c r="AA1521" s="110"/>
      <c r="AB1521" s="46"/>
      <c r="AC1521" s="78"/>
      <c r="AD1521" s="78"/>
      <c r="AE1521" s="100">
        <f t="shared" ref="AE1521:AE1523" si="2282">N1521/F1521</f>
        <v>-1</v>
      </c>
      <c r="AF1521" s="90"/>
      <c r="AG1521" s="109">
        <f t="shared" ref="AG1521:AG1523" si="2283">IF(N1521&lt;0,N1521,0)</f>
        <v>-2016</v>
      </c>
      <c r="AH1521" s="100">
        <f t="shared" ref="AH1521:AH1523" si="2284">(S1521-F1521)/F1521</f>
        <v>-1</v>
      </c>
      <c r="AI1521" s="100">
        <f t="shared" ref="AI1521:AI1523" si="2285">(W1521-F1521)/F1521</f>
        <v>-1</v>
      </c>
    </row>
    <row r="1522" spans="1:35" s="47" customFormat="1" ht="21" customHeight="1" x14ac:dyDescent="0.3">
      <c r="A1522" s="78"/>
      <c r="B1522" s="106" t="s">
        <v>51</v>
      </c>
      <c r="C1522" s="117" t="s">
        <v>571</v>
      </c>
      <c r="D1522" s="305"/>
      <c r="E1522" s="131" t="s">
        <v>228</v>
      </c>
      <c r="F1522" s="66">
        <v>2016</v>
      </c>
      <c r="G1522" s="66"/>
      <c r="H1522" s="66"/>
      <c r="I1522" s="66"/>
      <c r="J1522" s="66"/>
      <c r="K1522" s="78"/>
      <c r="L1522" s="66"/>
      <c r="M1522" s="66"/>
      <c r="N1522" s="110">
        <f t="shared" si="2280"/>
        <v>-2016</v>
      </c>
      <c r="O1522" s="110"/>
      <c r="P1522" s="66"/>
      <c r="Q1522" s="66"/>
      <c r="R1522" s="66"/>
      <c r="S1522" s="66"/>
      <c r="T1522" s="110">
        <f t="shared" ref="T1522" si="2286">S1522-Q1522</f>
        <v>0</v>
      </c>
      <c r="U1522" s="59">
        <f t="shared" si="2281"/>
        <v>0</v>
      </c>
      <c r="V1522" s="66"/>
      <c r="W1522" s="66"/>
      <c r="X1522" s="110">
        <f t="shared" ref="X1522" si="2287">W1522-M1522</f>
        <v>0</v>
      </c>
      <c r="Y1522" s="110"/>
      <c r="Z1522" s="110"/>
      <c r="AA1522" s="110"/>
      <c r="AB1522" s="46"/>
      <c r="AC1522" s="78"/>
      <c r="AD1522" s="78"/>
      <c r="AE1522" s="100">
        <f t="shared" si="2282"/>
        <v>-1</v>
      </c>
      <c r="AF1522" s="90"/>
      <c r="AG1522" s="109">
        <f t="shared" si="2283"/>
        <v>-2016</v>
      </c>
      <c r="AH1522" s="100">
        <f t="shared" si="2284"/>
        <v>-1</v>
      </c>
      <c r="AI1522" s="100">
        <f t="shared" si="2285"/>
        <v>-1</v>
      </c>
    </row>
    <row r="1523" spans="1:35" s="79" customFormat="1" ht="15.75" customHeight="1" x14ac:dyDescent="0.3">
      <c r="A1523" s="90" t="s">
        <v>46</v>
      </c>
      <c r="B1523" s="136" t="s">
        <v>51</v>
      </c>
      <c r="C1523" s="137"/>
      <c r="D1523" s="136"/>
      <c r="E1523" s="138"/>
      <c r="F1523" s="91">
        <f>SUM(F1521:F1522)</f>
        <v>4032</v>
      </c>
      <c r="G1523" s="91"/>
      <c r="H1523" s="91"/>
      <c r="I1523" s="91"/>
      <c r="J1523" s="91" t="s">
        <v>58</v>
      </c>
      <c r="K1523" s="65" t="s">
        <v>572</v>
      </c>
      <c r="L1523" s="91">
        <f>SUM(L1521:L1522)</f>
        <v>0</v>
      </c>
      <c r="M1523" s="91">
        <f>SUM(M1521:M1522)</f>
        <v>0</v>
      </c>
      <c r="N1523" s="91">
        <f>SUM(N1521:N1522)</f>
        <v>-4032</v>
      </c>
      <c r="O1523" s="91"/>
      <c r="P1523" s="91">
        <f>SUM(P1521:P1522)</f>
        <v>0</v>
      </c>
      <c r="Q1523" s="91">
        <f>SUM(Q1521:Q1522)</f>
        <v>0</v>
      </c>
      <c r="R1523" s="91">
        <f>SUM(R1521:R1522)</f>
        <v>0</v>
      </c>
      <c r="S1523" s="91">
        <f>SUM(S1521:S1522)</f>
        <v>0</v>
      </c>
      <c r="T1523" s="91">
        <f>SUM(T1521:T1522)</f>
        <v>0</v>
      </c>
      <c r="U1523" s="59">
        <f t="shared" si="2281"/>
        <v>0</v>
      </c>
      <c r="V1523" s="91">
        <f>SUM(V1521:V1522)</f>
        <v>0</v>
      </c>
      <c r="W1523" s="91">
        <f>SUM(W1521:W1522)</f>
        <v>0</v>
      </c>
      <c r="X1523" s="91">
        <f>SUM(X1521:X1522)</f>
        <v>0</v>
      </c>
      <c r="Y1523" s="136" t="s">
        <v>48</v>
      </c>
      <c r="Z1523" s="136" t="s">
        <v>45</v>
      </c>
      <c r="AA1523" s="136"/>
      <c r="AB1523" s="84"/>
      <c r="AC1523" s="90"/>
      <c r="AD1523" s="90"/>
      <c r="AE1523" s="100">
        <f t="shared" si="2282"/>
        <v>-1</v>
      </c>
      <c r="AF1523" s="90"/>
      <c r="AG1523" s="109">
        <f t="shared" si="2283"/>
        <v>-4032</v>
      </c>
      <c r="AH1523" s="100">
        <f t="shared" si="2284"/>
        <v>-1</v>
      </c>
      <c r="AI1523" s="100">
        <f t="shared" si="2285"/>
        <v>-1</v>
      </c>
    </row>
    <row r="1524" spans="1:35" s="47" customFormat="1" ht="21" customHeight="1" x14ac:dyDescent="0.3">
      <c r="A1524" s="78"/>
      <c r="B1524" s="106" t="s">
        <v>51</v>
      </c>
      <c r="C1524" s="117" t="s">
        <v>353</v>
      </c>
      <c r="D1524" s="168">
        <v>15244714</v>
      </c>
      <c r="E1524" s="131" t="s">
        <v>56</v>
      </c>
      <c r="F1524" s="66">
        <v>1512</v>
      </c>
      <c r="G1524" s="66"/>
      <c r="H1524" s="66"/>
      <c r="I1524" s="66"/>
      <c r="J1524" s="66"/>
      <c r="K1524" s="78"/>
      <c r="L1524" s="66"/>
      <c r="M1524" s="66"/>
      <c r="N1524" s="110">
        <f t="shared" ref="N1524" si="2288">M1524-F1524</f>
        <v>-1512</v>
      </c>
      <c r="O1524" s="110"/>
      <c r="P1524" s="66"/>
      <c r="Q1524" s="66"/>
      <c r="R1524" s="66"/>
      <c r="S1524" s="66"/>
      <c r="T1524" s="110">
        <f>S1524-Q1524</f>
        <v>0</v>
      </c>
      <c r="U1524" s="59">
        <f t="shared" si="2281"/>
        <v>0</v>
      </c>
      <c r="V1524" s="66"/>
      <c r="W1524" s="66"/>
      <c r="X1524" s="110">
        <f>W1524-M1524</f>
        <v>0</v>
      </c>
      <c r="Y1524" s="110"/>
      <c r="Z1524" s="110"/>
      <c r="AA1524" s="110"/>
      <c r="AB1524" s="46"/>
      <c r="AC1524" s="78"/>
      <c r="AD1524" s="78"/>
      <c r="AE1524" s="100">
        <f t="shared" ref="AE1524:AE1525" si="2289">N1524/F1524</f>
        <v>-1</v>
      </c>
      <c r="AF1524" s="90"/>
      <c r="AG1524" s="109">
        <f t="shared" ref="AG1524:AG1525" si="2290">IF(N1524&lt;0,N1524,0)</f>
        <v>-1512</v>
      </c>
      <c r="AH1524" s="100">
        <f t="shared" ref="AH1524:AH1525" si="2291">(S1524-F1524)/F1524</f>
        <v>-1</v>
      </c>
      <c r="AI1524" s="100">
        <f t="shared" ref="AI1524:AI1525" si="2292">(W1524-F1524)/F1524</f>
        <v>-1</v>
      </c>
    </row>
    <row r="1525" spans="1:35" s="79" customFormat="1" ht="15.75" customHeight="1" x14ac:dyDescent="0.3">
      <c r="A1525" s="90" t="s">
        <v>46</v>
      </c>
      <c r="B1525" s="136" t="s">
        <v>51</v>
      </c>
      <c r="C1525" s="137"/>
      <c r="D1525" s="136"/>
      <c r="E1525" s="138"/>
      <c r="F1525" s="91">
        <f>SUM(F1524:F1524)</f>
        <v>1512</v>
      </c>
      <c r="G1525" s="91"/>
      <c r="H1525" s="91"/>
      <c r="I1525" s="91"/>
      <c r="J1525" s="91" t="s">
        <v>58</v>
      </c>
      <c r="K1525" s="65" t="s">
        <v>226</v>
      </c>
      <c r="L1525" s="91">
        <f>SUM(L1524:L1524)</f>
        <v>0</v>
      </c>
      <c r="M1525" s="91">
        <f>SUM(M1524:M1524)</f>
        <v>0</v>
      </c>
      <c r="N1525" s="91">
        <f>SUM(N1524:N1524)</f>
        <v>-1512</v>
      </c>
      <c r="O1525" s="91"/>
      <c r="P1525" s="91">
        <f>SUM(P1524:P1524)</f>
        <v>0</v>
      </c>
      <c r="Q1525" s="91">
        <f>SUM(Q1524:Q1524)</f>
        <v>0</v>
      </c>
      <c r="R1525" s="91">
        <f>SUM(R1524:R1524)</f>
        <v>0</v>
      </c>
      <c r="S1525" s="91">
        <f>SUM(S1524:S1524)</f>
        <v>0</v>
      </c>
      <c r="T1525" s="91">
        <f>SUM(T1524:T1524)</f>
        <v>0</v>
      </c>
      <c r="U1525" s="59">
        <f t="shared" si="2281"/>
        <v>0</v>
      </c>
      <c r="V1525" s="91">
        <f>SUM(V1524:V1524)</f>
        <v>0</v>
      </c>
      <c r="W1525" s="91">
        <f>SUM(W1524:W1524)</f>
        <v>0</v>
      </c>
      <c r="X1525" s="91">
        <f>SUM(X1524:X1524)</f>
        <v>0</v>
      </c>
      <c r="Y1525" s="136"/>
      <c r="Z1525" s="136"/>
      <c r="AA1525" s="136"/>
      <c r="AB1525" s="84"/>
      <c r="AC1525" s="90"/>
      <c r="AD1525" s="90"/>
      <c r="AE1525" s="100">
        <f t="shared" si="2289"/>
        <v>-1</v>
      </c>
      <c r="AF1525" s="90"/>
      <c r="AG1525" s="109">
        <f t="shared" si="2290"/>
        <v>-1512</v>
      </c>
      <c r="AH1525" s="100">
        <f t="shared" si="2291"/>
        <v>-1</v>
      </c>
      <c r="AI1525" s="100">
        <f t="shared" si="2292"/>
        <v>-1</v>
      </c>
    </row>
    <row r="1526" spans="1:35" s="47" customFormat="1" ht="21" customHeight="1" x14ac:dyDescent="0.3">
      <c r="A1526" s="78"/>
      <c r="B1526" s="106" t="s">
        <v>51</v>
      </c>
      <c r="C1526" s="117" t="s">
        <v>354</v>
      </c>
      <c r="D1526" s="299">
        <v>15244714</v>
      </c>
      <c r="E1526" s="131" t="s">
        <v>228</v>
      </c>
      <c r="F1526" s="66">
        <v>7896</v>
      </c>
      <c r="G1526" s="66"/>
      <c r="H1526" s="66"/>
      <c r="I1526" s="66"/>
      <c r="J1526" s="66"/>
      <c r="K1526" s="78"/>
      <c r="L1526" s="66"/>
      <c r="M1526" s="66">
        <f>522+835+200+8+2070+522+2303+100+216+1270</f>
        <v>8046</v>
      </c>
      <c r="N1526" s="110">
        <f t="shared" ref="N1526:N1528" si="2293">M1526-F1526</f>
        <v>150</v>
      </c>
      <c r="O1526" s="110"/>
      <c r="P1526" s="66"/>
      <c r="Q1526" s="66">
        <f>1278+2079+1035+1035+2403+216</f>
        <v>8046</v>
      </c>
      <c r="R1526" s="66"/>
      <c r="S1526" s="66">
        <f>5422+2324+79+217</f>
        <v>8042</v>
      </c>
      <c r="T1526" s="110">
        <f>S1526-Q1526</f>
        <v>-4</v>
      </c>
      <c r="U1526" s="59">
        <f t="shared" ref="U1526:U1549" si="2294">IF(Q1526&gt;0,S1526-W1526,M1526-W1526)</f>
        <v>0</v>
      </c>
      <c r="V1526" s="66"/>
      <c r="W1526" s="66">
        <v>8042</v>
      </c>
      <c r="X1526" s="110">
        <f>W1526-M1526</f>
        <v>-4</v>
      </c>
      <c r="Y1526" s="110"/>
      <c r="Z1526" s="110"/>
      <c r="AA1526" s="110"/>
      <c r="AB1526" s="46"/>
      <c r="AC1526" s="78"/>
      <c r="AD1526" s="78"/>
      <c r="AE1526" s="100">
        <f t="shared" ref="AE1526:AE1540" si="2295">N1526/F1526</f>
        <v>1.8996960486322188E-2</v>
      </c>
      <c r="AF1526" s="90"/>
      <c r="AG1526" s="109">
        <f t="shared" ref="AG1526:AG1540" si="2296">IF(N1526&lt;0,N1526,0)</f>
        <v>0</v>
      </c>
      <c r="AH1526" s="100">
        <f t="shared" ref="AH1526:AH1540" si="2297">(S1526-F1526)/F1526</f>
        <v>1.8490374873353598E-2</v>
      </c>
      <c r="AI1526" s="100">
        <f t="shared" ref="AI1526:AI1540" si="2298">(W1526-F1526)/F1526</f>
        <v>1.8490374873353598E-2</v>
      </c>
    </row>
    <row r="1527" spans="1:35" s="47" customFormat="1" ht="21" customHeight="1" x14ac:dyDescent="0.3">
      <c r="A1527" s="78"/>
      <c r="B1527" s="106" t="s">
        <v>51</v>
      </c>
      <c r="C1527" s="117" t="s">
        <v>354</v>
      </c>
      <c r="D1527" s="300"/>
      <c r="E1527" s="131" t="s">
        <v>292</v>
      </c>
      <c r="F1527" s="66">
        <v>7896</v>
      </c>
      <c r="G1527" s="66"/>
      <c r="H1527" s="66"/>
      <c r="I1527" s="66"/>
      <c r="J1527" s="66"/>
      <c r="K1527" s="78"/>
      <c r="L1527" s="66"/>
      <c r="M1527" s="66">
        <f>1160+1152+1098+981+855+819+981+1017</f>
        <v>8063</v>
      </c>
      <c r="N1527" s="110">
        <f t="shared" ref="N1527" si="2299">M1527-F1527</f>
        <v>167</v>
      </c>
      <c r="O1527" s="110"/>
      <c r="P1527" s="66"/>
      <c r="Q1527" s="66">
        <f>1098+2304+981+855+1800+1017</f>
        <v>8055</v>
      </c>
      <c r="R1527" s="66"/>
      <c r="S1527" s="66">
        <f>4835+399+1796+1025</f>
        <v>8055</v>
      </c>
      <c r="T1527" s="110">
        <f t="shared" ref="T1527" si="2300">S1527-Q1527</f>
        <v>0</v>
      </c>
      <c r="U1527" s="59">
        <f t="shared" ref="U1527" si="2301">IF(Q1527&gt;0,S1527-W1527,M1527-W1527)</f>
        <v>0</v>
      </c>
      <c r="V1527" s="66"/>
      <c r="W1527" s="66">
        <v>8055</v>
      </c>
      <c r="X1527" s="110">
        <f t="shared" ref="X1527" si="2302">W1527-M1527</f>
        <v>-8</v>
      </c>
      <c r="Y1527" s="110"/>
      <c r="Z1527" s="110"/>
      <c r="AA1527" s="110"/>
      <c r="AB1527" s="46"/>
      <c r="AC1527" s="78"/>
      <c r="AD1527" s="78"/>
      <c r="AE1527" s="100">
        <f t="shared" ref="AE1527" si="2303">N1527/F1527</f>
        <v>2.1149949341438701E-2</v>
      </c>
      <c r="AF1527" s="90"/>
      <c r="AG1527" s="109">
        <f t="shared" ref="AG1527" si="2304">IF(N1527&lt;0,N1527,0)</f>
        <v>0</v>
      </c>
      <c r="AH1527" s="100">
        <f t="shared" ref="AH1527" si="2305">(S1527-F1527)/F1527</f>
        <v>2.0136778115501519E-2</v>
      </c>
      <c r="AI1527" s="100">
        <f t="shared" ref="AI1527" si="2306">(W1527-F1527)/F1527</f>
        <v>2.0136778115501519E-2</v>
      </c>
    </row>
    <row r="1528" spans="1:35" s="47" customFormat="1" ht="21" customHeight="1" x14ac:dyDescent="0.3">
      <c r="A1528" s="78"/>
      <c r="B1528" s="106" t="s">
        <v>51</v>
      </c>
      <c r="C1528" s="117" t="s">
        <v>354</v>
      </c>
      <c r="D1528" s="300"/>
      <c r="E1528" s="131" t="s">
        <v>234</v>
      </c>
      <c r="F1528" s="66">
        <v>4080</v>
      </c>
      <c r="G1528" s="66"/>
      <c r="H1528" s="66"/>
      <c r="I1528" s="66"/>
      <c r="J1528" s="66"/>
      <c r="K1528" s="78"/>
      <c r="L1528" s="66"/>
      <c r="M1528" s="66">
        <f>1035+1035+2070</f>
        <v>4140</v>
      </c>
      <c r="N1528" s="110">
        <f t="shared" si="2293"/>
        <v>60</v>
      </c>
      <c r="O1528" s="110"/>
      <c r="P1528" s="66"/>
      <c r="Q1528" s="66">
        <f>1035+1035+2070</f>
        <v>4140</v>
      </c>
      <c r="R1528" s="66"/>
      <c r="S1528" s="66">
        <v>4140</v>
      </c>
      <c r="T1528" s="110">
        <f t="shared" ref="T1528" si="2307">S1528-Q1528</f>
        <v>0</v>
      </c>
      <c r="U1528" s="59">
        <f t="shared" si="2294"/>
        <v>0</v>
      </c>
      <c r="V1528" s="66"/>
      <c r="W1528" s="66">
        <v>4140</v>
      </c>
      <c r="X1528" s="110">
        <f t="shared" ref="X1528" si="2308">W1528-M1528</f>
        <v>0</v>
      </c>
      <c r="Y1528" s="110"/>
      <c r="Z1528" s="110"/>
      <c r="AA1528" s="110"/>
      <c r="AB1528" s="46"/>
      <c r="AC1528" s="78"/>
      <c r="AD1528" s="78"/>
      <c r="AE1528" s="100">
        <f t="shared" si="2295"/>
        <v>1.4705882352941176E-2</v>
      </c>
      <c r="AF1528" s="90"/>
      <c r="AG1528" s="109">
        <f t="shared" si="2296"/>
        <v>0</v>
      </c>
      <c r="AH1528" s="100">
        <f t="shared" si="2297"/>
        <v>1.4705882352941176E-2</v>
      </c>
      <c r="AI1528" s="100">
        <f t="shared" si="2298"/>
        <v>1.4705882352941176E-2</v>
      </c>
    </row>
    <row r="1529" spans="1:35" s="79" customFormat="1" ht="15.75" customHeight="1" x14ac:dyDescent="0.3">
      <c r="A1529" s="90" t="s">
        <v>46</v>
      </c>
      <c r="B1529" s="136" t="s">
        <v>51</v>
      </c>
      <c r="C1529" s="137"/>
      <c r="D1529" s="136"/>
      <c r="E1529" s="138"/>
      <c r="F1529" s="91">
        <f>SUM(F1526:F1528)</f>
        <v>19872</v>
      </c>
      <c r="G1529" s="91"/>
      <c r="H1529" s="91"/>
      <c r="I1529" s="91"/>
      <c r="J1529" s="91" t="s">
        <v>58</v>
      </c>
      <c r="K1529" s="65" t="s">
        <v>290</v>
      </c>
      <c r="L1529" s="91">
        <f>SUM(L1526:L1528)</f>
        <v>0</v>
      </c>
      <c r="M1529" s="91">
        <f>SUM(M1526:M1528)</f>
        <v>20249</v>
      </c>
      <c r="N1529" s="91">
        <f>SUM(N1526:N1528)</f>
        <v>377</v>
      </c>
      <c r="O1529" s="91" t="s">
        <v>358</v>
      </c>
      <c r="P1529" s="91">
        <f>SUM(P1526:P1528)</f>
        <v>0</v>
      </c>
      <c r="Q1529" s="91">
        <f>SUM(Q1526:Q1528)</f>
        <v>20241</v>
      </c>
      <c r="R1529" s="91">
        <f>SUM(R1526:R1528)</f>
        <v>0</v>
      </c>
      <c r="S1529" s="91">
        <f>SUM(S1526:S1528)</f>
        <v>20237</v>
      </c>
      <c r="T1529" s="91">
        <f>SUM(T1526:T1528)</f>
        <v>-4</v>
      </c>
      <c r="U1529" s="59">
        <f t="shared" si="2294"/>
        <v>0</v>
      </c>
      <c r="V1529" s="91">
        <f>SUM(V1526:V1528)</f>
        <v>0</v>
      </c>
      <c r="W1529" s="91">
        <f>SUM(W1526:W1528)</f>
        <v>20237</v>
      </c>
      <c r="X1529" s="91">
        <f>SUM(X1526:X1528)</f>
        <v>-12</v>
      </c>
      <c r="Y1529" s="136" t="s">
        <v>47</v>
      </c>
      <c r="Z1529" s="136" t="s">
        <v>45</v>
      </c>
      <c r="AA1529" s="136"/>
      <c r="AB1529" s="84"/>
      <c r="AC1529" s="90"/>
      <c r="AD1529" s="90"/>
      <c r="AE1529" s="100">
        <f t="shared" si="2295"/>
        <v>1.8971417069243157E-2</v>
      </c>
      <c r="AF1529" s="90"/>
      <c r="AG1529" s="109">
        <f t="shared" si="2296"/>
        <v>0</v>
      </c>
      <c r="AH1529" s="100">
        <f t="shared" si="2297"/>
        <v>1.8367552334943638E-2</v>
      </c>
      <c r="AI1529" s="100">
        <f t="shared" si="2298"/>
        <v>1.8367552334943638E-2</v>
      </c>
    </row>
    <row r="1530" spans="1:35" s="47" customFormat="1" ht="21" customHeight="1" x14ac:dyDescent="0.3">
      <c r="A1530" s="78"/>
      <c r="B1530" s="106" t="s">
        <v>51</v>
      </c>
      <c r="C1530" s="117" t="s">
        <v>641</v>
      </c>
      <c r="D1530" s="299">
        <v>15244714</v>
      </c>
      <c r="E1530" s="131" t="s">
        <v>292</v>
      </c>
      <c r="F1530" s="66">
        <v>5616</v>
      </c>
      <c r="G1530" s="66"/>
      <c r="H1530" s="66"/>
      <c r="I1530" s="66"/>
      <c r="J1530" s="66"/>
      <c r="K1530" s="78"/>
      <c r="L1530" s="66"/>
      <c r="M1530" s="66">
        <f>972+2232+1164+1055+304</f>
        <v>5727</v>
      </c>
      <c r="N1530" s="110">
        <f t="shared" ref="N1530:N1531" si="2309">M1530-F1530</f>
        <v>111</v>
      </c>
      <c r="O1530" s="110"/>
      <c r="P1530" s="66"/>
      <c r="Q1530" s="66">
        <f>972+2219+2232+304</f>
        <v>5727</v>
      </c>
      <c r="R1530" s="66"/>
      <c r="S1530" s="66">
        <f>5423+304</f>
        <v>5727</v>
      </c>
      <c r="T1530" s="110">
        <f>S1530-Q1530</f>
        <v>0</v>
      </c>
      <c r="U1530" s="59">
        <f t="shared" ref="U1530:U1540" si="2310">IF(Q1530&gt;0,S1530-W1530,M1530-W1530)</f>
        <v>7</v>
      </c>
      <c r="V1530" s="66"/>
      <c r="W1530" s="66">
        <v>5720</v>
      </c>
      <c r="X1530" s="110">
        <f>W1530-M1530</f>
        <v>-7</v>
      </c>
      <c r="Y1530" s="110"/>
      <c r="Z1530" s="110"/>
      <c r="AA1530" s="110"/>
      <c r="AB1530" s="46"/>
      <c r="AC1530" s="78"/>
      <c r="AD1530" s="78"/>
      <c r="AE1530" s="100">
        <f t="shared" si="2295"/>
        <v>1.9764957264957264E-2</v>
      </c>
      <c r="AF1530" s="90"/>
      <c r="AG1530" s="109">
        <f t="shared" si="2296"/>
        <v>0</v>
      </c>
      <c r="AH1530" s="100">
        <f t="shared" si="2297"/>
        <v>1.9764957264957264E-2</v>
      </c>
      <c r="AI1530" s="100">
        <f t="shared" si="2298"/>
        <v>1.8518518518518517E-2</v>
      </c>
    </row>
    <row r="1531" spans="1:35" s="47" customFormat="1" ht="21" customHeight="1" x14ac:dyDescent="0.3">
      <c r="A1531" s="78"/>
      <c r="B1531" s="106" t="s">
        <v>51</v>
      </c>
      <c r="C1531" s="117" t="s">
        <v>641</v>
      </c>
      <c r="D1531" s="300"/>
      <c r="E1531" s="131" t="s">
        <v>228</v>
      </c>
      <c r="F1531" s="66">
        <v>5616</v>
      </c>
      <c r="G1531" s="66"/>
      <c r="H1531" s="66"/>
      <c r="I1531" s="66"/>
      <c r="J1531" s="66"/>
      <c r="K1531" s="78"/>
      <c r="L1531" s="66"/>
      <c r="M1531" s="66">
        <f>1080+1107+1080+1759+144+529</f>
        <v>5699</v>
      </c>
      <c r="N1531" s="110">
        <f t="shared" si="2309"/>
        <v>83</v>
      </c>
      <c r="O1531" s="110"/>
      <c r="P1531" s="66"/>
      <c r="Q1531" s="66">
        <f>3267+1759+144+529</f>
        <v>5699</v>
      </c>
      <c r="R1531" s="66"/>
      <c r="S1531" s="66">
        <f>3257+1759+146+530</f>
        <v>5692</v>
      </c>
      <c r="T1531" s="110">
        <f t="shared" ref="T1531" si="2311">S1531-Q1531</f>
        <v>-7</v>
      </c>
      <c r="U1531" s="59">
        <f t="shared" si="2310"/>
        <v>1</v>
      </c>
      <c r="V1531" s="66"/>
      <c r="W1531" s="66">
        <v>5691</v>
      </c>
      <c r="X1531" s="110">
        <f t="shared" ref="X1531" si="2312">W1531-M1531</f>
        <v>-8</v>
      </c>
      <c r="Y1531" s="110"/>
      <c r="Z1531" s="110"/>
      <c r="AA1531" s="110"/>
      <c r="AB1531" s="46"/>
      <c r="AC1531" s="78"/>
      <c r="AD1531" s="78"/>
      <c r="AE1531" s="100">
        <f t="shared" si="2295"/>
        <v>1.4779202279202279E-2</v>
      </c>
      <c r="AF1531" s="90"/>
      <c r="AG1531" s="109">
        <f t="shared" si="2296"/>
        <v>0</v>
      </c>
      <c r="AH1531" s="100">
        <f t="shared" si="2297"/>
        <v>1.3532763532763533E-2</v>
      </c>
      <c r="AI1531" s="100">
        <f t="shared" si="2298"/>
        <v>1.3354700854700854E-2</v>
      </c>
    </row>
    <row r="1532" spans="1:35" s="79" customFormat="1" ht="15.75" customHeight="1" x14ac:dyDescent="0.3">
      <c r="A1532" s="90" t="s">
        <v>46</v>
      </c>
      <c r="B1532" s="136" t="s">
        <v>51</v>
      </c>
      <c r="C1532" s="137"/>
      <c r="D1532" s="136"/>
      <c r="E1532" s="138"/>
      <c r="F1532" s="91">
        <f>SUM(F1530:F1531)</f>
        <v>11232</v>
      </c>
      <c r="G1532" s="91"/>
      <c r="H1532" s="91"/>
      <c r="I1532" s="91"/>
      <c r="J1532" s="91" t="s">
        <v>58</v>
      </c>
      <c r="K1532" s="65" t="s">
        <v>436</v>
      </c>
      <c r="L1532" s="91">
        <f>SUM(L1530:L1531)</f>
        <v>0</v>
      </c>
      <c r="M1532" s="91">
        <f>SUM(M1530:M1531)</f>
        <v>11426</v>
      </c>
      <c r="N1532" s="91">
        <f>SUM(N1530:N1531)</f>
        <v>194</v>
      </c>
      <c r="O1532" s="91" t="s">
        <v>709</v>
      </c>
      <c r="P1532" s="91">
        <f>SUM(P1530:P1531)</f>
        <v>0</v>
      </c>
      <c r="Q1532" s="91">
        <f>SUM(Q1530:Q1531)</f>
        <v>11426</v>
      </c>
      <c r="R1532" s="91">
        <f>SUM(R1530:R1531)</f>
        <v>0</v>
      </c>
      <c r="S1532" s="91">
        <f>SUM(S1530:S1531)</f>
        <v>11419</v>
      </c>
      <c r="T1532" s="91">
        <f>SUM(T1530:T1531)</f>
        <v>-7</v>
      </c>
      <c r="U1532" s="59">
        <f t="shared" si="2310"/>
        <v>8</v>
      </c>
      <c r="V1532" s="91">
        <f>SUM(V1530:V1531)</f>
        <v>0</v>
      </c>
      <c r="W1532" s="91">
        <f>SUM(W1530:W1531)</f>
        <v>11411</v>
      </c>
      <c r="X1532" s="91">
        <f>SUM(X1530:X1531)</f>
        <v>-15</v>
      </c>
      <c r="Y1532" s="136" t="s">
        <v>47</v>
      </c>
      <c r="Z1532" s="136" t="s">
        <v>45</v>
      </c>
      <c r="AA1532" s="136"/>
      <c r="AB1532" s="84"/>
      <c r="AC1532" s="90"/>
      <c r="AD1532" s="90"/>
      <c r="AE1532" s="100">
        <f t="shared" si="2295"/>
        <v>1.7272079772079771E-2</v>
      </c>
      <c r="AF1532" s="90"/>
      <c r="AG1532" s="109">
        <f t="shared" si="2296"/>
        <v>0</v>
      </c>
      <c r="AH1532" s="100">
        <f t="shared" si="2297"/>
        <v>1.6648860398860398E-2</v>
      </c>
      <c r="AI1532" s="100">
        <f t="shared" si="2298"/>
        <v>1.5936609686609687E-2</v>
      </c>
    </row>
    <row r="1533" spans="1:35" s="47" customFormat="1" ht="21" customHeight="1" x14ac:dyDescent="0.3">
      <c r="A1533" s="78"/>
      <c r="B1533" s="106" t="s">
        <v>51</v>
      </c>
      <c r="C1533" s="117" t="s">
        <v>932</v>
      </c>
      <c r="D1533" s="264">
        <v>15244714</v>
      </c>
      <c r="E1533" s="131" t="s">
        <v>0</v>
      </c>
      <c r="F1533" s="66">
        <v>3024</v>
      </c>
      <c r="G1533" s="66"/>
      <c r="H1533" s="66"/>
      <c r="I1533" s="66"/>
      <c r="J1533" s="66"/>
      <c r="K1533" s="78"/>
      <c r="L1533" s="66"/>
      <c r="M1533" s="66"/>
      <c r="N1533" s="110">
        <f t="shared" ref="N1533" si="2313">M1533-F1533</f>
        <v>-3024</v>
      </c>
      <c r="O1533" s="110"/>
      <c r="P1533" s="66"/>
      <c r="Q1533" s="66"/>
      <c r="R1533" s="66"/>
      <c r="S1533" s="66"/>
      <c r="T1533" s="110">
        <f>S1533-Q1533</f>
        <v>0</v>
      </c>
      <c r="U1533" s="59">
        <f t="shared" si="2310"/>
        <v>0</v>
      </c>
      <c r="V1533" s="66"/>
      <c r="W1533" s="66"/>
      <c r="X1533" s="110">
        <f>W1533-M1533</f>
        <v>0</v>
      </c>
      <c r="Y1533" s="110"/>
      <c r="Z1533" s="110"/>
      <c r="AA1533" s="110"/>
      <c r="AB1533" s="46"/>
      <c r="AC1533" s="78"/>
      <c r="AD1533" s="78"/>
      <c r="AE1533" s="100">
        <f t="shared" si="2295"/>
        <v>-1</v>
      </c>
      <c r="AF1533" s="90"/>
      <c r="AG1533" s="109">
        <f t="shared" si="2296"/>
        <v>-3024</v>
      </c>
      <c r="AH1533" s="100">
        <f t="shared" si="2297"/>
        <v>-1</v>
      </c>
      <c r="AI1533" s="100">
        <f t="shared" si="2298"/>
        <v>-1</v>
      </c>
    </row>
    <row r="1534" spans="1:35" s="79" customFormat="1" ht="15.75" customHeight="1" x14ac:dyDescent="0.3">
      <c r="A1534" s="90" t="s">
        <v>46</v>
      </c>
      <c r="B1534" s="136" t="s">
        <v>51</v>
      </c>
      <c r="C1534" s="137"/>
      <c r="D1534" s="136"/>
      <c r="E1534" s="138"/>
      <c r="F1534" s="91">
        <f>SUM(F1533:F1533)</f>
        <v>3024</v>
      </c>
      <c r="G1534" s="91"/>
      <c r="H1534" s="91"/>
      <c r="I1534" s="91"/>
      <c r="J1534" s="91" t="s">
        <v>58</v>
      </c>
      <c r="K1534" s="65" t="s">
        <v>617</v>
      </c>
      <c r="L1534" s="91">
        <f>SUM(L1533:L1533)</f>
        <v>0</v>
      </c>
      <c r="M1534" s="91">
        <f>SUM(M1533:M1533)</f>
        <v>0</v>
      </c>
      <c r="N1534" s="91">
        <f>SUM(N1533:N1533)</f>
        <v>-3024</v>
      </c>
      <c r="O1534" s="91"/>
      <c r="P1534" s="91">
        <f>SUM(P1533:P1533)</f>
        <v>0</v>
      </c>
      <c r="Q1534" s="91">
        <f>SUM(Q1533:Q1533)</f>
        <v>0</v>
      </c>
      <c r="R1534" s="91">
        <f>SUM(R1533:R1533)</f>
        <v>0</v>
      </c>
      <c r="S1534" s="91">
        <f>SUM(S1533:S1533)</f>
        <v>0</v>
      </c>
      <c r="T1534" s="91">
        <f>SUM(T1533:T1533)</f>
        <v>0</v>
      </c>
      <c r="U1534" s="59">
        <f t="shared" si="2310"/>
        <v>0</v>
      </c>
      <c r="V1534" s="91">
        <f>SUM(V1533:V1533)</f>
        <v>0</v>
      </c>
      <c r="W1534" s="91">
        <f>SUM(W1533:W1533)</f>
        <v>0</v>
      </c>
      <c r="X1534" s="91">
        <f>SUM(X1533:X1533)</f>
        <v>0</v>
      </c>
      <c r="Y1534" s="136" t="s">
        <v>47</v>
      </c>
      <c r="Z1534" s="136" t="s">
        <v>45</v>
      </c>
      <c r="AA1534" s="136"/>
      <c r="AB1534" s="84"/>
      <c r="AC1534" s="90"/>
      <c r="AD1534" s="90"/>
      <c r="AE1534" s="100">
        <f t="shared" si="2295"/>
        <v>-1</v>
      </c>
      <c r="AF1534" s="90"/>
      <c r="AG1534" s="109">
        <f t="shared" si="2296"/>
        <v>-3024</v>
      </c>
      <c r="AH1534" s="100">
        <f t="shared" si="2297"/>
        <v>-1</v>
      </c>
      <c r="AI1534" s="100">
        <f t="shared" si="2298"/>
        <v>-1</v>
      </c>
    </row>
    <row r="1535" spans="1:35" s="47" customFormat="1" ht="21" customHeight="1" x14ac:dyDescent="0.3">
      <c r="A1535" s="78"/>
      <c r="B1535" s="106" t="s">
        <v>51</v>
      </c>
      <c r="C1535" s="117" t="s">
        <v>931</v>
      </c>
      <c r="D1535" s="299">
        <v>15244714</v>
      </c>
      <c r="E1535" s="131" t="s">
        <v>235</v>
      </c>
      <c r="F1535" s="66">
        <v>2820</v>
      </c>
      <c r="G1535" s="66"/>
      <c r="H1535" s="66"/>
      <c r="I1535" s="66"/>
      <c r="J1535" s="66"/>
      <c r="K1535" s="78"/>
      <c r="L1535" s="66"/>
      <c r="M1535" s="66"/>
      <c r="N1535" s="110">
        <f t="shared" ref="N1535:N1536" si="2314">M1535-F1535</f>
        <v>-2820</v>
      </c>
      <c r="O1535" s="110"/>
      <c r="P1535" s="66"/>
      <c r="Q1535" s="66"/>
      <c r="R1535" s="66"/>
      <c r="S1535" s="66"/>
      <c r="T1535" s="110">
        <f>S1535-Q1535</f>
        <v>0</v>
      </c>
      <c r="U1535" s="59">
        <f t="shared" ref="U1535:U1537" si="2315">IF(Q1535&gt;0,S1535-W1535,M1535-W1535)</f>
        <v>0</v>
      </c>
      <c r="V1535" s="66"/>
      <c r="W1535" s="66"/>
      <c r="X1535" s="110">
        <f>W1535-M1535</f>
        <v>0</v>
      </c>
      <c r="Y1535" s="110"/>
      <c r="Z1535" s="110"/>
      <c r="AA1535" s="110"/>
      <c r="AB1535" s="46"/>
      <c r="AC1535" s="78"/>
      <c r="AD1535" s="78"/>
      <c r="AE1535" s="100">
        <f t="shared" ref="AE1535:AE1537" si="2316">N1535/F1535</f>
        <v>-1</v>
      </c>
      <c r="AF1535" s="90"/>
      <c r="AG1535" s="109">
        <f t="shared" ref="AG1535:AG1537" si="2317">IF(N1535&lt;0,N1535,0)</f>
        <v>-2820</v>
      </c>
      <c r="AH1535" s="100">
        <f t="shared" ref="AH1535:AH1537" si="2318">(S1535-F1535)/F1535</f>
        <v>-1</v>
      </c>
      <c r="AI1535" s="100">
        <f t="shared" ref="AI1535:AI1537" si="2319">(W1535-F1535)/F1535</f>
        <v>-1</v>
      </c>
    </row>
    <row r="1536" spans="1:35" s="47" customFormat="1" ht="21" customHeight="1" x14ac:dyDescent="0.3">
      <c r="A1536" s="78"/>
      <c r="B1536" s="106" t="s">
        <v>51</v>
      </c>
      <c r="C1536" s="117" t="s">
        <v>931</v>
      </c>
      <c r="D1536" s="300"/>
      <c r="E1536" s="131" t="s">
        <v>878</v>
      </c>
      <c r="F1536" s="66">
        <v>2820</v>
      </c>
      <c r="G1536" s="66"/>
      <c r="H1536" s="66"/>
      <c r="I1536" s="66"/>
      <c r="J1536" s="66"/>
      <c r="K1536" s="78"/>
      <c r="L1536" s="66"/>
      <c r="M1536" s="66"/>
      <c r="N1536" s="110">
        <f t="shared" si="2314"/>
        <v>-2820</v>
      </c>
      <c r="O1536" s="110"/>
      <c r="P1536" s="66"/>
      <c r="Q1536" s="66"/>
      <c r="R1536" s="66"/>
      <c r="S1536" s="66"/>
      <c r="T1536" s="110">
        <f t="shared" ref="T1536" si="2320">S1536-Q1536</f>
        <v>0</v>
      </c>
      <c r="U1536" s="59">
        <f t="shared" si="2315"/>
        <v>0</v>
      </c>
      <c r="V1536" s="66"/>
      <c r="W1536" s="66"/>
      <c r="X1536" s="110">
        <f t="shared" ref="X1536" si="2321">W1536-M1536</f>
        <v>0</v>
      </c>
      <c r="Y1536" s="110"/>
      <c r="Z1536" s="110"/>
      <c r="AA1536" s="110"/>
      <c r="AB1536" s="46"/>
      <c r="AC1536" s="78"/>
      <c r="AD1536" s="78"/>
      <c r="AE1536" s="100">
        <f t="shared" si="2316"/>
        <v>-1</v>
      </c>
      <c r="AF1536" s="90"/>
      <c r="AG1536" s="109">
        <f t="shared" si="2317"/>
        <v>-2820</v>
      </c>
      <c r="AH1536" s="100">
        <f t="shared" si="2318"/>
        <v>-1</v>
      </c>
      <c r="AI1536" s="100">
        <f t="shared" si="2319"/>
        <v>-1</v>
      </c>
    </row>
    <row r="1537" spans="1:35" s="79" customFormat="1" ht="15.75" customHeight="1" x14ac:dyDescent="0.3">
      <c r="A1537" s="90" t="s">
        <v>46</v>
      </c>
      <c r="B1537" s="136" t="s">
        <v>51</v>
      </c>
      <c r="C1537" s="137"/>
      <c r="D1537" s="136"/>
      <c r="E1537" s="138"/>
      <c r="F1537" s="91">
        <f>SUM(F1535:F1536)</f>
        <v>5640</v>
      </c>
      <c r="G1537" s="91"/>
      <c r="H1537" s="91"/>
      <c r="I1537" s="91"/>
      <c r="J1537" s="91" t="s">
        <v>58</v>
      </c>
      <c r="K1537" s="65" t="s">
        <v>879</v>
      </c>
      <c r="L1537" s="91">
        <f>SUM(L1535:L1536)</f>
        <v>0</v>
      </c>
      <c r="M1537" s="91">
        <f>SUM(M1535:M1536)</f>
        <v>0</v>
      </c>
      <c r="N1537" s="91">
        <f>SUM(N1535:N1536)</f>
        <v>-5640</v>
      </c>
      <c r="O1537" s="91"/>
      <c r="P1537" s="91">
        <f>SUM(P1535:P1536)</f>
        <v>0</v>
      </c>
      <c r="Q1537" s="91">
        <f>SUM(Q1535:Q1536)</f>
        <v>0</v>
      </c>
      <c r="R1537" s="91">
        <f>SUM(R1535:R1536)</f>
        <v>0</v>
      </c>
      <c r="S1537" s="91">
        <f>SUM(S1535:S1536)</f>
        <v>0</v>
      </c>
      <c r="T1537" s="91">
        <f>SUM(T1535:T1536)</f>
        <v>0</v>
      </c>
      <c r="U1537" s="59">
        <f t="shared" si="2315"/>
        <v>0</v>
      </c>
      <c r="V1537" s="91">
        <f>SUM(V1535:V1536)</f>
        <v>0</v>
      </c>
      <c r="W1537" s="91">
        <f>SUM(W1535:W1536)</f>
        <v>0</v>
      </c>
      <c r="X1537" s="91">
        <f>SUM(X1535:X1536)</f>
        <v>0</v>
      </c>
      <c r="Y1537" s="136" t="s">
        <v>47</v>
      </c>
      <c r="Z1537" s="136" t="s">
        <v>45</v>
      </c>
      <c r="AA1537" s="136"/>
      <c r="AB1537" s="84"/>
      <c r="AC1537" s="90"/>
      <c r="AD1537" s="90"/>
      <c r="AE1537" s="100">
        <f t="shared" si="2316"/>
        <v>-1</v>
      </c>
      <c r="AF1537" s="90"/>
      <c r="AG1537" s="109">
        <f t="shared" si="2317"/>
        <v>-5640</v>
      </c>
      <c r="AH1537" s="100">
        <f t="shared" si="2318"/>
        <v>-1</v>
      </c>
      <c r="AI1537" s="100">
        <f t="shared" si="2319"/>
        <v>-1</v>
      </c>
    </row>
    <row r="1538" spans="1:35" s="47" customFormat="1" ht="21" customHeight="1" x14ac:dyDescent="0.3">
      <c r="A1538" s="78"/>
      <c r="B1538" s="106" t="s">
        <v>51</v>
      </c>
      <c r="C1538" s="117" t="s">
        <v>930</v>
      </c>
      <c r="D1538" s="299">
        <v>15244714</v>
      </c>
      <c r="E1538" s="131" t="s">
        <v>235</v>
      </c>
      <c r="F1538" s="66">
        <v>3564</v>
      </c>
      <c r="G1538" s="66"/>
      <c r="H1538" s="66"/>
      <c r="I1538" s="66"/>
      <c r="J1538" s="66"/>
      <c r="K1538" s="78"/>
      <c r="L1538" s="66"/>
      <c r="M1538" s="66"/>
      <c r="N1538" s="110">
        <f t="shared" ref="N1538:N1539" si="2322">M1538-F1538</f>
        <v>-3564</v>
      </c>
      <c r="O1538" s="110"/>
      <c r="P1538" s="66"/>
      <c r="Q1538" s="66"/>
      <c r="R1538" s="66"/>
      <c r="S1538" s="66"/>
      <c r="T1538" s="110">
        <f>S1538-Q1538</f>
        <v>0</v>
      </c>
      <c r="U1538" s="59">
        <f t="shared" si="2310"/>
        <v>0</v>
      </c>
      <c r="V1538" s="66"/>
      <c r="W1538" s="66"/>
      <c r="X1538" s="110">
        <f>W1538-M1538</f>
        <v>0</v>
      </c>
      <c r="Y1538" s="110"/>
      <c r="Z1538" s="110"/>
      <c r="AA1538" s="110"/>
      <c r="AB1538" s="46"/>
      <c r="AC1538" s="78"/>
      <c r="AD1538" s="78"/>
      <c r="AE1538" s="100">
        <f t="shared" si="2295"/>
        <v>-1</v>
      </c>
      <c r="AF1538" s="90"/>
      <c r="AG1538" s="109">
        <f t="shared" si="2296"/>
        <v>-3564</v>
      </c>
      <c r="AH1538" s="100">
        <f t="shared" si="2297"/>
        <v>-1</v>
      </c>
      <c r="AI1538" s="100">
        <f t="shared" si="2298"/>
        <v>-1</v>
      </c>
    </row>
    <row r="1539" spans="1:35" s="47" customFormat="1" ht="21" customHeight="1" x14ac:dyDescent="0.3">
      <c r="A1539" s="78"/>
      <c r="B1539" s="106" t="s">
        <v>51</v>
      </c>
      <c r="C1539" s="117" t="s">
        <v>930</v>
      </c>
      <c r="D1539" s="300"/>
      <c r="E1539" s="131" t="s">
        <v>878</v>
      </c>
      <c r="F1539" s="66">
        <v>3564</v>
      </c>
      <c r="G1539" s="66"/>
      <c r="H1539" s="66"/>
      <c r="I1539" s="66"/>
      <c r="J1539" s="66"/>
      <c r="K1539" s="78"/>
      <c r="L1539" s="66"/>
      <c r="M1539" s="66"/>
      <c r="N1539" s="110">
        <f t="shared" si="2322"/>
        <v>-3564</v>
      </c>
      <c r="O1539" s="110"/>
      <c r="P1539" s="66"/>
      <c r="Q1539" s="66"/>
      <c r="R1539" s="66"/>
      <c r="S1539" s="66"/>
      <c r="T1539" s="110">
        <f t="shared" ref="T1539" si="2323">S1539-Q1539</f>
        <v>0</v>
      </c>
      <c r="U1539" s="59">
        <f t="shared" si="2310"/>
        <v>0</v>
      </c>
      <c r="V1539" s="66"/>
      <c r="W1539" s="66"/>
      <c r="X1539" s="110">
        <f t="shared" ref="X1539" si="2324">W1539-M1539</f>
        <v>0</v>
      </c>
      <c r="Y1539" s="110"/>
      <c r="Z1539" s="110"/>
      <c r="AA1539" s="110"/>
      <c r="AB1539" s="46"/>
      <c r="AC1539" s="78"/>
      <c r="AD1539" s="78"/>
      <c r="AE1539" s="100">
        <f t="shared" si="2295"/>
        <v>-1</v>
      </c>
      <c r="AF1539" s="90"/>
      <c r="AG1539" s="109">
        <f t="shared" si="2296"/>
        <v>-3564</v>
      </c>
      <c r="AH1539" s="100">
        <f t="shared" si="2297"/>
        <v>-1</v>
      </c>
      <c r="AI1539" s="100">
        <f t="shared" si="2298"/>
        <v>-1</v>
      </c>
    </row>
    <row r="1540" spans="1:35" s="79" customFormat="1" ht="15.75" customHeight="1" x14ac:dyDescent="0.3">
      <c r="A1540" s="90" t="s">
        <v>46</v>
      </c>
      <c r="B1540" s="136" t="s">
        <v>51</v>
      </c>
      <c r="C1540" s="137"/>
      <c r="D1540" s="136"/>
      <c r="E1540" s="138"/>
      <c r="F1540" s="91">
        <f>SUM(F1538:F1539)</f>
        <v>7128</v>
      </c>
      <c r="G1540" s="91"/>
      <c r="H1540" s="91"/>
      <c r="I1540" s="91"/>
      <c r="J1540" s="91" t="s">
        <v>58</v>
      </c>
      <c r="K1540" s="65" t="s">
        <v>545</v>
      </c>
      <c r="L1540" s="91">
        <f>SUM(L1538:L1539)</f>
        <v>0</v>
      </c>
      <c r="M1540" s="91">
        <f>SUM(M1538:M1539)</f>
        <v>0</v>
      </c>
      <c r="N1540" s="91">
        <f>SUM(N1538:N1539)</f>
        <v>-7128</v>
      </c>
      <c r="O1540" s="91"/>
      <c r="P1540" s="91">
        <f>SUM(P1538:P1539)</f>
        <v>0</v>
      </c>
      <c r="Q1540" s="91">
        <f>SUM(Q1538:Q1539)</f>
        <v>0</v>
      </c>
      <c r="R1540" s="91">
        <f>SUM(R1538:R1539)</f>
        <v>0</v>
      </c>
      <c r="S1540" s="91">
        <f>SUM(S1538:S1539)</f>
        <v>0</v>
      </c>
      <c r="T1540" s="91">
        <f>SUM(T1538:T1539)</f>
        <v>0</v>
      </c>
      <c r="U1540" s="59">
        <f t="shared" si="2310"/>
        <v>0</v>
      </c>
      <c r="V1540" s="91">
        <f>SUM(V1538:V1539)</f>
        <v>0</v>
      </c>
      <c r="W1540" s="91">
        <f>SUM(W1538:W1539)</f>
        <v>0</v>
      </c>
      <c r="X1540" s="91">
        <f>SUM(X1538:X1539)</f>
        <v>0</v>
      </c>
      <c r="Y1540" s="136" t="s">
        <v>47</v>
      </c>
      <c r="Z1540" s="136" t="s">
        <v>45</v>
      </c>
      <c r="AA1540" s="136"/>
      <c r="AB1540" s="84"/>
      <c r="AC1540" s="90"/>
      <c r="AD1540" s="90"/>
      <c r="AE1540" s="100">
        <f t="shared" si="2295"/>
        <v>-1</v>
      </c>
      <c r="AF1540" s="90"/>
      <c r="AG1540" s="109">
        <f t="shared" si="2296"/>
        <v>-7128</v>
      </c>
      <c r="AH1540" s="100">
        <f t="shared" si="2297"/>
        <v>-1</v>
      </c>
      <c r="AI1540" s="100">
        <f t="shared" si="2298"/>
        <v>-1</v>
      </c>
    </row>
    <row r="1541" spans="1:35" s="47" customFormat="1" ht="21" customHeight="1" x14ac:dyDescent="0.3">
      <c r="A1541" s="78"/>
      <c r="B1541" s="106" t="s">
        <v>51</v>
      </c>
      <c r="C1541" s="117" t="s">
        <v>1013</v>
      </c>
      <c r="D1541" s="299">
        <v>15384474</v>
      </c>
      <c r="E1541" s="131" t="s">
        <v>49</v>
      </c>
      <c r="F1541" s="66">
        <v>420</v>
      </c>
      <c r="G1541" s="66"/>
      <c r="H1541" s="66"/>
      <c r="I1541" s="66"/>
      <c r="J1541" s="66"/>
      <c r="K1541" s="78"/>
      <c r="L1541" s="66"/>
      <c r="M1541" s="66"/>
      <c r="N1541" s="110">
        <f t="shared" ref="N1541:N1542" si="2325">M1541-F1541</f>
        <v>-420</v>
      </c>
      <c r="O1541" s="110"/>
      <c r="P1541" s="66"/>
      <c r="Q1541" s="66"/>
      <c r="R1541" s="66"/>
      <c r="S1541" s="66"/>
      <c r="T1541" s="110">
        <f>S1541-Q1541</f>
        <v>0</v>
      </c>
      <c r="U1541" s="59">
        <f t="shared" si="2294"/>
        <v>0</v>
      </c>
      <c r="V1541" s="66"/>
      <c r="W1541" s="66"/>
      <c r="X1541" s="110">
        <f>W1541-M1541</f>
        <v>0</v>
      </c>
      <c r="Y1541" s="110"/>
      <c r="Z1541" s="110"/>
      <c r="AA1541" s="110"/>
      <c r="AB1541" s="46"/>
      <c r="AC1541" s="78"/>
      <c r="AD1541" s="78"/>
      <c r="AE1541" s="100">
        <f t="shared" ref="AE1541:AE1546" si="2326">N1541/F1541</f>
        <v>-1</v>
      </c>
      <c r="AF1541" s="90"/>
      <c r="AG1541" s="109">
        <f t="shared" ref="AG1541:AG1546" si="2327">IF(N1541&lt;0,N1541,0)</f>
        <v>-420</v>
      </c>
      <c r="AH1541" s="100">
        <f t="shared" ref="AH1541:AH1546" si="2328">(S1541-F1541)/F1541</f>
        <v>-1</v>
      </c>
      <c r="AI1541" s="100">
        <f t="shared" ref="AI1541:AI1546" si="2329">(W1541-F1541)/F1541</f>
        <v>-1</v>
      </c>
    </row>
    <row r="1542" spans="1:35" s="47" customFormat="1" ht="21" customHeight="1" x14ac:dyDescent="0.3">
      <c r="A1542" s="78"/>
      <c r="B1542" s="106" t="s">
        <v>51</v>
      </c>
      <c r="C1542" s="117" t="s">
        <v>1013</v>
      </c>
      <c r="D1542" s="300"/>
      <c r="E1542" s="131" t="s">
        <v>0</v>
      </c>
      <c r="F1542" s="66">
        <v>420</v>
      </c>
      <c r="G1542" s="66"/>
      <c r="H1542" s="66"/>
      <c r="I1542" s="66"/>
      <c r="J1542" s="66"/>
      <c r="K1542" s="78"/>
      <c r="L1542" s="66"/>
      <c r="M1542" s="66"/>
      <c r="N1542" s="110">
        <f t="shared" si="2325"/>
        <v>-420</v>
      </c>
      <c r="O1542" s="110"/>
      <c r="P1542" s="66"/>
      <c r="Q1542" s="66"/>
      <c r="R1542" s="66"/>
      <c r="S1542" s="66"/>
      <c r="T1542" s="110">
        <f t="shared" ref="T1542" si="2330">S1542-Q1542</f>
        <v>0</v>
      </c>
      <c r="U1542" s="59">
        <f t="shared" si="2294"/>
        <v>0</v>
      </c>
      <c r="V1542" s="66"/>
      <c r="W1542" s="66"/>
      <c r="X1542" s="110">
        <f t="shared" ref="X1542" si="2331">W1542-M1542</f>
        <v>0</v>
      </c>
      <c r="Y1542" s="110"/>
      <c r="Z1542" s="110"/>
      <c r="AA1542" s="110"/>
      <c r="AB1542" s="46"/>
      <c r="AC1542" s="78"/>
      <c r="AD1542" s="78"/>
      <c r="AE1542" s="100">
        <f t="shared" si="2326"/>
        <v>-1</v>
      </c>
      <c r="AF1542" s="90"/>
      <c r="AG1542" s="109">
        <f t="shared" si="2327"/>
        <v>-420</v>
      </c>
      <c r="AH1542" s="100">
        <f t="shared" si="2328"/>
        <v>-1</v>
      </c>
      <c r="AI1542" s="100">
        <f t="shared" si="2329"/>
        <v>-1</v>
      </c>
    </row>
    <row r="1543" spans="1:35" s="79" customFormat="1" ht="15.75" customHeight="1" x14ac:dyDescent="0.3">
      <c r="A1543" s="90" t="s">
        <v>46</v>
      </c>
      <c r="B1543" s="136" t="s">
        <v>51</v>
      </c>
      <c r="C1543" s="137"/>
      <c r="D1543" s="136"/>
      <c r="E1543" s="138"/>
      <c r="F1543" s="91">
        <f>SUM(F1541:F1542)</f>
        <v>840</v>
      </c>
      <c r="G1543" s="91"/>
      <c r="H1543" s="91"/>
      <c r="I1543" s="91"/>
      <c r="J1543" s="91" t="s">
        <v>59</v>
      </c>
      <c r="K1543" s="65" t="s">
        <v>436</v>
      </c>
      <c r="L1543" s="91">
        <f>SUM(L1541:L1542)</f>
        <v>0</v>
      </c>
      <c r="M1543" s="91">
        <f>SUM(M1541:M1542)</f>
        <v>0</v>
      </c>
      <c r="N1543" s="91">
        <f>SUM(N1541:N1542)</f>
        <v>-840</v>
      </c>
      <c r="O1543" s="91"/>
      <c r="P1543" s="91">
        <f>SUM(P1541:P1542)</f>
        <v>0</v>
      </c>
      <c r="Q1543" s="91">
        <f>SUM(Q1541:Q1542)</f>
        <v>0</v>
      </c>
      <c r="R1543" s="91">
        <f>SUM(R1541:R1542)</f>
        <v>0</v>
      </c>
      <c r="S1543" s="91">
        <f>SUM(S1541:S1542)</f>
        <v>0</v>
      </c>
      <c r="T1543" s="91">
        <f>SUM(T1541:T1542)</f>
        <v>0</v>
      </c>
      <c r="U1543" s="59">
        <f t="shared" si="2294"/>
        <v>0</v>
      </c>
      <c r="V1543" s="91">
        <f>SUM(V1541:V1542)</f>
        <v>0</v>
      </c>
      <c r="W1543" s="91">
        <f>SUM(W1541:W1542)</f>
        <v>0</v>
      </c>
      <c r="X1543" s="91">
        <f>SUM(X1541:X1542)</f>
        <v>0</v>
      </c>
      <c r="Y1543" s="136"/>
      <c r="Z1543" s="136"/>
      <c r="AA1543" s="136"/>
      <c r="AB1543" s="84"/>
      <c r="AC1543" s="90"/>
      <c r="AD1543" s="90"/>
      <c r="AE1543" s="100">
        <f t="shared" si="2326"/>
        <v>-1</v>
      </c>
      <c r="AF1543" s="90"/>
      <c r="AG1543" s="109">
        <f t="shared" si="2327"/>
        <v>-840</v>
      </c>
      <c r="AH1543" s="100">
        <f t="shared" si="2328"/>
        <v>-1</v>
      </c>
      <c r="AI1543" s="100">
        <f t="shared" si="2329"/>
        <v>-1</v>
      </c>
    </row>
    <row r="1544" spans="1:35" s="47" customFormat="1" ht="21" customHeight="1" x14ac:dyDescent="0.3">
      <c r="A1544" s="78"/>
      <c r="B1544" s="106" t="s">
        <v>51</v>
      </c>
      <c r="C1544" s="117">
        <v>47889</v>
      </c>
      <c r="D1544" s="299" t="s">
        <v>573</v>
      </c>
      <c r="E1544" s="131" t="s">
        <v>181</v>
      </c>
      <c r="F1544" s="66">
        <v>2366</v>
      </c>
      <c r="G1544" s="66"/>
      <c r="H1544" s="66"/>
      <c r="I1544" s="66"/>
      <c r="J1544" s="66"/>
      <c r="K1544" s="78"/>
      <c r="L1544" s="66"/>
      <c r="M1544" s="66">
        <f>630+500+610+430+140+115</f>
        <v>2425</v>
      </c>
      <c r="N1544" s="110">
        <f t="shared" ref="N1544:N1545" si="2332">M1544-F1544</f>
        <v>59</v>
      </c>
      <c r="O1544" s="110"/>
      <c r="P1544" s="66"/>
      <c r="Q1544" s="66">
        <f>310+320+610+401+524+133+115</f>
        <v>2413</v>
      </c>
      <c r="R1544" s="66"/>
      <c r="S1544" s="66">
        <f>1240+922+246</f>
        <v>2408</v>
      </c>
      <c r="T1544" s="110">
        <f>S1544-Q1544</f>
        <v>-5</v>
      </c>
      <c r="U1544" s="59">
        <f t="shared" ref="U1544:U1546" si="2333">IF(Q1544&gt;0,S1544-W1544,M1544-W1544)</f>
        <v>5</v>
      </c>
      <c r="V1544" s="66"/>
      <c r="W1544" s="66">
        <f>2156+247</f>
        <v>2403</v>
      </c>
      <c r="X1544" s="110">
        <f>W1544-M1544</f>
        <v>-22</v>
      </c>
      <c r="Y1544" s="110"/>
      <c r="Z1544" s="110"/>
      <c r="AA1544" s="110"/>
      <c r="AB1544" s="46"/>
      <c r="AC1544" s="78"/>
      <c r="AD1544" s="78"/>
      <c r="AE1544" s="100">
        <f t="shared" si="2326"/>
        <v>2.4936601859678782E-2</v>
      </c>
      <c r="AF1544" s="90"/>
      <c r="AG1544" s="109">
        <f t="shared" si="2327"/>
        <v>0</v>
      </c>
      <c r="AH1544" s="100">
        <f t="shared" si="2328"/>
        <v>1.7751479289940829E-2</v>
      </c>
      <c r="AI1544" s="100">
        <f t="shared" si="2329"/>
        <v>1.5638207945900255E-2</v>
      </c>
    </row>
    <row r="1545" spans="1:35" s="47" customFormat="1" ht="21" customHeight="1" x14ac:dyDescent="0.3">
      <c r="A1545" s="78"/>
      <c r="B1545" s="106" t="s">
        <v>51</v>
      </c>
      <c r="C1545" s="117">
        <v>47889</v>
      </c>
      <c r="D1545" s="300"/>
      <c r="E1545" s="131" t="s">
        <v>379</v>
      </c>
      <c r="F1545" s="66">
        <f>2074+495</f>
        <v>2569</v>
      </c>
      <c r="G1545" s="66"/>
      <c r="H1545" s="66"/>
      <c r="I1545" s="66"/>
      <c r="J1545" s="66"/>
      <c r="K1545" s="78"/>
      <c r="L1545" s="66"/>
      <c r="M1545" s="66">
        <f>620+630+300+581+506</f>
        <v>2637</v>
      </c>
      <c r="N1545" s="110">
        <f t="shared" si="2332"/>
        <v>68</v>
      </c>
      <c r="O1545" s="110"/>
      <c r="P1545" s="66"/>
      <c r="Q1545" s="66">
        <f>310+207+351+522+506+741</f>
        <v>2637</v>
      </c>
      <c r="R1545" s="66"/>
      <c r="S1545" s="66">
        <f>517+2120</f>
        <v>2637</v>
      </c>
      <c r="T1545" s="110">
        <f t="shared" ref="T1545" si="2334">S1545-Q1545</f>
        <v>0</v>
      </c>
      <c r="U1545" s="59">
        <f t="shared" si="2333"/>
        <v>517</v>
      </c>
      <c r="V1545" s="66"/>
      <c r="W1545" s="66">
        <v>2120</v>
      </c>
      <c r="X1545" s="110">
        <f t="shared" ref="X1545" si="2335">W1545-M1545</f>
        <v>-517</v>
      </c>
      <c r="Y1545" s="110"/>
      <c r="Z1545" s="110"/>
      <c r="AA1545" s="110"/>
      <c r="AB1545" s="46"/>
      <c r="AC1545" s="78"/>
      <c r="AD1545" s="78"/>
      <c r="AE1545" s="100">
        <f t="shared" si="2326"/>
        <v>2.6469443363176332E-2</v>
      </c>
      <c r="AF1545" s="90"/>
      <c r="AG1545" s="109">
        <f t="shared" si="2327"/>
        <v>0</v>
      </c>
      <c r="AH1545" s="100">
        <f t="shared" si="2328"/>
        <v>2.6469443363176332E-2</v>
      </c>
      <c r="AI1545" s="100">
        <f t="shared" si="2329"/>
        <v>-0.17477617750097313</v>
      </c>
    </row>
    <row r="1546" spans="1:35" s="79" customFormat="1" ht="15.75" customHeight="1" x14ac:dyDescent="0.3">
      <c r="A1546" s="90" t="s">
        <v>46</v>
      </c>
      <c r="B1546" s="136" t="s">
        <v>51</v>
      </c>
      <c r="C1546" s="137"/>
      <c r="D1546" s="136"/>
      <c r="E1546" s="138"/>
      <c r="F1546" s="91">
        <f>SUM(F1544:F1545)</f>
        <v>4935</v>
      </c>
      <c r="G1546" s="91"/>
      <c r="H1546" s="91"/>
      <c r="I1546" s="91"/>
      <c r="J1546" s="91" t="s">
        <v>59</v>
      </c>
      <c r="K1546" s="65" t="s">
        <v>226</v>
      </c>
      <c r="L1546" s="91">
        <f>SUM(L1544:L1545)</f>
        <v>0</v>
      </c>
      <c r="M1546" s="91">
        <f>SUM(M1544:M1545)</f>
        <v>5062</v>
      </c>
      <c r="N1546" s="91">
        <f>SUM(N1544:N1545)</f>
        <v>127</v>
      </c>
      <c r="O1546" s="91" t="s">
        <v>709</v>
      </c>
      <c r="P1546" s="91">
        <f>SUM(P1544:P1545)</f>
        <v>0</v>
      </c>
      <c r="Q1546" s="91">
        <f>SUM(Q1544:Q1545)</f>
        <v>5050</v>
      </c>
      <c r="R1546" s="91">
        <f>SUM(R1544:R1545)</f>
        <v>0</v>
      </c>
      <c r="S1546" s="91">
        <f>SUM(S1544:S1545)</f>
        <v>5045</v>
      </c>
      <c r="T1546" s="91">
        <f>SUM(T1544:T1545)</f>
        <v>-5</v>
      </c>
      <c r="U1546" s="59">
        <f t="shared" si="2333"/>
        <v>522</v>
      </c>
      <c r="V1546" s="91">
        <f>SUM(V1544:V1545)</f>
        <v>0</v>
      </c>
      <c r="W1546" s="91">
        <f>SUM(W1544:W1545)</f>
        <v>4523</v>
      </c>
      <c r="X1546" s="91">
        <f>SUM(X1544:X1545)</f>
        <v>-539</v>
      </c>
      <c r="Y1546" s="136" t="s">
        <v>47</v>
      </c>
      <c r="Z1546" s="136" t="s">
        <v>45</v>
      </c>
      <c r="AA1546" s="136"/>
      <c r="AB1546" s="84"/>
      <c r="AC1546" s="90"/>
      <c r="AD1546" s="90"/>
      <c r="AE1546" s="100">
        <f t="shared" si="2326"/>
        <v>2.5734549138804456E-2</v>
      </c>
      <c r="AF1546" s="90"/>
      <c r="AG1546" s="109">
        <f t="shared" si="2327"/>
        <v>0</v>
      </c>
      <c r="AH1546" s="100">
        <f t="shared" si="2328"/>
        <v>2.2289766970618033E-2</v>
      </c>
      <c r="AI1546" s="100">
        <f t="shared" si="2329"/>
        <v>-8.348530901722391E-2</v>
      </c>
    </row>
    <row r="1547" spans="1:35" s="47" customFormat="1" ht="21" customHeight="1" x14ac:dyDescent="0.3">
      <c r="A1547" s="78"/>
      <c r="B1547" s="106" t="s">
        <v>51</v>
      </c>
      <c r="C1547" s="117">
        <v>47890</v>
      </c>
      <c r="D1547" s="299" t="s">
        <v>574</v>
      </c>
      <c r="E1547" s="131" t="s">
        <v>181</v>
      </c>
      <c r="F1547" s="66">
        <v>684</v>
      </c>
      <c r="G1547" s="66"/>
      <c r="H1547" s="66"/>
      <c r="I1547" s="66"/>
      <c r="J1547" s="66"/>
      <c r="K1547" s="78"/>
      <c r="L1547" s="66"/>
      <c r="M1547" s="66">
        <f>456</f>
        <v>456</v>
      </c>
      <c r="N1547" s="110">
        <f t="shared" ref="N1547:N1548" si="2336">M1547-F1547</f>
        <v>-228</v>
      </c>
      <c r="O1547" s="110"/>
      <c r="P1547" s="66"/>
      <c r="Q1547" s="66">
        <f>424</f>
        <v>424</v>
      </c>
      <c r="R1547" s="66"/>
      <c r="S1547" s="66">
        <v>423</v>
      </c>
      <c r="T1547" s="110">
        <f>S1547-Q1547</f>
        <v>-1</v>
      </c>
      <c r="U1547" s="59">
        <f t="shared" si="2294"/>
        <v>0</v>
      </c>
      <c r="V1547" s="66"/>
      <c r="W1547" s="66">
        <v>423</v>
      </c>
      <c r="X1547" s="110">
        <f>W1547-M1547</f>
        <v>-33</v>
      </c>
      <c r="Y1547" s="110"/>
      <c r="Z1547" s="110"/>
      <c r="AA1547" s="110"/>
      <c r="AB1547" s="46"/>
      <c r="AC1547" s="78"/>
      <c r="AD1547" s="78"/>
      <c r="AE1547" s="100">
        <f t="shared" ref="AE1547:AE1549" si="2337">N1547/F1547</f>
        <v>-0.33333333333333331</v>
      </c>
      <c r="AF1547" s="90"/>
      <c r="AG1547" s="109">
        <f t="shared" ref="AG1547:AG1549" si="2338">IF(N1547&lt;0,N1547,0)</f>
        <v>-228</v>
      </c>
      <c r="AH1547" s="100">
        <f t="shared" ref="AH1547:AH1549" si="2339">(S1547-F1547)/F1547</f>
        <v>-0.38157894736842107</v>
      </c>
      <c r="AI1547" s="100">
        <f t="shared" ref="AI1547:AI1549" si="2340">(W1547-F1547)/F1547</f>
        <v>-0.38157894736842107</v>
      </c>
    </row>
    <row r="1548" spans="1:35" s="47" customFormat="1" ht="21" customHeight="1" x14ac:dyDescent="0.3">
      <c r="A1548" s="78"/>
      <c r="B1548" s="106" t="s">
        <v>51</v>
      </c>
      <c r="C1548" s="117">
        <v>47890</v>
      </c>
      <c r="D1548" s="300"/>
      <c r="E1548" s="131" t="s">
        <v>379</v>
      </c>
      <c r="F1548" s="66">
        <f>1002+495</f>
        <v>1497</v>
      </c>
      <c r="G1548" s="66"/>
      <c r="H1548" s="66"/>
      <c r="I1548" s="66"/>
      <c r="J1548" s="66"/>
      <c r="K1548" s="78"/>
      <c r="L1548" s="66"/>
      <c r="M1548" s="66">
        <v>1546</v>
      </c>
      <c r="N1548" s="110">
        <f t="shared" si="2336"/>
        <v>49</v>
      </c>
      <c r="O1548" s="110"/>
      <c r="P1548" s="66"/>
      <c r="Q1548" s="66">
        <f>1033+513</f>
        <v>1546</v>
      </c>
      <c r="R1548" s="66"/>
      <c r="S1548" s="66">
        <f>1039+507</f>
        <v>1546</v>
      </c>
      <c r="T1548" s="110">
        <f t="shared" ref="T1548" si="2341">S1548-Q1548</f>
        <v>0</v>
      </c>
      <c r="U1548" s="59">
        <f t="shared" si="2294"/>
        <v>0</v>
      </c>
      <c r="V1548" s="66"/>
      <c r="W1548" s="66">
        <f>513+1033</f>
        <v>1546</v>
      </c>
      <c r="X1548" s="110">
        <f t="shared" ref="X1548" si="2342">W1548-M1548</f>
        <v>0</v>
      </c>
      <c r="Y1548" s="110"/>
      <c r="Z1548" s="110"/>
      <c r="AA1548" s="110"/>
      <c r="AB1548" s="46"/>
      <c r="AC1548" s="78"/>
      <c r="AD1548" s="78"/>
      <c r="AE1548" s="100">
        <f t="shared" si="2337"/>
        <v>3.2732130928523714E-2</v>
      </c>
      <c r="AF1548" s="90"/>
      <c r="AG1548" s="109">
        <f t="shared" si="2338"/>
        <v>0</v>
      </c>
      <c r="AH1548" s="100">
        <f t="shared" si="2339"/>
        <v>3.2732130928523714E-2</v>
      </c>
      <c r="AI1548" s="100">
        <f t="shared" si="2340"/>
        <v>3.2732130928523714E-2</v>
      </c>
    </row>
    <row r="1549" spans="1:35" s="79" customFormat="1" ht="15.75" customHeight="1" x14ac:dyDescent="0.3">
      <c r="A1549" s="90" t="s">
        <v>46</v>
      </c>
      <c r="B1549" s="136" t="s">
        <v>51</v>
      </c>
      <c r="C1549" s="137"/>
      <c r="D1549" s="136"/>
      <c r="E1549" s="138"/>
      <c r="F1549" s="91">
        <f>SUM(F1547:F1548)</f>
        <v>2181</v>
      </c>
      <c r="G1549" s="91"/>
      <c r="H1549" s="91"/>
      <c r="I1549" s="91"/>
      <c r="J1549" s="91" t="s">
        <v>59</v>
      </c>
      <c r="K1549" s="65" t="s">
        <v>226</v>
      </c>
      <c r="L1549" s="91">
        <f>SUM(L1547:L1548)</f>
        <v>0</v>
      </c>
      <c r="M1549" s="91">
        <f>SUM(M1547:M1548)</f>
        <v>2002</v>
      </c>
      <c r="N1549" s="91">
        <f>SUM(N1547:N1548)</f>
        <v>-179</v>
      </c>
      <c r="O1549" s="91" t="s">
        <v>666</v>
      </c>
      <c r="P1549" s="91">
        <f>SUM(P1547:P1548)</f>
        <v>0</v>
      </c>
      <c r="Q1549" s="91">
        <f>SUM(Q1547:Q1548)</f>
        <v>1970</v>
      </c>
      <c r="R1549" s="91">
        <f>SUM(R1547:R1548)</f>
        <v>0</v>
      </c>
      <c r="S1549" s="91">
        <f>SUM(S1547:S1548)</f>
        <v>1969</v>
      </c>
      <c r="T1549" s="91">
        <f>SUM(T1547:T1548)</f>
        <v>-1</v>
      </c>
      <c r="U1549" s="59">
        <f t="shared" si="2294"/>
        <v>0</v>
      </c>
      <c r="V1549" s="91">
        <f>SUM(V1547:V1548)</f>
        <v>0</v>
      </c>
      <c r="W1549" s="91">
        <f>SUM(W1547:W1548)</f>
        <v>1969</v>
      </c>
      <c r="X1549" s="91">
        <f>SUM(X1547:X1548)</f>
        <v>-33</v>
      </c>
      <c r="Y1549" s="136" t="s">
        <v>47</v>
      </c>
      <c r="Z1549" s="136" t="s">
        <v>45</v>
      </c>
      <c r="AA1549" s="136"/>
      <c r="AB1549" s="84"/>
      <c r="AC1549" s="90"/>
      <c r="AD1549" s="90"/>
      <c r="AE1549" s="100">
        <f t="shared" si="2337"/>
        <v>-8.2072443833104081E-2</v>
      </c>
      <c r="AF1549" s="90"/>
      <c r="AG1549" s="109">
        <f t="shared" si="2338"/>
        <v>-179</v>
      </c>
      <c r="AH1549" s="100">
        <f t="shared" si="2339"/>
        <v>-9.7203117835855113E-2</v>
      </c>
      <c r="AI1549" s="100">
        <f t="shared" si="2340"/>
        <v>-9.7203117835855113E-2</v>
      </c>
    </row>
    <row r="1550" spans="1:35" s="47" customFormat="1" ht="21" customHeight="1" x14ac:dyDescent="0.3">
      <c r="A1550" s="78"/>
      <c r="B1550" s="106" t="s">
        <v>51</v>
      </c>
      <c r="C1550" s="117" t="s">
        <v>1012</v>
      </c>
      <c r="D1550" s="299">
        <v>15381948</v>
      </c>
      <c r="E1550" s="131" t="s">
        <v>866</v>
      </c>
      <c r="F1550" s="66">
        <v>740</v>
      </c>
      <c r="G1550" s="66"/>
      <c r="H1550" s="66"/>
      <c r="I1550" s="66"/>
      <c r="J1550" s="66"/>
      <c r="K1550" s="78"/>
      <c r="L1550" s="66"/>
      <c r="M1550" s="66"/>
      <c r="N1550" s="110">
        <f t="shared" ref="N1550:N1551" si="2343">M1550-F1550</f>
        <v>-740</v>
      </c>
      <c r="O1550" s="110"/>
      <c r="P1550" s="66"/>
      <c r="Q1550" s="66"/>
      <c r="R1550" s="66"/>
      <c r="S1550" s="66"/>
      <c r="T1550" s="110">
        <f>S1550-Q1550</f>
        <v>0</v>
      </c>
      <c r="U1550" s="59">
        <f t="shared" ref="U1550:U1571" si="2344">IF(Q1550&gt;0,S1550-W1550,M1550-W1550)</f>
        <v>0</v>
      </c>
      <c r="V1550" s="66"/>
      <c r="W1550" s="66"/>
      <c r="X1550" s="110">
        <f>W1550-M1550</f>
        <v>0</v>
      </c>
      <c r="Y1550" s="110"/>
      <c r="Z1550" s="110"/>
      <c r="AA1550" s="110"/>
      <c r="AB1550" s="46"/>
      <c r="AC1550" s="78"/>
      <c r="AD1550" s="78"/>
      <c r="AE1550" s="100">
        <f t="shared" ref="AE1550:AE1571" si="2345">N1550/F1550</f>
        <v>-1</v>
      </c>
      <c r="AF1550" s="90"/>
      <c r="AG1550" s="109">
        <f t="shared" ref="AG1550:AG1571" si="2346">IF(N1550&lt;0,N1550,0)</f>
        <v>-740</v>
      </c>
      <c r="AH1550" s="100">
        <f t="shared" ref="AH1550:AH1571" si="2347">(S1550-F1550)/F1550</f>
        <v>-1</v>
      </c>
      <c r="AI1550" s="100">
        <f t="shared" ref="AI1550:AI1571" si="2348">(W1550-F1550)/F1550</f>
        <v>-1</v>
      </c>
    </row>
    <row r="1551" spans="1:35" s="47" customFormat="1" ht="21" customHeight="1" x14ac:dyDescent="0.3">
      <c r="A1551" s="78"/>
      <c r="B1551" s="106" t="s">
        <v>51</v>
      </c>
      <c r="C1551" s="117" t="s">
        <v>1012</v>
      </c>
      <c r="D1551" s="309"/>
      <c r="E1551" s="131" t="s">
        <v>49</v>
      </c>
      <c r="F1551" s="66">
        <v>740</v>
      </c>
      <c r="G1551" s="66"/>
      <c r="H1551" s="66"/>
      <c r="I1551" s="66"/>
      <c r="J1551" s="66"/>
      <c r="K1551" s="78"/>
      <c r="L1551" s="66"/>
      <c r="M1551" s="66"/>
      <c r="N1551" s="110">
        <f t="shared" si="2343"/>
        <v>-740</v>
      </c>
      <c r="O1551" s="110"/>
      <c r="P1551" s="66"/>
      <c r="Q1551" s="66"/>
      <c r="R1551" s="66"/>
      <c r="S1551" s="66"/>
      <c r="T1551" s="110">
        <f>S1551-Q1551</f>
        <v>0</v>
      </c>
      <c r="U1551" s="59">
        <f t="shared" si="2344"/>
        <v>0</v>
      </c>
      <c r="V1551" s="66"/>
      <c r="W1551" s="66"/>
      <c r="X1551" s="110">
        <f>W1551-M1551</f>
        <v>0</v>
      </c>
      <c r="Y1551" s="110"/>
      <c r="Z1551" s="110"/>
      <c r="AA1551" s="110"/>
      <c r="AB1551" s="46"/>
      <c r="AC1551" s="78"/>
      <c r="AD1551" s="78"/>
      <c r="AE1551" s="100">
        <f t="shared" si="2345"/>
        <v>-1</v>
      </c>
      <c r="AF1551" s="90"/>
      <c r="AG1551" s="109">
        <f t="shared" si="2346"/>
        <v>-740</v>
      </c>
      <c r="AH1551" s="100">
        <f t="shared" si="2347"/>
        <v>-1</v>
      </c>
      <c r="AI1551" s="100">
        <f t="shared" si="2348"/>
        <v>-1</v>
      </c>
    </row>
    <row r="1552" spans="1:35" s="79" customFormat="1" ht="15.75" customHeight="1" x14ac:dyDescent="0.3">
      <c r="A1552" s="90" t="s">
        <v>46</v>
      </c>
      <c r="B1552" s="136" t="s">
        <v>51</v>
      </c>
      <c r="C1552" s="137"/>
      <c r="D1552" s="136"/>
      <c r="E1552" s="138"/>
      <c r="F1552" s="91">
        <f>SUM(F1550:F1551)</f>
        <v>1480</v>
      </c>
      <c r="G1552" s="91"/>
      <c r="H1552" s="91"/>
      <c r="I1552" s="91"/>
      <c r="J1552" s="91"/>
      <c r="K1552" s="65" t="s">
        <v>436</v>
      </c>
      <c r="L1552" s="91">
        <f>SUM(L1550:L1551)</f>
        <v>0</v>
      </c>
      <c r="M1552" s="91">
        <f t="shared" ref="M1552:N1552" si="2349">SUM(M1550:M1551)</f>
        <v>0</v>
      </c>
      <c r="N1552" s="91">
        <f t="shared" si="2349"/>
        <v>-1480</v>
      </c>
      <c r="O1552" s="91"/>
      <c r="P1552" s="91">
        <f t="shared" ref="P1552:T1552" si="2350">SUM(P1550:P1551)</f>
        <v>0</v>
      </c>
      <c r="Q1552" s="91">
        <f t="shared" si="2350"/>
        <v>0</v>
      </c>
      <c r="R1552" s="91">
        <f t="shared" si="2350"/>
        <v>0</v>
      </c>
      <c r="S1552" s="91">
        <f t="shared" si="2350"/>
        <v>0</v>
      </c>
      <c r="T1552" s="91">
        <f t="shared" si="2350"/>
        <v>0</v>
      </c>
      <c r="U1552" s="59">
        <f t="shared" si="2344"/>
        <v>0</v>
      </c>
      <c r="V1552" s="91">
        <f t="shared" ref="V1552:X1552" si="2351">SUM(V1550:V1551)</f>
        <v>0</v>
      </c>
      <c r="W1552" s="91">
        <f t="shared" si="2351"/>
        <v>0</v>
      </c>
      <c r="X1552" s="91">
        <f t="shared" si="2351"/>
        <v>0</v>
      </c>
      <c r="Y1552" s="136"/>
      <c r="Z1552" s="136"/>
      <c r="AA1552" s="136"/>
      <c r="AB1552" s="84"/>
      <c r="AC1552" s="90"/>
      <c r="AD1552" s="90"/>
      <c r="AE1552" s="100">
        <f t="shared" si="2345"/>
        <v>-1</v>
      </c>
      <c r="AF1552" s="90"/>
      <c r="AG1552" s="109">
        <f t="shared" si="2346"/>
        <v>-1480</v>
      </c>
      <c r="AH1552" s="100">
        <f t="shared" si="2347"/>
        <v>-1</v>
      </c>
      <c r="AI1552" s="100">
        <f t="shared" si="2348"/>
        <v>-1</v>
      </c>
    </row>
    <row r="1553" spans="1:35" s="47" customFormat="1" ht="21" customHeight="1" x14ac:dyDescent="0.3">
      <c r="A1553" s="78"/>
      <c r="B1553" s="106" t="s">
        <v>51</v>
      </c>
      <c r="C1553" s="117">
        <v>48168</v>
      </c>
      <c r="D1553" s="299">
        <v>15395613</v>
      </c>
      <c r="E1553" s="131" t="s">
        <v>39</v>
      </c>
      <c r="F1553" s="66">
        <v>6840</v>
      </c>
      <c r="G1553" s="66"/>
      <c r="H1553" s="66"/>
      <c r="I1553" s="66"/>
      <c r="J1553" s="66"/>
      <c r="K1553" s="78"/>
      <c r="L1553" s="66"/>
      <c r="M1553" s="66">
        <f>4030+1410+1160</f>
        <v>6600</v>
      </c>
      <c r="N1553" s="110">
        <f t="shared" ref="N1553:N1554" si="2352">M1553-F1553</f>
        <v>-240</v>
      </c>
      <c r="O1553" s="110"/>
      <c r="P1553" s="66"/>
      <c r="Q1553" s="66">
        <f>2010+1010+1010+1410+1160</f>
        <v>6600</v>
      </c>
      <c r="R1553" s="66"/>
      <c r="S1553" s="66">
        <v>6600</v>
      </c>
      <c r="T1553" s="110">
        <f>S1553-Q1553</f>
        <v>0</v>
      </c>
      <c r="U1553" s="59">
        <f t="shared" si="2344"/>
        <v>6600</v>
      </c>
      <c r="V1553" s="66"/>
      <c r="W1553" s="66"/>
      <c r="X1553" s="110">
        <f>W1553-M1553</f>
        <v>-6600</v>
      </c>
      <c r="Y1553" s="110"/>
      <c r="Z1553" s="110"/>
      <c r="AA1553" s="110"/>
      <c r="AB1553" s="46"/>
      <c r="AC1553" s="78"/>
      <c r="AD1553" s="78"/>
      <c r="AE1553" s="100">
        <f t="shared" si="2345"/>
        <v>-3.5087719298245612E-2</v>
      </c>
      <c r="AF1553" s="90"/>
      <c r="AG1553" s="109">
        <f t="shared" si="2346"/>
        <v>-240</v>
      </c>
      <c r="AH1553" s="100">
        <f t="shared" si="2347"/>
        <v>-3.5087719298245612E-2</v>
      </c>
      <c r="AI1553" s="100">
        <f t="shared" si="2348"/>
        <v>-1</v>
      </c>
    </row>
    <row r="1554" spans="1:35" s="47" customFormat="1" ht="21" customHeight="1" x14ac:dyDescent="0.3">
      <c r="A1554" s="78"/>
      <c r="B1554" s="106" t="s">
        <v>51</v>
      </c>
      <c r="C1554" s="117">
        <v>48168</v>
      </c>
      <c r="D1554" s="309"/>
      <c r="E1554" s="131" t="s">
        <v>769</v>
      </c>
      <c r="F1554" s="66">
        <v>6405</v>
      </c>
      <c r="G1554" s="66"/>
      <c r="H1554" s="66"/>
      <c r="I1554" s="66"/>
      <c r="J1554" s="66"/>
      <c r="K1554" s="78"/>
      <c r="L1554" s="66"/>
      <c r="M1554" s="66"/>
      <c r="N1554" s="110">
        <f t="shared" si="2352"/>
        <v>-6405</v>
      </c>
      <c r="O1554" s="110"/>
      <c r="P1554" s="66"/>
      <c r="Q1554" s="66"/>
      <c r="R1554" s="66"/>
      <c r="S1554" s="66"/>
      <c r="T1554" s="110">
        <f>S1554-Q1554</f>
        <v>0</v>
      </c>
      <c r="U1554" s="59">
        <f t="shared" si="2344"/>
        <v>0</v>
      </c>
      <c r="V1554" s="66"/>
      <c r="W1554" s="66"/>
      <c r="X1554" s="110">
        <f>W1554-M1554</f>
        <v>0</v>
      </c>
      <c r="Y1554" s="110"/>
      <c r="Z1554" s="110"/>
      <c r="AA1554" s="110"/>
      <c r="AB1554" s="46"/>
      <c r="AC1554" s="78"/>
      <c r="AD1554" s="78"/>
      <c r="AE1554" s="100">
        <f t="shared" si="2345"/>
        <v>-1</v>
      </c>
      <c r="AF1554" s="90"/>
      <c r="AG1554" s="109">
        <f t="shared" si="2346"/>
        <v>-6405</v>
      </c>
      <c r="AH1554" s="100">
        <f t="shared" si="2347"/>
        <v>-1</v>
      </c>
      <c r="AI1554" s="100">
        <f t="shared" si="2348"/>
        <v>-1</v>
      </c>
    </row>
    <row r="1555" spans="1:35" s="79" customFormat="1" ht="15.75" customHeight="1" x14ac:dyDescent="0.3">
      <c r="A1555" s="90" t="s">
        <v>46</v>
      </c>
      <c r="B1555" s="136" t="s">
        <v>51</v>
      </c>
      <c r="C1555" s="137"/>
      <c r="D1555" s="136"/>
      <c r="E1555" s="138"/>
      <c r="F1555" s="91">
        <f>SUM(F1553:F1554)</f>
        <v>13245</v>
      </c>
      <c r="G1555" s="91"/>
      <c r="H1555" s="91"/>
      <c r="I1555" s="91"/>
      <c r="J1555" s="91" t="s">
        <v>60</v>
      </c>
      <c r="K1555" s="65" t="s">
        <v>436</v>
      </c>
      <c r="L1555" s="91">
        <f>SUM(L1553:L1554)</f>
        <v>0</v>
      </c>
      <c r="M1555" s="91">
        <f t="shared" ref="M1555:N1555" si="2353">SUM(M1553:M1554)</f>
        <v>6600</v>
      </c>
      <c r="N1555" s="91">
        <f t="shared" si="2353"/>
        <v>-6645</v>
      </c>
      <c r="O1555" s="91" t="s">
        <v>821</v>
      </c>
      <c r="P1555" s="91">
        <f t="shared" ref="P1555:T1555" si="2354">SUM(P1553:P1554)</f>
        <v>0</v>
      </c>
      <c r="Q1555" s="91">
        <f t="shared" si="2354"/>
        <v>6600</v>
      </c>
      <c r="R1555" s="91">
        <f t="shared" si="2354"/>
        <v>0</v>
      </c>
      <c r="S1555" s="91">
        <f t="shared" si="2354"/>
        <v>6600</v>
      </c>
      <c r="T1555" s="91">
        <f t="shared" si="2354"/>
        <v>0</v>
      </c>
      <c r="U1555" s="59">
        <f t="shared" si="2344"/>
        <v>6600</v>
      </c>
      <c r="V1555" s="91">
        <f t="shared" ref="V1555:X1555" si="2355">SUM(V1553:V1554)</f>
        <v>0</v>
      </c>
      <c r="W1555" s="91">
        <f t="shared" si="2355"/>
        <v>0</v>
      </c>
      <c r="X1555" s="91">
        <f t="shared" si="2355"/>
        <v>-6600</v>
      </c>
      <c r="Y1555" s="136" t="s">
        <v>48</v>
      </c>
      <c r="Z1555" s="136" t="s">
        <v>45</v>
      </c>
      <c r="AA1555" s="136"/>
      <c r="AB1555" s="84"/>
      <c r="AC1555" s="90"/>
      <c r="AD1555" s="90"/>
      <c r="AE1555" s="100">
        <f t="shared" si="2345"/>
        <v>-0.50169875424688559</v>
      </c>
      <c r="AF1555" s="90"/>
      <c r="AG1555" s="109">
        <f t="shared" si="2346"/>
        <v>-6645</v>
      </c>
      <c r="AH1555" s="100">
        <f t="shared" si="2347"/>
        <v>-0.50169875424688559</v>
      </c>
      <c r="AI1555" s="100">
        <f t="shared" si="2348"/>
        <v>-1</v>
      </c>
    </row>
    <row r="1556" spans="1:35" s="47" customFormat="1" ht="21" customHeight="1" x14ac:dyDescent="0.3">
      <c r="A1556" s="78"/>
      <c r="B1556" s="106" t="s">
        <v>51</v>
      </c>
      <c r="C1556" s="117">
        <v>48159</v>
      </c>
      <c r="D1556" s="299">
        <v>15395529</v>
      </c>
      <c r="E1556" s="131" t="s">
        <v>771</v>
      </c>
      <c r="F1556" s="66">
        <v>1005</v>
      </c>
      <c r="G1556" s="66"/>
      <c r="H1556" s="66"/>
      <c r="I1556" s="66"/>
      <c r="J1556" s="66"/>
      <c r="K1556" s="78"/>
      <c r="L1556" s="66"/>
      <c r="M1556" s="66">
        <f>410+622+51</f>
        <v>1083</v>
      </c>
      <c r="N1556" s="110">
        <f t="shared" ref="N1556:N1557" si="2356">M1556-F1556</f>
        <v>78</v>
      </c>
      <c r="O1556" s="110"/>
      <c r="P1556" s="66"/>
      <c r="Q1556" s="66">
        <f>385+600+51+23</f>
        <v>1059</v>
      </c>
      <c r="R1556" s="66"/>
      <c r="S1556" s="66">
        <v>1059</v>
      </c>
      <c r="T1556" s="110">
        <f>S1556-Q1556</f>
        <v>0</v>
      </c>
      <c r="U1556" s="59">
        <f t="shared" si="2344"/>
        <v>28</v>
      </c>
      <c r="V1556" s="66"/>
      <c r="W1556" s="66">
        <v>1031</v>
      </c>
      <c r="X1556" s="110">
        <f>W1556-M1556</f>
        <v>-52</v>
      </c>
      <c r="Y1556" s="110"/>
      <c r="Z1556" s="110"/>
      <c r="AA1556" s="110"/>
      <c r="AB1556" s="46"/>
      <c r="AC1556" s="78"/>
      <c r="AD1556" s="78"/>
      <c r="AE1556" s="100">
        <f t="shared" si="2345"/>
        <v>7.7611940298507459E-2</v>
      </c>
      <c r="AF1556" s="90"/>
      <c r="AG1556" s="109">
        <f t="shared" si="2346"/>
        <v>0</v>
      </c>
      <c r="AH1556" s="100">
        <f t="shared" si="2347"/>
        <v>5.3731343283582089E-2</v>
      </c>
      <c r="AI1556" s="100">
        <f t="shared" si="2348"/>
        <v>2.5870646766169153E-2</v>
      </c>
    </row>
    <row r="1557" spans="1:35" s="47" customFormat="1" ht="21" customHeight="1" x14ac:dyDescent="0.3">
      <c r="A1557" s="78"/>
      <c r="B1557" s="106" t="s">
        <v>51</v>
      </c>
      <c r="C1557" s="117">
        <v>48159</v>
      </c>
      <c r="D1557" s="300"/>
      <c r="E1557" s="131" t="s">
        <v>770</v>
      </c>
      <c r="F1557" s="66">
        <v>1005</v>
      </c>
      <c r="G1557" s="66"/>
      <c r="H1557" s="66"/>
      <c r="I1557" s="66"/>
      <c r="J1557" s="66"/>
      <c r="K1557" s="78"/>
      <c r="L1557" s="66"/>
      <c r="M1557" s="66">
        <f>981+63</f>
        <v>1044</v>
      </c>
      <c r="N1557" s="110">
        <f t="shared" si="2356"/>
        <v>39</v>
      </c>
      <c r="O1557" s="110"/>
      <c r="P1557" s="66"/>
      <c r="Q1557" s="66">
        <f>981+63</f>
        <v>1044</v>
      </c>
      <c r="R1557" s="66"/>
      <c r="S1557" s="66">
        <v>1044</v>
      </c>
      <c r="T1557" s="110">
        <f>S1557-Q1557</f>
        <v>0</v>
      </c>
      <c r="U1557" s="59">
        <f t="shared" si="2344"/>
        <v>13</v>
      </c>
      <c r="V1557" s="66"/>
      <c r="W1557" s="66">
        <v>1031</v>
      </c>
      <c r="X1557" s="110">
        <f>W1557-M1557</f>
        <v>-13</v>
      </c>
      <c r="Y1557" s="110"/>
      <c r="Z1557" s="110"/>
      <c r="AA1557" s="110"/>
      <c r="AB1557" s="46"/>
      <c r="AC1557" s="78"/>
      <c r="AD1557" s="78"/>
      <c r="AE1557" s="100">
        <f t="shared" si="2345"/>
        <v>3.880597014925373E-2</v>
      </c>
      <c r="AF1557" s="90"/>
      <c r="AG1557" s="109">
        <f t="shared" si="2346"/>
        <v>0</v>
      </c>
      <c r="AH1557" s="100">
        <f t="shared" si="2347"/>
        <v>3.880597014925373E-2</v>
      </c>
      <c r="AI1557" s="100">
        <f t="shared" si="2348"/>
        <v>2.5870646766169153E-2</v>
      </c>
    </row>
    <row r="1558" spans="1:35" s="79" customFormat="1" ht="15.75" customHeight="1" x14ac:dyDescent="0.3">
      <c r="A1558" s="90" t="s">
        <v>46</v>
      </c>
      <c r="B1558" s="136" t="s">
        <v>51</v>
      </c>
      <c r="C1558" s="137"/>
      <c r="D1558" s="136"/>
      <c r="E1558" s="138"/>
      <c r="F1558" s="91">
        <f>SUM(F1556:F1557)</f>
        <v>2010</v>
      </c>
      <c r="G1558" s="91"/>
      <c r="H1558" s="91"/>
      <c r="I1558" s="91"/>
      <c r="J1558" s="91" t="s">
        <v>60</v>
      </c>
      <c r="K1558" s="65" t="s">
        <v>290</v>
      </c>
      <c r="L1558" s="91">
        <f>SUM(L1556:L1557)</f>
        <v>0</v>
      </c>
      <c r="M1558" s="91">
        <f>SUM(M1556:M1557)</f>
        <v>2127</v>
      </c>
      <c r="N1558" s="91">
        <f>SUM(N1556:N1557)</f>
        <v>117</v>
      </c>
      <c r="O1558" s="91" t="s">
        <v>832</v>
      </c>
      <c r="P1558" s="91">
        <f>SUM(P1556:P1557)</f>
        <v>0</v>
      </c>
      <c r="Q1558" s="91">
        <f>SUM(Q1556:Q1557)</f>
        <v>2103</v>
      </c>
      <c r="R1558" s="91">
        <f>SUM(R1556:R1557)</f>
        <v>0</v>
      </c>
      <c r="S1558" s="91">
        <f>SUM(S1556:S1557)</f>
        <v>2103</v>
      </c>
      <c r="T1558" s="91">
        <f>SUM(T1556:T1557)</f>
        <v>0</v>
      </c>
      <c r="U1558" s="59">
        <f t="shared" si="2344"/>
        <v>41</v>
      </c>
      <c r="V1558" s="91">
        <f>SUM(V1556:V1557)</f>
        <v>0</v>
      </c>
      <c r="W1558" s="91">
        <f>SUM(W1556:W1557)</f>
        <v>2062</v>
      </c>
      <c r="X1558" s="91">
        <f>SUM(X1556:X1557)</f>
        <v>-65</v>
      </c>
      <c r="Y1558" s="136" t="s">
        <v>48</v>
      </c>
      <c r="Z1558" s="136" t="s">
        <v>45</v>
      </c>
      <c r="AA1558" s="136"/>
      <c r="AB1558" s="84"/>
      <c r="AC1558" s="90"/>
      <c r="AD1558" s="90"/>
      <c r="AE1558" s="100">
        <f t="shared" si="2345"/>
        <v>5.8208955223880594E-2</v>
      </c>
      <c r="AF1558" s="90"/>
      <c r="AG1558" s="109">
        <f t="shared" si="2346"/>
        <v>0</v>
      </c>
      <c r="AH1558" s="100">
        <f t="shared" si="2347"/>
        <v>4.6268656716417909E-2</v>
      </c>
      <c r="AI1558" s="100">
        <f t="shared" si="2348"/>
        <v>2.5870646766169153E-2</v>
      </c>
    </row>
    <row r="1559" spans="1:35" s="47" customFormat="1" ht="21" customHeight="1" x14ac:dyDescent="0.3">
      <c r="A1559" s="78"/>
      <c r="B1559" s="106" t="s">
        <v>51</v>
      </c>
      <c r="C1559" s="117">
        <v>48184</v>
      </c>
      <c r="D1559" s="299">
        <v>15380916</v>
      </c>
      <c r="E1559" s="131" t="s">
        <v>750</v>
      </c>
      <c r="F1559" s="66">
        <v>1299</v>
      </c>
      <c r="G1559" s="66"/>
      <c r="H1559" s="66"/>
      <c r="I1559" s="66"/>
      <c r="J1559" s="66"/>
      <c r="K1559" s="78"/>
      <c r="L1559" s="66"/>
      <c r="M1559" s="66">
        <f>270+830</f>
        <v>1100</v>
      </c>
      <c r="N1559" s="110">
        <f t="shared" ref="N1559:N1561" si="2357">M1559-F1559</f>
        <v>-199</v>
      </c>
      <c r="O1559" s="110"/>
      <c r="P1559" s="66"/>
      <c r="Q1559" s="66">
        <f>270+324+470</f>
        <v>1064</v>
      </c>
      <c r="R1559" s="66"/>
      <c r="S1559" s="66"/>
      <c r="T1559" s="110">
        <f>S1559-Q1559</f>
        <v>-1064</v>
      </c>
      <c r="U1559" s="59">
        <f t="shared" si="2344"/>
        <v>0</v>
      </c>
      <c r="V1559" s="66"/>
      <c r="W1559" s="66"/>
      <c r="X1559" s="110">
        <f>W1559-M1559</f>
        <v>-1100</v>
      </c>
      <c r="Y1559" s="110"/>
      <c r="Z1559" s="110"/>
      <c r="AA1559" s="110"/>
      <c r="AB1559" s="46"/>
      <c r="AC1559" s="78"/>
      <c r="AD1559" s="78"/>
      <c r="AE1559" s="100">
        <f t="shared" si="2345"/>
        <v>-0.15319476520400307</v>
      </c>
      <c r="AF1559" s="90"/>
      <c r="AG1559" s="109">
        <f t="shared" si="2346"/>
        <v>-199</v>
      </c>
      <c r="AH1559" s="100">
        <f t="shared" si="2347"/>
        <v>-1</v>
      </c>
      <c r="AI1559" s="100">
        <f t="shared" si="2348"/>
        <v>-1</v>
      </c>
    </row>
    <row r="1560" spans="1:35" s="47" customFormat="1" ht="21" customHeight="1" x14ac:dyDescent="0.3">
      <c r="A1560" s="78"/>
      <c r="B1560" s="106" t="s">
        <v>51</v>
      </c>
      <c r="C1560" s="117">
        <v>48184</v>
      </c>
      <c r="D1560" s="300"/>
      <c r="E1560" s="131" t="s">
        <v>812</v>
      </c>
      <c r="F1560" s="66">
        <v>975</v>
      </c>
      <c r="G1560" s="66"/>
      <c r="H1560" s="66"/>
      <c r="I1560" s="66"/>
      <c r="J1560" s="66"/>
      <c r="K1560" s="78"/>
      <c r="L1560" s="66"/>
      <c r="M1560" s="66">
        <f>336+336+301</f>
        <v>973</v>
      </c>
      <c r="N1560" s="110">
        <f t="shared" si="2357"/>
        <v>-2</v>
      </c>
      <c r="O1560" s="110"/>
      <c r="P1560" s="66"/>
      <c r="Q1560" s="66">
        <f>301+692</f>
        <v>993</v>
      </c>
      <c r="R1560" s="66"/>
      <c r="S1560" s="66"/>
      <c r="T1560" s="110">
        <f>S1560-Q1560</f>
        <v>-993</v>
      </c>
      <c r="U1560" s="59">
        <f t="shared" si="2344"/>
        <v>0</v>
      </c>
      <c r="V1560" s="66"/>
      <c r="W1560" s="66"/>
      <c r="X1560" s="110">
        <f>W1560-M1560</f>
        <v>-973</v>
      </c>
      <c r="Y1560" s="110"/>
      <c r="Z1560" s="110"/>
      <c r="AA1560" s="110"/>
      <c r="AB1560" s="46"/>
      <c r="AC1560" s="78"/>
      <c r="AD1560" s="78"/>
      <c r="AE1560" s="100">
        <f t="shared" si="2345"/>
        <v>-2.0512820512820513E-3</v>
      </c>
      <c r="AF1560" s="90"/>
      <c r="AG1560" s="109">
        <f t="shared" si="2346"/>
        <v>-2</v>
      </c>
      <c r="AH1560" s="100">
        <f t="shared" si="2347"/>
        <v>-1</v>
      </c>
      <c r="AI1560" s="100">
        <f t="shared" si="2348"/>
        <v>-1</v>
      </c>
    </row>
    <row r="1561" spans="1:35" s="47" customFormat="1" ht="21" customHeight="1" x14ac:dyDescent="0.3">
      <c r="A1561" s="78"/>
      <c r="B1561" s="106" t="s">
        <v>51</v>
      </c>
      <c r="C1561" s="117">
        <v>48184</v>
      </c>
      <c r="D1561" s="300"/>
      <c r="E1561" s="131" t="s">
        <v>233</v>
      </c>
      <c r="F1561" s="66">
        <v>1395</v>
      </c>
      <c r="G1561" s="66"/>
      <c r="H1561" s="66"/>
      <c r="I1561" s="66"/>
      <c r="J1561" s="66"/>
      <c r="K1561" s="78"/>
      <c r="L1561" s="66"/>
      <c r="M1561" s="66">
        <f>468+127+816</f>
        <v>1411</v>
      </c>
      <c r="N1561" s="110">
        <f t="shared" si="2357"/>
        <v>16</v>
      </c>
      <c r="O1561" s="110"/>
      <c r="P1561" s="66"/>
      <c r="Q1561" s="66">
        <f>816+595</f>
        <v>1411</v>
      </c>
      <c r="R1561" s="66"/>
      <c r="S1561" s="66"/>
      <c r="T1561" s="110">
        <f>S1561-Q1561</f>
        <v>-1411</v>
      </c>
      <c r="U1561" s="59">
        <f t="shared" si="2344"/>
        <v>0</v>
      </c>
      <c r="V1561" s="66"/>
      <c r="W1561" s="66"/>
      <c r="X1561" s="110">
        <f>W1561-M1561</f>
        <v>-1411</v>
      </c>
      <c r="Y1561" s="110"/>
      <c r="Z1561" s="110"/>
      <c r="AA1561" s="110"/>
      <c r="AB1561" s="46"/>
      <c r="AC1561" s="78"/>
      <c r="AD1561" s="78"/>
      <c r="AE1561" s="100">
        <f t="shared" si="2345"/>
        <v>1.1469534050179211E-2</v>
      </c>
      <c r="AF1561" s="90"/>
      <c r="AG1561" s="109">
        <f t="shared" si="2346"/>
        <v>0</v>
      </c>
      <c r="AH1561" s="100">
        <f t="shared" si="2347"/>
        <v>-1</v>
      </c>
      <c r="AI1561" s="100">
        <f t="shared" si="2348"/>
        <v>-1</v>
      </c>
    </row>
    <row r="1562" spans="1:35" s="79" customFormat="1" ht="15.75" customHeight="1" x14ac:dyDescent="0.3">
      <c r="A1562" s="90" t="s">
        <v>46</v>
      </c>
      <c r="B1562" s="136" t="s">
        <v>51</v>
      </c>
      <c r="C1562" s="137"/>
      <c r="D1562" s="136"/>
      <c r="E1562" s="138"/>
      <c r="F1562" s="91">
        <f>SUM(F1559:F1561)</f>
        <v>3669</v>
      </c>
      <c r="G1562" s="91"/>
      <c r="H1562" s="91"/>
      <c r="I1562" s="91"/>
      <c r="J1562" s="91" t="s">
        <v>59</v>
      </c>
      <c r="K1562" s="65" t="s">
        <v>340</v>
      </c>
      <c r="L1562" s="91">
        <f>SUM(L1559:L1561)</f>
        <v>0</v>
      </c>
      <c r="M1562" s="91">
        <f>SUM(M1559:M1561)</f>
        <v>3484</v>
      </c>
      <c r="N1562" s="91">
        <f>SUM(N1559:N1561)</f>
        <v>-185</v>
      </c>
      <c r="O1562" s="91" t="s">
        <v>272</v>
      </c>
      <c r="P1562" s="91">
        <f>SUM(P1559:P1561)</f>
        <v>0</v>
      </c>
      <c r="Q1562" s="91">
        <f>SUM(Q1559:Q1561)</f>
        <v>3468</v>
      </c>
      <c r="R1562" s="91">
        <f>SUM(R1559:R1561)</f>
        <v>0</v>
      </c>
      <c r="S1562" s="91">
        <f>SUM(S1559:S1561)</f>
        <v>0</v>
      </c>
      <c r="T1562" s="91">
        <f>SUM(T1559:T1561)</f>
        <v>-3468</v>
      </c>
      <c r="U1562" s="59">
        <f t="shared" si="2344"/>
        <v>0</v>
      </c>
      <c r="V1562" s="91">
        <f>SUM(V1559:V1561)</f>
        <v>0</v>
      </c>
      <c r="W1562" s="91">
        <f>SUM(W1559:W1561)</f>
        <v>0</v>
      </c>
      <c r="X1562" s="91">
        <f>SUM(X1559:X1561)</f>
        <v>-3484</v>
      </c>
      <c r="Y1562" s="136" t="s">
        <v>57</v>
      </c>
      <c r="Z1562" s="136" t="s">
        <v>45</v>
      </c>
      <c r="AA1562" s="136"/>
      <c r="AB1562" s="84"/>
      <c r="AC1562" s="90"/>
      <c r="AD1562" s="90"/>
      <c r="AE1562" s="100">
        <f t="shared" si="2345"/>
        <v>-5.0422458435541016E-2</v>
      </c>
      <c r="AF1562" s="90"/>
      <c r="AG1562" s="109">
        <f t="shared" si="2346"/>
        <v>-185</v>
      </c>
      <c r="AH1562" s="100">
        <f t="shared" si="2347"/>
        <v>-1</v>
      </c>
      <c r="AI1562" s="100">
        <f t="shared" si="2348"/>
        <v>-1</v>
      </c>
    </row>
    <row r="1563" spans="1:35" s="47" customFormat="1" ht="21" customHeight="1" x14ac:dyDescent="0.3">
      <c r="A1563" s="78"/>
      <c r="B1563" s="106" t="s">
        <v>51</v>
      </c>
      <c r="C1563" s="117" t="s">
        <v>854</v>
      </c>
      <c r="D1563" s="299">
        <v>15245901</v>
      </c>
      <c r="E1563" s="131" t="s">
        <v>49</v>
      </c>
      <c r="F1563" s="66">
        <v>3766</v>
      </c>
      <c r="G1563" s="66"/>
      <c r="H1563" s="66"/>
      <c r="I1563" s="66"/>
      <c r="J1563" s="66"/>
      <c r="K1563" s="78"/>
      <c r="L1563" s="66">
        <v>28</v>
      </c>
      <c r="M1563" s="66">
        <f>1066+766+300+1457+186+28</f>
        <v>3803</v>
      </c>
      <c r="N1563" s="110">
        <f t="shared" ref="N1563:N1564" si="2358">M1563-F1563</f>
        <v>37</v>
      </c>
      <c r="O1563" s="110"/>
      <c r="P1563" s="66"/>
      <c r="Q1563" s="66"/>
      <c r="R1563" s="66"/>
      <c r="S1563" s="66"/>
      <c r="T1563" s="110">
        <f>S1563-Q1563</f>
        <v>0</v>
      </c>
      <c r="U1563" s="59">
        <f t="shared" si="2344"/>
        <v>30</v>
      </c>
      <c r="V1563" s="66">
        <v>3773</v>
      </c>
      <c r="W1563" s="66">
        <v>3773</v>
      </c>
      <c r="X1563" s="110">
        <f>W1563-M1563</f>
        <v>-30</v>
      </c>
      <c r="Y1563" s="110"/>
      <c r="Z1563" s="110"/>
      <c r="AA1563" s="110"/>
      <c r="AB1563" s="46"/>
      <c r="AC1563" s="78"/>
      <c r="AD1563" s="78"/>
      <c r="AE1563" s="100">
        <f t="shared" si="2345"/>
        <v>9.8247477429633558E-3</v>
      </c>
      <c r="AF1563" s="90"/>
      <c r="AG1563" s="109">
        <f t="shared" si="2346"/>
        <v>0</v>
      </c>
      <c r="AH1563" s="100">
        <f t="shared" si="2347"/>
        <v>-1</v>
      </c>
      <c r="AI1563" s="100">
        <f t="shared" si="2348"/>
        <v>1.8587360594795538E-3</v>
      </c>
    </row>
    <row r="1564" spans="1:35" s="47" customFormat="1" ht="21" customHeight="1" x14ac:dyDescent="0.3">
      <c r="A1564" s="78"/>
      <c r="B1564" s="106" t="s">
        <v>51</v>
      </c>
      <c r="C1564" s="117" t="s">
        <v>854</v>
      </c>
      <c r="D1564" s="300"/>
      <c r="E1564" s="131" t="s">
        <v>0</v>
      </c>
      <c r="F1564" s="66">
        <v>2584</v>
      </c>
      <c r="G1564" s="66"/>
      <c r="H1564" s="66"/>
      <c r="I1564" s="66"/>
      <c r="J1564" s="66"/>
      <c r="K1564" s="78"/>
      <c r="L1564" s="66"/>
      <c r="M1564" s="66">
        <f>1504+1008</f>
        <v>2512</v>
      </c>
      <c r="N1564" s="110">
        <f t="shared" si="2358"/>
        <v>-72</v>
      </c>
      <c r="O1564" s="110"/>
      <c r="P1564" s="66"/>
      <c r="Q1564" s="66"/>
      <c r="R1564" s="66"/>
      <c r="S1564" s="66"/>
      <c r="T1564" s="110">
        <f>S1564-Q1564</f>
        <v>0</v>
      </c>
      <c r="U1564" s="59">
        <f t="shared" si="2344"/>
        <v>2512</v>
      </c>
      <c r="V1564" s="66"/>
      <c r="W1564" s="66"/>
      <c r="X1564" s="110">
        <f>W1564-M1564</f>
        <v>-2512</v>
      </c>
      <c r="Y1564" s="110"/>
      <c r="Z1564" s="110"/>
      <c r="AA1564" s="110"/>
      <c r="AB1564" s="46"/>
      <c r="AC1564" s="78"/>
      <c r="AD1564" s="78"/>
      <c r="AE1564" s="100">
        <f t="shared" si="2345"/>
        <v>-2.7863777089783281E-2</v>
      </c>
      <c r="AF1564" s="90"/>
      <c r="AG1564" s="109">
        <f t="shared" si="2346"/>
        <v>-72</v>
      </c>
      <c r="AH1564" s="100">
        <f t="shared" si="2347"/>
        <v>-1</v>
      </c>
      <c r="AI1564" s="100">
        <f t="shared" si="2348"/>
        <v>-1</v>
      </c>
    </row>
    <row r="1565" spans="1:35" s="79" customFormat="1" ht="15.75" customHeight="1" x14ac:dyDescent="0.3">
      <c r="A1565" s="90" t="s">
        <v>46</v>
      </c>
      <c r="B1565" s="136" t="s">
        <v>51</v>
      </c>
      <c r="C1565" s="137"/>
      <c r="D1565" s="136"/>
      <c r="E1565" s="138"/>
      <c r="F1565" s="91">
        <f>SUM(F1563:F1564)</f>
        <v>6350</v>
      </c>
      <c r="G1565" s="91"/>
      <c r="H1565" s="91"/>
      <c r="I1565" s="91"/>
      <c r="J1565" s="91" t="s">
        <v>58</v>
      </c>
      <c r="K1565" s="65" t="s">
        <v>226</v>
      </c>
      <c r="L1565" s="91">
        <f>SUM(L1563:L1564)</f>
        <v>28</v>
      </c>
      <c r="M1565" s="91">
        <f>SUM(M1563:M1564)</f>
        <v>6315</v>
      </c>
      <c r="N1565" s="91">
        <f>SUM(N1563:N1564)</f>
        <v>-35</v>
      </c>
      <c r="O1565" s="91"/>
      <c r="P1565" s="91">
        <f>SUM(P1563:P1564)</f>
        <v>0</v>
      </c>
      <c r="Q1565" s="91">
        <f>SUM(Q1563:Q1564)</f>
        <v>0</v>
      </c>
      <c r="R1565" s="91">
        <f>SUM(R1563:R1564)</f>
        <v>0</v>
      </c>
      <c r="S1565" s="91">
        <f>SUM(S1563:S1564)</f>
        <v>0</v>
      </c>
      <c r="T1565" s="91">
        <f>SUM(T1563:T1564)</f>
        <v>0</v>
      </c>
      <c r="U1565" s="59">
        <f t="shared" si="2344"/>
        <v>2542</v>
      </c>
      <c r="V1565" s="91">
        <f>SUM(V1563:V1564)</f>
        <v>3773</v>
      </c>
      <c r="W1565" s="91">
        <f>SUM(W1563:W1564)</f>
        <v>3773</v>
      </c>
      <c r="X1565" s="91">
        <f>SUM(X1563:X1564)</f>
        <v>-2542</v>
      </c>
      <c r="Y1565" s="136"/>
      <c r="Z1565" s="136"/>
      <c r="AA1565" s="136"/>
      <c r="AB1565" s="84"/>
      <c r="AC1565" s="90"/>
      <c r="AD1565" s="90"/>
      <c r="AE1565" s="100">
        <f t="shared" si="2345"/>
        <v>-5.5118110236220472E-3</v>
      </c>
      <c r="AF1565" s="90"/>
      <c r="AG1565" s="109">
        <f t="shared" si="2346"/>
        <v>-35</v>
      </c>
      <c r="AH1565" s="100">
        <f t="shared" si="2347"/>
        <v>-1</v>
      </c>
      <c r="AI1565" s="100">
        <f t="shared" si="2348"/>
        <v>-0.40582677165354331</v>
      </c>
    </row>
    <row r="1566" spans="1:35" s="47" customFormat="1" ht="21" customHeight="1" x14ac:dyDescent="0.3">
      <c r="A1566" s="78"/>
      <c r="B1566" s="106" t="s">
        <v>51</v>
      </c>
      <c r="C1566" s="117" t="s">
        <v>281</v>
      </c>
      <c r="D1566" s="299">
        <v>15323159</v>
      </c>
      <c r="E1566" s="131" t="s">
        <v>163</v>
      </c>
      <c r="F1566" s="66">
        <v>3200</v>
      </c>
      <c r="G1566" s="66"/>
      <c r="H1566" s="66"/>
      <c r="I1566" s="66"/>
      <c r="J1566" s="66"/>
      <c r="K1566" s="78"/>
      <c r="L1566" s="66"/>
      <c r="M1566" s="66">
        <f>666+1341+657+477+95</f>
        <v>3236</v>
      </c>
      <c r="N1566" s="110">
        <f t="shared" ref="N1566:N1570" si="2359">M1566-F1566</f>
        <v>36</v>
      </c>
      <c r="O1566" s="110"/>
      <c r="P1566" s="66"/>
      <c r="Q1566" s="66"/>
      <c r="R1566" s="66"/>
      <c r="S1566" s="66"/>
      <c r="T1566" s="110">
        <f>S1566-Q1566</f>
        <v>0</v>
      </c>
      <c r="U1566" s="59">
        <f t="shared" si="2344"/>
        <v>0</v>
      </c>
      <c r="V1566" s="66"/>
      <c r="W1566" s="66">
        <f>3141+95</f>
        <v>3236</v>
      </c>
      <c r="X1566" s="110">
        <f>W1566-M1566</f>
        <v>0</v>
      </c>
      <c r="Y1566" s="110"/>
      <c r="Z1566" s="110"/>
      <c r="AA1566" s="110"/>
      <c r="AB1566" s="46"/>
      <c r="AC1566" s="78"/>
      <c r="AD1566" s="78"/>
      <c r="AE1566" s="100">
        <f t="shared" si="2345"/>
        <v>1.125E-2</v>
      </c>
      <c r="AF1566" s="90"/>
      <c r="AG1566" s="109">
        <f t="shared" si="2346"/>
        <v>0</v>
      </c>
      <c r="AH1566" s="100">
        <f t="shared" si="2347"/>
        <v>-1</v>
      </c>
      <c r="AI1566" s="100">
        <f t="shared" si="2348"/>
        <v>1.125E-2</v>
      </c>
    </row>
    <row r="1567" spans="1:35" s="47" customFormat="1" ht="21" customHeight="1" x14ac:dyDescent="0.3">
      <c r="A1567" s="78"/>
      <c r="B1567" s="106" t="s">
        <v>51</v>
      </c>
      <c r="C1567" s="117" t="s">
        <v>281</v>
      </c>
      <c r="D1567" s="300"/>
      <c r="E1567" s="131" t="s">
        <v>49</v>
      </c>
      <c r="F1567" s="66">
        <v>3040</v>
      </c>
      <c r="G1567" s="66"/>
      <c r="H1567" s="66"/>
      <c r="I1567" s="66"/>
      <c r="J1567" s="66"/>
      <c r="K1567" s="78"/>
      <c r="L1567" s="66"/>
      <c r="M1567" s="66">
        <f>639+1269+630+528</f>
        <v>3066</v>
      </c>
      <c r="N1567" s="110">
        <f t="shared" si="2359"/>
        <v>26</v>
      </c>
      <c r="O1567" s="110"/>
      <c r="P1567" s="66"/>
      <c r="Q1567" s="66"/>
      <c r="R1567" s="66"/>
      <c r="S1567" s="66"/>
      <c r="T1567" s="110">
        <f>S1567-Q1567</f>
        <v>0</v>
      </c>
      <c r="U1567" s="59">
        <f t="shared" si="2344"/>
        <v>0</v>
      </c>
      <c r="V1567" s="66"/>
      <c r="W1567" s="66">
        <v>3066</v>
      </c>
      <c r="X1567" s="110">
        <f>W1567-M1567</f>
        <v>0</v>
      </c>
      <c r="Y1567" s="110"/>
      <c r="Z1567" s="110"/>
      <c r="AA1567" s="110"/>
      <c r="AB1567" s="46"/>
      <c r="AC1567" s="78"/>
      <c r="AD1567" s="78"/>
      <c r="AE1567" s="100">
        <f t="shared" si="2345"/>
        <v>8.552631578947369E-3</v>
      </c>
      <c r="AF1567" s="90"/>
      <c r="AG1567" s="109">
        <f t="shared" si="2346"/>
        <v>0</v>
      </c>
      <c r="AH1567" s="100">
        <f t="shared" si="2347"/>
        <v>-1</v>
      </c>
      <c r="AI1567" s="100">
        <f t="shared" si="2348"/>
        <v>8.552631578947369E-3</v>
      </c>
    </row>
    <row r="1568" spans="1:35" s="47" customFormat="1" ht="21" customHeight="1" x14ac:dyDescent="0.3">
      <c r="A1568" s="78"/>
      <c r="B1568" s="106" t="s">
        <v>51</v>
      </c>
      <c r="C1568" s="117" t="s">
        <v>281</v>
      </c>
      <c r="D1568" s="300"/>
      <c r="E1568" s="131" t="s">
        <v>125</v>
      </c>
      <c r="F1568" s="66">
        <v>5040</v>
      </c>
      <c r="G1568" s="66"/>
      <c r="H1568" s="66"/>
      <c r="I1568" s="66"/>
      <c r="J1568" s="66"/>
      <c r="K1568" s="78"/>
      <c r="L1568" s="66"/>
      <c r="M1568" s="66">
        <f>459+95+693+846+837+1584+562</f>
        <v>5076</v>
      </c>
      <c r="N1568" s="110">
        <f t="shared" si="2359"/>
        <v>36</v>
      </c>
      <c r="O1568" s="110"/>
      <c r="P1568" s="66"/>
      <c r="Q1568" s="66"/>
      <c r="R1568" s="66"/>
      <c r="S1568" s="66"/>
      <c r="T1568" s="110">
        <f>S1568-Q1568</f>
        <v>0</v>
      </c>
      <c r="U1568" s="59">
        <f t="shared" si="2344"/>
        <v>0</v>
      </c>
      <c r="V1568" s="66"/>
      <c r="W1568" s="66">
        <v>5076</v>
      </c>
      <c r="X1568" s="110">
        <f>W1568-M1568</f>
        <v>0</v>
      </c>
      <c r="Y1568" s="110"/>
      <c r="Z1568" s="110"/>
      <c r="AA1568" s="110"/>
      <c r="AB1568" s="46"/>
      <c r="AC1568" s="78"/>
      <c r="AD1568" s="78"/>
      <c r="AE1568" s="100">
        <f t="shared" si="2345"/>
        <v>7.1428571428571426E-3</v>
      </c>
      <c r="AF1568" s="90"/>
      <c r="AG1568" s="109">
        <f t="shared" si="2346"/>
        <v>0</v>
      </c>
      <c r="AH1568" s="100">
        <f t="shared" si="2347"/>
        <v>-1</v>
      </c>
      <c r="AI1568" s="100">
        <f t="shared" si="2348"/>
        <v>7.1428571428571426E-3</v>
      </c>
    </row>
    <row r="1569" spans="1:35" s="47" customFormat="1" ht="21" customHeight="1" x14ac:dyDescent="0.3">
      <c r="A1569" s="78"/>
      <c r="B1569" s="106" t="s">
        <v>51</v>
      </c>
      <c r="C1569" s="117" t="s">
        <v>281</v>
      </c>
      <c r="D1569" s="300"/>
      <c r="E1569" s="131" t="s">
        <v>56</v>
      </c>
      <c r="F1569" s="66">
        <v>4000</v>
      </c>
      <c r="G1569" s="66"/>
      <c r="H1569" s="66"/>
      <c r="I1569" s="66"/>
      <c r="J1569" s="66"/>
      <c r="K1569" s="78"/>
      <c r="L1569" s="66"/>
      <c r="M1569" s="66">
        <f>332+415+3287</f>
        <v>4034</v>
      </c>
      <c r="N1569" s="110">
        <f t="shared" si="2359"/>
        <v>34</v>
      </c>
      <c r="O1569" s="110"/>
      <c r="P1569" s="66"/>
      <c r="Q1569" s="66"/>
      <c r="R1569" s="66"/>
      <c r="S1569" s="66"/>
      <c r="T1569" s="110">
        <f>S1569-Q1569</f>
        <v>0</v>
      </c>
      <c r="U1569" s="59">
        <f t="shared" si="2344"/>
        <v>0</v>
      </c>
      <c r="V1569" s="66"/>
      <c r="W1569" s="66">
        <v>4034</v>
      </c>
      <c r="X1569" s="110">
        <f>W1569-M1569</f>
        <v>0</v>
      </c>
      <c r="Y1569" s="110"/>
      <c r="Z1569" s="110"/>
      <c r="AA1569" s="110"/>
      <c r="AB1569" s="46"/>
      <c r="AC1569" s="78"/>
      <c r="AD1569" s="78"/>
      <c r="AE1569" s="100">
        <f t="shared" si="2345"/>
        <v>8.5000000000000006E-3</v>
      </c>
      <c r="AF1569" s="90"/>
      <c r="AG1569" s="109">
        <f t="shared" si="2346"/>
        <v>0</v>
      </c>
      <c r="AH1569" s="100">
        <f t="shared" si="2347"/>
        <v>-1</v>
      </c>
      <c r="AI1569" s="100">
        <f t="shared" si="2348"/>
        <v>8.5000000000000006E-3</v>
      </c>
    </row>
    <row r="1570" spans="1:35" s="47" customFormat="1" ht="21" customHeight="1" x14ac:dyDescent="0.3">
      <c r="A1570" s="78"/>
      <c r="B1570" s="106" t="s">
        <v>51</v>
      </c>
      <c r="C1570" s="117" t="s">
        <v>281</v>
      </c>
      <c r="D1570" s="300"/>
      <c r="E1570" s="131" t="s">
        <v>0</v>
      </c>
      <c r="F1570" s="66">
        <v>3040</v>
      </c>
      <c r="G1570" s="66"/>
      <c r="H1570" s="66"/>
      <c r="I1570" s="66"/>
      <c r="J1570" s="66"/>
      <c r="K1570" s="78"/>
      <c r="L1570" s="66"/>
      <c r="M1570" s="66">
        <f>1372+1692+4</f>
        <v>3068</v>
      </c>
      <c r="N1570" s="110">
        <f t="shared" si="2359"/>
        <v>28</v>
      </c>
      <c r="O1570" s="110"/>
      <c r="P1570" s="66"/>
      <c r="Q1570" s="66"/>
      <c r="R1570" s="66"/>
      <c r="S1570" s="66"/>
      <c r="T1570" s="110">
        <f>S1570-Q1570</f>
        <v>0</v>
      </c>
      <c r="U1570" s="59">
        <f t="shared" si="2344"/>
        <v>0</v>
      </c>
      <c r="V1570" s="66"/>
      <c r="W1570" s="66">
        <v>3068</v>
      </c>
      <c r="X1570" s="110">
        <f>W1570-M1570</f>
        <v>0</v>
      </c>
      <c r="Y1570" s="110"/>
      <c r="Z1570" s="110"/>
      <c r="AA1570" s="110"/>
      <c r="AB1570" s="46"/>
      <c r="AC1570" s="78"/>
      <c r="AD1570" s="78"/>
      <c r="AE1570" s="100">
        <f t="shared" si="2345"/>
        <v>9.2105263157894728E-3</v>
      </c>
      <c r="AF1570" s="90"/>
      <c r="AG1570" s="109">
        <f t="shared" si="2346"/>
        <v>0</v>
      </c>
      <c r="AH1570" s="100">
        <f t="shared" si="2347"/>
        <v>-1</v>
      </c>
      <c r="AI1570" s="100">
        <f t="shared" si="2348"/>
        <v>9.2105263157894728E-3</v>
      </c>
    </row>
    <row r="1571" spans="1:35" s="79" customFormat="1" ht="15.75" customHeight="1" x14ac:dyDescent="0.3">
      <c r="A1571" s="90" t="s">
        <v>46</v>
      </c>
      <c r="B1571" s="136" t="s">
        <v>51</v>
      </c>
      <c r="C1571" s="137"/>
      <c r="D1571" s="136"/>
      <c r="E1571" s="138"/>
      <c r="F1571" s="91">
        <f>SUM(F1566:F1570)</f>
        <v>18320</v>
      </c>
      <c r="G1571" s="91"/>
      <c r="H1571" s="91"/>
      <c r="I1571" s="91"/>
      <c r="J1571" s="91" t="s">
        <v>58</v>
      </c>
      <c r="K1571" s="65" t="s">
        <v>238</v>
      </c>
      <c r="L1571" s="91">
        <f>SUM(L1566:L1570)</f>
        <v>0</v>
      </c>
      <c r="M1571" s="91">
        <f>SUM(M1566:M1570)</f>
        <v>18480</v>
      </c>
      <c r="N1571" s="91">
        <f>SUM(N1566:N1570)</f>
        <v>160</v>
      </c>
      <c r="O1571" s="91"/>
      <c r="P1571" s="91">
        <f>SUM(P1566:P1570)</f>
        <v>0</v>
      </c>
      <c r="Q1571" s="91">
        <f>SUM(Q1566:Q1570)</f>
        <v>0</v>
      </c>
      <c r="R1571" s="91">
        <f>SUM(R1566:R1570)</f>
        <v>0</v>
      </c>
      <c r="S1571" s="91">
        <f>SUM(S1566:S1570)</f>
        <v>0</v>
      </c>
      <c r="T1571" s="91">
        <f>SUM(T1566:T1570)</f>
        <v>0</v>
      </c>
      <c r="U1571" s="59">
        <f t="shared" si="2344"/>
        <v>0</v>
      </c>
      <c r="V1571" s="91">
        <f>SUM(V1566:V1570)</f>
        <v>0</v>
      </c>
      <c r="W1571" s="91">
        <f>SUM(W1566:W1570)</f>
        <v>18480</v>
      </c>
      <c r="X1571" s="91">
        <f>SUM(X1566:X1570)</f>
        <v>0</v>
      </c>
      <c r="Y1571" s="136"/>
      <c r="Z1571" s="136"/>
      <c r="AA1571" s="136"/>
      <c r="AB1571" s="84"/>
      <c r="AC1571" s="90"/>
      <c r="AD1571" s="90"/>
      <c r="AE1571" s="100">
        <f t="shared" si="2345"/>
        <v>8.7336244541484712E-3</v>
      </c>
      <c r="AF1571" s="90"/>
      <c r="AG1571" s="109">
        <f t="shared" si="2346"/>
        <v>0</v>
      </c>
      <c r="AH1571" s="100">
        <f t="shared" si="2347"/>
        <v>-1</v>
      </c>
      <c r="AI1571" s="100">
        <f t="shared" si="2348"/>
        <v>8.7336244541484712E-3</v>
      </c>
    </row>
    <row r="1572" spans="1:35" s="47" customFormat="1" ht="21" customHeight="1" x14ac:dyDescent="0.3">
      <c r="A1572" s="78"/>
      <c r="B1572" s="106" t="s">
        <v>51</v>
      </c>
      <c r="C1572" s="117" t="s">
        <v>282</v>
      </c>
      <c r="D1572" s="299">
        <v>15323159</v>
      </c>
      <c r="E1572" s="131" t="s">
        <v>49</v>
      </c>
      <c r="F1572" s="66">
        <v>3708</v>
      </c>
      <c r="G1572" s="66"/>
      <c r="H1572" s="66"/>
      <c r="I1572" s="66"/>
      <c r="J1572" s="66"/>
      <c r="K1572" s="78"/>
      <c r="L1572" s="66"/>
      <c r="M1572" s="66">
        <f>801+900+765+641+585+40</f>
        <v>3732</v>
      </c>
      <c r="N1572" s="110">
        <f t="shared" ref="N1572:N1573" si="2360">M1572-F1572</f>
        <v>24</v>
      </c>
      <c r="O1572" s="110"/>
      <c r="P1572" s="66"/>
      <c r="Q1572" s="66"/>
      <c r="R1572" s="66"/>
      <c r="S1572" s="66"/>
      <c r="T1572" s="110">
        <f>S1572-Q1572</f>
        <v>0</v>
      </c>
      <c r="U1572" s="59">
        <f t="shared" ref="U1572:U1637" si="2361">IF(Q1572&gt;0,S1572-W1572,M1572-W1572)</f>
        <v>0</v>
      </c>
      <c r="V1572" s="66"/>
      <c r="W1572" s="66">
        <f>3692+40</f>
        <v>3732</v>
      </c>
      <c r="X1572" s="110">
        <f>W1572-M1572</f>
        <v>0</v>
      </c>
      <c r="Y1572" s="110"/>
      <c r="Z1572" s="110"/>
      <c r="AA1572" s="110"/>
      <c r="AB1572" s="46"/>
      <c r="AC1572" s="78"/>
      <c r="AD1572" s="78"/>
      <c r="AE1572" s="100">
        <f t="shared" ref="AE1572:AE1573" si="2362">N1572/F1572</f>
        <v>6.4724919093851136E-3</v>
      </c>
      <c r="AF1572" s="90"/>
      <c r="AG1572" s="109">
        <f t="shared" ref="AG1572:AG1573" si="2363">IF(N1572&lt;0,N1572,0)</f>
        <v>0</v>
      </c>
      <c r="AH1572" s="100">
        <f t="shared" ref="AH1572:AH1573" si="2364">(S1572-F1572)/F1572</f>
        <v>-1</v>
      </c>
      <c r="AI1572" s="100">
        <f t="shared" ref="AI1572:AI1573" si="2365">(W1572-F1572)/F1572</f>
        <v>6.4724919093851136E-3</v>
      </c>
    </row>
    <row r="1573" spans="1:35" s="47" customFormat="1" ht="21" customHeight="1" x14ac:dyDescent="0.3">
      <c r="A1573" s="78"/>
      <c r="B1573" s="106" t="s">
        <v>51</v>
      </c>
      <c r="C1573" s="117" t="s">
        <v>282</v>
      </c>
      <c r="D1573" s="300"/>
      <c r="E1573" s="131" t="s">
        <v>0</v>
      </c>
      <c r="F1573" s="66">
        <v>3312</v>
      </c>
      <c r="G1573" s="66"/>
      <c r="H1573" s="66"/>
      <c r="I1573" s="66"/>
      <c r="J1573" s="66"/>
      <c r="K1573" s="78"/>
      <c r="L1573" s="66"/>
      <c r="M1573" s="66">
        <f>1620+765+769</f>
        <v>3154</v>
      </c>
      <c r="N1573" s="110">
        <f t="shared" si="2360"/>
        <v>-158</v>
      </c>
      <c r="O1573" s="110"/>
      <c r="P1573" s="66"/>
      <c r="Q1573" s="66"/>
      <c r="R1573" s="66"/>
      <c r="S1573" s="66"/>
      <c r="T1573" s="110">
        <f>S1573-Q1573</f>
        <v>0</v>
      </c>
      <c r="U1573" s="59">
        <f t="shared" ref="U1573" si="2366">IF(Q1573&gt;0,S1573-W1573,M1573-W1573)</f>
        <v>2189</v>
      </c>
      <c r="V1573" s="66"/>
      <c r="W1573" s="66">
        <f>965</f>
        <v>965</v>
      </c>
      <c r="X1573" s="110">
        <f>W1573-M1573</f>
        <v>-2189</v>
      </c>
      <c r="Y1573" s="110"/>
      <c r="Z1573" s="110"/>
      <c r="AA1573" s="110"/>
      <c r="AB1573" s="46"/>
      <c r="AC1573" s="78"/>
      <c r="AD1573" s="78"/>
      <c r="AE1573" s="100">
        <f t="shared" si="2362"/>
        <v>-4.7705314009661832E-2</v>
      </c>
      <c r="AF1573" s="90"/>
      <c r="AG1573" s="109">
        <f t="shared" si="2363"/>
        <v>-158</v>
      </c>
      <c r="AH1573" s="100">
        <f t="shared" si="2364"/>
        <v>-1</v>
      </c>
      <c r="AI1573" s="100">
        <f t="shared" si="2365"/>
        <v>-0.70863526570048307</v>
      </c>
    </row>
    <row r="1574" spans="1:35" s="79" customFormat="1" ht="15.75" customHeight="1" x14ac:dyDescent="0.3">
      <c r="A1574" s="90" t="s">
        <v>46</v>
      </c>
      <c r="B1574" s="136" t="s">
        <v>51</v>
      </c>
      <c r="C1574" s="137"/>
      <c r="D1574" s="136"/>
      <c r="E1574" s="138"/>
      <c r="F1574" s="91">
        <f>SUM(F1572:F1573)</f>
        <v>7020</v>
      </c>
      <c r="G1574" s="91"/>
      <c r="H1574" s="91"/>
      <c r="I1574" s="91"/>
      <c r="J1574" s="91" t="s">
        <v>58</v>
      </c>
      <c r="K1574" s="65" t="s">
        <v>283</v>
      </c>
      <c r="L1574" s="91">
        <f>SUM(L1572:L1573)</f>
        <v>0</v>
      </c>
      <c r="M1574" s="91">
        <f>SUM(M1572:M1573)</f>
        <v>6886</v>
      </c>
      <c r="N1574" s="91">
        <f>SUM(N1572:N1573)</f>
        <v>-134</v>
      </c>
      <c r="O1574" s="91"/>
      <c r="P1574" s="91">
        <f>SUM(P1572:P1573)</f>
        <v>0</v>
      </c>
      <c r="Q1574" s="91">
        <f>SUM(Q1572:Q1573)</f>
        <v>0</v>
      </c>
      <c r="R1574" s="91">
        <f>SUM(R1572:R1573)</f>
        <v>0</v>
      </c>
      <c r="S1574" s="91">
        <f>SUM(S1572:S1573)</f>
        <v>0</v>
      </c>
      <c r="T1574" s="91">
        <f>SUM(T1572:T1573)</f>
        <v>0</v>
      </c>
      <c r="U1574" s="59">
        <f t="shared" si="2361"/>
        <v>2189</v>
      </c>
      <c r="V1574" s="91">
        <f>SUM(V1572:V1573)</f>
        <v>0</v>
      </c>
      <c r="W1574" s="91">
        <f>SUM(W1572:W1573)</f>
        <v>4697</v>
      </c>
      <c r="X1574" s="91">
        <f>SUM(X1572:X1573)</f>
        <v>-2189</v>
      </c>
      <c r="Y1574" s="136"/>
      <c r="Z1574" s="136"/>
      <c r="AA1574" s="136"/>
      <c r="AB1574" s="84"/>
      <c r="AC1574" s="90"/>
      <c r="AD1574" s="90"/>
      <c r="AE1574" s="100">
        <f t="shared" ref="AE1574:AE1627" si="2367">N1574/F1574</f>
        <v>-1.9088319088319088E-2</v>
      </c>
      <c r="AF1574" s="90"/>
      <c r="AG1574" s="109">
        <f t="shared" ref="AG1574:AG1627" si="2368">IF(N1574&lt;0,N1574,0)</f>
        <v>-134</v>
      </c>
      <c r="AH1574" s="100">
        <f t="shared" ref="AH1574:AH1627" si="2369">(S1574-F1574)/F1574</f>
        <v>-1</v>
      </c>
      <c r="AI1574" s="100">
        <f t="shared" ref="AI1574:AI1627" si="2370">(W1574-F1574)/F1574</f>
        <v>-0.33091168091168094</v>
      </c>
    </row>
    <row r="1575" spans="1:35" s="47" customFormat="1" ht="21" customHeight="1" x14ac:dyDescent="0.3">
      <c r="A1575" s="78"/>
      <c r="B1575" s="106" t="s">
        <v>51</v>
      </c>
      <c r="C1575" s="117" t="s">
        <v>579</v>
      </c>
      <c r="D1575" s="299">
        <v>15323159</v>
      </c>
      <c r="E1575" s="131" t="s">
        <v>49</v>
      </c>
      <c r="F1575" s="66">
        <v>5040</v>
      </c>
      <c r="G1575" s="66"/>
      <c r="H1575" s="66"/>
      <c r="I1575" s="66"/>
      <c r="J1575" s="66"/>
      <c r="K1575" s="78"/>
      <c r="L1575" s="66"/>
      <c r="M1575" s="66">
        <f>1701+900+576+1867+40</f>
        <v>5084</v>
      </c>
      <c r="N1575" s="110">
        <f t="shared" ref="N1575:N1578" si="2371">M1575-F1575</f>
        <v>44</v>
      </c>
      <c r="O1575" s="110"/>
      <c r="P1575" s="66"/>
      <c r="Q1575" s="66"/>
      <c r="R1575" s="66"/>
      <c r="S1575" s="66"/>
      <c r="T1575" s="110">
        <f>S1575-Q1575</f>
        <v>0</v>
      </c>
      <c r="U1575" s="59">
        <f t="shared" ref="U1575:U1587" si="2372">IF(Q1575&gt;0,S1575-W1575,M1575-W1575)</f>
        <v>0</v>
      </c>
      <c r="V1575" s="66"/>
      <c r="W1575" s="66">
        <f>3177+1907</f>
        <v>5084</v>
      </c>
      <c r="X1575" s="110">
        <f>W1575-M1575</f>
        <v>0</v>
      </c>
      <c r="Y1575" s="110"/>
      <c r="Z1575" s="110"/>
      <c r="AA1575" s="110"/>
      <c r="AB1575" s="46"/>
      <c r="AC1575" s="78"/>
      <c r="AD1575" s="78"/>
      <c r="AE1575" s="100">
        <f t="shared" si="2367"/>
        <v>8.7301587301587304E-3</v>
      </c>
      <c r="AF1575" s="90"/>
      <c r="AG1575" s="109">
        <f t="shared" si="2368"/>
        <v>0</v>
      </c>
      <c r="AH1575" s="100">
        <f t="shared" si="2369"/>
        <v>-1</v>
      </c>
      <c r="AI1575" s="100">
        <f t="shared" si="2370"/>
        <v>8.7301587301587304E-3</v>
      </c>
    </row>
    <row r="1576" spans="1:35" s="47" customFormat="1" ht="21" customHeight="1" x14ac:dyDescent="0.3">
      <c r="A1576" s="78"/>
      <c r="B1576" s="106" t="s">
        <v>51</v>
      </c>
      <c r="C1576" s="117" t="s">
        <v>579</v>
      </c>
      <c r="D1576" s="300"/>
      <c r="E1576" s="131" t="s">
        <v>125</v>
      </c>
      <c r="F1576" s="66">
        <v>3040</v>
      </c>
      <c r="G1576" s="66"/>
      <c r="H1576" s="66"/>
      <c r="I1576" s="66"/>
      <c r="J1576" s="66"/>
      <c r="K1576" s="78"/>
      <c r="L1576" s="66"/>
      <c r="M1576" s="66">
        <f>900+900+1269</f>
        <v>3069</v>
      </c>
      <c r="N1576" s="110">
        <f t="shared" si="2371"/>
        <v>29</v>
      </c>
      <c r="O1576" s="110"/>
      <c r="P1576" s="66"/>
      <c r="Q1576" s="66"/>
      <c r="R1576" s="66"/>
      <c r="S1576" s="66"/>
      <c r="T1576" s="110">
        <f t="shared" ref="T1576:T1578" si="2373">S1576-Q1576</f>
        <v>0</v>
      </c>
      <c r="U1576" s="59">
        <f t="shared" si="2372"/>
        <v>0</v>
      </c>
      <c r="V1576" s="66"/>
      <c r="W1576" s="66">
        <v>3069</v>
      </c>
      <c r="X1576" s="110">
        <f t="shared" ref="X1576:X1578" si="2374">W1576-M1576</f>
        <v>0</v>
      </c>
      <c r="Y1576" s="110"/>
      <c r="Z1576" s="110"/>
      <c r="AA1576" s="110"/>
      <c r="AB1576" s="46"/>
      <c r="AC1576" s="78"/>
      <c r="AD1576" s="78"/>
      <c r="AE1576" s="100">
        <f t="shared" si="2367"/>
        <v>9.5394736842105265E-3</v>
      </c>
      <c r="AF1576" s="90"/>
      <c r="AG1576" s="109">
        <f t="shared" si="2368"/>
        <v>0</v>
      </c>
      <c r="AH1576" s="100">
        <f t="shared" si="2369"/>
        <v>-1</v>
      </c>
      <c r="AI1576" s="100">
        <f t="shared" si="2370"/>
        <v>9.5394736842105265E-3</v>
      </c>
    </row>
    <row r="1577" spans="1:35" s="47" customFormat="1" ht="21" customHeight="1" x14ac:dyDescent="0.3">
      <c r="A1577" s="78"/>
      <c r="B1577" s="106" t="s">
        <v>51</v>
      </c>
      <c r="C1577" s="117" t="s">
        <v>579</v>
      </c>
      <c r="D1577" s="300"/>
      <c r="E1577" s="131" t="s">
        <v>0</v>
      </c>
      <c r="F1577" s="66">
        <v>3040</v>
      </c>
      <c r="G1577" s="66"/>
      <c r="H1577" s="66"/>
      <c r="I1577" s="66"/>
      <c r="J1577" s="66"/>
      <c r="K1577" s="78"/>
      <c r="L1577" s="66"/>
      <c r="M1577" s="66">
        <f>729+720+1215+296+102</f>
        <v>3062</v>
      </c>
      <c r="N1577" s="110">
        <f t="shared" si="2371"/>
        <v>22</v>
      </c>
      <c r="O1577" s="110"/>
      <c r="P1577" s="66"/>
      <c r="Q1577" s="66"/>
      <c r="R1577" s="66"/>
      <c r="S1577" s="66"/>
      <c r="T1577" s="110">
        <f t="shared" si="2373"/>
        <v>0</v>
      </c>
      <c r="U1577" s="59">
        <f t="shared" si="2372"/>
        <v>0</v>
      </c>
      <c r="V1577" s="66"/>
      <c r="W1577" s="66">
        <v>3062</v>
      </c>
      <c r="X1577" s="110">
        <f t="shared" si="2374"/>
        <v>0</v>
      </c>
      <c r="Y1577" s="110"/>
      <c r="Z1577" s="110"/>
      <c r="AA1577" s="110"/>
      <c r="AB1577" s="46"/>
      <c r="AC1577" s="78"/>
      <c r="AD1577" s="78"/>
      <c r="AE1577" s="100">
        <f t="shared" si="2367"/>
        <v>7.2368421052631578E-3</v>
      </c>
      <c r="AF1577" s="90"/>
      <c r="AG1577" s="109">
        <f t="shared" si="2368"/>
        <v>0</v>
      </c>
      <c r="AH1577" s="100">
        <f t="shared" si="2369"/>
        <v>-1</v>
      </c>
      <c r="AI1577" s="100">
        <f t="shared" si="2370"/>
        <v>7.2368421052631578E-3</v>
      </c>
    </row>
    <row r="1578" spans="1:35" s="47" customFormat="1" ht="21" customHeight="1" x14ac:dyDescent="0.3">
      <c r="A1578" s="78"/>
      <c r="B1578" s="106" t="s">
        <v>51</v>
      </c>
      <c r="C1578" s="117" t="s">
        <v>579</v>
      </c>
      <c r="D1578" s="300"/>
      <c r="E1578" s="131" t="s">
        <v>41</v>
      </c>
      <c r="F1578" s="66">
        <v>3040</v>
      </c>
      <c r="G1578" s="66"/>
      <c r="H1578" s="66"/>
      <c r="I1578" s="66"/>
      <c r="J1578" s="66"/>
      <c r="K1578" s="78"/>
      <c r="L1578" s="66"/>
      <c r="M1578" s="66">
        <f>909+1054+901+204</f>
        <v>3068</v>
      </c>
      <c r="N1578" s="110">
        <f t="shared" si="2371"/>
        <v>28</v>
      </c>
      <c r="O1578" s="110"/>
      <c r="P1578" s="66"/>
      <c r="Q1578" s="66"/>
      <c r="R1578" s="66"/>
      <c r="S1578" s="66"/>
      <c r="T1578" s="110">
        <f t="shared" si="2373"/>
        <v>0</v>
      </c>
      <c r="U1578" s="59">
        <f t="shared" si="2372"/>
        <v>0</v>
      </c>
      <c r="V1578" s="66"/>
      <c r="W1578" s="66">
        <v>3068</v>
      </c>
      <c r="X1578" s="110">
        <f t="shared" si="2374"/>
        <v>0</v>
      </c>
      <c r="Y1578" s="110"/>
      <c r="Z1578" s="110"/>
      <c r="AA1578" s="110"/>
      <c r="AB1578" s="46"/>
      <c r="AC1578" s="78"/>
      <c r="AD1578" s="78"/>
      <c r="AE1578" s="100">
        <f t="shared" si="2367"/>
        <v>9.2105263157894728E-3</v>
      </c>
      <c r="AF1578" s="90"/>
      <c r="AG1578" s="109">
        <f t="shared" si="2368"/>
        <v>0</v>
      </c>
      <c r="AH1578" s="100">
        <f t="shared" si="2369"/>
        <v>-1</v>
      </c>
      <c r="AI1578" s="100">
        <f t="shared" si="2370"/>
        <v>9.2105263157894728E-3</v>
      </c>
    </row>
    <row r="1579" spans="1:35" s="79" customFormat="1" ht="15.75" customHeight="1" x14ac:dyDescent="0.3">
      <c r="A1579" s="90" t="s">
        <v>46</v>
      </c>
      <c r="B1579" s="136" t="s">
        <v>51</v>
      </c>
      <c r="C1579" s="137"/>
      <c r="D1579" s="136"/>
      <c r="E1579" s="138"/>
      <c r="F1579" s="91">
        <f>SUM(F1575:F1578)</f>
        <v>14160</v>
      </c>
      <c r="G1579" s="91"/>
      <c r="H1579" s="91"/>
      <c r="I1579" s="91"/>
      <c r="J1579" s="91" t="s">
        <v>58</v>
      </c>
      <c r="K1579" s="65" t="s">
        <v>210</v>
      </c>
      <c r="L1579" s="91">
        <f>SUM(L1575:L1578)</f>
        <v>0</v>
      </c>
      <c r="M1579" s="91">
        <f>SUM(M1575:M1578)</f>
        <v>14283</v>
      </c>
      <c r="N1579" s="91">
        <f>SUM(N1575:N1578)</f>
        <v>123</v>
      </c>
      <c r="O1579" s="91"/>
      <c r="P1579" s="91">
        <f>SUM(P1575:P1578)</f>
        <v>0</v>
      </c>
      <c r="Q1579" s="91">
        <f>SUM(Q1575:Q1578)</f>
        <v>0</v>
      </c>
      <c r="R1579" s="91">
        <f>SUM(R1575:R1578)</f>
        <v>0</v>
      </c>
      <c r="S1579" s="91">
        <f>SUM(S1575:S1578)</f>
        <v>0</v>
      </c>
      <c r="T1579" s="91">
        <f>SUM(T1575:T1578)</f>
        <v>0</v>
      </c>
      <c r="U1579" s="59">
        <f t="shared" si="2372"/>
        <v>0</v>
      </c>
      <c r="V1579" s="91">
        <f>SUM(V1575:V1578)</f>
        <v>0</v>
      </c>
      <c r="W1579" s="91">
        <f>SUM(W1575:W1578)</f>
        <v>14283</v>
      </c>
      <c r="X1579" s="91">
        <f>SUM(X1575:X1578)</f>
        <v>0</v>
      </c>
      <c r="Y1579" s="136"/>
      <c r="Z1579" s="136"/>
      <c r="AA1579" s="136"/>
      <c r="AB1579" s="84"/>
      <c r="AC1579" s="90"/>
      <c r="AD1579" s="90"/>
      <c r="AE1579" s="100">
        <f t="shared" si="2367"/>
        <v>8.6864406779661018E-3</v>
      </c>
      <c r="AF1579" s="90"/>
      <c r="AG1579" s="109">
        <f t="shared" si="2368"/>
        <v>0</v>
      </c>
      <c r="AH1579" s="100">
        <f t="shared" si="2369"/>
        <v>-1</v>
      </c>
      <c r="AI1579" s="100">
        <f t="shared" si="2370"/>
        <v>8.6864406779661018E-3</v>
      </c>
    </row>
    <row r="1580" spans="1:35" s="47" customFormat="1" ht="21" customHeight="1" x14ac:dyDescent="0.3">
      <c r="A1580" s="78"/>
      <c r="B1580" s="106" t="s">
        <v>51</v>
      </c>
      <c r="C1580" s="117" t="s">
        <v>580</v>
      </c>
      <c r="D1580" s="299">
        <v>15323159</v>
      </c>
      <c r="E1580" s="131" t="s">
        <v>163</v>
      </c>
      <c r="F1580" s="66">
        <v>3040</v>
      </c>
      <c r="G1580" s="66"/>
      <c r="H1580" s="66"/>
      <c r="I1580" s="66"/>
      <c r="J1580" s="66"/>
      <c r="K1580" s="78"/>
      <c r="L1580" s="66"/>
      <c r="M1580" s="66">
        <f>2232+648+199</f>
        <v>3079</v>
      </c>
      <c r="N1580" s="110">
        <f t="shared" ref="N1580:N1582" si="2375">M1580-F1580</f>
        <v>39</v>
      </c>
      <c r="O1580" s="110"/>
      <c r="P1580" s="66"/>
      <c r="Q1580" s="66"/>
      <c r="R1580" s="66"/>
      <c r="S1580" s="66"/>
      <c r="T1580" s="110">
        <f>S1580-Q1580</f>
        <v>0</v>
      </c>
      <c r="U1580" s="59">
        <f t="shared" si="2372"/>
        <v>0</v>
      </c>
      <c r="V1580" s="66"/>
      <c r="W1580" s="66">
        <v>3079</v>
      </c>
      <c r="X1580" s="110">
        <f>W1580-M1580</f>
        <v>0</v>
      </c>
      <c r="Y1580" s="110"/>
      <c r="Z1580" s="110"/>
      <c r="AA1580" s="110"/>
      <c r="AB1580" s="46"/>
      <c r="AC1580" s="78"/>
      <c r="AD1580" s="78"/>
      <c r="AE1580" s="100">
        <f t="shared" si="2367"/>
        <v>1.2828947368421053E-2</v>
      </c>
      <c r="AF1580" s="90"/>
      <c r="AG1580" s="109">
        <f t="shared" si="2368"/>
        <v>0</v>
      </c>
      <c r="AH1580" s="100">
        <f t="shared" si="2369"/>
        <v>-1</v>
      </c>
      <c r="AI1580" s="100">
        <f t="shared" si="2370"/>
        <v>1.2828947368421053E-2</v>
      </c>
    </row>
    <row r="1581" spans="1:35" s="47" customFormat="1" ht="21" customHeight="1" x14ac:dyDescent="0.3">
      <c r="A1581" s="78"/>
      <c r="B1581" s="106" t="s">
        <v>51</v>
      </c>
      <c r="C1581" s="117" t="s">
        <v>580</v>
      </c>
      <c r="D1581" s="300"/>
      <c r="E1581" s="131" t="s">
        <v>125</v>
      </c>
      <c r="F1581" s="66">
        <v>3200</v>
      </c>
      <c r="G1581" s="66"/>
      <c r="H1581" s="66"/>
      <c r="I1581" s="66"/>
      <c r="J1581" s="66"/>
      <c r="K1581" s="78"/>
      <c r="L1581" s="66"/>
      <c r="M1581" s="66">
        <f>949+1404+693+189</f>
        <v>3235</v>
      </c>
      <c r="N1581" s="110">
        <f t="shared" si="2375"/>
        <v>35</v>
      </c>
      <c r="O1581" s="110"/>
      <c r="P1581" s="66"/>
      <c r="Q1581" s="66"/>
      <c r="R1581" s="66"/>
      <c r="S1581" s="66"/>
      <c r="T1581" s="110">
        <f t="shared" ref="T1581:T1582" si="2376">S1581-Q1581</f>
        <v>0</v>
      </c>
      <c r="U1581" s="59">
        <f t="shared" si="2372"/>
        <v>0</v>
      </c>
      <c r="V1581" s="66"/>
      <c r="W1581" s="66">
        <v>3235</v>
      </c>
      <c r="X1581" s="110">
        <f t="shared" ref="X1581:X1582" si="2377">W1581-M1581</f>
        <v>0</v>
      </c>
      <c r="Y1581" s="110"/>
      <c r="Z1581" s="110"/>
      <c r="AA1581" s="110"/>
      <c r="AB1581" s="46"/>
      <c r="AC1581" s="78"/>
      <c r="AD1581" s="78"/>
      <c r="AE1581" s="100">
        <f t="shared" si="2367"/>
        <v>1.0937499999999999E-2</v>
      </c>
      <c r="AF1581" s="90"/>
      <c r="AG1581" s="109">
        <f t="shared" si="2368"/>
        <v>0</v>
      </c>
      <c r="AH1581" s="100">
        <f t="shared" si="2369"/>
        <v>-1</v>
      </c>
      <c r="AI1581" s="100">
        <f t="shared" si="2370"/>
        <v>1.0937499999999999E-2</v>
      </c>
    </row>
    <row r="1582" spans="1:35" s="47" customFormat="1" ht="21" customHeight="1" x14ac:dyDescent="0.3">
      <c r="A1582" s="78"/>
      <c r="B1582" s="106" t="s">
        <v>51</v>
      </c>
      <c r="C1582" s="117" t="s">
        <v>580</v>
      </c>
      <c r="D1582" s="300"/>
      <c r="E1582" s="131" t="s">
        <v>56</v>
      </c>
      <c r="F1582" s="66">
        <v>3360</v>
      </c>
      <c r="G1582" s="66"/>
      <c r="H1582" s="66"/>
      <c r="I1582" s="66"/>
      <c r="J1582" s="66"/>
      <c r="K1582" s="78"/>
      <c r="L1582" s="66"/>
      <c r="M1582" s="66">
        <f>2055+1116+224</f>
        <v>3395</v>
      </c>
      <c r="N1582" s="110">
        <f t="shared" si="2375"/>
        <v>35</v>
      </c>
      <c r="O1582" s="110"/>
      <c r="P1582" s="66"/>
      <c r="Q1582" s="66"/>
      <c r="R1582" s="66"/>
      <c r="S1582" s="66"/>
      <c r="T1582" s="110">
        <f t="shared" si="2376"/>
        <v>0</v>
      </c>
      <c r="U1582" s="59">
        <f t="shared" si="2372"/>
        <v>0</v>
      </c>
      <c r="V1582" s="66"/>
      <c r="W1582" s="66">
        <v>3395</v>
      </c>
      <c r="X1582" s="110">
        <f t="shared" si="2377"/>
        <v>0</v>
      </c>
      <c r="Y1582" s="110"/>
      <c r="Z1582" s="110"/>
      <c r="AA1582" s="110"/>
      <c r="AB1582" s="46"/>
      <c r="AC1582" s="78"/>
      <c r="AD1582" s="78"/>
      <c r="AE1582" s="100">
        <f t="shared" si="2367"/>
        <v>1.0416666666666666E-2</v>
      </c>
      <c r="AF1582" s="90"/>
      <c r="AG1582" s="109">
        <f t="shared" si="2368"/>
        <v>0</v>
      </c>
      <c r="AH1582" s="100">
        <f t="shared" si="2369"/>
        <v>-1</v>
      </c>
      <c r="AI1582" s="100">
        <f t="shared" si="2370"/>
        <v>1.0416666666666666E-2</v>
      </c>
    </row>
    <row r="1583" spans="1:35" s="79" customFormat="1" ht="15.75" customHeight="1" x14ac:dyDescent="0.3">
      <c r="A1583" s="90" t="s">
        <v>46</v>
      </c>
      <c r="B1583" s="136" t="s">
        <v>51</v>
      </c>
      <c r="C1583" s="137"/>
      <c r="D1583" s="136"/>
      <c r="E1583" s="138"/>
      <c r="F1583" s="91">
        <f>SUM(F1580:F1582)</f>
        <v>9600</v>
      </c>
      <c r="G1583" s="91"/>
      <c r="H1583" s="91"/>
      <c r="I1583" s="91"/>
      <c r="J1583" s="91" t="s">
        <v>58</v>
      </c>
      <c r="K1583" s="65" t="s">
        <v>226</v>
      </c>
      <c r="L1583" s="91">
        <f>SUM(L1580:L1582)</f>
        <v>0</v>
      </c>
      <c r="M1583" s="91">
        <f>SUM(M1580:M1582)</f>
        <v>9709</v>
      </c>
      <c r="N1583" s="91">
        <f>SUM(N1580:N1582)</f>
        <v>109</v>
      </c>
      <c r="O1583" s="91"/>
      <c r="P1583" s="91">
        <f>SUM(P1580:P1582)</f>
        <v>0</v>
      </c>
      <c r="Q1583" s="91">
        <f>SUM(Q1580:Q1582)</f>
        <v>0</v>
      </c>
      <c r="R1583" s="91">
        <f>SUM(R1580:R1582)</f>
        <v>0</v>
      </c>
      <c r="S1583" s="91">
        <f>SUM(S1580:S1582)</f>
        <v>0</v>
      </c>
      <c r="T1583" s="91">
        <f>SUM(T1580:T1582)</f>
        <v>0</v>
      </c>
      <c r="U1583" s="59">
        <f t="shared" si="2372"/>
        <v>0</v>
      </c>
      <c r="V1583" s="91">
        <f>SUM(V1580:V1582)</f>
        <v>0</v>
      </c>
      <c r="W1583" s="91">
        <f>SUM(W1580:W1582)</f>
        <v>9709</v>
      </c>
      <c r="X1583" s="91">
        <f>SUM(X1580:X1582)</f>
        <v>0</v>
      </c>
      <c r="Y1583" s="136"/>
      <c r="Z1583" s="136"/>
      <c r="AA1583" s="136"/>
      <c r="AB1583" s="84"/>
      <c r="AC1583" s="90"/>
      <c r="AD1583" s="90"/>
      <c r="AE1583" s="100">
        <f t="shared" si="2367"/>
        <v>1.1354166666666667E-2</v>
      </c>
      <c r="AF1583" s="90"/>
      <c r="AG1583" s="109">
        <f t="shared" si="2368"/>
        <v>0</v>
      </c>
      <c r="AH1583" s="100">
        <f t="shared" si="2369"/>
        <v>-1</v>
      </c>
      <c r="AI1583" s="100">
        <f t="shared" si="2370"/>
        <v>1.1354166666666667E-2</v>
      </c>
    </row>
    <row r="1584" spans="1:35" s="47" customFormat="1" ht="21" customHeight="1" x14ac:dyDescent="0.3">
      <c r="A1584" s="78"/>
      <c r="B1584" s="106" t="s">
        <v>51</v>
      </c>
      <c r="C1584" s="117" t="s">
        <v>581</v>
      </c>
      <c r="D1584" s="299">
        <v>15323159</v>
      </c>
      <c r="E1584" s="131" t="s">
        <v>49</v>
      </c>
      <c r="F1584" s="66">
        <v>4640</v>
      </c>
      <c r="G1584" s="66"/>
      <c r="H1584" s="66"/>
      <c r="I1584" s="66"/>
      <c r="J1584" s="66"/>
      <c r="K1584" s="78"/>
      <c r="L1584" s="66"/>
      <c r="M1584" s="66">
        <f>909+891+1611+1196+74</f>
        <v>4681</v>
      </c>
      <c r="N1584" s="110">
        <f t="shared" ref="N1584:N1586" si="2378">M1584-F1584</f>
        <v>41</v>
      </c>
      <c r="O1584" s="110"/>
      <c r="P1584" s="66"/>
      <c r="Q1584" s="66"/>
      <c r="R1584" s="66"/>
      <c r="S1584" s="66"/>
      <c r="T1584" s="110">
        <f>S1584-Q1584</f>
        <v>0</v>
      </c>
      <c r="U1584" s="59">
        <f t="shared" si="2372"/>
        <v>0</v>
      </c>
      <c r="V1584" s="66"/>
      <c r="W1584" s="66">
        <v>4681</v>
      </c>
      <c r="X1584" s="110">
        <f>W1584-M1584</f>
        <v>0</v>
      </c>
      <c r="Y1584" s="110"/>
      <c r="Z1584" s="110"/>
      <c r="AA1584" s="110"/>
      <c r="AB1584" s="46"/>
      <c r="AC1584" s="78"/>
      <c r="AD1584" s="78"/>
      <c r="AE1584" s="100">
        <f t="shared" si="2367"/>
        <v>8.8362068965517244E-3</v>
      </c>
      <c r="AF1584" s="90"/>
      <c r="AG1584" s="109">
        <f t="shared" si="2368"/>
        <v>0</v>
      </c>
      <c r="AH1584" s="100">
        <f t="shared" si="2369"/>
        <v>-1</v>
      </c>
      <c r="AI1584" s="100">
        <f t="shared" si="2370"/>
        <v>8.8362068965517244E-3</v>
      </c>
    </row>
    <row r="1585" spans="1:35" s="47" customFormat="1" ht="21" customHeight="1" x14ac:dyDescent="0.3">
      <c r="A1585" s="78"/>
      <c r="B1585" s="106" t="s">
        <v>51</v>
      </c>
      <c r="C1585" s="117" t="s">
        <v>581</v>
      </c>
      <c r="D1585" s="300"/>
      <c r="E1585" s="131" t="s">
        <v>125</v>
      </c>
      <c r="F1585" s="66">
        <v>3040</v>
      </c>
      <c r="G1585" s="66"/>
      <c r="H1585" s="66"/>
      <c r="I1585" s="66"/>
      <c r="J1585" s="66"/>
      <c r="K1585" s="78"/>
      <c r="L1585" s="66"/>
      <c r="M1585" s="66">
        <f>963+846+846+409</f>
        <v>3064</v>
      </c>
      <c r="N1585" s="110">
        <f t="shared" si="2378"/>
        <v>24</v>
      </c>
      <c r="O1585" s="110"/>
      <c r="P1585" s="66"/>
      <c r="Q1585" s="66"/>
      <c r="R1585" s="66"/>
      <c r="S1585" s="66"/>
      <c r="T1585" s="110">
        <f t="shared" ref="T1585:T1586" si="2379">S1585-Q1585</f>
        <v>0</v>
      </c>
      <c r="U1585" s="59">
        <f t="shared" si="2372"/>
        <v>0</v>
      </c>
      <c r="V1585" s="66"/>
      <c r="W1585" s="66">
        <v>3064</v>
      </c>
      <c r="X1585" s="110">
        <f t="shared" ref="X1585:X1586" si="2380">W1585-M1585</f>
        <v>0</v>
      </c>
      <c r="Y1585" s="110"/>
      <c r="Z1585" s="110"/>
      <c r="AA1585" s="110"/>
      <c r="AB1585" s="46"/>
      <c r="AC1585" s="78"/>
      <c r="AD1585" s="78"/>
      <c r="AE1585" s="100">
        <f t="shared" si="2367"/>
        <v>7.8947368421052634E-3</v>
      </c>
      <c r="AF1585" s="90"/>
      <c r="AG1585" s="109">
        <f t="shared" si="2368"/>
        <v>0</v>
      </c>
      <c r="AH1585" s="100">
        <f t="shared" si="2369"/>
        <v>-1</v>
      </c>
      <c r="AI1585" s="100">
        <f t="shared" si="2370"/>
        <v>7.8947368421052634E-3</v>
      </c>
    </row>
    <row r="1586" spans="1:35" s="47" customFormat="1" ht="21" customHeight="1" x14ac:dyDescent="0.3">
      <c r="A1586" s="78"/>
      <c r="B1586" s="106" t="s">
        <v>51</v>
      </c>
      <c r="C1586" s="117" t="s">
        <v>581</v>
      </c>
      <c r="D1586" s="300"/>
      <c r="E1586" s="131" t="s">
        <v>41</v>
      </c>
      <c r="F1586" s="66">
        <v>3040</v>
      </c>
      <c r="G1586" s="66"/>
      <c r="H1586" s="66"/>
      <c r="I1586" s="66"/>
      <c r="J1586" s="66"/>
      <c r="K1586" s="78"/>
      <c r="L1586" s="66"/>
      <c r="M1586" s="66">
        <f>1620+738+612+100</f>
        <v>3070</v>
      </c>
      <c r="N1586" s="110">
        <f t="shared" si="2378"/>
        <v>30</v>
      </c>
      <c r="O1586" s="110"/>
      <c r="P1586" s="66"/>
      <c r="Q1586" s="66"/>
      <c r="R1586" s="66"/>
      <c r="S1586" s="66"/>
      <c r="T1586" s="110">
        <f t="shared" si="2379"/>
        <v>0</v>
      </c>
      <c r="U1586" s="59">
        <f t="shared" si="2372"/>
        <v>0</v>
      </c>
      <c r="V1586" s="66"/>
      <c r="W1586" s="66">
        <v>3070</v>
      </c>
      <c r="X1586" s="110">
        <f t="shared" si="2380"/>
        <v>0</v>
      </c>
      <c r="Y1586" s="110"/>
      <c r="Z1586" s="110"/>
      <c r="AA1586" s="110"/>
      <c r="AB1586" s="46"/>
      <c r="AC1586" s="78"/>
      <c r="AD1586" s="78"/>
      <c r="AE1586" s="100">
        <f t="shared" si="2367"/>
        <v>9.8684210526315784E-3</v>
      </c>
      <c r="AF1586" s="90"/>
      <c r="AG1586" s="109">
        <f t="shared" si="2368"/>
        <v>0</v>
      </c>
      <c r="AH1586" s="100">
        <f t="shared" si="2369"/>
        <v>-1</v>
      </c>
      <c r="AI1586" s="100">
        <f t="shared" si="2370"/>
        <v>9.8684210526315784E-3</v>
      </c>
    </row>
    <row r="1587" spans="1:35" s="79" customFormat="1" ht="15.75" customHeight="1" x14ac:dyDescent="0.3">
      <c r="A1587" s="90" t="s">
        <v>46</v>
      </c>
      <c r="B1587" s="136" t="s">
        <v>51</v>
      </c>
      <c r="C1587" s="137"/>
      <c r="D1587" s="136"/>
      <c r="E1587" s="138"/>
      <c r="F1587" s="91">
        <f>SUM(F1584:F1586)</f>
        <v>10720</v>
      </c>
      <c r="G1587" s="91"/>
      <c r="H1587" s="91"/>
      <c r="I1587" s="91"/>
      <c r="J1587" s="91" t="s">
        <v>58</v>
      </c>
      <c r="K1587" s="65" t="s">
        <v>377</v>
      </c>
      <c r="L1587" s="91">
        <f>SUM(L1584:L1586)</f>
        <v>0</v>
      </c>
      <c r="M1587" s="91">
        <f>SUM(M1584:M1586)</f>
        <v>10815</v>
      </c>
      <c r="N1587" s="91">
        <f>SUM(N1584:N1586)</f>
        <v>95</v>
      </c>
      <c r="O1587" s="91"/>
      <c r="P1587" s="91">
        <f>SUM(P1584:P1586)</f>
        <v>0</v>
      </c>
      <c r="Q1587" s="91">
        <f>SUM(Q1584:Q1586)</f>
        <v>0</v>
      </c>
      <c r="R1587" s="91">
        <f>SUM(R1584:R1586)</f>
        <v>0</v>
      </c>
      <c r="S1587" s="91">
        <f>SUM(S1584:S1586)</f>
        <v>0</v>
      </c>
      <c r="T1587" s="91">
        <f>SUM(T1584:T1586)</f>
        <v>0</v>
      </c>
      <c r="U1587" s="59">
        <f t="shared" si="2372"/>
        <v>0</v>
      </c>
      <c r="V1587" s="91">
        <f>SUM(V1584:V1586)</f>
        <v>0</v>
      </c>
      <c r="W1587" s="91">
        <f>SUM(W1584:W1586)</f>
        <v>10815</v>
      </c>
      <c r="X1587" s="91">
        <f>SUM(X1584:X1586)</f>
        <v>0</v>
      </c>
      <c r="Y1587" s="136"/>
      <c r="Z1587" s="136"/>
      <c r="AA1587" s="136"/>
      <c r="AB1587" s="84"/>
      <c r="AC1587" s="90"/>
      <c r="AD1587" s="90"/>
      <c r="AE1587" s="100">
        <f t="shared" si="2367"/>
        <v>8.8619402985074622E-3</v>
      </c>
      <c r="AF1587" s="90"/>
      <c r="AG1587" s="109">
        <f t="shared" si="2368"/>
        <v>0</v>
      </c>
      <c r="AH1587" s="100">
        <f t="shared" si="2369"/>
        <v>-1</v>
      </c>
      <c r="AI1587" s="100">
        <f t="shared" si="2370"/>
        <v>8.8619402985074622E-3</v>
      </c>
    </row>
    <row r="1588" spans="1:35" s="47" customFormat="1" ht="21" customHeight="1" x14ac:dyDescent="0.3">
      <c r="A1588" s="78"/>
      <c r="B1588" s="106" t="s">
        <v>51</v>
      </c>
      <c r="C1588" s="117" t="s">
        <v>582</v>
      </c>
      <c r="D1588" s="299">
        <v>15323159</v>
      </c>
      <c r="E1588" s="131" t="s">
        <v>125</v>
      </c>
      <c r="F1588" s="66">
        <v>3040</v>
      </c>
      <c r="G1588" s="66"/>
      <c r="H1588" s="66"/>
      <c r="I1588" s="66"/>
      <c r="J1588" s="66"/>
      <c r="K1588" s="78"/>
      <c r="L1588" s="66"/>
      <c r="M1588" s="66">
        <f>828+168+1386+684</f>
        <v>3066</v>
      </c>
      <c r="N1588" s="110">
        <f t="shared" ref="N1588:N1589" si="2381">M1588-F1588</f>
        <v>26</v>
      </c>
      <c r="O1588" s="110"/>
      <c r="P1588" s="66"/>
      <c r="Q1588" s="66"/>
      <c r="R1588" s="66"/>
      <c r="S1588" s="66"/>
      <c r="T1588" s="110">
        <f>S1588-Q1588</f>
        <v>0</v>
      </c>
      <c r="U1588" s="59">
        <f t="shared" si="2361"/>
        <v>0</v>
      </c>
      <c r="V1588" s="66"/>
      <c r="W1588" s="66">
        <v>3066</v>
      </c>
      <c r="X1588" s="110">
        <f>W1588-M1588</f>
        <v>0</v>
      </c>
      <c r="Y1588" s="110"/>
      <c r="Z1588" s="110"/>
      <c r="AA1588" s="110"/>
      <c r="AB1588" s="46"/>
      <c r="AC1588" s="78"/>
      <c r="AD1588" s="78"/>
      <c r="AE1588" s="100">
        <f t="shared" ref="AE1588:AE1623" si="2382">N1588/F1588</f>
        <v>8.552631578947369E-3</v>
      </c>
      <c r="AF1588" s="90"/>
      <c r="AG1588" s="109">
        <f t="shared" ref="AG1588:AG1623" si="2383">IF(N1588&lt;0,N1588,0)</f>
        <v>0</v>
      </c>
      <c r="AH1588" s="100">
        <f t="shared" ref="AH1588:AH1623" si="2384">(S1588-F1588)/F1588</f>
        <v>-1</v>
      </c>
      <c r="AI1588" s="100">
        <f t="shared" ref="AI1588:AI1623" si="2385">(W1588-F1588)/F1588</f>
        <v>8.552631578947369E-3</v>
      </c>
    </row>
    <row r="1589" spans="1:35" s="47" customFormat="1" ht="21" customHeight="1" x14ac:dyDescent="0.3">
      <c r="A1589" s="78"/>
      <c r="B1589" s="106" t="s">
        <v>51</v>
      </c>
      <c r="C1589" s="117" t="s">
        <v>582</v>
      </c>
      <c r="D1589" s="300"/>
      <c r="E1589" s="131" t="s">
        <v>0</v>
      </c>
      <c r="F1589" s="66">
        <v>4800</v>
      </c>
      <c r="G1589" s="66"/>
      <c r="H1589" s="66"/>
      <c r="I1589" s="66"/>
      <c r="J1589" s="66"/>
      <c r="K1589" s="78"/>
      <c r="L1589" s="66"/>
      <c r="M1589" s="66">
        <f>1809+918+792+630+366+324</f>
        <v>4839</v>
      </c>
      <c r="N1589" s="110">
        <f t="shared" si="2381"/>
        <v>39</v>
      </c>
      <c r="O1589" s="110"/>
      <c r="P1589" s="66"/>
      <c r="Q1589" s="66"/>
      <c r="R1589" s="66"/>
      <c r="S1589" s="66"/>
      <c r="T1589" s="110">
        <f t="shared" ref="T1589" si="2386">S1589-Q1589</f>
        <v>0</v>
      </c>
      <c r="U1589" s="59">
        <f t="shared" si="2361"/>
        <v>0</v>
      </c>
      <c r="V1589" s="66"/>
      <c r="W1589" s="66">
        <v>4839</v>
      </c>
      <c r="X1589" s="110">
        <f t="shared" ref="X1589" si="2387">W1589-M1589</f>
        <v>0</v>
      </c>
      <c r="Y1589" s="110"/>
      <c r="Z1589" s="110"/>
      <c r="AA1589" s="110"/>
      <c r="AB1589" s="46"/>
      <c r="AC1589" s="78"/>
      <c r="AD1589" s="78"/>
      <c r="AE1589" s="100">
        <f t="shared" si="2382"/>
        <v>8.1250000000000003E-3</v>
      </c>
      <c r="AF1589" s="90"/>
      <c r="AG1589" s="109">
        <f t="shared" si="2383"/>
        <v>0</v>
      </c>
      <c r="AH1589" s="100">
        <f t="shared" si="2384"/>
        <v>-1</v>
      </c>
      <c r="AI1589" s="100">
        <f t="shared" si="2385"/>
        <v>8.1250000000000003E-3</v>
      </c>
    </row>
    <row r="1590" spans="1:35" s="79" customFormat="1" ht="15.75" customHeight="1" x14ac:dyDescent="0.3">
      <c r="A1590" s="90" t="s">
        <v>46</v>
      </c>
      <c r="B1590" s="136" t="s">
        <v>51</v>
      </c>
      <c r="C1590" s="137"/>
      <c r="D1590" s="136"/>
      <c r="E1590" s="138"/>
      <c r="F1590" s="91">
        <f>SUM(F1588:F1589)</f>
        <v>7840</v>
      </c>
      <c r="G1590" s="91"/>
      <c r="H1590" s="91"/>
      <c r="I1590" s="91"/>
      <c r="J1590" s="91" t="s">
        <v>58</v>
      </c>
      <c r="K1590" s="65" t="s">
        <v>377</v>
      </c>
      <c r="L1590" s="91">
        <f>SUM(L1588:L1589)</f>
        <v>0</v>
      </c>
      <c r="M1590" s="91">
        <f>SUM(M1588:M1589)</f>
        <v>7905</v>
      </c>
      <c r="N1590" s="91">
        <f>SUM(N1588:N1589)</f>
        <v>65</v>
      </c>
      <c r="O1590" s="91"/>
      <c r="P1590" s="91">
        <f>SUM(P1588:P1589)</f>
        <v>0</v>
      </c>
      <c r="Q1590" s="91">
        <f>SUM(Q1588:Q1589)</f>
        <v>0</v>
      </c>
      <c r="R1590" s="91">
        <f>SUM(R1588:R1589)</f>
        <v>0</v>
      </c>
      <c r="S1590" s="91">
        <f>SUM(S1588:S1589)</f>
        <v>0</v>
      </c>
      <c r="T1590" s="91">
        <f>SUM(T1588:T1589)</f>
        <v>0</v>
      </c>
      <c r="U1590" s="59">
        <f t="shared" si="2361"/>
        <v>0</v>
      </c>
      <c r="V1590" s="91">
        <f>SUM(V1588:V1589)</f>
        <v>0</v>
      </c>
      <c r="W1590" s="91">
        <f>SUM(W1588:W1589)</f>
        <v>7905</v>
      </c>
      <c r="X1590" s="91">
        <f>SUM(X1588:X1589)</f>
        <v>0</v>
      </c>
      <c r="Y1590" s="136"/>
      <c r="Z1590" s="136"/>
      <c r="AA1590" s="136"/>
      <c r="AB1590" s="84"/>
      <c r="AC1590" s="90"/>
      <c r="AD1590" s="90"/>
      <c r="AE1590" s="100">
        <f t="shared" si="2382"/>
        <v>8.2908163265306128E-3</v>
      </c>
      <c r="AF1590" s="90"/>
      <c r="AG1590" s="109">
        <f t="shared" si="2383"/>
        <v>0</v>
      </c>
      <c r="AH1590" s="100">
        <f t="shared" si="2384"/>
        <v>-1</v>
      </c>
      <c r="AI1590" s="100">
        <f t="shared" si="2385"/>
        <v>8.2908163265306128E-3</v>
      </c>
    </row>
    <row r="1591" spans="1:35" s="47" customFormat="1" ht="21" customHeight="1" x14ac:dyDescent="0.3">
      <c r="A1591" s="78"/>
      <c r="B1591" s="106" t="s">
        <v>51</v>
      </c>
      <c r="C1591" s="117" t="s">
        <v>964</v>
      </c>
      <c r="D1591" s="299">
        <v>15323159</v>
      </c>
      <c r="E1591" s="131" t="s">
        <v>965</v>
      </c>
      <c r="F1591" s="66">
        <v>108</v>
      </c>
      <c r="G1591" s="66"/>
      <c r="H1591" s="66"/>
      <c r="I1591" s="66"/>
      <c r="J1591" s="66"/>
      <c r="K1591" s="78"/>
      <c r="L1591" s="66"/>
      <c r="M1591" s="66"/>
      <c r="N1591" s="110">
        <f t="shared" ref="N1591:N1595" si="2388">M1591-F1591</f>
        <v>-108</v>
      </c>
      <c r="O1591" s="110"/>
      <c r="P1591" s="66"/>
      <c r="Q1591" s="66"/>
      <c r="R1591" s="66"/>
      <c r="S1591" s="66"/>
      <c r="T1591" s="110">
        <f>S1591-Q1591</f>
        <v>0</v>
      </c>
      <c r="U1591" s="59">
        <f t="shared" ref="U1591:U1621" si="2389">IF(Q1591&gt;0,S1591-W1591,M1591-W1591)</f>
        <v>0</v>
      </c>
      <c r="V1591" s="66"/>
      <c r="W1591" s="66"/>
      <c r="X1591" s="110">
        <f>W1591-M1591</f>
        <v>0</v>
      </c>
      <c r="Y1591" s="110"/>
      <c r="Z1591" s="110"/>
      <c r="AA1591" s="110"/>
      <c r="AB1591" s="46"/>
      <c r="AC1591" s="78"/>
      <c r="AD1591" s="78"/>
      <c r="AE1591" s="100">
        <f t="shared" ref="AE1591:AE1621" si="2390">N1591/F1591</f>
        <v>-1</v>
      </c>
      <c r="AF1591" s="90"/>
      <c r="AG1591" s="109">
        <f t="shared" ref="AG1591:AG1621" si="2391">IF(N1591&lt;0,N1591,0)</f>
        <v>-108</v>
      </c>
      <c r="AH1591" s="100">
        <f t="shared" ref="AH1591:AH1621" si="2392">(S1591-F1591)/F1591</f>
        <v>-1</v>
      </c>
      <c r="AI1591" s="100">
        <f t="shared" ref="AI1591:AI1621" si="2393">(W1591-F1591)/F1591</f>
        <v>-1</v>
      </c>
    </row>
    <row r="1592" spans="1:35" s="47" customFormat="1" ht="21" customHeight="1" x14ac:dyDescent="0.3">
      <c r="A1592" s="78"/>
      <c r="B1592" s="106" t="s">
        <v>51</v>
      </c>
      <c r="C1592" s="117" t="s">
        <v>964</v>
      </c>
      <c r="D1592" s="300"/>
      <c r="E1592" s="131" t="s">
        <v>49</v>
      </c>
      <c r="F1592" s="66">
        <v>774</v>
      </c>
      <c r="G1592" s="66"/>
      <c r="H1592" s="66"/>
      <c r="I1592" s="66"/>
      <c r="J1592" s="66"/>
      <c r="K1592" s="78"/>
      <c r="L1592" s="66">
        <v>792</v>
      </c>
      <c r="M1592" s="66">
        <f>792</f>
        <v>792</v>
      </c>
      <c r="N1592" s="110">
        <f t="shared" si="2388"/>
        <v>18</v>
      </c>
      <c r="O1592" s="110"/>
      <c r="P1592" s="66"/>
      <c r="Q1592" s="66"/>
      <c r="R1592" s="66"/>
      <c r="S1592" s="66"/>
      <c r="T1592" s="110">
        <f t="shared" ref="T1592:T1595" si="2394">S1592-Q1592</f>
        <v>0</v>
      </c>
      <c r="U1592" s="59">
        <f t="shared" si="2389"/>
        <v>792</v>
      </c>
      <c r="V1592" s="66"/>
      <c r="W1592" s="66"/>
      <c r="X1592" s="110">
        <f t="shared" ref="X1592:X1595" si="2395">W1592-M1592</f>
        <v>-792</v>
      </c>
      <c r="Y1592" s="110"/>
      <c r="Z1592" s="110"/>
      <c r="AA1592" s="110"/>
      <c r="AB1592" s="46"/>
      <c r="AC1592" s="78"/>
      <c r="AD1592" s="78"/>
      <c r="AE1592" s="100">
        <f t="shared" si="2390"/>
        <v>2.3255813953488372E-2</v>
      </c>
      <c r="AF1592" s="90"/>
      <c r="AG1592" s="109">
        <f t="shared" si="2391"/>
        <v>0</v>
      </c>
      <c r="AH1592" s="100">
        <f t="shared" si="2392"/>
        <v>-1</v>
      </c>
      <c r="AI1592" s="100">
        <f t="shared" si="2393"/>
        <v>-1</v>
      </c>
    </row>
    <row r="1593" spans="1:35" s="47" customFormat="1" ht="21" customHeight="1" x14ac:dyDescent="0.3">
      <c r="A1593" s="78"/>
      <c r="B1593" s="106" t="s">
        <v>51</v>
      </c>
      <c r="C1593" s="117" t="s">
        <v>964</v>
      </c>
      <c r="D1593" s="300"/>
      <c r="E1593" s="131" t="s">
        <v>966</v>
      </c>
      <c r="F1593" s="66">
        <v>108</v>
      </c>
      <c r="G1593" s="66"/>
      <c r="H1593" s="66"/>
      <c r="I1593" s="66"/>
      <c r="J1593" s="66"/>
      <c r="K1593" s="78"/>
      <c r="L1593" s="66"/>
      <c r="M1593" s="66"/>
      <c r="N1593" s="110">
        <f t="shared" si="2388"/>
        <v>-108</v>
      </c>
      <c r="O1593" s="110"/>
      <c r="P1593" s="66"/>
      <c r="Q1593" s="66"/>
      <c r="R1593" s="66"/>
      <c r="S1593" s="66"/>
      <c r="T1593" s="110">
        <f t="shared" si="2394"/>
        <v>0</v>
      </c>
      <c r="U1593" s="59">
        <f t="shared" si="2389"/>
        <v>0</v>
      </c>
      <c r="V1593" s="66"/>
      <c r="W1593" s="66"/>
      <c r="X1593" s="110">
        <f t="shared" si="2395"/>
        <v>0</v>
      </c>
      <c r="Y1593" s="110"/>
      <c r="Z1593" s="110"/>
      <c r="AA1593" s="110"/>
      <c r="AB1593" s="46"/>
      <c r="AC1593" s="78"/>
      <c r="AD1593" s="78"/>
      <c r="AE1593" s="100">
        <f t="shared" si="2390"/>
        <v>-1</v>
      </c>
      <c r="AF1593" s="90"/>
      <c r="AG1593" s="109">
        <f t="shared" si="2391"/>
        <v>-108</v>
      </c>
      <c r="AH1593" s="100">
        <f t="shared" si="2392"/>
        <v>-1</v>
      </c>
      <c r="AI1593" s="100">
        <f t="shared" si="2393"/>
        <v>-1</v>
      </c>
    </row>
    <row r="1594" spans="1:35" s="47" customFormat="1" ht="21" customHeight="1" x14ac:dyDescent="0.3">
      <c r="A1594" s="78"/>
      <c r="B1594" s="106" t="s">
        <v>51</v>
      </c>
      <c r="C1594" s="117" t="s">
        <v>964</v>
      </c>
      <c r="D1594" s="300"/>
      <c r="E1594" s="131" t="s">
        <v>0</v>
      </c>
      <c r="F1594" s="66">
        <v>810</v>
      </c>
      <c r="G1594" s="66"/>
      <c r="H1594" s="66"/>
      <c r="I1594" s="66"/>
      <c r="J1594" s="66"/>
      <c r="K1594" s="78"/>
      <c r="L1594" s="66"/>
      <c r="M1594" s="66"/>
      <c r="N1594" s="110">
        <f t="shared" si="2388"/>
        <v>-810</v>
      </c>
      <c r="O1594" s="110"/>
      <c r="P1594" s="66"/>
      <c r="Q1594" s="66"/>
      <c r="R1594" s="66"/>
      <c r="S1594" s="66"/>
      <c r="T1594" s="110">
        <f t="shared" si="2394"/>
        <v>0</v>
      </c>
      <c r="U1594" s="59">
        <f t="shared" si="2389"/>
        <v>0</v>
      </c>
      <c r="V1594" s="66"/>
      <c r="W1594" s="66"/>
      <c r="X1594" s="110">
        <f t="shared" si="2395"/>
        <v>0</v>
      </c>
      <c r="Y1594" s="110"/>
      <c r="Z1594" s="110"/>
      <c r="AA1594" s="110"/>
      <c r="AB1594" s="46"/>
      <c r="AC1594" s="78"/>
      <c r="AD1594" s="78"/>
      <c r="AE1594" s="100">
        <f t="shared" si="2390"/>
        <v>-1</v>
      </c>
      <c r="AF1594" s="90"/>
      <c r="AG1594" s="109">
        <f t="shared" si="2391"/>
        <v>-810</v>
      </c>
      <c r="AH1594" s="100">
        <f t="shared" si="2392"/>
        <v>-1</v>
      </c>
      <c r="AI1594" s="100">
        <f t="shared" si="2393"/>
        <v>-1</v>
      </c>
    </row>
    <row r="1595" spans="1:35" s="47" customFormat="1" ht="21" customHeight="1" x14ac:dyDescent="0.3">
      <c r="A1595" s="78"/>
      <c r="B1595" s="106" t="s">
        <v>51</v>
      </c>
      <c r="C1595" s="117" t="s">
        <v>964</v>
      </c>
      <c r="D1595" s="300"/>
      <c r="E1595" s="131" t="s">
        <v>41</v>
      </c>
      <c r="F1595" s="66">
        <v>270</v>
      </c>
      <c r="G1595" s="66"/>
      <c r="H1595" s="66"/>
      <c r="I1595" s="66"/>
      <c r="J1595" s="66"/>
      <c r="K1595" s="78"/>
      <c r="L1595" s="66"/>
      <c r="M1595" s="66"/>
      <c r="N1595" s="110">
        <f t="shared" si="2388"/>
        <v>-270</v>
      </c>
      <c r="O1595" s="110"/>
      <c r="P1595" s="66"/>
      <c r="Q1595" s="66"/>
      <c r="R1595" s="66"/>
      <c r="S1595" s="66"/>
      <c r="T1595" s="110">
        <f t="shared" si="2394"/>
        <v>0</v>
      </c>
      <c r="U1595" s="59">
        <f t="shared" si="2389"/>
        <v>0</v>
      </c>
      <c r="V1595" s="66"/>
      <c r="W1595" s="66"/>
      <c r="X1595" s="110">
        <f t="shared" si="2395"/>
        <v>0</v>
      </c>
      <c r="Y1595" s="110"/>
      <c r="Z1595" s="110"/>
      <c r="AA1595" s="110"/>
      <c r="AB1595" s="46"/>
      <c r="AC1595" s="78"/>
      <c r="AD1595" s="78"/>
      <c r="AE1595" s="100">
        <f t="shared" si="2390"/>
        <v>-1</v>
      </c>
      <c r="AF1595" s="90"/>
      <c r="AG1595" s="109">
        <f t="shared" si="2391"/>
        <v>-270</v>
      </c>
      <c r="AH1595" s="100">
        <f t="shared" si="2392"/>
        <v>-1</v>
      </c>
      <c r="AI1595" s="100">
        <f t="shared" si="2393"/>
        <v>-1</v>
      </c>
    </row>
    <row r="1596" spans="1:35" s="79" customFormat="1" ht="15.75" customHeight="1" x14ac:dyDescent="0.3">
      <c r="A1596" s="90" t="s">
        <v>46</v>
      </c>
      <c r="B1596" s="136" t="s">
        <v>51</v>
      </c>
      <c r="C1596" s="137"/>
      <c r="D1596" s="136"/>
      <c r="E1596" s="138"/>
      <c r="F1596" s="91">
        <f>SUM(F1591:F1595)</f>
        <v>2070</v>
      </c>
      <c r="G1596" s="91"/>
      <c r="H1596" s="91"/>
      <c r="I1596" s="91"/>
      <c r="J1596" s="91" t="s">
        <v>58</v>
      </c>
      <c r="K1596" s="65" t="s">
        <v>340</v>
      </c>
      <c r="L1596" s="91">
        <f>SUM(L1591:L1595)</f>
        <v>792</v>
      </c>
      <c r="M1596" s="91">
        <f>SUM(M1591:M1595)</f>
        <v>792</v>
      </c>
      <c r="N1596" s="91">
        <f>SUM(N1591:N1595)</f>
        <v>-1278</v>
      </c>
      <c r="O1596" s="91"/>
      <c r="P1596" s="91">
        <f>SUM(P1591:P1595)</f>
        <v>0</v>
      </c>
      <c r="Q1596" s="91">
        <f>SUM(Q1591:Q1595)</f>
        <v>0</v>
      </c>
      <c r="R1596" s="91">
        <f>SUM(R1591:R1595)</f>
        <v>0</v>
      </c>
      <c r="S1596" s="91">
        <f>SUM(S1591:S1595)</f>
        <v>0</v>
      </c>
      <c r="T1596" s="91">
        <f>SUM(T1591:T1595)</f>
        <v>0</v>
      </c>
      <c r="U1596" s="59">
        <f t="shared" si="2389"/>
        <v>792</v>
      </c>
      <c r="V1596" s="91">
        <f>SUM(V1591:V1595)</f>
        <v>0</v>
      </c>
      <c r="W1596" s="91">
        <f>SUM(W1591:W1595)</f>
        <v>0</v>
      </c>
      <c r="X1596" s="91">
        <f>SUM(X1591:X1595)</f>
        <v>-792</v>
      </c>
      <c r="Y1596" s="136"/>
      <c r="Z1596" s="136"/>
      <c r="AA1596" s="136"/>
      <c r="AB1596" s="84"/>
      <c r="AC1596" s="90"/>
      <c r="AD1596" s="90"/>
      <c r="AE1596" s="100">
        <f t="shared" si="2390"/>
        <v>-0.61739130434782608</v>
      </c>
      <c r="AF1596" s="90"/>
      <c r="AG1596" s="109">
        <f t="shared" si="2391"/>
        <v>-1278</v>
      </c>
      <c r="AH1596" s="100">
        <f t="shared" si="2392"/>
        <v>-1</v>
      </c>
      <c r="AI1596" s="100">
        <f t="shared" si="2393"/>
        <v>-1</v>
      </c>
    </row>
    <row r="1597" spans="1:35" s="47" customFormat="1" ht="21" customHeight="1" x14ac:dyDescent="0.3">
      <c r="A1597" s="78"/>
      <c r="B1597" s="106" t="s">
        <v>51</v>
      </c>
      <c r="C1597" s="117" t="s">
        <v>967</v>
      </c>
      <c r="D1597" s="299">
        <v>15323159</v>
      </c>
      <c r="E1597" s="131" t="s">
        <v>49</v>
      </c>
      <c r="F1597" s="66">
        <v>10080</v>
      </c>
      <c r="G1597" s="66"/>
      <c r="H1597" s="66"/>
      <c r="I1597" s="66"/>
      <c r="J1597" s="66"/>
      <c r="K1597" s="78"/>
      <c r="L1597" s="66"/>
      <c r="M1597" s="66"/>
      <c r="N1597" s="110">
        <f t="shared" ref="N1597:N1599" si="2396">M1597-F1597</f>
        <v>-10080</v>
      </c>
      <c r="O1597" s="110"/>
      <c r="P1597" s="66"/>
      <c r="Q1597" s="66"/>
      <c r="R1597" s="66"/>
      <c r="S1597" s="66"/>
      <c r="T1597" s="110">
        <f>S1597-Q1597</f>
        <v>0</v>
      </c>
      <c r="U1597" s="59">
        <f t="shared" si="2389"/>
        <v>0</v>
      </c>
      <c r="V1597" s="66"/>
      <c r="W1597" s="66"/>
      <c r="X1597" s="110">
        <f>W1597-M1597</f>
        <v>0</v>
      </c>
      <c r="Y1597" s="110"/>
      <c r="Z1597" s="110"/>
      <c r="AA1597" s="110"/>
      <c r="AB1597" s="46"/>
      <c r="AC1597" s="78"/>
      <c r="AD1597" s="78"/>
      <c r="AE1597" s="100">
        <f t="shared" si="2390"/>
        <v>-1</v>
      </c>
      <c r="AF1597" s="90"/>
      <c r="AG1597" s="109">
        <f t="shared" si="2391"/>
        <v>-10080</v>
      </c>
      <c r="AH1597" s="100">
        <f t="shared" si="2392"/>
        <v>-1</v>
      </c>
      <c r="AI1597" s="100">
        <f t="shared" si="2393"/>
        <v>-1</v>
      </c>
    </row>
    <row r="1598" spans="1:35" s="47" customFormat="1" ht="21" customHeight="1" x14ac:dyDescent="0.3">
      <c r="A1598" s="78"/>
      <c r="B1598" s="106" t="s">
        <v>51</v>
      </c>
      <c r="C1598" s="117" t="s">
        <v>967</v>
      </c>
      <c r="D1598" s="300"/>
      <c r="E1598" s="131" t="s">
        <v>125</v>
      </c>
      <c r="F1598" s="66">
        <v>3040</v>
      </c>
      <c r="G1598" s="66"/>
      <c r="H1598" s="66"/>
      <c r="I1598" s="66"/>
      <c r="J1598" s="66"/>
      <c r="K1598" s="78"/>
      <c r="L1598" s="66"/>
      <c r="M1598" s="66"/>
      <c r="N1598" s="110">
        <f t="shared" si="2396"/>
        <v>-3040</v>
      </c>
      <c r="O1598" s="110"/>
      <c r="P1598" s="66"/>
      <c r="Q1598" s="66"/>
      <c r="R1598" s="66"/>
      <c r="S1598" s="66"/>
      <c r="T1598" s="110">
        <f t="shared" ref="T1598:T1599" si="2397">S1598-Q1598</f>
        <v>0</v>
      </c>
      <c r="U1598" s="59">
        <f t="shared" si="2389"/>
        <v>0</v>
      </c>
      <c r="V1598" s="66"/>
      <c r="W1598" s="66"/>
      <c r="X1598" s="110">
        <f t="shared" ref="X1598:X1599" si="2398">W1598-M1598</f>
        <v>0</v>
      </c>
      <c r="Y1598" s="110"/>
      <c r="Z1598" s="110"/>
      <c r="AA1598" s="110"/>
      <c r="AB1598" s="46"/>
      <c r="AC1598" s="78"/>
      <c r="AD1598" s="78"/>
      <c r="AE1598" s="100">
        <f t="shared" si="2390"/>
        <v>-1</v>
      </c>
      <c r="AF1598" s="90"/>
      <c r="AG1598" s="109">
        <f t="shared" si="2391"/>
        <v>-3040</v>
      </c>
      <c r="AH1598" s="100">
        <f t="shared" si="2392"/>
        <v>-1</v>
      </c>
      <c r="AI1598" s="100">
        <f t="shared" si="2393"/>
        <v>-1</v>
      </c>
    </row>
    <row r="1599" spans="1:35" s="47" customFormat="1" ht="21" customHeight="1" x14ac:dyDescent="0.3">
      <c r="A1599" s="78"/>
      <c r="B1599" s="106" t="s">
        <v>51</v>
      </c>
      <c r="C1599" s="117" t="s">
        <v>967</v>
      </c>
      <c r="D1599" s="300"/>
      <c r="E1599" s="131" t="s">
        <v>0</v>
      </c>
      <c r="F1599" s="66">
        <v>5040</v>
      </c>
      <c r="G1599" s="66"/>
      <c r="H1599" s="66"/>
      <c r="I1599" s="66"/>
      <c r="J1599" s="66"/>
      <c r="K1599" s="78"/>
      <c r="L1599" s="66"/>
      <c r="M1599" s="66"/>
      <c r="N1599" s="110">
        <f t="shared" si="2396"/>
        <v>-5040</v>
      </c>
      <c r="O1599" s="110"/>
      <c r="P1599" s="66"/>
      <c r="Q1599" s="66"/>
      <c r="R1599" s="66"/>
      <c r="S1599" s="66"/>
      <c r="T1599" s="110">
        <f t="shared" si="2397"/>
        <v>0</v>
      </c>
      <c r="U1599" s="59">
        <f t="shared" si="2389"/>
        <v>0</v>
      </c>
      <c r="V1599" s="66"/>
      <c r="W1599" s="66"/>
      <c r="X1599" s="110">
        <f t="shared" si="2398"/>
        <v>0</v>
      </c>
      <c r="Y1599" s="110"/>
      <c r="Z1599" s="110"/>
      <c r="AA1599" s="110"/>
      <c r="AB1599" s="46"/>
      <c r="AC1599" s="78"/>
      <c r="AD1599" s="78"/>
      <c r="AE1599" s="100">
        <f t="shared" si="2390"/>
        <v>-1</v>
      </c>
      <c r="AF1599" s="90"/>
      <c r="AG1599" s="109">
        <f t="shared" si="2391"/>
        <v>-5040</v>
      </c>
      <c r="AH1599" s="100">
        <f t="shared" si="2392"/>
        <v>-1</v>
      </c>
      <c r="AI1599" s="100">
        <f t="shared" si="2393"/>
        <v>-1</v>
      </c>
    </row>
    <row r="1600" spans="1:35" s="79" customFormat="1" ht="15.75" customHeight="1" x14ac:dyDescent="0.3">
      <c r="A1600" s="90" t="s">
        <v>46</v>
      </c>
      <c r="B1600" s="136" t="s">
        <v>51</v>
      </c>
      <c r="C1600" s="137"/>
      <c r="D1600" s="136"/>
      <c r="E1600" s="138"/>
      <c r="F1600" s="91">
        <f>SUM(F1597:F1599)</f>
        <v>18160</v>
      </c>
      <c r="G1600" s="91"/>
      <c r="H1600" s="91"/>
      <c r="I1600" s="91"/>
      <c r="J1600" s="91" t="s">
        <v>58</v>
      </c>
      <c r="K1600" s="65" t="s">
        <v>272</v>
      </c>
      <c r="L1600" s="91">
        <f>SUM(L1597:L1599)</f>
        <v>0</v>
      </c>
      <c r="M1600" s="91">
        <f>SUM(M1597:M1599)</f>
        <v>0</v>
      </c>
      <c r="N1600" s="91">
        <f>SUM(N1597:N1599)</f>
        <v>-18160</v>
      </c>
      <c r="O1600" s="91"/>
      <c r="P1600" s="91">
        <f>SUM(P1597:P1599)</f>
        <v>0</v>
      </c>
      <c r="Q1600" s="91">
        <f>SUM(Q1597:Q1599)</f>
        <v>0</v>
      </c>
      <c r="R1600" s="91">
        <f>SUM(R1597:R1599)</f>
        <v>0</v>
      </c>
      <c r="S1600" s="91">
        <f>SUM(S1597:S1599)</f>
        <v>0</v>
      </c>
      <c r="T1600" s="91">
        <f>SUM(T1597:T1599)</f>
        <v>0</v>
      </c>
      <c r="U1600" s="59">
        <f t="shared" si="2389"/>
        <v>0</v>
      </c>
      <c r="V1600" s="91">
        <f>SUM(V1597:V1599)</f>
        <v>0</v>
      </c>
      <c r="W1600" s="91">
        <f>SUM(W1597:W1599)</f>
        <v>0</v>
      </c>
      <c r="X1600" s="91">
        <f>SUM(X1597:X1599)</f>
        <v>0</v>
      </c>
      <c r="Y1600" s="136"/>
      <c r="Z1600" s="136"/>
      <c r="AA1600" s="136"/>
      <c r="AB1600" s="84"/>
      <c r="AC1600" s="90"/>
      <c r="AD1600" s="90"/>
      <c r="AE1600" s="100">
        <f t="shared" si="2390"/>
        <v>-1</v>
      </c>
      <c r="AF1600" s="90"/>
      <c r="AG1600" s="109">
        <f t="shared" si="2391"/>
        <v>-18160</v>
      </c>
      <c r="AH1600" s="100">
        <f t="shared" si="2392"/>
        <v>-1</v>
      </c>
      <c r="AI1600" s="100">
        <f t="shared" si="2393"/>
        <v>-1</v>
      </c>
    </row>
    <row r="1601" spans="1:35" s="47" customFormat="1" ht="21" customHeight="1" x14ac:dyDescent="0.3">
      <c r="A1601" s="78"/>
      <c r="B1601" s="106" t="s">
        <v>51</v>
      </c>
      <c r="C1601" s="117" t="s">
        <v>968</v>
      </c>
      <c r="D1601" s="299">
        <v>15323159</v>
      </c>
      <c r="E1601" s="131" t="s">
        <v>746</v>
      </c>
      <c r="F1601" s="66">
        <v>48</v>
      </c>
      <c r="G1601" s="66"/>
      <c r="H1601" s="66"/>
      <c r="I1601" s="66"/>
      <c r="J1601" s="66"/>
      <c r="K1601" s="78"/>
      <c r="L1601" s="66"/>
      <c r="M1601" s="66"/>
      <c r="N1601" s="110">
        <f t="shared" ref="N1601:N1612" si="2399">M1601-F1601</f>
        <v>-48</v>
      </c>
      <c r="O1601" s="110"/>
      <c r="P1601" s="66"/>
      <c r="Q1601" s="66"/>
      <c r="R1601" s="66"/>
      <c r="S1601" s="66"/>
      <c r="T1601" s="110">
        <f>S1601-Q1601</f>
        <v>0</v>
      </c>
      <c r="U1601" s="59">
        <f t="shared" si="2389"/>
        <v>0</v>
      </c>
      <c r="V1601" s="66"/>
      <c r="W1601" s="66"/>
      <c r="X1601" s="110">
        <f>W1601-M1601</f>
        <v>0</v>
      </c>
      <c r="Y1601" s="110"/>
      <c r="Z1601" s="110"/>
      <c r="AA1601" s="110"/>
      <c r="AB1601" s="46"/>
      <c r="AC1601" s="78"/>
      <c r="AD1601" s="78"/>
      <c r="AE1601" s="100">
        <f t="shared" si="2390"/>
        <v>-1</v>
      </c>
      <c r="AF1601" s="90"/>
      <c r="AG1601" s="109">
        <f t="shared" si="2391"/>
        <v>-48</v>
      </c>
      <c r="AH1601" s="100">
        <f t="shared" si="2392"/>
        <v>-1</v>
      </c>
      <c r="AI1601" s="100">
        <f t="shared" si="2393"/>
        <v>-1</v>
      </c>
    </row>
    <row r="1602" spans="1:35" s="47" customFormat="1" ht="21" customHeight="1" x14ac:dyDescent="0.3">
      <c r="A1602" s="78"/>
      <c r="B1602" s="106" t="s">
        <v>51</v>
      </c>
      <c r="C1602" s="117" t="s">
        <v>968</v>
      </c>
      <c r="D1602" s="300"/>
      <c r="E1602" s="131" t="s">
        <v>965</v>
      </c>
      <c r="F1602" s="66">
        <v>1080</v>
      </c>
      <c r="G1602" s="66"/>
      <c r="H1602" s="66"/>
      <c r="I1602" s="66"/>
      <c r="J1602" s="66"/>
      <c r="K1602" s="78"/>
      <c r="L1602" s="66"/>
      <c r="M1602" s="66"/>
      <c r="N1602" s="110">
        <f t="shared" si="2399"/>
        <v>-1080</v>
      </c>
      <c r="O1602" s="110"/>
      <c r="P1602" s="66"/>
      <c r="Q1602" s="66"/>
      <c r="R1602" s="66"/>
      <c r="S1602" s="66"/>
      <c r="T1602" s="110">
        <f t="shared" ref="T1602:T1612" si="2400">S1602-Q1602</f>
        <v>0</v>
      </c>
      <c r="U1602" s="59">
        <f t="shared" si="2389"/>
        <v>0</v>
      </c>
      <c r="V1602" s="66"/>
      <c r="W1602" s="66"/>
      <c r="X1602" s="110">
        <f t="shared" ref="X1602:X1612" si="2401">W1602-M1602</f>
        <v>0</v>
      </c>
      <c r="Y1602" s="110"/>
      <c r="Z1602" s="110"/>
      <c r="AA1602" s="110"/>
      <c r="AB1602" s="46"/>
      <c r="AC1602" s="78"/>
      <c r="AD1602" s="78"/>
      <c r="AE1602" s="100">
        <f t="shared" si="2390"/>
        <v>-1</v>
      </c>
      <c r="AF1602" s="90"/>
      <c r="AG1602" s="109">
        <f t="shared" si="2391"/>
        <v>-1080</v>
      </c>
      <c r="AH1602" s="100">
        <f t="shared" si="2392"/>
        <v>-1</v>
      </c>
      <c r="AI1602" s="100">
        <f t="shared" si="2393"/>
        <v>-1</v>
      </c>
    </row>
    <row r="1603" spans="1:35" s="47" customFormat="1" ht="21" customHeight="1" x14ac:dyDescent="0.3">
      <c r="A1603" s="78"/>
      <c r="B1603" s="106" t="s">
        <v>51</v>
      </c>
      <c r="C1603" s="117" t="s">
        <v>968</v>
      </c>
      <c r="D1603" s="300"/>
      <c r="E1603" s="131" t="s">
        <v>49</v>
      </c>
      <c r="F1603" s="66">
        <v>7152</v>
      </c>
      <c r="G1603" s="66"/>
      <c r="H1603" s="66"/>
      <c r="I1603" s="66"/>
      <c r="J1603" s="66"/>
      <c r="K1603" s="78"/>
      <c r="L1603" s="66"/>
      <c r="M1603" s="66"/>
      <c r="N1603" s="110">
        <f t="shared" si="2399"/>
        <v>-7152</v>
      </c>
      <c r="O1603" s="110"/>
      <c r="P1603" s="66"/>
      <c r="Q1603" s="66"/>
      <c r="R1603" s="66"/>
      <c r="S1603" s="66"/>
      <c r="T1603" s="110">
        <f t="shared" si="2400"/>
        <v>0</v>
      </c>
      <c r="U1603" s="59">
        <f t="shared" si="2389"/>
        <v>0</v>
      </c>
      <c r="V1603" s="66"/>
      <c r="W1603" s="66"/>
      <c r="X1603" s="110">
        <f t="shared" si="2401"/>
        <v>0</v>
      </c>
      <c r="Y1603" s="110"/>
      <c r="Z1603" s="110"/>
      <c r="AA1603" s="110"/>
      <c r="AB1603" s="46"/>
      <c r="AC1603" s="78"/>
      <c r="AD1603" s="78"/>
      <c r="AE1603" s="100">
        <f t="shared" si="2390"/>
        <v>-1</v>
      </c>
      <c r="AF1603" s="90"/>
      <c r="AG1603" s="109">
        <f t="shared" si="2391"/>
        <v>-7152</v>
      </c>
      <c r="AH1603" s="100">
        <f t="shared" si="2392"/>
        <v>-1</v>
      </c>
      <c r="AI1603" s="100">
        <f t="shared" si="2393"/>
        <v>-1</v>
      </c>
    </row>
    <row r="1604" spans="1:35" s="47" customFormat="1" ht="21" customHeight="1" x14ac:dyDescent="0.3">
      <c r="A1604" s="78"/>
      <c r="B1604" s="106" t="s">
        <v>51</v>
      </c>
      <c r="C1604" s="117" t="s">
        <v>968</v>
      </c>
      <c r="D1604" s="300"/>
      <c r="E1604" s="131" t="s">
        <v>181</v>
      </c>
      <c r="F1604" s="66">
        <v>1287</v>
      </c>
      <c r="G1604" s="66"/>
      <c r="H1604" s="66"/>
      <c r="I1604" s="66"/>
      <c r="J1604" s="66"/>
      <c r="K1604" s="78"/>
      <c r="L1604" s="66"/>
      <c r="M1604" s="66"/>
      <c r="N1604" s="110">
        <f t="shared" si="2399"/>
        <v>-1287</v>
      </c>
      <c r="O1604" s="110"/>
      <c r="P1604" s="66"/>
      <c r="Q1604" s="66"/>
      <c r="R1604" s="66"/>
      <c r="S1604" s="66"/>
      <c r="T1604" s="110">
        <f t="shared" si="2400"/>
        <v>0</v>
      </c>
      <c r="U1604" s="59">
        <f t="shared" si="2389"/>
        <v>0</v>
      </c>
      <c r="V1604" s="66"/>
      <c r="W1604" s="66"/>
      <c r="X1604" s="110">
        <f t="shared" si="2401"/>
        <v>0</v>
      </c>
      <c r="Y1604" s="110"/>
      <c r="Z1604" s="110"/>
      <c r="AA1604" s="110"/>
      <c r="AB1604" s="46"/>
      <c r="AC1604" s="78"/>
      <c r="AD1604" s="78"/>
      <c r="AE1604" s="100">
        <f t="shared" si="2390"/>
        <v>-1</v>
      </c>
      <c r="AF1604" s="90"/>
      <c r="AG1604" s="109">
        <f t="shared" si="2391"/>
        <v>-1287</v>
      </c>
      <c r="AH1604" s="100">
        <f t="shared" si="2392"/>
        <v>-1</v>
      </c>
      <c r="AI1604" s="100">
        <f t="shared" si="2393"/>
        <v>-1</v>
      </c>
    </row>
    <row r="1605" spans="1:35" s="47" customFormat="1" ht="21" customHeight="1" x14ac:dyDescent="0.3">
      <c r="A1605" s="78"/>
      <c r="B1605" s="106" t="s">
        <v>51</v>
      </c>
      <c r="C1605" s="117" t="s">
        <v>968</v>
      </c>
      <c r="D1605" s="300"/>
      <c r="E1605" s="131" t="s">
        <v>869</v>
      </c>
      <c r="F1605" s="66">
        <v>600</v>
      </c>
      <c r="G1605" s="66"/>
      <c r="H1605" s="66"/>
      <c r="I1605" s="66"/>
      <c r="J1605" s="66"/>
      <c r="K1605" s="78"/>
      <c r="L1605" s="66"/>
      <c r="M1605" s="66"/>
      <c r="N1605" s="110">
        <f t="shared" si="2399"/>
        <v>-600</v>
      </c>
      <c r="O1605" s="110"/>
      <c r="P1605" s="66"/>
      <c r="Q1605" s="66"/>
      <c r="R1605" s="66"/>
      <c r="S1605" s="66"/>
      <c r="T1605" s="110">
        <f t="shared" si="2400"/>
        <v>0</v>
      </c>
      <c r="U1605" s="59">
        <f t="shared" si="2389"/>
        <v>0</v>
      </c>
      <c r="V1605" s="66"/>
      <c r="W1605" s="66"/>
      <c r="X1605" s="110">
        <f t="shared" si="2401"/>
        <v>0</v>
      </c>
      <c r="Y1605" s="110"/>
      <c r="Z1605" s="110"/>
      <c r="AA1605" s="110"/>
      <c r="AB1605" s="46"/>
      <c r="AC1605" s="78"/>
      <c r="AD1605" s="78"/>
      <c r="AE1605" s="100">
        <f t="shared" si="2390"/>
        <v>-1</v>
      </c>
      <c r="AF1605" s="90"/>
      <c r="AG1605" s="109">
        <f t="shared" si="2391"/>
        <v>-600</v>
      </c>
      <c r="AH1605" s="100">
        <f t="shared" si="2392"/>
        <v>-1</v>
      </c>
      <c r="AI1605" s="100">
        <f t="shared" si="2393"/>
        <v>-1</v>
      </c>
    </row>
    <row r="1606" spans="1:35" s="47" customFormat="1" ht="21" customHeight="1" x14ac:dyDescent="0.3">
      <c r="A1606" s="78"/>
      <c r="B1606" s="106" t="s">
        <v>51</v>
      </c>
      <c r="C1606" s="117" t="s">
        <v>968</v>
      </c>
      <c r="D1606" s="300"/>
      <c r="E1606" s="131" t="s">
        <v>135</v>
      </c>
      <c r="F1606" s="66">
        <v>1287</v>
      </c>
      <c r="G1606" s="66"/>
      <c r="H1606" s="66"/>
      <c r="I1606" s="66"/>
      <c r="J1606" s="66"/>
      <c r="K1606" s="78"/>
      <c r="L1606" s="66"/>
      <c r="M1606" s="66"/>
      <c r="N1606" s="110">
        <f t="shared" si="2399"/>
        <v>-1287</v>
      </c>
      <c r="O1606" s="110"/>
      <c r="P1606" s="66"/>
      <c r="Q1606" s="66"/>
      <c r="R1606" s="66"/>
      <c r="S1606" s="66"/>
      <c r="T1606" s="110">
        <f t="shared" si="2400"/>
        <v>0</v>
      </c>
      <c r="U1606" s="59">
        <f t="shared" si="2389"/>
        <v>0</v>
      </c>
      <c r="V1606" s="66"/>
      <c r="W1606" s="66"/>
      <c r="X1606" s="110">
        <f t="shared" si="2401"/>
        <v>0</v>
      </c>
      <c r="Y1606" s="110"/>
      <c r="Z1606" s="110"/>
      <c r="AA1606" s="110"/>
      <c r="AB1606" s="46"/>
      <c r="AC1606" s="78"/>
      <c r="AD1606" s="78"/>
      <c r="AE1606" s="100">
        <f t="shared" si="2390"/>
        <v>-1</v>
      </c>
      <c r="AF1606" s="90"/>
      <c r="AG1606" s="109">
        <f t="shared" si="2391"/>
        <v>-1287</v>
      </c>
      <c r="AH1606" s="100">
        <f t="shared" si="2392"/>
        <v>-1</v>
      </c>
      <c r="AI1606" s="100">
        <f t="shared" si="2393"/>
        <v>-1</v>
      </c>
    </row>
    <row r="1607" spans="1:35" s="47" customFormat="1" ht="21" customHeight="1" x14ac:dyDescent="0.3">
      <c r="A1607" s="78"/>
      <c r="B1607" s="106" t="s">
        <v>51</v>
      </c>
      <c r="C1607" s="117" t="s">
        <v>968</v>
      </c>
      <c r="D1607" s="300"/>
      <c r="E1607" s="131" t="s">
        <v>859</v>
      </c>
      <c r="F1607" s="66">
        <v>1092</v>
      </c>
      <c r="G1607" s="66"/>
      <c r="H1607" s="66"/>
      <c r="I1607" s="66"/>
      <c r="J1607" s="66"/>
      <c r="K1607" s="78"/>
      <c r="L1607" s="66"/>
      <c r="M1607" s="66"/>
      <c r="N1607" s="110">
        <f t="shared" si="2399"/>
        <v>-1092</v>
      </c>
      <c r="O1607" s="110"/>
      <c r="P1607" s="66"/>
      <c r="Q1607" s="66"/>
      <c r="R1607" s="66"/>
      <c r="S1607" s="66"/>
      <c r="T1607" s="110">
        <f t="shared" si="2400"/>
        <v>0</v>
      </c>
      <c r="U1607" s="59">
        <f t="shared" si="2389"/>
        <v>0</v>
      </c>
      <c r="V1607" s="66"/>
      <c r="W1607" s="66"/>
      <c r="X1607" s="110">
        <f t="shared" si="2401"/>
        <v>0</v>
      </c>
      <c r="Y1607" s="110"/>
      <c r="Z1607" s="110"/>
      <c r="AA1607" s="110"/>
      <c r="AB1607" s="46"/>
      <c r="AC1607" s="78"/>
      <c r="AD1607" s="78"/>
      <c r="AE1607" s="100">
        <f t="shared" si="2390"/>
        <v>-1</v>
      </c>
      <c r="AF1607" s="90"/>
      <c r="AG1607" s="109">
        <f t="shared" si="2391"/>
        <v>-1092</v>
      </c>
      <c r="AH1607" s="100">
        <f t="shared" si="2392"/>
        <v>-1</v>
      </c>
      <c r="AI1607" s="100">
        <f t="shared" si="2393"/>
        <v>-1</v>
      </c>
    </row>
    <row r="1608" spans="1:35" s="47" customFormat="1" ht="21" customHeight="1" x14ac:dyDescent="0.3">
      <c r="A1608" s="78"/>
      <c r="B1608" s="106" t="s">
        <v>51</v>
      </c>
      <c r="C1608" s="117" t="s">
        <v>968</v>
      </c>
      <c r="D1608" s="300"/>
      <c r="E1608" s="131" t="s">
        <v>966</v>
      </c>
      <c r="F1608" s="66">
        <v>1164</v>
      </c>
      <c r="G1608" s="66"/>
      <c r="H1608" s="66"/>
      <c r="I1608" s="66"/>
      <c r="J1608" s="66"/>
      <c r="K1608" s="78"/>
      <c r="L1608" s="66"/>
      <c r="M1608" s="66"/>
      <c r="N1608" s="110">
        <f t="shared" si="2399"/>
        <v>-1164</v>
      </c>
      <c r="O1608" s="110"/>
      <c r="P1608" s="66"/>
      <c r="Q1608" s="66"/>
      <c r="R1608" s="66"/>
      <c r="S1608" s="66"/>
      <c r="T1608" s="110">
        <f t="shared" si="2400"/>
        <v>0</v>
      </c>
      <c r="U1608" s="59">
        <f t="shared" si="2389"/>
        <v>0</v>
      </c>
      <c r="V1608" s="66"/>
      <c r="W1608" s="66"/>
      <c r="X1608" s="110">
        <f t="shared" si="2401"/>
        <v>0</v>
      </c>
      <c r="Y1608" s="110"/>
      <c r="Z1608" s="110"/>
      <c r="AA1608" s="110"/>
      <c r="AB1608" s="46"/>
      <c r="AC1608" s="78"/>
      <c r="AD1608" s="78"/>
      <c r="AE1608" s="100">
        <f t="shared" si="2390"/>
        <v>-1</v>
      </c>
      <c r="AF1608" s="90"/>
      <c r="AG1608" s="109">
        <f t="shared" si="2391"/>
        <v>-1164</v>
      </c>
      <c r="AH1608" s="100">
        <f t="shared" si="2392"/>
        <v>-1</v>
      </c>
      <c r="AI1608" s="100">
        <f t="shared" si="2393"/>
        <v>-1</v>
      </c>
    </row>
    <row r="1609" spans="1:35" s="47" customFormat="1" ht="21" customHeight="1" x14ac:dyDescent="0.3">
      <c r="A1609" s="78"/>
      <c r="B1609" s="106" t="s">
        <v>51</v>
      </c>
      <c r="C1609" s="117" t="s">
        <v>968</v>
      </c>
      <c r="D1609" s="300"/>
      <c r="E1609" s="131" t="s">
        <v>0</v>
      </c>
      <c r="F1609" s="66">
        <v>4420</v>
      </c>
      <c r="G1609" s="66"/>
      <c r="H1609" s="66"/>
      <c r="I1609" s="66"/>
      <c r="J1609" s="66"/>
      <c r="K1609" s="78"/>
      <c r="L1609" s="66"/>
      <c r="M1609" s="66"/>
      <c r="N1609" s="110">
        <f t="shared" si="2399"/>
        <v>-4420</v>
      </c>
      <c r="O1609" s="110"/>
      <c r="P1609" s="66"/>
      <c r="Q1609" s="66"/>
      <c r="R1609" s="66"/>
      <c r="S1609" s="66"/>
      <c r="T1609" s="110">
        <f t="shared" si="2400"/>
        <v>0</v>
      </c>
      <c r="U1609" s="59">
        <f t="shared" si="2389"/>
        <v>0</v>
      </c>
      <c r="V1609" s="66"/>
      <c r="W1609" s="66"/>
      <c r="X1609" s="110">
        <f t="shared" si="2401"/>
        <v>0</v>
      </c>
      <c r="Y1609" s="110"/>
      <c r="Z1609" s="110"/>
      <c r="AA1609" s="110"/>
      <c r="AB1609" s="46"/>
      <c r="AC1609" s="78"/>
      <c r="AD1609" s="78"/>
      <c r="AE1609" s="100">
        <f t="shared" si="2390"/>
        <v>-1</v>
      </c>
      <c r="AF1609" s="90"/>
      <c r="AG1609" s="109">
        <f t="shared" si="2391"/>
        <v>-4420</v>
      </c>
      <c r="AH1609" s="100">
        <f t="shared" si="2392"/>
        <v>-1</v>
      </c>
      <c r="AI1609" s="100">
        <f t="shared" si="2393"/>
        <v>-1</v>
      </c>
    </row>
    <row r="1610" spans="1:35" s="47" customFormat="1" ht="21" customHeight="1" x14ac:dyDescent="0.3">
      <c r="A1610" s="78"/>
      <c r="B1610" s="106" t="s">
        <v>51</v>
      </c>
      <c r="C1610" s="117" t="s">
        <v>968</v>
      </c>
      <c r="D1610" s="300"/>
      <c r="E1610" s="131" t="s">
        <v>969</v>
      </c>
      <c r="F1610" s="66">
        <v>984</v>
      </c>
      <c r="G1610" s="66"/>
      <c r="H1610" s="66"/>
      <c r="I1610" s="66"/>
      <c r="J1610" s="66"/>
      <c r="K1610" s="78"/>
      <c r="L1610" s="66"/>
      <c r="M1610" s="66"/>
      <c r="N1610" s="110">
        <f t="shared" si="2399"/>
        <v>-984</v>
      </c>
      <c r="O1610" s="110"/>
      <c r="P1610" s="66"/>
      <c r="Q1610" s="66"/>
      <c r="R1610" s="66"/>
      <c r="S1610" s="66"/>
      <c r="T1610" s="110">
        <f t="shared" si="2400"/>
        <v>0</v>
      </c>
      <c r="U1610" s="59">
        <f t="shared" si="2389"/>
        <v>0</v>
      </c>
      <c r="V1610" s="66"/>
      <c r="W1610" s="66"/>
      <c r="X1610" s="110">
        <f t="shared" si="2401"/>
        <v>0</v>
      </c>
      <c r="Y1610" s="110"/>
      <c r="Z1610" s="110"/>
      <c r="AA1610" s="110"/>
      <c r="AB1610" s="46"/>
      <c r="AC1610" s="78"/>
      <c r="AD1610" s="78"/>
      <c r="AE1610" s="100">
        <f t="shared" si="2390"/>
        <v>-1</v>
      </c>
      <c r="AF1610" s="90"/>
      <c r="AG1610" s="109">
        <f t="shared" si="2391"/>
        <v>-984</v>
      </c>
      <c r="AH1610" s="100">
        <f t="shared" si="2392"/>
        <v>-1</v>
      </c>
      <c r="AI1610" s="100">
        <f t="shared" si="2393"/>
        <v>-1</v>
      </c>
    </row>
    <row r="1611" spans="1:35" s="47" customFormat="1" ht="21" customHeight="1" x14ac:dyDescent="0.3">
      <c r="A1611" s="78"/>
      <c r="B1611" s="106" t="s">
        <v>51</v>
      </c>
      <c r="C1611" s="117" t="s">
        <v>968</v>
      </c>
      <c r="D1611" s="300"/>
      <c r="E1611" s="131" t="s">
        <v>870</v>
      </c>
      <c r="F1611" s="66">
        <v>48</v>
      </c>
      <c r="G1611" s="66"/>
      <c r="H1611" s="66"/>
      <c r="I1611" s="66"/>
      <c r="J1611" s="66"/>
      <c r="K1611" s="78"/>
      <c r="L1611" s="66"/>
      <c r="M1611" s="66"/>
      <c r="N1611" s="110">
        <f t="shared" si="2399"/>
        <v>-48</v>
      </c>
      <c r="O1611" s="110"/>
      <c r="P1611" s="66"/>
      <c r="Q1611" s="66"/>
      <c r="R1611" s="66"/>
      <c r="S1611" s="66"/>
      <c r="T1611" s="110">
        <f t="shared" si="2400"/>
        <v>0</v>
      </c>
      <c r="U1611" s="59">
        <f t="shared" si="2389"/>
        <v>0</v>
      </c>
      <c r="V1611" s="66"/>
      <c r="W1611" s="66"/>
      <c r="X1611" s="110">
        <f t="shared" si="2401"/>
        <v>0</v>
      </c>
      <c r="Y1611" s="110"/>
      <c r="Z1611" s="110"/>
      <c r="AA1611" s="110"/>
      <c r="AB1611" s="46"/>
      <c r="AC1611" s="78"/>
      <c r="AD1611" s="78"/>
      <c r="AE1611" s="100">
        <f t="shared" si="2390"/>
        <v>-1</v>
      </c>
      <c r="AF1611" s="90"/>
      <c r="AG1611" s="109">
        <f t="shared" si="2391"/>
        <v>-48</v>
      </c>
      <c r="AH1611" s="100">
        <f t="shared" si="2392"/>
        <v>-1</v>
      </c>
      <c r="AI1611" s="100">
        <f t="shared" si="2393"/>
        <v>-1</v>
      </c>
    </row>
    <row r="1612" spans="1:35" s="47" customFormat="1" ht="21" customHeight="1" x14ac:dyDescent="0.3">
      <c r="A1612" s="78"/>
      <c r="B1612" s="106" t="s">
        <v>51</v>
      </c>
      <c r="C1612" s="117" t="s">
        <v>968</v>
      </c>
      <c r="D1612" s="300"/>
      <c r="E1612" s="131" t="s">
        <v>41</v>
      </c>
      <c r="F1612" s="66">
        <v>510</v>
      </c>
      <c r="G1612" s="66"/>
      <c r="H1612" s="66"/>
      <c r="I1612" s="66"/>
      <c r="J1612" s="66"/>
      <c r="K1612" s="78"/>
      <c r="L1612" s="66"/>
      <c r="M1612" s="66"/>
      <c r="N1612" s="110">
        <f t="shared" si="2399"/>
        <v>-510</v>
      </c>
      <c r="O1612" s="110"/>
      <c r="P1612" s="66"/>
      <c r="Q1612" s="66"/>
      <c r="R1612" s="66"/>
      <c r="S1612" s="66"/>
      <c r="T1612" s="110">
        <f t="shared" si="2400"/>
        <v>0</v>
      </c>
      <c r="U1612" s="59">
        <f t="shared" si="2389"/>
        <v>0</v>
      </c>
      <c r="V1612" s="66"/>
      <c r="W1612" s="66"/>
      <c r="X1612" s="110">
        <f t="shared" si="2401"/>
        <v>0</v>
      </c>
      <c r="Y1612" s="110"/>
      <c r="Z1612" s="110"/>
      <c r="AA1612" s="110"/>
      <c r="AB1612" s="46"/>
      <c r="AC1612" s="78"/>
      <c r="AD1612" s="78"/>
      <c r="AE1612" s="100">
        <f t="shared" si="2390"/>
        <v>-1</v>
      </c>
      <c r="AF1612" s="90"/>
      <c r="AG1612" s="109">
        <f t="shared" si="2391"/>
        <v>-510</v>
      </c>
      <c r="AH1612" s="100">
        <f t="shared" si="2392"/>
        <v>-1</v>
      </c>
      <c r="AI1612" s="100">
        <f t="shared" si="2393"/>
        <v>-1</v>
      </c>
    </row>
    <row r="1613" spans="1:35" s="79" customFormat="1" ht="15.75" customHeight="1" x14ac:dyDescent="0.3">
      <c r="A1613" s="90" t="s">
        <v>46</v>
      </c>
      <c r="B1613" s="136" t="s">
        <v>51</v>
      </c>
      <c r="C1613" s="137"/>
      <c r="D1613" s="136"/>
      <c r="E1613" s="138"/>
      <c r="F1613" s="91">
        <f>SUM(F1601:F1612)</f>
        <v>19672</v>
      </c>
      <c r="G1613" s="91"/>
      <c r="H1613" s="91"/>
      <c r="I1613" s="91"/>
      <c r="J1613" s="91" t="s">
        <v>58</v>
      </c>
      <c r="K1613" s="65" t="s">
        <v>401</v>
      </c>
      <c r="L1613" s="91">
        <f>SUM(L1601:L1612)</f>
        <v>0</v>
      </c>
      <c r="M1613" s="91">
        <f>SUM(M1601:M1612)</f>
        <v>0</v>
      </c>
      <c r="N1613" s="91">
        <f>SUM(N1601:N1612)</f>
        <v>-19672</v>
      </c>
      <c r="O1613" s="91"/>
      <c r="P1613" s="91">
        <f>SUM(P1601:P1612)</f>
        <v>0</v>
      </c>
      <c r="Q1613" s="91">
        <f>SUM(Q1601:Q1612)</f>
        <v>0</v>
      </c>
      <c r="R1613" s="91">
        <f>SUM(R1601:R1612)</f>
        <v>0</v>
      </c>
      <c r="S1613" s="91">
        <f>SUM(S1601:S1612)</f>
        <v>0</v>
      </c>
      <c r="T1613" s="91">
        <f>SUM(T1601:T1612)</f>
        <v>0</v>
      </c>
      <c r="U1613" s="59">
        <f t="shared" si="2389"/>
        <v>0</v>
      </c>
      <c r="V1613" s="91">
        <f>SUM(V1601:V1612)</f>
        <v>0</v>
      </c>
      <c r="W1613" s="91">
        <f>SUM(W1601:W1612)</f>
        <v>0</v>
      </c>
      <c r="X1613" s="91">
        <f>SUM(X1601:X1612)</f>
        <v>0</v>
      </c>
      <c r="Y1613" s="136"/>
      <c r="Z1613" s="136"/>
      <c r="AA1613" s="136"/>
      <c r="AB1613" s="84"/>
      <c r="AC1613" s="90"/>
      <c r="AD1613" s="90"/>
      <c r="AE1613" s="100">
        <f t="shared" si="2390"/>
        <v>-1</v>
      </c>
      <c r="AF1613" s="90"/>
      <c r="AG1613" s="109">
        <f t="shared" si="2391"/>
        <v>-19672</v>
      </c>
      <c r="AH1613" s="100">
        <f t="shared" si="2392"/>
        <v>-1</v>
      </c>
      <c r="AI1613" s="100">
        <f t="shared" si="2393"/>
        <v>-1</v>
      </c>
    </row>
    <row r="1614" spans="1:35" s="47" customFormat="1" ht="21" customHeight="1" x14ac:dyDescent="0.3">
      <c r="A1614" s="78"/>
      <c r="B1614" s="106" t="s">
        <v>51</v>
      </c>
      <c r="C1614" s="117" t="s">
        <v>970</v>
      </c>
      <c r="D1614" s="299">
        <v>15323159</v>
      </c>
      <c r="E1614" s="131" t="s">
        <v>746</v>
      </c>
      <c r="F1614" s="66">
        <v>3401</v>
      </c>
      <c r="G1614" s="66"/>
      <c r="H1614" s="66"/>
      <c r="I1614" s="66"/>
      <c r="J1614" s="66"/>
      <c r="K1614" s="78"/>
      <c r="L1614" s="66"/>
      <c r="M1614" s="66"/>
      <c r="N1614" s="110">
        <f t="shared" ref="N1614:N1617" si="2402">M1614-F1614</f>
        <v>-3401</v>
      </c>
      <c r="O1614" s="110"/>
      <c r="P1614" s="66"/>
      <c r="Q1614" s="66"/>
      <c r="R1614" s="66"/>
      <c r="S1614" s="66"/>
      <c r="T1614" s="110">
        <f>S1614-Q1614</f>
        <v>0</v>
      </c>
      <c r="U1614" s="59">
        <f t="shared" si="2389"/>
        <v>0</v>
      </c>
      <c r="V1614" s="66"/>
      <c r="W1614" s="66"/>
      <c r="X1614" s="110">
        <f>W1614-M1614</f>
        <v>0</v>
      </c>
      <c r="Y1614" s="110"/>
      <c r="Z1614" s="110"/>
      <c r="AA1614" s="110"/>
      <c r="AB1614" s="46"/>
      <c r="AC1614" s="78"/>
      <c r="AD1614" s="78"/>
      <c r="AE1614" s="100">
        <f t="shared" si="2390"/>
        <v>-1</v>
      </c>
      <c r="AF1614" s="90"/>
      <c r="AG1614" s="109">
        <f t="shared" si="2391"/>
        <v>-3401</v>
      </c>
      <c r="AH1614" s="100">
        <f t="shared" si="2392"/>
        <v>-1</v>
      </c>
      <c r="AI1614" s="100">
        <f t="shared" si="2393"/>
        <v>-1</v>
      </c>
    </row>
    <row r="1615" spans="1:35" s="47" customFormat="1" ht="21" customHeight="1" x14ac:dyDescent="0.3">
      <c r="A1615" s="78"/>
      <c r="B1615" s="106" t="s">
        <v>51</v>
      </c>
      <c r="C1615" s="117" t="s">
        <v>970</v>
      </c>
      <c r="D1615" s="300"/>
      <c r="E1615" s="131" t="s">
        <v>279</v>
      </c>
      <c r="F1615" s="66">
        <v>513</v>
      </c>
      <c r="G1615" s="66"/>
      <c r="H1615" s="66"/>
      <c r="I1615" s="66"/>
      <c r="J1615" s="66"/>
      <c r="K1615" s="78"/>
      <c r="L1615" s="66"/>
      <c r="M1615" s="66"/>
      <c r="N1615" s="110">
        <f t="shared" si="2402"/>
        <v>-513</v>
      </c>
      <c r="O1615" s="110"/>
      <c r="P1615" s="66"/>
      <c r="Q1615" s="66"/>
      <c r="R1615" s="66"/>
      <c r="S1615" s="66"/>
      <c r="T1615" s="110">
        <f t="shared" ref="T1615:T1617" si="2403">S1615-Q1615</f>
        <v>0</v>
      </c>
      <c r="U1615" s="59">
        <f t="shared" si="2389"/>
        <v>0</v>
      </c>
      <c r="V1615" s="66"/>
      <c r="W1615" s="66"/>
      <c r="X1615" s="110">
        <f t="shared" ref="X1615:X1617" si="2404">W1615-M1615</f>
        <v>0</v>
      </c>
      <c r="Y1615" s="110"/>
      <c r="Z1615" s="110"/>
      <c r="AA1615" s="110"/>
      <c r="AB1615" s="46"/>
      <c r="AC1615" s="78"/>
      <c r="AD1615" s="78"/>
      <c r="AE1615" s="100">
        <f t="shared" si="2390"/>
        <v>-1</v>
      </c>
      <c r="AF1615" s="90"/>
      <c r="AG1615" s="109">
        <f t="shared" si="2391"/>
        <v>-513</v>
      </c>
      <c r="AH1615" s="100">
        <f t="shared" si="2392"/>
        <v>-1</v>
      </c>
      <c r="AI1615" s="100">
        <f t="shared" si="2393"/>
        <v>-1</v>
      </c>
    </row>
    <row r="1616" spans="1:35" s="47" customFormat="1" ht="21" customHeight="1" x14ac:dyDescent="0.3">
      <c r="A1616" s="78"/>
      <c r="B1616" s="106" t="s">
        <v>51</v>
      </c>
      <c r="C1616" s="117" t="s">
        <v>970</v>
      </c>
      <c r="D1616" s="300"/>
      <c r="E1616" s="131" t="s">
        <v>869</v>
      </c>
      <c r="F1616" s="66">
        <v>2888</v>
      </c>
      <c r="G1616" s="66"/>
      <c r="H1616" s="66"/>
      <c r="I1616" s="66"/>
      <c r="J1616" s="66"/>
      <c r="K1616" s="78"/>
      <c r="L1616" s="66"/>
      <c r="M1616" s="66"/>
      <c r="N1616" s="110">
        <f t="shared" si="2402"/>
        <v>-2888</v>
      </c>
      <c r="O1616" s="110"/>
      <c r="P1616" s="66"/>
      <c r="Q1616" s="66"/>
      <c r="R1616" s="66"/>
      <c r="S1616" s="66"/>
      <c r="T1616" s="110">
        <f t="shared" si="2403"/>
        <v>0</v>
      </c>
      <c r="U1616" s="59">
        <f t="shared" si="2389"/>
        <v>0</v>
      </c>
      <c r="V1616" s="66"/>
      <c r="W1616" s="66"/>
      <c r="X1616" s="110">
        <f t="shared" si="2404"/>
        <v>0</v>
      </c>
      <c r="Y1616" s="110"/>
      <c r="Z1616" s="110"/>
      <c r="AA1616" s="110"/>
      <c r="AB1616" s="46"/>
      <c r="AC1616" s="78"/>
      <c r="AD1616" s="78"/>
      <c r="AE1616" s="100">
        <f t="shared" si="2390"/>
        <v>-1</v>
      </c>
      <c r="AF1616" s="90"/>
      <c r="AG1616" s="109">
        <f t="shared" si="2391"/>
        <v>-2888</v>
      </c>
      <c r="AH1616" s="100">
        <f t="shared" si="2392"/>
        <v>-1</v>
      </c>
      <c r="AI1616" s="100">
        <f t="shared" si="2393"/>
        <v>-1</v>
      </c>
    </row>
    <row r="1617" spans="1:35" s="47" customFormat="1" ht="21" customHeight="1" x14ac:dyDescent="0.3">
      <c r="A1617" s="78"/>
      <c r="B1617" s="106" t="s">
        <v>51</v>
      </c>
      <c r="C1617" s="117" t="s">
        <v>970</v>
      </c>
      <c r="D1617" s="300"/>
      <c r="E1617" s="131" t="s">
        <v>870</v>
      </c>
      <c r="F1617" s="66">
        <v>2888</v>
      </c>
      <c r="G1617" s="66"/>
      <c r="H1617" s="66"/>
      <c r="I1617" s="66"/>
      <c r="J1617" s="66"/>
      <c r="K1617" s="78"/>
      <c r="L1617" s="66"/>
      <c r="M1617" s="66"/>
      <c r="N1617" s="110">
        <f t="shared" si="2402"/>
        <v>-2888</v>
      </c>
      <c r="O1617" s="110"/>
      <c r="P1617" s="66"/>
      <c r="Q1617" s="66"/>
      <c r="R1617" s="66"/>
      <c r="S1617" s="66"/>
      <c r="T1617" s="110">
        <f t="shared" si="2403"/>
        <v>0</v>
      </c>
      <c r="U1617" s="59">
        <f t="shared" si="2389"/>
        <v>0</v>
      </c>
      <c r="V1617" s="66"/>
      <c r="W1617" s="66"/>
      <c r="X1617" s="110">
        <f t="shared" si="2404"/>
        <v>0</v>
      </c>
      <c r="Y1617" s="110"/>
      <c r="Z1617" s="110"/>
      <c r="AA1617" s="110"/>
      <c r="AB1617" s="46"/>
      <c r="AC1617" s="78"/>
      <c r="AD1617" s="78"/>
      <c r="AE1617" s="100">
        <f t="shared" si="2390"/>
        <v>-1</v>
      </c>
      <c r="AF1617" s="90"/>
      <c r="AG1617" s="109">
        <f t="shared" si="2391"/>
        <v>-2888</v>
      </c>
      <c r="AH1617" s="100">
        <f t="shared" si="2392"/>
        <v>-1</v>
      </c>
      <c r="AI1617" s="100">
        <f t="shared" si="2393"/>
        <v>-1</v>
      </c>
    </row>
    <row r="1618" spans="1:35" s="79" customFormat="1" ht="15.75" customHeight="1" x14ac:dyDescent="0.3">
      <c r="A1618" s="90" t="s">
        <v>46</v>
      </c>
      <c r="B1618" s="136" t="s">
        <v>51</v>
      </c>
      <c r="C1618" s="137"/>
      <c r="D1618" s="136"/>
      <c r="E1618" s="138"/>
      <c r="F1618" s="91">
        <f>SUM(F1614:F1617)</f>
        <v>9690</v>
      </c>
      <c r="G1618" s="91"/>
      <c r="H1618" s="91"/>
      <c r="I1618" s="91"/>
      <c r="J1618" s="91" t="s">
        <v>58</v>
      </c>
      <c r="K1618" s="65" t="s">
        <v>572</v>
      </c>
      <c r="L1618" s="91">
        <f>SUM(L1614:L1617)</f>
        <v>0</v>
      </c>
      <c r="M1618" s="91">
        <f>SUM(M1614:M1617)</f>
        <v>0</v>
      </c>
      <c r="N1618" s="91">
        <f>SUM(N1614:N1617)</f>
        <v>-9690</v>
      </c>
      <c r="O1618" s="91"/>
      <c r="P1618" s="91">
        <f>SUM(P1614:P1617)</f>
        <v>0</v>
      </c>
      <c r="Q1618" s="91">
        <f>SUM(Q1614:Q1617)</f>
        <v>0</v>
      </c>
      <c r="R1618" s="91">
        <f>SUM(R1614:R1617)</f>
        <v>0</v>
      </c>
      <c r="S1618" s="91">
        <f>SUM(S1614:S1617)</f>
        <v>0</v>
      </c>
      <c r="T1618" s="91">
        <f>SUM(T1614:T1617)</f>
        <v>0</v>
      </c>
      <c r="U1618" s="59">
        <f t="shared" si="2389"/>
        <v>0</v>
      </c>
      <c r="V1618" s="91">
        <f>SUM(V1614:V1617)</f>
        <v>0</v>
      </c>
      <c r="W1618" s="91">
        <f>SUM(W1614:W1617)</f>
        <v>0</v>
      </c>
      <c r="X1618" s="91">
        <f>SUM(X1614:X1617)</f>
        <v>0</v>
      </c>
      <c r="Y1618" s="136"/>
      <c r="Z1618" s="136"/>
      <c r="AA1618" s="136"/>
      <c r="AB1618" s="84"/>
      <c r="AC1618" s="90"/>
      <c r="AD1618" s="90"/>
      <c r="AE1618" s="100">
        <f t="shared" si="2390"/>
        <v>-1</v>
      </c>
      <c r="AF1618" s="90"/>
      <c r="AG1618" s="109">
        <f t="shared" si="2391"/>
        <v>-9690</v>
      </c>
      <c r="AH1618" s="100">
        <f t="shared" si="2392"/>
        <v>-1</v>
      </c>
      <c r="AI1618" s="100">
        <f t="shared" si="2393"/>
        <v>-1</v>
      </c>
    </row>
    <row r="1619" spans="1:35" s="47" customFormat="1" ht="21" customHeight="1" x14ac:dyDescent="0.3">
      <c r="A1619" s="78"/>
      <c r="B1619" s="106" t="s">
        <v>51</v>
      </c>
      <c r="C1619" s="117" t="s">
        <v>971</v>
      </c>
      <c r="D1619" s="299">
        <v>15323159</v>
      </c>
      <c r="E1619" s="131" t="s">
        <v>49</v>
      </c>
      <c r="F1619" s="66">
        <v>5040</v>
      </c>
      <c r="G1619" s="66"/>
      <c r="H1619" s="66"/>
      <c r="I1619" s="66"/>
      <c r="J1619" s="66"/>
      <c r="K1619" s="78"/>
      <c r="L1619" s="66"/>
      <c r="M1619" s="66"/>
      <c r="N1619" s="110">
        <f t="shared" ref="N1619:N1620" si="2405">M1619-F1619</f>
        <v>-5040</v>
      </c>
      <c r="O1619" s="110"/>
      <c r="P1619" s="66"/>
      <c r="Q1619" s="66"/>
      <c r="R1619" s="66"/>
      <c r="S1619" s="66"/>
      <c r="T1619" s="110">
        <f>S1619-Q1619</f>
        <v>0</v>
      </c>
      <c r="U1619" s="59">
        <f t="shared" si="2389"/>
        <v>0</v>
      </c>
      <c r="V1619" s="66"/>
      <c r="W1619" s="66"/>
      <c r="X1619" s="110">
        <f>W1619-M1619</f>
        <v>0</v>
      </c>
      <c r="Y1619" s="110"/>
      <c r="Z1619" s="110"/>
      <c r="AA1619" s="110"/>
      <c r="AB1619" s="46"/>
      <c r="AC1619" s="78"/>
      <c r="AD1619" s="78"/>
      <c r="AE1619" s="100">
        <f t="shared" si="2390"/>
        <v>-1</v>
      </c>
      <c r="AF1619" s="90"/>
      <c r="AG1619" s="109">
        <f t="shared" si="2391"/>
        <v>-5040</v>
      </c>
      <c r="AH1619" s="100">
        <f t="shared" si="2392"/>
        <v>-1</v>
      </c>
      <c r="AI1619" s="100">
        <f t="shared" si="2393"/>
        <v>-1</v>
      </c>
    </row>
    <row r="1620" spans="1:35" s="47" customFormat="1" ht="21" customHeight="1" x14ac:dyDescent="0.3">
      <c r="A1620" s="78"/>
      <c r="B1620" s="106" t="s">
        <v>51</v>
      </c>
      <c r="C1620" s="117" t="s">
        <v>971</v>
      </c>
      <c r="D1620" s="300"/>
      <c r="E1620" s="131" t="s">
        <v>0</v>
      </c>
      <c r="F1620" s="66">
        <v>6000</v>
      </c>
      <c r="G1620" s="66"/>
      <c r="H1620" s="66"/>
      <c r="I1620" s="66"/>
      <c r="J1620" s="66"/>
      <c r="K1620" s="78"/>
      <c r="L1620" s="66"/>
      <c r="M1620" s="66"/>
      <c r="N1620" s="110">
        <f t="shared" si="2405"/>
        <v>-6000</v>
      </c>
      <c r="O1620" s="110"/>
      <c r="P1620" s="66"/>
      <c r="Q1620" s="66"/>
      <c r="R1620" s="66"/>
      <c r="S1620" s="66"/>
      <c r="T1620" s="110">
        <f t="shared" ref="T1620" si="2406">S1620-Q1620</f>
        <v>0</v>
      </c>
      <c r="U1620" s="59">
        <f t="shared" si="2389"/>
        <v>0</v>
      </c>
      <c r="V1620" s="66"/>
      <c r="W1620" s="66"/>
      <c r="X1620" s="110">
        <f t="shared" ref="X1620" si="2407">W1620-M1620</f>
        <v>0</v>
      </c>
      <c r="Y1620" s="110"/>
      <c r="Z1620" s="110"/>
      <c r="AA1620" s="110"/>
      <c r="AB1620" s="46"/>
      <c r="AC1620" s="78"/>
      <c r="AD1620" s="78"/>
      <c r="AE1620" s="100">
        <f t="shared" si="2390"/>
        <v>-1</v>
      </c>
      <c r="AF1620" s="90"/>
      <c r="AG1620" s="109">
        <f t="shared" si="2391"/>
        <v>-6000</v>
      </c>
      <c r="AH1620" s="100">
        <f t="shared" si="2392"/>
        <v>-1</v>
      </c>
      <c r="AI1620" s="100">
        <f t="shared" si="2393"/>
        <v>-1</v>
      </c>
    </row>
    <row r="1621" spans="1:35" s="79" customFormat="1" ht="15.75" customHeight="1" x14ac:dyDescent="0.3">
      <c r="A1621" s="90" t="s">
        <v>46</v>
      </c>
      <c r="B1621" s="136" t="s">
        <v>51</v>
      </c>
      <c r="C1621" s="137"/>
      <c r="D1621" s="136"/>
      <c r="E1621" s="138"/>
      <c r="F1621" s="91">
        <f>SUM(F1619:F1620)</f>
        <v>11040</v>
      </c>
      <c r="G1621" s="91"/>
      <c r="H1621" s="91"/>
      <c r="I1621" s="91"/>
      <c r="J1621" s="91" t="s">
        <v>58</v>
      </c>
      <c r="K1621" s="65" t="s">
        <v>594</v>
      </c>
      <c r="L1621" s="91">
        <f>SUM(L1619:L1620)</f>
        <v>0</v>
      </c>
      <c r="M1621" s="91">
        <f>SUM(M1619:M1620)</f>
        <v>0</v>
      </c>
      <c r="N1621" s="91">
        <f>SUM(N1619:N1620)</f>
        <v>-11040</v>
      </c>
      <c r="O1621" s="91"/>
      <c r="P1621" s="91">
        <f>SUM(P1619:P1620)</f>
        <v>0</v>
      </c>
      <c r="Q1621" s="91">
        <f>SUM(Q1619:Q1620)</f>
        <v>0</v>
      </c>
      <c r="R1621" s="91">
        <f>SUM(R1619:R1620)</f>
        <v>0</v>
      </c>
      <c r="S1621" s="91">
        <f>SUM(S1619:S1620)</f>
        <v>0</v>
      </c>
      <c r="T1621" s="91">
        <f>SUM(T1619:T1620)</f>
        <v>0</v>
      </c>
      <c r="U1621" s="59">
        <f t="shared" si="2389"/>
        <v>0</v>
      </c>
      <c r="V1621" s="91">
        <f>SUM(V1619:V1620)</f>
        <v>0</v>
      </c>
      <c r="W1621" s="91">
        <f>SUM(W1619:W1620)</f>
        <v>0</v>
      </c>
      <c r="X1621" s="91">
        <f>SUM(X1619:X1620)</f>
        <v>0</v>
      </c>
      <c r="Y1621" s="136"/>
      <c r="Z1621" s="136"/>
      <c r="AA1621" s="136"/>
      <c r="AB1621" s="84"/>
      <c r="AC1621" s="90"/>
      <c r="AD1621" s="90"/>
      <c r="AE1621" s="100">
        <f t="shared" si="2390"/>
        <v>-1</v>
      </c>
      <c r="AF1621" s="90"/>
      <c r="AG1621" s="109">
        <f t="shared" si="2391"/>
        <v>-11040</v>
      </c>
      <c r="AH1621" s="100">
        <f t="shared" si="2392"/>
        <v>-1</v>
      </c>
      <c r="AI1621" s="100">
        <f t="shared" si="2393"/>
        <v>-1</v>
      </c>
    </row>
    <row r="1622" spans="1:35" s="47" customFormat="1" ht="21" customHeight="1" x14ac:dyDescent="0.3">
      <c r="A1622" s="78"/>
      <c r="B1622" s="106" t="s">
        <v>51</v>
      </c>
      <c r="C1622" s="117" t="s">
        <v>972</v>
      </c>
      <c r="D1622" s="270">
        <v>15323159</v>
      </c>
      <c r="E1622" s="131" t="s">
        <v>0</v>
      </c>
      <c r="F1622" s="66">
        <v>3040</v>
      </c>
      <c r="G1622" s="66"/>
      <c r="H1622" s="66"/>
      <c r="I1622" s="66"/>
      <c r="J1622" s="66"/>
      <c r="K1622" s="78"/>
      <c r="L1622" s="66"/>
      <c r="M1622" s="66"/>
      <c r="N1622" s="110">
        <f t="shared" ref="N1622" si="2408">M1622-F1622</f>
        <v>-3040</v>
      </c>
      <c r="O1622" s="110"/>
      <c r="P1622" s="66"/>
      <c r="Q1622" s="66"/>
      <c r="R1622" s="66"/>
      <c r="S1622" s="66"/>
      <c r="T1622" s="110">
        <f>S1622-Q1622</f>
        <v>0</v>
      </c>
      <c r="U1622" s="59">
        <f t="shared" si="2361"/>
        <v>0</v>
      </c>
      <c r="V1622" s="66"/>
      <c r="W1622" s="66"/>
      <c r="X1622" s="110">
        <f>W1622-M1622</f>
        <v>0</v>
      </c>
      <c r="Y1622" s="110"/>
      <c r="Z1622" s="110"/>
      <c r="AA1622" s="110"/>
      <c r="AB1622" s="46"/>
      <c r="AC1622" s="78"/>
      <c r="AD1622" s="78"/>
      <c r="AE1622" s="100">
        <f t="shared" si="2382"/>
        <v>-1</v>
      </c>
      <c r="AF1622" s="90"/>
      <c r="AG1622" s="109">
        <f t="shared" si="2383"/>
        <v>-3040</v>
      </c>
      <c r="AH1622" s="100">
        <f t="shared" si="2384"/>
        <v>-1</v>
      </c>
      <c r="AI1622" s="100">
        <f t="shared" si="2385"/>
        <v>-1</v>
      </c>
    </row>
    <row r="1623" spans="1:35" s="79" customFormat="1" ht="15.75" customHeight="1" x14ac:dyDescent="0.3">
      <c r="A1623" s="90" t="s">
        <v>46</v>
      </c>
      <c r="B1623" s="136" t="s">
        <v>51</v>
      </c>
      <c r="C1623" s="137"/>
      <c r="D1623" s="136"/>
      <c r="E1623" s="138"/>
      <c r="F1623" s="91">
        <f>SUM(F1622:F1622)</f>
        <v>3040</v>
      </c>
      <c r="G1623" s="91"/>
      <c r="H1623" s="91"/>
      <c r="I1623" s="91"/>
      <c r="J1623" s="91" t="s">
        <v>58</v>
      </c>
      <c r="K1623" s="65" t="s">
        <v>330</v>
      </c>
      <c r="L1623" s="91">
        <f>SUM(L1622:L1622)</f>
        <v>0</v>
      </c>
      <c r="M1623" s="91">
        <f>SUM(M1622:M1622)</f>
        <v>0</v>
      </c>
      <c r="N1623" s="91">
        <f>SUM(N1622:N1622)</f>
        <v>-3040</v>
      </c>
      <c r="O1623" s="91"/>
      <c r="P1623" s="91">
        <f>SUM(P1622:P1622)</f>
        <v>0</v>
      </c>
      <c r="Q1623" s="91">
        <f>SUM(Q1622:Q1622)</f>
        <v>0</v>
      </c>
      <c r="R1623" s="91">
        <f>SUM(R1622:R1622)</f>
        <v>0</v>
      </c>
      <c r="S1623" s="91">
        <f>SUM(S1622:S1622)</f>
        <v>0</v>
      </c>
      <c r="T1623" s="91">
        <f>SUM(T1622:T1622)</f>
        <v>0</v>
      </c>
      <c r="U1623" s="59">
        <f t="shared" si="2361"/>
        <v>0</v>
      </c>
      <c r="V1623" s="91">
        <f>SUM(V1622:V1622)</f>
        <v>0</v>
      </c>
      <c r="W1623" s="91">
        <f>SUM(W1622:W1622)</f>
        <v>0</v>
      </c>
      <c r="X1623" s="91">
        <f>SUM(X1622:X1622)</f>
        <v>0</v>
      </c>
      <c r="Y1623" s="136"/>
      <c r="Z1623" s="136"/>
      <c r="AA1623" s="136"/>
      <c r="AB1623" s="84"/>
      <c r="AC1623" s="90"/>
      <c r="AD1623" s="90"/>
      <c r="AE1623" s="100">
        <f t="shared" si="2382"/>
        <v>-1</v>
      </c>
      <c r="AF1623" s="90"/>
      <c r="AG1623" s="109">
        <f t="shared" si="2383"/>
        <v>-3040</v>
      </c>
      <c r="AH1623" s="100">
        <f t="shared" si="2384"/>
        <v>-1</v>
      </c>
      <c r="AI1623" s="100">
        <f t="shared" si="2385"/>
        <v>-1</v>
      </c>
    </row>
    <row r="1624" spans="1:35" s="47" customFormat="1" ht="21" customHeight="1" x14ac:dyDescent="0.3">
      <c r="A1624" s="78"/>
      <c r="B1624" s="106" t="s">
        <v>51</v>
      </c>
      <c r="C1624" s="117">
        <v>48162</v>
      </c>
      <c r="D1624" s="299">
        <v>15390521</v>
      </c>
      <c r="E1624" s="131" t="s">
        <v>49</v>
      </c>
      <c r="F1624" s="66">
        <v>672</v>
      </c>
      <c r="G1624" s="66"/>
      <c r="H1624" s="66"/>
      <c r="I1624" s="66"/>
      <c r="J1624" s="66"/>
      <c r="K1624" s="78"/>
      <c r="L1624" s="66"/>
      <c r="M1624" s="66">
        <f>696</f>
        <v>696</v>
      </c>
      <c r="N1624" s="110">
        <f t="shared" ref="N1624:N1626" si="2409">M1624-F1624</f>
        <v>24</v>
      </c>
      <c r="O1624" s="110"/>
      <c r="P1624" s="66"/>
      <c r="Q1624" s="66">
        <v>696</v>
      </c>
      <c r="R1624" s="66"/>
      <c r="S1624" s="66"/>
      <c r="T1624" s="110">
        <f>S1624-Q1624</f>
        <v>-696</v>
      </c>
      <c r="U1624" s="59">
        <f t="shared" ref="U1624:U1627" si="2410">IF(Q1624&gt;0,S1624-W1624,M1624-W1624)</f>
        <v>0</v>
      </c>
      <c r="V1624" s="66"/>
      <c r="W1624" s="66"/>
      <c r="X1624" s="110">
        <f>W1624-M1624</f>
        <v>-696</v>
      </c>
      <c r="Y1624" s="110"/>
      <c r="Z1624" s="110"/>
      <c r="AA1624" s="110"/>
      <c r="AB1624" s="46"/>
      <c r="AC1624" s="78"/>
      <c r="AD1624" s="78"/>
      <c r="AE1624" s="100">
        <f t="shared" si="2367"/>
        <v>3.5714285714285712E-2</v>
      </c>
      <c r="AF1624" s="90"/>
      <c r="AG1624" s="109">
        <f t="shared" si="2368"/>
        <v>0</v>
      </c>
      <c r="AH1624" s="100">
        <f t="shared" si="2369"/>
        <v>-1</v>
      </c>
      <c r="AI1624" s="100">
        <f t="shared" si="2370"/>
        <v>-1</v>
      </c>
    </row>
    <row r="1625" spans="1:35" s="47" customFormat="1" ht="21" customHeight="1" x14ac:dyDescent="0.3">
      <c r="A1625" s="78"/>
      <c r="B1625" s="106" t="s">
        <v>51</v>
      </c>
      <c r="C1625" s="117">
        <v>48162</v>
      </c>
      <c r="D1625" s="300"/>
      <c r="E1625" s="131" t="s">
        <v>575</v>
      </c>
      <c r="F1625" s="66">
        <v>672</v>
      </c>
      <c r="G1625" s="66"/>
      <c r="H1625" s="66"/>
      <c r="I1625" s="66"/>
      <c r="J1625" s="66"/>
      <c r="K1625" s="78"/>
      <c r="L1625" s="66"/>
      <c r="M1625" s="66">
        <f>696</f>
        <v>696</v>
      </c>
      <c r="N1625" s="110">
        <f t="shared" ref="N1625" si="2411">M1625-F1625</f>
        <v>24</v>
      </c>
      <c r="O1625" s="110"/>
      <c r="P1625" s="66"/>
      <c r="Q1625" s="66">
        <v>696</v>
      </c>
      <c r="R1625" s="66"/>
      <c r="S1625" s="66"/>
      <c r="T1625" s="110">
        <f t="shared" ref="T1625" si="2412">S1625-Q1625</f>
        <v>-696</v>
      </c>
      <c r="U1625" s="59">
        <f t="shared" ref="U1625" si="2413">IF(Q1625&gt;0,S1625-W1625,M1625-W1625)</f>
        <v>0</v>
      </c>
      <c r="V1625" s="66"/>
      <c r="W1625" s="66"/>
      <c r="X1625" s="110">
        <f t="shared" ref="X1625" si="2414">W1625-M1625</f>
        <v>-696</v>
      </c>
      <c r="Y1625" s="110"/>
      <c r="Z1625" s="110"/>
      <c r="AA1625" s="110"/>
      <c r="AB1625" s="46"/>
      <c r="AC1625" s="78"/>
      <c r="AD1625" s="78"/>
      <c r="AE1625" s="100">
        <f t="shared" ref="AE1625" si="2415">N1625/F1625</f>
        <v>3.5714285714285712E-2</v>
      </c>
      <c r="AF1625" s="90"/>
      <c r="AG1625" s="109">
        <f t="shared" ref="AG1625" si="2416">IF(N1625&lt;0,N1625,0)</f>
        <v>0</v>
      </c>
      <c r="AH1625" s="100">
        <f t="shared" ref="AH1625" si="2417">(S1625-F1625)/F1625</f>
        <v>-1</v>
      </c>
      <c r="AI1625" s="100">
        <f t="shared" ref="AI1625" si="2418">(W1625-F1625)/F1625</f>
        <v>-1</v>
      </c>
    </row>
    <row r="1626" spans="1:35" s="47" customFormat="1" ht="21" customHeight="1" x14ac:dyDescent="0.3">
      <c r="A1626" s="78"/>
      <c r="B1626" s="106" t="s">
        <v>51</v>
      </c>
      <c r="C1626" s="117">
        <v>48162</v>
      </c>
      <c r="D1626" s="300"/>
      <c r="E1626" s="131" t="s">
        <v>228</v>
      </c>
      <c r="F1626" s="66">
        <v>672</v>
      </c>
      <c r="G1626" s="66"/>
      <c r="H1626" s="66"/>
      <c r="I1626" s="66"/>
      <c r="J1626" s="66"/>
      <c r="K1626" s="78"/>
      <c r="L1626" s="66"/>
      <c r="M1626" s="66">
        <v>696</v>
      </c>
      <c r="N1626" s="110">
        <f t="shared" si="2409"/>
        <v>24</v>
      </c>
      <c r="O1626" s="110"/>
      <c r="P1626" s="66"/>
      <c r="Q1626" s="66">
        <v>696</v>
      </c>
      <c r="R1626" s="66"/>
      <c r="S1626" s="66"/>
      <c r="T1626" s="110">
        <f t="shared" ref="T1626" si="2419">S1626-Q1626</f>
        <v>-696</v>
      </c>
      <c r="U1626" s="59">
        <f t="shared" si="2410"/>
        <v>0</v>
      </c>
      <c r="V1626" s="66"/>
      <c r="W1626" s="66"/>
      <c r="X1626" s="110">
        <f t="shared" ref="X1626" si="2420">W1626-M1626</f>
        <v>-696</v>
      </c>
      <c r="Y1626" s="110"/>
      <c r="Z1626" s="110"/>
      <c r="AA1626" s="110"/>
      <c r="AB1626" s="46"/>
      <c r="AC1626" s="78"/>
      <c r="AD1626" s="78"/>
      <c r="AE1626" s="100">
        <f t="shared" si="2367"/>
        <v>3.5714285714285712E-2</v>
      </c>
      <c r="AF1626" s="90"/>
      <c r="AG1626" s="109">
        <f t="shared" si="2368"/>
        <v>0</v>
      </c>
      <c r="AH1626" s="100">
        <f t="shared" si="2369"/>
        <v>-1</v>
      </c>
      <c r="AI1626" s="100">
        <f t="shared" si="2370"/>
        <v>-1</v>
      </c>
    </row>
    <row r="1627" spans="1:35" s="79" customFormat="1" ht="15.75" customHeight="1" x14ac:dyDescent="0.3">
      <c r="A1627" s="90" t="s">
        <v>46</v>
      </c>
      <c r="B1627" s="136" t="s">
        <v>51</v>
      </c>
      <c r="C1627" s="137"/>
      <c r="D1627" s="136"/>
      <c r="E1627" s="138"/>
      <c r="F1627" s="91">
        <f>SUM(F1624:F1626)</f>
        <v>2016</v>
      </c>
      <c r="G1627" s="91"/>
      <c r="H1627" s="91"/>
      <c r="I1627" s="91"/>
      <c r="J1627" s="91" t="s">
        <v>59</v>
      </c>
      <c r="K1627" s="65" t="s">
        <v>436</v>
      </c>
      <c r="L1627" s="91">
        <f>SUM(L1624:L1626)</f>
        <v>0</v>
      </c>
      <c r="M1627" s="91">
        <f>SUM(M1624:M1626)</f>
        <v>2088</v>
      </c>
      <c r="N1627" s="91">
        <f>SUM(N1624:N1626)</f>
        <v>72</v>
      </c>
      <c r="O1627" s="91" t="s">
        <v>479</v>
      </c>
      <c r="P1627" s="91">
        <f>SUM(P1624:P1626)</f>
        <v>0</v>
      </c>
      <c r="Q1627" s="91">
        <f>SUM(Q1624:Q1626)</f>
        <v>2088</v>
      </c>
      <c r="R1627" s="91">
        <f>SUM(R1624:R1626)</f>
        <v>0</v>
      </c>
      <c r="S1627" s="91">
        <f>SUM(S1624:S1626)</f>
        <v>0</v>
      </c>
      <c r="T1627" s="91">
        <f>SUM(T1624:T1626)</f>
        <v>-2088</v>
      </c>
      <c r="U1627" s="59">
        <f t="shared" si="2410"/>
        <v>0</v>
      </c>
      <c r="V1627" s="91">
        <f>SUM(V1624:V1626)</f>
        <v>0</v>
      </c>
      <c r="W1627" s="91">
        <f>SUM(W1624:W1626)</f>
        <v>0</v>
      </c>
      <c r="X1627" s="91">
        <f>SUM(X1624:X1626)</f>
        <v>-2088</v>
      </c>
      <c r="Y1627" s="136" t="s">
        <v>47</v>
      </c>
      <c r="Z1627" s="136" t="s">
        <v>45</v>
      </c>
      <c r="AA1627" s="136"/>
      <c r="AB1627" s="84"/>
      <c r="AC1627" s="90"/>
      <c r="AD1627" s="90"/>
      <c r="AE1627" s="100">
        <f t="shared" si="2367"/>
        <v>3.5714285714285712E-2</v>
      </c>
      <c r="AF1627" s="90"/>
      <c r="AG1627" s="109">
        <f t="shared" si="2368"/>
        <v>0</v>
      </c>
      <c r="AH1627" s="100">
        <f t="shared" si="2369"/>
        <v>-1</v>
      </c>
      <c r="AI1627" s="100">
        <f t="shared" si="2370"/>
        <v>-1</v>
      </c>
    </row>
    <row r="1628" spans="1:35" s="47" customFormat="1" ht="21" customHeight="1" x14ac:dyDescent="0.3">
      <c r="A1628" s="78"/>
      <c r="B1628" s="106" t="s">
        <v>51</v>
      </c>
      <c r="C1628" s="117" t="s">
        <v>448</v>
      </c>
      <c r="D1628" s="299">
        <v>15209156</v>
      </c>
      <c r="E1628" s="131" t="s">
        <v>198</v>
      </c>
      <c r="F1628" s="66">
        <v>690</v>
      </c>
      <c r="G1628" s="66"/>
      <c r="H1628" s="66"/>
      <c r="I1628" s="66"/>
      <c r="J1628" s="66"/>
      <c r="K1628" s="78"/>
      <c r="L1628" s="66"/>
      <c r="M1628" s="66">
        <v>707</v>
      </c>
      <c r="N1628" s="110">
        <f t="shared" ref="N1628:N1636" si="2421">M1628-F1628</f>
        <v>17</v>
      </c>
      <c r="O1628" s="110"/>
      <c r="P1628" s="66"/>
      <c r="Q1628" s="66"/>
      <c r="R1628" s="66"/>
      <c r="S1628" s="66"/>
      <c r="T1628" s="110">
        <f>S1628-Q1628</f>
        <v>0</v>
      </c>
      <c r="U1628" s="59">
        <f t="shared" si="2361"/>
        <v>0</v>
      </c>
      <c r="V1628" s="66"/>
      <c r="W1628" s="66">
        <v>707</v>
      </c>
      <c r="X1628" s="110">
        <f>W1628-M1628</f>
        <v>0</v>
      </c>
      <c r="Y1628" s="110"/>
      <c r="Z1628" s="110"/>
      <c r="AA1628" s="110"/>
      <c r="AB1628" s="46"/>
      <c r="AC1628" s="78"/>
      <c r="AD1628" s="78"/>
      <c r="AE1628" s="100">
        <f t="shared" ref="AE1628:AE1637" si="2422">N1628/F1628</f>
        <v>2.4637681159420291E-2</v>
      </c>
      <c r="AF1628" s="90"/>
      <c r="AG1628" s="109">
        <f t="shared" ref="AG1628:AG1637" si="2423">IF(N1628&lt;0,N1628,0)</f>
        <v>0</v>
      </c>
      <c r="AH1628" s="100">
        <f t="shared" ref="AH1628:AH1637" si="2424">(S1628-F1628)/F1628</f>
        <v>-1</v>
      </c>
      <c r="AI1628" s="100">
        <f t="shared" ref="AI1628:AI1637" si="2425">(W1628-F1628)/F1628</f>
        <v>2.4637681159420291E-2</v>
      </c>
    </row>
    <row r="1629" spans="1:35" s="47" customFormat="1" ht="21" customHeight="1" x14ac:dyDescent="0.3">
      <c r="A1629" s="78"/>
      <c r="B1629" s="106" t="s">
        <v>51</v>
      </c>
      <c r="C1629" s="117" t="s">
        <v>448</v>
      </c>
      <c r="D1629" s="300"/>
      <c r="E1629" s="131" t="s">
        <v>199</v>
      </c>
      <c r="F1629" s="66">
        <v>690</v>
      </c>
      <c r="G1629" s="66"/>
      <c r="H1629" s="66"/>
      <c r="I1629" s="66"/>
      <c r="J1629" s="66"/>
      <c r="K1629" s="78"/>
      <c r="L1629" s="66"/>
      <c r="M1629" s="66">
        <v>707</v>
      </c>
      <c r="N1629" s="110">
        <f t="shared" ref="N1629:N1632" si="2426">M1629-F1629</f>
        <v>17</v>
      </c>
      <c r="O1629" s="110"/>
      <c r="P1629" s="66"/>
      <c r="Q1629" s="66"/>
      <c r="R1629" s="66"/>
      <c r="S1629" s="66"/>
      <c r="T1629" s="110">
        <f t="shared" ref="T1629:T1632" si="2427">S1629-Q1629</f>
        <v>0</v>
      </c>
      <c r="U1629" s="59">
        <f t="shared" ref="U1629:U1632" si="2428">IF(Q1629&gt;0,S1629-W1629,M1629-W1629)</f>
        <v>6</v>
      </c>
      <c r="V1629" s="66"/>
      <c r="W1629" s="66">
        <v>701</v>
      </c>
      <c r="X1629" s="110">
        <f t="shared" ref="X1629:X1632" si="2429">W1629-M1629</f>
        <v>-6</v>
      </c>
      <c r="Y1629" s="110"/>
      <c r="Z1629" s="110"/>
      <c r="AA1629" s="110"/>
      <c r="AB1629" s="46"/>
      <c r="AC1629" s="78"/>
      <c r="AD1629" s="78"/>
      <c r="AE1629" s="100">
        <f t="shared" ref="AE1629:AE1632" si="2430">N1629/F1629</f>
        <v>2.4637681159420291E-2</v>
      </c>
      <c r="AF1629" s="90"/>
      <c r="AG1629" s="109">
        <f t="shared" ref="AG1629:AG1632" si="2431">IF(N1629&lt;0,N1629,0)</f>
        <v>0</v>
      </c>
      <c r="AH1629" s="100">
        <f t="shared" ref="AH1629:AH1632" si="2432">(S1629-F1629)/F1629</f>
        <v>-1</v>
      </c>
      <c r="AI1629" s="100">
        <f t="shared" ref="AI1629:AI1632" si="2433">(W1629-F1629)/F1629</f>
        <v>1.5942028985507246E-2</v>
      </c>
    </row>
    <row r="1630" spans="1:35" s="47" customFormat="1" ht="21" customHeight="1" x14ac:dyDescent="0.3">
      <c r="A1630" s="78"/>
      <c r="B1630" s="106" t="s">
        <v>51</v>
      </c>
      <c r="C1630" s="117" t="s">
        <v>448</v>
      </c>
      <c r="D1630" s="300"/>
      <c r="E1630" s="131" t="s">
        <v>200</v>
      </c>
      <c r="F1630" s="66">
        <v>690</v>
      </c>
      <c r="G1630" s="66"/>
      <c r="H1630" s="66"/>
      <c r="I1630" s="66"/>
      <c r="J1630" s="66"/>
      <c r="K1630" s="78"/>
      <c r="L1630" s="66"/>
      <c r="M1630" s="66">
        <v>707</v>
      </c>
      <c r="N1630" s="110">
        <f t="shared" si="2426"/>
        <v>17</v>
      </c>
      <c r="O1630" s="110"/>
      <c r="P1630" s="66"/>
      <c r="Q1630" s="66"/>
      <c r="R1630" s="66"/>
      <c r="S1630" s="66"/>
      <c r="T1630" s="110">
        <f t="shared" si="2427"/>
        <v>0</v>
      </c>
      <c r="U1630" s="59">
        <f t="shared" si="2428"/>
        <v>0</v>
      </c>
      <c r="V1630" s="66"/>
      <c r="W1630" s="66">
        <v>707</v>
      </c>
      <c r="X1630" s="110">
        <f t="shared" si="2429"/>
        <v>0</v>
      </c>
      <c r="Y1630" s="110"/>
      <c r="Z1630" s="110"/>
      <c r="AA1630" s="110"/>
      <c r="AB1630" s="46"/>
      <c r="AC1630" s="78"/>
      <c r="AD1630" s="78"/>
      <c r="AE1630" s="100">
        <f t="shared" si="2430"/>
        <v>2.4637681159420291E-2</v>
      </c>
      <c r="AF1630" s="90"/>
      <c r="AG1630" s="109">
        <f t="shared" si="2431"/>
        <v>0</v>
      </c>
      <c r="AH1630" s="100">
        <f t="shared" si="2432"/>
        <v>-1</v>
      </c>
      <c r="AI1630" s="100">
        <f t="shared" si="2433"/>
        <v>2.4637681159420291E-2</v>
      </c>
    </row>
    <row r="1631" spans="1:35" s="47" customFormat="1" ht="21" customHeight="1" x14ac:dyDescent="0.3">
      <c r="A1631" s="78"/>
      <c r="B1631" s="106" t="s">
        <v>51</v>
      </c>
      <c r="C1631" s="117" t="s">
        <v>448</v>
      </c>
      <c r="D1631" s="300"/>
      <c r="E1631" s="131" t="s">
        <v>449</v>
      </c>
      <c r="F1631" s="66">
        <v>690</v>
      </c>
      <c r="G1631" s="66"/>
      <c r="H1631" s="66"/>
      <c r="I1631" s="66"/>
      <c r="J1631" s="66"/>
      <c r="K1631" s="78"/>
      <c r="L1631" s="66"/>
      <c r="M1631" s="66">
        <f>607+97</f>
        <v>704</v>
      </c>
      <c r="N1631" s="110">
        <f t="shared" si="2426"/>
        <v>14</v>
      </c>
      <c r="O1631" s="110"/>
      <c r="P1631" s="66"/>
      <c r="Q1631" s="66"/>
      <c r="R1631" s="66"/>
      <c r="S1631" s="66"/>
      <c r="T1631" s="110">
        <f t="shared" si="2427"/>
        <v>0</v>
      </c>
      <c r="U1631" s="59">
        <f t="shared" si="2428"/>
        <v>0</v>
      </c>
      <c r="V1631" s="66"/>
      <c r="W1631" s="66">
        <f>607+97</f>
        <v>704</v>
      </c>
      <c r="X1631" s="110">
        <f t="shared" si="2429"/>
        <v>0</v>
      </c>
      <c r="Y1631" s="110"/>
      <c r="Z1631" s="110"/>
      <c r="AA1631" s="110"/>
      <c r="AB1631" s="46"/>
      <c r="AC1631" s="78"/>
      <c r="AD1631" s="78"/>
      <c r="AE1631" s="100">
        <f t="shared" si="2430"/>
        <v>2.0289855072463767E-2</v>
      </c>
      <c r="AF1631" s="90"/>
      <c r="AG1631" s="109">
        <f t="shared" si="2431"/>
        <v>0</v>
      </c>
      <c r="AH1631" s="100">
        <f t="shared" si="2432"/>
        <v>-1</v>
      </c>
      <c r="AI1631" s="100">
        <f t="shared" si="2433"/>
        <v>2.0289855072463767E-2</v>
      </c>
    </row>
    <row r="1632" spans="1:35" s="47" customFormat="1" ht="21" customHeight="1" x14ac:dyDescent="0.3">
      <c r="A1632" s="78"/>
      <c r="B1632" s="106" t="s">
        <v>51</v>
      </c>
      <c r="C1632" s="117" t="s">
        <v>448</v>
      </c>
      <c r="D1632" s="300"/>
      <c r="E1632" s="131" t="s">
        <v>201</v>
      </c>
      <c r="F1632" s="66">
        <v>690</v>
      </c>
      <c r="G1632" s="66"/>
      <c r="H1632" s="66"/>
      <c r="I1632" s="66"/>
      <c r="J1632" s="66"/>
      <c r="K1632" s="78"/>
      <c r="L1632" s="66"/>
      <c r="M1632" s="66">
        <v>710</v>
      </c>
      <c r="N1632" s="110">
        <f t="shared" si="2426"/>
        <v>20</v>
      </c>
      <c r="O1632" s="110"/>
      <c r="P1632" s="66"/>
      <c r="Q1632" s="66"/>
      <c r="R1632" s="66"/>
      <c r="S1632" s="66"/>
      <c r="T1632" s="110">
        <f t="shared" si="2427"/>
        <v>0</v>
      </c>
      <c r="U1632" s="59">
        <f t="shared" si="2428"/>
        <v>0</v>
      </c>
      <c r="V1632" s="66"/>
      <c r="W1632" s="66">
        <v>710</v>
      </c>
      <c r="X1632" s="110">
        <f t="shared" si="2429"/>
        <v>0</v>
      </c>
      <c r="Y1632" s="110"/>
      <c r="Z1632" s="110"/>
      <c r="AA1632" s="110"/>
      <c r="AB1632" s="46"/>
      <c r="AC1632" s="78"/>
      <c r="AD1632" s="78"/>
      <c r="AE1632" s="100">
        <f t="shared" si="2430"/>
        <v>2.8985507246376812E-2</v>
      </c>
      <c r="AF1632" s="90"/>
      <c r="AG1632" s="109">
        <f t="shared" si="2431"/>
        <v>0</v>
      </c>
      <c r="AH1632" s="100">
        <f t="shared" si="2432"/>
        <v>-1</v>
      </c>
      <c r="AI1632" s="100">
        <f t="shared" si="2433"/>
        <v>2.8985507246376812E-2</v>
      </c>
    </row>
    <row r="1633" spans="1:35" s="47" customFormat="1" ht="21" customHeight="1" x14ac:dyDescent="0.3">
      <c r="A1633" s="78"/>
      <c r="B1633" s="106" t="s">
        <v>51</v>
      </c>
      <c r="C1633" s="117" t="s">
        <v>448</v>
      </c>
      <c r="D1633" s="300"/>
      <c r="E1633" s="131" t="s">
        <v>391</v>
      </c>
      <c r="F1633" s="66">
        <v>690</v>
      </c>
      <c r="G1633" s="66"/>
      <c r="H1633" s="66"/>
      <c r="I1633" s="66"/>
      <c r="J1633" s="66"/>
      <c r="K1633" s="78"/>
      <c r="L1633" s="66"/>
      <c r="M1633" s="66">
        <f>678+26+1</f>
        <v>705</v>
      </c>
      <c r="N1633" s="110">
        <f t="shared" si="2421"/>
        <v>15</v>
      </c>
      <c r="O1633" s="110"/>
      <c r="P1633" s="66"/>
      <c r="Q1633" s="66"/>
      <c r="R1633" s="66"/>
      <c r="S1633" s="66"/>
      <c r="T1633" s="110">
        <f t="shared" ref="T1633:T1634" si="2434">S1633-Q1633</f>
        <v>0</v>
      </c>
      <c r="U1633" s="59">
        <f t="shared" si="2361"/>
        <v>0</v>
      </c>
      <c r="V1633" s="66"/>
      <c r="W1633" s="66">
        <v>705</v>
      </c>
      <c r="X1633" s="110">
        <f t="shared" ref="X1633:X1634" si="2435">W1633-M1633</f>
        <v>0</v>
      </c>
      <c r="Y1633" s="110"/>
      <c r="Z1633" s="110"/>
      <c r="AA1633" s="110"/>
      <c r="AB1633" s="46"/>
      <c r="AC1633" s="78"/>
      <c r="AD1633" s="78"/>
      <c r="AE1633" s="100">
        <f t="shared" si="2422"/>
        <v>2.1739130434782608E-2</v>
      </c>
      <c r="AF1633" s="90"/>
      <c r="AG1633" s="109">
        <f t="shared" si="2423"/>
        <v>0</v>
      </c>
      <c r="AH1633" s="100">
        <f t="shared" si="2424"/>
        <v>-1</v>
      </c>
      <c r="AI1633" s="100">
        <f t="shared" si="2425"/>
        <v>2.1739130434782608E-2</v>
      </c>
    </row>
    <row r="1634" spans="1:35" s="47" customFormat="1" ht="21" customHeight="1" x14ac:dyDescent="0.3">
      <c r="A1634" s="78"/>
      <c r="B1634" s="106" t="s">
        <v>51</v>
      </c>
      <c r="C1634" s="117" t="s">
        <v>448</v>
      </c>
      <c r="D1634" s="300"/>
      <c r="E1634" s="131" t="s">
        <v>276</v>
      </c>
      <c r="F1634" s="66">
        <v>780</v>
      </c>
      <c r="G1634" s="66"/>
      <c r="H1634" s="66"/>
      <c r="I1634" s="66"/>
      <c r="J1634" s="66"/>
      <c r="K1634" s="78"/>
      <c r="L1634" s="66"/>
      <c r="M1634" s="66">
        <f>798</f>
        <v>798</v>
      </c>
      <c r="N1634" s="110">
        <f t="shared" ref="N1634" si="2436">M1634-F1634</f>
        <v>18</v>
      </c>
      <c r="O1634" s="110"/>
      <c r="P1634" s="66"/>
      <c r="Q1634" s="66"/>
      <c r="R1634" s="66"/>
      <c r="S1634" s="66"/>
      <c r="T1634" s="110">
        <f t="shared" si="2434"/>
        <v>0</v>
      </c>
      <c r="U1634" s="59">
        <f t="shared" ref="U1634" si="2437">IF(Q1634&gt;0,S1634-W1634,M1634-W1634)</f>
        <v>5</v>
      </c>
      <c r="V1634" s="66"/>
      <c r="W1634" s="66">
        <v>793</v>
      </c>
      <c r="X1634" s="110">
        <f t="shared" si="2435"/>
        <v>-5</v>
      </c>
      <c r="Y1634" s="110"/>
      <c r="Z1634" s="110"/>
      <c r="AA1634" s="110"/>
      <c r="AB1634" s="46"/>
      <c r="AC1634" s="78"/>
      <c r="AD1634" s="78"/>
      <c r="AE1634" s="100">
        <f t="shared" ref="AE1634" si="2438">N1634/F1634</f>
        <v>2.3076923076923078E-2</v>
      </c>
      <c r="AF1634" s="90"/>
      <c r="AG1634" s="109">
        <f t="shared" ref="AG1634" si="2439">IF(N1634&lt;0,N1634,0)</f>
        <v>0</v>
      </c>
      <c r="AH1634" s="100">
        <f t="shared" ref="AH1634" si="2440">(S1634-F1634)/F1634</f>
        <v>-1</v>
      </c>
      <c r="AI1634" s="100">
        <f t="shared" ref="AI1634" si="2441">(W1634-F1634)/F1634</f>
        <v>1.6666666666666666E-2</v>
      </c>
    </row>
    <row r="1635" spans="1:35" s="47" customFormat="1" ht="21" customHeight="1" x14ac:dyDescent="0.3">
      <c r="A1635" s="78"/>
      <c r="B1635" s="106" t="s">
        <v>51</v>
      </c>
      <c r="C1635" s="117" t="s">
        <v>448</v>
      </c>
      <c r="D1635" s="300"/>
      <c r="E1635" s="131" t="s">
        <v>152</v>
      </c>
      <c r="F1635" s="66">
        <v>780</v>
      </c>
      <c r="G1635" s="66"/>
      <c r="H1635" s="66"/>
      <c r="I1635" s="66"/>
      <c r="J1635" s="66"/>
      <c r="K1635" s="78"/>
      <c r="L1635" s="66"/>
      <c r="M1635" s="66">
        <f>763+40</f>
        <v>803</v>
      </c>
      <c r="N1635" s="110">
        <f t="shared" ref="N1635" si="2442">M1635-F1635</f>
        <v>23</v>
      </c>
      <c r="O1635" s="110"/>
      <c r="P1635" s="66"/>
      <c r="Q1635" s="66"/>
      <c r="R1635" s="66"/>
      <c r="S1635" s="66"/>
      <c r="T1635" s="110">
        <f t="shared" ref="T1635" si="2443">S1635-Q1635</f>
        <v>0</v>
      </c>
      <c r="U1635" s="59">
        <f t="shared" ref="U1635" si="2444">IF(Q1635&gt;0,S1635-W1635,M1635-W1635)</f>
        <v>7</v>
      </c>
      <c r="V1635" s="66"/>
      <c r="W1635" s="66">
        <f>756+40</f>
        <v>796</v>
      </c>
      <c r="X1635" s="110">
        <f t="shared" ref="X1635" si="2445">W1635-M1635</f>
        <v>-7</v>
      </c>
      <c r="Y1635" s="110"/>
      <c r="Z1635" s="110"/>
      <c r="AA1635" s="110"/>
      <c r="AB1635" s="46"/>
      <c r="AC1635" s="78"/>
      <c r="AD1635" s="78"/>
      <c r="AE1635" s="100">
        <f t="shared" ref="AE1635" si="2446">N1635/F1635</f>
        <v>2.9487179487179487E-2</v>
      </c>
      <c r="AF1635" s="90"/>
      <c r="AG1635" s="109">
        <f t="shared" ref="AG1635" si="2447">IF(N1635&lt;0,N1635,0)</f>
        <v>0</v>
      </c>
      <c r="AH1635" s="100">
        <f t="shared" ref="AH1635" si="2448">(S1635-F1635)/F1635</f>
        <v>-1</v>
      </c>
      <c r="AI1635" s="100">
        <f t="shared" ref="AI1635" si="2449">(W1635-F1635)/F1635</f>
        <v>2.0512820512820513E-2</v>
      </c>
    </row>
    <row r="1636" spans="1:35" s="47" customFormat="1" ht="21" customHeight="1" x14ac:dyDescent="0.3">
      <c r="A1636" s="78"/>
      <c r="B1636" s="106" t="s">
        <v>51</v>
      </c>
      <c r="C1636" s="117" t="s">
        <v>448</v>
      </c>
      <c r="D1636" s="300"/>
      <c r="E1636" s="131" t="s">
        <v>277</v>
      </c>
      <c r="F1636" s="66">
        <v>780</v>
      </c>
      <c r="G1636" s="66"/>
      <c r="H1636" s="66"/>
      <c r="I1636" s="66"/>
      <c r="J1636" s="66"/>
      <c r="K1636" s="78"/>
      <c r="L1636" s="66"/>
      <c r="M1636" s="66">
        <f>798</f>
        <v>798</v>
      </c>
      <c r="N1636" s="110">
        <f t="shared" si="2421"/>
        <v>18</v>
      </c>
      <c r="O1636" s="110"/>
      <c r="P1636" s="66"/>
      <c r="Q1636" s="66"/>
      <c r="R1636" s="66"/>
      <c r="S1636" s="66"/>
      <c r="T1636" s="110">
        <f t="shared" ref="T1636" si="2450">S1636-Q1636</f>
        <v>0</v>
      </c>
      <c r="U1636" s="59">
        <f t="shared" si="2361"/>
        <v>4</v>
      </c>
      <c r="V1636" s="66"/>
      <c r="W1636" s="66">
        <v>794</v>
      </c>
      <c r="X1636" s="110">
        <f t="shared" ref="X1636" si="2451">W1636-M1636</f>
        <v>-4</v>
      </c>
      <c r="Y1636" s="110"/>
      <c r="Z1636" s="110"/>
      <c r="AA1636" s="110"/>
      <c r="AB1636" s="46"/>
      <c r="AC1636" s="78"/>
      <c r="AD1636" s="78"/>
      <c r="AE1636" s="100">
        <f t="shared" si="2422"/>
        <v>2.3076923076923078E-2</v>
      </c>
      <c r="AF1636" s="90"/>
      <c r="AG1636" s="109">
        <f t="shared" si="2423"/>
        <v>0</v>
      </c>
      <c r="AH1636" s="100">
        <f t="shared" si="2424"/>
        <v>-1</v>
      </c>
      <c r="AI1636" s="100">
        <f t="shared" si="2425"/>
        <v>1.7948717948717947E-2</v>
      </c>
    </row>
    <row r="1637" spans="1:35" s="79" customFormat="1" ht="15.75" customHeight="1" x14ac:dyDescent="0.3">
      <c r="A1637" s="90" t="s">
        <v>46</v>
      </c>
      <c r="B1637" s="136" t="s">
        <v>51</v>
      </c>
      <c r="C1637" s="137"/>
      <c r="D1637" s="136"/>
      <c r="E1637" s="138"/>
      <c r="F1637" s="91">
        <f>SUM(F1628:F1636)</f>
        <v>6480</v>
      </c>
      <c r="G1637" s="91"/>
      <c r="H1637" s="91"/>
      <c r="I1637" s="91"/>
      <c r="J1637" s="91" t="s">
        <v>60</v>
      </c>
      <c r="K1637" s="65" t="s">
        <v>238</v>
      </c>
      <c r="L1637" s="91">
        <f>SUM(L1628:L1636)</f>
        <v>0</v>
      </c>
      <c r="M1637" s="91">
        <f>SUM(M1628:M1636)</f>
        <v>6639</v>
      </c>
      <c r="N1637" s="91">
        <f>SUM(N1628:N1636)</f>
        <v>159</v>
      </c>
      <c r="O1637" s="91"/>
      <c r="P1637" s="91">
        <f>SUM(P1628:P1636)</f>
        <v>0</v>
      </c>
      <c r="Q1637" s="91">
        <f>SUM(Q1628:Q1636)</f>
        <v>0</v>
      </c>
      <c r="R1637" s="91">
        <f>SUM(R1628:R1636)</f>
        <v>0</v>
      </c>
      <c r="S1637" s="91">
        <f>SUM(S1628:S1636)</f>
        <v>0</v>
      </c>
      <c r="T1637" s="91">
        <f>SUM(T1628:T1636)</f>
        <v>0</v>
      </c>
      <c r="U1637" s="59">
        <f t="shared" si="2361"/>
        <v>22</v>
      </c>
      <c r="V1637" s="91">
        <f>SUM(V1628:V1636)</f>
        <v>0</v>
      </c>
      <c r="W1637" s="91">
        <f>SUM(W1628:W1636)</f>
        <v>6617</v>
      </c>
      <c r="X1637" s="91">
        <f>SUM(X1628:X1636)</f>
        <v>-22</v>
      </c>
      <c r="Y1637" s="136"/>
      <c r="Z1637" s="136"/>
      <c r="AA1637" s="136"/>
      <c r="AB1637" s="84"/>
      <c r="AC1637" s="90"/>
      <c r="AD1637" s="90"/>
      <c r="AE1637" s="100">
        <f t="shared" si="2422"/>
        <v>2.4537037037037038E-2</v>
      </c>
      <c r="AF1637" s="90"/>
      <c r="AG1637" s="109">
        <f t="shared" si="2423"/>
        <v>0</v>
      </c>
      <c r="AH1637" s="100">
        <f t="shared" si="2424"/>
        <v>-1</v>
      </c>
      <c r="AI1637" s="100">
        <f t="shared" si="2425"/>
        <v>2.1141975308641977E-2</v>
      </c>
    </row>
    <row r="1638" spans="1:35" s="47" customFormat="1" ht="21" customHeight="1" x14ac:dyDescent="0.3">
      <c r="A1638" s="78"/>
      <c r="B1638" s="106" t="s">
        <v>51</v>
      </c>
      <c r="C1638" s="117">
        <v>48170</v>
      </c>
      <c r="D1638" s="299">
        <v>15396533</v>
      </c>
      <c r="E1638" s="131" t="s">
        <v>982</v>
      </c>
      <c r="F1638" s="66">
        <v>1926</v>
      </c>
      <c r="G1638" s="66"/>
      <c r="H1638" s="66"/>
      <c r="I1638" s="66"/>
      <c r="J1638" s="66"/>
      <c r="K1638" s="78"/>
      <c r="L1638" s="66"/>
      <c r="M1638" s="66"/>
      <c r="N1638" s="110">
        <f t="shared" ref="N1638:N1640" si="2452">M1638-F1638</f>
        <v>-1926</v>
      </c>
      <c r="O1638" s="110"/>
      <c r="P1638" s="66"/>
      <c r="Q1638" s="66"/>
      <c r="R1638" s="66"/>
      <c r="S1638" s="66"/>
      <c r="T1638" s="110">
        <f>S1638-Q1638</f>
        <v>0</v>
      </c>
      <c r="U1638" s="59">
        <f t="shared" ref="U1638:U1647" si="2453">IF(Q1638&gt;0,S1638-W1638,M1638-W1638)</f>
        <v>0</v>
      </c>
      <c r="V1638" s="66"/>
      <c r="W1638" s="66"/>
      <c r="X1638" s="110">
        <f>W1638-M1638</f>
        <v>0</v>
      </c>
      <c r="Y1638" s="110"/>
      <c r="Z1638" s="110"/>
      <c r="AA1638" s="110"/>
      <c r="AB1638" s="46"/>
      <c r="AC1638" s="78"/>
      <c r="AD1638" s="78"/>
      <c r="AE1638" s="100">
        <f t="shared" ref="AE1638:AE1645" si="2454">N1638/F1638</f>
        <v>-1</v>
      </c>
      <c r="AF1638" s="90"/>
      <c r="AG1638" s="109">
        <f t="shared" ref="AG1638:AG1645" si="2455">IF(N1638&lt;0,N1638,0)</f>
        <v>-1926</v>
      </c>
      <c r="AH1638" s="100">
        <f t="shared" ref="AH1638:AH1645" si="2456">(S1638-F1638)/F1638</f>
        <v>-1</v>
      </c>
      <c r="AI1638" s="100">
        <f t="shared" ref="AI1638:AI1645" si="2457">(W1638-F1638)/F1638</f>
        <v>-1</v>
      </c>
    </row>
    <row r="1639" spans="1:35" s="47" customFormat="1" ht="21" customHeight="1" x14ac:dyDescent="0.3">
      <c r="A1639" s="78"/>
      <c r="B1639" s="106" t="s">
        <v>51</v>
      </c>
      <c r="C1639" s="117">
        <v>48170</v>
      </c>
      <c r="D1639" s="300"/>
      <c r="E1639" s="131" t="s">
        <v>983</v>
      </c>
      <c r="F1639" s="66">
        <v>7110</v>
      </c>
      <c r="G1639" s="66"/>
      <c r="H1639" s="66"/>
      <c r="I1639" s="66"/>
      <c r="J1639" s="66"/>
      <c r="K1639" s="78"/>
      <c r="L1639" s="66"/>
      <c r="M1639" s="66"/>
      <c r="N1639" s="110">
        <f t="shared" si="2452"/>
        <v>-7110</v>
      </c>
      <c r="O1639" s="110"/>
      <c r="P1639" s="66"/>
      <c r="Q1639" s="66"/>
      <c r="R1639" s="66"/>
      <c r="S1639" s="66"/>
      <c r="T1639" s="110">
        <f t="shared" ref="T1639:T1641" si="2458">S1639-Q1639</f>
        <v>0</v>
      </c>
      <c r="U1639" s="59">
        <f t="shared" si="2453"/>
        <v>0</v>
      </c>
      <c r="V1639" s="66"/>
      <c r="W1639" s="66"/>
      <c r="X1639" s="110">
        <f t="shared" ref="X1639:X1641" si="2459">W1639-M1639</f>
        <v>0</v>
      </c>
      <c r="Y1639" s="110"/>
      <c r="Z1639" s="110"/>
      <c r="AA1639" s="110"/>
      <c r="AB1639" s="46"/>
      <c r="AC1639" s="78"/>
      <c r="AD1639" s="78"/>
      <c r="AE1639" s="100">
        <f t="shared" si="2454"/>
        <v>-1</v>
      </c>
      <c r="AF1639" s="90"/>
      <c r="AG1639" s="109">
        <f t="shared" si="2455"/>
        <v>-7110</v>
      </c>
      <c r="AH1639" s="100">
        <f t="shared" si="2456"/>
        <v>-1</v>
      </c>
      <c r="AI1639" s="100">
        <f t="shared" si="2457"/>
        <v>-1</v>
      </c>
    </row>
    <row r="1640" spans="1:35" s="47" customFormat="1" ht="21" customHeight="1" x14ac:dyDescent="0.3">
      <c r="A1640" s="78"/>
      <c r="B1640" s="106" t="s">
        <v>51</v>
      </c>
      <c r="C1640" s="117">
        <v>48170</v>
      </c>
      <c r="D1640" s="300"/>
      <c r="E1640" s="131" t="s">
        <v>984</v>
      </c>
      <c r="F1640" s="66">
        <v>6036</v>
      </c>
      <c r="G1640" s="66"/>
      <c r="H1640" s="66"/>
      <c r="I1640" s="66"/>
      <c r="J1640" s="66"/>
      <c r="K1640" s="78"/>
      <c r="L1640" s="66"/>
      <c r="M1640" s="66"/>
      <c r="N1640" s="110">
        <f t="shared" si="2452"/>
        <v>-6036</v>
      </c>
      <c r="O1640" s="110"/>
      <c r="P1640" s="66"/>
      <c r="Q1640" s="66"/>
      <c r="R1640" s="66"/>
      <c r="S1640" s="66"/>
      <c r="T1640" s="110">
        <f t="shared" ref="T1640" si="2460">S1640-Q1640</f>
        <v>0</v>
      </c>
      <c r="U1640" s="59">
        <f t="shared" si="2453"/>
        <v>0</v>
      </c>
      <c r="V1640" s="66"/>
      <c r="W1640" s="66"/>
      <c r="X1640" s="110">
        <f t="shared" ref="X1640" si="2461">W1640-M1640</f>
        <v>0</v>
      </c>
      <c r="Y1640" s="110"/>
      <c r="Z1640" s="110"/>
      <c r="AA1640" s="110"/>
      <c r="AB1640" s="46"/>
      <c r="AC1640" s="78"/>
      <c r="AD1640" s="78"/>
      <c r="AE1640" s="100">
        <f t="shared" si="2454"/>
        <v>-1</v>
      </c>
      <c r="AF1640" s="90"/>
      <c r="AG1640" s="109">
        <f t="shared" si="2455"/>
        <v>-6036</v>
      </c>
      <c r="AH1640" s="100">
        <f t="shared" si="2456"/>
        <v>-1</v>
      </c>
      <c r="AI1640" s="100">
        <f t="shared" si="2457"/>
        <v>-1</v>
      </c>
    </row>
    <row r="1641" spans="1:35" s="47" customFormat="1" ht="21" customHeight="1" x14ac:dyDescent="0.3">
      <c r="A1641" s="78"/>
      <c r="B1641" s="106" t="s">
        <v>51</v>
      </c>
      <c r="C1641" s="117">
        <v>48170</v>
      </c>
      <c r="D1641" s="300"/>
      <c r="E1641" s="131" t="s">
        <v>985</v>
      </c>
      <c r="F1641" s="66">
        <v>5040</v>
      </c>
      <c r="G1641" s="66"/>
      <c r="H1641" s="66"/>
      <c r="I1641" s="66"/>
      <c r="J1641" s="66"/>
      <c r="K1641" s="78"/>
      <c r="L1641" s="66"/>
      <c r="M1641" s="66"/>
      <c r="N1641" s="110">
        <f t="shared" ref="N1641" si="2462">M1641-F1641</f>
        <v>-5040</v>
      </c>
      <c r="O1641" s="110"/>
      <c r="P1641" s="66"/>
      <c r="Q1641" s="66"/>
      <c r="R1641" s="66"/>
      <c r="S1641" s="66"/>
      <c r="T1641" s="110">
        <f t="shared" si="2458"/>
        <v>0</v>
      </c>
      <c r="U1641" s="59">
        <f t="shared" ref="U1641" si="2463">IF(Q1641&gt;0,S1641-W1641,M1641-W1641)</f>
        <v>0</v>
      </c>
      <c r="V1641" s="66"/>
      <c r="W1641" s="66"/>
      <c r="X1641" s="110">
        <f t="shared" si="2459"/>
        <v>0</v>
      </c>
      <c r="Y1641" s="110"/>
      <c r="Z1641" s="110"/>
      <c r="AA1641" s="110"/>
      <c r="AB1641" s="46"/>
      <c r="AC1641" s="78"/>
      <c r="AD1641" s="78"/>
      <c r="AE1641" s="100">
        <f t="shared" ref="AE1641" si="2464">N1641/F1641</f>
        <v>-1</v>
      </c>
      <c r="AF1641" s="90"/>
      <c r="AG1641" s="109">
        <f t="shared" ref="AG1641" si="2465">IF(N1641&lt;0,N1641,0)</f>
        <v>-5040</v>
      </c>
      <c r="AH1641" s="100">
        <f t="shared" ref="AH1641" si="2466">(S1641-F1641)/F1641</f>
        <v>-1</v>
      </c>
      <c r="AI1641" s="100">
        <f t="shared" ref="AI1641" si="2467">(W1641-F1641)/F1641</f>
        <v>-1</v>
      </c>
    </row>
    <row r="1642" spans="1:35" s="47" customFormat="1" ht="21" customHeight="1" x14ac:dyDescent="0.3">
      <c r="A1642" s="78"/>
      <c r="B1642" s="106" t="s">
        <v>51</v>
      </c>
      <c r="C1642" s="117">
        <v>48170</v>
      </c>
      <c r="D1642" s="300"/>
      <c r="E1642" s="131" t="s">
        <v>986</v>
      </c>
      <c r="F1642" s="66">
        <v>400</v>
      </c>
      <c r="G1642" s="66"/>
      <c r="H1642" s="66"/>
      <c r="I1642" s="66"/>
      <c r="J1642" s="66"/>
      <c r="K1642" s="78"/>
      <c r="L1642" s="66"/>
      <c r="M1642" s="66"/>
      <c r="N1642" s="110">
        <f t="shared" ref="N1642:N1643" si="2468">M1642-F1642</f>
        <v>-400</v>
      </c>
      <c r="O1642" s="110"/>
      <c r="P1642" s="66"/>
      <c r="Q1642" s="66"/>
      <c r="R1642" s="66"/>
      <c r="S1642" s="66"/>
      <c r="T1642" s="110">
        <f t="shared" ref="T1642:T1643" si="2469">S1642-Q1642</f>
        <v>0</v>
      </c>
      <c r="U1642" s="59">
        <f t="shared" ref="U1642:U1643" si="2470">IF(Q1642&gt;0,S1642-W1642,M1642-W1642)</f>
        <v>0</v>
      </c>
      <c r="V1642" s="66"/>
      <c r="W1642" s="66"/>
      <c r="X1642" s="110">
        <f t="shared" ref="X1642:X1643" si="2471">W1642-M1642</f>
        <v>0</v>
      </c>
      <c r="Y1642" s="110"/>
      <c r="Z1642" s="110"/>
      <c r="AA1642" s="110"/>
      <c r="AB1642" s="46"/>
      <c r="AC1642" s="78"/>
      <c r="AD1642" s="78"/>
      <c r="AE1642" s="100">
        <f t="shared" ref="AE1642:AE1643" si="2472">N1642/F1642</f>
        <v>-1</v>
      </c>
      <c r="AF1642" s="90"/>
      <c r="AG1642" s="109">
        <f t="shared" ref="AG1642:AG1643" si="2473">IF(N1642&lt;0,N1642,0)</f>
        <v>-400</v>
      </c>
      <c r="AH1642" s="100">
        <f t="shared" ref="AH1642:AH1643" si="2474">(S1642-F1642)/F1642</f>
        <v>-1</v>
      </c>
      <c r="AI1642" s="100">
        <f t="shared" ref="AI1642:AI1643" si="2475">(W1642-F1642)/F1642</f>
        <v>-1</v>
      </c>
    </row>
    <row r="1643" spans="1:35" s="47" customFormat="1" ht="21" customHeight="1" x14ac:dyDescent="0.3">
      <c r="A1643" s="78"/>
      <c r="B1643" s="106" t="s">
        <v>51</v>
      </c>
      <c r="C1643" s="117">
        <v>48170</v>
      </c>
      <c r="D1643" s="300"/>
      <c r="E1643" s="131" t="s">
        <v>987</v>
      </c>
      <c r="F1643" s="66">
        <v>5040</v>
      </c>
      <c r="G1643" s="66"/>
      <c r="H1643" s="66"/>
      <c r="I1643" s="66"/>
      <c r="J1643" s="66"/>
      <c r="K1643" s="78"/>
      <c r="L1643" s="66"/>
      <c r="M1643" s="66"/>
      <c r="N1643" s="110">
        <f t="shared" si="2468"/>
        <v>-5040</v>
      </c>
      <c r="O1643" s="110"/>
      <c r="P1643" s="66"/>
      <c r="Q1643" s="66"/>
      <c r="R1643" s="66"/>
      <c r="S1643" s="66"/>
      <c r="T1643" s="110">
        <f t="shared" si="2469"/>
        <v>0</v>
      </c>
      <c r="U1643" s="59">
        <f t="shared" si="2470"/>
        <v>0</v>
      </c>
      <c r="V1643" s="66"/>
      <c r="W1643" s="66"/>
      <c r="X1643" s="110">
        <f t="shared" si="2471"/>
        <v>0</v>
      </c>
      <c r="Y1643" s="110"/>
      <c r="Z1643" s="110"/>
      <c r="AA1643" s="110"/>
      <c r="AB1643" s="46"/>
      <c r="AC1643" s="78"/>
      <c r="AD1643" s="78"/>
      <c r="AE1643" s="100">
        <f t="shared" si="2472"/>
        <v>-1</v>
      </c>
      <c r="AF1643" s="90"/>
      <c r="AG1643" s="109">
        <f t="shared" si="2473"/>
        <v>-5040</v>
      </c>
      <c r="AH1643" s="100">
        <f t="shared" si="2474"/>
        <v>-1</v>
      </c>
      <c r="AI1643" s="100">
        <f t="shared" si="2475"/>
        <v>-1</v>
      </c>
    </row>
    <row r="1644" spans="1:35" s="79" customFormat="1" ht="15.75" customHeight="1" x14ac:dyDescent="0.3">
      <c r="A1644" s="90" t="s">
        <v>46</v>
      </c>
      <c r="B1644" s="136" t="s">
        <v>51</v>
      </c>
      <c r="C1644" s="137"/>
      <c r="D1644" s="136"/>
      <c r="E1644" s="138"/>
      <c r="F1644" s="91">
        <f>SUM(F1638:F1643)</f>
        <v>25552</v>
      </c>
      <c r="G1644" s="91"/>
      <c r="H1644" s="91"/>
      <c r="I1644" s="91"/>
      <c r="J1644" s="91" t="s">
        <v>60</v>
      </c>
      <c r="K1644" s="65" t="s">
        <v>377</v>
      </c>
      <c r="L1644" s="91">
        <f>SUM(L1638:L1643)</f>
        <v>0</v>
      </c>
      <c r="M1644" s="91">
        <f>SUM(M1638:M1643)</f>
        <v>0</v>
      </c>
      <c r="N1644" s="91">
        <f>SUM(N1638:N1643)</f>
        <v>-25552</v>
      </c>
      <c r="O1644" s="91"/>
      <c r="P1644" s="91">
        <f>SUM(P1638:P1643)</f>
        <v>0</v>
      </c>
      <c r="Q1644" s="91">
        <f>SUM(Q1638:Q1643)</f>
        <v>0</v>
      </c>
      <c r="R1644" s="91">
        <f>SUM(R1638:R1643)</f>
        <v>0</v>
      </c>
      <c r="S1644" s="91">
        <f>SUM(S1638:S1643)</f>
        <v>0</v>
      </c>
      <c r="T1644" s="91">
        <f>SUM(T1638:T1643)</f>
        <v>0</v>
      </c>
      <c r="U1644" s="59">
        <f t="shared" si="2453"/>
        <v>0</v>
      </c>
      <c r="V1644" s="91">
        <f>SUM(V1638:V1643)</f>
        <v>0</v>
      </c>
      <c r="W1644" s="91">
        <f>SUM(W1638:W1643)</f>
        <v>0</v>
      </c>
      <c r="X1644" s="91">
        <f>SUM(X1638:X1643)</f>
        <v>0</v>
      </c>
      <c r="Y1644" s="136"/>
      <c r="Z1644" s="136"/>
      <c r="AA1644" s="136"/>
      <c r="AB1644" s="84"/>
      <c r="AC1644" s="90"/>
      <c r="AD1644" s="90"/>
      <c r="AE1644" s="100">
        <f t="shared" si="2454"/>
        <v>-1</v>
      </c>
      <c r="AF1644" s="90"/>
      <c r="AG1644" s="109">
        <f t="shared" si="2455"/>
        <v>-25552</v>
      </c>
      <c r="AH1644" s="100">
        <f t="shared" si="2456"/>
        <v>-1</v>
      </c>
      <c r="AI1644" s="100">
        <f t="shared" si="2457"/>
        <v>-1</v>
      </c>
    </row>
    <row r="1645" spans="1:35" s="47" customFormat="1" ht="21" customHeight="1" x14ac:dyDescent="0.3">
      <c r="A1645" s="78"/>
      <c r="B1645" s="106" t="s">
        <v>51</v>
      </c>
      <c r="C1645" s="117" t="s">
        <v>447</v>
      </c>
      <c r="D1645" s="299">
        <v>15209153</v>
      </c>
      <c r="E1645" s="131" t="s">
        <v>0</v>
      </c>
      <c r="F1645" s="66">
        <v>2070</v>
      </c>
      <c r="G1645" s="66"/>
      <c r="H1645" s="66"/>
      <c r="I1645" s="66"/>
      <c r="J1645" s="66"/>
      <c r="K1645" s="78"/>
      <c r="L1645" s="66"/>
      <c r="M1645" s="66">
        <f>800+820+276+200</f>
        <v>2096</v>
      </c>
      <c r="N1645" s="110">
        <f t="shared" ref="N1645" si="2476">M1645-F1645</f>
        <v>26</v>
      </c>
      <c r="O1645" s="110"/>
      <c r="P1645" s="66"/>
      <c r="Q1645" s="66"/>
      <c r="R1645" s="66"/>
      <c r="S1645" s="66"/>
      <c r="T1645" s="110">
        <f>S1645-Q1645</f>
        <v>0</v>
      </c>
      <c r="U1645" s="59">
        <f t="shared" ref="U1645" si="2477">IF(Q1645&gt;0,S1645-W1645,M1645-W1645)</f>
        <v>0</v>
      </c>
      <c r="V1645" s="66"/>
      <c r="W1645" s="66">
        <v>2096</v>
      </c>
      <c r="X1645" s="110">
        <f>W1645-M1645</f>
        <v>0</v>
      </c>
      <c r="Y1645" s="110"/>
      <c r="Z1645" s="110"/>
      <c r="AA1645" s="110"/>
      <c r="AB1645" s="46"/>
      <c r="AC1645" s="78"/>
      <c r="AD1645" s="78"/>
      <c r="AE1645" s="100">
        <f t="shared" si="2454"/>
        <v>1.2560386473429951E-2</v>
      </c>
      <c r="AF1645" s="90"/>
      <c r="AG1645" s="109">
        <f t="shared" si="2455"/>
        <v>0</v>
      </c>
      <c r="AH1645" s="100">
        <f t="shared" si="2456"/>
        <v>-1</v>
      </c>
      <c r="AI1645" s="100">
        <f t="shared" si="2457"/>
        <v>1.2560386473429951E-2</v>
      </c>
    </row>
    <row r="1646" spans="1:35" s="47" customFormat="1" ht="21" customHeight="1" x14ac:dyDescent="0.3">
      <c r="A1646" s="78"/>
      <c r="B1646" s="106" t="s">
        <v>51</v>
      </c>
      <c r="C1646" s="117" t="s">
        <v>447</v>
      </c>
      <c r="D1646" s="309"/>
      <c r="E1646" s="131" t="s">
        <v>5</v>
      </c>
      <c r="F1646" s="66">
        <v>2250</v>
      </c>
      <c r="G1646" s="66"/>
      <c r="H1646" s="66"/>
      <c r="I1646" s="66"/>
      <c r="J1646" s="66"/>
      <c r="K1646" s="78"/>
      <c r="L1646" s="66"/>
      <c r="M1646" s="66">
        <f>40+870+964+360+42</f>
        <v>2276</v>
      </c>
      <c r="N1646" s="110">
        <f t="shared" ref="N1646" si="2478">M1646-F1646</f>
        <v>26</v>
      </c>
      <c r="O1646" s="110"/>
      <c r="P1646" s="66"/>
      <c r="Q1646" s="66"/>
      <c r="R1646" s="66"/>
      <c r="S1646" s="66"/>
      <c r="T1646" s="110">
        <f>S1646-Q1646</f>
        <v>0</v>
      </c>
      <c r="U1646" s="59">
        <f t="shared" si="2453"/>
        <v>1</v>
      </c>
      <c r="V1646" s="66"/>
      <c r="W1646" s="66">
        <v>2275</v>
      </c>
      <c r="X1646" s="110">
        <f>W1646-M1646</f>
        <v>-1</v>
      </c>
      <c r="Y1646" s="110"/>
      <c r="Z1646" s="110"/>
      <c r="AA1646" s="110"/>
      <c r="AB1646" s="46"/>
      <c r="AC1646" s="78"/>
      <c r="AD1646" s="78"/>
      <c r="AE1646" s="100">
        <f t="shared" ref="AE1646:AE1647" si="2479">N1646/F1646</f>
        <v>1.1555555555555555E-2</v>
      </c>
      <c r="AF1646" s="90"/>
      <c r="AG1646" s="109">
        <f t="shared" ref="AG1646:AG1647" si="2480">IF(N1646&lt;0,N1646,0)</f>
        <v>0</v>
      </c>
      <c r="AH1646" s="100">
        <f t="shared" ref="AH1646:AH1647" si="2481">(S1646-F1646)/F1646</f>
        <v>-1</v>
      </c>
      <c r="AI1646" s="100">
        <f t="shared" ref="AI1646:AI1647" si="2482">(W1646-F1646)/F1646</f>
        <v>1.1111111111111112E-2</v>
      </c>
    </row>
    <row r="1647" spans="1:35" s="79" customFormat="1" ht="15.75" customHeight="1" x14ac:dyDescent="0.3">
      <c r="A1647" s="90" t="s">
        <v>46</v>
      </c>
      <c r="B1647" s="136" t="s">
        <v>51</v>
      </c>
      <c r="C1647" s="137"/>
      <c r="D1647" s="136"/>
      <c r="E1647" s="138"/>
      <c r="F1647" s="91">
        <f>SUM(F1645:F1646)</f>
        <v>4320</v>
      </c>
      <c r="G1647" s="91"/>
      <c r="H1647" s="91"/>
      <c r="I1647" s="91"/>
      <c r="J1647" s="91" t="s">
        <v>58</v>
      </c>
      <c r="K1647" s="65" t="s">
        <v>287</v>
      </c>
      <c r="L1647" s="91">
        <f>SUM(L1645:L1646)</f>
        <v>0</v>
      </c>
      <c r="M1647" s="91">
        <f t="shared" ref="M1647:X1647" si="2483">SUM(M1645:M1646)</f>
        <v>4372</v>
      </c>
      <c r="N1647" s="91">
        <f t="shared" si="2483"/>
        <v>52</v>
      </c>
      <c r="O1647" s="91"/>
      <c r="P1647" s="91">
        <f t="shared" si="2483"/>
        <v>0</v>
      </c>
      <c r="Q1647" s="91">
        <f t="shared" si="2483"/>
        <v>0</v>
      </c>
      <c r="R1647" s="91">
        <f t="shared" si="2483"/>
        <v>0</v>
      </c>
      <c r="S1647" s="91">
        <f t="shared" si="2483"/>
        <v>0</v>
      </c>
      <c r="T1647" s="91">
        <f t="shared" si="2483"/>
        <v>0</v>
      </c>
      <c r="U1647" s="59">
        <f t="shared" si="2453"/>
        <v>1</v>
      </c>
      <c r="V1647" s="91">
        <f t="shared" si="2483"/>
        <v>0</v>
      </c>
      <c r="W1647" s="91">
        <f t="shared" si="2483"/>
        <v>4371</v>
      </c>
      <c r="X1647" s="91">
        <f t="shared" si="2483"/>
        <v>-1</v>
      </c>
      <c r="Y1647" s="136"/>
      <c r="Z1647" s="136"/>
      <c r="AA1647" s="136"/>
      <c r="AB1647" s="84"/>
      <c r="AC1647" s="90"/>
      <c r="AD1647" s="90"/>
      <c r="AE1647" s="100">
        <f t="shared" si="2479"/>
        <v>1.2037037037037037E-2</v>
      </c>
      <c r="AF1647" s="90"/>
      <c r="AG1647" s="109">
        <f t="shared" si="2480"/>
        <v>0</v>
      </c>
      <c r="AH1647" s="100">
        <f t="shared" si="2481"/>
        <v>-1</v>
      </c>
      <c r="AI1647" s="100">
        <f t="shared" si="2482"/>
        <v>1.1805555555555555E-2</v>
      </c>
    </row>
    <row r="1648" spans="1:35" s="47" customFormat="1" ht="21" customHeight="1" x14ac:dyDescent="0.3">
      <c r="A1648" s="78"/>
      <c r="B1648" s="106" t="s">
        <v>51</v>
      </c>
      <c r="C1648" s="117">
        <v>48180</v>
      </c>
      <c r="D1648" s="299">
        <v>15388877</v>
      </c>
      <c r="E1648" s="131" t="s">
        <v>564</v>
      </c>
      <c r="F1648" s="66">
        <v>1012</v>
      </c>
      <c r="G1648" s="66"/>
      <c r="H1648" s="66"/>
      <c r="I1648" s="66"/>
      <c r="J1648" s="66"/>
      <c r="K1648" s="78"/>
      <c r="L1648" s="66"/>
      <c r="M1648" s="66">
        <f>595+350+93</f>
        <v>1038</v>
      </c>
      <c r="N1648" s="110">
        <f t="shared" ref="N1648:N1649" si="2484">M1648-F1648</f>
        <v>26</v>
      </c>
      <c r="O1648" s="110"/>
      <c r="P1648" s="66"/>
      <c r="Q1648" s="66"/>
      <c r="R1648" s="66"/>
      <c r="S1648" s="66"/>
      <c r="T1648" s="110">
        <f>S1648-Q1648</f>
        <v>0</v>
      </c>
      <c r="U1648" s="59">
        <f t="shared" ref="U1648:U1653" si="2485">IF(Q1648&gt;0,S1648-W1648,M1648-W1648)</f>
        <v>0</v>
      </c>
      <c r="V1648" s="66"/>
      <c r="W1648" s="66">
        <v>1038</v>
      </c>
      <c r="X1648" s="110">
        <f>W1648-M1648</f>
        <v>0</v>
      </c>
      <c r="Y1648" s="110"/>
      <c r="Z1648" s="110"/>
      <c r="AA1648" s="110"/>
      <c r="AB1648" s="46"/>
      <c r="AC1648" s="78"/>
      <c r="AD1648" s="78"/>
      <c r="AE1648" s="100">
        <f t="shared" ref="AE1648:AE1650" si="2486">N1648/F1648</f>
        <v>2.5691699604743084E-2</v>
      </c>
      <c r="AF1648" s="90"/>
      <c r="AG1648" s="109">
        <f t="shared" ref="AG1648:AG1650" si="2487">IF(N1648&lt;0,N1648,0)</f>
        <v>0</v>
      </c>
      <c r="AH1648" s="100">
        <f t="shared" ref="AH1648:AH1650" si="2488">(S1648-F1648)/F1648</f>
        <v>-1</v>
      </c>
      <c r="AI1648" s="100">
        <f t="shared" ref="AI1648:AI1650" si="2489">(W1648-F1648)/F1648</f>
        <v>2.5691699604743084E-2</v>
      </c>
    </row>
    <row r="1649" spans="1:35" s="47" customFormat="1" ht="21" customHeight="1" x14ac:dyDescent="0.3">
      <c r="A1649" s="78"/>
      <c r="B1649" s="106" t="s">
        <v>51</v>
      </c>
      <c r="C1649" s="117">
        <v>48180</v>
      </c>
      <c r="D1649" s="300"/>
      <c r="E1649" s="131" t="s">
        <v>565</v>
      </c>
      <c r="F1649" s="66">
        <v>522</v>
      </c>
      <c r="G1649" s="66"/>
      <c r="H1649" s="66"/>
      <c r="I1649" s="66"/>
      <c r="J1649" s="66"/>
      <c r="K1649" s="78"/>
      <c r="L1649" s="66"/>
      <c r="M1649" s="66">
        <f>406+141</f>
        <v>547</v>
      </c>
      <c r="N1649" s="110">
        <f t="shared" si="2484"/>
        <v>25</v>
      </c>
      <c r="O1649" s="110"/>
      <c r="P1649" s="66"/>
      <c r="Q1649" s="66"/>
      <c r="R1649" s="66"/>
      <c r="S1649" s="66"/>
      <c r="T1649" s="110">
        <f t="shared" ref="T1649" si="2490">S1649-Q1649</f>
        <v>0</v>
      </c>
      <c r="U1649" s="59">
        <f t="shared" si="2485"/>
        <v>0</v>
      </c>
      <c r="V1649" s="66"/>
      <c r="W1649" s="66">
        <v>547</v>
      </c>
      <c r="X1649" s="110">
        <f t="shared" ref="X1649" si="2491">W1649-M1649</f>
        <v>0</v>
      </c>
      <c r="Y1649" s="110"/>
      <c r="Z1649" s="110"/>
      <c r="AA1649" s="110"/>
      <c r="AB1649" s="46"/>
      <c r="AC1649" s="78"/>
      <c r="AD1649" s="78"/>
      <c r="AE1649" s="100">
        <f t="shared" si="2486"/>
        <v>4.7892720306513412E-2</v>
      </c>
      <c r="AF1649" s="90"/>
      <c r="AG1649" s="109">
        <f t="shared" si="2487"/>
        <v>0</v>
      </c>
      <c r="AH1649" s="100">
        <f t="shared" si="2488"/>
        <v>-1</v>
      </c>
      <c r="AI1649" s="100">
        <f t="shared" si="2489"/>
        <v>4.7892720306513412E-2</v>
      </c>
    </row>
    <row r="1650" spans="1:35" s="79" customFormat="1" ht="15.75" customHeight="1" x14ac:dyDescent="0.3">
      <c r="A1650" s="90" t="s">
        <v>46</v>
      </c>
      <c r="B1650" s="136" t="s">
        <v>51</v>
      </c>
      <c r="C1650" s="137"/>
      <c r="D1650" s="136"/>
      <c r="E1650" s="138"/>
      <c r="F1650" s="91">
        <f>SUM(F1648:F1649)</f>
        <v>1534</v>
      </c>
      <c r="G1650" s="91"/>
      <c r="H1650" s="91"/>
      <c r="I1650" s="91"/>
      <c r="J1650" s="91" t="s">
        <v>59</v>
      </c>
      <c r="K1650" s="65" t="s">
        <v>283</v>
      </c>
      <c r="L1650" s="91">
        <f>SUM(L1648:L1649)</f>
        <v>0</v>
      </c>
      <c r="M1650" s="91">
        <f>SUM(M1648:M1649)</f>
        <v>1585</v>
      </c>
      <c r="N1650" s="91">
        <f>SUM(N1648:N1649)</f>
        <v>51</v>
      </c>
      <c r="O1650" s="91"/>
      <c r="P1650" s="91">
        <f>SUM(P1648:P1649)</f>
        <v>0</v>
      </c>
      <c r="Q1650" s="91">
        <f>SUM(Q1648:Q1649)</f>
        <v>0</v>
      </c>
      <c r="R1650" s="91">
        <f>SUM(R1648:R1649)</f>
        <v>0</v>
      </c>
      <c r="S1650" s="91">
        <f>SUM(S1648:S1649)</f>
        <v>0</v>
      </c>
      <c r="T1650" s="91">
        <f>SUM(T1648:T1649)</f>
        <v>0</v>
      </c>
      <c r="U1650" s="59">
        <f t="shared" si="2485"/>
        <v>0</v>
      </c>
      <c r="V1650" s="91">
        <f>SUM(V1648:V1649)</f>
        <v>0</v>
      </c>
      <c r="W1650" s="91">
        <f>SUM(W1648:W1649)</f>
        <v>1585</v>
      </c>
      <c r="X1650" s="91">
        <f>SUM(X1648:X1649)</f>
        <v>0</v>
      </c>
      <c r="Y1650" s="136"/>
      <c r="Z1650" s="136"/>
      <c r="AA1650" s="136"/>
      <c r="AB1650" s="84"/>
      <c r="AC1650" s="90"/>
      <c r="AD1650" s="90"/>
      <c r="AE1650" s="100">
        <f t="shared" si="2486"/>
        <v>3.3246414602346806E-2</v>
      </c>
      <c r="AF1650" s="90"/>
      <c r="AG1650" s="109">
        <f t="shared" si="2487"/>
        <v>0</v>
      </c>
      <c r="AH1650" s="100">
        <f t="shared" si="2488"/>
        <v>-1</v>
      </c>
      <c r="AI1650" s="100">
        <f t="shared" si="2489"/>
        <v>3.3246414602346806E-2</v>
      </c>
    </row>
    <row r="1651" spans="1:35" s="47" customFormat="1" ht="21" customHeight="1" x14ac:dyDescent="0.3">
      <c r="A1651" s="78"/>
      <c r="B1651" s="106" t="s">
        <v>51</v>
      </c>
      <c r="C1651" s="117">
        <v>48161</v>
      </c>
      <c r="D1651" s="299">
        <v>15369012</v>
      </c>
      <c r="E1651" s="131" t="s">
        <v>576</v>
      </c>
      <c r="F1651" s="66">
        <v>2016</v>
      </c>
      <c r="G1651" s="66"/>
      <c r="H1651" s="66"/>
      <c r="I1651" s="66"/>
      <c r="J1651" s="66"/>
      <c r="K1651" s="78"/>
      <c r="L1651" s="66"/>
      <c r="M1651" s="66">
        <f>810+1287</f>
        <v>2097</v>
      </c>
      <c r="N1651" s="110">
        <f t="shared" ref="N1651:N1652" si="2492">M1651-F1651</f>
        <v>81</v>
      </c>
      <c r="O1651" s="110"/>
      <c r="P1651" s="66"/>
      <c r="Q1651" s="66">
        <f>810+1251+16</f>
        <v>2077</v>
      </c>
      <c r="R1651" s="66"/>
      <c r="S1651" s="66">
        <f>1695+362</f>
        <v>2057</v>
      </c>
      <c r="T1651" s="110">
        <f>S1651-Q1651</f>
        <v>-20</v>
      </c>
      <c r="U1651" s="59">
        <f t="shared" si="2485"/>
        <v>18</v>
      </c>
      <c r="V1651" s="66"/>
      <c r="W1651" s="66">
        <v>2039</v>
      </c>
      <c r="X1651" s="110">
        <f>W1651-M1651</f>
        <v>-58</v>
      </c>
      <c r="Y1651" s="110"/>
      <c r="Z1651" s="110"/>
      <c r="AA1651" s="110"/>
      <c r="AB1651" s="46"/>
      <c r="AC1651" s="78"/>
      <c r="AD1651" s="78"/>
      <c r="AE1651" s="100">
        <f t="shared" ref="AE1651:AE1670" si="2493">N1651/F1651</f>
        <v>4.0178571428571432E-2</v>
      </c>
      <c r="AF1651" s="90"/>
      <c r="AG1651" s="109">
        <f t="shared" ref="AG1651:AG1670" si="2494">IF(N1651&lt;0,N1651,0)</f>
        <v>0</v>
      </c>
      <c r="AH1651" s="100">
        <f t="shared" ref="AH1651:AH1670" si="2495">(S1651-F1651)/F1651</f>
        <v>2.0337301587301588E-2</v>
      </c>
      <c r="AI1651" s="100">
        <f t="shared" ref="AI1651:AI1670" si="2496">(W1651-F1651)/F1651</f>
        <v>1.1408730158730158E-2</v>
      </c>
    </row>
    <row r="1652" spans="1:35" s="47" customFormat="1" ht="21" customHeight="1" x14ac:dyDescent="0.3">
      <c r="A1652" s="78"/>
      <c r="B1652" s="106" t="s">
        <v>51</v>
      </c>
      <c r="C1652" s="117">
        <v>48161</v>
      </c>
      <c r="D1652" s="300"/>
      <c r="E1652" s="131" t="s">
        <v>577</v>
      </c>
      <c r="F1652" s="66">
        <v>2016</v>
      </c>
      <c r="G1652" s="66"/>
      <c r="H1652" s="66"/>
      <c r="I1652" s="66"/>
      <c r="J1652" s="66"/>
      <c r="K1652" s="78"/>
      <c r="L1652" s="66"/>
      <c r="M1652" s="66">
        <v>2061</v>
      </c>
      <c r="N1652" s="110">
        <f t="shared" si="2492"/>
        <v>45</v>
      </c>
      <c r="O1652" s="110"/>
      <c r="P1652" s="66"/>
      <c r="Q1652" s="66">
        <v>2061</v>
      </c>
      <c r="R1652" s="66"/>
      <c r="S1652" s="66">
        <v>2053</v>
      </c>
      <c r="T1652" s="110">
        <f t="shared" ref="T1652" si="2497">S1652-Q1652</f>
        <v>-8</v>
      </c>
      <c r="U1652" s="59">
        <f t="shared" si="2485"/>
        <v>0</v>
      </c>
      <c r="V1652" s="66"/>
      <c r="W1652" s="66">
        <f>2053</f>
        <v>2053</v>
      </c>
      <c r="X1652" s="110">
        <f t="shared" ref="X1652" si="2498">W1652-M1652</f>
        <v>-8</v>
      </c>
      <c r="Y1652" s="110"/>
      <c r="Z1652" s="110"/>
      <c r="AA1652" s="110"/>
      <c r="AB1652" s="46"/>
      <c r="AC1652" s="78"/>
      <c r="AD1652" s="78"/>
      <c r="AE1652" s="100">
        <f t="shared" si="2493"/>
        <v>2.2321428571428572E-2</v>
      </c>
      <c r="AF1652" s="90"/>
      <c r="AG1652" s="109">
        <f t="shared" si="2494"/>
        <v>0</v>
      </c>
      <c r="AH1652" s="100">
        <f t="shared" si="2495"/>
        <v>1.8353174603174604E-2</v>
      </c>
      <c r="AI1652" s="100">
        <f t="shared" si="2496"/>
        <v>1.8353174603174604E-2</v>
      </c>
    </row>
    <row r="1653" spans="1:35" s="79" customFormat="1" ht="15.75" customHeight="1" x14ac:dyDescent="0.3">
      <c r="A1653" s="90" t="s">
        <v>46</v>
      </c>
      <c r="B1653" s="136" t="s">
        <v>51</v>
      </c>
      <c r="C1653" s="137"/>
      <c r="D1653" s="136"/>
      <c r="E1653" s="138"/>
      <c r="F1653" s="91">
        <f>SUM(F1651:F1652)</f>
        <v>4032</v>
      </c>
      <c r="G1653" s="91"/>
      <c r="H1653" s="91"/>
      <c r="I1653" s="91"/>
      <c r="J1653" s="91" t="s">
        <v>59</v>
      </c>
      <c r="K1653" s="65" t="s">
        <v>436</v>
      </c>
      <c r="L1653" s="91">
        <f>SUM(L1651:L1652)</f>
        <v>0</v>
      </c>
      <c r="M1653" s="91">
        <f>SUM(M1651:M1652)</f>
        <v>4158</v>
      </c>
      <c r="N1653" s="91">
        <f>SUM(N1651:N1652)</f>
        <v>126</v>
      </c>
      <c r="O1653" s="91" t="s">
        <v>758</v>
      </c>
      <c r="P1653" s="91">
        <f>SUM(P1651:P1652)</f>
        <v>0</v>
      </c>
      <c r="Q1653" s="91">
        <f>SUM(Q1651:Q1652)</f>
        <v>4138</v>
      </c>
      <c r="R1653" s="91">
        <f>SUM(R1651:R1652)</f>
        <v>0</v>
      </c>
      <c r="S1653" s="91">
        <f>SUM(S1651:S1652)</f>
        <v>4110</v>
      </c>
      <c r="T1653" s="91">
        <f>SUM(T1651:T1652)</f>
        <v>-28</v>
      </c>
      <c r="U1653" s="59">
        <f t="shared" si="2485"/>
        <v>18</v>
      </c>
      <c r="V1653" s="91">
        <f>SUM(V1651:V1652)</f>
        <v>0</v>
      </c>
      <c r="W1653" s="91">
        <f>SUM(W1651:W1652)</f>
        <v>4092</v>
      </c>
      <c r="X1653" s="91">
        <f>SUM(X1651:X1652)</f>
        <v>-66</v>
      </c>
      <c r="Y1653" s="136" t="s">
        <v>57</v>
      </c>
      <c r="Z1653" s="136" t="s">
        <v>45</v>
      </c>
      <c r="AA1653" s="136"/>
      <c r="AB1653" s="84"/>
      <c r="AC1653" s="90"/>
      <c r="AD1653" s="90"/>
      <c r="AE1653" s="100">
        <f t="shared" si="2493"/>
        <v>3.125E-2</v>
      </c>
      <c r="AF1653" s="90"/>
      <c r="AG1653" s="109">
        <f t="shared" si="2494"/>
        <v>0</v>
      </c>
      <c r="AH1653" s="100">
        <f t="shared" si="2495"/>
        <v>1.9345238095238096E-2</v>
      </c>
      <c r="AI1653" s="100">
        <f t="shared" si="2496"/>
        <v>1.488095238095238E-2</v>
      </c>
    </row>
    <row r="1654" spans="1:35" s="47" customFormat="1" ht="21" customHeight="1" x14ac:dyDescent="0.3">
      <c r="A1654" s="78"/>
      <c r="B1654" s="106" t="s">
        <v>51</v>
      </c>
      <c r="C1654" s="117" t="s">
        <v>185</v>
      </c>
      <c r="D1654" s="188">
        <v>15188036</v>
      </c>
      <c r="E1654" s="131" t="s">
        <v>181</v>
      </c>
      <c r="F1654" s="66">
        <v>504</v>
      </c>
      <c r="G1654" s="66"/>
      <c r="H1654" s="66"/>
      <c r="I1654" s="66"/>
      <c r="J1654" s="66"/>
      <c r="K1654" s="78"/>
      <c r="L1654" s="66"/>
      <c r="M1654" s="66">
        <v>535</v>
      </c>
      <c r="N1654" s="110">
        <f t="shared" ref="N1654" si="2499">M1654-F1654</f>
        <v>31</v>
      </c>
      <c r="O1654" s="110"/>
      <c r="P1654" s="66"/>
      <c r="Q1654" s="66"/>
      <c r="R1654" s="66"/>
      <c r="S1654" s="66"/>
      <c r="T1654" s="110">
        <f>S1654-Q1654</f>
        <v>0</v>
      </c>
      <c r="U1654" s="59">
        <f t="shared" ref="U1654:U1673" si="2500">IF(Q1654&gt;0,S1654-W1654,M1654-W1654)</f>
        <v>15</v>
      </c>
      <c r="V1654" s="66"/>
      <c r="W1654" s="66">
        <v>520</v>
      </c>
      <c r="X1654" s="110">
        <f>W1654-M1654</f>
        <v>-15</v>
      </c>
      <c r="Y1654" s="110"/>
      <c r="Z1654" s="110"/>
      <c r="AA1654" s="110"/>
      <c r="AB1654" s="46"/>
      <c r="AC1654" s="78"/>
      <c r="AD1654" s="78"/>
      <c r="AE1654" s="100">
        <f t="shared" si="2493"/>
        <v>6.1507936507936505E-2</v>
      </c>
      <c r="AF1654" s="90"/>
      <c r="AG1654" s="109">
        <f t="shared" si="2494"/>
        <v>0</v>
      </c>
      <c r="AH1654" s="100">
        <f t="shared" si="2495"/>
        <v>-1</v>
      </c>
      <c r="AI1654" s="100">
        <f t="shared" si="2496"/>
        <v>3.1746031746031744E-2</v>
      </c>
    </row>
    <row r="1655" spans="1:35" s="79" customFormat="1" ht="15.75" customHeight="1" x14ac:dyDescent="0.3">
      <c r="A1655" s="90" t="s">
        <v>46</v>
      </c>
      <c r="B1655" s="136" t="s">
        <v>51</v>
      </c>
      <c r="C1655" s="137"/>
      <c r="D1655" s="136"/>
      <c r="E1655" s="138"/>
      <c r="F1655" s="91">
        <f>SUM(F1654:F1654)</f>
        <v>504</v>
      </c>
      <c r="G1655" s="91"/>
      <c r="H1655" s="91"/>
      <c r="I1655" s="91"/>
      <c r="J1655" s="91" t="s">
        <v>59</v>
      </c>
      <c r="K1655" s="65" t="s">
        <v>151</v>
      </c>
      <c r="L1655" s="91">
        <f>SUM(L1654:L1654)</f>
        <v>0</v>
      </c>
      <c r="M1655" s="91">
        <f>SUM(M1654:M1654)</f>
        <v>535</v>
      </c>
      <c r="N1655" s="91">
        <f>SUM(N1654:N1654)</f>
        <v>31</v>
      </c>
      <c r="O1655" s="91"/>
      <c r="P1655" s="91">
        <f>SUM(P1654:P1654)</f>
        <v>0</v>
      </c>
      <c r="Q1655" s="91">
        <f>SUM(Q1654:Q1654)</f>
        <v>0</v>
      </c>
      <c r="R1655" s="91">
        <f>SUM(R1654:R1654)</f>
        <v>0</v>
      </c>
      <c r="S1655" s="91">
        <f>SUM(S1654:S1654)</f>
        <v>0</v>
      </c>
      <c r="T1655" s="91">
        <f>SUM(T1654:T1654)</f>
        <v>0</v>
      </c>
      <c r="U1655" s="59">
        <f t="shared" si="2500"/>
        <v>15</v>
      </c>
      <c r="V1655" s="91">
        <f>SUM(V1654:V1654)</f>
        <v>0</v>
      </c>
      <c r="W1655" s="91">
        <f>SUM(W1654:W1654)</f>
        <v>520</v>
      </c>
      <c r="X1655" s="91">
        <f>SUM(X1654:X1654)</f>
        <v>-15</v>
      </c>
      <c r="Y1655" s="136"/>
      <c r="Z1655" s="136"/>
      <c r="AA1655" s="136"/>
      <c r="AB1655" s="84"/>
      <c r="AC1655" s="90"/>
      <c r="AD1655" s="90"/>
      <c r="AE1655" s="100">
        <f t="shared" si="2493"/>
        <v>6.1507936507936505E-2</v>
      </c>
      <c r="AF1655" s="90"/>
      <c r="AG1655" s="109">
        <f t="shared" si="2494"/>
        <v>0</v>
      </c>
      <c r="AH1655" s="100">
        <f t="shared" si="2495"/>
        <v>-1</v>
      </c>
      <c r="AI1655" s="100">
        <f t="shared" si="2496"/>
        <v>3.1746031746031744E-2</v>
      </c>
    </row>
    <row r="1656" spans="1:35" s="47" customFormat="1" ht="21" customHeight="1" x14ac:dyDescent="0.3">
      <c r="A1656" s="78"/>
      <c r="B1656" s="106" t="s">
        <v>51</v>
      </c>
      <c r="C1656" s="117" t="s">
        <v>583</v>
      </c>
      <c r="D1656" s="299">
        <v>15369240</v>
      </c>
      <c r="E1656" s="131" t="s">
        <v>584</v>
      </c>
      <c r="F1656" s="66">
        <v>1200</v>
      </c>
      <c r="G1656" s="66"/>
      <c r="H1656" s="66"/>
      <c r="I1656" s="66"/>
      <c r="J1656" s="66"/>
      <c r="K1656" s="78"/>
      <c r="L1656" s="66"/>
      <c r="M1656" s="66">
        <v>1232</v>
      </c>
      <c r="N1656" s="110">
        <f t="shared" ref="N1656:N1660" si="2501">M1656-F1656</f>
        <v>32</v>
      </c>
      <c r="O1656" s="110"/>
      <c r="P1656" s="66"/>
      <c r="Q1656" s="66">
        <v>1232</v>
      </c>
      <c r="R1656" s="66"/>
      <c r="S1656" s="66">
        <v>1226</v>
      </c>
      <c r="T1656" s="110">
        <f>S1656-Q1656</f>
        <v>-6</v>
      </c>
      <c r="U1656" s="59">
        <f t="shared" si="2500"/>
        <v>0</v>
      </c>
      <c r="V1656" s="66"/>
      <c r="W1656" s="66">
        <v>1226</v>
      </c>
      <c r="X1656" s="110">
        <f>W1656-M1656</f>
        <v>-6</v>
      </c>
      <c r="Y1656" s="110"/>
      <c r="Z1656" s="110"/>
      <c r="AA1656" s="110"/>
      <c r="AB1656" s="46"/>
      <c r="AC1656" s="78"/>
      <c r="AD1656" s="78"/>
      <c r="AE1656" s="100">
        <f t="shared" ref="AE1656:AE1661" si="2502">N1656/F1656</f>
        <v>2.6666666666666668E-2</v>
      </c>
      <c r="AF1656" s="90"/>
      <c r="AG1656" s="109">
        <f t="shared" ref="AG1656:AG1661" si="2503">IF(N1656&lt;0,N1656,0)</f>
        <v>0</v>
      </c>
      <c r="AH1656" s="100">
        <f t="shared" ref="AH1656:AH1661" si="2504">(S1656-F1656)/F1656</f>
        <v>2.1666666666666667E-2</v>
      </c>
      <c r="AI1656" s="100">
        <f t="shared" ref="AI1656:AI1661" si="2505">(W1656-F1656)/F1656</f>
        <v>2.1666666666666667E-2</v>
      </c>
    </row>
    <row r="1657" spans="1:35" s="47" customFormat="1" ht="21" customHeight="1" x14ac:dyDescent="0.3">
      <c r="A1657" s="78"/>
      <c r="B1657" s="106" t="s">
        <v>51</v>
      </c>
      <c r="C1657" s="117" t="s">
        <v>583</v>
      </c>
      <c r="D1657" s="300"/>
      <c r="E1657" s="131" t="s">
        <v>394</v>
      </c>
      <c r="F1657" s="66">
        <v>600</v>
      </c>
      <c r="G1657" s="66"/>
      <c r="H1657" s="66"/>
      <c r="I1657" s="66"/>
      <c r="J1657" s="66"/>
      <c r="K1657" s="78"/>
      <c r="L1657" s="66"/>
      <c r="M1657" s="66">
        <f>597+18+5</f>
        <v>620</v>
      </c>
      <c r="N1657" s="110">
        <f t="shared" si="2501"/>
        <v>20</v>
      </c>
      <c r="O1657" s="110"/>
      <c r="P1657" s="66"/>
      <c r="Q1657" s="66">
        <f>597+18+5</f>
        <v>620</v>
      </c>
      <c r="R1657" s="66"/>
      <c r="S1657" s="66">
        <f>596+18+3</f>
        <v>617</v>
      </c>
      <c r="T1657" s="110">
        <f t="shared" ref="T1657:T1658" si="2506">S1657-Q1657</f>
        <v>-3</v>
      </c>
      <c r="U1657" s="59">
        <f t="shared" si="2500"/>
        <v>0</v>
      </c>
      <c r="V1657" s="66"/>
      <c r="W1657" s="66">
        <f>594+23</f>
        <v>617</v>
      </c>
      <c r="X1657" s="110">
        <f t="shared" ref="X1657:X1658" si="2507">W1657-M1657</f>
        <v>-3</v>
      </c>
      <c r="Y1657" s="110"/>
      <c r="Z1657" s="110"/>
      <c r="AA1657" s="110"/>
      <c r="AB1657" s="46"/>
      <c r="AC1657" s="78"/>
      <c r="AD1657" s="78"/>
      <c r="AE1657" s="100">
        <f t="shared" si="2502"/>
        <v>3.3333333333333333E-2</v>
      </c>
      <c r="AF1657" s="90"/>
      <c r="AG1657" s="109">
        <f t="shared" si="2503"/>
        <v>0</v>
      </c>
      <c r="AH1657" s="100">
        <f t="shared" si="2504"/>
        <v>2.8333333333333332E-2</v>
      </c>
      <c r="AI1657" s="100">
        <f t="shared" si="2505"/>
        <v>2.8333333333333332E-2</v>
      </c>
    </row>
    <row r="1658" spans="1:35" s="47" customFormat="1" ht="21" customHeight="1" x14ac:dyDescent="0.3">
      <c r="A1658" s="78"/>
      <c r="B1658" s="106" t="s">
        <v>51</v>
      </c>
      <c r="C1658" s="117" t="s">
        <v>583</v>
      </c>
      <c r="D1658" s="300"/>
      <c r="E1658" s="131" t="s">
        <v>156</v>
      </c>
      <c r="F1658" s="66">
        <v>600</v>
      </c>
      <c r="G1658" s="66"/>
      <c r="H1658" s="66"/>
      <c r="I1658" s="66"/>
      <c r="J1658" s="66"/>
      <c r="K1658" s="78"/>
      <c r="L1658" s="66"/>
      <c r="M1658" s="66">
        <f>579+13+23+5</f>
        <v>620</v>
      </c>
      <c r="N1658" s="110">
        <f t="shared" ref="N1658" si="2508">M1658-F1658</f>
        <v>20</v>
      </c>
      <c r="O1658" s="110"/>
      <c r="P1658" s="66"/>
      <c r="Q1658" s="66">
        <f>592+23+5</f>
        <v>620</v>
      </c>
      <c r="R1658" s="66"/>
      <c r="S1658" s="66">
        <f>590+23+5</f>
        <v>618</v>
      </c>
      <c r="T1658" s="110">
        <f t="shared" si="2506"/>
        <v>-2</v>
      </c>
      <c r="U1658" s="59">
        <f t="shared" ref="U1658" si="2509">IF(Q1658&gt;0,S1658-W1658,M1658-W1658)</f>
        <v>0</v>
      </c>
      <c r="V1658" s="66"/>
      <c r="W1658" s="66">
        <f>590+28</f>
        <v>618</v>
      </c>
      <c r="X1658" s="110">
        <f t="shared" si="2507"/>
        <v>-2</v>
      </c>
      <c r="Y1658" s="110"/>
      <c r="Z1658" s="110"/>
      <c r="AA1658" s="110"/>
      <c r="AB1658" s="46"/>
      <c r="AC1658" s="78"/>
      <c r="AD1658" s="78"/>
      <c r="AE1658" s="100">
        <f t="shared" ref="AE1658" si="2510">N1658/F1658</f>
        <v>3.3333333333333333E-2</v>
      </c>
      <c r="AF1658" s="90"/>
      <c r="AG1658" s="109">
        <f t="shared" ref="AG1658" si="2511">IF(N1658&lt;0,N1658,0)</f>
        <v>0</v>
      </c>
      <c r="AH1658" s="100">
        <f t="shared" ref="AH1658" si="2512">(S1658-F1658)/F1658</f>
        <v>0.03</v>
      </c>
      <c r="AI1658" s="100">
        <f t="shared" ref="AI1658" si="2513">(W1658-F1658)/F1658</f>
        <v>0.03</v>
      </c>
    </row>
    <row r="1659" spans="1:35" s="47" customFormat="1" ht="21" customHeight="1" x14ac:dyDescent="0.3">
      <c r="A1659" s="78"/>
      <c r="B1659" s="106" t="s">
        <v>51</v>
      </c>
      <c r="C1659" s="117" t="s">
        <v>583</v>
      </c>
      <c r="D1659" s="300"/>
      <c r="E1659" s="131" t="s">
        <v>265</v>
      </c>
      <c r="F1659" s="66">
        <v>1200</v>
      </c>
      <c r="G1659" s="66"/>
      <c r="H1659" s="66"/>
      <c r="I1659" s="66"/>
      <c r="J1659" s="66"/>
      <c r="K1659" s="78"/>
      <c r="L1659" s="66"/>
      <c r="M1659" s="66">
        <f>738+492</f>
        <v>1230</v>
      </c>
      <c r="N1659" s="110">
        <f t="shared" ref="N1659" si="2514">M1659-F1659</f>
        <v>30</v>
      </c>
      <c r="O1659" s="110"/>
      <c r="P1659" s="66"/>
      <c r="Q1659" s="66">
        <f>984+246</f>
        <v>1230</v>
      </c>
      <c r="R1659" s="66"/>
      <c r="S1659" s="66">
        <v>1228</v>
      </c>
      <c r="T1659" s="110">
        <f t="shared" ref="T1659" si="2515">S1659-Q1659</f>
        <v>-2</v>
      </c>
      <c r="U1659" s="59">
        <f t="shared" ref="U1659" si="2516">IF(Q1659&gt;0,S1659-W1659,M1659-W1659)</f>
        <v>2</v>
      </c>
      <c r="V1659" s="66"/>
      <c r="W1659" s="66">
        <v>1226</v>
      </c>
      <c r="X1659" s="110">
        <f t="shared" ref="X1659" si="2517">W1659-M1659</f>
        <v>-4</v>
      </c>
      <c r="Y1659" s="110"/>
      <c r="Z1659" s="110"/>
      <c r="AA1659" s="110"/>
      <c r="AB1659" s="46"/>
      <c r="AC1659" s="78"/>
      <c r="AD1659" s="78"/>
      <c r="AE1659" s="100">
        <f t="shared" ref="AE1659" si="2518">N1659/F1659</f>
        <v>2.5000000000000001E-2</v>
      </c>
      <c r="AF1659" s="90"/>
      <c r="AG1659" s="109">
        <f t="shared" ref="AG1659" si="2519">IF(N1659&lt;0,N1659,0)</f>
        <v>0</v>
      </c>
      <c r="AH1659" s="100">
        <f t="shared" ref="AH1659" si="2520">(S1659-F1659)/F1659</f>
        <v>2.3333333333333334E-2</v>
      </c>
      <c r="AI1659" s="100">
        <f t="shared" ref="AI1659" si="2521">(W1659-F1659)/F1659</f>
        <v>2.1666666666666667E-2</v>
      </c>
    </row>
    <row r="1660" spans="1:35" s="47" customFormat="1" ht="21" customHeight="1" x14ac:dyDescent="0.3">
      <c r="A1660" s="78"/>
      <c r="B1660" s="106" t="s">
        <v>51</v>
      </c>
      <c r="C1660" s="117" t="s">
        <v>583</v>
      </c>
      <c r="D1660" s="300"/>
      <c r="E1660" s="131" t="s">
        <v>39</v>
      </c>
      <c r="F1660" s="66">
        <v>1200</v>
      </c>
      <c r="G1660" s="66"/>
      <c r="H1660" s="66"/>
      <c r="I1660" s="66"/>
      <c r="J1660" s="66"/>
      <c r="K1660" s="78"/>
      <c r="L1660" s="66"/>
      <c r="M1660" s="66">
        <f>1092+140</f>
        <v>1232</v>
      </c>
      <c r="N1660" s="110">
        <f t="shared" si="2501"/>
        <v>32</v>
      </c>
      <c r="O1660" s="110"/>
      <c r="P1660" s="66"/>
      <c r="Q1660" s="66">
        <f>548+684</f>
        <v>1232</v>
      </c>
      <c r="R1660" s="66"/>
      <c r="S1660" s="66">
        <f>1229+3</f>
        <v>1232</v>
      </c>
      <c r="T1660" s="110">
        <f t="shared" ref="T1660" si="2522">S1660-Q1660</f>
        <v>0</v>
      </c>
      <c r="U1660" s="59">
        <f t="shared" si="2500"/>
        <v>0</v>
      </c>
      <c r="V1660" s="66"/>
      <c r="W1660" s="66">
        <v>1232</v>
      </c>
      <c r="X1660" s="110">
        <f t="shared" ref="X1660" si="2523">W1660-M1660</f>
        <v>0</v>
      </c>
      <c r="Y1660" s="110"/>
      <c r="Z1660" s="110"/>
      <c r="AA1660" s="110"/>
      <c r="AB1660" s="46"/>
      <c r="AC1660" s="78"/>
      <c r="AD1660" s="78"/>
      <c r="AE1660" s="100">
        <f t="shared" si="2502"/>
        <v>2.6666666666666668E-2</v>
      </c>
      <c r="AF1660" s="90"/>
      <c r="AG1660" s="109">
        <f t="shared" si="2503"/>
        <v>0</v>
      </c>
      <c r="AH1660" s="100">
        <f t="shared" si="2504"/>
        <v>2.6666666666666668E-2</v>
      </c>
      <c r="AI1660" s="100">
        <f t="shared" si="2505"/>
        <v>2.6666666666666668E-2</v>
      </c>
    </row>
    <row r="1661" spans="1:35" s="79" customFormat="1" ht="15.75" customHeight="1" x14ac:dyDescent="0.3">
      <c r="A1661" s="90" t="s">
        <v>46</v>
      </c>
      <c r="B1661" s="136" t="s">
        <v>51</v>
      </c>
      <c r="C1661" s="137"/>
      <c r="D1661" s="136"/>
      <c r="E1661" s="138"/>
      <c r="F1661" s="91">
        <f>SUM(F1656:F1660)</f>
        <v>4800</v>
      </c>
      <c r="G1661" s="91"/>
      <c r="H1661" s="91"/>
      <c r="I1661" s="91"/>
      <c r="J1661" s="91" t="s">
        <v>58</v>
      </c>
      <c r="K1661" s="65" t="s">
        <v>436</v>
      </c>
      <c r="L1661" s="91">
        <f>SUM(L1656:L1660)</f>
        <v>0</v>
      </c>
      <c r="M1661" s="91">
        <f>SUM(M1656:M1660)</f>
        <v>4934</v>
      </c>
      <c r="N1661" s="91">
        <f>SUM(N1656:N1660)</f>
        <v>134</v>
      </c>
      <c r="O1661" s="91" t="s">
        <v>175</v>
      </c>
      <c r="P1661" s="91">
        <f>SUM(P1656:P1660)</f>
        <v>0</v>
      </c>
      <c r="Q1661" s="91">
        <f>SUM(Q1656:Q1660)</f>
        <v>4934</v>
      </c>
      <c r="R1661" s="91">
        <f>SUM(R1656:R1660)</f>
        <v>0</v>
      </c>
      <c r="S1661" s="91">
        <f>SUM(S1656:S1660)</f>
        <v>4921</v>
      </c>
      <c r="T1661" s="91">
        <f>SUM(T1656:T1660)</f>
        <v>-13</v>
      </c>
      <c r="U1661" s="59">
        <f t="shared" si="2500"/>
        <v>2</v>
      </c>
      <c r="V1661" s="91">
        <f>SUM(V1656:V1660)</f>
        <v>0</v>
      </c>
      <c r="W1661" s="91">
        <f>SUM(W1656:W1660)</f>
        <v>4919</v>
      </c>
      <c r="X1661" s="91">
        <f>SUM(X1656:X1660)</f>
        <v>-15</v>
      </c>
      <c r="Y1661" s="136" t="s">
        <v>47</v>
      </c>
      <c r="Z1661" s="136" t="s">
        <v>45</v>
      </c>
      <c r="AA1661" s="136"/>
      <c r="AB1661" s="84"/>
      <c r="AC1661" s="90"/>
      <c r="AD1661" s="90"/>
      <c r="AE1661" s="100">
        <f t="shared" si="2502"/>
        <v>2.7916666666666666E-2</v>
      </c>
      <c r="AF1661" s="90"/>
      <c r="AG1661" s="109">
        <f t="shared" si="2503"/>
        <v>0</v>
      </c>
      <c r="AH1661" s="100">
        <f t="shared" si="2504"/>
        <v>2.5208333333333333E-2</v>
      </c>
      <c r="AI1661" s="100">
        <f t="shared" si="2505"/>
        <v>2.4791666666666667E-2</v>
      </c>
    </row>
    <row r="1662" spans="1:35" s="47" customFormat="1" ht="21" customHeight="1" x14ac:dyDescent="0.3">
      <c r="A1662" s="78"/>
      <c r="B1662" s="106" t="s">
        <v>51</v>
      </c>
      <c r="C1662" s="117">
        <v>48189</v>
      </c>
      <c r="D1662" s="299">
        <v>15370026</v>
      </c>
      <c r="E1662" s="131" t="s">
        <v>49</v>
      </c>
      <c r="F1662" s="66">
        <v>387</v>
      </c>
      <c r="G1662" s="66"/>
      <c r="H1662" s="66"/>
      <c r="I1662" s="66"/>
      <c r="J1662" s="66"/>
      <c r="K1662" s="78"/>
      <c r="L1662" s="66"/>
      <c r="M1662" s="66">
        <f>400</f>
        <v>400</v>
      </c>
      <c r="N1662" s="110">
        <f t="shared" ref="N1662:N1666" si="2524">M1662-F1662</f>
        <v>13</v>
      </c>
      <c r="O1662" s="110"/>
      <c r="P1662" s="66"/>
      <c r="Q1662" s="66">
        <f>400</f>
        <v>400</v>
      </c>
      <c r="R1662" s="66"/>
      <c r="S1662" s="66">
        <v>400</v>
      </c>
      <c r="T1662" s="110">
        <f>S1662-Q1662</f>
        <v>0</v>
      </c>
      <c r="U1662" s="59">
        <f t="shared" si="2500"/>
        <v>3</v>
      </c>
      <c r="V1662" s="66"/>
      <c r="W1662" s="66">
        <v>397</v>
      </c>
      <c r="X1662" s="110">
        <f>W1662-M1662</f>
        <v>-3</v>
      </c>
      <c r="Y1662" s="110"/>
      <c r="Z1662" s="110"/>
      <c r="AA1662" s="110"/>
      <c r="AB1662" s="46"/>
      <c r="AC1662" s="78"/>
      <c r="AD1662" s="78"/>
      <c r="AE1662" s="100">
        <f t="shared" si="2493"/>
        <v>3.3591731266149873E-2</v>
      </c>
      <c r="AF1662" s="90"/>
      <c r="AG1662" s="109">
        <f t="shared" si="2494"/>
        <v>0</v>
      </c>
      <c r="AH1662" s="100">
        <f t="shared" si="2495"/>
        <v>3.3591731266149873E-2</v>
      </c>
      <c r="AI1662" s="100">
        <f t="shared" si="2496"/>
        <v>2.5839793281653745E-2</v>
      </c>
    </row>
    <row r="1663" spans="1:35" s="47" customFormat="1" ht="21" customHeight="1" x14ac:dyDescent="0.3">
      <c r="A1663" s="78"/>
      <c r="B1663" s="106" t="s">
        <v>51</v>
      </c>
      <c r="C1663" s="117">
        <v>48189</v>
      </c>
      <c r="D1663" s="300"/>
      <c r="E1663" s="131" t="s">
        <v>228</v>
      </c>
      <c r="F1663" s="66">
        <v>1464</v>
      </c>
      <c r="G1663" s="66"/>
      <c r="H1663" s="66"/>
      <c r="I1663" s="66"/>
      <c r="J1663" s="66"/>
      <c r="K1663" s="78"/>
      <c r="L1663" s="66"/>
      <c r="M1663" s="66">
        <f>1000+417+79</f>
        <v>1496</v>
      </c>
      <c r="N1663" s="110">
        <f t="shared" si="2524"/>
        <v>32</v>
      </c>
      <c r="O1663" s="110"/>
      <c r="P1663" s="66"/>
      <c r="Q1663" s="66">
        <f>500+471+443+79</f>
        <v>1493</v>
      </c>
      <c r="R1663" s="66"/>
      <c r="S1663" s="66">
        <f>1414+79</f>
        <v>1493</v>
      </c>
      <c r="T1663" s="110">
        <f t="shared" ref="T1663:T1664" si="2525">S1663-Q1663</f>
        <v>0</v>
      </c>
      <c r="U1663" s="59">
        <f t="shared" si="2500"/>
        <v>1</v>
      </c>
      <c r="V1663" s="66"/>
      <c r="W1663" s="66">
        <v>1492</v>
      </c>
      <c r="X1663" s="110">
        <f t="shared" ref="X1663:X1664" si="2526">W1663-M1663</f>
        <v>-4</v>
      </c>
      <c r="Y1663" s="110"/>
      <c r="Z1663" s="110"/>
      <c r="AA1663" s="110"/>
      <c r="AB1663" s="46"/>
      <c r="AC1663" s="78"/>
      <c r="AD1663" s="78"/>
      <c r="AE1663" s="100">
        <f t="shared" si="2493"/>
        <v>2.185792349726776E-2</v>
      </c>
      <c r="AF1663" s="90"/>
      <c r="AG1663" s="109">
        <f t="shared" si="2494"/>
        <v>0</v>
      </c>
      <c r="AH1663" s="100">
        <f t="shared" si="2495"/>
        <v>1.9808743169398908E-2</v>
      </c>
      <c r="AI1663" s="100">
        <f t="shared" si="2496"/>
        <v>1.912568306010929E-2</v>
      </c>
    </row>
    <row r="1664" spans="1:35" s="47" customFormat="1" ht="21" customHeight="1" x14ac:dyDescent="0.3">
      <c r="A1664" s="78"/>
      <c r="B1664" s="106" t="s">
        <v>51</v>
      </c>
      <c r="C1664" s="117">
        <v>48189</v>
      </c>
      <c r="D1664" s="300"/>
      <c r="E1664" s="131" t="s">
        <v>291</v>
      </c>
      <c r="F1664" s="66">
        <v>867</v>
      </c>
      <c r="G1664" s="66"/>
      <c r="H1664" s="66"/>
      <c r="I1664" s="66"/>
      <c r="J1664" s="66"/>
      <c r="K1664" s="78"/>
      <c r="L1664" s="66"/>
      <c r="M1664" s="66">
        <f>468+415</f>
        <v>883</v>
      </c>
      <c r="N1664" s="110">
        <f t="shared" ref="N1664" si="2527">M1664-F1664</f>
        <v>16</v>
      </c>
      <c r="O1664" s="110"/>
      <c r="P1664" s="66"/>
      <c r="Q1664" s="66">
        <f>468+415</f>
        <v>883</v>
      </c>
      <c r="R1664" s="66"/>
      <c r="S1664" s="66">
        <v>880</v>
      </c>
      <c r="T1664" s="110">
        <f t="shared" si="2525"/>
        <v>-3</v>
      </c>
      <c r="U1664" s="59">
        <f t="shared" ref="U1664" si="2528">IF(Q1664&gt;0,S1664-W1664,M1664-W1664)</f>
        <v>0</v>
      </c>
      <c r="V1664" s="66"/>
      <c r="W1664" s="66">
        <v>880</v>
      </c>
      <c r="X1664" s="110">
        <f t="shared" si="2526"/>
        <v>-3</v>
      </c>
      <c r="Y1664" s="110"/>
      <c r="Z1664" s="110"/>
      <c r="AA1664" s="110"/>
      <c r="AB1664" s="46"/>
      <c r="AC1664" s="78"/>
      <c r="AD1664" s="78"/>
      <c r="AE1664" s="100">
        <f t="shared" ref="AE1664" si="2529">N1664/F1664</f>
        <v>1.845444059976932E-2</v>
      </c>
      <c r="AF1664" s="90"/>
      <c r="AG1664" s="109">
        <f t="shared" ref="AG1664" si="2530">IF(N1664&lt;0,N1664,0)</f>
        <v>0</v>
      </c>
      <c r="AH1664" s="100">
        <f t="shared" ref="AH1664" si="2531">(S1664-F1664)/F1664</f>
        <v>1.4994232987312572E-2</v>
      </c>
      <c r="AI1664" s="100">
        <f t="shared" ref="AI1664" si="2532">(W1664-F1664)/F1664</f>
        <v>1.4994232987312572E-2</v>
      </c>
    </row>
    <row r="1665" spans="1:35" s="47" customFormat="1" ht="21" customHeight="1" x14ac:dyDescent="0.3">
      <c r="A1665" s="78"/>
      <c r="B1665" s="106" t="s">
        <v>51</v>
      </c>
      <c r="C1665" s="117">
        <v>48189</v>
      </c>
      <c r="D1665" s="300"/>
      <c r="E1665" s="131" t="s">
        <v>0</v>
      </c>
      <c r="F1665" s="66">
        <v>387</v>
      </c>
      <c r="G1665" s="66"/>
      <c r="H1665" s="66"/>
      <c r="I1665" s="66"/>
      <c r="J1665" s="66"/>
      <c r="K1665" s="78"/>
      <c r="L1665" s="66"/>
      <c r="M1665" s="66">
        <f>400</f>
        <v>400</v>
      </c>
      <c r="N1665" s="110">
        <f t="shared" ref="N1665" si="2533">M1665-F1665</f>
        <v>13</v>
      </c>
      <c r="O1665" s="110"/>
      <c r="P1665" s="66"/>
      <c r="Q1665" s="66">
        <f>400</f>
        <v>400</v>
      </c>
      <c r="R1665" s="66"/>
      <c r="S1665" s="66">
        <v>397</v>
      </c>
      <c r="T1665" s="110">
        <f t="shared" ref="T1665" si="2534">S1665-Q1665</f>
        <v>-3</v>
      </c>
      <c r="U1665" s="59">
        <f t="shared" ref="U1665" si="2535">IF(Q1665&gt;0,S1665-W1665,M1665-W1665)</f>
        <v>0</v>
      </c>
      <c r="V1665" s="66"/>
      <c r="W1665" s="66">
        <v>397</v>
      </c>
      <c r="X1665" s="110">
        <f t="shared" ref="X1665" si="2536">W1665-M1665</f>
        <v>-3</v>
      </c>
      <c r="Y1665" s="110"/>
      <c r="Z1665" s="110"/>
      <c r="AA1665" s="110"/>
      <c r="AB1665" s="46"/>
      <c r="AC1665" s="78"/>
      <c r="AD1665" s="78"/>
      <c r="AE1665" s="100">
        <f t="shared" ref="AE1665" si="2537">N1665/F1665</f>
        <v>3.3591731266149873E-2</v>
      </c>
      <c r="AF1665" s="90"/>
      <c r="AG1665" s="109">
        <f t="shared" ref="AG1665" si="2538">IF(N1665&lt;0,N1665,0)</f>
        <v>0</v>
      </c>
      <c r="AH1665" s="100">
        <f t="shared" ref="AH1665" si="2539">(S1665-F1665)/F1665</f>
        <v>2.5839793281653745E-2</v>
      </c>
      <c r="AI1665" s="100">
        <f t="shared" ref="AI1665" si="2540">(W1665-F1665)/F1665</f>
        <v>2.5839793281653745E-2</v>
      </c>
    </row>
    <row r="1666" spans="1:35" s="47" customFormat="1" ht="21" customHeight="1" x14ac:dyDescent="0.3">
      <c r="A1666" s="78"/>
      <c r="B1666" s="106" t="s">
        <v>51</v>
      </c>
      <c r="C1666" s="117">
        <v>48189</v>
      </c>
      <c r="D1666" s="300"/>
      <c r="E1666" s="131" t="s">
        <v>292</v>
      </c>
      <c r="F1666" s="66">
        <v>1260</v>
      </c>
      <c r="G1666" s="66"/>
      <c r="H1666" s="66"/>
      <c r="I1666" s="66"/>
      <c r="J1666" s="66"/>
      <c r="K1666" s="78"/>
      <c r="L1666" s="66"/>
      <c r="M1666" s="66">
        <f>450+840</f>
        <v>1290</v>
      </c>
      <c r="N1666" s="110">
        <f t="shared" si="2524"/>
        <v>30</v>
      </c>
      <c r="O1666" s="110"/>
      <c r="P1666" s="66"/>
      <c r="Q1666" s="66">
        <f>900+390</f>
        <v>1290</v>
      </c>
      <c r="R1666" s="66"/>
      <c r="S1666" s="66">
        <v>1290</v>
      </c>
      <c r="T1666" s="110">
        <f t="shared" ref="T1666" si="2541">S1666-Q1666</f>
        <v>0</v>
      </c>
      <c r="U1666" s="59">
        <f t="shared" si="2500"/>
        <v>2</v>
      </c>
      <c r="V1666" s="66"/>
      <c r="W1666" s="66">
        <v>1288</v>
      </c>
      <c r="X1666" s="110">
        <f t="shared" ref="X1666" si="2542">W1666-M1666</f>
        <v>-2</v>
      </c>
      <c r="Y1666" s="110"/>
      <c r="Z1666" s="110"/>
      <c r="AA1666" s="110"/>
      <c r="AB1666" s="46"/>
      <c r="AC1666" s="78"/>
      <c r="AD1666" s="78"/>
      <c r="AE1666" s="100">
        <f t="shared" si="2493"/>
        <v>2.3809523809523808E-2</v>
      </c>
      <c r="AF1666" s="90"/>
      <c r="AG1666" s="109">
        <f t="shared" si="2494"/>
        <v>0</v>
      </c>
      <c r="AH1666" s="100">
        <f t="shared" si="2495"/>
        <v>2.3809523809523808E-2</v>
      </c>
      <c r="AI1666" s="100">
        <f t="shared" si="2496"/>
        <v>2.2222222222222223E-2</v>
      </c>
    </row>
    <row r="1667" spans="1:35" s="79" customFormat="1" ht="15.75" customHeight="1" x14ac:dyDescent="0.3">
      <c r="A1667" s="90" t="s">
        <v>46</v>
      </c>
      <c r="B1667" s="136" t="s">
        <v>51</v>
      </c>
      <c r="C1667" s="137"/>
      <c r="D1667" s="136"/>
      <c r="E1667" s="138"/>
      <c r="F1667" s="91">
        <f>SUM(F1662:F1666)</f>
        <v>4365</v>
      </c>
      <c r="G1667" s="91"/>
      <c r="H1667" s="91"/>
      <c r="I1667" s="91"/>
      <c r="J1667" s="91" t="s">
        <v>59</v>
      </c>
      <c r="K1667" s="65" t="s">
        <v>290</v>
      </c>
      <c r="L1667" s="91">
        <f>SUM(L1662:L1666)</f>
        <v>0</v>
      </c>
      <c r="M1667" s="91">
        <f>SUM(M1662:M1666)</f>
        <v>4469</v>
      </c>
      <c r="N1667" s="91">
        <f>SUM(N1662:N1666)</f>
        <v>104</v>
      </c>
      <c r="O1667" s="91" t="s">
        <v>238</v>
      </c>
      <c r="P1667" s="91">
        <f>SUM(P1662:P1666)</f>
        <v>0</v>
      </c>
      <c r="Q1667" s="91">
        <f>SUM(Q1662:Q1666)</f>
        <v>4466</v>
      </c>
      <c r="R1667" s="91">
        <f>SUM(R1662:R1666)</f>
        <v>0</v>
      </c>
      <c r="S1667" s="91">
        <f>SUM(S1662:S1666)</f>
        <v>4460</v>
      </c>
      <c r="T1667" s="91">
        <f>SUM(T1662:T1666)</f>
        <v>-6</v>
      </c>
      <c r="U1667" s="59">
        <f t="shared" si="2500"/>
        <v>6</v>
      </c>
      <c r="V1667" s="91">
        <f>SUM(V1662:V1666)</f>
        <v>0</v>
      </c>
      <c r="W1667" s="91">
        <f>SUM(W1662:W1666)</f>
        <v>4454</v>
      </c>
      <c r="X1667" s="91">
        <f>SUM(X1662:X1666)</f>
        <v>-15</v>
      </c>
      <c r="Y1667" s="136" t="s">
        <v>48</v>
      </c>
      <c r="Z1667" s="136" t="s">
        <v>45</v>
      </c>
      <c r="AA1667" s="136"/>
      <c r="AB1667" s="84"/>
      <c r="AC1667" s="90"/>
      <c r="AD1667" s="90"/>
      <c r="AE1667" s="100">
        <f t="shared" si="2493"/>
        <v>2.3825887743413515E-2</v>
      </c>
      <c r="AF1667" s="90"/>
      <c r="AG1667" s="109">
        <f t="shared" si="2494"/>
        <v>0</v>
      </c>
      <c r="AH1667" s="100">
        <f t="shared" si="2495"/>
        <v>2.1764032073310423E-2</v>
      </c>
      <c r="AI1667" s="100">
        <f t="shared" si="2496"/>
        <v>2.0389461626575029E-2</v>
      </c>
    </row>
    <row r="1668" spans="1:35" s="47" customFormat="1" ht="21" customHeight="1" x14ac:dyDescent="0.3">
      <c r="A1668" s="78"/>
      <c r="B1668" s="106" t="s">
        <v>51</v>
      </c>
      <c r="C1668" s="117">
        <v>48158</v>
      </c>
      <c r="D1668" s="299">
        <v>15368187</v>
      </c>
      <c r="E1668" s="131" t="s">
        <v>0</v>
      </c>
      <c r="F1668" s="66">
        <v>6996</v>
      </c>
      <c r="G1668" s="66"/>
      <c r="H1668" s="66"/>
      <c r="I1668" s="66"/>
      <c r="J1668" s="66"/>
      <c r="K1668" s="78"/>
      <c r="L1668" s="66"/>
      <c r="M1668" s="66">
        <f>6936+156</f>
        <v>7092</v>
      </c>
      <c r="N1668" s="110">
        <f t="shared" ref="N1668:N1669" si="2543">M1668-F1668</f>
        <v>96</v>
      </c>
      <c r="O1668" s="110"/>
      <c r="P1668" s="66"/>
      <c r="Q1668" s="66">
        <f>6936+156</f>
        <v>7092</v>
      </c>
      <c r="R1668" s="66">
        <v>2729</v>
      </c>
      <c r="S1668" s="66">
        <f>2515+1999+2578</f>
        <v>7092</v>
      </c>
      <c r="T1668" s="110">
        <f>S1668-Q1668</f>
        <v>0</v>
      </c>
      <c r="U1668" s="59">
        <f t="shared" ref="U1668:U1670" si="2544">IF(Q1668&gt;0,S1668-W1668,M1668-W1668)</f>
        <v>5578</v>
      </c>
      <c r="V1668" s="66"/>
      <c r="W1668" s="66">
        <f>1514</f>
        <v>1514</v>
      </c>
      <c r="X1668" s="110">
        <f>W1668-M1668</f>
        <v>-5578</v>
      </c>
      <c r="Y1668" s="110"/>
      <c r="Z1668" s="110"/>
      <c r="AA1668" s="110"/>
      <c r="AB1668" s="46"/>
      <c r="AC1668" s="78"/>
      <c r="AD1668" s="78"/>
      <c r="AE1668" s="100">
        <f t="shared" si="2493"/>
        <v>1.3722126929674099E-2</v>
      </c>
      <c r="AF1668" s="90"/>
      <c r="AG1668" s="109">
        <f t="shared" si="2494"/>
        <v>0</v>
      </c>
      <c r="AH1668" s="100">
        <f t="shared" si="2495"/>
        <v>1.3722126929674099E-2</v>
      </c>
      <c r="AI1668" s="100">
        <f t="shared" si="2496"/>
        <v>-0.78359062321326467</v>
      </c>
    </row>
    <row r="1669" spans="1:35" s="47" customFormat="1" ht="21" customHeight="1" x14ac:dyDescent="0.3">
      <c r="A1669" s="78"/>
      <c r="B1669" s="106" t="s">
        <v>51</v>
      </c>
      <c r="C1669" s="117">
        <v>48158</v>
      </c>
      <c r="D1669" s="300"/>
      <c r="E1669" s="131" t="s">
        <v>49</v>
      </c>
      <c r="F1669" s="66">
        <v>6996</v>
      </c>
      <c r="G1669" s="66"/>
      <c r="H1669" s="66"/>
      <c r="I1669" s="66"/>
      <c r="J1669" s="66"/>
      <c r="K1669" s="78"/>
      <c r="L1669" s="66"/>
      <c r="M1669" s="66">
        <v>7092</v>
      </c>
      <c r="N1669" s="110">
        <f t="shared" si="2543"/>
        <v>96</v>
      </c>
      <c r="O1669" s="110"/>
      <c r="P1669" s="66"/>
      <c r="Q1669" s="66">
        <f>7092</f>
        <v>7092</v>
      </c>
      <c r="R1669" s="66"/>
      <c r="S1669" s="66">
        <f>2880+3492+720</f>
        <v>7092</v>
      </c>
      <c r="T1669" s="110">
        <f t="shared" ref="T1669" si="2545">S1669-Q1669</f>
        <v>0</v>
      </c>
      <c r="U1669" s="59">
        <f t="shared" si="2544"/>
        <v>52</v>
      </c>
      <c r="V1669" s="66">
        <v>2210</v>
      </c>
      <c r="W1669" s="66">
        <f>2786+2044+2210</f>
        <v>7040</v>
      </c>
      <c r="X1669" s="110">
        <f t="shared" ref="X1669" si="2546">W1669-M1669</f>
        <v>-52</v>
      </c>
      <c r="Y1669" s="110"/>
      <c r="Z1669" s="110"/>
      <c r="AA1669" s="110"/>
      <c r="AB1669" s="46"/>
      <c r="AC1669" s="78"/>
      <c r="AD1669" s="78"/>
      <c r="AE1669" s="100">
        <f t="shared" si="2493"/>
        <v>1.3722126929674099E-2</v>
      </c>
      <c r="AF1669" s="90"/>
      <c r="AG1669" s="109">
        <f t="shared" si="2494"/>
        <v>0</v>
      </c>
      <c r="AH1669" s="100">
        <f t="shared" si="2495"/>
        <v>1.3722126929674099E-2</v>
      </c>
      <c r="AI1669" s="100">
        <f t="shared" si="2496"/>
        <v>6.2893081761006293E-3</v>
      </c>
    </row>
    <row r="1670" spans="1:35" s="79" customFormat="1" ht="15.75" customHeight="1" x14ac:dyDescent="0.3">
      <c r="A1670" s="90" t="s">
        <v>46</v>
      </c>
      <c r="B1670" s="136" t="s">
        <v>51</v>
      </c>
      <c r="C1670" s="137"/>
      <c r="D1670" s="136"/>
      <c r="E1670" s="138"/>
      <c r="F1670" s="91">
        <f>SUM(F1668:F1669)</f>
        <v>13992</v>
      </c>
      <c r="G1670" s="91"/>
      <c r="H1670" s="91"/>
      <c r="I1670" s="91" t="s">
        <v>502</v>
      </c>
      <c r="J1670" s="91" t="s">
        <v>60</v>
      </c>
      <c r="K1670" s="65" t="s">
        <v>290</v>
      </c>
      <c r="L1670" s="91">
        <f>SUM(L1668:L1669)</f>
        <v>0</v>
      </c>
      <c r="M1670" s="91">
        <f>SUM(M1668:M1669)</f>
        <v>14184</v>
      </c>
      <c r="N1670" s="91">
        <f>SUM(N1668:N1669)</f>
        <v>192</v>
      </c>
      <c r="O1670" s="91" t="s">
        <v>232</v>
      </c>
      <c r="P1670" s="91">
        <f>SUM(P1668:P1669)</f>
        <v>0</v>
      </c>
      <c r="Q1670" s="91">
        <f>SUM(Q1668:Q1669)</f>
        <v>14184</v>
      </c>
      <c r="R1670" s="91">
        <f>SUM(R1668:R1669)</f>
        <v>2729</v>
      </c>
      <c r="S1670" s="91">
        <f>SUM(S1668:S1669)</f>
        <v>14184</v>
      </c>
      <c r="T1670" s="91">
        <f>SUM(T1668:T1669)</f>
        <v>0</v>
      </c>
      <c r="U1670" s="59">
        <f t="shared" si="2544"/>
        <v>5630</v>
      </c>
      <c r="V1670" s="91">
        <f>SUM(V1668:V1669)</f>
        <v>2210</v>
      </c>
      <c r="W1670" s="91">
        <f>SUM(W1668:W1669)</f>
        <v>8554</v>
      </c>
      <c r="X1670" s="91">
        <f>SUM(X1668:X1669)</f>
        <v>-5630</v>
      </c>
      <c r="Y1670" s="136" t="s">
        <v>47</v>
      </c>
      <c r="Z1670" s="136" t="s">
        <v>45</v>
      </c>
      <c r="AA1670" s="136" t="s">
        <v>896</v>
      </c>
      <c r="AB1670" s="84"/>
      <c r="AC1670" s="90"/>
      <c r="AD1670" s="90"/>
      <c r="AE1670" s="100">
        <f t="shared" si="2493"/>
        <v>1.3722126929674099E-2</v>
      </c>
      <c r="AF1670" s="90"/>
      <c r="AG1670" s="109">
        <f t="shared" si="2494"/>
        <v>0</v>
      </c>
      <c r="AH1670" s="100">
        <f t="shared" si="2495"/>
        <v>1.3722126929674099E-2</v>
      </c>
      <c r="AI1670" s="100">
        <f t="shared" si="2496"/>
        <v>-0.38865065751858202</v>
      </c>
    </row>
    <row r="1671" spans="1:35" s="47" customFormat="1" ht="21" customHeight="1" x14ac:dyDescent="0.3">
      <c r="A1671" s="78"/>
      <c r="B1671" s="106" t="s">
        <v>51</v>
      </c>
      <c r="C1671" s="117" t="s">
        <v>872</v>
      </c>
      <c r="D1671" s="299">
        <v>15368187</v>
      </c>
      <c r="E1671" s="131" t="s">
        <v>0</v>
      </c>
      <c r="F1671" s="66">
        <v>4080</v>
      </c>
      <c r="G1671" s="66"/>
      <c r="H1671" s="66"/>
      <c r="I1671" s="66"/>
      <c r="J1671" s="66"/>
      <c r="K1671" s="78"/>
      <c r="L1671" s="66"/>
      <c r="M1671" s="66"/>
      <c r="N1671" s="110">
        <f t="shared" ref="N1671" si="2547">M1671-F1671</f>
        <v>-4080</v>
      </c>
      <c r="O1671" s="110"/>
      <c r="P1671" s="66"/>
      <c r="Q1671" s="66"/>
      <c r="R1671" s="66"/>
      <c r="S1671" s="66"/>
      <c r="T1671" s="110">
        <f>S1671-Q1671</f>
        <v>0</v>
      </c>
      <c r="U1671" s="59">
        <f t="shared" si="2500"/>
        <v>0</v>
      </c>
      <c r="V1671" s="66"/>
      <c r="W1671" s="66"/>
      <c r="X1671" s="110">
        <f>W1671-M1671</f>
        <v>0</v>
      </c>
      <c r="Y1671" s="110"/>
      <c r="Z1671" s="110"/>
      <c r="AA1671" s="110"/>
      <c r="AB1671" s="46"/>
      <c r="AC1671" s="78"/>
      <c r="AD1671" s="78"/>
      <c r="AE1671" s="100">
        <f t="shared" ref="AE1671:AE1673" si="2548">N1671/F1671</f>
        <v>-1</v>
      </c>
      <c r="AF1671" s="90"/>
      <c r="AG1671" s="109">
        <f t="shared" ref="AG1671:AG1673" si="2549">IF(N1671&lt;0,N1671,0)</f>
        <v>-4080</v>
      </c>
      <c r="AH1671" s="100">
        <f t="shared" ref="AH1671:AH1673" si="2550">(S1671-F1671)/F1671</f>
        <v>-1</v>
      </c>
      <c r="AI1671" s="100">
        <f t="shared" ref="AI1671:AI1673" si="2551">(W1671-F1671)/F1671</f>
        <v>-1</v>
      </c>
    </row>
    <row r="1672" spans="1:35" s="47" customFormat="1" ht="21" customHeight="1" x14ac:dyDescent="0.3">
      <c r="A1672" s="78"/>
      <c r="B1672" s="106" t="s">
        <v>51</v>
      </c>
      <c r="C1672" s="117" t="s">
        <v>872</v>
      </c>
      <c r="D1672" s="300"/>
      <c r="E1672" s="131" t="s">
        <v>49</v>
      </c>
      <c r="F1672" s="66">
        <v>4080</v>
      </c>
      <c r="G1672" s="66"/>
      <c r="H1672" s="66"/>
      <c r="I1672" s="66"/>
      <c r="J1672" s="66"/>
      <c r="K1672" s="78"/>
      <c r="L1672" s="66"/>
      <c r="M1672" s="66">
        <f>1200+1224+1626</f>
        <v>4050</v>
      </c>
      <c r="N1672" s="110">
        <f>M1672-F1672</f>
        <v>-30</v>
      </c>
      <c r="O1672" s="110"/>
      <c r="P1672" s="66"/>
      <c r="Q1672" s="66">
        <f>1200+1196+1601</f>
        <v>3997</v>
      </c>
      <c r="R1672" s="66"/>
      <c r="S1672" s="66"/>
      <c r="T1672" s="110">
        <f t="shared" ref="T1672" si="2552">S1672-Q1672</f>
        <v>-3997</v>
      </c>
      <c r="U1672" s="59">
        <f t="shared" si="2500"/>
        <v>0</v>
      </c>
      <c r="V1672" s="66"/>
      <c r="W1672" s="66"/>
      <c r="X1672" s="110">
        <f t="shared" ref="X1672" si="2553">W1672-M1672</f>
        <v>-4050</v>
      </c>
      <c r="Y1672" s="110"/>
      <c r="Z1672" s="110"/>
      <c r="AA1672" s="110"/>
      <c r="AB1672" s="46"/>
      <c r="AC1672" s="78"/>
      <c r="AD1672" s="78"/>
      <c r="AE1672" s="100">
        <f t="shared" si="2548"/>
        <v>-7.3529411764705881E-3</v>
      </c>
      <c r="AF1672" s="90"/>
      <c r="AG1672" s="109">
        <f t="shared" si="2549"/>
        <v>-30</v>
      </c>
      <c r="AH1672" s="100">
        <f t="shared" si="2550"/>
        <v>-1</v>
      </c>
      <c r="AI1672" s="100">
        <f t="shared" si="2551"/>
        <v>-1</v>
      </c>
    </row>
    <row r="1673" spans="1:35" s="79" customFormat="1" ht="15.75" customHeight="1" x14ac:dyDescent="0.3">
      <c r="A1673" s="90" t="s">
        <v>46</v>
      </c>
      <c r="B1673" s="136" t="s">
        <v>51</v>
      </c>
      <c r="C1673" s="137"/>
      <c r="D1673" s="136"/>
      <c r="E1673" s="138"/>
      <c r="F1673" s="91">
        <f>SUM(F1671:F1672)</f>
        <v>8160</v>
      </c>
      <c r="G1673" s="91"/>
      <c r="H1673" s="91"/>
      <c r="I1673" s="91"/>
      <c r="J1673" s="91" t="s">
        <v>60</v>
      </c>
      <c r="K1673" s="65" t="s">
        <v>436</v>
      </c>
      <c r="L1673" s="91">
        <f>SUM(L1671:L1672)</f>
        <v>0</v>
      </c>
      <c r="M1673" s="91">
        <f>SUM(M1671:M1672)</f>
        <v>4050</v>
      </c>
      <c r="N1673" s="91">
        <f>SUM(N1671:N1672)</f>
        <v>-4110</v>
      </c>
      <c r="O1673" s="91" t="s">
        <v>272</v>
      </c>
      <c r="P1673" s="91">
        <f>SUM(P1671:P1672)</f>
        <v>0</v>
      </c>
      <c r="Q1673" s="91">
        <f>SUM(Q1671:Q1672)</f>
        <v>3997</v>
      </c>
      <c r="R1673" s="91">
        <f>SUM(R1671:R1672)</f>
        <v>0</v>
      </c>
      <c r="S1673" s="91">
        <f>SUM(S1671:S1672)</f>
        <v>0</v>
      </c>
      <c r="T1673" s="91">
        <f>SUM(T1671:T1672)</f>
        <v>-3997</v>
      </c>
      <c r="U1673" s="59">
        <f t="shared" si="2500"/>
        <v>0</v>
      </c>
      <c r="V1673" s="91">
        <f>SUM(V1671:V1672)</f>
        <v>0</v>
      </c>
      <c r="W1673" s="91">
        <f>SUM(W1671:W1672)</f>
        <v>0</v>
      </c>
      <c r="X1673" s="91">
        <f>SUM(X1671:X1672)</f>
        <v>-4050</v>
      </c>
      <c r="Y1673" s="136" t="s">
        <v>57</v>
      </c>
      <c r="Z1673" s="136" t="s">
        <v>45</v>
      </c>
      <c r="AA1673" s="136"/>
      <c r="AB1673" s="84"/>
      <c r="AC1673" s="90"/>
      <c r="AD1673" s="90"/>
      <c r="AE1673" s="100">
        <f t="shared" si="2548"/>
        <v>-0.50367647058823528</v>
      </c>
      <c r="AF1673" s="90"/>
      <c r="AG1673" s="109">
        <f t="shared" si="2549"/>
        <v>-4110</v>
      </c>
      <c r="AH1673" s="100">
        <f t="shared" si="2550"/>
        <v>-1</v>
      </c>
      <c r="AI1673" s="100">
        <f t="shared" si="2551"/>
        <v>-1</v>
      </c>
    </row>
    <row r="1674" spans="1:35" s="47" customFormat="1" ht="21" customHeight="1" x14ac:dyDescent="0.3">
      <c r="A1674" s="78"/>
      <c r="B1674" s="106" t="s">
        <v>51</v>
      </c>
      <c r="C1674" s="117">
        <v>48173</v>
      </c>
      <c r="D1674" s="299">
        <v>15387024</v>
      </c>
      <c r="E1674" s="131" t="s">
        <v>49</v>
      </c>
      <c r="F1674" s="66">
        <v>2448</v>
      </c>
      <c r="G1674" s="66"/>
      <c r="H1674" s="66"/>
      <c r="I1674" s="66"/>
      <c r="J1674" s="66"/>
      <c r="K1674" s="78"/>
      <c r="L1674" s="66"/>
      <c r="M1674" s="66">
        <f>1408+808+263</f>
        <v>2479</v>
      </c>
      <c r="N1674" s="110">
        <f t="shared" ref="N1674" si="2554">M1674-F1674</f>
        <v>31</v>
      </c>
      <c r="O1674" s="110"/>
      <c r="P1674" s="66"/>
      <c r="Q1674" s="66"/>
      <c r="R1674" s="66"/>
      <c r="S1674" s="66"/>
      <c r="T1674" s="110">
        <f>S1674-Q1674</f>
        <v>0</v>
      </c>
      <c r="U1674" s="59">
        <f t="shared" ref="U1674:U1677" si="2555">IF(Q1674&gt;0,S1674-W1674,M1674-W1674)</f>
        <v>0</v>
      </c>
      <c r="V1674" s="66"/>
      <c r="W1674" s="66">
        <v>2479</v>
      </c>
      <c r="X1674" s="110">
        <f>W1674-M1674</f>
        <v>0</v>
      </c>
      <c r="Y1674" s="110"/>
      <c r="Z1674" s="110"/>
      <c r="AA1674" s="110"/>
      <c r="AB1674" s="46"/>
      <c r="AC1674" s="78"/>
      <c r="AD1674" s="78"/>
      <c r="AE1674" s="100">
        <f t="shared" ref="AE1674:AE1677" si="2556">N1674/F1674</f>
        <v>1.2663398692810458E-2</v>
      </c>
      <c r="AF1674" s="90"/>
      <c r="AG1674" s="109">
        <f t="shared" ref="AG1674:AG1677" si="2557">IF(N1674&lt;0,N1674,0)</f>
        <v>0</v>
      </c>
      <c r="AH1674" s="100">
        <f t="shared" ref="AH1674:AH1677" si="2558">(S1674-F1674)/F1674</f>
        <v>-1</v>
      </c>
      <c r="AI1674" s="100">
        <f t="shared" ref="AI1674:AI1677" si="2559">(W1674-F1674)/F1674</f>
        <v>1.2663398692810458E-2</v>
      </c>
    </row>
    <row r="1675" spans="1:35" s="47" customFormat="1" ht="21" customHeight="1" x14ac:dyDescent="0.3">
      <c r="A1675" s="78"/>
      <c r="B1675" s="106" t="s">
        <v>51</v>
      </c>
      <c r="C1675" s="117">
        <v>48173</v>
      </c>
      <c r="D1675" s="300"/>
      <c r="E1675" s="131" t="s">
        <v>0</v>
      </c>
      <c r="F1675" s="66">
        <v>2598</v>
      </c>
      <c r="G1675" s="66"/>
      <c r="H1675" s="66"/>
      <c r="I1675" s="66"/>
      <c r="J1675" s="66"/>
      <c r="K1675" s="78"/>
      <c r="L1675" s="66"/>
      <c r="M1675" s="66">
        <f>920+408+390+920</f>
        <v>2638</v>
      </c>
      <c r="N1675" s="110">
        <f t="shared" ref="N1675" si="2560">M1675-F1675</f>
        <v>40</v>
      </c>
      <c r="O1675" s="110"/>
      <c r="P1675" s="66"/>
      <c r="Q1675" s="66"/>
      <c r="R1675" s="66"/>
      <c r="S1675" s="66"/>
      <c r="T1675" s="110">
        <f t="shared" ref="T1675" si="2561">S1675-Q1675</f>
        <v>0</v>
      </c>
      <c r="U1675" s="59">
        <f t="shared" si="2555"/>
        <v>0</v>
      </c>
      <c r="V1675" s="66"/>
      <c r="W1675" s="66">
        <v>2638</v>
      </c>
      <c r="X1675" s="110">
        <f t="shared" ref="X1675" si="2562">W1675-M1675</f>
        <v>0</v>
      </c>
      <c r="Y1675" s="110"/>
      <c r="Z1675" s="110"/>
      <c r="AA1675" s="110"/>
      <c r="AB1675" s="46"/>
      <c r="AC1675" s="78"/>
      <c r="AD1675" s="78"/>
      <c r="AE1675" s="100">
        <f t="shared" ref="AE1675" si="2563">N1675/F1675</f>
        <v>1.5396458814472672E-2</v>
      </c>
      <c r="AF1675" s="90"/>
      <c r="AG1675" s="109">
        <f t="shared" ref="AG1675" si="2564">IF(N1675&lt;0,N1675,0)</f>
        <v>0</v>
      </c>
      <c r="AH1675" s="100">
        <f t="shared" ref="AH1675" si="2565">(S1675-F1675)/F1675</f>
        <v>-1</v>
      </c>
      <c r="AI1675" s="100">
        <f t="shared" ref="AI1675" si="2566">(W1675-F1675)/F1675</f>
        <v>1.5396458814472672E-2</v>
      </c>
    </row>
    <row r="1676" spans="1:35" s="47" customFormat="1" ht="21" customHeight="1" x14ac:dyDescent="0.3">
      <c r="A1676" s="78"/>
      <c r="B1676" s="106" t="s">
        <v>51</v>
      </c>
      <c r="C1676" s="117">
        <v>48173</v>
      </c>
      <c r="D1676" s="300"/>
      <c r="E1676" s="131" t="s">
        <v>233</v>
      </c>
      <c r="F1676" s="66">
        <v>2448</v>
      </c>
      <c r="G1676" s="66"/>
      <c r="H1676" s="66"/>
      <c r="I1676" s="66"/>
      <c r="J1676" s="66"/>
      <c r="K1676" s="78"/>
      <c r="L1676" s="66"/>
      <c r="M1676" s="66"/>
      <c r="N1676" s="110">
        <f t="shared" ref="N1676" si="2567">M1676-F1676</f>
        <v>-2448</v>
      </c>
      <c r="O1676" s="110"/>
      <c r="P1676" s="66"/>
      <c r="Q1676" s="66"/>
      <c r="R1676" s="66"/>
      <c r="S1676" s="66"/>
      <c r="T1676" s="110">
        <f t="shared" ref="T1676" si="2568">S1676-Q1676</f>
        <v>0</v>
      </c>
      <c r="U1676" s="59">
        <f t="shared" si="2555"/>
        <v>0</v>
      </c>
      <c r="V1676" s="66"/>
      <c r="W1676" s="66"/>
      <c r="X1676" s="110">
        <f t="shared" ref="X1676" si="2569">W1676-M1676</f>
        <v>0</v>
      </c>
      <c r="Y1676" s="110"/>
      <c r="Z1676" s="110"/>
      <c r="AA1676" s="110"/>
      <c r="AB1676" s="46"/>
      <c r="AC1676" s="78"/>
      <c r="AD1676" s="78"/>
      <c r="AE1676" s="100">
        <f t="shared" ref="AE1676" si="2570">N1676/F1676</f>
        <v>-1</v>
      </c>
      <c r="AF1676" s="90"/>
      <c r="AG1676" s="109">
        <f t="shared" ref="AG1676" si="2571">IF(N1676&lt;0,N1676,0)</f>
        <v>-2448</v>
      </c>
      <c r="AH1676" s="100">
        <f t="shared" ref="AH1676" si="2572">(S1676-F1676)/F1676</f>
        <v>-1</v>
      </c>
      <c r="AI1676" s="100">
        <f t="shared" ref="AI1676" si="2573">(W1676-F1676)/F1676</f>
        <v>-1</v>
      </c>
    </row>
    <row r="1677" spans="1:35" s="79" customFormat="1" ht="15.75" customHeight="1" x14ac:dyDescent="0.3">
      <c r="A1677" s="90" t="s">
        <v>46</v>
      </c>
      <c r="B1677" s="136" t="s">
        <v>51</v>
      </c>
      <c r="C1677" s="137"/>
      <c r="D1677" s="136"/>
      <c r="E1677" s="138"/>
      <c r="F1677" s="91">
        <f>SUM(F1674:F1676)</f>
        <v>7494</v>
      </c>
      <c r="G1677" s="91"/>
      <c r="H1677" s="91"/>
      <c r="I1677" s="91"/>
      <c r="J1677" s="91" t="s">
        <v>59</v>
      </c>
      <c r="K1677" s="65" t="s">
        <v>410</v>
      </c>
      <c r="L1677" s="91">
        <f>SUM(L1674:L1676)</f>
        <v>0</v>
      </c>
      <c r="M1677" s="91">
        <f>SUM(M1674:M1676)</f>
        <v>5117</v>
      </c>
      <c r="N1677" s="91">
        <f>SUM(N1674:N1676)</f>
        <v>-2377</v>
      </c>
      <c r="O1677" s="91"/>
      <c r="P1677" s="91">
        <f>SUM(P1674:P1676)</f>
        <v>0</v>
      </c>
      <c r="Q1677" s="91">
        <f>SUM(Q1674:Q1676)</f>
        <v>0</v>
      </c>
      <c r="R1677" s="91">
        <f>SUM(R1674:R1676)</f>
        <v>0</v>
      </c>
      <c r="S1677" s="91">
        <f>SUM(S1674:S1676)</f>
        <v>0</v>
      </c>
      <c r="T1677" s="91">
        <f>SUM(T1674:T1676)</f>
        <v>0</v>
      </c>
      <c r="U1677" s="59">
        <f t="shared" si="2555"/>
        <v>0</v>
      </c>
      <c r="V1677" s="91">
        <f>SUM(V1674:V1676)</f>
        <v>0</v>
      </c>
      <c r="W1677" s="91">
        <f>SUM(W1674:W1676)</f>
        <v>5117</v>
      </c>
      <c r="X1677" s="91">
        <f>SUM(X1674:X1676)</f>
        <v>0</v>
      </c>
      <c r="Y1677" s="136"/>
      <c r="Z1677" s="136"/>
      <c r="AA1677" s="136"/>
      <c r="AB1677" s="84"/>
      <c r="AC1677" s="90"/>
      <c r="AD1677" s="90"/>
      <c r="AE1677" s="100">
        <f t="shared" si="2556"/>
        <v>-0.31718708299973314</v>
      </c>
      <c r="AF1677" s="90"/>
      <c r="AG1677" s="109">
        <f t="shared" si="2557"/>
        <v>-2377</v>
      </c>
      <c r="AH1677" s="100">
        <f t="shared" si="2558"/>
        <v>-1</v>
      </c>
      <c r="AI1677" s="100">
        <f t="shared" si="2559"/>
        <v>-0.31718708299973314</v>
      </c>
    </row>
    <row r="1678" spans="1:35" s="47" customFormat="1" ht="21" customHeight="1" x14ac:dyDescent="0.3">
      <c r="A1678" s="78"/>
      <c r="B1678" s="106" t="s">
        <v>51</v>
      </c>
      <c r="C1678" s="117" t="s">
        <v>613</v>
      </c>
      <c r="D1678" s="299">
        <v>15370927</v>
      </c>
      <c r="E1678" s="131" t="s">
        <v>614</v>
      </c>
      <c r="F1678" s="66">
        <v>1244</v>
      </c>
      <c r="G1678" s="66"/>
      <c r="H1678" s="66"/>
      <c r="I1678" s="66"/>
      <c r="J1678" s="66"/>
      <c r="K1678" s="78"/>
      <c r="L1678" s="66"/>
      <c r="M1678" s="66">
        <f>1053+224</f>
        <v>1277</v>
      </c>
      <c r="N1678" s="110">
        <f t="shared" ref="N1678:N1680" si="2574">M1678-F1678</f>
        <v>33</v>
      </c>
      <c r="O1678" s="110"/>
      <c r="P1678" s="66"/>
      <c r="Q1678" s="66">
        <v>1277</v>
      </c>
      <c r="R1678" s="66"/>
      <c r="S1678" s="66">
        <v>1277</v>
      </c>
      <c r="T1678" s="110">
        <f>S1678-Q1678</f>
        <v>0</v>
      </c>
      <c r="U1678" s="59">
        <f t="shared" ref="U1678:U2165" si="2575">IF(Q1678&gt;0,S1678-W1678,M1678-W1678)</f>
        <v>1</v>
      </c>
      <c r="V1678" s="66"/>
      <c r="W1678" s="66">
        <v>1276</v>
      </c>
      <c r="X1678" s="110">
        <f>W1678-M1678</f>
        <v>-1</v>
      </c>
      <c r="Y1678" s="110"/>
      <c r="Z1678" s="110"/>
      <c r="AA1678" s="110"/>
      <c r="AB1678" s="46"/>
      <c r="AC1678" s="78"/>
      <c r="AD1678" s="78"/>
      <c r="AE1678" s="100">
        <f t="shared" ref="AE1678:AE1688" si="2576">N1678/F1678</f>
        <v>2.652733118971061E-2</v>
      </c>
      <c r="AF1678" s="90"/>
      <c r="AG1678" s="109">
        <f t="shared" ref="AG1678:AG1688" si="2577">IF(N1678&lt;0,N1678,0)</f>
        <v>0</v>
      </c>
      <c r="AH1678" s="100">
        <f t="shared" ref="AH1678:AH1688" si="2578">(S1678-F1678)/F1678</f>
        <v>2.652733118971061E-2</v>
      </c>
      <c r="AI1678" s="100">
        <f t="shared" ref="AI1678:AI1688" si="2579">(W1678-F1678)/F1678</f>
        <v>2.5723472668810289E-2</v>
      </c>
    </row>
    <row r="1679" spans="1:35" s="47" customFormat="1" ht="21" customHeight="1" x14ac:dyDescent="0.3">
      <c r="A1679" s="78"/>
      <c r="B1679" s="106" t="s">
        <v>51</v>
      </c>
      <c r="C1679" s="117" t="s">
        <v>613</v>
      </c>
      <c r="D1679" s="300"/>
      <c r="E1679" s="131" t="s">
        <v>615</v>
      </c>
      <c r="F1679" s="66">
        <v>854</v>
      </c>
      <c r="G1679" s="66"/>
      <c r="H1679" s="66"/>
      <c r="I1679" s="66"/>
      <c r="J1679" s="66"/>
      <c r="K1679" s="78"/>
      <c r="L1679" s="66"/>
      <c r="M1679" s="66">
        <v>880</v>
      </c>
      <c r="N1679" s="110">
        <f t="shared" ref="N1679" si="2580">M1679-F1679</f>
        <v>26</v>
      </c>
      <c r="O1679" s="110"/>
      <c r="P1679" s="66"/>
      <c r="Q1679" s="66">
        <v>880</v>
      </c>
      <c r="R1679" s="66"/>
      <c r="S1679" s="66">
        <v>880</v>
      </c>
      <c r="T1679" s="110">
        <f t="shared" ref="T1679" si="2581">S1679-Q1679</f>
        <v>0</v>
      </c>
      <c r="U1679" s="59">
        <f t="shared" ref="U1679" si="2582">IF(Q1679&gt;0,S1679-W1679,M1679-W1679)</f>
        <v>880</v>
      </c>
      <c r="V1679" s="66"/>
      <c r="W1679" s="66"/>
      <c r="X1679" s="110">
        <f t="shared" ref="X1679" si="2583">W1679-M1679</f>
        <v>-880</v>
      </c>
      <c r="Y1679" s="110"/>
      <c r="Z1679" s="110"/>
      <c r="AA1679" s="110"/>
      <c r="AB1679" s="46"/>
      <c r="AC1679" s="78"/>
      <c r="AD1679" s="78"/>
      <c r="AE1679" s="100">
        <f t="shared" ref="AE1679" si="2584">N1679/F1679</f>
        <v>3.0444964871194378E-2</v>
      </c>
      <c r="AF1679" s="90"/>
      <c r="AG1679" s="109">
        <f t="shared" ref="AG1679" si="2585">IF(N1679&lt;0,N1679,0)</f>
        <v>0</v>
      </c>
      <c r="AH1679" s="100">
        <f t="shared" ref="AH1679" si="2586">(S1679-F1679)/F1679</f>
        <v>3.0444964871194378E-2</v>
      </c>
      <c r="AI1679" s="100">
        <f t="shared" ref="AI1679" si="2587">(W1679-F1679)/F1679</f>
        <v>-1</v>
      </c>
    </row>
    <row r="1680" spans="1:35" s="47" customFormat="1" ht="21" customHeight="1" x14ac:dyDescent="0.3">
      <c r="A1680" s="78"/>
      <c r="B1680" s="106" t="s">
        <v>51</v>
      </c>
      <c r="C1680" s="117" t="s">
        <v>613</v>
      </c>
      <c r="D1680" s="300"/>
      <c r="E1680" s="131" t="s">
        <v>181</v>
      </c>
      <c r="F1680" s="66">
        <v>1169</v>
      </c>
      <c r="G1680" s="66"/>
      <c r="H1680" s="66"/>
      <c r="I1680" s="66"/>
      <c r="J1680" s="66"/>
      <c r="K1680" s="78"/>
      <c r="L1680" s="66"/>
      <c r="M1680" s="66">
        <v>1208</v>
      </c>
      <c r="N1680" s="110">
        <f t="shared" si="2574"/>
        <v>39</v>
      </c>
      <c r="O1680" s="110"/>
      <c r="P1680" s="66"/>
      <c r="Q1680" s="66">
        <v>1208</v>
      </c>
      <c r="R1680" s="66"/>
      <c r="S1680" s="66">
        <v>1208</v>
      </c>
      <c r="T1680" s="110">
        <f t="shared" ref="T1680" si="2588">S1680-Q1680</f>
        <v>0</v>
      </c>
      <c r="U1680" s="59">
        <f t="shared" si="2575"/>
        <v>0</v>
      </c>
      <c r="V1680" s="66"/>
      <c r="W1680" s="66">
        <v>1208</v>
      </c>
      <c r="X1680" s="110">
        <f t="shared" ref="X1680" si="2589">W1680-M1680</f>
        <v>0</v>
      </c>
      <c r="Y1680" s="110"/>
      <c r="Z1680" s="110"/>
      <c r="AA1680" s="110"/>
      <c r="AB1680" s="46"/>
      <c r="AC1680" s="78"/>
      <c r="AD1680" s="78"/>
      <c r="AE1680" s="100">
        <f t="shared" si="2576"/>
        <v>3.3361847733105215E-2</v>
      </c>
      <c r="AF1680" s="90"/>
      <c r="AG1680" s="109">
        <f t="shared" si="2577"/>
        <v>0</v>
      </c>
      <c r="AH1680" s="100">
        <f t="shared" si="2578"/>
        <v>3.3361847733105215E-2</v>
      </c>
      <c r="AI1680" s="100">
        <f t="shared" si="2579"/>
        <v>3.3361847733105215E-2</v>
      </c>
    </row>
    <row r="1681" spans="1:35" s="79" customFormat="1" ht="15.75" customHeight="1" x14ac:dyDescent="0.3">
      <c r="A1681" s="90" t="s">
        <v>46</v>
      </c>
      <c r="B1681" s="136" t="s">
        <v>51</v>
      </c>
      <c r="C1681" s="137"/>
      <c r="D1681" s="136"/>
      <c r="E1681" s="138"/>
      <c r="F1681" s="91">
        <f>SUM(F1678:F1680)</f>
        <v>3267</v>
      </c>
      <c r="G1681" s="91"/>
      <c r="H1681" s="91"/>
      <c r="I1681" s="91"/>
      <c r="J1681" s="91" t="s">
        <v>59</v>
      </c>
      <c r="K1681" s="65" t="s">
        <v>609</v>
      </c>
      <c r="L1681" s="91">
        <f>SUM(L1678:L1680)</f>
        <v>0</v>
      </c>
      <c r="M1681" s="91">
        <f>SUM(M1678:M1680)</f>
        <v>3365</v>
      </c>
      <c r="N1681" s="91">
        <f>SUM(N1678:N1680)</f>
        <v>98</v>
      </c>
      <c r="O1681" s="91" t="s">
        <v>175</v>
      </c>
      <c r="P1681" s="91">
        <f>SUM(P1678:P1680)</f>
        <v>0</v>
      </c>
      <c r="Q1681" s="91">
        <f>SUM(Q1678:Q1680)</f>
        <v>3365</v>
      </c>
      <c r="R1681" s="91">
        <f>SUM(R1678:R1680)</f>
        <v>0</v>
      </c>
      <c r="S1681" s="91">
        <f>SUM(S1678:S1680)</f>
        <v>3365</v>
      </c>
      <c r="T1681" s="91">
        <f>SUM(T1678:T1680)</f>
        <v>0</v>
      </c>
      <c r="U1681" s="59">
        <f t="shared" si="2575"/>
        <v>881</v>
      </c>
      <c r="V1681" s="91">
        <f>SUM(V1678:V1680)</f>
        <v>0</v>
      </c>
      <c r="W1681" s="91">
        <f>SUM(W1678:W1680)</f>
        <v>2484</v>
      </c>
      <c r="X1681" s="91">
        <f>SUM(X1678:X1680)</f>
        <v>-881</v>
      </c>
      <c r="Y1681" s="136" t="s">
        <v>47</v>
      </c>
      <c r="Z1681" s="136" t="s">
        <v>45</v>
      </c>
      <c r="AA1681" s="136"/>
      <c r="AB1681" s="84"/>
      <c r="AC1681" s="90"/>
      <c r="AD1681" s="90"/>
      <c r="AE1681" s="100">
        <f t="shared" si="2576"/>
        <v>2.999693908784818E-2</v>
      </c>
      <c r="AF1681" s="90"/>
      <c r="AG1681" s="109">
        <f t="shared" si="2577"/>
        <v>0</v>
      </c>
      <c r="AH1681" s="100">
        <f t="shared" si="2578"/>
        <v>2.999693908784818E-2</v>
      </c>
      <c r="AI1681" s="100">
        <f t="shared" si="2579"/>
        <v>-0.23966942148760331</v>
      </c>
    </row>
    <row r="1682" spans="1:35" s="47" customFormat="1" ht="21" customHeight="1" x14ac:dyDescent="0.3">
      <c r="A1682" s="78"/>
      <c r="B1682" s="106" t="s">
        <v>51</v>
      </c>
      <c r="C1682" s="117" t="s">
        <v>669</v>
      </c>
      <c r="D1682" s="299">
        <v>15288473</v>
      </c>
      <c r="E1682" s="244" t="s">
        <v>292</v>
      </c>
      <c r="F1682" s="92">
        <v>11601</v>
      </c>
      <c r="G1682" s="66"/>
      <c r="H1682" s="66"/>
      <c r="I1682" s="66"/>
      <c r="J1682" s="66"/>
      <c r="K1682" s="78"/>
      <c r="L1682" s="66"/>
      <c r="M1682" s="66">
        <f>900+1543+1107+500+1155+1035+900+2484+1404+259+513</f>
        <v>11800</v>
      </c>
      <c r="N1682" s="110">
        <f t="shared" ref="N1682:N1687" si="2590">M1682-F1682</f>
        <v>199</v>
      </c>
      <c r="O1682" s="110"/>
      <c r="P1682" s="66"/>
      <c r="Q1682" s="66">
        <f>900+2097+1053+1155+1035+900+2509+747+1404</f>
        <v>11800</v>
      </c>
      <c r="R1682" s="66"/>
      <c r="S1682" s="66"/>
      <c r="T1682" s="110">
        <f>S1682-Q1682</f>
        <v>-11800</v>
      </c>
      <c r="U1682" s="59">
        <f t="shared" si="2575"/>
        <v>0</v>
      </c>
      <c r="V1682" s="66"/>
      <c r="W1682" s="66"/>
      <c r="X1682" s="110">
        <f>W1682-M1682</f>
        <v>-11800</v>
      </c>
      <c r="Y1682" s="110"/>
      <c r="Z1682" s="110"/>
      <c r="AA1682" s="110"/>
      <c r="AB1682" s="46"/>
      <c r="AC1682" s="78"/>
      <c r="AD1682" s="78"/>
      <c r="AE1682" s="100">
        <f t="shared" si="2576"/>
        <v>1.7153693647099389E-2</v>
      </c>
      <c r="AF1682" s="90"/>
      <c r="AG1682" s="109">
        <f t="shared" si="2577"/>
        <v>0</v>
      </c>
      <c r="AH1682" s="100">
        <f t="shared" si="2578"/>
        <v>-1</v>
      </c>
      <c r="AI1682" s="100">
        <f t="shared" si="2579"/>
        <v>-1</v>
      </c>
    </row>
    <row r="1683" spans="1:35" s="47" customFormat="1" ht="21" customHeight="1" x14ac:dyDescent="0.3">
      <c r="A1683" s="78"/>
      <c r="B1683" s="106" t="s">
        <v>51</v>
      </c>
      <c r="C1683" s="117" t="s">
        <v>669</v>
      </c>
      <c r="D1683" s="300"/>
      <c r="E1683" s="244" t="s">
        <v>595</v>
      </c>
      <c r="F1683" s="92">
        <v>960</v>
      </c>
      <c r="G1683" s="66"/>
      <c r="H1683" s="66"/>
      <c r="I1683" s="66"/>
      <c r="J1683" s="66"/>
      <c r="K1683" s="78"/>
      <c r="L1683" s="66"/>
      <c r="M1683" s="66">
        <f>996</f>
        <v>996</v>
      </c>
      <c r="N1683" s="110">
        <f t="shared" si="2590"/>
        <v>36</v>
      </c>
      <c r="O1683" s="110"/>
      <c r="P1683" s="66"/>
      <c r="Q1683" s="66">
        <v>996</v>
      </c>
      <c r="R1683" s="66"/>
      <c r="S1683" s="66"/>
      <c r="T1683" s="110">
        <f t="shared" ref="T1683" si="2591">S1683-Q1683</f>
        <v>-996</v>
      </c>
      <c r="U1683" s="59">
        <f t="shared" si="2575"/>
        <v>0</v>
      </c>
      <c r="V1683" s="66"/>
      <c r="W1683" s="66"/>
      <c r="X1683" s="110">
        <f t="shared" ref="X1683" si="2592">W1683-M1683</f>
        <v>-996</v>
      </c>
      <c r="Y1683" s="110"/>
      <c r="Z1683" s="110"/>
      <c r="AA1683" s="110"/>
      <c r="AB1683" s="46"/>
      <c r="AC1683" s="78"/>
      <c r="AD1683" s="78"/>
      <c r="AE1683" s="100">
        <f t="shared" si="2576"/>
        <v>3.7499999999999999E-2</v>
      </c>
      <c r="AF1683" s="90"/>
      <c r="AG1683" s="109">
        <f t="shared" si="2577"/>
        <v>0</v>
      </c>
      <c r="AH1683" s="100">
        <f t="shared" si="2578"/>
        <v>-1</v>
      </c>
      <c r="AI1683" s="100">
        <f t="shared" si="2579"/>
        <v>-1</v>
      </c>
    </row>
    <row r="1684" spans="1:35" s="47" customFormat="1" ht="21" customHeight="1" x14ac:dyDescent="0.3">
      <c r="A1684" s="78"/>
      <c r="B1684" s="106" t="s">
        <v>51</v>
      </c>
      <c r="C1684" s="117" t="s">
        <v>669</v>
      </c>
      <c r="D1684" s="300"/>
      <c r="E1684" s="244" t="s">
        <v>596</v>
      </c>
      <c r="F1684" s="92">
        <v>270</v>
      </c>
      <c r="G1684" s="66"/>
      <c r="H1684" s="66"/>
      <c r="I1684" s="66"/>
      <c r="J1684" s="66"/>
      <c r="K1684" s="78"/>
      <c r="L1684" s="66"/>
      <c r="M1684" s="66">
        <f>192+96</f>
        <v>288</v>
      </c>
      <c r="N1684" s="110">
        <f t="shared" ref="N1684" si="2593">M1684-F1684</f>
        <v>18</v>
      </c>
      <c r="O1684" s="110"/>
      <c r="P1684" s="66"/>
      <c r="Q1684" s="66">
        <v>288</v>
      </c>
      <c r="R1684" s="66"/>
      <c r="S1684" s="66"/>
      <c r="T1684" s="110">
        <f t="shared" ref="T1684" si="2594">S1684-Q1684</f>
        <v>-288</v>
      </c>
      <c r="U1684" s="59">
        <f t="shared" ref="U1684" si="2595">IF(Q1684&gt;0,S1684-W1684,M1684-W1684)</f>
        <v>0</v>
      </c>
      <c r="V1684" s="66"/>
      <c r="W1684" s="66"/>
      <c r="X1684" s="110">
        <f t="shared" ref="X1684" si="2596">W1684-M1684</f>
        <v>-288</v>
      </c>
      <c r="Y1684" s="110"/>
      <c r="Z1684" s="110"/>
      <c r="AA1684" s="110"/>
      <c r="AB1684" s="46"/>
      <c r="AC1684" s="78"/>
      <c r="AD1684" s="78"/>
      <c r="AE1684" s="100">
        <f t="shared" ref="AE1684" si="2597">N1684/F1684</f>
        <v>6.6666666666666666E-2</v>
      </c>
      <c r="AF1684" s="90"/>
      <c r="AG1684" s="109">
        <f t="shared" ref="AG1684" si="2598">IF(N1684&lt;0,N1684,0)</f>
        <v>0</v>
      </c>
      <c r="AH1684" s="100">
        <f t="shared" ref="AH1684" si="2599">(S1684-F1684)/F1684</f>
        <v>-1</v>
      </c>
      <c r="AI1684" s="100">
        <f t="shared" ref="AI1684" si="2600">(W1684-F1684)/F1684</f>
        <v>-1</v>
      </c>
    </row>
    <row r="1685" spans="1:35" s="47" customFormat="1" ht="21" customHeight="1" x14ac:dyDescent="0.3">
      <c r="A1685" s="78"/>
      <c r="B1685" s="106" t="s">
        <v>51</v>
      </c>
      <c r="C1685" s="117" t="s">
        <v>669</v>
      </c>
      <c r="D1685" s="300"/>
      <c r="E1685" s="244" t="s">
        <v>597</v>
      </c>
      <c r="F1685" s="92">
        <v>120</v>
      </c>
      <c r="G1685" s="66"/>
      <c r="H1685" s="66"/>
      <c r="I1685" s="66"/>
      <c r="J1685" s="66"/>
      <c r="K1685" s="78"/>
      <c r="L1685" s="66"/>
      <c r="M1685" s="66">
        <f>84+60</f>
        <v>144</v>
      </c>
      <c r="N1685" s="110">
        <f t="shared" si="2590"/>
        <v>24</v>
      </c>
      <c r="O1685" s="110"/>
      <c r="P1685" s="66"/>
      <c r="Q1685" s="66">
        <v>144</v>
      </c>
      <c r="R1685" s="66"/>
      <c r="S1685" s="66"/>
      <c r="T1685" s="110">
        <f t="shared" ref="T1685:T1687" si="2601">S1685-Q1685</f>
        <v>-144</v>
      </c>
      <c r="U1685" s="59">
        <f t="shared" si="2575"/>
        <v>0</v>
      </c>
      <c r="V1685" s="66"/>
      <c r="W1685" s="66"/>
      <c r="X1685" s="110">
        <f t="shared" ref="X1685:X1687" si="2602">W1685-M1685</f>
        <v>-144</v>
      </c>
      <c r="Y1685" s="110"/>
      <c r="Z1685" s="110"/>
      <c r="AA1685" s="110"/>
      <c r="AB1685" s="46"/>
      <c r="AC1685" s="78"/>
      <c r="AD1685" s="78"/>
      <c r="AE1685" s="100">
        <f t="shared" si="2576"/>
        <v>0.2</v>
      </c>
      <c r="AF1685" s="90"/>
      <c r="AG1685" s="109">
        <f t="shared" si="2577"/>
        <v>0</v>
      </c>
      <c r="AH1685" s="100">
        <f t="shared" si="2578"/>
        <v>-1</v>
      </c>
      <c r="AI1685" s="100">
        <f t="shared" si="2579"/>
        <v>-1</v>
      </c>
    </row>
    <row r="1686" spans="1:35" s="47" customFormat="1" ht="21" customHeight="1" x14ac:dyDescent="0.3">
      <c r="A1686" s="78"/>
      <c r="B1686" s="106" t="s">
        <v>51</v>
      </c>
      <c r="C1686" s="117" t="s">
        <v>669</v>
      </c>
      <c r="D1686" s="300"/>
      <c r="E1686" s="244" t="s">
        <v>598</v>
      </c>
      <c r="F1686" s="92">
        <v>10020</v>
      </c>
      <c r="G1686" s="66"/>
      <c r="H1686" s="66"/>
      <c r="I1686" s="66"/>
      <c r="J1686" s="66"/>
      <c r="K1686" s="78"/>
      <c r="L1686" s="66"/>
      <c r="M1686" s="66">
        <f>1152+408+2043+600+1179+918+2700+1332</f>
        <v>10332</v>
      </c>
      <c r="N1686" s="110">
        <f t="shared" ref="N1686" si="2603">M1686-F1686</f>
        <v>312</v>
      </c>
      <c r="O1686" s="110"/>
      <c r="P1686" s="66"/>
      <c r="Q1686" s="66">
        <f>1152+1008+1035+1008+1179+918+1800+2232</f>
        <v>10332</v>
      </c>
      <c r="R1686" s="66"/>
      <c r="S1686" s="66">
        <f>1134+999+1025+997+1162+873+873+890+1813+566</f>
        <v>10332</v>
      </c>
      <c r="T1686" s="110">
        <f t="shared" ref="T1686" si="2604">S1686-Q1686</f>
        <v>0</v>
      </c>
      <c r="U1686" s="59">
        <f t="shared" ref="U1686" si="2605">IF(Q1686&gt;0,S1686-W1686,M1686-W1686)</f>
        <v>133</v>
      </c>
      <c r="V1686" s="66"/>
      <c r="W1686" s="66">
        <f>5336+1314+3549</f>
        <v>10199</v>
      </c>
      <c r="X1686" s="110">
        <f t="shared" ref="X1686" si="2606">W1686-M1686</f>
        <v>-133</v>
      </c>
      <c r="Y1686" s="110"/>
      <c r="Z1686" s="110"/>
      <c r="AA1686" s="110"/>
      <c r="AB1686" s="46"/>
      <c r="AC1686" s="78"/>
      <c r="AD1686" s="78"/>
      <c r="AE1686" s="100">
        <f t="shared" ref="AE1686" si="2607">N1686/F1686</f>
        <v>3.1137724550898204E-2</v>
      </c>
      <c r="AF1686" s="90"/>
      <c r="AG1686" s="109">
        <f t="shared" ref="AG1686" si="2608">IF(N1686&lt;0,N1686,0)</f>
        <v>0</v>
      </c>
      <c r="AH1686" s="100">
        <f t="shared" ref="AH1686" si="2609">(S1686-F1686)/F1686</f>
        <v>3.1137724550898204E-2</v>
      </c>
      <c r="AI1686" s="100">
        <f t="shared" ref="AI1686" si="2610">(W1686-F1686)/F1686</f>
        <v>1.7864271457085829E-2</v>
      </c>
    </row>
    <row r="1687" spans="1:35" s="47" customFormat="1" ht="21" customHeight="1" x14ac:dyDescent="0.3">
      <c r="A1687" s="78"/>
      <c r="B1687" s="106" t="s">
        <v>51</v>
      </c>
      <c r="C1687" s="117" t="s">
        <v>669</v>
      </c>
      <c r="D1687" s="300"/>
      <c r="E1687" s="244" t="s">
        <v>599</v>
      </c>
      <c r="F1687" s="92">
        <v>8607</v>
      </c>
      <c r="G1687" s="66"/>
      <c r="H1687" s="66"/>
      <c r="I1687" s="66"/>
      <c r="J1687" s="66"/>
      <c r="K1687" s="78"/>
      <c r="L1687" s="66">
        <f>1070+1350+500+1615+675</f>
        <v>5210</v>
      </c>
      <c r="M1687" s="66">
        <f>900+1070+1350+500+1615+675</f>
        <v>6110</v>
      </c>
      <c r="N1687" s="110">
        <f t="shared" si="2590"/>
        <v>-2497</v>
      </c>
      <c r="O1687" s="110"/>
      <c r="P1687" s="66">
        <f>1070+675+3465</f>
        <v>5210</v>
      </c>
      <c r="Q1687" s="66">
        <f>900+1070+675+3465</f>
        <v>6110</v>
      </c>
      <c r="R1687" s="66"/>
      <c r="S1687" s="66"/>
      <c r="T1687" s="110">
        <f t="shared" si="2601"/>
        <v>-6110</v>
      </c>
      <c r="U1687" s="59">
        <f t="shared" si="2575"/>
        <v>0</v>
      </c>
      <c r="V1687" s="66"/>
      <c r="W1687" s="66"/>
      <c r="X1687" s="110">
        <f t="shared" si="2602"/>
        <v>-6110</v>
      </c>
      <c r="Y1687" s="110"/>
      <c r="Z1687" s="110"/>
      <c r="AA1687" s="110"/>
      <c r="AB1687" s="46"/>
      <c r="AC1687" s="78"/>
      <c r="AD1687" s="78"/>
      <c r="AE1687" s="100">
        <f t="shared" si="2576"/>
        <v>-0.29011269896595793</v>
      </c>
      <c r="AF1687" s="90"/>
      <c r="AG1687" s="109">
        <f t="shared" si="2577"/>
        <v>-2497</v>
      </c>
      <c r="AH1687" s="100">
        <f t="shared" si="2578"/>
        <v>-1</v>
      </c>
      <c r="AI1687" s="100">
        <f t="shared" si="2579"/>
        <v>-1</v>
      </c>
    </row>
    <row r="1688" spans="1:35" s="79" customFormat="1" ht="15.75" customHeight="1" x14ac:dyDescent="0.3">
      <c r="A1688" s="90" t="s">
        <v>46</v>
      </c>
      <c r="B1688" s="136" t="s">
        <v>51</v>
      </c>
      <c r="C1688" s="137"/>
      <c r="D1688" s="136"/>
      <c r="E1688" s="138"/>
      <c r="F1688" s="91">
        <f>SUM(F1682:F1687)</f>
        <v>31578</v>
      </c>
      <c r="G1688" s="91"/>
      <c r="H1688" s="91"/>
      <c r="I1688" s="91"/>
      <c r="J1688" s="91" t="s">
        <v>60</v>
      </c>
      <c r="K1688" s="65" t="s">
        <v>594</v>
      </c>
      <c r="L1688" s="91">
        <f>SUM(L1682:L1687)</f>
        <v>5210</v>
      </c>
      <c r="M1688" s="91">
        <f>SUM(M1682:M1687)</f>
        <v>29670</v>
      </c>
      <c r="N1688" s="91">
        <f>SUM(N1682:N1687)</f>
        <v>-1908</v>
      </c>
      <c r="O1688" s="91" t="s">
        <v>566</v>
      </c>
      <c r="P1688" s="91">
        <f>SUM(P1682:P1687)</f>
        <v>5210</v>
      </c>
      <c r="Q1688" s="91">
        <f>SUM(Q1682:Q1687)</f>
        <v>29670</v>
      </c>
      <c r="R1688" s="91">
        <f>SUM(R1682:R1687)</f>
        <v>0</v>
      </c>
      <c r="S1688" s="91">
        <f>SUM(S1682:S1687)</f>
        <v>10332</v>
      </c>
      <c r="T1688" s="91">
        <f>SUM(T1682:T1687)</f>
        <v>-19338</v>
      </c>
      <c r="U1688" s="59">
        <f t="shared" si="2575"/>
        <v>133</v>
      </c>
      <c r="V1688" s="91">
        <f>SUM(V1682:V1687)</f>
        <v>0</v>
      </c>
      <c r="W1688" s="91">
        <f>SUM(W1682:W1687)</f>
        <v>10199</v>
      </c>
      <c r="X1688" s="91">
        <f>SUM(X1682:X1687)</f>
        <v>-19471</v>
      </c>
      <c r="Y1688" s="136" t="s">
        <v>48</v>
      </c>
      <c r="Z1688" s="136" t="s">
        <v>45</v>
      </c>
      <c r="AA1688" s="136"/>
      <c r="AB1688" s="84"/>
      <c r="AC1688" s="90"/>
      <c r="AD1688" s="90"/>
      <c r="AE1688" s="100">
        <f t="shared" si="2576"/>
        <v>-6.0421812654379632E-2</v>
      </c>
      <c r="AF1688" s="90"/>
      <c r="AG1688" s="109">
        <f t="shared" si="2577"/>
        <v>-1908</v>
      </c>
      <c r="AH1688" s="100">
        <f t="shared" si="2578"/>
        <v>-0.67281018430552919</v>
      </c>
      <c r="AI1688" s="100">
        <f t="shared" si="2579"/>
        <v>-0.67702197732598646</v>
      </c>
    </row>
    <row r="1689" spans="1:35" s="47" customFormat="1" ht="21" customHeight="1" x14ac:dyDescent="0.3">
      <c r="A1689" s="78"/>
      <c r="B1689" s="106" t="s">
        <v>51</v>
      </c>
      <c r="C1689" s="117">
        <v>47652</v>
      </c>
      <c r="D1689" s="299">
        <v>15384864</v>
      </c>
      <c r="E1689" s="131" t="s">
        <v>49</v>
      </c>
      <c r="F1689" s="66">
        <v>230</v>
      </c>
      <c r="G1689" s="66"/>
      <c r="H1689" s="66"/>
      <c r="I1689" s="66"/>
      <c r="J1689" s="66"/>
      <c r="K1689" s="78"/>
      <c r="L1689" s="66"/>
      <c r="M1689" s="66">
        <v>256</v>
      </c>
      <c r="N1689" s="110">
        <f t="shared" ref="N1689" si="2611">M1689-F1689</f>
        <v>26</v>
      </c>
      <c r="O1689" s="110"/>
      <c r="P1689" s="66"/>
      <c r="Q1689" s="66">
        <v>256</v>
      </c>
      <c r="R1689" s="66"/>
      <c r="S1689" s="66">
        <v>256</v>
      </c>
      <c r="T1689" s="110">
        <f>S1689-Q1689</f>
        <v>0</v>
      </c>
      <c r="U1689" s="59">
        <f t="shared" ref="U1689:U1692" si="2612">IF(Q1689&gt;0,S1689-W1689,M1689-W1689)</f>
        <v>0</v>
      </c>
      <c r="V1689" s="66"/>
      <c r="W1689" s="66">
        <v>256</v>
      </c>
      <c r="X1689" s="110">
        <f>W1689-M1689</f>
        <v>0</v>
      </c>
      <c r="Y1689" s="110"/>
      <c r="Z1689" s="110"/>
      <c r="AA1689" s="110"/>
      <c r="AB1689" s="46"/>
      <c r="AC1689" s="78"/>
      <c r="AD1689" s="78"/>
      <c r="AE1689" s="100">
        <f t="shared" ref="AE1689:AE1692" si="2613">N1689/F1689</f>
        <v>0.11304347826086956</v>
      </c>
      <c r="AF1689" s="90"/>
      <c r="AG1689" s="109">
        <f t="shared" ref="AG1689:AG1692" si="2614">IF(N1689&lt;0,N1689,0)</f>
        <v>0</v>
      </c>
      <c r="AH1689" s="100">
        <f t="shared" ref="AH1689:AH1692" si="2615">(S1689-F1689)/F1689</f>
        <v>0.11304347826086956</v>
      </c>
      <c r="AI1689" s="100">
        <f t="shared" ref="AI1689:AI1692" si="2616">(W1689-F1689)/F1689</f>
        <v>0.11304347826086956</v>
      </c>
    </row>
    <row r="1690" spans="1:35" s="47" customFormat="1" ht="21" customHeight="1" x14ac:dyDescent="0.3">
      <c r="A1690" s="78"/>
      <c r="B1690" s="106" t="s">
        <v>51</v>
      </c>
      <c r="C1690" s="117">
        <v>47652</v>
      </c>
      <c r="D1690" s="300"/>
      <c r="E1690" s="131" t="s">
        <v>227</v>
      </c>
      <c r="F1690" s="66">
        <v>242</v>
      </c>
      <c r="G1690" s="66"/>
      <c r="H1690" s="66"/>
      <c r="I1690" s="66"/>
      <c r="J1690" s="66"/>
      <c r="K1690" s="78"/>
      <c r="L1690" s="66"/>
      <c r="M1690" s="66">
        <f>100+167</f>
        <v>267</v>
      </c>
      <c r="N1690" s="110">
        <f t="shared" ref="N1690:N1691" si="2617">M1690-F1690</f>
        <v>25</v>
      </c>
      <c r="O1690" s="110"/>
      <c r="P1690" s="66"/>
      <c r="Q1690" s="66">
        <v>267</v>
      </c>
      <c r="R1690" s="66"/>
      <c r="S1690" s="66">
        <v>264</v>
      </c>
      <c r="T1690" s="110">
        <f t="shared" ref="T1690:T1691" si="2618">S1690-Q1690</f>
        <v>-3</v>
      </c>
      <c r="U1690" s="59">
        <f t="shared" ref="U1690:U1691" si="2619">IF(Q1690&gt;0,S1690-W1690,M1690-W1690)</f>
        <v>0</v>
      </c>
      <c r="V1690" s="66"/>
      <c r="W1690" s="66">
        <v>264</v>
      </c>
      <c r="X1690" s="110">
        <f t="shared" ref="X1690:X1691" si="2620">W1690-M1690</f>
        <v>-3</v>
      </c>
      <c r="Y1690" s="110"/>
      <c r="Z1690" s="110"/>
      <c r="AA1690" s="110"/>
      <c r="AB1690" s="46"/>
      <c r="AC1690" s="78"/>
      <c r="AD1690" s="78"/>
      <c r="AE1690" s="100">
        <f t="shared" ref="AE1690:AE1691" si="2621">N1690/F1690</f>
        <v>0.10330578512396695</v>
      </c>
      <c r="AF1690" s="90"/>
      <c r="AG1690" s="109">
        <f t="shared" ref="AG1690:AG1691" si="2622">IF(N1690&lt;0,N1690,0)</f>
        <v>0</v>
      </c>
      <c r="AH1690" s="100">
        <f t="shared" ref="AH1690:AH1691" si="2623">(S1690-F1690)/F1690</f>
        <v>9.0909090909090912E-2</v>
      </c>
      <c r="AI1690" s="100">
        <f t="shared" ref="AI1690:AI1691" si="2624">(W1690-F1690)/F1690</f>
        <v>9.0909090909090912E-2</v>
      </c>
    </row>
    <row r="1691" spans="1:35" s="47" customFormat="1" ht="21" customHeight="1" x14ac:dyDescent="0.3">
      <c r="A1691" s="78"/>
      <c r="B1691" s="106" t="s">
        <v>51</v>
      </c>
      <c r="C1691" s="117">
        <v>47652</v>
      </c>
      <c r="D1691" s="300"/>
      <c r="E1691" s="131" t="s">
        <v>228</v>
      </c>
      <c r="F1691" s="66">
        <v>314</v>
      </c>
      <c r="G1691" s="66"/>
      <c r="H1691" s="66"/>
      <c r="I1691" s="66"/>
      <c r="J1691" s="66"/>
      <c r="K1691" s="78"/>
      <c r="L1691" s="66"/>
      <c r="M1691" s="66">
        <v>341</v>
      </c>
      <c r="N1691" s="110">
        <f t="shared" si="2617"/>
        <v>27</v>
      </c>
      <c r="O1691" s="110"/>
      <c r="P1691" s="66"/>
      <c r="Q1691" s="66">
        <v>341</v>
      </c>
      <c r="R1691" s="66"/>
      <c r="S1691" s="66">
        <v>341</v>
      </c>
      <c r="T1691" s="110">
        <f t="shared" si="2618"/>
        <v>0</v>
      </c>
      <c r="U1691" s="59">
        <f t="shared" si="2619"/>
        <v>6</v>
      </c>
      <c r="V1691" s="66"/>
      <c r="W1691" s="66">
        <v>335</v>
      </c>
      <c r="X1691" s="110">
        <f t="shared" si="2620"/>
        <v>-6</v>
      </c>
      <c r="Y1691" s="110"/>
      <c r="Z1691" s="110"/>
      <c r="AA1691" s="110"/>
      <c r="AB1691" s="46"/>
      <c r="AC1691" s="78"/>
      <c r="AD1691" s="78"/>
      <c r="AE1691" s="100">
        <f t="shared" si="2621"/>
        <v>8.598726114649681E-2</v>
      </c>
      <c r="AF1691" s="90"/>
      <c r="AG1691" s="109">
        <f t="shared" si="2622"/>
        <v>0</v>
      </c>
      <c r="AH1691" s="100">
        <f t="shared" si="2623"/>
        <v>8.598726114649681E-2</v>
      </c>
      <c r="AI1691" s="100">
        <f t="shared" si="2624"/>
        <v>6.6878980891719744E-2</v>
      </c>
    </row>
    <row r="1692" spans="1:35" s="79" customFormat="1" ht="15.75" customHeight="1" x14ac:dyDescent="0.3">
      <c r="A1692" s="90" t="s">
        <v>46</v>
      </c>
      <c r="B1692" s="136" t="s">
        <v>51</v>
      </c>
      <c r="C1692" s="137"/>
      <c r="D1692" s="136"/>
      <c r="E1692" s="138"/>
      <c r="F1692" s="91">
        <f>SUM(F1689:F1691)</f>
        <v>786</v>
      </c>
      <c r="G1692" s="91"/>
      <c r="H1692" s="91"/>
      <c r="I1692" s="91"/>
      <c r="J1692" s="91" t="s">
        <v>59</v>
      </c>
      <c r="K1692" s="65" t="s">
        <v>226</v>
      </c>
      <c r="L1692" s="91">
        <f>SUM(L1689:L1691)</f>
        <v>0</v>
      </c>
      <c r="M1692" s="91">
        <f>SUM(M1689:M1691)</f>
        <v>864</v>
      </c>
      <c r="N1692" s="91">
        <f>SUM(N1689:N1691)</f>
        <v>78</v>
      </c>
      <c r="O1692" s="91" t="s">
        <v>239</v>
      </c>
      <c r="P1692" s="91">
        <f>SUM(P1689:P1691)</f>
        <v>0</v>
      </c>
      <c r="Q1692" s="91">
        <f>SUM(Q1689:Q1691)</f>
        <v>864</v>
      </c>
      <c r="R1692" s="91">
        <f>SUM(R1689:R1691)</f>
        <v>0</v>
      </c>
      <c r="S1692" s="91">
        <f>SUM(S1689:S1691)</f>
        <v>861</v>
      </c>
      <c r="T1692" s="91">
        <f>SUM(T1689:T1691)</f>
        <v>-3</v>
      </c>
      <c r="U1692" s="59">
        <f t="shared" si="2612"/>
        <v>6</v>
      </c>
      <c r="V1692" s="91">
        <f>SUM(V1689:V1691)</f>
        <v>0</v>
      </c>
      <c r="W1692" s="91">
        <f>SUM(W1689:W1691)</f>
        <v>855</v>
      </c>
      <c r="X1692" s="91">
        <f>SUM(X1689:X1691)</f>
        <v>-9</v>
      </c>
      <c r="Y1692" s="136" t="s">
        <v>47</v>
      </c>
      <c r="Z1692" s="136" t="s">
        <v>45</v>
      </c>
      <c r="AA1692" s="136"/>
      <c r="AB1692" s="84"/>
      <c r="AC1692" s="90"/>
      <c r="AD1692" s="90"/>
      <c r="AE1692" s="100">
        <f t="shared" si="2613"/>
        <v>9.9236641221374045E-2</v>
      </c>
      <c r="AF1692" s="90"/>
      <c r="AG1692" s="109">
        <f t="shared" si="2614"/>
        <v>0</v>
      </c>
      <c r="AH1692" s="100">
        <f t="shared" si="2615"/>
        <v>9.5419847328244281E-2</v>
      </c>
      <c r="AI1692" s="100">
        <f t="shared" si="2616"/>
        <v>8.7786259541984726E-2</v>
      </c>
    </row>
    <row r="1693" spans="1:35" s="47" customFormat="1" ht="21" customHeight="1" x14ac:dyDescent="0.3">
      <c r="A1693" s="78"/>
      <c r="B1693" s="106" t="s">
        <v>51</v>
      </c>
      <c r="C1693" s="117" t="s">
        <v>616</v>
      </c>
      <c r="D1693" s="299">
        <v>15376006</v>
      </c>
      <c r="E1693" s="131" t="s">
        <v>181</v>
      </c>
      <c r="F1693" s="66">
        <v>1388</v>
      </c>
      <c r="G1693" s="66"/>
      <c r="H1693" s="66"/>
      <c r="I1693" s="66"/>
      <c r="J1693" s="66"/>
      <c r="K1693" s="78"/>
      <c r="L1693" s="66"/>
      <c r="M1693" s="66">
        <f>1252+168</f>
        <v>1420</v>
      </c>
      <c r="N1693" s="110">
        <f t="shared" ref="N1693:N1694" si="2625">M1693-F1693</f>
        <v>32</v>
      </c>
      <c r="O1693" s="110"/>
      <c r="P1693" s="66"/>
      <c r="Q1693" s="66">
        <f>1247+168+5</f>
        <v>1420</v>
      </c>
      <c r="R1693" s="66"/>
      <c r="S1693" s="66">
        <v>1420</v>
      </c>
      <c r="T1693" s="110">
        <f>S1693-Q1693</f>
        <v>0</v>
      </c>
      <c r="U1693" s="59">
        <f t="shared" ref="U1693:U1710" si="2626">IF(Q1693&gt;0,S1693-W1693,M1693-W1693)</f>
        <v>10</v>
      </c>
      <c r="V1693" s="66"/>
      <c r="W1693" s="66">
        <v>1410</v>
      </c>
      <c r="X1693" s="110">
        <f>W1693-M1693</f>
        <v>-10</v>
      </c>
      <c r="Y1693" s="110"/>
      <c r="Z1693" s="110"/>
      <c r="AA1693" s="110"/>
      <c r="AB1693" s="46"/>
      <c r="AC1693" s="78"/>
      <c r="AD1693" s="78"/>
      <c r="AE1693" s="100">
        <f t="shared" ref="AE1693:AE1710" si="2627">N1693/F1693</f>
        <v>2.3054755043227664E-2</v>
      </c>
      <c r="AF1693" s="90"/>
      <c r="AG1693" s="109">
        <f t="shared" ref="AG1693:AG1710" si="2628">IF(N1693&lt;0,N1693,0)</f>
        <v>0</v>
      </c>
      <c r="AH1693" s="100">
        <f t="shared" ref="AH1693:AH1710" si="2629">(S1693-F1693)/F1693</f>
        <v>2.3054755043227664E-2</v>
      </c>
      <c r="AI1693" s="100">
        <f t="shared" ref="AI1693:AI1710" si="2630">(W1693-F1693)/F1693</f>
        <v>1.5850144092219021E-2</v>
      </c>
    </row>
    <row r="1694" spans="1:35" s="47" customFormat="1" ht="21" customHeight="1" x14ac:dyDescent="0.3">
      <c r="A1694" s="78"/>
      <c r="B1694" s="106" t="s">
        <v>51</v>
      </c>
      <c r="C1694" s="117" t="s">
        <v>616</v>
      </c>
      <c r="D1694" s="309"/>
      <c r="E1694" s="131" t="s">
        <v>379</v>
      </c>
      <c r="F1694" s="66">
        <v>1312</v>
      </c>
      <c r="G1694" s="66"/>
      <c r="H1694" s="66"/>
      <c r="I1694" s="66"/>
      <c r="J1694" s="66"/>
      <c r="K1694" s="78"/>
      <c r="L1694" s="66"/>
      <c r="M1694" s="66">
        <f>936+300+116</f>
        <v>1352</v>
      </c>
      <c r="N1694" s="110">
        <f t="shared" si="2625"/>
        <v>40</v>
      </c>
      <c r="O1694" s="110"/>
      <c r="P1694" s="66"/>
      <c r="Q1694" s="66">
        <f>572+664+116</f>
        <v>1352</v>
      </c>
      <c r="R1694" s="66"/>
      <c r="S1694" s="66">
        <f>1236+116</f>
        <v>1352</v>
      </c>
      <c r="T1694" s="110">
        <f t="shared" ref="T1694" si="2631">S1694-Q1694</f>
        <v>0</v>
      </c>
      <c r="U1694" s="59">
        <f t="shared" si="2626"/>
        <v>1</v>
      </c>
      <c r="V1694" s="66"/>
      <c r="W1694" s="66">
        <f>1235+116</f>
        <v>1351</v>
      </c>
      <c r="X1694" s="110">
        <f t="shared" ref="X1694" si="2632">W1694-M1694</f>
        <v>-1</v>
      </c>
      <c r="Y1694" s="110"/>
      <c r="Z1694" s="110"/>
      <c r="AA1694" s="110"/>
      <c r="AB1694" s="46"/>
      <c r="AC1694" s="78"/>
      <c r="AD1694" s="78"/>
      <c r="AE1694" s="100">
        <f t="shared" si="2627"/>
        <v>3.048780487804878E-2</v>
      </c>
      <c r="AF1694" s="90"/>
      <c r="AG1694" s="109">
        <f t="shared" si="2628"/>
        <v>0</v>
      </c>
      <c r="AH1694" s="100">
        <f t="shared" si="2629"/>
        <v>3.048780487804878E-2</v>
      </c>
      <c r="AI1694" s="100">
        <f t="shared" si="2630"/>
        <v>2.972560975609756E-2</v>
      </c>
    </row>
    <row r="1695" spans="1:35" s="79" customFormat="1" ht="15.75" customHeight="1" x14ac:dyDescent="0.3">
      <c r="A1695" s="90" t="s">
        <v>46</v>
      </c>
      <c r="B1695" s="136" t="s">
        <v>51</v>
      </c>
      <c r="C1695" s="137"/>
      <c r="D1695" s="136"/>
      <c r="E1695" s="138"/>
      <c r="F1695" s="91">
        <f>SUM(F1693:F1694)</f>
        <v>2700</v>
      </c>
      <c r="G1695" s="91"/>
      <c r="H1695" s="91"/>
      <c r="I1695" s="91"/>
      <c r="J1695" s="91" t="s">
        <v>59</v>
      </c>
      <c r="K1695" s="65" t="s">
        <v>608</v>
      </c>
      <c r="L1695" s="91">
        <f>SUM(L1693:L1694)</f>
        <v>0</v>
      </c>
      <c r="M1695" s="91">
        <f>SUM(M1693:M1694)</f>
        <v>2772</v>
      </c>
      <c r="N1695" s="91">
        <f>SUM(N1693:N1694)</f>
        <v>72</v>
      </c>
      <c r="O1695" s="91" t="s">
        <v>763</v>
      </c>
      <c r="P1695" s="91">
        <f>SUM(P1693:P1694)</f>
        <v>0</v>
      </c>
      <c r="Q1695" s="91">
        <f>SUM(Q1693:Q1694)</f>
        <v>2772</v>
      </c>
      <c r="R1695" s="91">
        <f>SUM(R1693:R1694)</f>
        <v>0</v>
      </c>
      <c r="S1695" s="91">
        <f>SUM(S1693:S1694)</f>
        <v>2772</v>
      </c>
      <c r="T1695" s="91">
        <f>SUM(T1693:T1694)</f>
        <v>0</v>
      </c>
      <c r="U1695" s="59">
        <f t="shared" si="2626"/>
        <v>11</v>
      </c>
      <c r="V1695" s="91">
        <f>SUM(V1693:V1694)</f>
        <v>0</v>
      </c>
      <c r="W1695" s="91">
        <f>SUM(W1693:W1694)</f>
        <v>2761</v>
      </c>
      <c r="X1695" s="91">
        <f>SUM(X1693:X1694)</f>
        <v>-11</v>
      </c>
      <c r="Y1695" s="136" t="s">
        <v>47</v>
      </c>
      <c r="Z1695" s="136" t="s">
        <v>45</v>
      </c>
      <c r="AA1695" s="136"/>
      <c r="AB1695" s="84"/>
      <c r="AC1695" s="90"/>
      <c r="AD1695" s="90"/>
      <c r="AE1695" s="100">
        <f t="shared" si="2627"/>
        <v>2.6666666666666668E-2</v>
      </c>
      <c r="AF1695" s="90"/>
      <c r="AG1695" s="109">
        <f t="shared" si="2628"/>
        <v>0</v>
      </c>
      <c r="AH1695" s="100">
        <f t="shared" si="2629"/>
        <v>2.6666666666666668E-2</v>
      </c>
      <c r="AI1695" s="100">
        <f t="shared" si="2630"/>
        <v>2.2592592592592591E-2</v>
      </c>
    </row>
    <row r="1696" spans="1:35" s="47" customFormat="1" ht="21" customHeight="1" x14ac:dyDescent="0.3">
      <c r="A1696" s="78"/>
      <c r="B1696" s="106" t="s">
        <v>51</v>
      </c>
      <c r="C1696" s="117" t="s">
        <v>618</v>
      </c>
      <c r="D1696" s="299">
        <v>15363833</v>
      </c>
      <c r="E1696" s="131" t="s">
        <v>615</v>
      </c>
      <c r="F1696" s="66">
        <v>522</v>
      </c>
      <c r="G1696" s="66"/>
      <c r="H1696" s="66"/>
      <c r="I1696" s="66"/>
      <c r="J1696" s="66"/>
      <c r="K1696" s="78"/>
      <c r="L1696" s="66"/>
      <c r="M1696" s="66">
        <v>552</v>
      </c>
      <c r="N1696" s="110">
        <f t="shared" ref="N1696:N1697" si="2633">M1696-F1696</f>
        <v>30</v>
      </c>
      <c r="O1696" s="110"/>
      <c r="P1696" s="66"/>
      <c r="Q1696" s="66">
        <v>552</v>
      </c>
      <c r="R1696" s="66"/>
      <c r="S1696" s="66">
        <v>550</v>
      </c>
      <c r="T1696" s="110">
        <f>S1696-Q1696</f>
        <v>-2</v>
      </c>
      <c r="U1696" s="59">
        <f t="shared" ref="U1696:U1698" si="2634">IF(Q1696&gt;0,S1696-W1696,M1696-W1696)</f>
        <v>1</v>
      </c>
      <c r="V1696" s="66"/>
      <c r="W1696" s="66">
        <v>549</v>
      </c>
      <c r="X1696" s="110">
        <f>W1696-M1696</f>
        <v>-3</v>
      </c>
      <c r="Y1696" s="110"/>
      <c r="Z1696" s="110"/>
      <c r="AA1696" s="110"/>
      <c r="AB1696" s="46"/>
      <c r="AC1696" s="78"/>
      <c r="AD1696" s="78"/>
      <c r="AE1696" s="100">
        <f t="shared" ref="AE1696:AE1698" si="2635">N1696/F1696</f>
        <v>5.7471264367816091E-2</v>
      </c>
      <c r="AF1696" s="90"/>
      <c r="AG1696" s="109">
        <f t="shared" ref="AG1696:AG1698" si="2636">IF(N1696&lt;0,N1696,0)</f>
        <v>0</v>
      </c>
      <c r="AH1696" s="100">
        <f t="shared" ref="AH1696:AH1698" si="2637">(S1696-F1696)/F1696</f>
        <v>5.3639846743295021E-2</v>
      </c>
      <c r="AI1696" s="100">
        <f t="shared" ref="AI1696:AI1698" si="2638">(W1696-F1696)/F1696</f>
        <v>5.1724137931034482E-2</v>
      </c>
    </row>
    <row r="1697" spans="1:35" s="47" customFormat="1" ht="21" customHeight="1" x14ac:dyDescent="0.3">
      <c r="A1697" s="78"/>
      <c r="B1697" s="106" t="s">
        <v>51</v>
      </c>
      <c r="C1697" s="117" t="s">
        <v>618</v>
      </c>
      <c r="D1697" s="300"/>
      <c r="E1697" s="131" t="s">
        <v>614</v>
      </c>
      <c r="F1697" s="66">
        <v>1517</v>
      </c>
      <c r="G1697" s="66"/>
      <c r="H1697" s="66"/>
      <c r="I1697" s="66"/>
      <c r="J1697" s="66"/>
      <c r="K1697" s="78"/>
      <c r="L1697" s="66"/>
      <c r="M1697" s="66">
        <f>1561</f>
        <v>1561</v>
      </c>
      <c r="N1697" s="110">
        <f t="shared" si="2633"/>
        <v>44</v>
      </c>
      <c r="O1697" s="110"/>
      <c r="P1697" s="66"/>
      <c r="Q1697" s="66">
        <v>1561</v>
      </c>
      <c r="R1697" s="66"/>
      <c r="S1697" s="66">
        <v>1556</v>
      </c>
      <c r="T1697" s="110">
        <f t="shared" ref="T1697" si="2639">S1697-Q1697</f>
        <v>-5</v>
      </c>
      <c r="U1697" s="59">
        <f t="shared" si="2634"/>
        <v>6</v>
      </c>
      <c r="V1697" s="66"/>
      <c r="W1697" s="66">
        <v>1550</v>
      </c>
      <c r="X1697" s="110">
        <f t="shared" ref="X1697" si="2640">W1697-M1697</f>
        <v>-11</v>
      </c>
      <c r="Y1697" s="110"/>
      <c r="Z1697" s="110"/>
      <c r="AA1697" s="110"/>
      <c r="AB1697" s="46"/>
      <c r="AC1697" s="78"/>
      <c r="AD1697" s="78"/>
      <c r="AE1697" s="100">
        <f t="shared" si="2635"/>
        <v>2.9004614370468029E-2</v>
      </c>
      <c r="AF1697" s="90"/>
      <c r="AG1697" s="109">
        <f t="shared" si="2636"/>
        <v>0</v>
      </c>
      <c r="AH1697" s="100">
        <f t="shared" si="2637"/>
        <v>2.5708635464733027E-2</v>
      </c>
      <c r="AI1697" s="100">
        <f t="shared" si="2638"/>
        <v>2.1753460777851022E-2</v>
      </c>
    </row>
    <row r="1698" spans="1:35" s="79" customFormat="1" ht="15.75" customHeight="1" x14ac:dyDescent="0.3">
      <c r="A1698" s="90" t="s">
        <v>46</v>
      </c>
      <c r="B1698" s="136" t="s">
        <v>51</v>
      </c>
      <c r="C1698" s="137"/>
      <c r="D1698" s="136"/>
      <c r="E1698" s="138"/>
      <c r="F1698" s="91">
        <f>SUM(F1696:F1697)</f>
        <v>2039</v>
      </c>
      <c r="G1698" s="91"/>
      <c r="H1698" s="91"/>
      <c r="I1698" s="91"/>
      <c r="J1698" s="91" t="s">
        <v>59</v>
      </c>
      <c r="K1698" s="65" t="s">
        <v>617</v>
      </c>
      <c r="L1698" s="91">
        <f>SUM(L1696:L1697)</f>
        <v>0</v>
      </c>
      <c r="M1698" s="91">
        <f>SUM(M1696:M1697)</f>
        <v>2113</v>
      </c>
      <c r="N1698" s="91">
        <f>SUM(N1696:N1697)</f>
        <v>74</v>
      </c>
      <c r="O1698" s="91" t="s">
        <v>266</v>
      </c>
      <c r="P1698" s="91">
        <f>SUM(P1696:P1697)</f>
        <v>0</v>
      </c>
      <c r="Q1698" s="91">
        <f>SUM(Q1696:Q1697)</f>
        <v>2113</v>
      </c>
      <c r="R1698" s="91">
        <f>SUM(R1696:R1697)</f>
        <v>0</v>
      </c>
      <c r="S1698" s="91">
        <f>SUM(S1696:S1697)</f>
        <v>2106</v>
      </c>
      <c r="T1698" s="91">
        <f>SUM(T1696:T1697)</f>
        <v>-7</v>
      </c>
      <c r="U1698" s="59">
        <f t="shared" si="2634"/>
        <v>7</v>
      </c>
      <c r="V1698" s="91">
        <f>SUM(V1696:V1697)</f>
        <v>0</v>
      </c>
      <c r="W1698" s="91">
        <f>SUM(W1696:W1697)</f>
        <v>2099</v>
      </c>
      <c r="X1698" s="91">
        <f>SUM(X1696:X1697)</f>
        <v>-14</v>
      </c>
      <c r="Y1698" s="136" t="s">
        <v>47</v>
      </c>
      <c r="Z1698" s="136" t="s">
        <v>45</v>
      </c>
      <c r="AA1698" s="136"/>
      <c r="AB1698" s="84"/>
      <c r="AC1698" s="90"/>
      <c r="AD1698" s="90"/>
      <c r="AE1698" s="100">
        <f t="shared" si="2635"/>
        <v>3.6292300147130946E-2</v>
      </c>
      <c r="AF1698" s="90"/>
      <c r="AG1698" s="109">
        <f t="shared" si="2636"/>
        <v>0</v>
      </c>
      <c r="AH1698" s="100">
        <f t="shared" si="2637"/>
        <v>3.2859244727807747E-2</v>
      </c>
      <c r="AI1698" s="100">
        <f t="shared" si="2638"/>
        <v>2.9426189308484552E-2</v>
      </c>
    </row>
    <row r="1699" spans="1:35" s="47" customFormat="1" ht="21" customHeight="1" x14ac:dyDescent="0.3">
      <c r="A1699" s="78"/>
      <c r="B1699" s="106" t="s">
        <v>51</v>
      </c>
      <c r="C1699" s="117" t="s">
        <v>619</v>
      </c>
      <c r="D1699" s="299">
        <v>15360359</v>
      </c>
      <c r="E1699" s="131" t="s">
        <v>620</v>
      </c>
      <c r="F1699" s="66">
        <v>4211</v>
      </c>
      <c r="G1699" s="66"/>
      <c r="H1699" s="66"/>
      <c r="I1699" s="66"/>
      <c r="J1699" s="66"/>
      <c r="K1699" s="78"/>
      <c r="L1699" s="66"/>
      <c r="M1699" s="66"/>
      <c r="N1699" s="110">
        <f t="shared" ref="N1699:N1701" si="2641">M1699-F1699</f>
        <v>-4211</v>
      </c>
      <c r="O1699" s="110"/>
      <c r="P1699" s="66"/>
      <c r="Q1699" s="66"/>
      <c r="R1699" s="66"/>
      <c r="S1699" s="66"/>
      <c r="T1699" s="110">
        <f>S1699-Q1699</f>
        <v>0</v>
      </c>
      <c r="U1699" s="59">
        <f t="shared" si="2626"/>
        <v>0</v>
      </c>
      <c r="V1699" s="66"/>
      <c r="W1699" s="66"/>
      <c r="X1699" s="110">
        <f>W1699-M1699</f>
        <v>0</v>
      </c>
      <c r="Y1699" s="110"/>
      <c r="Z1699" s="110"/>
      <c r="AA1699" s="110"/>
      <c r="AB1699" s="46"/>
      <c r="AC1699" s="78"/>
      <c r="AD1699" s="78"/>
      <c r="AE1699" s="100">
        <f t="shared" si="2627"/>
        <v>-1</v>
      </c>
      <c r="AF1699" s="90"/>
      <c r="AG1699" s="109">
        <f t="shared" si="2628"/>
        <v>-4211</v>
      </c>
      <c r="AH1699" s="100">
        <f t="shared" si="2629"/>
        <v>-1</v>
      </c>
      <c r="AI1699" s="100">
        <f t="shared" si="2630"/>
        <v>-1</v>
      </c>
    </row>
    <row r="1700" spans="1:35" s="47" customFormat="1" ht="21" customHeight="1" x14ac:dyDescent="0.3">
      <c r="A1700" s="78"/>
      <c r="B1700" s="106" t="s">
        <v>51</v>
      </c>
      <c r="C1700" s="117" t="s">
        <v>619</v>
      </c>
      <c r="D1700" s="300"/>
      <c r="E1700" s="131" t="s">
        <v>621</v>
      </c>
      <c r="F1700" s="66">
        <v>4211</v>
      </c>
      <c r="G1700" s="66"/>
      <c r="H1700" s="66"/>
      <c r="I1700" s="66"/>
      <c r="J1700" s="66"/>
      <c r="K1700" s="78"/>
      <c r="L1700" s="66"/>
      <c r="M1700" s="66"/>
      <c r="N1700" s="110">
        <f t="shared" ref="N1700" si="2642">M1700-F1700</f>
        <v>-4211</v>
      </c>
      <c r="O1700" s="110"/>
      <c r="P1700" s="66"/>
      <c r="Q1700" s="66"/>
      <c r="R1700" s="66"/>
      <c r="S1700" s="66"/>
      <c r="T1700" s="110">
        <f t="shared" ref="T1700" si="2643">S1700-Q1700</f>
        <v>0</v>
      </c>
      <c r="U1700" s="59">
        <f t="shared" ref="U1700" si="2644">IF(Q1700&gt;0,S1700-W1700,M1700-W1700)</f>
        <v>0</v>
      </c>
      <c r="V1700" s="66"/>
      <c r="W1700" s="66"/>
      <c r="X1700" s="110">
        <f t="shared" ref="X1700" si="2645">W1700-M1700</f>
        <v>0</v>
      </c>
      <c r="Y1700" s="110"/>
      <c r="Z1700" s="110"/>
      <c r="AA1700" s="110"/>
      <c r="AB1700" s="46"/>
      <c r="AC1700" s="78"/>
      <c r="AD1700" s="78"/>
      <c r="AE1700" s="100">
        <f t="shared" ref="AE1700" si="2646">N1700/F1700</f>
        <v>-1</v>
      </c>
      <c r="AF1700" s="90"/>
      <c r="AG1700" s="109">
        <f t="shared" ref="AG1700" si="2647">IF(N1700&lt;0,N1700,0)</f>
        <v>-4211</v>
      </c>
      <c r="AH1700" s="100">
        <f t="shared" ref="AH1700" si="2648">(S1700-F1700)/F1700</f>
        <v>-1</v>
      </c>
      <c r="AI1700" s="100">
        <f t="shared" ref="AI1700" si="2649">(W1700-F1700)/F1700</f>
        <v>-1</v>
      </c>
    </row>
    <row r="1701" spans="1:35" s="47" customFormat="1" ht="21" customHeight="1" x14ac:dyDescent="0.3">
      <c r="A1701" s="78"/>
      <c r="B1701" s="106" t="s">
        <v>51</v>
      </c>
      <c r="C1701" s="117" t="s">
        <v>619</v>
      </c>
      <c r="D1701" s="309"/>
      <c r="E1701" s="131" t="s">
        <v>622</v>
      </c>
      <c r="F1701" s="66">
        <v>3536</v>
      </c>
      <c r="G1701" s="66"/>
      <c r="H1701" s="66"/>
      <c r="I1701" s="66"/>
      <c r="J1701" s="66"/>
      <c r="K1701" s="78"/>
      <c r="L1701" s="66">
        <f>281+602</f>
        <v>883</v>
      </c>
      <c r="M1701" s="66">
        <f>281+602</f>
        <v>883</v>
      </c>
      <c r="N1701" s="110">
        <f t="shared" si="2641"/>
        <v>-2653</v>
      </c>
      <c r="O1701" s="110"/>
      <c r="P1701" s="66"/>
      <c r="Q1701" s="66"/>
      <c r="R1701" s="66"/>
      <c r="S1701" s="66"/>
      <c r="T1701" s="110">
        <f t="shared" ref="T1701" si="2650">S1701-Q1701</f>
        <v>0</v>
      </c>
      <c r="U1701" s="59">
        <f t="shared" si="2626"/>
        <v>883</v>
      </c>
      <c r="V1701" s="66"/>
      <c r="W1701" s="66"/>
      <c r="X1701" s="110">
        <f t="shared" ref="X1701" si="2651">W1701-M1701</f>
        <v>-883</v>
      </c>
      <c r="Y1701" s="110"/>
      <c r="Z1701" s="110"/>
      <c r="AA1701" s="110"/>
      <c r="AB1701" s="46"/>
      <c r="AC1701" s="78"/>
      <c r="AD1701" s="78"/>
      <c r="AE1701" s="100">
        <f t="shared" si="2627"/>
        <v>-0.75028280542986425</v>
      </c>
      <c r="AF1701" s="90"/>
      <c r="AG1701" s="109">
        <f t="shared" si="2628"/>
        <v>-2653</v>
      </c>
      <c r="AH1701" s="100">
        <f t="shared" si="2629"/>
        <v>-1</v>
      </c>
      <c r="AI1701" s="100">
        <f t="shared" si="2630"/>
        <v>-1</v>
      </c>
    </row>
    <row r="1702" spans="1:35" s="79" customFormat="1" ht="15.75" customHeight="1" x14ac:dyDescent="0.3">
      <c r="A1702" s="90" t="s">
        <v>46</v>
      </c>
      <c r="B1702" s="136" t="s">
        <v>51</v>
      </c>
      <c r="C1702" s="137"/>
      <c r="D1702" s="136"/>
      <c r="E1702" s="138"/>
      <c r="F1702" s="91">
        <f>SUM(F1699:F1701)</f>
        <v>11958</v>
      </c>
      <c r="G1702" s="91"/>
      <c r="H1702" s="91"/>
      <c r="I1702" s="91"/>
      <c r="J1702" s="91" t="s">
        <v>59</v>
      </c>
      <c r="K1702" s="65" t="s">
        <v>377</v>
      </c>
      <c r="L1702" s="91">
        <f>SUM(L1699:L1701)</f>
        <v>883</v>
      </c>
      <c r="M1702" s="91">
        <f>SUM(M1699:M1701)</f>
        <v>883</v>
      </c>
      <c r="N1702" s="91">
        <f>SUM(N1699:N1701)</f>
        <v>-11075</v>
      </c>
      <c r="O1702" s="91"/>
      <c r="P1702" s="91">
        <f>SUM(P1699:P1701)</f>
        <v>0</v>
      </c>
      <c r="Q1702" s="91">
        <f>SUM(Q1699:Q1701)</f>
        <v>0</v>
      </c>
      <c r="R1702" s="91">
        <f>SUM(R1699:R1701)</f>
        <v>0</v>
      </c>
      <c r="S1702" s="91">
        <f>SUM(S1699:S1701)</f>
        <v>0</v>
      </c>
      <c r="T1702" s="91">
        <f>SUM(T1699:T1701)</f>
        <v>0</v>
      </c>
      <c r="U1702" s="59">
        <f t="shared" si="2626"/>
        <v>883</v>
      </c>
      <c r="V1702" s="91">
        <f>SUM(V1699:V1701)</f>
        <v>0</v>
      </c>
      <c r="W1702" s="91">
        <f>SUM(W1699:W1701)</f>
        <v>0</v>
      </c>
      <c r="X1702" s="91">
        <f>SUM(X1699:X1701)</f>
        <v>-883</v>
      </c>
      <c r="Y1702" s="136"/>
      <c r="Z1702" s="136"/>
      <c r="AA1702" s="136"/>
      <c r="AB1702" s="84"/>
      <c r="AC1702" s="90"/>
      <c r="AD1702" s="90"/>
      <c r="AE1702" s="100">
        <f t="shared" si="2627"/>
        <v>-0.9261582204382004</v>
      </c>
      <c r="AF1702" s="90"/>
      <c r="AG1702" s="109">
        <f t="shared" si="2628"/>
        <v>-11075</v>
      </c>
      <c r="AH1702" s="100">
        <f t="shared" si="2629"/>
        <v>-1</v>
      </c>
      <c r="AI1702" s="100">
        <f t="shared" si="2630"/>
        <v>-1</v>
      </c>
    </row>
    <row r="1703" spans="1:35" s="47" customFormat="1" ht="21" customHeight="1" x14ac:dyDescent="0.3">
      <c r="A1703" s="78"/>
      <c r="B1703" s="106" t="s">
        <v>51</v>
      </c>
      <c r="C1703" s="117" t="s">
        <v>623</v>
      </c>
      <c r="D1703" s="239">
        <v>15360359</v>
      </c>
      <c r="E1703" s="131" t="s">
        <v>621</v>
      </c>
      <c r="F1703" s="66">
        <v>4060</v>
      </c>
      <c r="G1703" s="66"/>
      <c r="H1703" s="66"/>
      <c r="I1703" s="66"/>
      <c r="J1703" s="66"/>
      <c r="K1703" s="78"/>
      <c r="L1703" s="66"/>
      <c r="M1703" s="66"/>
      <c r="N1703" s="110">
        <f t="shared" ref="N1703" si="2652">M1703-F1703</f>
        <v>-4060</v>
      </c>
      <c r="O1703" s="110"/>
      <c r="P1703" s="66"/>
      <c r="Q1703" s="66"/>
      <c r="R1703" s="66"/>
      <c r="S1703" s="66"/>
      <c r="T1703" s="110">
        <f>S1703-Q1703</f>
        <v>0</v>
      </c>
      <c r="U1703" s="59">
        <f t="shared" ref="U1703:U1704" si="2653">IF(Q1703&gt;0,S1703-W1703,M1703-W1703)</f>
        <v>0</v>
      </c>
      <c r="V1703" s="66"/>
      <c r="W1703" s="66"/>
      <c r="X1703" s="110">
        <f>W1703-M1703</f>
        <v>0</v>
      </c>
      <c r="Y1703" s="110"/>
      <c r="Z1703" s="110"/>
      <c r="AA1703" s="110"/>
      <c r="AB1703" s="46"/>
      <c r="AC1703" s="78"/>
      <c r="AD1703" s="78"/>
      <c r="AE1703" s="100">
        <f t="shared" ref="AE1703:AE1704" si="2654">N1703/F1703</f>
        <v>-1</v>
      </c>
      <c r="AF1703" s="90"/>
      <c r="AG1703" s="109">
        <f t="shared" ref="AG1703:AG1704" si="2655">IF(N1703&lt;0,N1703,0)</f>
        <v>-4060</v>
      </c>
      <c r="AH1703" s="100">
        <f t="shared" ref="AH1703:AH1704" si="2656">(S1703-F1703)/F1703</f>
        <v>-1</v>
      </c>
      <c r="AI1703" s="100">
        <f t="shared" ref="AI1703:AI1704" si="2657">(W1703-F1703)/F1703</f>
        <v>-1</v>
      </c>
    </row>
    <row r="1704" spans="1:35" s="79" customFormat="1" ht="15.75" customHeight="1" x14ac:dyDescent="0.3">
      <c r="A1704" s="90" t="s">
        <v>46</v>
      </c>
      <c r="B1704" s="136" t="s">
        <v>51</v>
      </c>
      <c r="C1704" s="137"/>
      <c r="D1704" s="136"/>
      <c r="E1704" s="138"/>
      <c r="F1704" s="91">
        <f>SUM(F1703:F1703)</f>
        <v>4060</v>
      </c>
      <c r="G1704" s="91"/>
      <c r="H1704" s="91"/>
      <c r="I1704" s="91"/>
      <c r="J1704" s="91"/>
      <c r="K1704" s="65" t="s">
        <v>436</v>
      </c>
      <c r="L1704" s="91">
        <f>SUM(L1703:L1703)</f>
        <v>0</v>
      </c>
      <c r="M1704" s="91">
        <f>SUM(M1703:M1703)</f>
        <v>0</v>
      </c>
      <c r="N1704" s="91">
        <f>SUM(N1703:N1703)</f>
        <v>-4060</v>
      </c>
      <c r="O1704" s="91"/>
      <c r="P1704" s="91">
        <f>SUM(P1703:P1703)</f>
        <v>0</v>
      </c>
      <c r="Q1704" s="91">
        <f>SUM(Q1703:Q1703)</f>
        <v>0</v>
      </c>
      <c r="R1704" s="91">
        <f>SUM(R1703:R1703)</f>
        <v>0</v>
      </c>
      <c r="S1704" s="91">
        <f>SUM(S1703:S1703)</f>
        <v>0</v>
      </c>
      <c r="T1704" s="91">
        <f>SUM(T1703:T1703)</f>
        <v>0</v>
      </c>
      <c r="U1704" s="59">
        <f t="shared" si="2653"/>
        <v>0</v>
      </c>
      <c r="V1704" s="91">
        <f>SUM(V1703:V1703)</f>
        <v>0</v>
      </c>
      <c r="W1704" s="91">
        <f>SUM(W1703:W1703)</f>
        <v>0</v>
      </c>
      <c r="X1704" s="91">
        <f>SUM(X1703:X1703)</f>
        <v>0</v>
      </c>
      <c r="Y1704" s="136"/>
      <c r="Z1704" s="136"/>
      <c r="AA1704" s="136"/>
      <c r="AB1704" s="84"/>
      <c r="AC1704" s="90"/>
      <c r="AD1704" s="90"/>
      <c r="AE1704" s="100">
        <f t="shared" si="2654"/>
        <v>-1</v>
      </c>
      <c r="AF1704" s="90"/>
      <c r="AG1704" s="109">
        <f t="shared" si="2655"/>
        <v>-4060</v>
      </c>
      <c r="AH1704" s="100">
        <f t="shared" si="2656"/>
        <v>-1</v>
      </c>
      <c r="AI1704" s="100">
        <f t="shared" si="2657"/>
        <v>-1</v>
      </c>
    </row>
    <row r="1705" spans="1:35" s="47" customFormat="1" ht="21" customHeight="1" x14ac:dyDescent="0.3">
      <c r="A1705" s="78"/>
      <c r="B1705" s="106" t="s">
        <v>51</v>
      </c>
      <c r="C1705" s="117" t="s">
        <v>605</v>
      </c>
      <c r="D1705" s="239">
        <v>15360359</v>
      </c>
      <c r="E1705" s="131" t="s">
        <v>620</v>
      </c>
      <c r="F1705" s="66">
        <v>4060</v>
      </c>
      <c r="G1705" s="66"/>
      <c r="H1705" s="66"/>
      <c r="I1705" s="66"/>
      <c r="J1705" s="66"/>
      <c r="K1705" s="78"/>
      <c r="L1705" s="66"/>
      <c r="M1705" s="66"/>
      <c r="N1705" s="110">
        <f t="shared" ref="N1705" si="2658">M1705-F1705</f>
        <v>-4060</v>
      </c>
      <c r="O1705" s="110"/>
      <c r="P1705" s="66"/>
      <c r="Q1705" s="66"/>
      <c r="R1705" s="66"/>
      <c r="S1705" s="66"/>
      <c r="T1705" s="110">
        <f>S1705-Q1705</f>
        <v>0</v>
      </c>
      <c r="U1705" s="59">
        <f t="shared" si="2626"/>
        <v>0</v>
      </c>
      <c r="V1705" s="66"/>
      <c r="W1705" s="66"/>
      <c r="X1705" s="110">
        <f>W1705-M1705</f>
        <v>0</v>
      </c>
      <c r="Y1705" s="110"/>
      <c r="Z1705" s="110"/>
      <c r="AA1705" s="110"/>
      <c r="AB1705" s="46"/>
      <c r="AC1705" s="78"/>
      <c r="AD1705" s="78"/>
      <c r="AE1705" s="100">
        <f t="shared" si="2627"/>
        <v>-1</v>
      </c>
      <c r="AF1705" s="90"/>
      <c r="AG1705" s="109">
        <f t="shared" si="2628"/>
        <v>-4060</v>
      </c>
      <c r="AH1705" s="100">
        <f t="shared" si="2629"/>
        <v>-1</v>
      </c>
      <c r="AI1705" s="100">
        <f t="shared" si="2630"/>
        <v>-1</v>
      </c>
    </row>
    <row r="1706" spans="1:35" s="79" customFormat="1" ht="15.75" customHeight="1" x14ac:dyDescent="0.3">
      <c r="A1706" s="90" t="s">
        <v>46</v>
      </c>
      <c r="B1706" s="136" t="s">
        <v>51</v>
      </c>
      <c r="C1706" s="137"/>
      <c r="D1706" s="136"/>
      <c r="E1706" s="138"/>
      <c r="F1706" s="91">
        <f>SUM(F1705:F1705)</f>
        <v>4060</v>
      </c>
      <c r="G1706" s="91"/>
      <c r="H1706" s="91"/>
      <c r="I1706" s="91"/>
      <c r="J1706" s="91"/>
      <c r="K1706" s="65" t="s">
        <v>377</v>
      </c>
      <c r="L1706" s="91">
        <f>SUM(L1705:L1705)</f>
        <v>0</v>
      </c>
      <c r="M1706" s="91">
        <f>SUM(M1705:M1705)</f>
        <v>0</v>
      </c>
      <c r="N1706" s="91">
        <f>SUM(N1705:N1705)</f>
        <v>-4060</v>
      </c>
      <c r="O1706" s="91"/>
      <c r="P1706" s="91">
        <f>SUM(P1705:P1705)</f>
        <v>0</v>
      </c>
      <c r="Q1706" s="91">
        <f>SUM(Q1705:Q1705)</f>
        <v>0</v>
      </c>
      <c r="R1706" s="91">
        <f>SUM(R1705:R1705)</f>
        <v>0</v>
      </c>
      <c r="S1706" s="91">
        <f>SUM(S1705:S1705)</f>
        <v>0</v>
      </c>
      <c r="T1706" s="91">
        <f>SUM(T1705:T1705)</f>
        <v>0</v>
      </c>
      <c r="U1706" s="59">
        <f t="shared" si="2626"/>
        <v>0</v>
      </c>
      <c r="V1706" s="91">
        <f>SUM(V1705:V1705)</f>
        <v>0</v>
      </c>
      <c r="W1706" s="91">
        <f>SUM(W1705:W1705)</f>
        <v>0</v>
      </c>
      <c r="X1706" s="91">
        <f>SUM(X1705:X1705)</f>
        <v>0</v>
      </c>
      <c r="Y1706" s="136"/>
      <c r="Z1706" s="136"/>
      <c r="AA1706" s="136"/>
      <c r="AB1706" s="84"/>
      <c r="AC1706" s="90"/>
      <c r="AD1706" s="90"/>
      <c r="AE1706" s="100">
        <f t="shared" si="2627"/>
        <v>-1</v>
      </c>
      <c r="AF1706" s="90"/>
      <c r="AG1706" s="109">
        <f t="shared" si="2628"/>
        <v>-4060</v>
      </c>
      <c r="AH1706" s="100">
        <f t="shared" si="2629"/>
        <v>-1</v>
      </c>
      <c r="AI1706" s="100">
        <f t="shared" si="2630"/>
        <v>-1</v>
      </c>
    </row>
    <row r="1707" spans="1:35" s="47" customFormat="1" ht="21" customHeight="1" x14ac:dyDescent="0.3">
      <c r="A1707" s="78"/>
      <c r="B1707" s="106" t="s">
        <v>51</v>
      </c>
      <c r="C1707" s="117" t="s">
        <v>307</v>
      </c>
      <c r="D1707" s="299">
        <v>15366520</v>
      </c>
      <c r="E1707" s="131" t="s">
        <v>49</v>
      </c>
      <c r="F1707" s="66">
        <v>2704</v>
      </c>
      <c r="G1707" s="66"/>
      <c r="H1707" s="66"/>
      <c r="I1707" s="66"/>
      <c r="J1707" s="66"/>
      <c r="K1707" s="78"/>
      <c r="L1707" s="66"/>
      <c r="M1707" s="66">
        <f>1140+400+1232</f>
        <v>2772</v>
      </c>
      <c r="N1707" s="110">
        <f t="shared" ref="N1707:N1709" si="2659">M1707-F1707</f>
        <v>68</v>
      </c>
      <c r="O1707" s="110"/>
      <c r="P1707" s="66"/>
      <c r="Q1707" s="66">
        <f>1540+1232</f>
        <v>2772</v>
      </c>
      <c r="R1707" s="66"/>
      <c r="S1707" s="66">
        <f>1554+1218</f>
        <v>2772</v>
      </c>
      <c r="T1707" s="110">
        <f>S1707-Q1707</f>
        <v>0</v>
      </c>
      <c r="U1707" s="59">
        <f t="shared" si="2626"/>
        <v>10</v>
      </c>
      <c r="V1707" s="66"/>
      <c r="W1707" s="66">
        <f>400+2362</f>
        <v>2762</v>
      </c>
      <c r="X1707" s="110">
        <f>W1707-M1707</f>
        <v>-10</v>
      </c>
      <c r="Y1707" s="110"/>
      <c r="Z1707" s="110"/>
      <c r="AA1707" s="110"/>
      <c r="AB1707" s="46"/>
      <c r="AC1707" s="78"/>
      <c r="AD1707" s="78"/>
      <c r="AE1707" s="100">
        <f t="shared" si="2627"/>
        <v>2.514792899408284E-2</v>
      </c>
      <c r="AF1707" s="90"/>
      <c r="AG1707" s="109">
        <f t="shared" si="2628"/>
        <v>0</v>
      </c>
      <c r="AH1707" s="100">
        <f t="shared" si="2629"/>
        <v>2.514792899408284E-2</v>
      </c>
      <c r="AI1707" s="100">
        <f t="shared" si="2630"/>
        <v>2.1449704142011833E-2</v>
      </c>
    </row>
    <row r="1708" spans="1:35" s="47" customFormat="1" ht="21" customHeight="1" x14ac:dyDescent="0.3">
      <c r="A1708" s="78"/>
      <c r="B1708" s="106" t="s">
        <v>51</v>
      </c>
      <c r="C1708" s="117" t="s">
        <v>307</v>
      </c>
      <c r="D1708" s="300"/>
      <c r="E1708" s="131" t="s">
        <v>39</v>
      </c>
      <c r="F1708" s="66">
        <v>2632</v>
      </c>
      <c r="G1708" s="66"/>
      <c r="H1708" s="66"/>
      <c r="I1708" s="66"/>
      <c r="J1708" s="66"/>
      <c r="K1708" s="78"/>
      <c r="L1708" s="66"/>
      <c r="M1708" s="66">
        <f>1090+448+1164</f>
        <v>2702</v>
      </c>
      <c r="N1708" s="110">
        <f t="shared" ref="N1708" si="2660">M1708-F1708</f>
        <v>70</v>
      </c>
      <c r="O1708" s="110"/>
      <c r="P1708" s="66"/>
      <c r="Q1708" s="66">
        <f>1538+1164</f>
        <v>2702</v>
      </c>
      <c r="R1708" s="66"/>
      <c r="S1708" s="66">
        <v>2702</v>
      </c>
      <c r="T1708" s="110">
        <f t="shared" ref="T1708" si="2661">S1708-Q1708</f>
        <v>0</v>
      </c>
      <c r="U1708" s="59">
        <f t="shared" ref="U1708" si="2662">IF(Q1708&gt;0,S1708-W1708,M1708-W1708)</f>
        <v>25</v>
      </c>
      <c r="V1708" s="66"/>
      <c r="W1708" s="66">
        <v>2677</v>
      </c>
      <c r="X1708" s="110">
        <f t="shared" ref="X1708" si="2663">W1708-M1708</f>
        <v>-25</v>
      </c>
      <c r="Y1708" s="110"/>
      <c r="Z1708" s="110"/>
      <c r="AA1708" s="110"/>
      <c r="AB1708" s="46"/>
      <c r="AC1708" s="78"/>
      <c r="AD1708" s="78"/>
      <c r="AE1708" s="100">
        <f t="shared" ref="AE1708" si="2664">N1708/F1708</f>
        <v>2.6595744680851064E-2</v>
      </c>
      <c r="AF1708" s="90"/>
      <c r="AG1708" s="109">
        <f t="shared" ref="AG1708" si="2665">IF(N1708&lt;0,N1708,0)</f>
        <v>0</v>
      </c>
      <c r="AH1708" s="100">
        <f t="shared" ref="AH1708" si="2666">(S1708-F1708)/F1708</f>
        <v>2.6595744680851064E-2</v>
      </c>
      <c r="AI1708" s="100">
        <f t="shared" ref="AI1708" si="2667">(W1708-F1708)/F1708</f>
        <v>1.7097264437689969E-2</v>
      </c>
    </row>
    <row r="1709" spans="1:35" s="47" customFormat="1" ht="21" customHeight="1" x14ac:dyDescent="0.3">
      <c r="A1709" s="78"/>
      <c r="B1709" s="106" t="s">
        <v>51</v>
      </c>
      <c r="C1709" s="117" t="s">
        <v>307</v>
      </c>
      <c r="D1709" s="309"/>
      <c r="E1709" s="131" t="s">
        <v>0</v>
      </c>
      <c r="F1709" s="66">
        <v>2632</v>
      </c>
      <c r="G1709" s="66"/>
      <c r="H1709" s="66"/>
      <c r="I1709" s="66"/>
      <c r="J1709" s="66"/>
      <c r="K1709" s="78"/>
      <c r="L1709" s="66"/>
      <c r="M1709" s="66">
        <f>2180+522</f>
        <v>2702</v>
      </c>
      <c r="N1709" s="110">
        <f t="shared" si="2659"/>
        <v>70</v>
      </c>
      <c r="O1709" s="110"/>
      <c r="P1709" s="66"/>
      <c r="Q1709" s="66">
        <f>522+2180</f>
        <v>2702</v>
      </c>
      <c r="R1709" s="66"/>
      <c r="S1709" s="66">
        <v>2702</v>
      </c>
      <c r="T1709" s="110">
        <f t="shared" ref="T1709" si="2668">S1709-Q1709</f>
        <v>0</v>
      </c>
      <c r="U1709" s="59">
        <f t="shared" si="2626"/>
        <v>25</v>
      </c>
      <c r="V1709" s="66"/>
      <c r="W1709" s="66">
        <v>2677</v>
      </c>
      <c r="X1709" s="110">
        <f t="shared" ref="X1709" si="2669">W1709-M1709</f>
        <v>-25</v>
      </c>
      <c r="Y1709" s="110"/>
      <c r="Z1709" s="110"/>
      <c r="AA1709" s="110"/>
      <c r="AB1709" s="46"/>
      <c r="AC1709" s="78"/>
      <c r="AD1709" s="78"/>
      <c r="AE1709" s="100">
        <f t="shared" si="2627"/>
        <v>2.6595744680851064E-2</v>
      </c>
      <c r="AF1709" s="90"/>
      <c r="AG1709" s="109">
        <f t="shared" si="2628"/>
        <v>0</v>
      </c>
      <c r="AH1709" s="100">
        <f t="shared" si="2629"/>
        <v>2.6595744680851064E-2</v>
      </c>
      <c r="AI1709" s="100">
        <f t="shared" si="2630"/>
        <v>1.7097264437689969E-2</v>
      </c>
    </row>
    <row r="1710" spans="1:35" s="79" customFormat="1" ht="15.75" customHeight="1" x14ac:dyDescent="0.3">
      <c r="A1710" s="90" t="s">
        <v>46</v>
      </c>
      <c r="B1710" s="136" t="s">
        <v>51</v>
      </c>
      <c r="C1710" s="137"/>
      <c r="D1710" s="136"/>
      <c r="E1710" s="138"/>
      <c r="F1710" s="91">
        <f>SUM(F1707:F1709)</f>
        <v>7968</v>
      </c>
      <c r="G1710" s="91"/>
      <c r="H1710" s="91"/>
      <c r="I1710" s="91"/>
      <c r="J1710" s="91" t="s">
        <v>59</v>
      </c>
      <c r="K1710" s="65" t="s">
        <v>290</v>
      </c>
      <c r="L1710" s="91">
        <f>SUM(L1707:L1709)</f>
        <v>0</v>
      </c>
      <c r="M1710" s="91">
        <f>SUM(M1707:M1709)</f>
        <v>8176</v>
      </c>
      <c r="N1710" s="91">
        <f>SUM(N1707:N1709)</f>
        <v>208</v>
      </c>
      <c r="O1710" s="91" t="s">
        <v>151</v>
      </c>
      <c r="P1710" s="91">
        <f>SUM(P1707:P1709)</f>
        <v>0</v>
      </c>
      <c r="Q1710" s="91">
        <f>SUM(Q1707:Q1709)</f>
        <v>8176</v>
      </c>
      <c r="R1710" s="91">
        <f>SUM(R1707:R1709)</f>
        <v>0</v>
      </c>
      <c r="S1710" s="91">
        <f>SUM(S1707:S1709)</f>
        <v>8176</v>
      </c>
      <c r="T1710" s="91">
        <f>SUM(T1707:T1709)</f>
        <v>0</v>
      </c>
      <c r="U1710" s="59">
        <f t="shared" si="2626"/>
        <v>60</v>
      </c>
      <c r="V1710" s="91">
        <f>SUM(V1707:V1709)</f>
        <v>0</v>
      </c>
      <c r="W1710" s="91">
        <f>SUM(W1707:W1709)</f>
        <v>8116</v>
      </c>
      <c r="X1710" s="91">
        <f>SUM(X1707:X1709)</f>
        <v>-60</v>
      </c>
      <c r="Y1710" s="136" t="s">
        <v>47</v>
      </c>
      <c r="Z1710" s="136" t="s">
        <v>45</v>
      </c>
      <c r="AA1710" s="136"/>
      <c r="AB1710" s="84"/>
      <c r="AC1710" s="90"/>
      <c r="AD1710" s="90"/>
      <c r="AE1710" s="100">
        <f t="shared" si="2627"/>
        <v>2.6104417670682729E-2</v>
      </c>
      <c r="AF1710" s="90"/>
      <c r="AG1710" s="109">
        <f t="shared" si="2628"/>
        <v>0</v>
      </c>
      <c r="AH1710" s="100">
        <f t="shared" si="2629"/>
        <v>2.6104417670682729E-2</v>
      </c>
      <c r="AI1710" s="100">
        <f t="shared" si="2630"/>
        <v>1.8574297188755019E-2</v>
      </c>
    </row>
    <row r="1711" spans="1:35" s="47" customFormat="1" ht="21" customHeight="1" x14ac:dyDescent="0.3">
      <c r="A1711" s="78"/>
      <c r="B1711" s="106" t="s">
        <v>51</v>
      </c>
      <c r="C1711" s="117">
        <v>48231</v>
      </c>
      <c r="D1711" s="299">
        <v>15324397</v>
      </c>
      <c r="E1711" s="131" t="s">
        <v>0</v>
      </c>
      <c r="F1711" s="66">
        <v>1674</v>
      </c>
      <c r="G1711" s="66"/>
      <c r="H1711" s="66"/>
      <c r="I1711" s="66"/>
      <c r="J1711" s="66"/>
      <c r="K1711" s="78"/>
      <c r="L1711" s="66"/>
      <c r="M1711" s="66"/>
      <c r="N1711" s="110">
        <f t="shared" ref="N1711:N1713" si="2670">M1711-F1711</f>
        <v>-1674</v>
      </c>
      <c r="O1711" s="110"/>
      <c r="P1711" s="66"/>
      <c r="Q1711" s="66"/>
      <c r="R1711" s="66"/>
      <c r="S1711" s="66"/>
      <c r="T1711" s="110">
        <f>S1711-Q1711</f>
        <v>0</v>
      </c>
      <c r="U1711" s="59">
        <f t="shared" si="2575"/>
        <v>0</v>
      </c>
      <c r="V1711" s="66"/>
      <c r="W1711" s="66"/>
      <c r="X1711" s="110">
        <f>W1711-M1711</f>
        <v>0</v>
      </c>
      <c r="Y1711" s="110"/>
      <c r="Z1711" s="110"/>
      <c r="AA1711" s="110"/>
      <c r="AB1711" s="46"/>
      <c r="AC1711" s="78"/>
      <c r="AD1711" s="78"/>
      <c r="AE1711" s="100">
        <f t="shared" ref="AE1711:AE1714" si="2671">N1711/F1711</f>
        <v>-1</v>
      </c>
      <c r="AF1711" s="90"/>
      <c r="AG1711" s="109">
        <f t="shared" ref="AG1711:AG1714" si="2672">IF(N1711&lt;0,N1711,0)</f>
        <v>-1674</v>
      </c>
      <c r="AH1711" s="100">
        <f t="shared" ref="AH1711:AH1714" si="2673">(S1711-F1711)/F1711</f>
        <v>-1</v>
      </c>
      <c r="AI1711" s="100">
        <f t="shared" ref="AI1711:AI1714" si="2674">(W1711-F1711)/F1711</f>
        <v>-1</v>
      </c>
    </row>
    <row r="1712" spans="1:35" s="47" customFormat="1" ht="21" customHeight="1" x14ac:dyDescent="0.3">
      <c r="A1712" s="78"/>
      <c r="B1712" s="106" t="s">
        <v>51</v>
      </c>
      <c r="C1712" s="117">
        <v>48231</v>
      </c>
      <c r="D1712" s="300"/>
      <c r="E1712" s="131" t="s">
        <v>181</v>
      </c>
      <c r="F1712" s="66">
        <v>678</v>
      </c>
      <c r="G1712" s="66"/>
      <c r="H1712" s="66"/>
      <c r="I1712" s="66"/>
      <c r="J1712" s="66"/>
      <c r="K1712" s="78"/>
      <c r="L1712" s="66"/>
      <c r="M1712" s="66"/>
      <c r="N1712" s="110">
        <f t="shared" ref="N1712" si="2675">M1712-F1712</f>
        <v>-678</v>
      </c>
      <c r="O1712" s="110"/>
      <c r="P1712" s="66"/>
      <c r="Q1712" s="66"/>
      <c r="R1712" s="66"/>
      <c r="S1712" s="66"/>
      <c r="T1712" s="110">
        <f t="shared" ref="T1712" si="2676">S1712-Q1712</f>
        <v>0</v>
      </c>
      <c r="U1712" s="59">
        <f t="shared" ref="U1712" si="2677">IF(Q1712&gt;0,S1712-W1712,M1712-W1712)</f>
        <v>0</v>
      </c>
      <c r="V1712" s="66"/>
      <c r="W1712" s="66"/>
      <c r="X1712" s="110">
        <f t="shared" ref="X1712" si="2678">W1712-M1712</f>
        <v>0</v>
      </c>
      <c r="Y1712" s="110"/>
      <c r="Z1712" s="110"/>
      <c r="AA1712" s="110"/>
      <c r="AB1712" s="46"/>
      <c r="AC1712" s="78"/>
      <c r="AD1712" s="78"/>
      <c r="AE1712" s="100">
        <f t="shared" ref="AE1712" si="2679">N1712/F1712</f>
        <v>-1</v>
      </c>
      <c r="AF1712" s="90"/>
      <c r="AG1712" s="109">
        <f t="shared" ref="AG1712" si="2680">IF(N1712&lt;0,N1712,0)</f>
        <v>-678</v>
      </c>
      <c r="AH1712" s="100">
        <f t="shared" ref="AH1712" si="2681">(S1712-F1712)/F1712</f>
        <v>-1</v>
      </c>
      <c r="AI1712" s="100">
        <f t="shared" ref="AI1712" si="2682">(W1712-F1712)/F1712</f>
        <v>-1</v>
      </c>
    </row>
    <row r="1713" spans="1:35" s="47" customFormat="1" ht="21" customHeight="1" x14ac:dyDescent="0.3">
      <c r="A1713" s="78"/>
      <c r="B1713" s="106" t="s">
        <v>51</v>
      </c>
      <c r="C1713" s="117">
        <v>48231</v>
      </c>
      <c r="D1713" s="309"/>
      <c r="E1713" s="131" t="s">
        <v>745</v>
      </c>
      <c r="F1713" s="66">
        <v>426</v>
      </c>
      <c r="G1713" s="66"/>
      <c r="H1713" s="66"/>
      <c r="I1713" s="66"/>
      <c r="J1713" s="66"/>
      <c r="K1713" s="78"/>
      <c r="L1713" s="66"/>
      <c r="M1713" s="66"/>
      <c r="N1713" s="110">
        <f t="shared" si="2670"/>
        <v>-426</v>
      </c>
      <c r="O1713" s="110"/>
      <c r="P1713" s="66"/>
      <c r="Q1713" s="66"/>
      <c r="R1713" s="66"/>
      <c r="S1713" s="66"/>
      <c r="T1713" s="110">
        <f t="shared" ref="T1713" si="2683">S1713-Q1713</f>
        <v>0</v>
      </c>
      <c r="U1713" s="59">
        <f t="shared" si="2575"/>
        <v>0</v>
      </c>
      <c r="V1713" s="66"/>
      <c r="W1713" s="66"/>
      <c r="X1713" s="110">
        <f t="shared" ref="X1713" si="2684">W1713-M1713</f>
        <v>0</v>
      </c>
      <c r="Y1713" s="110"/>
      <c r="Z1713" s="110"/>
      <c r="AA1713" s="110"/>
      <c r="AB1713" s="46"/>
      <c r="AC1713" s="78"/>
      <c r="AD1713" s="78"/>
      <c r="AE1713" s="100">
        <f t="shared" si="2671"/>
        <v>-1</v>
      </c>
      <c r="AF1713" s="90"/>
      <c r="AG1713" s="109">
        <f t="shared" si="2672"/>
        <v>-426</v>
      </c>
      <c r="AH1713" s="100">
        <f t="shared" si="2673"/>
        <v>-1</v>
      </c>
      <c r="AI1713" s="100">
        <f t="shared" si="2674"/>
        <v>-1</v>
      </c>
    </row>
    <row r="1714" spans="1:35" s="79" customFormat="1" ht="15.75" customHeight="1" x14ac:dyDescent="0.3">
      <c r="A1714" s="90" t="s">
        <v>46</v>
      </c>
      <c r="B1714" s="136" t="s">
        <v>51</v>
      </c>
      <c r="C1714" s="137"/>
      <c r="D1714" s="136"/>
      <c r="E1714" s="138"/>
      <c r="F1714" s="91">
        <f>SUM(F1711:F1713)</f>
        <v>2778</v>
      </c>
      <c r="G1714" s="91"/>
      <c r="H1714" s="91"/>
      <c r="I1714" s="91"/>
      <c r="J1714" s="91"/>
      <c r="K1714" s="65" t="s">
        <v>508</v>
      </c>
      <c r="L1714" s="91">
        <f>SUM(L1711:L1713)</f>
        <v>0</v>
      </c>
      <c r="M1714" s="91">
        <f>SUM(M1711:M1713)</f>
        <v>0</v>
      </c>
      <c r="N1714" s="91">
        <f>SUM(N1711:N1713)</f>
        <v>-2778</v>
      </c>
      <c r="O1714" s="91"/>
      <c r="P1714" s="91">
        <f>SUM(P1711:P1713)</f>
        <v>0</v>
      </c>
      <c r="Q1714" s="91">
        <f>SUM(Q1711:Q1713)</f>
        <v>0</v>
      </c>
      <c r="R1714" s="91">
        <f>SUM(R1711:R1713)</f>
        <v>0</v>
      </c>
      <c r="S1714" s="91">
        <f>SUM(S1711:S1713)</f>
        <v>0</v>
      </c>
      <c r="T1714" s="91">
        <f>SUM(T1711:T1713)</f>
        <v>0</v>
      </c>
      <c r="U1714" s="59">
        <f t="shared" si="2575"/>
        <v>0</v>
      </c>
      <c r="V1714" s="91">
        <f>SUM(V1711:V1713)</f>
        <v>0</v>
      </c>
      <c r="W1714" s="91">
        <f>SUM(W1711:W1713)</f>
        <v>0</v>
      </c>
      <c r="X1714" s="91">
        <f>SUM(X1711:X1713)</f>
        <v>0</v>
      </c>
      <c r="Y1714" s="136"/>
      <c r="Z1714" s="136"/>
      <c r="AA1714" s="136"/>
      <c r="AB1714" s="84"/>
      <c r="AC1714" s="90"/>
      <c r="AD1714" s="90"/>
      <c r="AE1714" s="100">
        <f t="shared" si="2671"/>
        <v>-1</v>
      </c>
      <c r="AF1714" s="90"/>
      <c r="AG1714" s="109">
        <f t="shared" si="2672"/>
        <v>-2778</v>
      </c>
      <c r="AH1714" s="100">
        <f t="shared" si="2673"/>
        <v>-1</v>
      </c>
      <c r="AI1714" s="100">
        <f t="shared" si="2674"/>
        <v>-1</v>
      </c>
    </row>
    <row r="1715" spans="1:35" s="47" customFormat="1" ht="21" customHeight="1" x14ac:dyDescent="0.3">
      <c r="A1715" s="78"/>
      <c r="B1715" s="106" t="s">
        <v>51</v>
      </c>
      <c r="C1715" s="117" t="s">
        <v>642</v>
      </c>
      <c r="D1715" s="299">
        <v>15337134</v>
      </c>
      <c r="E1715" s="131" t="s">
        <v>643</v>
      </c>
      <c r="F1715" s="66">
        <v>1128</v>
      </c>
      <c r="G1715" s="66"/>
      <c r="H1715" s="66"/>
      <c r="I1715" s="66"/>
      <c r="J1715" s="66"/>
      <c r="K1715" s="78"/>
      <c r="L1715" s="66"/>
      <c r="M1715" s="66"/>
      <c r="N1715" s="110">
        <f t="shared" ref="N1715:N1720" si="2685">M1715-F1715</f>
        <v>-1128</v>
      </c>
      <c r="O1715" s="110"/>
      <c r="P1715" s="66"/>
      <c r="Q1715" s="66"/>
      <c r="R1715" s="66"/>
      <c r="S1715" s="66"/>
      <c r="T1715" s="110">
        <f>S1715-Q1715</f>
        <v>0</v>
      </c>
      <c r="U1715" s="59">
        <f t="shared" ref="U1715:U2126" si="2686">IF(Q1715&gt;0,S1715-W1715,M1715-W1715)</f>
        <v>0</v>
      </c>
      <c r="V1715" s="66"/>
      <c r="W1715" s="66"/>
      <c r="X1715" s="110">
        <f>W1715-M1715</f>
        <v>0</v>
      </c>
      <c r="Y1715" s="110"/>
      <c r="Z1715" s="110"/>
      <c r="AA1715" s="110"/>
      <c r="AB1715" s="46"/>
      <c r="AC1715" s="78"/>
      <c r="AD1715" s="78"/>
      <c r="AE1715" s="100">
        <f t="shared" ref="AE1715:AE2126" si="2687">N1715/F1715</f>
        <v>-1</v>
      </c>
      <c r="AF1715" s="90"/>
      <c r="AG1715" s="109">
        <f t="shared" ref="AG1715:AG2126" si="2688">IF(N1715&lt;0,N1715,0)</f>
        <v>-1128</v>
      </c>
      <c r="AH1715" s="100">
        <f t="shared" ref="AH1715:AH2126" si="2689">(S1715-F1715)/F1715</f>
        <v>-1</v>
      </c>
      <c r="AI1715" s="100">
        <f t="shared" ref="AI1715:AI2126" si="2690">(W1715-F1715)/F1715</f>
        <v>-1</v>
      </c>
    </row>
    <row r="1716" spans="1:35" s="47" customFormat="1" ht="21" customHeight="1" x14ac:dyDescent="0.3">
      <c r="A1716" s="78"/>
      <c r="B1716" s="106" t="s">
        <v>51</v>
      </c>
      <c r="C1716" s="117" t="s">
        <v>642</v>
      </c>
      <c r="D1716" s="300"/>
      <c r="E1716" s="131" t="s">
        <v>644</v>
      </c>
      <c r="F1716" s="66">
        <v>384</v>
      </c>
      <c r="G1716" s="66"/>
      <c r="H1716" s="66"/>
      <c r="I1716" s="66"/>
      <c r="J1716" s="66"/>
      <c r="K1716" s="78"/>
      <c r="L1716" s="66"/>
      <c r="M1716" s="66"/>
      <c r="N1716" s="110">
        <f t="shared" ref="N1716:N1718" si="2691">M1716-F1716</f>
        <v>-384</v>
      </c>
      <c r="O1716" s="110"/>
      <c r="P1716" s="66"/>
      <c r="Q1716" s="66"/>
      <c r="R1716" s="66"/>
      <c r="S1716" s="66"/>
      <c r="T1716" s="110">
        <f t="shared" ref="T1716:T1718" si="2692">S1716-Q1716</f>
        <v>0</v>
      </c>
      <c r="U1716" s="59">
        <f t="shared" ref="U1716:U1718" si="2693">IF(Q1716&gt;0,S1716-W1716,M1716-W1716)</f>
        <v>0</v>
      </c>
      <c r="V1716" s="66"/>
      <c r="W1716" s="66"/>
      <c r="X1716" s="110">
        <f t="shared" ref="X1716:X1718" si="2694">W1716-M1716</f>
        <v>0</v>
      </c>
      <c r="Y1716" s="110"/>
      <c r="Z1716" s="110"/>
      <c r="AA1716" s="110"/>
      <c r="AB1716" s="46"/>
      <c r="AC1716" s="78"/>
      <c r="AD1716" s="78"/>
      <c r="AE1716" s="100">
        <f t="shared" ref="AE1716:AE1718" si="2695">N1716/F1716</f>
        <v>-1</v>
      </c>
      <c r="AF1716" s="90"/>
      <c r="AG1716" s="109">
        <f t="shared" ref="AG1716:AG1718" si="2696">IF(N1716&lt;0,N1716,0)</f>
        <v>-384</v>
      </c>
      <c r="AH1716" s="100">
        <f t="shared" ref="AH1716:AH1718" si="2697">(S1716-F1716)/F1716</f>
        <v>-1</v>
      </c>
      <c r="AI1716" s="100">
        <f t="shared" ref="AI1716:AI1718" si="2698">(W1716-F1716)/F1716</f>
        <v>-1</v>
      </c>
    </row>
    <row r="1717" spans="1:35" s="47" customFormat="1" ht="21" customHeight="1" x14ac:dyDescent="0.3">
      <c r="A1717" s="78"/>
      <c r="B1717" s="106" t="s">
        <v>51</v>
      </c>
      <c r="C1717" s="117" t="s">
        <v>642</v>
      </c>
      <c r="D1717" s="300"/>
      <c r="E1717" s="131" t="s">
        <v>645</v>
      </c>
      <c r="F1717" s="66">
        <v>984</v>
      </c>
      <c r="G1717" s="66"/>
      <c r="H1717" s="66"/>
      <c r="I1717" s="66"/>
      <c r="J1717" s="66"/>
      <c r="K1717" s="78"/>
      <c r="L1717" s="66"/>
      <c r="M1717" s="66"/>
      <c r="N1717" s="110">
        <f t="shared" ref="N1717" si="2699">M1717-F1717</f>
        <v>-984</v>
      </c>
      <c r="O1717" s="110"/>
      <c r="P1717" s="66"/>
      <c r="Q1717" s="66"/>
      <c r="R1717" s="66"/>
      <c r="S1717" s="66"/>
      <c r="T1717" s="110">
        <f t="shared" ref="T1717" si="2700">S1717-Q1717</f>
        <v>0</v>
      </c>
      <c r="U1717" s="59">
        <f t="shared" ref="U1717" si="2701">IF(Q1717&gt;0,S1717-W1717,M1717-W1717)</f>
        <v>0</v>
      </c>
      <c r="V1717" s="66"/>
      <c r="W1717" s="66"/>
      <c r="X1717" s="110">
        <f t="shared" ref="X1717" si="2702">W1717-M1717</f>
        <v>0</v>
      </c>
      <c r="Y1717" s="110"/>
      <c r="Z1717" s="110"/>
      <c r="AA1717" s="110"/>
      <c r="AB1717" s="46"/>
      <c r="AC1717" s="78"/>
      <c r="AD1717" s="78"/>
      <c r="AE1717" s="100">
        <f t="shared" ref="AE1717" si="2703">N1717/F1717</f>
        <v>-1</v>
      </c>
      <c r="AF1717" s="90"/>
      <c r="AG1717" s="109">
        <f t="shared" ref="AG1717" si="2704">IF(N1717&lt;0,N1717,0)</f>
        <v>-984</v>
      </c>
      <c r="AH1717" s="100">
        <f t="shared" ref="AH1717" si="2705">(S1717-F1717)/F1717</f>
        <v>-1</v>
      </c>
      <c r="AI1717" s="100">
        <f t="shared" ref="AI1717" si="2706">(W1717-F1717)/F1717</f>
        <v>-1</v>
      </c>
    </row>
    <row r="1718" spans="1:35" s="47" customFormat="1" ht="21" customHeight="1" x14ac:dyDescent="0.3">
      <c r="A1718" s="78"/>
      <c r="B1718" s="106" t="s">
        <v>51</v>
      </c>
      <c r="C1718" s="117" t="s">
        <v>642</v>
      </c>
      <c r="D1718" s="300"/>
      <c r="E1718" s="131" t="s">
        <v>646</v>
      </c>
      <c r="F1718" s="66">
        <v>2429</v>
      </c>
      <c r="G1718" s="66"/>
      <c r="H1718" s="66"/>
      <c r="I1718" s="66"/>
      <c r="J1718" s="66"/>
      <c r="K1718" s="78"/>
      <c r="L1718" s="66"/>
      <c r="M1718" s="66">
        <f>1316+1166</f>
        <v>2482</v>
      </c>
      <c r="N1718" s="110">
        <f t="shared" si="2691"/>
        <v>53</v>
      </c>
      <c r="O1718" s="110"/>
      <c r="P1718" s="66"/>
      <c r="Q1718" s="66"/>
      <c r="R1718" s="66"/>
      <c r="S1718" s="66"/>
      <c r="T1718" s="110">
        <f t="shared" si="2692"/>
        <v>0</v>
      </c>
      <c r="U1718" s="59">
        <f t="shared" si="2693"/>
        <v>2482</v>
      </c>
      <c r="V1718" s="66"/>
      <c r="W1718" s="66"/>
      <c r="X1718" s="110">
        <f t="shared" si="2694"/>
        <v>-2482</v>
      </c>
      <c r="Y1718" s="110"/>
      <c r="Z1718" s="110"/>
      <c r="AA1718" s="110"/>
      <c r="AB1718" s="46"/>
      <c r="AC1718" s="78"/>
      <c r="AD1718" s="78"/>
      <c r="AE1718" s="100">
        <f t="shared" si="2695"/>
        <v>2.1819678880197611E-2</v>
      </c>
      <c r="AF1718" s="90"/>
      <c r="AG1718" s="109">
        <f t="shared" si="2696"/>
        <v>0</v>
      </c>
      <c r="AH1718" s="100">
        <f t="shared" si="2697"/>
        <v>-1</v>
      </c>
      <c r="AI1718" s="100">
        <f t="shared" si="2698"/>
        <v>-1</v>
      </c>
    </row>
    <row r="1719" spans="1:35" s="47" customFormat="1" ht="21" customHeight="1" x14ac:dyDescent="0.3">
      <c r="A1719" s="78"/>
      <c r="B1719" s="106" t="s">
        <v>51</v>
      </c>
      <c r="C1719" s="117" t="s">
        <v>642</v>
      </c>
      <c r="D1719" s="300"/>
      <c r="E1719" s="131" t="s">
        <v>647</v>
      </c>
      <c r="F1719" s="66">
        <v>3872</v>
      </c>
      <c r="G1719" s="66"/>
      <c r="H1719" s="66"/>
      <c r="I1719" s="66"/>
      <c r="J1719" s="66"/>
      <c r="K1719" s="78"/>
      <c r="L1719" s="66"/>
      <c r="M1719" s="66">
        <f>800+1122+979+934</f>
        <v>3835</v>
      </c>
      <c r="N1719" s="110">
        <f t="shared" si="2685"/>
        <v>-37</v>
      </c>
      <c r="O1719" s="110"/>
      <c r="P1719" s="66"/>
      <c r="Q1719" s="66"/>
      <c r="R1719" s="66"/>
      <c r="S1719" s="66"/>
      <c r="T1719" s="110">
        <f t="shared" ref="T1719:T1720" si="2707">S1719-Q1719</f>
        <v>0</v>
      </c>
      <c r="U1719" s="59">
        <f t="shared" si="2686"/>
        <v>3835</v>
      </c>
      <c r="V1719" s="66"/>
      <c r="W1719" s="66"/>
      <c r="X1719" s="110">
        <f t="shared" ref="X1719:X1720" si="2708">W1719-M1719</f>
        <v>-3835</v>
      </c>
      <c r="Y1719" s="110"/>
      <c r="Z1719" s="110"/>
      <c r="AA1719" s="110"/>
      <c r="AB1719" s="46"/>
      <c r="AC1719" s="78"/>
      <c r="AD1719" s="78"/>
      <c r="AE1719" s="100">
        <f t="shared" si="2687"/>
        <v>-9.5557851239669415E-3</v>
      </c>
      <c r="AF1719" s="90"/>
      <c r="AG1719" s="109">
        <f t="shared" si="2688"/>
        <v>-37</v>
      </c>
      <c r="AH1719" s="100">
        <f t="shared" si="2689"/>
        <v>-1</v>
      </c>
      <c r="AI1719" s="100">
        <f t="shared" si="2690"/>
        <v>-1</v>
      </c>
    </row>
    <row r="1720" spans="1:35" s="47" customFormat="1" ht="21" customHeight="1" x14ac:dyDescent="0.3">
      <c r="A1720" s="78"/>
      <c r="B1720" s="106" t="s">
        <v>51</v>
      </c>
      <c r="C1720" s="117" t="s">
        <v>642</v>
      </c>
      <c r="D1720" s="300"/>
      <c r="E1720" s="131" t="s">
        <v>648</v>
      </c>
      <c r="F1720" s="66">
        <v>3074</v>
      </c>
      <c r="G1720" s="66"/>
      <c r="H1720" s="66"/>
      <c r="I1720" s="66"/>
      <c r="J1720" s="66"/>
      <c r="K1720" s="78"/>
      <c r="L1720" s="66"/>
      <c r="M1720" s="66">
        <f>856+590+613+1106</f>
        <v>3165</v>
      </c>
      <c r="N1720" s="110">
        <f t="shared" si="2685"/>
        <v>91</v>
      </c>
      <c r="O1720" s="110"/>
      <c r="P1720" s="66"/>
      <c r="Q1720" s="66"/>
      <c r="R1720" s="66"/>
      <c r="S1720" s="66"/>
      <c r="T1720" s="110">
        <f t="shared" si="2707"/>
        <v>0</v>
      </c>
      <c r="U1720" s="59">
        <f t="shared" si="2686"/>
        <v>2063</v>
      </c>
      <c r="V1720" s="66"/>
      <c r="W1720" s="66">
        <f>1102</f>
        <v>1102</v>
      </c>
      <c r="X1720" s="110">
        <f t="shared" si="2708"/>
        <v>-2063</v>
      </c>
      <c r="Y1720" s="110"/>
      <c r="Z1720" s="110"/>
      <c r="AA1720" s="110"/>
      <c r="AB1720" s="46"/>
      <c r="AC1720" s="78"/>
      <c r="AD1720" s="78"/>
      <c r="AE1720" s="100">
        <f t="shared" si="2687"/>
        <v>2.9603122966818479E-2</v>
      </c>
      <c r="AF1720" s="90"/>
      <c r="AG1720" s="109">
        <f t="shared" si="2688"/>
        <v>0</v>
      </c>
      <c r="AH1720" s="100">
        <f t="shared" si="2689"/>
        <v>-1</v>
      </c>
      <c r="AI1720" s="100">
        <f t="shared" si="2690"/>
        <v>-0.64150943396226412</v>
      </c>
    </row>
    <row r="1721" spans="1:35" s="79" customFormat="1" ht="15.75" customHeight="1" x14ac:dyDescent="0.3">
      <c r="A1721" s="90" t="s">
        <v>46</v>
      </c>
      <c r="B1721" s="136" t="s">
        <v>51</v>
      </c>
      <c r="C1721" s="137"/>
      <c r="D1721" s="136"/>
      <c r="E1721" s="138"/>
      <c r="F1721" s="91">
        <f>SUM(F1715:F1720)</f>
        <v>11871</v>
      </c>
      <c r="G1721" s="91"/>
      <c r="H1721" s="91"/>
      <c r="I1721" s="91"/>
      <c r="J1721" s="91" t="s">
        <v>59</v>
      </c>
      <c r="K1721" s="65" t="s">
        <v>436</v>
      </c>
      <c r="L1721" s="91">
        <f>SUM(L1715:L1720)</f>
        <v>0</v>
      </c>
      <c r="M1721" s="91">
        <f>SUM(M1715:M1720)</f>
        <v>9482</v>
      </c>
      <c r="N1721" s="91">
        <f>SUM(N1715:N1720)</f>
        <v>-2389</v>
      </c>
      <c r="O1721" s="91"/>
      <c r="P1721" s="91">
        <f>SUM(P1715:P1720)</f>
        <v>0</v>
      </c>
      <c r="Q1721" s="91">
        <f>SUM(Q1715:Q1720)</f>
        <v>0</v>
      </c>
      <c r="R1721" s="91">
        <f>SUM(R1715:R1720)</f>
        <v>0</v>
      </c>
      <c r="S1721" s="91">
        <f>SUM(S1715:S1720)</f>
        <v>0</v>
      </c>
      <c r="T1721" s="91">
        <f>SUM(T1715:T1720)</f>
        <v>0</v>
      </c>
      <c r="U1721" s="59">
        <f t="shared" si="2686"/>
        <v>8380</v>
      </c>
      <c r="V1721" s="91">
        <f>SUM(V1715:V1720)</f>
        <v>0</v>
      </c>
      <c r="W1721" s="91">
        <f>SUM(W1715:W1720)</f>
        <v>1102</v>
      </c>
      <c r="X1721" s="91">
        <f>SUM(X1715:X1720)</f>
        <v>-8380</v>
      </c>
      <c r="Y1721" s="136"/>
      <c r="Z1721" s="136"/>
      <c r="AA1721" s="136"/>
      <c r="AB1721" s="84"/>
      <c r="AC1721" s="90"/>
      <c r="AD1721" s="90"/>
      <c r="AE1721" s="100">
        <f t="shared" si="2687"/>
        <v>-0.20124673574256591</v>
      </c>
      <c r="AF1721" s="90"/>
      <c r="AG1721" s="109">
        <f t="shared" si="2688"/>
        <v>-2389</v>
      </c>
      <c r="AH1721" s="100">
        <f t="shared" si="2689"/>
        <v>-1</v>
      </c>
      <c r="AI1721" s="100">
        <f t="shared" si="2690"/>
        <v>-0.907168730519754</v>
      </c>
    </row>
    <row r="1722" spans="1:35" s="47" customFormat="1" ht="21" customHeight="1" x14ac:dyDescent="0.3">
      <c r="A1722" s="78"/>
      <c r="B1722" s="106" t="s">
        <v>51</v>
      </c>
      <c r="C1722" s="117">
        <v>48182</v>
      </c>
      <c r="D1722" s="299">
        <v>15342184</v>
      </c>
      <c r="E1722" s="131" t="s">
        <v>0</v>
      </c>
      <c r="F1722" s="66">
        <v>1154</v>
      </c>
      <c r="G1722" s="66"/>
      <c r="H1722" s="66"/>
      <c r="I1722" s="66"/>
      <c r="J1722" s="66"/>
      <c r="K1722" s="78"/>
      <c r="L1722" s="66"/>
      <c r="M1722" s="66"/>
      <c r="N1722" s="110">
        <f t="shared" ref="N1722:N1723" si="2709">M1722-F1722</f>
        <v>-1154</v>
      </c>
      <c r="O1722" s="110"/>
      <c r="P1722" s="66"/>
      <c r="Q1722" s="66"/>
      <c r="R1722" s="66"/>
      <c r="S1722" s="66"/>
      <c r="T1722" s="110">
        <f>S1722-Q1722</f>
        <v>0</v>
      </c>
      <c r="U1722" s="59">
        <f t="shared" si="2686"/>
        <v>0</v>
      </c>
      <c r="V1722" s="66"/>
      <c r="W1722" s="66"/>
      <c r="X1722" s="110">
        <f>W1722-M1722</f>
        <v>0</v>
      </c>
      <c r="Y1722" s="110"/>
      <c r="Z1722" s="110"/>
      <c r="AA1722" s="110"/>
      <c r="AB1722" s="46"/>
      <c r="AC1722" s="78"/>
      <c r="AD1722" s="78"/>
      <c r="AE1722" s="100">
        <f t="shared" si="2687"/>
        <v>-1</v>
      </c>
      <c r="AF1722" s="90"/>
      <c r="AG1722" s="109">
        <f t="shared" si="2688"/>
        <v>-1154</v>
      </c>
      <c r="AH1722" s="100">
        <f t="shared" si="2689"/>
        <v>-1</v>
      </c>
      <c r="AI1722" s="100">
        <f t="shared" si="2690"/>
        <v>-1</v>
      </c>
    </row>
    <row r="1723" spans="1:35" s="47" customFormat="1" ht="21" customHeight="1" x14ac:dyDescent="0.3">
      <c r="A1723" s="78"/>
      <c r="B1723" s="106" t="s">
        <v>51</v>
      </c>
      <c r="C1723" s="117">
        <v>48182</v>
      </c>
      <c r="D1723" s="300"/>
      <c r="E1723" s="131" t="s">
        <v>124</v>
      </c>
      <c r="F1723" s="66">
        <v>588</v>
      </c>
      <c r="G1723" s="66"/>
      <c r="H1723" s="66"/>
      <c r="I1723" s="66"/>
      <c r="J1723" s="66"/>
      <c r="K1723" s="78"/>
      <c r="L1723" s="66"/>
      <c r="M1723" s="66"/>
      <c r="N1723" s="110">
        <f t="shared" si="2709"/>
        <v>-588</v>
      </c>
      <c r="O1723" s="110"/>
      <c r="P1723" s="66"/>
      <c r="Q1723" s="66"/>
      <c r="R1723" s="66"/>
      <c r="S1723" s="66"/>
      <c r="T1723" s="110">
        <f t="shared" ref="T1723" si="2710">S1723-Q1723</f>
        <v>0</v>
      </c>
      <c r="U1723" s="59">
        <f t="shared" si="2686"/>
        <v>0</v>
      </c>
      <c r="V1723" s="66"/>
      <c r="W1723" s="66"/>
      <c r="X1723" s="110">
        <f t="shared" ref="X1723" si="2711">W1723-M1723</f>
        <v>0</v>
      </c>
      <c r="Y1723" s="110"/>
      <c r="Z1723" s="110"/>
      <c r="AA1723" s="110"/>
      <c r="AB1723" s="46"/>
      <c r="AC1723" s="78"/>
      <c r="AD1723" s="78"/>
      <c r="AE1723" s="100">
        <f t="shared" si="2687"/>
        <v>-1</v>
      </c>
      <c r="AF1723" s="90"/>
      <c r="AG1723" s="109">
        <f t="shared" si="2688"/>
        <v>-588</v>
      </c>
      <c r="AH1723" s="100">
        <f t="shared" si="2689"/>
        <v>-1</v>
      </c>
      <c r="AI1723" s="100">
        <f t="shared" si="2690"/>
        <v>-1</v>
      </c>
    </row>
    <row r="1724" spans="1:35" s="79" customFormat="1" ht="15.75" customHeight="1" x14ac:dyDescent="0.3">
      <c r="A1724" s="90" t="s">
        <v>46</v>
      </c>
      <c r="B1724" s="136" t="s">
        <v>51</v>
      </c>
      <c r="C1724" s="137"/>
      <c r="D1724" s="136"/>
      <c r="E1724" s="138"/>
      <c r="F1724" s="91">
        <f>SUM(F1722:F1723)</f>
        <v>1742</v>
      </c>
      <c r="G1724" s="91"/>
      <c r="H1724" s="91"/>
      <c r="I1724" s="91"/>
      <c r="J1724" s="91"/>
      <c r="K1724" s="65" t="s">
        <v>617</v>
      </c>
      <c r="L1724" s="91">
        <f>SUM(L1722:L1723)</f>
        <v>0</v>
      </c>
      <c r="M1724" s="91">
        <f>SUM(M1722:M1723)</f>
        <v>0</v>
      </c>
      <c r="N1724" s="91">
        <f>SUM(N1722:N1723)</f>
        <v>-1742</v>
      </c>
      <c r="O1724" s="91"/>
      <c r="P1724" s="91">
        <f>SUM(P1722:P1723)</f>
        <v>0</v>
      </c>
      <c r="Q1724" s="91">
        <f>SUM(Q1722:Q1723)</f>
        <v>0</v>
      </c>
      <c r="R1724" s="91">
        <f>SUM(R1722:R1723)</f>
        <v>0</v>
      </c>
      <c r="S1724" s="91">
        <f>SUM(S1722:S1723)</f>
        <v>0</v>
      </c>
      <c r="T1724" s="91">
        <f>SUM(T1722:T1723)</f>
        <v>0</v>
      </c>
      <c r="U1724" s="59">
        <f t="shared" si="2686"/>
        <v>0</v>
      </c>
      <c r="V1724" s="91">
        <f>SUM(V1722:V1723)</f>
        <v>0</v>
      </c>
      <c r="W1724" s="91">
        <f>SUM(W1722:W1723)</f>
        <v>0</v>
      </c>
      <c r="X1724" s="91">
        <f>SUM(X1722:X1723)</f>
        <v>0</v>
      </c>
      <c r="Y1724" s="136"/>
      <c r="Z1724" s="136"/>
      <c r="AA1724" s="136"/>
      <c r="AB1724" s="84"/>
      <c r="AC1724" s="90"/>
      <c r="AD1724" s="90"/>
      <c r="AE1724" s="100">
        <f t="shared" si="2687"/>
        <v>-1</v>
      </c>
      <c r="AF1724" s="90"/>
      <c r="AG1724" s="109">
        <f t="shared" si="2688"/>
        <v>-1742</v>
      </c>
      <c r="AH1724" s="100">
        <f t="shared" si="2689"/>
        <v>-1</v>
      </c>
      <c r="AI1724" s="100">
        <f t="shared" si="2690"/>
        <v>-1</v>
      </c>
    </row>
    <row r="1725" spans="1:35" s="47" customFormat="1" ht="21" customHeight="1" x14ac:dyDescent="0.3">
      <c r="A1725" s="78"/>
      <c r="B1725" s="106" t="s">
        <v>51</v>
      </c>
      <c r="C1725" s="117" t="s">
        <v>862</v>
      </c>
      <c r="D1725" s="299">
        <v>15308926</v>
      </c>
      <c r="E1725" s="131" t="s">
        <v>228</v>
      </c>
      <c r="F1725" s="66">
        <v>48</v>
      </c>
      <c r="G1725" s="66"/>
      <c r="H1725" s="66"/>
      <c r="I1725" s="66"/>
      <c r="J1725" s="66"/>
      <c r="K1725" s="78"/>
      <c r="L1725" s="66"/>
      <c r="M1725" s="66">
        <f>60</f>
        <v>60</v>
      </c>
      <c r="N1725" s="110">
        <f t="shared" ref="N1725:N1730" si="2712">M1725-F1725</f>
        <v>12</v>
      </c>
      <c r="O1725" s="110"/>
      <c r="P1725" s="66"/>
      <c r="Q1725" s="66"/>
      <c r="R1725" s="66"/>
      <c r="S1725" s="66"/>
      <c r="T1725" s="110">
        <f>S1725-Q1725</f>
        <v>0</v>
      </c>
      <c r="U1725" s="59">
        <f t="shared" ref="U1725:U1731" si="2713">IF(Q1725&gt;0,S1725-W1725,M1725-W1725)</f>
        <v>60</v>
      </c>
      <c r="V1725" s="66"/>
      <c r="W1725" s="66"/>
      <c r="X1725" s="110">
        <f>W1725-M1725</f>
        <v>-60</v>
      </c>
      <c r="Y1725" s="110"/>
      <c r="Z1725" s="110"/>
      <c r="AA1725" s="110"/>
      <c r="AB1725" s="46"/>
      <c r="AC1725" s="78"/>
      <c r="AD1725" s="78"/>
      <c r="AE1725" s="100">
        <f t="shared" ref="AE1725:AE1731" si="2714">N1725/F1725</f>
        <v>0.25</v>
      </c>
      <c r="AF1725" s="90"/>
      <c r="AG1725" s="109">
        <f t="shared" ref="AG1725:AG1731" si="2715">IF(N1725&lt;0,N1725,0)</f>
        <v>0</v>
      </c>
      <c r="AH1725" s="100">
        <f t="shared" ref="AH1725:AH1731" si="2716">(S1725-F1725)/F1725</f>
        <v>-1</v>
      </c>
      <c r="AI1725" s="100">
        <f t="shared" ref="AI1725:AI1731" si="2717">(W1725-F1725)/F1725</f>
        <v>-1</v>
      </c>
    </row>
    <row r="1726" spans="1:35" s="47" customFormat="1" ht="21" customHeight="1" x14ac:dyDescent="0.3">
      <c r="A1726" s="78"/>
      <c r="B1726" s="106" t="s">
        <v>51</v>
      </c>
      <c r="C1726" s="117" t="s">
        <v>862</v>
      </c>
      <c r="D1726" s="300"/>
      <c r="E1726" s="131" t="s">
        <v>856</v>
      </c>
      <c r="F1726" s="66">
        <v>66</v>
      </c>
      <c r="G1726" s="66"/>
      <c r="H1726" s="66"/>
      <c r="I1726" s="66"/>
      <c r="J1726" s="66"/>
      <c r="K1726" s="78"/>
      <c r="L1726" s="66"/>
      <c r="M1726" s="66"/>
      <c r="N1726" s="110">
        <f t="shared" si="2712"/>
        <v>-66</v>
      </c>
      <c r="O1726" s="110"/>
      <c r="P1726" s="66"/>
      <c r="Q1726" s="66"/>
      <c r="R1726" s="66"/>
      <c r="S1726" s="66"/>
      <c r="T1726" s="110">
        <f t="shared" ref="T1726:T1730" si="2718">S1726-Q1726</f>
        <v>0</v>
      </c>
      <c r="U1726" s="59">
        <f t="shared" si="2713"/>
        <v>0</v>
      </c>
      <c r="V1726" s="66"/>
      <c r="W1726" s="66"/>
      <c r="X1726" s="110">
        <f t="shared" ref="X1726:X1730" si="2719">W1726-M1726</f>
        <v>0</v>
      </c>
      <c r="Y1726" s="110"/>
      <c r="Z1726" s="110"/>
      <c r="AA1726" s="110"/>
      <c r="AB1726" s="46"/>
      <c r="AC1726" s="78"/>
      <c r="AD1726" s="78"/>
      <c r="AE1726" s="100">
        <f t="shared" si="2714"/>
        <v>-1</v>
      </c>
      <c r="AF1726" s="90"/>
      <c r="AG1726" s="109">
        <f t="shared" si="2715"/>
        <v>-66</v>
      </c>
      <c r="AH1726" s="100">
        <f t="shared" si="2716"/>
        <v>-1</v>
      </c>
      <c r="AI1726" s="100">
        <f t="shared" si="2717"/>
        <v>-1</v>
      </c>
    </row>
    <row r="1727" spans="1:35" s="47" customFormat="1" ht="21" customHeight="1" x14ac:dyDescent="0.3">
      <c r="A1727" s="78"/>
      <c r="B1727" s="106" t="s">
        <v>51</v>
      </c>
      <c r="C1727" s="117" t="s">
        <v>862</v>
      </c>
      <c r="D1727" s="300"/>
      <c r="E1727" s="131" t="s">
        <v>49</v>
      </c>
      <c r="F1727" s="66">
        <v>1344</v>
      </c>
      <c r="G1727" s="66"/>
      <c r="H1727" s="66"/>
      <c r="I1727" s="66"/>
      <c r="J1727" s="66"/>
      <c r="K1727" s="78"/>
      <c r="L1727" s="66"/>
      <c r="M1727" s="66">
        <f>108+900+374</f>
        <v>1382</v>
      </c>
      <c r="N1727" s="110">
        <f t="shared" ref="N1727:N1729" si="2720">M1727-F1727</f>
        <v>38</v>
      </c>
      <c r="O1727" s="110"/>
      <c r="P1727" s="66"/>
      <c r="Q1727" s="66"/>
      <c r="R1727" s="66"/>
      <c r="S1727" s="66"/>
      <c r="T1727" s="110">
        <f t="shared" ref="T1727:T1729" si="2721">S1727-Q1727</f>
        <v>0</v>
      </c>
      <c r="U1727" s="59">
        <f t="shared" ref="U1727:U1729" si="2722">IF(Q1727&gt;0,S1727-W1727,M1727-W1727)</f>
        <v>1278</v>
      </c>
      <c r="V1727" s="66"/>
      <c r="W1727" s="66">
        <v>104</v>
      </c>
      <c r="X1727" s="110">
        <f t="shared" ref="X1727:X1729" si="2723">W1727-M1727</f>
        <v>-1278</v>
      </c>
      <c r="Y1727" s="110"/>
      <c r="Z1727" s="110"/>
      <c r="AA1727" s="110"/>
      <c r="AB1727" s="46"/>
      <c r="AC1727" s="78"/>
      <c r="AD1727" s="78"/>
      <c r="AE1727" s="100">
        <f t="shared" ref="AE1727:AE1729" si="2724">N1727/F1727</f>
        <v>2.8273809523809524E-2</v>
      </c>
      <c r="AF1727" s="90"/>
      <c r="AG1727" s="109">
        <f t="shared" ref="AG1727:AG1729" si="2725">IF(N1727&lt;0,N1727,0)</f>
        <v>0</v>
      </c>
      <c r="AH1727" s="100">
        <f t="shared" ref="AH1727:AH1729" si="2726">(S1727-F1727)/F1727</f>
        <v>-1</v>
      </c>
      <c r="AI1727" s="100">
        <f t="shared" ref="AI1727:AI1729" si="2727">(W1727-F1727)/F1727</f>
        <v>-0.92261904761904767</v>
      </c>
    </row>
    <row r="1728" spans="1:35" s="47" customFormat="1" ht="21" customHeight="1" x14ac:dyDescent="0.3">
      <c r="A1728" s="78"/>
      <c r="B1728" s="106" t="s">
        <v>51</v>
      </c>
      <c r="C1728" s="117" t="s">
        <v>862</v>
      </c>
      <c r="D1728" s="300"/>
      <c r="E1728" s="131" t="s">
        <v>857</v>
      </c>
      <c r="F1728" s="66">
        <v>1098</v>
      </c>
      <c r="G1728" s="66"/>
      <c r="H1728" s="66"/>
      <c r="I1728" s="66"/>
      <c r="J1728" s="66"/>
      <c r="K1728" s="78"/>
      <c r="L1728" s="66"/>
      <c r="M1728" s="66">
        <f>162+990</f>
        <v>1152</v>
      </c>
      <c r="N1728" s="110">
        <f t="shared" ref="N1728" si="2728">M1728-F1728</f>
        <v>54</v>
      </c>
      <c r="O1728" s="110"/>
      <c r="P1728" s="66"/>
      <c r="Q1728" s="66"/>
      <c r="R1728" s="66"/>
      <c r="S1728" s="66"/>
      <c r="T1728" s="110">
        <f t="shared" ref="T1728" si="2729">S1728-Q1728</f>
        <v>0</v>
      </c>
      <c r="U1728" s="59">
        <f t="shared" ref="U1728" si="2730">IF(Q1728&gt;0,S1728-W1728,M1728-W1728)</f>
        <v>990</v>
      </c>
      <c r="V1728" s="66"/>
      <c r="W1728" s="66">
        <v>162</v>
      </c>
      <c r="X1728" s="110">
        <f t="shared" ref="X1728" si="2731">W1728-M1728</f>
        <v>-990</v>
      </c>
      <c r="Y1728" s="110"/>
      <c r="Z1728" s="110"/>
      <c r="AA1728" s="110"/>
      <c r="AB1728" s="46"/>
      <c r="AC1728" s="78"/>
      <c r="AD1728" s="78"/>
      <c r="AE1728" s="100">
        <f t="shared" ref="AE1728" si="2732">N1728/F1728</f>
        <v>4.9180327868852458E-2</v>
      </c>
      <c r="AF1728" s="90"/>
      <c r="AG1728" s="109">
        <f t="shared" ref="AG1728" si="2733">IF(N1728&lt;0,N1728,0)</f>
        <v>0</v>
      </c>
      <c r="AH1728" s="100">
        <f t="shared" ref="AH1728" si="2734">(S1728-F1728)/F1728</f>
        <v>-1</v>
      </c>
      <c r="AI1728" s="100">
        <f t="shared" ref="AI1728" si="2735">(W1728-F1728)/F1728</f>
        <v>-0.85245901639344257</v>
      </c>
    </row>
    <row r="1729" spans="1:35" s="47" customFormat="1" ht="21" customHeight="1" x14ac:dyDescent="0.3">
      <c r="A1729" s="78"/>
      <c r="B1729" s="106" t="s">
        <v>51</v>
      </c>
      <c r="C1729" s="117" t="s">
        <v>862</v>
      </c>
      <c r="D1729" s="300"/>
      <c r="E1729" s="131" t="s">
        <v>859</v>
      </c>
      <c r="F1729" s="66">
        <v>18</v>
      </c>
      <c r="G1729" s="66"/>
      <c r="H1729" s="66"/>
      <c r="I1729" s="66"/>
      <c r="J1729" s="66"/>
      <c r="K1729" s="78"/>
      <c r="L1729" s="66"/>
      <c r="M1729" s="66">
        <f>36</f>
        <v>36</v>
      </c>
      <c r="N1729" s="110">
        <f t="shared" si="2720"/>
        <v>18</v>
      </c>
      <c r="O1729" s="110"/>
      <c r="P1729" s="66"/>
      <c r="Q1729" s="66"/>
      <c r="R1729" s="66"/>
      <c r="S1729" s="66"/>
      <c r="T1729" s="110">
        <f t="shared" si="2721"/>
        <v>0</v>
      </c>
      <c r="U1729" s="59">
        <f t="shared" si="2722"/>
        <v>36</v>
      </c>
      <c r="V1729" s="66"/>
      <c r="W1729" s="66"/>
      <c r="X1729" s="110">
        <f t="shared" si="2723"/>
        <v>-36</v>
      </c>
      <c r="Y1729" s="110"/>
      <c r="Z1729" s="110"/>
      <c r="AA1729" s="110"/>
      <c r="AB1729" s="46"/>
      <c r="AC1729" s="78"/>
      <c r="AD1729" s="78"/>
      <c r="AE1729" s="100">
        <f t="shared" si="2724"/>
        <v>1</v>
      </c>
      <c r="AF1729" s="90"/>
      <c r="AG1729" s="109">
        <f t="shared" si="2725"/>
        <v>0</v>
      </c>
      <c r="AH1729" s="100">
        <f t="shared" si="2726"/>
        <v>-1</v>
      </c>
      <c r="AI1729" s="100">
        <f t="shared" si="2727"/>
        <v>-1</v>
      </c>
    </row>
    <row r="1730" spans="1:35" s="47" customFormat="1" ht="21" customHeight="1" x14ac:dyDescent="0.3">
      <c r="A1730" s="78"/>
      <c r="B1730" s="106" t="s">
        <v>51</v>
      </c>
      <c r="C1730" s="117" t="s">
        <v>862</v>
      </c>
      <c r="D1730" s="300"/>
      <c r="E1730" s="131" t="s">
        <v>0</v>
      </c>
      <c r="F1730" s="66">
        <v>1242</v>
      </c>
      <c r="G1730" s="66"/>
      <c r="H1730" s="66"/>
      <c r="I1730" s="66"/>
      <c r="J1730" s="66"/>
      <c r="K1730" s="78"/>
      <c r="L1730" s="66"/>
      <c r="M1730" s="66">
        <f>594+682</f>
        <v>1276</v>
      </c>
      <c r="N1730" s="110">
        <f t="shared" si="2712"/>
        <v>34</v>
      </c>
      <c r="O1730" s="110"/>
      <c r="P1730" s="66"/>
      <c r="Q1730" s="66"/>
      <c r="R1730" s="66"/>
      <c r="S1730" s="66"/>
      <c r="T1730" s="110">
        <f t="shared" si="2718"/>
        <v>0</v>
      </c>
      <c r="U1730" s="59">
        <f t="shared" si="2713"/>
        <v>592</v>
      </c>
      <c r="V1730" s="66"/>
      <c r="W1730" s="66">
        <v>684</v>
      </c>
      <c r="X1730" s="110">
        <f t="shared" si="2719"/>
        <v>-592</v>
      </c>
      <c r="Y1730" s="110"/>
      <c r="Z1730" s="110"/>
      <c r="AA1730" s="110"/>
      <c r="AB1730" s="46"/>
      <c r="AC1730" s="78"/>
      <c r="AD1730" s="78"/>
      <c r="AE1730" s="100">
        <f t="shared" si="2714"/>
        <v>2.7375201288244767E-2</v>
      </c>
      <c r="AF1730" s="90"/>
      <c r="AG1730" s="109">
        <f t="shared" si="2715"/>
        <v>0</v>
      </c>
      <c r="AH1730" s="100">
        <f t="shared" si="2716"/>
        <v>-1</v>
      </c>
      <c r="AI1730" s="100">
        <f t="shared" si="2717"/>
        <v>-0.44927536231884058</v>
      </c>
    </row>
    <row r="1731" spans="1:35" s="79" customFormat="1" ht="15.75" customHeight="1" x14ac:dyDescent="0.3">
      <c r="A1731" s="90" t="s">
        <v>46</v>
      </c>
      <c r="B1731" s="136" t="s">
        <v>51</v>
      </c>
      <c r="C1731" s="137"/>
      <c r="D1731" s="136"/>
      <c r="E1731" s="138"/>
      <c r="F1731" s="91">
        <f>SUM(F1725:F1730)</f>
        <v>3816</v>
      </c>
      <c r="G1731" s="91"/>
      <c r="H1731" s="91"/>
      <c r="I1731" s="91"/>
      <c r="J1731" s="91" t="s">
        <v>60</v>
      </c>
      <c r="K1731" s="65" t="s">
        <v>272</v>
      </c>
      <c r="L1731" s="91">
        <f>SUM(L1725:L1730)</f>
        <v>0</v>
      </c>
      <c r="M1731" s="91">
        <f>SUM(M1725:M1730)</f>
        <v>3906</v>
      </c>
      <c r="N1731" s="91">
        <f>SUM(N1725:N1730)</f>
        <v>90</v>
      </c>
      <c r="O1731" s="91"/>
      <c r="P1731" s="91">
        <f>SUM(P1725:P1730)</f>
        <v>0</v>
      </c>
      <c r="Q1731" s="91">
        <f>SUM(Q1725:Q1730)</f>
        <v>0</v>
      </c>
      <c r="R1731" s="91">
        <f>SUM(R1725:R1730)</f>
        <v>0</v>
      </c>
      <c r="S1731" s="91">
        <f>SUM(S1725:S1730)</f>
        <v>0</v>
      </c>
      <c r="T1731" s="91">
        <f>SUM(T1725:T1730)</f>
        <v>0</v>
      </c>
      <c r="U1731" s="59">
        <f t="shared" si="2713"/>
        <v>2956</v>
      </c>
      <c r="V1731" s="91">
        <f>SUM(V1725:V1730)</f>
        <v>0</v>
      </c>
      <c r="W1731" s="91">
        <f>SUM(W1725:W1730)</f>
        <v>950</v>
      </c>
      <c r="X1731" s="91">
        <f>SUM(X1725:X1730)</f>
        <v>-2956</v>
      </c>
      <c r="Y1731" s="136"/>
      <c r="Z1731" s="136"/>
      <c r="AA1731" s="136"/>
      <c r="AB1731" s="84"/>
      <c r="AC1731" s="90"/>
      <c r="AD1731" s="90"/>
      <c r="AE1731" s="100">
        <f t="shared" si="2714"/>
        <v>2.358490566037736E-2</v>
      </c>
      <c r="AF1731" s="90"/>
      <c r="AG1731" s="109">
        <f t="shared" si="2715"/>
        <v>0</v>
      </c>
      <c r="AH1731" s="100">
        <f t="shared" si="2716"/>
        <v>-1</v>
      </c>
      <c r="AI1731" s="100">
        <f t="shared" si="2717"/>
        <v>-0.75104821802935007</v>
      </c>
    </row>
    <row r="1732" spans="1:35" s="47" customFormat="1" ht="21" customHeight="1" x14ac:dyDescent="0.3">
      <c r="A1732" s="78"/>
      <c r="B1732" s="106" t="s">
        <v>51</v>
      </c>
      <c r="C1732" s="117" t="s">
        <v>863</v>
      </c>
      <c r="D1732" s="299">
        <v>15308926</v>
      </c>
      <c r="E1732" s="131" t="s">
        <v>228</v>
      </c>
      <c r="F1732" s="66">
        <v>5322</v>
      </c>
      <c r="G1732" s="66"/>
      <c r="H1732" s="66"/>
      <c r="I1732" s="66"/>
      <c r="J1732" s="66"/>
      <c r="K1732" s="78"/>
      <c r="L1732" s="66"/>
      <c r="M1732" s="66"/>
      <c r="N1732" s="110">
        <f t="shared" ref="N1732:N1736" si="2736">M1732-F1732</f>
        <v>-5322</v>
      </c>
      <c r="O1732" s="110"/>
      <c r="P1732" s="66"/>
      <c r="Q1732" s="66"/>
      <c r="R1732" s="66"/>
      <c r="S1732" s="66"/>
      <c r="T1732" s="110">
        <f>S1732-Q1732</f>
        <v>0</v>
      </c>
      <c r="U1732" s="59">
        <f t="shared" si="2686"/>
        <v>0</v>
      </c>
      <c r="V1732" s="66"/>
      <c r="W1732" s="66"/>
      <c r="X1732" s="110">
        <f>W1732-M1732</f>
        <v>0</v>
      </c>
      <c r="Y1732" s="110"/>
      <c r="Z1732" s="110"/>
      <c r="AA1732" s="110"/>
      <c r="AB1732" s="46"/>
      <c r="AC1732" s="78"/>
      <c r="AD1732" s="78"/>
      <c r="AE1732" s="100">
        <f t="shared" si="2687"/>
        <v>-1</v>
      </c>
      <c r="AF1732" s="90"/>
      <c r="AG1732" s="109">
        <f t="shared" si="2688"/>
        <v>-5322</v>
      </c>
      <c r="AH1732" s="100">
        <f t="shared" si="2689"/>
        <v>-1</v>
      </c>
      <c r="AI1732" s="100">
        <f t="shared" si="2690"/>
        <v>-1</v>
      </c>
    </row>
    <row r="1733" spans="1:35" s="47" customFormat="1" ht="21" customHeight="1" x14ac:dyDescent="0.3">
      <c r="A1733" s="78"/>
      <c r="B1733" s="106" t="s">
        <v>51</v>
      </c>
      <c r="C1733" s="117" t="s">
        <v>863</v>
      </c>
      <c r="D1733" s="300"/>
      <c r="E1733" s="131" t="s">
        <v>856</v>
      </c>
      <c r="F1733" s="66">
        <v>5432</v>
      </c>
      <c r="G1733" s="66"/>
      <c r="H1733" s="66"/>
      <c r="I1733" s="66"/>
      <c r="J1733" s="66"/>
      <c r="K1733" s="78"/>
      <c r="L1733" s="66"/>
      <c r="M1733" s="66">
        <f>1066+1300+948+300</f>
        <v>3614</v>
      </c>
      <c r="N1733" s="110">
        <f t="shared" ref="N1733:N1734" si="2737">M1733-F1733</f>
        <v>-1818</v>
      </c>
      <c r="O1733" s="110"/>
      <c r="P1733" s="66"/>
      <c r="Q1733" s="66"/>
      <c r="R1733" s="66"/>
      <c r="S1733" s="66"/>
      <c r="T1733" s="110">
        <f t="shared" ref="T1733:T1734" si="2738">S1733-Q1733</f>
        <v>0</v>
      </c>
      <c r="U1733" s="59">
        <f t="shared" ref="U1733:U1734" si="2739">IF(Q1733&gt;0,S1733-W1733,M1733-W1733)</f>
        <v>3614</v>
      </c>
      <c r="V1733" s="66"/>
      <c r="W1733" s="66"/>
      <c r="X1733" s="110">
        <f t="shared" ref="X1733:X1734" si="2740">W1733-M1733</f>
        <v>-3614</v>
      </c>
      <c r="Y1733" s="110"/>
      <c r="Z1733" s="110"/>
      <c r="AA1733" s="110"/>
      <c r="AB1733" s="46"/>
      <c r="AC1733" s="78"/>
      <c r="AD1733" s="78"/>
      <c r="AE1733" s="100">
        <f t="shared" ref="AE1733:AE1734" si="2741">N1733/F1733</f>
        <v>-0.33468335787923414</v>
      </c>
      <c r="AF1733" s="90"/>
      <c r="AG1733" s="109">
        <f t="shared" ref="AG1733:AG1734" si="2742">IF(N1733&lt;0,N1733,0)</f>
        <v>-1818</v>
      </c>
      <c r="AH1733" s="100">
        <f t="shared" ref="AH1733:AH1734" si="2743">(S1733-F1733)/F1733</f>
        <v>-1</v>
      </c>
      <c r="AI1733" s="100">
        <f t="shared" ref="AI1733:AI1734" si="2744">(W1733-F1733)/F1733</f>
        <v>-1</v>
      </c>
    </row>
    <row r="1734" spans="1:35" s="47" customFormat="1" ht="21" customHeight="1" x14ac:dyDescent="0.3">
      <c r="A1734" s="78"/>
      <c r="B1734" s="106" t="s">
        <v>51</v>
      </c>
      <c r="C1734" s="117" t="s">
        <v>863</v>
      </c>
      <c r="D1734" s="300"/>
      <c r="E1734" s="131" t="s">
        <v>49</v>
      </c>
      <c r="F1734" s="66">
        <v>6656</v>
      </c>
      <c r="G1734" s="66"/>
      <c r="H1734" s="66"/>
      <c r="I1734" s="66"/>
      <c r="J1734" s="66"/>
      <c r="K1734" s="78"/>
      <c r="L1734" s="66"/>
      <c r="M1734" s="66">
        <f>909+700+1298+936+300+1545</f>
        <v>5688</v>
      </c>
      <c r="N1734" s="110">
        <f t="shared" si="2737"/>
        <v>-968</v>
      </c>
      <c r="O1734" s="110"/>
      <c r="P1734" s="66"/>
      <c r="Q1734" s="66"/>
      <c r="R1734" s="66"/>
      <c r="S1734" s="66"/>
      <c r="T1734" s="110">
        <f t="shared" si="2738"/>
        <v>0</v>
      </c>
      <c r="U1734" s="59">
        <f t="shared" si="2739"/>
        <v>5688</v>
      </c>
      <c r="V1734" s="66"/>
      <c r="W1734" s="66"/>
      <c r="X1734" s="110">
        <f t="shared" si="2740"/>
        <v>-5688</v>
      </c>
      <c r="Y1734" s="110"/>
      <c r="Z1734" s="110"/>
      <c r="AA1734" s="110"/>
      <c r="AB1734" s="46"/>
      <c r="AC1734" s="78"/>
      <c r="AD1734" s="78"/>
      <c r="AE1734" s="100">
        <f t="shared" si="2741"/>
        <v>-0.14543269230769232</v>
      </c>
      <c r="AF1734" s="90"/>
      <c r="AG1734" s="109">
        <f t="shared" si="2742"/>
        <v>-968</v>
      </c>
      <c r="AH1734" s="100">
        <f t="shared" si="2743"/>
        <v>-1</v>
      </c>
      <c r="AI1734" s="100">
        <f t="shared" si="2744"/>
        <v>-1</v>
      </c>
    </row>
    <row r="1735" spans="1:35" s="47" customFormat="1" ht="21" customHeight="1" x14ac:dyDescent="0.3">
      <c r="A1735" s="78"/>
      <c r="B1735" s="106" t="s">
        <v>51</v>
      </c>
      <c r="C1735" s="117" t="s">
        <v>863</v>
      </c>
      <c r="D1735" s="300"/>
      <c r="E1735" s="131" t="s">
        <v>857</v>
      </c>
      <c r="F1735" s="66">
        <v>1332</v>
      </c>
      <c r="G1735" s="66"/>
      <c r="H1735" s="66"/>
      <c r="I1735" s="66"/>
      <c r="J1735" s="66"/>
      <c r="K1735" s="78"/>
      <c r="L1735" s="66"/>
      <c r="M1735" s="66"/>
      <c r="N1735" s="110">
        <f t="shared" si="2736"/>
        <v>-1332</v>
      </c>
      <c r="O1735" s="110"/>
      <c r="P1735" s="66"/>
      <c r="Q1735" s="66"/>
      <c r="R1735" s="66"/>
      <c r="S1735" s="66"/>
      <c r="T1735" s="110">
        <f t="shared" ref="T1735:T1736" si="2745">S1735-Q1735</f>
        <v>0</v>
      </c>
      <c r="U1735" s="59">
        <f t="shared" si="2686"/>
        <v>0</v>
      </c>
      <c r="V1735" s="66"/>
      <c r="W1735" s="66"/>
      <c r="X1735" s="110">
        <f t="shared" ref="X1735:X1736" si="2746">W1735-M1735</f>
        <v>0</v>
      </c>
      <c r="Y1735" s="110"/>
      <c r="Z1735" s="110"/>
      <c r="AA1735" s="110"/>
      <c r="AB1735" s="46"/>
      <c r="AC1735" s="78"/>
      <c r="AD1735" s="78"/>
      <c r="AE1735" s="100">
        <f t="shared" si="2687"/>
        <v>-1</v>
      </c>
      <c r="AF1735" s="90"/>
      <c r="AG1735" s="109">
        <f t="shared" si="2688"/>
        <v>-1332</v>
      </c>
      <c r="AH1735" s="100">
        <f t="shared" si="2689"/>
        <v>-1</v>
      </c>
      <c r="AI1735" s="100">
        <f t="shared" si="2690"/>
        <v>-1</v>
      </c>
    </row>
    <row r="1736" spans="1:35" s="47" customFormat="1" ht="21" customHeight="1" x14ac:dyDescent="0.3">
      <c r="A1736" s="78"/>
      <c r="B1736" s="106" t="s">
        <v>51</v>
      </c>
      <c r="C1736" s="117" t="s">
        <v>863</v>
      </c>
      <c r="D1736" s="300"/>
      <c r="E1736" s="131" t="s">
        <v>859</v>
      </c>
      <c r="F1736" s="66">
        <v>936</v>
      </c>
      <c r="G1736" s="66"/>
      <c r="H1736" s="66"/>
      <c r="I1736" s="66"/>
      <c r="J1736" s="66"/>
      <c r="K1736" s="78"/>
      <c r="L1736" s="66"/>
      <c r="M1736" s="66">
        <v>972</v>
      </c>
      <c r="N1736" s="110">
        <f t="shared" si="2736"/>
        <v>36</v>
      </c>
      <c r="O1736" s="110"/>
      <c r="P1736" s="66"/>
      <c r="Q1736" s="66"/>
      <c r="R1736" s="66"/>
      <c r="S1736" s="66"/>
      <c r="T1736" s="110">
        <f t="shared" si="2745"/>
        <v>0</v>
      </c>
      <c r="U1736" s="59">
        <f t="shared" si="2686"/>
        <v>972</v>
      </c>
      <c r="V1736" s="66"/>
      <c r="W1736" s="66"/>
      <c r="X1736" s="110">
        <f t="shared" si="2746"/>
        <v>-972</v>
      </c>
      <c r="Y1736" s="110"/>
      <c r="Z1736" s="110"/>
      <c r="AA1736" s="110"/>
      <c r="AB1736" s="46"/>
      <c r="AC1736" s="78"/>
      <c r="AD1736" s="78"/>
      <c r="AE1736" s="100">
        <f t="shared" si="2687"/>
        <v>3.8461538461538464E-2</v>
      </c>
      <c r="AF1736" s="90"/>
      <c r="AG1736" s="109">
        <f t="shared" si="2688"/>
        <v>0</v>
      </c>
      <c r="AH1736" s="100">
        <f t="shared" si="2689"/>
        <v>-1</v>
      </c>
      <c r="AI1736" s="100">
        <f t="shared" si="2690"/>
        <v>-1</v>
      </c>
    </row>
    <row r="1737" spans="1:35" s="79" customFormat="1" ht="15.75" customHeight="1" x14ac:dyDescent="0.3">
      <c r="A1737" s="90" t="s">
        <v>46</v>
      </c>
      <c r="B1737" s="136" t="s">
        <v>51</v>
      </c>
      <c r="C1737" s="137"/>
      <c r="D1737" s="136"/>
      <c r="E1737" s="138"/>
      <c r="F1737" s="91">
        <f>SUM(F1732:F1736)</f>
        <v>19678</v>
      </c>
      <c r="G1737" s="91"/>
      <c r="H1737" s="91"/>
      <c r="I1737" s="91"/>
      <c r="J1737" s="91" t="s">
        <v>60</v>
      </c>
      <c r="K1737" s="65" t="s">
        <v>617</v>
      </c>
      <c r="L1737" s="91">
        <f>SUM(L1732:L1736)</f>
        <v>0</v>
      </c>
      <c r="M1737" s="91">
        <f>SUM(M1732:M1736)</f>
        <v>10274</v>
      </c>
      <c r="N1737" s="91">
        <f>SUM(N1732:N1736)</f>
        <v>-9404</v>
      </c>
      <c r="O1737" s="91"/>
      <c r="P1737" s="91">
        <f>SUM(P1732:P1736)</f>
        <v>0</v>
      </c>
      <c r="Q1737" s="91">
        <f>SUM(Q1732:Q1736)</f>
        <v>0</v>
      </c>
      <c r="R1737" s="91">
        <f>SUM(R1732:R1736)</f>
        <v>0</v>
      </c>
      <c r="S1737" s="91">
        <f>SUM(S1732:S1736)</f>
        <v>0</v>
      </c>
      <c r="T1737" s="91">
        <f>SUM(T1732:T1736)</f>
        <v>0</v>
      </c>
      <c r="U1737" s="59">
        <f t="shared" si="2686"/>
        <v>10274</v>
      </c>
      <c r="V1737" s="91">
        <f>SUM(V1732:V1736)</f>
        <v>0</v>
      </c>
      <c r="W1737" s="91">
        <f>SUM(W1732:W1736)</f>
        <v>0</v>
      </c>
      <c r="X1737" s="91">
        <f>SUM(X1732:X1736)</f>
        <v>-10274</v>
      </c>
      <c r="Y1737" s="136"/>
      <c r="Z1737" s="136"/>
      <c r="AA1737" s="136"/>
      <c r="AB1737" s="84"/>
      <c r="AC1737" s="90"/>
      <c r="AD1737" s="90"/>
      <c r="AE1737" s="100">
        <f t="shared" si="2687"/>
        <v>-0.47789409492834639</v>
      </c>
      <c r="AF1737" s="90"/>
      <c r="AG1737" s="109">
        <f t="shared" si="2688"/>
        <v>-9404</v>
      </c>
      <c r="AH1737" s="100">
        <f t="shared" si="2689"/>
        <v>-1</v>
      </c>
      <c r="AI1737" s="100">
        <f t="shared" si="2690"/>
        <v>-1</v>
      </c>
    </row>
    <row r="1738" spans="1:35" s="47" customFormat="1" ht="21" customHeight="1" x14ac:dyDescent="0.3">
      <c r="A1738" s="78"/>
      <c r="B1738" s="106" t="s">
        <v>51</v>
      </c>
      <c r="C1738" s="117" t="s">
        <v>864</v>
      </c>
      <c r="D1738" s="299">
        <v>15308926</v>
      </c>
      <c r="E1738" s="131" t="s">
        <v>228</v>
      </c>
      <c r="F1738" s="66">
        <v>1808</v>
      </c>
      <c r="G1738" s="66"/>
      <c r="H1738" s="66"/>
      <c r="I1738" s="66"/>
      <c r="J1738" s="66"/>
      <c r="K1738" s="78"/>
      <c r="L1738" s="66"/>
      <c r="M1738" s="66"/>
      <c r="N1738" s="110">
        <f t="shared" ref="N1738:N1742" si="2747">M1738-F1738</f>
        <v>-1808</v>
      </c>
      <c r="O1738" s="110"/>
      <c r="P1738" s="66"/>
      <c r="Q1738" s="66"/>
      <c r="R1738" s="66"/>
      <c r="S1738" s="66"/>
      <c r="T1738" s="110">
        <f>S1738-Q1738</f>
        <v>0</v>
      </c>
      <c r="U1738" s="59">
        <f t="shared" si="2686"/>
        <v>0</v>
      </c>
      <c r="V1738" s="66"/>
      <c r="W1738" s="66"/>
      <c r="X1738" s="110">
        <f>W1738-M1738</f>
        <v>0</v>
      </c>
      <c r="Y1738" s="110"/>
      <c r="Z1738" s="110"/>
      <c r="AA1738" s="110"/>
      <c r="AB1738" s="46"/>
      <c r="AC1738" s="78"/>
      <c r="AD1738" s="78"/>
      <c r="AE1738" s="100">
        <f t="shared" si="2687"/>
        <v>-1</v>
      </c>
      <c r="AF1738" s="90"/>
      <c r="AG1738" s="109">
        <f t="shared" si="2688"/>
        <v>-1808</v>
      </c>
      <c r="AH1738" s="100">
        <f t="shared" si="2689"/>
        <v>-1</v>
      </c>
      <c r="AI1738" s="100">
        <f t="shared" si="2690"/>
        <v>-1</v>
      </c>
    </row>
    <row r="1739" spans="1:35" s="47" customFormat="1" ht="21" customHeight="1" x14ac:dyDescent="0.3">
      <c r="A1739" s="78"/>
      <c r="B1739" s="106" t="s">
        <v>51</v>
      </c>
      <c r="C1739" s="117" t="s">
        <v>864</v>
      </c>
      <c r="D1739" s="300"/>
      <c r="E1739" s="131" t="s">
        <v>856</v>
      </c>
      <c r="F1739" s="66">
        <v>2258</v>
      </c>
      <c r="G1739" s="66"/>
      <c r="H1739" s="66"/>
      <c r="I1739" s="66"/>
      <c r="J1739" s="66"/>
      <c r="K1739" s="78"/>
      <c r="L1739" s="66"/>
      <c r="M1739" s="66"/>
      <c r="N1739" s="110">
        <f t="shared" si="2747"/>
        <v>-2258</v>
      </c>
      <c r="O1739" s="110"/>
      <c r="P1739" s="66"/>
      <c r="Q1739" s="66"/>
      <c r="R1739" s="66"/>
      <c r="S1739" s="66"/>
      <c r="T1739" s="110">
        <f t="shared" ref="T1739:T1740" si="2748">S1739-Q1739</f>
        <v>0</v>
      </c>
      <c r="U1739" s="59">
        <f t="shared" si="2686"/>
        <v>0</v>
      </c>
      <c r="V1739" s="66"/>
      <c r="W1739" s="66"/>
      <c r="X1739" s="110">
        <f t="shared" ref="X1739:X1740" si="2749">W1739-M1739</f>
        <v>0</v>
      </c>
      <c r="Y1739" s="110"/>
      <c r="Z1739" s="110"/>
      <c r="AA1739" s="110"/>
      <c r="AB1739" s="46"/>
      <c r="AC1739" s="78"/>
      <c r="AD1739" s="78"/>
      <c r="AE1739" s="100">
        <f t="shared" si="2687"/>
        <v>-1</v>
      </c>
      <c r="AF1739" s="90"/>
      <c r="AG1739" s="109">
        <f t="shared" si="2688"/>
        <v>-2258</v>
      </c>
      <c r="AH1739" s="100">
        <f t="shared" si="2689"/>
        <v>-1</v>
      </c>
      <c r="AI1739" s="100">
        <f t="shared" si="2690"/>
        <v>-1</v>
      </c>
    </row>
    <row r="1740" spans="1:35" s="47" customFormat="1" ht="21" customHeight="1" x14ac:dyDescent="0.3">
      <c r="A1740" s="78"/>
      <c r="B1740" s="106" t="s">
        <v>51</v>
      </c>
      <c r="C1740" s="117" t="s">
        <v>864</v>
      </c>
      <c r="D1740" s="300"/>
      <c r="E1740" s="131" t="s">
        <v>49</v>
      </c>
      <c r="F1740" s="66">
        <v>2672</v>
      </c>
      <c r="G1740" s="66"/>
      <c r="H1740" s="66"/>
      <c r="I1740" s="66"/>
      <c r="J1740" s="66"/>
      <c r="K1740" s="78"/>
      <c r="L1740" s="66"/>
      <c r="M1740" s="66"/>
      <c r="N1740" s="110">
        <f t="shared" ref="N1740" si="2750">M1740-F1740</f>
        <v>-2672</v>
      </c>
      <c r="O1740" s="110"/>
      <c r="P1740" s="66"/>
      <c r="Q1740" s="66"/>
      <c r="R1740" s="66"/>
      <c r="S1740" s="66"/>
      <c r="T1740" s="110">
        <f t="shared" si="2748"/>
        <v>0</v>
      </c>
      <c r="U1740" s="59">
        <f t="shared" ref="U1740" si="2751">IF(Q1740&gt;0,S1740-W1740,M1740-W1740)</f>
        <v>0</v>
      </c>
      <c r="V1740" s="66"/>
      <c r="W1740" s="66"/>
      <c r="X1740" s="110">
        <f t="shared" si="2749"/>
        <v>0</v>
      </c>
      <c r="Y1740" s="110"/>
      <c r="Z1740" s="110"/>
      <c r="AA1740" s="110"/>
      <c r="AB1740" s="46"/>
      <c r="AC1740" s="78"/>
      <c r="AD1740" s="78"/>
      <c r="AE1740" s="100">
        <f t="shared" ref="AE1740" si="2752">N1740/F1740</f>
        <v>-1</v>
      </c>
      <c r="AF1740" s="90"/>
      <c r="AG1740" s="109">
        <f t="shared" ref="AG1740" si="2753">IF(N1740&lt;0,N1740,0)</f>
        <v>-2672</v>
      </c>
      <c r="AH1740" s="100">
        <f t="shared" ref="AH1740" si="2754">(S1740-F1740)/F1740</f>
        <v>-1</v>
      </c>
      <c r="AI1740" s="100">
        <f t="shared" ref="AI1740" si="2755">(W1740-F1740)/F1740</f>
        <v>-1</v>
      </c>
    </row>
    <row r="1741" spans="1:35" s="47" customFormat="1" ht="21" customHeight="1" x14ac:dyDescent="0.3">
      <c r="A1741" s="78"/>
      <c r="B1741" s="106" t="s">
        <v>51</v>
      </c>
      <c r="C1741" s="117" t="s">
        <v>864</v>
      </c>
      <c r="D1741" s="300"/>
      <c r="E1741" s="131" t="s">
        <v>857</v>
      </c>
      <c r="F1741" s="66">
        <v>546</v>
      </c>
      <c r="G1741" s="66"/>
      <c r="H1741" s="66"/>
      <c r="I1741" s="66"/>
      <c r="J1741" s="66"/>
      <c r="K1741" s="78"/>
      <c r="L1741" s="66"/>
      <c r="M1741" s="66"/>
      <c r="N1741" s="110">
        <f t="shared" ref="N1741" si="2756">M1741-F1741</f>
        <v>-546</v>
      </c>
      <c r="O1741" s="110"/>
      <c r="P1741" s="66"/>
      <c r="Q1741" s="66"/>
      <c r="R1741" s="66"/>
      <c r="S1741" s="66"/>
      <c r="T1741" s="110">
        <f t="shared" ref="T1741" si="2757">S1741-Q1741</f>
        <v>0</v>
      </c>
      <c r="U1741" s="59">
        <f t="shared" ref="U1741" si="2758">IF(Q1741&gt;0,S1741-W1741,M1741-W1741)</f>
        <v>0</v>
      </c>
      <c r="V1741" s="66"/>
      <c r="W1741" s="66"/>
      <c r="X1741" s="110">
        <f t="shared" ref="X1741" si="2759">W1741-M1741</f>
        <v>0</v>
      </c>
      <c r="Y1741" s="110"/>
      <c r="Z1741" s="110"/>
      <c r="AA1741" s="110"/>
      <c r="AB1741" s="46"/>
      <c r="AC1741" s="78"/>
      <c r="AD1741" s="78"/>
      <c r="AE1741" s="100">
        <f t="shared" ref="AE1741" si="2760">N1741/F1741</f>
        <v>-1</v>
      </c>
      <c r="AF1741" s="90"/>
      <c r="AG1741" s="109">
        <f t="shared" ref="AG1741" si="2761">IF(N1741&lt;0,N1741,0)</f>
        <v>-546</v>
      </c>
      <c r="AH1741" s="100">
        <f t="shared" ref="AH1741" si="2762">(S1741-F1741)/F1741</f>
        <v>-1</v>
      </c>
      <c r="AI1741" s="100">
        <f t="shared" ref="AI1741" si="2763">(W1741-F1741)/F1741</f>
        <v>-1</v>
      </c>
    </row>
    <row r="1742" spans="1:35" s="47" customFormat="1" ht="21" customHeight="1" x14ac:dyDescent="0.3">
      <c r="A1742" s="78"/>
      <c r="B1742" s="106" t="s">
        <v>51</v>
      </c>
      <c r="C1742" s="117" t="s">
        <v>864</v>
      </c>
      <c r="D1742" s="300"/>
      <c r="E1742" s="131" t="s">
        <v>859</v>
      </c>
      <c r="F1742" s="66">
        <v>48</v>
      </c>
      <c r="G1742" s="66"/>
      <c r="H1742" s="66"/>
      <c r="I1742" s="66"/>
      <c r="J1742" s="66"/>
      <c r="K1742" s="78"/>
      <c r="L1742" s="66"/>
      <c r="M1742" s="66"/>
      <c r="N1742" s="110">
        <f t="shared" si="2747"/>
        <v>-48</v>
      </c>
      <c r="O1742" s="110"/>
      <c r="P1742" s="66"/>
      <c r="Q1742" s="66"/>
      <c r="R1742" s="66"/>
      <c r="S1742" s="66"/>
      <c r="T1742" s="110">
        <f t="shared" ref="T1742" si="2764">S1742-Q1742</f>
        <v>0</v>
      </c>
      <c r="U1742" s="59">
        <f t="shared" si="2686"/>
        <v>0</v>
      </c>
      <c r="V1742" s="66"/>
      <c r="W1742" s="66"/>
      <c r="X1742" s="110">
        <f t="shared" ref="X1742" si="2765">W1742-M1742</f>
        <v>0</v>
      </c>
      <c r="Y1742" s="110"/>
      <c r="Z1742" s="110"/>
      <c r="AA1742" s="110"/>
      <c r="AB1742" s="46"/>
      <c r="AC1742" s="78"/>
      <c r="AD1742" s="78"/>
      <c r="AE1742" s="100">
        <f t="shared" si="2687"/>
        <v>-1</v>
      </c>
      <c r="AF1742" s="90"/>
      <c r="AG1742" s="109">
        <f t="shared" si="2688"/>
        <v>-48</v>
      </c>
      <c r="AH1742" s="100">
        <f t="shared" si="2689"/>
        <v>-1</v>
      </c>
      <c r="AI1742" s="100">
        <f t="shared" si="2690"/>
        <v>-1</v>
      </c>
    </row>
    <row r="1743" spans="1:35" s="79" customFormat="1" ht="15.75" customHeight="1" x14ac:dyDescent="0.3">
      <c r="A1743" s="90" t="s">
        <v>46</v>
      </c>
      <c r="B1743" s="136" t="s">
        <v>51</v>
      </c>
      <c r="C1743" s="137"/>
      <c r="D1743" s="136"/>
      <c r="E1743" s="138"/>
      <c r="F1743" s="91">
        <f>SUM(F1738:F1742)</f>
        <v>7332</v>
      </c>
      <c r="G1743" s="91"/>
      <c r="H1743" s="91"/>
      <c r="I1743" s="91"/>
      <c r="J1743" s="91" t="s">
        <v>60</v>
      </c>
      <c r="K1743" s="65" t="s">
        <v>572</v>
      </c>
      <c r="L1743" s="91">
        <f>SUM(L1738:L1742)</f>
        <v>0</v>
      </c>
      <c r="M1743" s="91">
        <f>SUM(M1738:M1742)</f>
        <v>0</v>
      </c>
      <c r="N1743" s="91">
        <f>SUM(N1738:N1742)</f>
        <v>-7332</v>
      </c>
      <c r="O1743" s="91"/>
      <c r="P1743" s="91">
        <f>SUM(P1738:P1742)</f>
        <v>0</v>
      </c>
      <c r="Q1743" s="91">
        <f>SUM(Q1738:Q1742)</f>
        <v>0</v>
      </c>
      <c r="R1743" s="91">
        <f>SUM(R1738:R1742)</f>
        <v>0</v>
      </c>
      <c r="S1743" s="91">
        <f>SUM(S1738:S1742)</f>
        <v>0</v>
      </c>
      <c r="T1743" s="91">
        <f>SUM(T1738:T1742)</f>
        <v>0</v>
      </c>
      <c r="U1743" s="59">
        <f t="shared" si="2686"/>
        <v>0</v>
      </c>
      <c r="V1743" s="91">
        <f>SUM(V1738:V1742)</f>
        <v>0</v>
      </c>
      <c r="W1743" s="91">
        <f>SUM(W1738:W1742)</f>
        <v>0</v>
      </c>
      <c r="X1743" s="91">
        <f>SUM(X1738:X1742)</f>
        <v>0</v>
      </c>
      <c r="Y1743" s="136"/>
      <c r="Z1743" s="136"/>
      <c r="AA1743" s="136"/>
      <c r="AB1743" s="84"/>
      <c r="AC1743" s="90"/>
      <c r="AD1743" s="90"/>
      <c r="AE1743" s="100">
        <f t="shared" si="2687"/>
        <v>-1</v>
      </c>
      <c r="AF1743" s="90"/>
      <c r="AG1743" s="109">
        <f t="shared" si="2688"/>
        <v>-7332</v>
      </c>
      <c r="AH1743" s="100">
        <f t="shared" si="2689"/>
        <v>-1</v>
      </c>
      <c r="AI1743" s="100">
        <f t="shared" si="2690"/>
        <v>-1</v>
      </c>
    </row>
    <row r="1744" spans="1:35" s="47" customFormat="1" ht="21" customHeight="1" x14ac:dyDescent="0.3">
      <c r="A1744" s="78"/>
      <c r="B1744" s="106" t="s">
        <v>51</v>
      </c>
      <c r="C1744" s="117" t="s">
        <v>865</v>
      </c>
      <c r="D1744" s="299">
        <v>15343893</v>
      </c>
      <c r="E1744" s="131" t="s">
        <v>163</v>
      </c>
      <c r="F1744" s="66">
        <v>804</v>
      </c>
      <c r="G1744" s="66"/>
      <c r="H1744" s="66"/>
      <c r="I1744" s="66"/>
      <c r="J1744" s="66"/>
      <c r="K1744" s="78"/>
      <c r="L1744" s="66"/>
      <c r="M1744" s="66"/>
      <c r="N1744" s="110">
        <f t="shared" ref="N1744:N1750" si="2766">M1744-F1744</f>
        <v>-804</v>
      </c>
      <c r="O1744" s="110"/>
      <c r="P1744" s="66"/>
      <c r="Q1744" s="66"/>
      <c r="R1744" s="66"/>
      <c r="S1744" s="66"/>
      <c r="T1744" s="110">
        <f>S1744-Q1744</f>
        <v>0</v>
      </c>
      <c r="U1744" s="59">
        <f t="shared" ref="U1744:U1751" si="2767">IF(Q1744&gt;0,S1744-W1744,M1744-W1744)</f>
        <v>0</v>
      </c>
      <c r="V1744" s="66"/>
      <c r="W1744" s="66"/>
      <c r="X1744" s="110">
        <f>W1744-M1744</f>
        <v>0</v>
      </c>
      <c r="Y1744" s="110"/>
      <c r="Z1744" s="110"/>
      <c r="AA1744" s="110"/>
      <c r="AB1744" s="46"/>
      <c r="AC1744" s="78"/>
      <c r="AD1744" s="78"/>
      <c r="AE1744" s="100">
        <f t="shared" ref="AE1744:AE1751" si="2768">N1744/F1744</f>
        <v>-1</v>
      </c>
      <c r="AF1744" s="90"/>
      <c r="AG1744" s="109">
        <f t="shared" ref="AG1744:AG1751" si="2769">IF(N1744&lt;0,N1744,0)</f>
        <v>-804</v>
      </c>
      <c r="AH1744" s="100">
        <f t="shared" ref="AH1744:AH1751" si="2770">(S1744-F1744)/F1744</f>
        <v>-1</v>
      </c>
      <c r="AI1744" s="100">
        <f t="shared" ref="AI1744:AI1751" si="2771">(W1744-F1744)/F1744</f>
        <v>-1</v>
      </c>
    </row>
    <row r="1745" spans="1:35" s="47" customFormat="1" ht="21" customHeight="1" x14ac:dyDescent="0.3">
      <c r="A1745" s="78"/>
      <c r="B1745" s="106" t="s">
        <v>51</v>
      </c>
      <c r="C1745" s="117" t="s">
        <v>865</v>
      </c>
      <c r="D1745" s="300"/>
      <c r="E1745" s="131" t="s">
        <v>5</v>
      </c>
      <c r="F1745" s="66">
        <v>3902</v>
      </c>
      <c r="G1745" s="66"/>
      <c r="H1745" s="66"/>
      <c r="I1745" s="66"/>
      <c r="J1745" s="66"/>
      <c r="K1745" s="78"/>
      <c r="L1745" s="66">
        <v>8</v>
      </c>
      <c r="M1745" s="66">
        <f>1236+2712+8</f>
        <v>3956</v>
      </c>
      <c r="N1745" s="110">
        <f t="shared" ref="N1745:N1746" si="2772">M1745-F1745</f>
        <v>54</v>
      </c>
      <c r="O1745" s="110"/>
      <c r="P1745" s="66"/>
      <c r="Q1745" s="66"/>
      <c r="R1745" s="66"/>
      <c r="S1745" s="66"/>
      <c r="T1745" s="110">
        <f t="shared" ref="T1745:T1746" si="2773">S1745-Q1745</f>
        <v>0</v>
      </c>
      <c r="U1745" s="59">
        <f t="shared" ref="U1745:U1746" si="2774">IF(Q1745&gt;0,S1745-W1745,M1745-W1745)</f>
        <v>3956</v>
      </c>
      <c r="V1745" s="66"/>
      <c r="W1745" s="66"/>
      <c r="X1745" s="110">
        <f t="shared" ref="X1745:X1746" si="2775">W1745-M1745</f>
        <v>-3956</v>
      </c>
      <c r="Y1745" s="110"/>
      <c r="Z1745" s="110"/>
      <c r="AA1745" s="110"/>
      <c r="AB1745" s="46"/>
      <c r="AC1745" s="78"/>
      <c r="AD1745" s="78"/>
      <c r="AE1745" s="100">
        <f t="shared" ref="AE1745:AE1746" si="2776">N1745/F1745</f>
        <v>1.3839056893900564E-2</v>
      </c>
      <c r="AF1745" s="90"/>
      <c r="AG1745" s="109">
        <f t="shared" ref="AG1745:AG1746" si="2777">IF(N1745&lt;0,N1745,0)</f>
        <v>0</v>
      </c>
      <c r="AH1745" s="100">
        <f t="shared" ref="AH1745:AH1746" si="2778">(S1745-F1745)/F1745</f>
        <v>-1</v>
      </c>
      <c r="AI1745" s="100">
        <f t="shared" ref="AI1745:AI1746" si="2779">(W1745-F1745)/F1745</f>
        <v>-1</v>
      </c>
    </row>
    <row r="1746" spans="1:35" s="47" customFormat="1" ht="21" customHeight="1" x14ac:dyDescent="0.3">
      <c r="A1746" s="78"/>
      <c r="B1746" s="106" t="s">
        <v>51</v>
      </c>
      <c r="C1746" s="117" t="s">
        <v>865</v>
      </c>
      <c r="D1746" s="300"/>
      <c r="E1746" s="131" t="s">
        <v>279</v>
      </c>
      <c r="F1746" s="66">
        <v>1576</v>
      </c>
      <c r="G1746" s="66"/>
      <c r="H1746" s="66"/>
      <c r="I1746" s="66"/>
      <c r="J1746" s="66"/>
      <c r="K1746" s="78"/>
      <c r="L1746" s="66"/>
      <c r="M1746" s="66"/>
      <c r="N1746" s="110">
        <f t="shared" si="2772"/>
        <v>-1576</v>
      </c>
      <c r="O1746" s="110"/>
      <c r="P1746" s="66"/>
      <c r="Q1746" s="66"/>
      <c r="R1746" s="66"/>
      <c r="S1746" s="66"/>
      <c r="T1746" s="110">
        <f t="shared" si="2773"/>
        <v>0</v>
      </c>
      <c r="U1746" s="59">
        <f t="shared" si="2774"/>
        <v>0</v>
      </c>
      <c r="V1746" s="66"/>
      <c r="W1746" s="66"/>
      <c r="X1746" s="110">
        <f t="shared" si="2775"/>
        <v>0</v>
      </c>
      <c r="Y1746" s="110"/>
      <c r="Z1746" s="110"/>
      <c r="AA1746" s="110"/>
      <c r="AB1746" s="46"/>
      <c r="AC1746" s="78"/>
      <c r="AD1746" s="78"/>
      <c r="AE1746" s="100">
        <f t="shared" si="2776"/>
        <v>-1</v>
      </c>
      <c r="AF1746" s="90"/>
      <c r="AG1746" s="109">
        <f t="shared" si="2777"/>
        <v>-1576</v>
      </c>
      <c r="AH1746" s="100">
        <f t="shared" si="2778"/>
        <v>-1</v>
      </c>
      <c r="AI1746" s="100">
        <f t="shared" si="2779"/>
        <v>-1</v>
      </c>
    </row>
    <row r="1747" spans="1:35" s="47" customFormat="1" ht="21" customHeight="1" x14ac:dyDescent="0.3">
      <c r="A1747" s="78"/>
      <c r="B1747" s="106" t="s">
        <v>51</v>
      </c>
      <c r="C1747" s="117" t="s">
        <v>865</v>
      </c>
      <c r="D1747" s="300"/>
      <c r="E1747" s="131" t="s">
        <v>280</v>
      </c>
      <c r="F1747" s="66">
        <v>1512</v>
      </c>
      <c r="G1747" s="66"/>
      <c r="H1747" s="66"/>
      <c r="I1747" s="66"/>
      <c r="J1747" s="66"/>
      <c r="K1747" s="78"/>
      <c r="L1747" s="66"/>
      <c r="M1747" s="66"/>
      <c r="N1747" s="110">
        <f t="shared" si="2766"/>
        <v>-1512</v>
      </c>
      <c r="O1747" s="110"/>
      <c r="P1747" s="66"/>
      <c r="Q1747" s="66"/>
      <c r="R1747" s="66"/>
      <c r="S1747" s="66"/>
      <c r="T1747" s="110">
        <f t="shared" ref="T1747:T1748" si="2780">S1747-Q1747</f>
        <v>0</v>
      </c>
      <c r="U1747" s="59">
        <f t="shared" si="2767"/>
        <v>0</v>
      </c>
      <c r="V1747" s="66"/>
      <c r="W1747" s="66"/>
      <c r="X1747" s="110">
        <f t="shared" ref="X1747:X1748" si="2781">W1747-M1747</f>
        <v>0</v>
      </c>
      <c r="Y1747" s="110"/>
      <c r="Z1747" s="110"/>
      <c r="AA1747" s="110"/>
      <c r="AB1747" s="46"/>
      <c r="AC1747" s="78"/>
      <c r="AD1747" s="78"/>
      <c r="AE1747" s="100">
        <f t="shared" si="2768"/>
        <v>-1</v>
      </c>
      <c r="AF1747" s="90"/>
      <c r="AG1747" s="109">
        <f t="shared" si="2769"/>
        <v>-1512</v>
      </c>
      <c r="AH1747" s="100">
        <f t="shared" si="2770"/>
        <v>-1</v>
      </c>
      <c r="AI1747" s="100">
        <f t="shared" si="2771"/>
        <v>-1</v>
      </c>
    </row>
    <row r="1748" spans="1:35" s="47" customFormat="1" ht="21" customHeight="1" x14ac:dyDescent="0.3">
      <c r="A1748" s="78"/>
      <c r="B1748" s="106" t="s">
        <v>51</v>
      </c>
      <c r="C1748" s="117" t="s">
        <v>865</v>
      </c>
      <c r="D1748" s="300"/>
      <c r="E1748" s="131" t="s">
        <v>0</v>
      </c>
      <c r="F1748" s="66">
        <v>840</v>
      </c>
      <c r="G1748" s="66"/>
      <c r="H1748" s="66"/>
      <c r="I1748" s="66"/>
      <c r="J1748" s="66"/>
      <c r="K1748" s="78"/>
      <c r="L1748" s="66"/>
      <c r="M1748" s="66">
        <f>858</f>
        <v>858</v>
      </c>
      <c r="N1748" s="110">
        <f t="shared" ref="N1748" si="2782">M1748-F1748</f>
        <v>18</v>
      </c>
      <c r="O1748" s="110"/>
      <c r="P1748" s="66"/>
      <c r="Q1748" s="66"/>
      <c r="R1748" s="66"/>
      <c r="S1748" s="66"/>
      <c r="T1748" s="110">
        <f t="shared" si="2780"/>
        <v>0</v>
      </c>
      <c r="U1748" s="59">
        <f t="shared" ref="U1748" si="2783">IF(Q1748&gt;0,S1748-W1748,M1748-W1748)</f>
        <v>858</v>
      </c>
      <c r="V1748" s="66"/>
      <c r="W1748" s="66"/>
      <c r="X1748" s="110">
        <f t="shared" si="2781"/>
        <v>-858</v>
      </c>
      <c r="Y1748" s="110"/>
      <c r="Z1748" s="110"/>
      <c r="AA1748" s="110"/>
      <c r="AB1748" s="46"/>
      <c r="AC1748" s="78"/>
      <c r="AD1748" s="78"/>
      <c r="AE1748" s="100">
        <f t="shared" ref="AE1748" si="2784">N1748/F1748</f>
        <v>2.1428571428571429E-2</v>
      </c>
      <c r="AF1748" s="90"/>
      <c r="AG1748" s="109">
        <f t="shared" ref="AG1748" si="2785">IF(N1748&lt;0,N1748,0)</f>
        <v>0</v>
      </c>
      <c r="AH1748" s="100">
        <f t="shared" ref="AH1748" si="2786">(S1748-F1748)/F1748</f>
        <v>-1</v>
      </c>
      <c r="AI1748" s="100">
        <f t="shared" ref="AI1748" si="2787">(W1748-F1748)/F1748</f>
        <v>-1</v>
      </c>
    </row>
    <row r="1749" spans="1:35" s="47" customFormat="1" ht="21" customHeight="1" x14ac:dyDescent="0.3">
      <c r="A1749" s="78"/>
      <c r="B1749" s="106" t="s">
        <v>51</v>
      </c>
      <c r="C1749" s="117" t="s">
        <v>865</v>
      </c>
      <c r="D1749" s="300"/>
      <c r="E1749" s="131" t="s">
        <v>866</v>
      </c>
      <c r="F1749" s="66">
        <v>840</v>
      </c>
      <c r="G1749" s="66"/>
      <c r="H1749" s="66"/>
      <c r="I1749" s="66"/>
      <c r="J1749" s="66"/>
      <c r="K1749" s="78"/>
      <c r="L1749" s="66"/>
      <c r="M1749" s="66"/>
      <c r="N1749" s="110">
        <f t="shared" ref="N1749" si="2788">M1749-F1749</f>
        <v>-840</v>
      </c>
      <c r="O1749" s="110"/>
      <c r="P1749" s="66"/>
      <c r="Q1749" s="66"/>
      <c r="R1749" s="66"/>
      <c r="S1749" s="66"/>
      <c r="T1749" s="110">
        <f t="shared" ref="T1749" si="2789">S1749-Q1749</f>
        <v>0</v>
      </c>
      <c r="U1749" s="59">
        <f t="shared" ref="U1749" si="2790">IF(Q1749&gt;0,S1749-W1749,M1749-W1749)</f>
        <v>0</v>
      </c>
      <c r="V1749" s="66"/>
      <c r="W1749" s="66"/>
      <c r="X1749" s="110">
        <f t="shared" ref="X1749" si="2791">W1749-M1749</f>
        <v>0</v>
      </c>
      <c r="Y1749" s="110"/>
      <c r="Z1749" s="110"/>
      <c r="AA1749" s="110"/>
      <c r="AB1749" s="46"/>
      <c r="AC1749" s="78"/>
      <c r="AD1749" s="78"/>
      <c r="AE1749" s="100">
        <f t="shared" ref="AE1749" si="2792">N1749/F1749</f>
        <v>-1</v>
      </c>
      <c r="AF1749" s="90"/>
      <c r="AG1749" s="109">
        <f t="shared" ref="AG1749" si="2793">IF(N1749&lt;0,N1749,0)</f>
        <v>-840</v>
      </c>
      <c r="AH1749" s="100">
        <f t="shared" ref="AH1749" si="2794">(S1749-F1749)/F1749</f>
        <v>-1</v>
      </c>
      <c r="AI1749" s="100">
        <f t="shared" ref="AI1749" si="2795">(W1749-F1749)/F1749</f>
        <v>-1</v>
      </c>
    </row>
    <row r="1750" spans="1:35" s="47" customFormat="1" ht="21" customHeight="1" x14ac:dyDescent="0.3">
      <c r="A1750" s="78"/>
      <c r="B1750" s="106" t="s">
        <v>51</v>
      </c>
      <c r="C1750" s="117" t="s">
        <v>865</v>
      </c>
      <c r="D1750" s="300"/>
      <c r="E1750" s="131" t="s">
        <v>867</v>
      </c>
      <c r="F1750" s="66">
        <v>660</v>
      </c>
      <c r="G1750" s="66"/>
      <c r="H1750" s="66"/>
      <c r="I1750" s="66"/>
      <c r="J1750" s="66"/>
      <c r="K1750" s="78"/>
      <c r="L1750" s="66"/>
      <c r="M1750" s="66"/>
      <c r="N1750" s="110">
        <f t="shared" si="2766"/>
        <v>-660</v>
      </c>
      <c r="O1750" s="110"/>
      <c r="P1750" s="66"/>
      <c r="Q1750" s="66"/>
      <c r="R1750" s="66"/>
      <c r="S1750" s="66"/>
      <c r="T1750" s="110">
        <f t="shared" ref="T1750" si="2796">S1750-Q1750</f>
        <v>0</v>
      </c>
      <c r="U1750" s="59">
        <f t="shared" si="2767"/>
        <v>0</v>
      </c>
      <c r="V1750" s="66"/>
      <c r="W1750" s="66"/>
      <c r="X1750" s="110">
        <f t="shared" ref="X1750" si="2797">W1750-M1750</f>
        <v>0</v>
      </c>
      <c r="Y1750" s="110"/>
      <c r="Z1750" s="110"/>
      <c r="AA1750" s="110"/>
      <c r="AB1750" s="46"/>
      <c r="AC1750" s="78"/>
      <c r="AD1750" s="78"/>
      <c r="AE1750" s="100">
        <f t="shared" si="2768"/>
        <v>-1</v>
      </c>
      <c r="AF1750" s="90"/>
      <c r="AG1750" s="109">
        <f t="shared" si="2769"/>
        <v>-660</v>
      </c>
      <c r="AH1750" s="100">
        <f t="shared" si="2770"/>
        <v>-1</v>
      </c>
      <c r="AI1750" s="100">
        <f t="shared" si="2771"/>
        <v>-1</v>
      </c>
    </row>
    <row r="1751" spans="1:35" s="79" customFormat="1" ht="15.75" customHeight="1" x14ac:dyDescent="0.3">
      <c r="A1751" s="90" t="s">
        <v>46</v>
      </c>
      <c r="B1751" s="136" t="s">
        <v>51</v>
      </c>
      <c r="C1751" s="137"/>
      <c r="D1751" s="136"/>
      <c r="E1751" s="138"/>
      <c r="F1751" s="91">
        <f>SUM(F1744:F1750)</f>
        <v>10134</v>
      </c>
      <c r="G1751" s="91"/>
      <c r="H1751" s="91"/>
      <c r="I1751" s="91"/>
      <c r="J1751" s="91" t="s">
        <v>60</v>
      </c>
      <c r="K1751" s="65" t="s">
        <v>768</v>
      </c>
      <c r="L1751" s="91">
        <f>SUM(L1744:L1750)</f>
        <v>8</v>
      </c>
      <c r="M1751" s="91">
        <f>SUM(M1744:M1750)</f>
        <v>4814</v>
      </c>
      <c r="N1751" s="91">
        <f>SUM(N1744:N1750)</f>
        <v>-5320</v>
      </c>
      <c r="O1751" s="91"/>
      <c r="P1751" s="91">
        <f>SUM(P1744:P1750)</f>
        <v>0</v>
      </c>
      <c r="Q1751" s="91">
        <f>SUM(Q1744:Q1750)</f>
        <v>0</v>
      </c>
      <c r="R1751" s="91">
        <f>SUM(R1744:R1750)</f>
        <v>0</v>
      </c>
      <c r="S1751" s="91">
        <f>SUM(S1744:S1750)</f>
        <v>0</v>
      </c>
      <c r="T1751" s="91">
        <f>SUM(T1744:T1750)</f>
        <v>0</v>
      </c>
      <c r="U1751" s="59">
        <f t="shared" si="2767"/>
        <v>4814</v>
      </c>
      <c r="V1751" s="91">
        <f>SUM(V1744:V1750)</f>
        <v>0</v>
      </c>
      <c r="W1751" s="91">
        <f>SUM(W1744:W1750)</f>
        <v>0</v>
      </c>
      <c r="X1751" s="91">
        <f>SUM(X1744:X1750)</f>
        <v>-4814</v>
      </c>
      <c r="Y1751" s="136"/>
      <c r="Z1751" s="136"/>
      <c r="AA1751" s="136"/>
      <c r="AB1751" s="84"/>
      <c r="AC1751" s="90"/>
      <c r="AD1751" s="90"/>
      <c r="AE1751" s="100">
        <f t="shared" si="2768"/>
        <v>-0.52496546279850009</v>
      </c>
      <c r="AF1751" s="90"/>
      <c r="AG1751" s="109">
        <f t="shared" si="2769"/>
        <v>-5320</v>
      </c>
      <c r="AH1751" s="100">
        <f t="shared" si="2770"/>
        <v>-1</v>
      </c>
      <c r="AI1751" s="100">
        <f t="shared" si="2771"/>
        <v>-1</v>
      </c>
    </row>
    <row r="1752" spans="1:35" s="47" customFormat="1" ht="21" customHeight="1" x14ac:dyDescent="0.3">
      <c r="A1752" s="78"/>
      <c r="B1752" s="106" t="s">
        <v>51</v>
      </c>
      <c r="C1752" s="117" t="s">
        <v>868</v>
      </c>
      <c r="D1752" s="299">
        <v>15343893</v>
      </c>
      <c r="E1752" s="131" t="s">
        <v>746</v>
      </c>
      <c r="F1752" s="66">
        <v>9344</v>
      </c>
      <c r="G1752" s="66"/>
      <c r="H1752" s="66"/>
      <c r="I1752" s="66"/>
      <c r="J1752" s="66"/>
      <c r="K1752" s="78"/>
      <c r="L1752" s="66"/>
      <c r="M1752" s="66"/>
      <c r="N1752" s="110">
        <f t="shared" ref="N1752:N1759" si="2798">M1752-F1752</f>
        <v>-9344</v>
      </c>
      <c r="O1752" s="110"/>
      <c r="P1752" s="66"/>
      <c r="Q1752" s="66"/>
      <c r="R1752" s="66"/>
      <c r="S1752" s="66"/>
      <c r="T1752" s="110">
        <f>S1752-Q1752</f>
        <v>0</v>
      </c>
      <c r="U1752" s="59">
        <f t="shared" si="2686"/>
        <v>0</v>
      </c>
      <c r="V1752" s="66"/>
      <c r="W1752" s="66"/>
      <c r="X1752" s="110">
        <f>W1752-M1752</f>
        <v>0</v>
      </c>
      <c r="Y1752" s="110"/>
      <c r="Z1752" s="110"/>
      <c r="AA1752" s="110"/>
      <c r="AB1752" s="46"/>
      <c r="AC1752" s="78"/>
      <c r="AD1752" s="78"/>
      <c r="AE1752" s="100">
        <f t="shared" si="2687"/>
        <v>-1</v>
      </c>
      <c r="AF1752" s="90"/>
      <c r="AG1752" s="109">
        <f t="shared" si="2688"/>
        <v>-9344</v>
      </c>
      <c r="AH1752" s="100">
        <f t="shared" si="2689"/>
        <v>-1</v>
      </c>
      <c r="AI1752" s="100">
        <f t="shared" si="2690"/>
        <v>-1</v>
      </c>
    </row>
    <row r="1753" spans="1:35" s="47" customFormat="1" ht="21" customHeight="1" x14ac:dyDescent="0.3">
      <c r="A1753" s="78"/>
      <c r="B1753" s="106" t="s">
        <v>51</v>
      </c>
      <c r="C1753" s="117" t="s">
        <v>868</v>
      </c>
      <c r="D1753" s="300"/>
      <c r="E1753" s="131" t="s">
        <v>5</v>
      </c>
      <c r="F1753" s="66">
        <v>10732</v>
      </c>
      <c r="G1753" s="66"/>
      <c r="H1753" s="66"/>
      <c r="I1753" s="66"/>
      <c r="J1753" s="66"/>
      <c r="K1753" s="78"/>
      <c r="L1753" s="66"/>
      <c r="M1753" s="66"/>
      <c r="N1753" s="110">
        <f t="shared" si="2798"/>
        <v>-10732</v>
      </c>
      <c r="O1753" s="110"/>
      <c r="P1753" s="66"/>
      <c r="Q1753" s="66"/>
      <c r="R1753" s="66"/>
      <c r="S1753" s="66"/>
      <c r="T1753" s="110">
        <f t="shared" ref="T1753:T1757" si="2799">S1753-Q1753</f>
        <v>0</v>
      </c>
      <c r="U1753" s="59">
        <f t="shared" si="2686"/>
        <v>0</v>
      </c>
      <c r="V1753" s="66"/>
      <c r="W1753" s="66"/>
      <c r="X1753" s="110">
        <f t="shared" ref="X1753:X1757" si="2800">W1753-M1753</f>
        <v>0</v>
      </c>
      <c r="Y1753" s="110"/>
      <c r="Z1753" s="110"/>
      <c r="AA1753" s="110"/>
      <c r="AB1753" s="46"/>
      <c r="AC1753" s="78"/>
      <c r="AD1753" s="78"/>
      <c r="AE1753" s="100">
        <f t="shared" si="2687"/>
        <v>-1</v>
      </c>
      <c r="AF1753" s="90"/>
      <c r="AG1753" s="109">
        <f t="shared" si="2688"/>
        <v>-10732</v>
      </c>
      <c r="AH1753" s="100">
        <f t="shared" si="2689"/>
        <v>-1</v>
      </c>
      <c r="AI1753" s="100">
        <f t="shared" si="2690"/>
        <v>-1</v>
      </c>
    </row>
    <row r="1754" spans="1:35" s="47" customFormat="1" ht="21" customHeight="1" x14ac:dyDescent="0.3">
      <c r="A1754" s="78"/>
      <c r="B1754" s="106" t="s">
        <v>51</v>
      </c>
      <c r="C1754" s="117" t="s">
        <v>868</v>
      </c>
      <c r="D1754" s="300"/>
      <c r="E1754" s="131" t="s">
        <v>279</v>
      </c>
      <c r="F1754" s="66">
        <v>3512</v>
      </c>
      <c r="G1754" s="66"/>
      <c r="H1754" s="66"/>
      <c r="I1754" s="66"/>
      <c r="J1754" s="66"/>
      <c r="K1754" s="78"/>
      <c r="L1754" s="66"/>
      <c r="M1754" s="66"/>
      <c r="N1754" s="110">
        <f t="shared" si="2798"/>
        <v>-3512</v>
      </c>
      <c r="O1754" s="110"/>
      <c r="P1754" s="66"/>
      <c r="Q1754" s="66"/>
      <c r="R1754" s="66"/>
      <c r="S1754" s="66"/>
      <c r="T1754" s="110">
        <f t="shared" ref="T1754:T1756" si="2801">S1754-Q1754</f>
        <v>0</v>
      </c>
      <c r="U1754" s="59">
        <f t="shared" si="2686"/>
        <v>0</v>
      </c>
      <c r="V1754" s="66"/>
      <c r="W1754" s="66"/>
      <c r="X1754" s="110">
        <f t="shared" ref="X1754:X1756" si="2802">W1754-M1754</f>
        <v>0</v>
      </c>
      <c r="Y1754" s="110"/>
      <c r="Z1754" s="110"/>
      <c r="AA1754" s="110"/>
      <c r="AB1754" s="46"/>
      <c r="AC1754" s="78"/>
      <c r="AD1754" s="78"/>
      <c r="AE1754" s="100">
        <f t="shared" si="2687"/>
        <v>-1</v>
      </c>
      <c r="AF1754" s="90"/>
      <c r="AG1754" s="109">
        <f t="shared" si="2688"/>
        <v>-3512</v>
      </c>
      <c r="AH1754" s="100">
        <f t="shared" si="2689"/>
        <v>-1</v>
      </c>
      <c r="AI1754" s="100">
        <f t="shared" si="2690"/>
        <v>-1</v>
      </c>
    </row>
    <row r="1755" spans="1:35" s="47" customFormat="1" ht="21" customHeight="1" x14ac:dyDescent="0.3">
      <c r="A1755" s="78"/>
      <c r="B1755" s="106" t="s">
        <v>51</v>
      </c>
      <c r="C1755" s="117" t="s">
        <v>868</v>
      </c>
      <c r="D1755" s="300"/>
      <c r="E1755" s="131" t="s">
        <v>869</v>
      </c>
      <c r="F1755" s="66">
        <v>9120</v>
      </c>
      <c r="G1755" s="66"/>
      <c r="H1755" s="66"/>
      <c r="I1755" s="66"/>
      <c r="J1755" s="66"/>
      <c r="K1755" s="78"/>
      <c r="L1755" s="66"/>
      <c r="M1755" s="66"/>
      <c r="N1755" s="110">
        <f t="shared" si="2798"/>
        <v>-9120</v>
      </c>
      <c r="O1755" s="110"/>
      <c r="P1755" s="66"/>
      <c r="Q1755" s="66"/>
      <c r="R1755" s="66"/>
      <c r="S1755" s="66"/>
      <c r="T1755" s="110">
        <f t="shared" si="2801"/>
        <v>0</v>
      </c>
      <c r="U1755" s="59">
        <f t="shared" si="2686"/>
        <v>0</v>
      </c>
      <c r="V1755" s="66"/>
      <c r="W1755" s="66"/>
      <c r="X1755" s="110">
        <f t="shared" si="2802"/>
        <v>0</v>
      </c>
      <c r="Y1755" s="110"/>
      <c r="Z1755" s="110"/>
      <c r="AA1755" s="110"/>
      <c r="AB1755" s="46"/>
      <c r="AC1755" s="78"/>
      <c r="AD1755" s="78"/>
      <c r="AE1755" s="100">
        <f t="shared" si="2687"/>
        <v>-1</v>
      </c>
      <c r="AF1755" s="90"/>
      <c r="AG1755" s="109">
        <f t="shared" si="2688"/>
        <v>-9120</v>
      </c>
      <c r="AH1755" s="100">
        <f t="shared" si="2689"/>
        <v>-1</v>
      </c>
      <c r="AI1755" s="100">
        <f t="shared" si="2690"/>
        <v>-1</v>
      </c>
    </row>
    <row r="1756" spans="1:35" s="47" customFormat="1" ht="21" customHeight="1" x14ac:dyDescent="0.3">
      <c r="A1756" s="78"/>
      <c r="B1756" s="106" t="s">
        <v>51</v>
      </c>
      <c r="C1756" s="117" t="s">
        <v>868</v>
      </c>
      <c r="D1756" s="300"/>
      <c r="E1756" s="131" t="s">
        <v>280</v>
      </c>
      <c r="F1756" s="66">
        <v>3756</v>
      </c>
      <c r="G1756" s="66"/>
      <c r="H1756" s="66"/>
      <c r="I1756" s="66"/>
      <c r="J1756" s="66"/>
      <c r="K1756" s="78"/>
      <c r="L1756" s="66"/>
      <c r="M1756" s="66"/>
      <c r="N1756" s="110">
        <f t="shared" ref="N1756" si="2803">M1756-F1756</f>
        <v>-3756</v>
      </c>
      <c r="O1756" s="110"/>
      <c r="P1756" s="66"/>
      <c r="Q1756" s="66"/>
      <c r="R1756" s="66"/>
      <c r="S1756" s="66"/>
      <c r="T1756" s="110">
        <f t="shared" si="2801"/>
        <v>0</v>
      </c>
      <c r="U1756" s="59">
        <f t="shared" ref="U1756" si="2804">IF(Q1756&gt;0,S1756-W1756,M1756-W1756)</f>
        <v>0</v>
      </c>
      <c r="V1756" s="66"/>
      <c r="W1756" s="66"/>
      <c r="X1756" s="110">
        <f t="shared" si="2802"/>
        <v>0</v>
      </c>
      <c r="Y1756" s="110"/>
      <c r="Z1756" s="110"/>
      <c r="AA1756" s="110"/>
      <c r="AB1756" s="46"/>
      <c r="AC1756" s="78"/>
      <c r="AD1756" s="78"/>
      <c r="AE1756" s="100">
        <f t="shared" ref="AE1756" si="2805">N1756/F1756</f>
        <v>-1</v>
      </c>
      <c r="AF1756" s="90"/>
      <c r="AG1756" s="109">
        <f t="shared" ref="AG1756" si="2806">IF(N1756&lt;0,N1756,0)</f>
        <v>-3756</v>
      </c>
      <c r="AH1756" s="100">
        <f t="shared" ref="AH1756" si="2807">(S1756-F1756)/F1756</f>
        <v>-1</v>
      </c>
      <c r="AI1756" s="100">
        <f t="shared" ref="AI1756" si="2808">(W1756-F1756)/F1756</f>
        <v>-1</v>
      </c>
    </row>
    <row r="1757" spans="1:35" s="47" customFormat="1" ht="21" customHeight="1" x14ac:dyDescent="0.3">
      <c r="A1757" s="78"/>
      <c r="B1757" s="106" t="s">
        <v>51</v>
      </c>
      <c r="C1757" s="117" t="s">
        <v>868</v>
      </c>
      <c r="D1757" s="300"/>
      <c r="E1757" s="131" t="s">
        <v>0</v>
      </c>
      <c r="F1757" s="66">
        <v>4644</v>
      </c>
      <c r="G1757" s="66"/>
      <c r="H1757" s="66"/>
      <c r="I1757" s="66"/>
      <c r="J1757" s="66"/>
      <c r="K1757" s="78"/>
      <c r="L1757" s="66"/>
      <c r="M1757" s="66"/>
      <c r="N1757" s="110">
        <f t="shared" ref="N1757" si="2809">M1757-F1757</f>
        <v>-4644</v>
      </c>
      <c r="O1757" s="110"/>
      <c r="P1757" s="66"/>
      <c r="Q1757" s="66"/>
      <c r="R1757" s="66"/>
      <c r="S1757" s="66"/>
      <c r="T1757" s="110">
        <f t="shared" si="2799"/>
        <v>0</v>
      </c>
      <c r="U1757" s="59">
        <f t="shared" ref="U1757" si="2810">IF(Q1757&gt;0,S1757-W1757,M1757-W1757)</f>
        <v>0</v>
      </c>
      <c r="V1757" s="66"/>
      <c r="W1757" s="66"/>
      <c r="X1757" s="110">
        <f t="shared" si="2800"/>
        <v>0</v>
      </c>
      <c r="Y1757" s="110"/>
      <c r="Z1757" s="110"/>
      <c r="AA1757" s="110"/>
      <c r="AB1757" s="46"/>
      <c r="AC1757" s="78"/>
      <c r="AD1757" s="78"/>
      <c r="AE1757" s="100">
        <f t="shared" ref="AE1757" si="2811">N1757/F1757</f>
        <v>-1</v>
      </c>
      <c r="AF1757" s="90"/>
      <c r="AG1757" s="109">
        <f t="shared" ref="AG1757" si="2812">IF(N1757&lt;0,N1757,0)</f>
        <v>-4644</v>
      </c>
      <c r="AH1757" s="100">
        <f t="shared" ref="AH1757" si="2813">(S1757-F1757)/F1757</f>
        <v>-1</v>
      </c>
      <c r="AI1757" s="100">
        <f t="shared" ref="AI1757" si="2814">(W1757-F1757)/F1757</f>
        <v>-1</v>
      </c>
    </row>
    <row r="1758" spans="1:35" s="47" customFormat="1" ht="21" customHeight="1" x14ac:dyDescent="0.3">
      <c r="A1758" s="78"/>
      <c r="B1758" s="106" t="s">
        <v>51</v>
      </c>
      <c r="C1758" s="117" t="s">
        <v>868</v>
      </c>
      <c r="D1758" s="300"/>
      <c r="E1758" s="131" t="s">
        <v>870</v>
      </c>
      <c r="F1758" s="66">
        <v>9380</v>
      </c>
      <c r="G1758" s="66"/>
      <c r="H1758" s="66"/>
      <c r="I1758" s="66"/>
      <c r="J1758" s="66"/>
      <c r="K1758" s="78"/>
      <c r="L1758" s="66"/>
      <c r="M1758" s="66"/>
      <c r="N1758" s="110">
        <f t="shared" ref="N1758" si="2815">M1758-F1758</f>
        <v>-9380</v>
      </c>
      <c r="O1758" s="110"/>
      <c r="P1758" s="66"/>
      <c r="Q1758" s="66"/>
      <c r="R1758" s="66"/>
      <c r="S1758" s="66"/>
      <c r="T1758" s="110">
        <f t="shared" ref="T1758" si="2816">S1758-Q1758</f>
        <v>0</v>
      </c>
      <c r="U1758" s="59">
        <f t="shared" ref="U1758" si="2817">IF(Q1758&gt;0,S1758-W1758,M1758-W1758)</f>
        <v>0</v>
      </c>
      <c r="V1758" s="66"/>
      <c r="W1758" s="66"/>
      <c r="X1758" s="110">
        <f t="shared" ref="X1758" si="2818">W1758-M1758</f>
        <v>0</v>
      </c>
      <c r="Y1758" s="110"/>
      <c r="Z1758" s="110"/>
      <c r="AA1758" s="110"/>
      <c r="AB1758" s="46"/>
      <c r="AC1758" s="78"/>
      <c r="AD1758" s="78"/>
      <c r="AE1758" s="100">
        <f t="shared" ref="AE1758" si="2819">N1758/F1758</f>
        <v>-1</v>
      </c>
      <c r="AF1758" s="90"/>
      <c r="AG1758" s="109">
        <f t="shared" ref="AG1758" si="2820">IF(N1758&lt;0,N1758,0)</f>
        <v>-9380</v>
      </c>
      <c r="AH1758" s="100">
        <f t="shared" ref="AH1758" si="2821">(S1758-F1758)/F1758</f>
        <v>-1</v>
      </c>
      <c r="AI1758" s="100">
        <f t="shared" ref="AI1758" si="2822">(W1758-F1758)/F1758</f>
        <v>-1</v>
      </c>
    </row>
    <row r="1759" spans="1:35" s="47" customFormat="1" ht="21" customHeight="1" x14ac:dyDescent="0.3">
      <c r="A1759" s="78"/>
      <c r="B1759" s="106" t="s">
        <v>51</v>
      </c>
      <c r="C1759" s="117" t="s">
        <v>868</v>
      </c>
      <c r="D1759" s="300"/>
      <c r="E1759" s="131" t="s">
        <v>41</v>
      </c>
      <c r="F1759" s="66">
        <v>3168</v>
      </c>
      <c r="G1759" s="66"/>
      <c r="H1759" s="66"/>
      <c r="I1759" s="66"/>
      <c r="J1759" s="66"/>
      <c r="K1759" s="78"/>
      <c r="L1759" s="66"/>
      <c r="M1759" s="66"/>
      <c r="N1759" s="110">
        <f t="shared" si="2798"/>
        <v>-3168</v>
      </c>
      <c r="O1759" s="110"/>
      <c r="P1759" s="66"/>
      <c r="Q1759" s="66"/>
      <c r="R1759" s="66"/>
      <c r="S1759" s="66"/>
      <c r="T1759" s="110">
        <f t="shared" ref="T1759" si="2823">S1759-Q1759</f>
        <v>0</v>
      </c>
      <c r="U1759" s="59">
        <f t="shared" si="2686"/>
        <v>0</v>
      </c>
      <c r="V1759" s="66"/>
      <c r="W1759" s="66"/>
      <c r="X1759" s="110">
        <f t="shared" ref="X1759" si="2824">W1759-M1759</f>
        <v>0</v>
      </c>
      <c r="Y1759" s="110"/>
      <c r="Z1759" s="110"/>
      <c r="AA1759" s="110"/>
      <c r="AB1759" s="46"/>
      <c r="AC1759" s="78"/>
      <c r="AD1759" s="78"/>
      <c r="AE1759" s="100">
        <f t="shared" si="2687"/>
        <v>-1</v>
      </c>
      <c r="AF1759" s="90"/>
      <c r="AG1759" s="109">
        <f t="shared" si="2688"/>
        <v>-3168</v>
      </c>
      <c r="AH1759" s="100">
        <f t="shared" si="2689"/>
        <v>-1</v>
      </c>
      <c r="AI1759" s="100">
        <f t="shared" si="2690"/>
        <v>-1</v>
      </c>
    </row>
    <row r="1760" spans="1:35" s="79" customFormat="1" ht="15.75" customHeight="1" x14ac:dyDescent="0.3">
      <c r="A1760" s="90" t="s">
        <v>46</v>
      </c>
      <c r="B1760" s="136" t="s">
        <v>51</v>
      </c>
      <c r="C1760" s="137"/>
      <c r="D1760" s="136"/>
      <c r="E1760" s="138"/>
      <c r="F1760" s="91">
        <f>SUM(F1752:F1759)</f>
        <v>53656</v>
      </c>
      <c r="G1760" s="91"/>
      <c r="H1760" s="91"/>
      <c r="I1760" s="91"/>
      <c r="J1760" s="91" t="s">
        <v>60</v>
      </c>
      <c r="K1760" s="65" t="s">
        <v>572</v>
      </c>
      <c r="L1760" s="91">
        <f>SUM(L1752:L1759)</f>
        <v>0</v>
      </c>
      <c r="M1760" s="91">
        <f>SUM(M1752:M1759)</f>
        <v>0</v>
      </c>
      <c r="N1760" s="91">
        <f>SUM(N1752:N1759)</f>
        <v>-53656</v>
      </c>
      <c r="O1760" s="91"/>
      <c r="P1760" s="91">
        <f>SUM(P1752:P1759)</f>
        <v>0</v>
      </c>
      <c r="Q1760" s="91">
        <f>SUM(Q1752:Q1759)</f>
        <v>0</v>
      </c>
      <c r="R1760" s="91">
        <f>SUM(R1752:R1759)</f>
        <v>0</v>
      </c>
      <c r="S1760" s="91">
        <f>SUM(S1752:S1759)</f>
        <v>0</v>
      </c>
      <c r="T1760" s="91">
        <f>SUM(T1752:T1759)</f>
        <v>0</v>
      </c>
      <c r="U1760" s="59">
        <f t="shared" si="2686"/>
        <v>0</v>
      </c>
      <c r="V1760" s="91">
        <f>SUM(V1752:V1759)</f>
        <v>0</v>
      </c>
      <c r="W1760" s="91">
        <f>SUM(W1752:W1759)</f>
        <v>0</v>
      </c>
      <c r="X1760" s="91">
        <f>SUM(X1752:X1759)</f>
        <v>0</v>
      </c>
      <c r="Y1760" s="136"/>
      <c r="Z1760" s="136"/>
      <c r="AA1760" s="136"/>
      <c r="AB1760" s="84"/>
      <c r="AC1760" s="90"/>
      <c r="AD1760" s="90"/>
      <c r="AE1760" s="100">
        <f t="shared" si="2687"/>
        <v>-1</v>
      </c>
      <c r="AF1760" s="90"/>
      <c r="AG1760" s="109">
        <f t="shared" si="2688"/>
        <v>-53656</v>
      </c>
      <c r="AH1760" s="100">
        <f t="shared" si="2689"/>
        <v>-1</v>
      </c>
      <c r="AI1760" s="100">
        <f t="shared" si="2690"/>
        <v>-1</v>
      </c>
    </row>
    <row r="1761" spans="1:35" s="47" customFormat="1" ht="21" customHeight="1" x14ac:dyDescent="0.3">
      <c r="A1761" s="78"/>
      <c r="B1761" s="106" t="s">
        <v>51</v>
      </c>
      <c r="C1761" s="117" t="s">
        <v>871</v>
      </c>
      <c r="D1761" s="299">
        <v>15343893</v>
      </c>
      <c r="E1761" s="131" t="s">
        <v>746</v>
      </c>
      <c r="F1761" s="66">
        <v>495</v>
      </c>
      <c r="G1761" s="66"/>
      <c r="H1761" s="66"/>
      <c r="I1761" s="66"/>
      <c r="J1761" s="66"/>
      <c r="K1761" s="78"/>
      <c r="L1761" s="66"/>
      <c r="M1761" s="66"/>
      <c r="N1761" s="110">
        <f t="shared" ref="N1761:N1767" si="2825">M1761-F1761</f>
        <v>-495</v>
      </c>
      <c r="O1761" s="110"/>
      <c r="P1761" s="66"/>
      <c r="Q1761" s="66"/>
      <c r="R1761" s="66"/>
      <c r="S1761" s="66"/>
      <c r="T1761" s="110">
        <f>S1761-Q1761</f>
        <v>0</v>
      </c>
      <c r="U1761" s="59">
        <f t="shared" si="2686"/>
        <v>0</v>
      </c>
      <c r="V1761" s="66"/>
      <c r="W1761" s="66"/>
      <c r="X1761" s="110">
        <f>W1761-M1761</f>
        <v>0</v>
      </c>
      <c r="Y1761" s="110"/>
      <c r="Z1761" s="110"/>
      <c r="AA1761" s="110"/>
      <c r="AB1761" s="46"/>
      <c r="AC1761" s="78"/>
      <c r="AD1761" s="78"/>
      <c r="AE1761" s="100">
        <f t="shared" si="2687"/>
        <v>-1</v>
      </c>
      <c r="AF1761" s="90"/>
      <c r="AG1761" s="109">
        <f t="shared" si="2688"/>
        <v>-495</v>
      </c>
      <c r="AH1761" s="100">
        <f t="shared" si="2689"/>
        <v>-1</v>
      </c>
      <c r="AI1761" s="100">
        <f t="shared" si="2690"/>
        <v>-1</v>
      </c>
    </row>
    <row r="1762" spans="1:35" s="47" customFormat="1" ht="21" customHeight="1" x14ac:dyDescent="0.3">
      <c r="A1762" s="78"/>
      <c r="B1762" s="106" t="s">
        <v>51</v>
      </c>
      <c r="C1762" s="117" t="s">
        <v>871</v>
      </c>
      <c r="D1762" s="300"/>
      <c r="E1762" s="131" t="s">
        <v>230</v>
      </c>
      <c r="F1762" s="66">
        <v>712</v>
      </c>
      <c r="G1762" s="66"/>
      <c r="H1762" s="66"/>
      <c r="I1762" s="66"/>
      <c r="J1762" s="66"/>
      <c r="K1762" s="78"/>
      <c r="L1762" s="66"/>
      <c r="M1762" s="66"/>
      <c r="N1762" s="110">
        <f t="shared" si="2825"/>
        <v>-712</v>
      </c>
      <c r="O1762" s="110"/>
      <c r="P1762" s="66"/>
      <c r="Q1762" s="66"/>
      <c r="R1762" s="66"/>
      <c r="S1762" s="66"/>
      <c r="T1762" s="110">
        <f t="shared" ref="T1762:T1765" si="2826">S1762-Q1762</f>
        <v>0</v>
      </c>
      <c r="U1762" s="59">
        <f t="shared" si="2686"/>
        <v>0</v>
      </c>
      <c r="V1762" s="66"/>
      <c r="W1762" s="66"/>
      <c r="X1762" s="110">
        <f t="shared" ref="X1762:X1765" si="2827">W1762-M1762</f>
        <v>0</v>
      </c>
      <c r="Y1762" s="110"/>
      <c r="Z1762" s="110"/>
      <c r="AA1762" s="110"/>
      <c r="AB1762" s="46"/>
      <c r="AC1762" s="78"/>
      <c r="AD1762" s="78"/>
      <c r="AE1762" s="100">
        <f t="shared" si="2687"/>
        <v>-1</v>
      </c>
      <c r="AF1762" s="90"/>
      <c r="AG1762" s="109">
        <f t="shared" si="2688"/>
        <v>-712</v>
      </c>
      <c r="AH1762" s="100">
        <f t="shared" si="2689"/>
        <v>-1</v>
      </c>
      <c r="AI1762" s="100">
        <f t="shared" si="2690"/>
        <v>-1</v>
      </c>
    </row>
    <row r="1763" spans="1:35" s="47" customFormat="1" ht="21" customHeight="1" x14ac:dyDescent="0.3">
      <c r="A1763" s="78"/>
      <c r="B1763" s="106" t="s">
        <v>51</v>
      </c>
      <c r="C1763" s="117" t="s">
        <v>871</v>
      </c>
      <c r="D1763" s="300"/>
      <c r="E1763" s="131" t="s">
        <v>163</v>
      </c>
      <c r="F1763" s="66">
        <v>1008</v>
      </c>
      <c r="G1763" s="66"/>
      <c r="H1763" s="66"/>
      <c r="I1763" s="66"/>
      <c r="J1763" s="66"/>
      <c r="K1763" s="78"/>
      <c r="L1763" s="66"/>
      <c r="M1763" s="66"/>
      <c r="N1763" s="110">
        <f t="shared" ref="N1763:N1765" si="2828">M1763-F1763</f>
        <v>-1008</v>
      </c>
      <c r="O1763" s="110"/>
      <c r="P1763" s="66"/>
      <c r="Q1763" s="66"/>
      <c r="R1763" s="66"/>
      <c r="S1763" s="66"/>
      <c r="T1763" s="110">
        <f t="shared" si="2826"/>
        <v>0</v>
      </c>
      <c r="U1763" s="59">
        <f t="shared" ref="U1763:U1765" si="2829">IF(Q1763&gt;0,S1763-W1763,M1763-W1763)</f>
        <v>0</v>
      </c>
      <c r="V1763" s="66"/>
      <c r="W1763" s="66"/>
      <c r="X1763" s="110">
        <f t="shared" si="2827"/>
        <v>0</v>
      </c>
      <c r="Y1763" s="110"/>
      <c r="Z1763" s="110"/>
      <c r="AA1763" s="110"/>
      <c r="AB1763" s="46"/>
      <c r="AC1763" s="78"/>
      <c r="AD1763" s="78"/>
      <c r="AE1763" s="100">
        <f t="shared" ref="AE1763:AE1765" si="2830">N1763/F1763</f>
        <v>-1</v>
      </c>
      <c r="AF1763" s="90"/>
      <c r="AG1763" s="109">
        <f t="shared" ref="AG1763:AG1765" si="2831">IF(N1763&lt;0,N1763,0)</f>
        <v>-1008</v>
      </c>
      <c r="AH1763" s="100">
        <f t="shared" ref="AH1763:AH1765" si="2832">(S1763-F1763)/F1763</f>
        <v>-1</v>
      </c>
      <c r="AI1763" s="100">
        <f t="shared" ref="AI1763:AI1765" si="2833">(W1763-F1763)/F1763</f>
        <v>-1</v>
      </c>
    </row>
    <row r="1764" spans="1:35" s="47" customFormat="1" ht="21" customHeight="1" x14ac:dyDescent="0.3">
      <c r="A1764" s="78"/>
      <c r="B1764" s="106" t="s">
        <v>51</v>
      </c>
      <c r="C1764" s="117" t="s">
        <v>871</v>
      </c>
      <c r="D1764" s="300"/>
      <c r="E1764" s="131" t="s">
        <v>5</v>
      </c>
      <c r="F1764" s="66">
        <v>312</v>
      </c>
      <c r="G1764" s="66"/>
      <c r="H1764" s="66"/>
      <c r="I1764" s="66"/>
      <c r="J1764" s="66"/>
      <c r="K1764" s="78"/>
      <c r="L1764" s="66"/>
      <c r="M1764" s="66"/>
      <c r="N1764" s="110">
        <f t="shared" si="2828"/>
        <v>-312</v>
      </c>
      <c r="O1764" s="110"/>
      <c r="P1764" s="66"/>
      <c r="Q1764" s="66"/>
      <c r="R1764" s="66"/>
      <c r="S1764" s="66"/>
      <c r="T1764" s="110">
        <f t="shared" si="2826"/>
        <v>0</v>
      </c>
      <c r="U1764" s="59">
        <f t="shared" si="2829"/>
        <v>0</v>
      </c>
      <c r="V1764" s="66"/>
      <c r="W1764" s="66"/>
      <c r="X1764" s="110">
        <f t="shared" si="2827"/>
        <v>0</v>
      </c>
      <c r="Y1764" s="110"/>
      <c r="Z1764" s="110"/>
      <c r="AA1764" s="110"/>
      <c r="AB1764" s="46"/>
      <c r="AC1764" s="78"/>
      <c r="AD1764" s="78"/>
      <c r="AE1764" s="100">
        <f t="shared" si="2830"/>
        <v>-1</v>
      </c>
      <c r="AF1764" s="90"/>
      <c r="AG1764" s="109">
        <f t="shared" si="2831"/>
        <v>-312</v>
      </c>
      <c r="AH1764" s="100">
        <f t="shared" si="2832"/>
        <v>-1</v>
      </c>
      <c r="AI1764" s="100">
        <f t="shared" si="2833"/>
        <v>-1</v>
      </c>
    </row>
    <row r="1765" spans="1:35" s="47" customFormat="1" ht="21" customHeight="1" x14ac:dyDescent="0.3">
      <c r="A1765" s="78"/>
      <c r="B1765" s="106" t="s">
        <v>51</v>
      </c>
      <c r="C1765" s="117" t="s">
        <v>871</v>
      </c>
      <c r="D1765" s="300"/>
      <c r="E1765" s="131" t="s">
        <v>869</v>
      </c>
      <c r="F1765" s="66">
        <v>2657</v>
      </c>
      <c r="G1765" s="66"/>
      <c r="H1765" s="66"/>
      <c r="I1765" s="66"/>
      <c r="J1765" s="66"/>
      <c r="K1765" s="78"/>
      <c r="L1765" s="66"/>
      <c r="M1765" s="66"/>
      <c r="N1765" s="110">
        <f t="shared" si="2828"/>
        <v>-2657</v>
      </c>
      <c r="O1765" s="110"/>
      <c r="P1765" s="66"/>
      <c r="Q1765" s="66"/>
      <c r="R1765" s="66"/>
      <c r="S1765" s="66"/>
      <c r="T1765" s="110">
        <f t="shared" si="2826"/>
        <v>0</v>
      </c>
      <c r="U1765" s="59">
        <f t="shared" si="2829"/>
        <v>0</v>
      </c>
      <c r="V1765" s="66"/>
      <c r="W1765" s="66"/>
      <c r="X1765" s="110">
        <f t="shared" si="2827"/>
        <v>0</v>
      </c>
      <c r="Y1765" s="110"/>
      <c r="Z1765" s="110"/>
      <c r="AA1765" s="110"/>
      <c r="AB1765" s="46"/>
      <c r="AC1765" s="78"/>
      <c r="AD1765" s="78"/>
      <c r="AE1765" s="100">
        <f t="shared" si="2830"/>
        <v>-1</v>
      </c>
      <c r="AF1765" s="90"/>
      <c r="AG1765" s="109">
        <f t="shared" si="2831"/>
        <v>-2657</v>
      </c>
      <c r="AH1765" s="100">
        <f t="shared" si="2832"/>
        <v>-1</v>
      </c>
      <c r="AI1765" s="100">
        <f t="shared" si="2833"/>
        <v>-1</v>
      </c>
    </row>
    <row r="1766" spans="1:35" s="47" customFormat="1" ht="21" customHeight="1" x14ac:dyDescent="0.3">
      <c r="A1766" s="78"/>
      <c r="B1766" s="106" t="s">
        <v>51</v>
      </c>
      <c r="C1766" s="117" t="s">
        <v>871</v>
      </c>
      <c r="D1766" s="300"/>
      <c r="E1766" s="131" t="s">
        <v>858</v>
      </c>
      <c r="F1766" s="66">
        <v>932</v>
      </c>
      <c r="G1766" s="66"/>
      <c r="H1766" s="66"/>
      <c r="I1766" s="66"/>
      <c r="J1766" s="66"/>
      <c r="K1766" s="78"/>
      <c r="L1766" s="66"/>
      <c r="M1766" s="66"/>
      <c r="N1766" s="110">
        <f t="shared" ref="N1766" si="2834">M1766-F1766</f>
        <v>-932</v>
      </c>
      <c r="O1766" s="110"/>
      <c r="P1766" s="66"/>
      <c r="Q1766" s="66"/>
      <c r="R1766" s="66"/>
      <c r="S1766" s="66"/>
      <c r="T1766" s="110">
        <f t="shared" ref="T1766" si="2835">S1766-Q1766</f>
        <v>0</v>
      </c>
      <c r="U1766" s="59">
        <f t="shared" ref="U1766" si="2836">IF(Q1766&gt;0,S1766-W1766,M1766-W1766)</f>
        <v>0</v>
      </c>
      <c r="V1766" s="66"/>
      <c r="W1766" s="66"/>
      <c r="X1766" s="110">
        <f t="shared" ref="X1766" si="2837">W1766-M1766</f>
        <v>0</v>
      </c>
      <c r="Y1766" s="110"/>
      <c r="Z1766" s="110"/>
      <c r="AA1766" s="110"/>
      <c r="AB1766" s="46"/>
      <c r="AC1766" s="78"/>
      <c r="AD1766" s="78"/>
      <c r="AE1766" s="100">
        <f t="shared" ref="AE1766" si="2838">N1766/F1766</f>
        <v>-1</v>
      </c>
      <c r="AF1766" s="90"/>
      <c r="AG1766" s="109">
        <f t="shared" ref="AG1766" si="2839">IF(N1766&lt;0,N1766,0)</f>
        <v>-932</v>
      </c>
      <c r="AH1766" s="100">
        <f t="shared" ref="AH1766" si="2840">(S1766-F1766)/F1766</f>
        <v>-1</v>
      </c>
      <c r="AI1766" s="100">
        <f t="shared" ref="AI1766" si="2841">(W1766-F1766)/F1766</f>
        <v>-1</v>
      </c>
    </row>
    <row r="1767" spans="1:35" s="47" customFormat="1" ht="21" customHeight="1" x14ac:dyDescent="0.3">
      <c r="A1767" s="78"/>
      <c r="B1767" s="106" t="s">
        <v>51</v>
      </c>
      <c r="C1767" s="117" t="s">
        <v>871</v>
      </c>
      <c r="D1767" s="300"/>
      <c r="E1767" s="131" t="s">
        <v>870</v>
      </c>
      <c r="F1767" s="66">
        <v>1250</v>
      </c>
      <c r="G1767" s="66"/>
      <c r="H1767" s="66"/>
      <c r="I1767" s="66"/>
      <c r="J1767" s="66"/>
      <c r="K1767" s="78"/>
      <c r="L1767" s="66"/>
      <c r="M1767" s="66"/>
      <c r="N1767" s="110">
        <f t="shared" si="2825"/>
        <v>-1250</v>
      </c>
      <c r="O1767" s="110"/>
      <c r="P1767" s="66"/>
      <c r="Q1767" s="66"/>
      <c r="R1767" s="66"/>
      <c r="S1767" s="66"/>
      <c r="T1767" s="110">
        <f t="shared" ref="T1767" si="2842">S1767-Q1767</f>
        <v>0</v>
      </c>
      <c r="U1767" s="59">
        <f t="shared" si="2686"/>
        <v>0</v>
      </c>
      <c r="V1767" s="66"/>
      <c r="W1767" s="66"/>
      <c r="X1767" s="110">
        <f t="shared" ref="X1767" si="2843">W1767-M1767</f>
        <v>0</v>
      </c>
      <c r="Y1767" s="110"/>
      <c r="Z1767" s="110"/>
      <c r="AA1767" s="110"/>
      <c r="AB1767" s="46"/>
      <c r="AC1767" s="78"/>
      <c r="AD1767" s="78"/>
      <c r="AE1767" s="100">
        <f t="shared" si="2687"/>
        <v>-1</v>
      </c>
      <c r="AF1767" s="90"/>
      <c r="AG1767" s="109">
        <f t="shared" si="2688"/>
        <v>-1250</v>
      </c>
      <c r="AH1767" s="100">
        <f t="shared" si="2689"/>
        <v>-1</v>
      </c>
      <c r="AI1767" s="100">
        <f t="shared" si="2690"/>
        <v>-1</v>
      </c>
    </row>
    <row r="1768" spans="1:35" s="79" customFormat="1" ht="15.75" customHeight="1" x14ac:dyDescent="0.3">
      <c r="A1768" s="90" t="s">
        <v>46</v>
      </c>
      <c r="B1768" s="136" t="s">
        <v>51</v>
      </c>
      <c r="C1768" s="137"/>
      <c r="D1768" s="136"/>
      <c r="E1768" s="138"/>
      <c r="F1768" s="91">
        <f>SUM(F1761:F1767)</f>
        <v>7366</v>
      </c>
      <c r="G1768" s="91"/>
      <c r="H1768" s="91"/>
      <c r="I1768" s="91"/>
      <c r="J1768" s="91" t="s">
        <v>60</v>
      </c>
      <c r="K1768" s="65" t="s">
        <v>508</v>
      </c>
      <c r="L1768" s="91">
        <f>SUM(L1761:L1767)</f>
        <v>0</v>
      </c>
      <c r="M1768" s="91">
        <f>SUM(M1761:M1767)</f>
        <v>0</v>
      </c>
      <c r="N1768" s="91">
        <f>SUM(N1761:N1767)</f>
        <v>-7366</v>
      </c>
      <c r="O1768" s="91"/>
      <c r="P1768" s="91">
        <f>SUM(P1761:P1767)</f>
        <v>0</v>
      </c>
      <c r="Q1768" s="91">
        <f>SUM(Q1761:Q1767)</f>
        <v>0</v>
      </c>
      <c r="R1768" s="91">
        <f>SUM(R1761:R1767)</f>
        <v>0</v>
      </c>
      <c r="S1768" s="91">
        <f>SUM(S1761:S1767)</f>
        <v>0</v>
      </c>
      <c r="T1768" s="91">
        <f>SUM(T1761:T1767)</f>
        <v>0</v>
      </c>
      <c r="U1768" s="59">
        <f t="shared" si="2686"/>
        <v>0</v>
      </c>
      <c r="V1768" s="91">
        <f>SUM(V1761:V1767)</f>
        <v>0</v>
      </c>
      <c r="W1768" s="91">
        <f>SUM(W1761:W1767)</f>
        <v>0</v>
      </c>
      <c r="X1768" s="91">
        <f>SUM(X1761:X1767)</f>
        <v>0</v>
      </c>
      <c r="Y1768" s="136"/>
      <c r="Z1768" s="136"/>
      <c r="AA1768" s="136"/>
      <c r="AB1768" s="84"/>
      <c r="AC1768" s="90"/>
      <c r="AD1768" s="90"/>
      <c r="AE1768" s="100">
        <f t="shared" si="2687"/>
        <v>-1</v>
      </c>
      <c r="AF1768" s="90"/>
      <c r="AG1768" s="109">
        <f t="shared" si="2688"/>
        <v>-7366</v>
      </c>
      <c r="AH1768" s="100">
        <f t="shared" si="2689"/>
        <v>-1</v>
      </c>
      <c r="AI1768" s="100">
        <f t="shared" si="2690"/>
        <v>-1</v>
      </c>
    </row>
    <row r="1769" spans="1:35" s="47" customFormat="1" ht="21" customHeight="1" x14ac:dyDescent="0.3">
      <c r="A1769" s="78"/>
      <c r="B1769" s="106" t="s">
        <v>51</v>
      </c>
      <c r="C1769" s="117">
        <v>48160</v>
      </c>
      <c r="D1769" s="299">
        <v>15317989</v>
      </c>
      <c r="E1769" s="131" t="s">
        <v>0</v>
      </c>
      <c r="F1769" s="66">
        <v>2199</v>
      </c>
      <c r="G1769" s="66"/>
      <c r="H1769" s="66"/>
      <c r="I1769" s="66"/>
      <c r="J1769" s="66"/>
      <c r="K1769" s="78"/>
      <c r="L1769" s="66"/>
      <c r="M1769" s="66">
        <f>710+1541</f>
        <v>2251</v>
      </c>
      <c r="N1769" s="110">
        <f t="shared" ref="N1769:N1772" si="2844">M1769-F1769</f>
        <v>52</v>
      </c>
      <c r="O1769" s="110"/>
      <c r="P1769" s="66"/>
      <c r="Q1769" s="66">
        <f>710+980+561</f>
        <v>2251</v>
      </c>
      <c r="R1769" s="66"/>
      <c r="S1769" s="66"/>
      <c r="T1769" s="110">
        <f>S1769-Q1769</f>
        <v>-2251</v>
      </c>
      <c r="U1769" s="59">
        <f t="shared" si="2686"/>
        <v>0</v>
      </c>
      <c r="V1769" s="66"/>
      <c r="W1769" s="66"/>
      <c r="X1769" s="110">
        <f>W1769-M1769</f>
        <v>-2251</v>
      </c>
      <c r="Y1769" s="110"/>
      <c r="Z1769" s="110"/>
      <c r="AA1769" s="110"/>
      <c r="AB1769" s="46"/>
      <c r="AC1769" s="78"/>
      <c r="AD1769" s="78"/>
      <c r="AE1769" s="100">
        <f t="shared" si="2687"/>
        <v>2.364711232378354E-2</v>
      </c>
      <c r="AF1769" s="90"/>
      <c r="AG1769" s="109">
        <f t="shared" si="2688"/>
        <v>0</v>
      </c>
      <c r="AH1769" s="100">
        <f t="shared" si="2689"/>
        <v>-1</v>
      </c>
      <c r="AI1769" s="100">
        <f t="shared" si="2690"/>
        <v>-1</v>
      </c>
    </row>
    <row r="1770" spans="1:35" s="47" customFormat="1" ht="21" customHeight="1" x14ac:dyDescent="0.3">
      <c r="A1770" s="78"/>
      <c r="B1770" s="106" t="s">
        <v>51</v>
      </c>
      <c r="C1770" s="117">
        <v>48160</v>
      </c>
      <c r="D1770" s="300"/>
      <c r="E1770" s="131" t="s">
        <v>135</v>
      </c>
      <c r="F1770" s="66">
        <v>816</v>
      </c>
      <c r="G1770" s="66"/>
      <c r="H1770" s="66"/>
      <c r="I1770" s="66"/>
      <c r="J1770" s="66"/>
      <c r="K1770" s="78"/>
      <c r="L1770" s="66"/>
      <c r="M1770" s="66">
        <f>828+16</f>
        <v>844</v>
      </c>
      <c r="N1770" s="110">
        <f t="shared" ref="N1770:N1771" si="2845">M1770-F1770</f>
        <v>28</v>
      </c>
      <c r="O1770" s="110"/>
      <c r="P1770" s="66"/>
      <c r="Q1770" s="66">
        <v>844</v>
      </c>
      <c r="R1770" s="66"/>
      <c r="S1770" s="66"/>
      <c r="T1770" s="110">
        <f t="shared" ref="T1770:T1771" si="2846">S1770-Q1770</f>
        <v>-844</v>
      </c>
      <c r="U1770" s="59">
        <f t="shared" ref="U1770:U1771" si="2847">IF(Q1770&gt;0,S1770-W1770,M1770-W1770)</f>
        <v>0</v>
      </c>
      <c r="V1770" s="66"/>
      <c r="W1770" s="66"/>
      <c r="X1770" s="110">
        <f t="shared" ref="X1770:X1771" si="2848">W1770-M1770</f>
        <v>-844</v>
      </c>
      <c r="Y1770" s="110"/>
      <c r="Z1770" s="110"/>
      <c r="AA1770" s="110"/>
      <c r="AB1770" s="46"/>
      <c r="AC1770" s="78"/>
      <c r="AD1770" s="78"/>
      <c r="AE1770" s="100">
        <f t="shared" ref="AE1770:AE1771" si="2849">N1770/F1770</f>
        <v>3.4313725490196081E-2</v>
      </c>
      <c r="AF1770" s="90"/>
      <c r="AG1770" s="109">
        <f t="shared" ref="AG1770:AG1771" si="2850">IF(N1770&lt;0,N1770,0)</f>
        <v>0</v>
      </c>
      <c r="AH1770" s="100">
        <f t="shared" ref="AH1770:AH1771" si="2851">(S1770-F1770)/F1770</f>
        <v>-1</v>
      </c>
      <c r="AI1770" s="100">
        <f t="shared" ref="AI1770:AI1771" si="2852">(W1770-F1770)/F1770</f>
        <v>-1</v>
      </c>
    </row>
    <row r="1771" spans="1:35" s="47" customFormat="1" ht="21" customHeight="1" x14ac:dyDescent="0.3">
      <c r="A1771" s="78"/>
      <c r="B1771" s="106" t="s">
        <v>51</v>
      </c>
      <c r="C1771" s="117">
        <v>48160</v>
      </c>
      <c r="D1771" s="300"/>
      <c r="E1771" s="131" t="s">
        <v>578</v>
      </c>
      <c r="F1771" s="66">
        <v>816</v>
      </c>
      <c r="G1771" s="66"/>
      <c r="H1771" s="66"/>
      <c r="I1771" s="66"/>
      <c r="J1771" s="66"/>
      <c r="K1771" s="78"/>
      <c r="L1771" s="66"/>
      <c r="M1771" s="66">
        <v>840</v>
      </c>
      <c r="N1771" s="110">
        <f t="shared" si="2845"/>
        <v>24</v>
      </c>
      <c r="O1771" s="110"/>
      <c r="P1771" s="66"/>
      <c r="Q1771" s="66">
        <v>840</v>
      </c>
      <c r="R1771" s="66"/>
      <c r="S1771" s="66"/>
      <c r="T1771" s="110">
        <f t="shared" si="2846"/>
        <v>-840</v>
      </c>
      <c r="U1771" s="59">
        <f t="shared" si="2847"/>
        <v>0</v>
      </c>
      <c r="V1771" s="66"/>
      <c r="W1771" s="66"/>
      <c r="X1771" s="110">
        <f t="shared" si="2848"/>
        <v>-840</v>
      </c>
      <c r="Y1771" s="110"/>
      <c r="Z1771" s="110"/>
      <c r="AA1771" s="110"/>
      <c r="AB1771" s="46"/>
      <c r="AC1771" s="78"/>
      <c r="AD1771" s="78"/>
      <c r="AE1771" s="100">
        <f t="shared" si="2849"/>
        <v>2.9411764705882353E-2</v>
      </c>
      <c r="AF1771" s="90"/>
      <c r="AG1771" s="109">
        <f t="shared" si="2850"/>
        <v>0</v>
      </c>
      <c r="AH1771" s="100">
        <f t="shared" si="2851"/>
        <v>-1</v>
      </c>
      <c r="AI1771" s="100">
        <f t="shared" si="2852"/>
        <v>-1</v>
      </c>
    </row>
    <row r="1772" spans="1:35" s="47" customFormat="1" ht="21" customHeight="1" x14ac:dyDescent="0.3">
      <c r="A1772" s="78"/>
      <c r="B1772" s="106" t="s">
        <v>51</v>
      </c>
      <c r="C1772" s="117">
        <v>48160</v>
      </c>
      <c r="D1772" s="300"/>
      <c r="E1772" s="131" t="s">
        <v>181</v>
      </c>
      <c r="F1772" s="66">
        <v>816</v>
      </c>
      <c r="G1772" s="66"/>
      <c r="H1772" s="66"/>
      <c r="I1772" s="66"/>
      <c r="J1772" s="66"/>
      <c r="K1772" s="78"/>
      <c r="L1772" s="66"/>
      <c r="M1772" s="66">
        <v>840</v>
      </c>
      <c r="N1772" s="110">
        <f t="shared" si="2844"/>
        <v>24</v>
      </c>
      <c r="O1772" s="110"/>
      <c r="P1772" s="66"/>
      <c r="Q1772" s="66">
        <v>840</v>
      </c>
      <c r="R1772" s="66"/>
      <c r="S1772" s="66"/>
      <c r="T1772" s="110">
        <f t="shared" ref="T1772" si="2853">S1772-Q1772</f>
        <v>-840</v>
      </c>
      <c r="U1772" s="59">
        <f t="shared" si="2686"/>
        <v>0</v>
      </c>
      <c r="V1772" s="66"/>
      <c r="W1772" s="66"/>
      <c r="X1772" s="110">
        <f t="shared" ref="X1772" si="2854">W1772-M1772</f>
        <v>-840</v>
      </c>
      <c r="Y1772" s="110"/>
      <c r="Z1772" s="110"/>
      <c r="AA1772" s="110"/>
      <c r="AB1772" s="46"/>
      <c r="AC1772" s="78"/>
      <c r="AD1772" s="78"/>
      <c r="AE1772" s="100">
        <f t="shared" si="2687"/>
        <v>2.9411764705882353E-2</v>
      </c>
      <c r="AF1772" s="90"/>
      <c r="AG1772" s="109">
        <f t="shared" si="2688"/>
        <v>0</v>
      </c>
      <c r="AH1772" s="100">
        <f t="shared" si="2689"/>
        <v>-1</v>
      </c>
      <c r="AI1772" s="100">
        <f t="shared" si="2690"/>
        <v>-1</v>
      </c>
    </row>
    <row r="1773" spans="1:35" s="79" customFormat="1" ht="15.75" customHeight="1" x14ac:dyDescent="0.3">
      <c r="A1773" s="90" t="s">
        <v>46</v>
      </c>
      <c r="B1773" s="136" t="s">
        <v>51</v>
      </c>
      <c r="C1773" s="137"/>
      <c r="D1773" s="136"/>
      <c r="E1773" s="138"/>
      <c r="F1773" s="91">
        <f>SUM(F1769:F1772)</f>
        <v>4647</v>
      </c>
      <c r="G1773" s="91"/>
      <c r="H1773" s="91"/>
      <c r="I1773" s="91"/>
      <c r="J1773" s="91" t="s">
        <v>59</v>
      </c>
      <c r="K1773" s="65" t="s">
        <v>436</v>
      </c>
      <c r="L1773" s="91">
        <f>SUM(L1769:L1772)</f>
        <v>0</v>
      </c>
      <c r="M1773" s="91">
        <f>SUM(M1769:M1772)</f>
        <v>4775</v>
      </c>
      <c r="N1773" s="91">
        <f>SUM(N1769:N1772)</f>
        <v>128</v>
      </c>
      <c r="O1773" s="91" t="s">
        <v>287</v>
      </c>
      <c r="P1773" s="91">
        <f>SUM(P1769:P1772)</f>
        <v>0</v>
      </c>
      <c r="Q1773" s="91">
        <f>SUM(Q1769:Q1772)</f>
        <v>4775</v>
      </c>
      <c r="R1773" s="91">
        <f>SUM(R1769:R1772)</f>
        <v>0</v>
      </c>
      <c r="S1773" s="91">
        <f>SUM(S1769:S1772)</f>
        <v>0</v>
      </c>
      <c r="T1773" s="91">
        <f>SUM(T1769:T1772)</f>
        <v>-4775</v>
      </c>
      <c r="U1773" s="59">
        <f t="shared" si="2686"/>
        <v>0</v>
      </c>
      <c r="V1773" s="91">
        <f>SUM(V1769:V1772)</f>
        <v>0</v>
      </c>
      <c r="W1773" s="91">
        <f>SUM(W1769:W1772)</f>
        <v>0</v>
      </c>
      <c r="X1773" s="91">
        <f>SUM(X1769:X1772)</f>
        <v>-4775</v>
      </c>
      <c r="Y1773" s="136" t="s">
        <v>48</v>
      </c>
      <c r="Z1773" s="136" t="s">
        <v>45</v>
      </c>
      <c r="AA1773" s="136"/>
      <c r="AB1773" s="84"/>
      <c r="AC1773" s="90"/>
      <c r="AD1773" s="90"/>
      <c r="AE1773" s="100">
        <f t="shared" si="2687"/>
        <v>2.7544652463955242E-2</v>
      </c>
      <c r="AF1773" s="90"/>
      <c r="AG1773" s="109">
        <f t="shared" si="2688"/>
        <v>0</v>
      </c>
      <c r="AH1773" s="100">
        <f t="shared" si="2689"/>
        <v>-1</v>
      </c>
      <c r="AI1773" s="100">
        <f t="shared" si="2690"/>
        <v>-1</v>
      </c>
    </row>
    <row r="1774" spans="1:35" s="47" customFormat="1" ht="21" customHeight="1" x14ac:dyDescent="0.3">
      <c r="A1774" s="78"/>
      <c r="B1774" s="106" t="s">
        <v>51</v>
      </c>
      <c r="C1774" s="117">
        <v>48210</v>
      </c>
      <c r="D1774" s="299">
        <v>15383657</v>
      </c>
      <c r="E1774" s="131" t="s">
        <v>265</v>
      </c>
      <c r="F1774" s="66">
        <v>350</v>
      </c>
      <c r="G1774" s="66"/>
      <c r="H1774" s="66"/>
      <c r="I1774" s="66"/>
      <c r="J1774" s="66"/>
      <c r="K1774" s="78"/>
      <c r="L1774" s="66"/>
      <c r="M1774" s="66">
        <f>383</f>
        <v>383</v>
      </c>
      <c r="N1774" s="110">
        <f t="shared" ref="N1774" si="2855">M1774-F1774</f>
        <v>33</v>
      </c>
      <c r="O1774" s="110"/>
      <c r="P1774" s="66"/>
      <c r="Q1774" s="66"/>
      <c r="R1774" s="66"/>
      <c r="S1774" s="66"/>
      <c r="T1774" s="110">
        <f>S1774-Q1774</f>
        <v>0</v>
      </c>
      <c r="U1774" s="59">
        <f t="shared" ref="U1774:U1827" si="2856">IF(Q1774&gt;0,S1774-W1774,M1774-W1774)</f>
        <v>383</v>
      </c>
      <c r="V1774" s="66"/>
      <c r="W1774" s="66"/>
      <c r="X1774" s="110">
        <f>W1774-M1774</f>
        <v>-383</v>
      </c>
      <c r="Y1774" s="110"/>
      <c r="Z1774" s="110"/>
      <c r="AA1774" s="110"/>
      <c r="AB1774" s="46"/>
      <c r="AC1774" s="78"/>
      <c r="AD1774" s="78"/>
      <c r="AE1774" s="100">
        <f t="shared" ref="AE1774:AE1827" si="2857">N1774/F1774</f>
        <v>9.4285714285714292E-2</v>
      </c>
      <c r="AF1774" s="90"/>
      <c r="AG1774" s="109">
        <f t="shared" ref="AG1774:AG1827" si="2858">IF(N1774&lt;0,N1774,0)</f>
        <v>0</v>
      </c>
      <c r="AH1774" s="100">
        <f t="shared" ref="AH1774:AH1827" si="2859">(S1774-F1774)/F1774</f>
        <v>-1</v>
      </c>
      <c r="AI1774" s="100">
        <f t="shared" ref="AI1774:AI1827" si="2860">(W1774-F1774)/F1774</f>
        <v>-1</v>
      </c>
    </row>
    <row r="1775" spans="1:35" s="47" customFormat="1" ht="21" customHeight="1" x14ac:dyDescent="0.3">
      <c r="A1775" s="78"/>
      <c r="B1775" s="106" t="s">
        <v>51</v>
      </c>
      <c r="C1775" s="117">
        <v>48210</v>
      </c>
      <c r="D1775" s="300"/>
      <c r="E1775" s="131" t="s">
        <v>0</v>
      </c>
      <c r="F1775" s="66">
        <v>506</v>
      </c>
      <c r="G1775" s="66"/>
      <c r="H1775" s="66"/>
      <c r="I1775" s="66"/>
      <c r="J1775" s="66"/>
      <c r="K1775" s="78"/>
      <c r="L1775" s="66"/>
      <c r="M1775" s="66">
        <f>525</f>
        <v>525</v>
      </c>
      <c r="N1775" s="110">
        <f t="shared" ref="N1775" si="2861">M1775-F1775</f>
        <v>19</v>
      </c>
      <c r="O1775" s="110"/>
      <c r="P1775" s="66"/>
      <c r="Q1775" s="66"/>
      <c r="R1775" s="66"/>
      <c r="S1775" s="66"/>
      <c r="T1775" s="110">
        <f t="shared" ref="T1775" si="2862">S1775-Q1775</f>
        <v>0</v>
      </c>
      <c r="U1775" s="59">
        <f t="shared" ref="U1775" si="2863">IF(Q1775&gt;0,S1775-W1775,M1775-W1775)</f>
        <v>525</v>
      </c>
      <c r="V1775" s="66"/>
      <c r="W1775" s="66"/>
      <c r="X1775" s="110">
        <f t="shared" ref="X1775" si="2864">W1775-M1775</f>
        <v>-525</v>
      </c>
      <c r="Y1775" s="110"/>
      <c r="Z1775" s="110"/>
      <c r="AA1775" s="110"/>
      <c r="AB1775" s="46"/>
      <c r="AC1775" s="78"/>
      <c r="AD1775" s="78"/>
      <c r="AE1775" s="100">
        <f t="shared" ref="AE1775" si="2865">N1775/F1775</f>
        <v>3.7549407114624504E-2</v>
      </c>
      <c r="AF1775" s="90"/>
      <c r="AG1775" s="109">
        <f t="shared" ref="AG1775" si="2866">IF(N1775&lt;0,N1775,0)</f>
        <v>0</v>
      </c>
      <c r="AH1775" s="100">
        <f t="shared" ref="AH1775" si="2867">(S1775-F1775)/F1775</f>
        <v>-1</v>
      </c>
      <c r="AI1775" s="100">
        <f t="shared" ref="AI1775" si="2868">(W1775-F1775)/F1775</f>
        <v>-1</v>
      </c>
    </row>
    <row r="1776" spans="1:35" s="79" customFormat="1" ht="15.75" customHeight="1" x14ac:dyDescent="0.3">
      <c r="A1776" s="90" t="s">
        <v>46</v>
      </c>
      <c r="B1776" s="136" t="s">
        <v>51</v>
      </c>
      <c r="C1776" s="137"/>
      <c r="D1776" s="136"/>
      <c r="E1776" s="138"/>
      <c r="F1776" s="91">
        <f>SUM(F1774:F1775)</f>
        <v>856</v>
      </c>
      <c r="G1776" s="91"/>
      <c r="H1776" s="91"/>
      <c r="I1776" s="91"/>
      <c r="J1776" s="91" t="s">
        <v>59</v>
      </c>
      <c r="K1776" s="65" t="s">
        <v>617</v>
      </c>
      <c r="L1776" s="91">
        <f>SUM(L1774:L1775)</f>
        <v>0</v>
      </c>
      <c r="M1776" s="91">
        <f>SUM(M1774:M1775)</f>
        <v>908</v>
      </c>
      <c r="N1776" s="91">
        <f>SUM(N1774:N1775)</f>
        <v>52</v>
      </c>
      <c r="O1776" s="91"/>
      <c r="P1776" s="91">
        <f>SUM(P1774:P1775)</f>
        <v>0</v>
      </c>
      <c r="Q1776" s="91">
        <f>SUM(Q1774:Q1775)</f>
        <v>0</v>
      </c>
      <c r="R1776" s="91">
        <f>SUM(R1774:R1775)</f>
        <v>0</v>
      </c>
      <c r="S1776" s="91">
        <f>SUM(S1774:S1775)</f>
        <v>0</v>
      </c>
      <c r="T1776" s="91">
        <f>SUM(T1774:T1775)</f>
        <v>0</v>
      </c>
      <c r="U1776" s="59">
        <f t="shared" si="2856"/>
        <v>908</v>
      </c>
      <c r="V1776" s="91">
        <f>SUM(V1774:V1775)</f>
        <v>0</v>
      </c>
      <c r="W1776" s="91">
        <f>SUM(W1774:W1775)</f>
        <v>0</v>
      </c>
      <c r="X1776" s="91">
        <f>SUM(X1774:X1775)</f>
        <v>-908</v>
      </c>
      <c r="Y1776" s="136"/>
      <c r="Z1776" s="136"/>
      <c r="AA1776" s="136"/>
      <c r="AB1776" s="84"/>
      <c r="AC1776" s="90"/>
      <c r="AD1776" s="90"/>
      <c r="AE1776" s="100">
        <f t="shared" si="2857"/>
        <v>6.0747663551401869E-2</v>
      </c>
      <c r="AF1776" s="90"/>
      <c r="AG1776" s="109">
        <f t="shared" si="2858"/>
        <v>0</v>
      </c>
      <c r="AH1776" s="100">
        <f t="shared" si="2859"/>
        <v>-1</v>
      </c>
      <c r="AI1776" s="100">
        <f t="shared" si="2860"/>
        <v>-1</v>
      </c>
    </row>
    <row r="1777" spans="1:35" s="47" customFormat="1" ht="21" customHeight="1" x14ac:dyDescent="0.3">
      <c r="A1777" s="78"/>
      <c r="B1777" s="106" t="s">
        <v>51</v>
      </c>
      <c r="C1777" s="117">
        <v>48216</v>
      </c>
      <c r="D1777" s="299">
        <v>15381667</v>
      </c>
      <c r="E1777" s="131" t="s">
        <v>228</v>
      </c>
      <c r="F1777" s="66">
        <v>530</v>
      </c>
      <c r="G1777" s="66"/>
      <c r="H1777" s="66"/>
      <c r="I1777" s="66"/>
      <c r="J1777" s="66"/>
      <c r="K1777" s="78"/>
      <c r="L1777" s="66"/>
      <c r="M1777" s="66"/>
      <c r="N1777" s="110">
        <f t="shared" ref="N1777:N1781" si="2869">M1777-F1777</f>
        <v>-530</v>
      </c>
      <c r="O1777" s="110"/>
      <c r="P1777" s="66"/>
      <c r="Q1777" s="66"/>
      <c r="R1777" s="66"/>
      <c r="S1777" s="66"/>
      <c r="T1777" s="110">
        <f>S1777-Q1777</f>
        <v>0</v>
      </c>
      <c r="U1777" s="59">
        <f t="shared" si="2856"/>
        <v>0</v>
      </c>
      <c r="V1777" s="66"/>
      <c r="W1777" s="66"/>
      <c r="X1777" s="110">
        <f>W1777-M1777</f>
        <v>0</v>
      </c>
      <c r="Y1777" s="110"/>
      <c r="Z1777" s="110"/>
      <c r="AA1777" s="110"/>
      <c r="AB1777" s="46"/>
      <c r="AC1777" s="78"/>
      <c r="AD1777" s="78"/>
      <c r="AE1777" s="100">
        <f t="shared" si="2857"/>
        <v>-1</v>
      </c>
      <c r="AF1777" s="90"/>
      <c r="AG1777" s="109">
        <f t="shared" si="2858"/>
        <v>-530</v>
      </c>
      <c r="AH1777" s="100">
        <f t="shared" si="2859"/>
        <v>-1</v>
      </c>
      <c r="AI1777" s="100">
        <f t="shared" si="2860"/>
        <v>-1</v>
      </c>
    </row>
    <row r="1778" spans="1:35" s="47" customFormat="1" ht="21" customHeight="1" x14ac:dyDescent="0.3">
      <c r="A1778" s="78"/>
      <c r="B1778" s="106" t="s">
        <v>51</v>
      </c>
      <c r="C1778" s="117">
        <v>48216</v>
      </c>
      <c r="D1778" s="300"/>
      <c r="E1778" s="131" t="s">
        <v>856</v>
      </c>
      <c r="F1778" s="66">
        <v>968</v>
      </c>
      <c r="G1778" s="66"/>
      <c r="H1778" s="66"/>
      <c r="I1778" s="66"/>
      <c r="J1778" s="66"/>
      <c r="K1778" s="78"/>
      <c r="L1778" s="66"/>
      <c r="M1778" s="66"/>
      <c r="N1778" s="110">
        <f t="shared" ref="N1778:N1779" si="2870">M1778-F1778</f>
        <v>-968</v>
      </c>
      <c r="O1778" s="110"/>
      <c r="P1778" s="66"/>
      <c r="Q1778" s="66"/>
      <c r="R1778" s="66"/>
      <c r="S1778" s="66"/>
      <c r="T1778" s="110">
        <f t="shared" ref="T1778:T1779" si="2871">S1778-Q1778</f>
        <v>0</v>
      </c>
      <c r="U1778" s="59">
        <f t="shared" ref="U1778:U1779" si="2872">IF(Q1778&gt;0,S1778-W1778,M1778-W1778)</f>
        <v>0</v>
      </c>
      <c r="V1778" s="66"/>
      <c r="W1778" s="66"/>
      <c r="X1778" s="110">
        <f t="shared" ref="X1778:X1779" si="2873">W1778-M1778</f>
        <v>0</v>
      </c>
      <c r="Y1778" s="110"/>
      <c r="Z1778" s="110"/>
      <c r="AA1778" s="110"/>
      <c r="AB1778" s="46"/>
      <c r="AC1778" s="78"/>
      <c r="AD1778" s="78"/>
      <c r="AE1778" s="100">
        <f t="shared" ref="AE1778:AE1779" si="2874">N1778/F1778</f>
        <v>-1</v>
      </c>
      <c r="AF1778" s="90"/>
      <c r="AG1778" s="109">
        <f t="shared" ref="AG1778:AG1779" si="2875">IF(N1778&lt;0,N1778,0)</f>
        <v>-968</v>
      </c>
      <c r="AH1778" s="100">
        <f t="shared" ref="AH1778:AH1779" si="2876">(S1778-F1778)/F1778</f>
        <v>-1</v>
      </c>
      <c r="AI1778" s="100">
        <f t="shared" ref="AI1778:AI1779" si="2877">(W1778-F1778)/F1778</f>
        <v>-1</v>
      </c>
    </row>
    <row r="1779" spans="1:35" s="47" customFormat="1" ht="21" customHeight="1" x14ac:dyDescent="0.3">
      <c r="A1779" s="78"/>
      <c r="B1779" s="106" t="s">
        <v>51</v>
      </c>
      <c r="C1779" s="117">
        <v>48216</v>
      </c>
      <c r="D1779" s="300"/>
      <c r="E1779" s="131" t="s">
        <v>49</v>
      </c>
      <c r="F1779" s="66">
        <v>1280</v>
      </c>
      <c r="G1779" s="66"/>
      <c r="H1779" s="66"/>
      <c r="I1779" s="66"/>
      <c r="J1779" s="66"/>
      <c r="K1779" s="78"/>
      <c r="L1779" s="66"/>
      <c r="M1779" s="66"/>
      <c r="N1779" s="110">
        <f t="shared" si="2870"/>
        <v>-1280</v>
      </c>
      <c r="O1779" s="110"/>
      <c r="P1779" s="66"/>
      <c r="Q1779" s="66"/>
      <c r="R1779" s="66"/>
      <c r="S1779" s="66"/>
      <c r="T1779" s="110">
        <f t="shared" si="2871"/>
        <v>0</v>
      </c>
      <c r="U1779" s="59">
        <f t="shared" si="2872"/>
        <v>0</v>
      </c>
      <c r="V1779" s="66"/>
      <c r="W1779" s="66"/>
      <c r="X1779" s="110">
        <f t="shared" si="2873"/>
        <v>0</v>
      </c>
      <c r="Y1779" s="110"/>
      <c r="Z1779" s="110"/>
      <c r="AA1779" s="110"/>
      <c r="AB1779" s="46"/>
      <c r="AC1779" s="78"/>
      <c r="AD1779" s="78"/>
      <c r="AE1779" s="100">
        <f t="shared" si="2874"/>
        <v>-1</v>
      </c>
      <c r="AF1779" s="90"/>
      <c r="AG1779" s="109">
        <f t="shared" si="2875"/>
        <v>-1280</v>
      </c>
      <c r="AH1779" s="100">
        <f t="shared" si="2876"/>
        <v>-1</v>
      </c>
      <c r="AI1779" s="100">
        <f t="shared" si="2877"/>
        <v>-1</v>
      </c>
    </row>
    <row r="1780" spans="1:35" s="47" customFormat="1" ht="21" customHeight="1" x14ac:dyDescent="0.3">
      <c r="A1780" s="78"/>
      <c r="B1780" s="106" t="s">
        <v>51</v>
      </c>
      <c r="C1780" s="117">
        <v>48216</v>
      </c>
      <c r="D1780" s="300"/>
      <c r="E1780" s="131" t="s">
        <v>265</v>
      </c>
      <c r="F1780" s="66">
        <v>980</v>
      </c>
      <c r="G1780" s="66"/>
      <c r="H1780" s="66"/>
      <c r="I1780" s="66"/>
      <c r="J1780" s="66"/>
      <c r="K1780" s="78"/>
      <c r="L1780" s="66"/>
      <c r="M1780" s="66"/>
      <c r="N1780" s="110">
        <f t="shared" si="2869"/>
        <v>-980</v>
      </c>
      <c r="O1780" s="110"/>
      <c r="P1780" s="66"/>
      <c r="Q1780" s="66"/>
      <c r="R1780" s="66"/>
      <c r="S1780" s="66"/>
      <c r="T1780" s="110">
        <f t="shared" ref="T1780:T1781" si="2878">S1780-Q1780</f>
        <v>0</v>
      </c>
      <c r="U1780" s="59">
        <f t="shared" si="2856"/>
        <v>0</v>
      </c>
      <c r="V1780" s="66"/>
      <c r="W1780" s="66"/>
      <c r="X1780" s="110">
        <f t="shared" ref="X1780:X1781" si="2879">W1780-M1780</f>
        <v>0</v>
      </c>
      <c r="Y1780" s="110"/>
      <c r="Z1780" s="110"/>
      <c r="AA1780" s="110"/>
      <c r="AB1780" s="46"/>
      <c r="AC1780" s="78"/>
      <c r="AD1780" s="78"/>
      <c r="AE1780" s="100">
        <f t="shared" si="2857"/>
        <v>-1</v>
      </c>
      <c r="AF1780" s="90"/>
      <c r="AG1780" s="109">
        <f t="shared" si="2858"/>
        <v>-980</v>
      </c>
      <c r="AH1780" s="100">
        <f t="shared" si="2859"/>
        <v>-1</v>
      </c>
      <c r="AI1780" s="100">
        <f t="shared" si="2860"/>
        <v>-1</v>
      </c>
    </row>
    <row r="1781" spans="1:35" s="47" customFormat="1" ht="21" customHeight="1" x14ac:dyDescent="0.3">
      <c r="A1781" s="78"/>
      <c r="B1781" s="106" t="s">
        <v>51</v>
      </c>
      <c r="C1781" s="117">
        <v>48216</v>
      </c>
      <c r="D1781" s="300"/>
      <c r="E1781" s="131" t="s">
        <v>0</v>
      </c>
      <c r="F1781" s="66">
        <v>1058</v>
      </c>
      <c r="G1781" s="66"/>
      <c r="H1781" s="66"/>
      <c r="I1781" s="66"/>
      <c r="J1781" s="66"/>
      <c r="K1781" s="78"/>
      <c r="L1781" s="66"/>
      <c r="M1781" s="66"/>
      <c r="N1781" s="110">
        <f t="shared" si="2869"/>
        <v>-1058</v>
      </c>
      <c r="O1781" s="110"/>
      <c r="P1781" s="66"/>
      <c r="Q1781" s="66"/>
      <c r="R1781" s="66"/>
      <c r="S1781" s="66"/>
      <c r="T1781" s="110">
        <f t="shared" si="2878"/>
        <v>0</v>
      </c>
      <c r="U1781" s="59">
        <f t="shared" si="2856"/>
        <v>0</v>
      </c>
      <c r="V1781" s="66"/>
      <c r="W1781" s="66"/>
      <c r="X1781" s="110">
        <f t="shared" si="2879"/>
        <v>0</v>
      </c>
      <c r="Y1781" s="110"/>
      <c r="Z1781" s="110"/>
      <c r="AA1781" s="110"/>
      <c r="AB1781" s="46"/>
      <c r="AC1781" s="78"/>
      <c r="AD1781" s="78"/>
      <c r="AE1781" s="100">
        <f t="shared" si="2857"/>
        <v>-1</v>
      </c>
      <c r="AF1781" s="90"/>
      <c r="AG1781" s="109">
        <f t="shared" si="2858"/>
        <v>-1058</v>
      </c>
      <c r="AH1781" s="100">
        <f t="shared" si="2859"/>
        <v>-1</v>
      </c>
      <c r="AI1781" s="100">
        <f t="shared" si="2860"/>
        <v>-1</v>
      </c>
    </row>
    <row r="1782" spans="1:35" s="79" customFormat="1" ht="15.75" customHeight="1" x14ac:dyDescent="0.3">
      <c r="A1782" s="90" t="s">
        <v>46</v>
      </c>
      <c r="B1782" s="136" t="s">
        <v>51</v>
      </c>
      <c r="C1782" s="137"/>
      <c r="D1782" s="136"/>
      <c r="E1782" s="138"/>
      <c r="F1782" s="91">
        <f>SUM(F1777:F1781)</f>
        <v>4816</v>
      </c>
      <c r="G1782" s="91"/>
      <c r="H1782" s="91"/>
      <c r="I1782" s="91"/>
      <c r="J1782" s="91"/>
      <c r="K1782" s="65" t="s">
        <v>416</v>
      </c>
      <c r="L1782" s="91">
        <f>SUM(L1777:L1781)</f>
        <v>0</v>
      </c>
      <c r="M1782" s="91">
        <f>SUM(M1777:M1781)</f>
        <v>0</v>
      </c>
      <c r="N1782" s="91">
        <f>SUM(N1777:N1781)</f>
        <v>-4816</v>
      </c>
      <c r="O1782" s="91"/>
      <c r="P1782" s="91">
        <f>SUM(P1777:P1781)</f>
        <v>0</v>
      </c>
      <c r="Q1782" s="91">
        <f>SUM(Q1777:Q1781)</f>
        <v>0</v>
      </c>
      <c r="R1782" s="91">
        <f>SUM(R1777:R1781)</f>
        <v>0</v>
      </c>
      <c r="S1782" s="91">
        <f>SUM(S1777:S1781)</f>
        <v>0</v>
      </c>
      <c r="T1782" s="91">
        <f>SUM(T1777:T1781)</f>
        <v>0</v>
      </c>
      <c r="U1782" s="59">
        <f t="shared" si="2856"/>
        <v>0</v>
      </c>
      <c r="V1782" s="91">
        <f>SUM(V1777:V1781)</f>
        <v>0</v>
      </c>
      <c r="W1782" s="91">
        <f>SUM(W1777:W1781)</f>
        <v>0</v>
      </c>
      <c r="X1782" s="91">
        <f>SUM(X1777:X1781)</f>
        <v>0</v>
      </c>
      <c r="Y1782" s="136"/>
      <c r="Z1782" s="136"/>
      <c r="AA1782" s="136"/>
      <c r="AB1782" s="84"/>
      <c r="AC1782" s="90"/>
      <c r="AD1782" s="90"/>
      <c r="AE1782" s="100">
        <f t="shared" si="2857"/>
        <v>-1</v>
      </c>
      <c r="AF1782" s="90"/>
      <c r="AG1782" s="109">
        <f t="shared" si="2858"/>
        <v>-4816</v>
      </c>
      <c r="AH1782" s="100">
        <f t="shared" si="2859"/>
        <v>-1</v>
      </c>
      <c r="AI1782" s="100">
        <f t="shared" si="2860"/>
        <v>-1</v>
      </c>
    </row>
    <row r="1783" spans="1:35" s="47" customFormat="1" ht="21" customHeight="1" x14ac:dyDescent="0.3">
      <c r="A1783" s="78"/>
      <c r="B1783" s="106" t="s">
        <v>51</v>
      </c>
      <c r="C1783" s="117">
        <v>48155</v>
      </c>
      <c r="D1783" s="299">
        <v>15390607</v>
      </c>
      <c r="E1783" s="131" t="s">
        <v>0</v>
      </c>
      <c r="F1783" s="66">
        <v>5000</v>
      </c>
      <c r="G1783" s="66"/>
      <c r="H1783" s="66"/>
      <c r="I1783" s="66"/>
      <c r="J1783" s="66"/>
      <c r="K1783" s="78"/>
      <c r="L1783" s="66"/>
      <c r="M1783" s="66">
        <f>1200+2532+984+336</f>
        <v>5052</v>
      </c>
      <c r="N1783" s="110">
        <f t="shared" ref="N1783:N1785" si="2880">M1783-F1783</f>
        <v>52</v>
      </c>
      <c r="O1783" s="110"/>
      <c r="P1783" s="66"/>
      <c r="Q1783" s="66"/>
      <c r="R1783" s="66"/>
      <c r="S1783" s="66"/>
      <c r="T1783" s="110">
        <f>S1783-Q1783</f>
        <v>0</v>
      </c>
      <c r="U1783" s="59">
        <f t="shared" si="2856"/>
        <v>5052</v>
      </c>
      <c r="V1783" s="66"/>
      <c r="W1783" s="66"/>
      <c r="X1783" s="110">
        <f>W1783-M1783</f>
        <v>-5052</v>
      </c>
      <c r="Y1783" s="110"/>
      <c r="Z1783" s="110"/>
      <c r="AA1783" s="110"/>
      <c r="AB1783" s="46"/>
      <c r="AC1783" s="78"/>
      <c r="AD1783" s="78"/>
      <c r="AE1783" s="100">
        <f t="shared" si="2857"/>
        <v>1.04E-2</v>
      </c>
      <c r="AF1783" s="90"/>
      <c r="AG1783" s="109">
        <f t="shared" si="2858"/>
        <v>0</v>
      </c>
      <c r="AH1783" s="100">
        <f t="shared" si="2859"/>
        <v>-1</v>
      </c>
      <c r="AI1783" s="100">
        <f t="shared" si="2860"/>
        <v>-1</v>
      </c>
    </row>
    <row r="1784" spans="1:35" s="47" customFormat="1" ht="21" customHeight="1" x14ac:dyDescent="0.3">
      <c r="A1784" s="78"/>
      <c r="B1784" s="106" t="s">
        <v>51</v>
      </c>
      <c r="C1784" s="117">
        <v>48155</v>
      </c>
      <c r="D1784" s="300"/>
      <c r="E1784" s="131" t="s">
        <v>49</v>
      </c>
      <c r="F1784" s="66">
        <v>1332</v>
      </c>
      <c r="G1784" s="66"/>
      <c r="H1784" s="66"/>
      <c r="I1784" s="66"/>
      <c r="J1784" s="66"/>
      <c r="K1784" s="78"/>
      <c r="L1784" s="66"/>
      <c r="M1784" s="66">
        <v>1360</v>
      </c>
      <c r="N1784" s="110">
        <f t="shared" si="2880"/>
        <v>28</v>
      </c>
      <c r="O1784" s="110"/>
      <c r="P1784" s="66"/>
      <c r="Q1784" s="66"/>
      <c r="R1784" s="66"/>
      <c r="S1784" s="66"/>
      <c r="T1784" s="110">
        <f t="shared" ref="T1784:T1785" si="2881">S1784-Q1784</f>
        <v>0</v>
      </c>
      <c r="U1784" s="59">
        <f t="shared" si="2856"/>
        <v>1360</v>
      </c>
      <c r="V1784" s="66"/>
      <c r="W1784" s="66"/>
      <c r="X1784" s="110">
        <f t="shared" ref="X1784:X1785" si="2882">W1784-M1784</f>
        <v>-1360</v>
      </c>
      <c r="Y1784" s="110"/>
      <c r="Z1784" s="110"/>
      <c r="AA1784" s="110"/>
      <c r="AB1784" s="46"/>
      <c r="AC1784" s="78"/>
      <c r="AD1784" s="78"/>
      <c r="AE1784" s="100">
        <f t="shared" si="2857"/>
        <v>2.1021021021021023E-2</v>
      </c>
      <c r="AF1784" s="90"/>
      <c r="AG1784" s="109">
        <f t="shared" si="2858"/>
        <v>0</v>
      </c>
      <c r="AH1784" s="100">
        <f t="shared" si="2859"/>
        <v>-1</v>
      </c>
      <c r="AI1784" s="100">
        <f t="shared" si="2860"/>
        <v>-1</v>
      </c>
    </row>
    <row r="1785" spans="1:35" s="47" customFormat="1" ht="21" customHeight="1" x14ac:dyDescent="0.3">
      <c r="A1785" s="78"/>
      <c r="B1785" s="106" t="s">
        <v>51</v>
      </c>
      <c r="C1785" s="117">
        <v>48155</v>
      </c>
      <c r="D1785" s="300"/>
      <c r="E1785" s="131" t="s">
        <v>41</v>
      </c>
      <c r="F1785" s="66">
        <v>504</v>
      </c>
      <c r="G1785" s="66"/>
      <c r="H1785" s="66"/>
      <c r="I1785" s="66"/>
      <c r="J1785" s="66"/>
      <c r="K1785" s="78"/>
      <c r="L1785" s="66"/>
      <c r="M1785" s="66">
        <v>524</v>
      </c>
      <c r="N1785" s="110">
        <f t="shared" si="2880"/>
        <v>20</v>
      </c>
      <c r="O1785" s="110"/>
      <c r="P1785" s="66"/>
      <c r="Q1785" s="66"/>
      <c r="R1785" s="66"/>
      <c r="S1785" s="66"/>
      <c r="T1785" s="110">
        <f t="shared" si="2881"/>
        <v>0</v>
      </c>
      <c r="U1785" s="59">
        <f t="shared" si="2856"/>
        <v>524</v>
      </c>
      <c r="V1785" s="66"/>
      <c r="W1785" s="66"/>
      <c r="X1785" s="110">
        <f t="shared" si="2882"/>
        <v>-524</v>
      </c>
      <c r="Y1785" s="110"/>
      <c r="Z1785" s="110"/>
      <c r="AA1785" s="110"/>
      <c r="AB1785" s="46"/>
      <c r="AC1785" s="78"/>
      <c r="AD1785" s="78"/>
      <c r="AE1785" s="100">
        <f t="shared" si="2857"/>
        <v>3.968253968253968E-2</v>
      </c>
      <c r="AF1785" s="90"/>
      <c r="AG1785" s="109">
        <f t="shared" si="2858"/>
        <v>0</v>
      </c>
      <c r="AH1785" s="100">
        <f t="shared" si="2859"/>
        <v>-1</v>
      </c>
      <c r="AI1785" s="100">
        <f t="shared" si="2860"/>
        <v>-1</v>
      </c>
    </row>
    <row r="1786" spans="1:35" s="79" customFormat="1" ht="15.75" customHeight="1" x14ac:dyDescent="0.3">
      <c r="A1786" s="90" t="s">
        <v>46</v>
      </c>
      <c r="B1786" s="136" t="s">
        <v>51</v>
      </c>
      <c r="C1786" s="137"/>
      <c r="D1786" s="136"/>
      <c r="E1786" s="138"/>
      <c r="F1786" s="91">
        <f>SUM(F1783:F1785)</f>
        <v>6836</v>
      </c>
      <c r="G1786" s="91"/>
      <c r="H1786" s="91"/>
      <c r="I1786" s="91"/>
      <c r="J1786" s="91" t="s">
        <v>59</v>
      </c>
      <c r="K1786" s="65" t="s">
        <v>617</v>
      </c>
      <c r="L1786" s="91">
        <f>SUM(L1783:L1785)</f>
        <v>0</v>
      </c>
      <c r="M1786" s="91">
        <f>SUM(M1783:M1785)</f>
        <v>6936</v>
      </c>
      <c r="N1786" s="91">
        <f>SUM(N1783:N1785)</f>
        <v>100</v>
      </c>
      <c r="O1786" s="91"/>
      <c r="P1786" s="91">
        <f>SUM(P1783:P1785)</f>
        <v>0</v>
      </c>
      <c r="Q1786" s="91">
        <f>SUM(Q1783:Q1785)</f>
        <v>0</v>
      </c>
      <c r="R1786" s="91">
        <f>SUM(R1783:R1785)</f>
        <v>0</v>
      </c>
      <c r="S1786" s="91">
        <f>SUM(S1783:S1785)</f>
        <v>0</v>
      </c>
      <c r="T1786" s="91">
        <f>SUM(T1783:T1785)</f>
        <v>0</v>
      </c>
      <c r="U1786" s="59">
        <f t="shared" si="2856"/>
        <v>6936</v>
      </c>
      <c r="V1786" s="91">
        <f>SUM(V1783:V1785)</f>
        <v>0</v>
      </c>
      <c r="W1786" s="91">
        <f>SUM(W1783:W1785)</f>
        <v>0</v>
      </c>
      <c r="X1786" s="91">
        <f>SUM(X1783:X1785)</f>
        <v>-6936</v>
      </c>
      <c r="Y1786" s="136"/>
      <c r="Z1786" s="136"/>
      <c r="AA1786" s="136"/>
      <c r="AB1786" s="84"/>
      <c r="AC1786" s="90"/>
      <c r="AD1786" s="90"/>
      <c r="AE1786" s="100">
        <f t="shared" si="2857"/>
        <v>1.4628437682855471E-2</v>
      </c>
      <c r="AF1786" s="90"/>
      <c r="AG1786" s="109">
        <f t="shared" si="2858"/>
        <v>0</v>
      </c>
      <c r="AH1786" s="100">
        <f t="shared" si="2859"/>
        <v>-1</v>
      </c>
      <c r="AI1786" s="100">
        <f t="shared" si="2860"/>
        <v>-1</v>
      </c>
    </row>
    <row r="1787" spans="1:35" s="47" customFormat="1" ht="21" customHeight="1" x14ac:dyDescent="0.3">
      <c r="A1787" s="78"/>
      <c r="B1787" s="106" t="s">
        <v>51</v>
      </c>
      <c r="C1787" s="117">
        <v>48616</v>
      </c>
      <c r="D1787" s="299">
        <v>15390901</v>
      </c>
      <c r="E1787" s="131" t="s">
        <v>49</v>
      </c>
      <c r="F1787" s="66">
        <v>1182</v>
      </c>
      <c r="G1787" s="66"/>
      <c r="H1787" s="66"/>
      <c r="I1787" s="66"/>
      <c r="J1787" s="66"/>
      <c r="K1787" s="78"/>
      <c r="L1787" s="66"/>
      <c r="M1787" s="66"/>
      <c r="N1787" s="110">
        <f t="shared" ref="N1787:N1792" si="2883">M1787-F1787</f>
        <v>-1182</v>
      </c>
      <c r="O1787" s="110"/>
      <c r="P1787" s="66"/>
      <c r="Q1787" s="66"/>
      <c r="R1787" s="66"/>
      <c r="S1787" s="66"/>
      <c r="T1787" s="110">
        <f>S1787-Q1787</f>
        <v>0</v>
      </c>
      <c r="U1787" s="59">
        <f t="shared" si="2856"/>
        <v>0</v>
      </c>
      <c r="V1787" s="66"/>
      <c r="W1787" s="66"/>
      <c r="X1787" s="110">
        <f>W1787-M1787</f>
        <v>0</v>
      </c>
      <c r="Y1787" s="110"/>
      <c r="Z1787" s="110"/>
      <c r="AA1787" s="110"/>
      <c r="AB1787" s="46"/>
      <c r="AC1787" s="78"/>
      <c r="AD1787" s="78"/>
      <c r="AE1787" s="100">
        <f t="shared" si="2857"/>
        <v>-1</v>
      </c>
      <c r="AF1787" s="90"/>
      <c r="AG1787" s="109">
        <f t="shared" si="2858"/>
        <v>-1182</v>
      </c>
      <c r="AH1787" s="100">
        <f t="shared" si="2859"/>
        <v>-1</v>
      </c>
      <c r="AI1787" s="100">
        <f t="shared" si="2860"/>
        <v>-1</v>
      </c>
    </row>
    <row r="1788" spans="1:35" s="47" customFormat="1" ht="21" customHeight="1" x14ac:dyDescent="0.3">
      <c r="A1788" s="78"/>
      <c r="B1788" s="106" t="s">
        <v>51</v>
      </c>
      <c r="C1788" s="117">
        <v>48616</v>
      </c>
      <c r="D1788" s="300"/>
      <c r="E1788" s="131" t="s">
        <v>955</v>
      </c>
      <c r="F1788" s="66">
        <v>1656</v>
      </c>
      <c r="G1788" s="66"/>
      <c r="H1788" s="66"/>
      <c r="I1788" s="66"/>
      <c r="J1788" s="66"/>
      <c r="K1788" s="78"/>
      <c r="L1788" s="66"/>
      <c r="M1788" s="66"/>
      <c r="N1788" s="110">
        <f t="shared" ref="N1788:N1790" si="2884">M1788-F1788</f>
        <v>-1656</v>
      </c>
      <c r="O1788" s="110"/>
      <c r="P1788" s="66"/>
      <c r="Q1788" s="66"/>
      <c r="R1788" s="66"/>
      <c r="S1788" s="66"/>
      <c r="T1788" s="110">
        <f t="shared" ref="T1788:T1790" si="2885">S1788-Q1788</f>
        <v>0</v>
      </c>
      <c r="U1788" s="59">
        <f t="shared" ref="U1788:U1790" si="2886">IF(Q1788&gt;0,S1788-W1788,M1788-W1788)</f>
        <v>0</v>
      </c>
      <c r="V1788" s="66"/>
      <c r="W1788" s="66"/>
      <c r="X1788" s="110">
        <f t="shared" ref="X1788:X1790" si="2887">W1788-M1788</f>
        <v>0</v>
      </c>
      <c r="Y1788" s="110"/>
      <c r="Z1788" s="110"/>
      <c r="AA1788" s="110"/>
      <c r="AB1788" s="46"/>
      <c r="AC1788" s="78"/>
      <c r="AD1788" s="78"/>
      <c r="AE1788" s="100">
        <f t="shared" ref="AE1788:AE1790" si="2888">N1788/F1788</f>
        <v>-1</v>
      </c>
      <c r="AF1788" s="90"/>
      <c r="AG1788" s="109">
        <f t="shared" ref="AG1788:AG1790" si="2889">IF(N1788&lt;0,N1788,0)</f>
        <v>-1656</v>
      </c>
      <c r="AH1788" s="100">
        <f t="shared" ref="AH1788:AH1790" si="2890">(S1788-F1788)/F1788</f>
        <v>-1</v>
      </c>
      <c r="AI1788" s="100">
        <f t="shared" ref="AI1788:AI1790" si="2891">(W1788-F1788)/F1788</f>
        <v>-1</v>
      </c>
    </row>
    <row r="1789" spans="1:35" s="47" customFormat="1" ht="21" customHeight="1" x14ac:dyDescent="0.3">
      <c r="A1789" s="78"/>
      <c r="B1789" s="106" t="s">
        <v>51</v>
      </c>
      <c r="C1789" s="117">
        <v>48616</v>
      </c>
      <c r="D1789" s="300"/>
      <c r="E1789" s="131" t="s">
        <v>41</v>
      </c>
      <c r="F1789" s="66">
        <v>408</v>
      </c>
      <c r="G1789" s="66"/>
      <c r="H1789" s="66"/>
      <c r="I1789" s="66"/>
      <c r="J1789" s="66"/>
      <c r="K1789" s="78"/>
      <c r="L1789" s="66"/>
      <c r="M1789" s="66"/>
      <c r="N1789" s="110">
        <f t="shared" si="2884"/>
        <v>-408</v>
      </c>
      <c r="O1789" s="110"/>
      <c r="P1789" s="66"/>
      <c r="Q1789" s="66"/>
      <c r="R1789" s="66"/>
      <c r="S1789" s="66"/>
      <c r="T1789" s="110">
        <f t="shared" si="2885"/>
        <v>0</v>
      </c>
      <c r="U1789" s="59">
        <f t="shared" si="2886"/>
        <v>0</v>
      </c>
      <c r="V1789" s="66"/>
      <c r="W1789" s="66"/>
      <c r="X1789" s="110">
        <f t="shared" si="2887"/>
        <v>0</v>
      </c>
      <c r="Y1789" s="110"/>
      <c r="Z1789" s="110"/>
      <c r="AA1789" s="110"/>
      <c r="AB1789" s="46"/>
      <c r="AC1789" s="78"/>
      <c r="AD1789" s="78"/>
      <c r="AE1789" s="100">
        <f t="shared" si="2888"/>
        <v>-1</v>
      </c>
      <c r="AF1789" s="90"/>
      <c r="AG1789" s="109">
        <f t="shared" si="2889"/>
        <v>-408</v>
      </c>
      <c r="AH1789" s="100">
        <f t="shared" si="2890"/>
        <v>-1</v>
      </c>
      <c r="AI1789" s="100">
        <f t="shared" si="2891"/>
        <v>-1</v>
      </c>
    </row>
    <row r="1790" spans="1:35" s="47" customFormat="1" ht="21" customHeight="1" x14ac:dyDescent="0.3">
      <c r="A1790" s="78"/>
      <c r="B1790" s="106" t="s">
        <v>51</v>
      </c>
      <c r="C1790" s="117">
        <v>48616</v>
      </c>
      <c r="D1790" s="300"/>
      <c r="E1790" s="131" t="s">
        <v>956</v>
      </c>
      <c r="F1790" s="66">
        <v>981</v>
      </c>
      <c r="G1790" s="66"/>
      <c r="H1790" s="66"/>
      <c r="I1790" s="66"/>
      <c r="J1790" s="66"/>
      <c r="K1790" s="78"/>
      <c r="L1790" s="66"/>
      <c r="M1790" s="66"/>
      <c r="N1790" s="110">
        <f t="shared" si="2884"/>
        <v>-981</v>
      </c>
      <c r="O1790" s="110"/>
      <c r="P1790" s="66"/>
      <c r="Q1790" s="66"/>
      <c r="R1790" s="66"/>
      <c r="S1790" s="66"/>
      <c r="T1790" s="110">
        <f t="shared" si="2885"/>
        <v>0</v>
      </c>
      <c r="U1790" s="59">
        <f t="shared" si="2886"/>
        <v>0</v>
      </c>
      <c r="V1790" s="66"/>
      <c r="W1790" s="66"/>
      <c r="X1790" s="110">
        <f t="shared" si="2887"/>
        <v>0</v>
      </c>
      <c r="Y1790" s="110"/>
      <c r="Z1790" s="110"/>
      <c r="AA1790" s="110"/>
      <c r="AB1790" s="46"/>
      <c r="AC1790" s="78"/>
      <c r="AD1790" s="78"/>
      <c r="AE1790" s="100">
        <f t="shared" si="2888"/>
        <v>-1</v>
      </c>
      <c r="AF1790" s="90"/>
      <c r="AG1790" s="109">
        <f t="shared" si="2889"/>
        <v>-981</v>
      </c>
      <c r="AH1790" s="100">
        <f t="shared" si="2890"/>
        <v>-1</v>
      </c>
      <c r="AI1790" s="100">
        <f t="shared" si="2891"/>
        <v>-1</v>
      </c>
    </row>
    <row r="1791" spans="1:35" s="47" customFormat="1" ht="21" customHeight="1" x14ac:dyDescent="0.3">
      <c r="A1791" s="78"/>
      <c r="B1791" s="106" t="s">
        <v>51</v>
      </c>
      <c r="C1791" s="117">
        <v>48616</v>
      </c>
      <c r="D1791" s="300"/>
      <c r="E1791" s="131" t="s">
        <v>292</v>
      </c>
      <c r="F1791" s="66">
        <v>579</v>
      </c>
      <c r="G1791" s="66"/>
      <c r="H1791" s="66"/>
      <c r="I1791" s="66"/>
      <c r="J1791" s="66"/>
      <c r="K1791" s="78"/>
      <c r="L1791" s="66"/>
      <c r="M1791" s="66"/>
      <c r="N1791" s="110">
        <f t="shared" si="2883"/>
        <v>-579</v>
      </c>
      <c r="O1791" s="110"/>
      <c r="P1791" s="66"/>
      <c r="Q1791" s="66"/>
      <c r="R1791" s="66"/>
      <c r="S1791" s="66"/>
      <c r="T1791" s="110">
        <f t="shared" ref="T1791:T1792" si="2892">S1791-Q1791</f>
        <v>0</v>
      </c>
      <c r="U1791" s="59">
        <f t="shared" si="2856"/>
        <v>0</v>
      </c>
      <c r="V1791" s="66"/>
      <c r="W1791" s="66"/>
      <c r="X1791" s="110">
        <f t="shared" ref="X1791:X1792" si="2893">W1791-M1791</f>
        <v>0</v>
      </c>
      <c r="Y1791" s="110"/>
      <c r="Z1791" s="110"/>
      <c r="AA1791" s="110"/>
      <c r="AB1791" s="46"/>
      <c r="AC1791" s="78"/>
      <c r="AD1791" s="78"/>
      <c r="AE1791" s="100">
        <f t="shared" si="2857"/>
        <v>-1</v>
      </c>
      <c r="AF1791" s="90"/>
      <c r="AG1791" s="109">
        <f t="shared" si="2858"/>
        <v>-579</v>
      </c>
      <c r="AH1791" s="100">
        <f t="shared" si="2859"/>
        <v>-1</v>
      </c>
      <c r="AI1791" s="100">
        <f t="shared" si="2860"/>
        <v>-1</v>
      </c>
    </row>
    <row r="1792" spans="1:35" s="47" customFormat="1" ht="21" customHeight="1" x14ac:dyDescent="0.3">
      <c r="A1792" s="78"/>
      <c r="B1792" s="106" t="s">
        <v>51</v>
      </c>
      <c r="C1792" s="117">
        <v>48616</v>
      </c>
      <c r="D1792" s="300"/>
      <c r="E1792" s="131" t="s">
        <v>39</v>
      </c>
      <c r="F1792" s="66">
        <v>390</v>
      </c>
      <c r="G1792" s="66"/>
      <c r="H1792" s="66"/>
      <c r="I1792" s="66"/>
      <c r="J1792" s="66"/>
      <c r="K1792" s="78"/>
      <c r="L1792" s="66"/>
      <c r="M1792" s="66"/>
      <c r="N1792" s="110">
        <f t="shared" si="2883"/>
        <v>-390</v>
      </c>
      <c r="O1792" s="110"/>
      <c r="P1792" s="66"/>
      <c r="Q1792" s="66"/>
      <c r="R1792" s="66"/>
      <c r="S1792" s="66"/>
      <c r="T1792" s="110">
        <f t="shared" si="2892"/>
        <v>0</v>
      </c>
      <c r="U1792" s="59">
        <f t="shared" si="2856"/>
        <v>0</v>
      </c>
      <c r="V1792" s="66"/>
      <c r="W1792" s="66"/>
      <c r="X1792" s="110">
        <f t="shared" si="2893"/>
        <v>0</v>
      </c>
      <c r="Y1792" s="110"/>
      <c r="Z1792" s="110"/>
      <c r="AA1792" s="110"/>
      <c r="AB1792" s="46"/>
      <c r="AC1792" s="78"/>
      <c r="AD1792" s="78"/>
      <c r="AE1792" s="100">
        <f t="shared" si="2857"/>
        <v>-1</v>
      </c>
      <c r="AF1792" s="90"/>
      <c r="AG1792" s="109">
        <f t="shared" si="2858"/>
        <v>-390</v>
      </c>
      <c r="AH1792" s="100">
        <f t="shared" si="2859"/>
        <v>-1</v>
      </c>
      <c r="AI1792" s="100">
        <f t="shared" si="2860"/>
        <v>-1</v>
      </c>
    </row>
    <row r="1793" spans="1:35" s="79" customFormat="1" ht="15.75" customHeight="1" x14ac:dyDescent="0.3">
      <c r="A1793" s="90" t="s">
        <v>46</v>
      </c>
      <c r="B1793" s="136" t="s">
        <v>51</v>
      </c>
      <c r="C1793" s="137"/>
      <c r="D1793" s="136"/>
      <c r="E1793" s="138"/>
      <c r="F1793" s="91">
        <f>SUM(F1787:F1792)</f>
        <v>5196</v>
      </c>
      <c r="G1793" s="91"/>
      <c r="H1793" s="91"/>
      <c r="I1793" s="91"/>
      <c r="J1793" s="91"/>
      <c r="K1793" s="65" t="s">
        <v>687</v>
      </c>
      <c r="L1793" s="91">
        <f>SUM(L1787:L1792)</f>
        <v>0</v>
      </c>
      <c r="M1793" s="91">
        <f>SUM(M1787:M1792)</f>
        <v>0</v>
      </c>
      <c r="N1793" s="91">
        <f>SUM(N1787:N1792)</f>
        <v>-5196</v>
      </c>
      <c r="O1793" s="91"/>
      <c r="P1793" s="91">
        <f>SUM(P1787:P1792)</f>
        <v>0</v>
      </c>
      <c r="Q1793" s="91">
        <f>SUM(Q1787:Q1792)</f>
        <v>0</v>
      </c>
      <c r="R1793" s="91">
        <f>SUM(R1787:R1792)</f>
        <v>0</v>
      </c>
      <c r="S1793" s="91">
        <f>SUM(S1787:S1792)</f>
        <v>0</v>
      </c>
      <c r="T1793" s="91">
        <f>SUM(T1787:T1792)</f>
        <v>0</v>
      </c>
      <c r="U1793" s="59">
        <f t="shared" si="2856"/>
        <v>0</v>
      </c>
      <c r="V1793" s="91">
        <f>SUM(V1787:V1792)</f>
        <v>0</v>
      </c>
      <c r="W1793" s="91">
        <f>SUM(W1787:W1792)</f>
        <v>0</v>
      </c>
      <c r="X1793" s="91">
        <f>SUM(X1787:X1792)</f>
        <v>0</v>
      </c>
      <c r="Y1793" s="136" t="s">
        <v>47</v>
      </c>
      <c r="Z1793" s="136" t="s">
        <v>45</v>
      </c>
      <c r="AA1793" s="136"/>
      <c r="AB1793" s="84"/>
      <c r="AC1793" s="90"/>
      <c r="AD1793" s="90"/>
      <c r="AE1793" s="100">
        <f t="shared" si="2857"/>
        <v>-1</v>
      </c>
      <c r="AF1793" s="90"/>
      <c r="AG1793" s="109">
        <f t="shared" si="2858"/>
        <v>-5196</v>
      </c>
      <c r="AH1793" s="100">
        <f t="shared" si="2859"/>
        <v>-1</v>
      </c>
      <c r="AI1793" s="100">
        <f t="shared" si="2860"/>
        <v>-1</v>
      </c>
    </row>
    <row r="1794" spans="1:35" s="47" customFormat="1" ht="21" customHeight="1" x14ac:dyDescent="0.3">
      <c r="A1794" s="78"/>
      <c r="B1794" s="106" t="s">
        <v>51</v>
      </c>
      <c r="C1794" s="117">
        <v>48615</v>
      </c>
      <c r="D1794" s="299">
        <v>15390900</v>
      </c>
      <c r="E1794" s="131" t="s">
        <v>953</v>
      </c>
      <c r="F1794" s="66">
        <v>499</v>
      </c>
      <c r="G1794" s="66"/>
      <c r="H1794" s="66"/>
      <c r="I1794" s="66"/>
      <c r="J1794" s="66"/>
      <c r="K1794" s="78"/>
      <c r="L1794" s="66"/>
      <c r="M1794" s="66"/>
      <c r="N1794" s="110">
        <f t="shared" ref="N1794:N1805" si="2894">M1794-F1794</f>
        <v>-499</v>
      </c>
      <c r="O1794" s="110"/>
      <c r="P1794" s="66"/>
      <c r="Q1794" s="66"/>
      <c r="R1794" s="66"/>
      <c r="S1794" s="66"/>
      <c r="T1794" s="110">
        <f>S1794-Q1794</f>
        <v>0</v>
      </c>
      <c r="U1794" s="59">
        <f t="shared" ref="U1794:U1806" si="2895">IF(Q1794&gt;0,S1794-W1794,M1794-W1794)</f>
        <v>0</v>
      </c>
      <c r="V1794" s="66"/>
      <c r="W1794" s="66"/>
      <c r="X1794" s="110">
        <f>W1794-M1794</f>
        <v>0</v>
      </c>
      <c r="Y1794" s="110"/>
      <c r="Z1794" s="110"/>
      <c r="AA1794" s="110"/>
      <c r="AB1794" s="46"/>
      <c r="AC1794" s="78"/>
      <c r="AD1794" s="78"/>
      <c r="AE1794" s="100">
        <f t="shared" ref="AE1794:AE1806" si="2896">N1794/F1794</f>
        <v>-1</v>
      </c>
      <c r="AF1794" s="90"/>
      <c r="AG1794" s="109">
        <f t="shared" ref="AG1794:AG1806" si="2897">IF(N1794&lt;0,N1794,0)</f>
        <v>-499</v>
      </c>
      <c r="AH1794" s="100">
        <f t="shared" ref="AH1794:AH1806" si="2898">(S1794-F1794)/F1794</f>
        <v>-1</v>
      </c>
      <c r="AI1794" s="100">
        <f t="shared" ref="AI1794:AI1806" si="2899">(W1794-F1794)/F1794</f>
        <v>-1</v>
      </c>
    </row>
    <row r="1795" spans="1:35" s="47" customFormat="1" ht="21" customHeight="1" x14ac:dyDescent="0.3">
      <c r="A1795" s="78"/>
      <c r="B1795" s="106" t="s">
        <v>51</v>
      </c>
      <c r="C1795" s="117">
        <v>48615</v>
      </c>
      <c r="D1795" s="300"/>
      <c r="E1795" s="131" t="s">
        <v>955</v>
      </c>
      <c r="F1795" s="66">
        <v>1429</v>
      </c>
      <c r="G1795" s="66"/>
      <c r="H1795" s="66"/>
      <c r="I1795" s="66"/>
      <c r="J1795" s="66"/>
      <c r="K1795" s="78"/>
      <c r="L1795" s="66"/>
      <c r="M1795" s="66"/>
      <c r="N1795" s="110">
        <f t="shared" si="2894"/>
        <v>-1429</v>
      </c>
      <c r="O1795" s="110"/>
      <c r="P1795" s="66"/>
      <c r="Q1795" s="66"/>
      <c r="R1795" s="66"/>
      <c r="S1795" s="66"/>
      <c r="T1795" s="110">
        <f t="shared" ref="T1795:T1805" si="2900">S1795-Q1795</f>
        <v>0</v>
      </c>
      <c r="U1795" s="59">
        <f t="shared" si="2895"/>
        <v>0</v>
      </c>
      <c r="V1795" s="66"/>
      <c r="W1795" s="66"/>
      <c r="X1795" s="110">
        <f t="shared" ref="X1795:X1805" si="2901">W1795-M1795</f>
        <v>0</v>
      </c>
      <c r="Y1795" s="110"/>
      <c r="Z1795" s="110"/>
      <c r="AA1795" s="110"/>
      <c r="AB1795" s="46"/>
      <c r="AC1795" s="78"/>
      <c r="AD1795" s="78"/>
      <c r="AE1795" s="100">
        <f t="shared" si="2896"/>
        <v>-1</v>
      </c>
      <c r="AF1795" s="90"/>
      <c r="AG1795" s="109">
        <f t="shared" si="2897"/>
        <v>-1429</v>
      </c>
      <c r="AH1795" s="100">
        <f t="shared" si="2898"/>
        <v>-1</v>
      </c>
      <c r="AI1795" s="100">
        <f t="shared" si="2899"/>
        <v>-1</v>
      </c>
    </row>
    <row r="1796" spans="1:35" s="47" customFormat="1" ht="21" customHeight="1" x14ac:dyDescent="0.3">
      <c r="A1796" s="78"/>
      <c r="B1796" s="106" t="s">
        <v>51</v>
      </c>
      <c r="C1796" s="117">
        <v>48615</v>
      </c>
      <c r="D1796" s="300"/>
      <c r="E1796" s="131" t="s">
        <v>954</v>
      </c>
      <c r="F1796" s="66">
        <v>524</v>
      </c>
      <c r="G1796" s="66"/>
      <c r="H1796" s="66"/>
      <c r="I1796" s="66"/>
      <c r="J1796" s="66"/>
      <c r="K1796" s="78"/>
      <c r="L1796" s="66"/>
      <c r="M1796" s="66"/>
      <c r="N1796" s="110">
        <f t="shared" si="2894"/>
        <v>-524</v>
      </c>
      <c r="O1796" s="110"/>
      <c r="P1796" s="66"/>
      <c r="Q1796" s="66"/>
      <c r="R1796" s="66"/>
      <c r="S1796" s="66"/>
      <c r="T1796" s="110">
        <f t="shared" si="2900"/>
        <v>0</v>
      </c>
      <c r="U1796" s="59">
        <f t="shared" si="2895"/>
        <v>0</v>
      </c>
      <c r="V1796" s="66"/>
      <c r="W1796" s="66"/>
      <c r="X1796" s="110">
        <f t="shared" si="2901"/>
        <v>0</v>
      </c>
      <c r="Y1796" s="110"/>
      <c r="Z1796" s="110"/>
      <c r="AA1796" s="110"/>
      <c r="AB1796" s="46"/>
      <c r="AC1796" s="78"/>
      <c r="AD1796" s="78"/>
      <c r="AE1796" s="100">
        <f t="shared" si="2896"/>
        <v>-1</v>
      </c>
      <c r="AF1796" s="90"/>
      <c r="AG1796" s="109">
        <f t="shared" si="2897"/>
        <v>-524</v>
      </c>
      <c r="AH1796" s="100">
        <f t="shared" si="2898"/>
        <v>-1</v>
      </c>
      <c r="AI1796" s="100">
        <f t="shared" si="2899"/>
        <v>-1</v>
      </c>
    </row>
    <row r="1797" spans="1:35" s="47" customFormat="1" ht="21" customHeight="1" x14ac:dyDescent="0.3">
      <c r="A1797" s="78"/>
      <c r="B1797" s="106" t="s">
        <v>51</v>
      </c>
      <c r="C1797" s="117">
        <v>48615</v>
      </c>
      <c r="D1797" s="300"/>
      <c r="E1797" s="131" t="s">
        <v>41</v>
      </c>
      <c r="F1797" s="66">
        <v>2981</v>
      </c>
      <c r="G1797" s="66"/>
      <c r="H1797" s="66"/>
      <c r="I1797" s="66"/>
      <c r="J1797" s="66"/>
      <c r="K1797" s="78"/>
      <c r="L1797" s="66"/>
      <c r="M1797" s="66"/>
      <c r="N1797" s="110">
        <f t="shared" si="2894"/>
        <v>-2981</v>
      </c>
      <c r="O1797" s="110"/>
      <c r="P1797" s="66"/>
      <c r="Q1797" s="66"/>
      <c r="R1797" s="66"/>
      <c r="S1797" s="66"/>
      <c r="T1797" s="110">
        <f t="shared" si="2900"/>
        <v>0</v>
      </c>
      <c r="U1797" s="59">
        <f t="shared" si="2895"/>
        <v>0</v>
      </c>
      <c r="V1797" s="66"/>
      <c r="W1797" s="66"/>
      <c r="X1797" s="110">
        <f t="shared" si="2901"/>
        <v>0</v>
      </c>
      <c r="Y1797" s="110"/>
      <c r="Z1797" s="110"/>
      <c r="AA1797" s="110"/>
      <c r="AB1797" s="46"/>
      <c r="AC1797" s="78"/>
      <c r="AD1797" s="78"/>
      <c r="AE1797" s="100">
        <f t="shared" si="2896"/>
        <v>-1</v>
      </c>
      <c r="AF1797" s="90"/>
      <c r="AG1797" s="109">
        <f t="shared" si="2897"/>
        <v>-2981</v>
      </c>
      <c r="AH1797" s="100">
        <f t="shared" si="2898"/>
        <v>-1</v>
      </c>
      <c r="AI1797" s="100">
        <f t="shared" si="2899"/>
        <v>-1</v>
      </c>
    </row>
    <row r="1798" spans="1:35" s="47" customFormat="1" ht="21" customHeight="1" x14ac:dyDescent="0.3">
      <c r="A1798" s="78"/>
      <c r="B1798" s="106" t="s">
        <v>51</v>
      </c>
      <c r="C1798" s="117">
        <v>48615</v>
      </c>
      <c r="D1798" s="300"/>
      <c r="E1798" s="131" t="s">
        <v>956</v>
      </c>
      <c r="F1798" s="66">
        <v>948</v>
      </c>
      <c r="G1798" s="66"/>
      <c r="H1798" s="66"/>
      <c r="I1798" s="66"/>
      <c r="J1798" s="66"/>
      <c r="K1798" s="78"/>
      <c r="L1798" s="66"/>
      <c r="M1798" s="66"/>
      <c r="N1798" s="110">
        <f t="shared" si="2894"/>
        <v>-948</v>
      </c>
      <c r="O1798" s="110"/>
      <c r="P1798" s="66"/>
      <c r="Q1798" s="66"/>
      <c r="R1798" s="66"/>
      <c r="S1798" s="66"/>
      <c r="T1798" s="110">
        <f t="shared" si="2900"/>
        <v>0</v>
      </c>
      <c r="U1798" s="59">
        <f t="shared" si="2895"/>
        <v>0</v>
      </c>
      <c r="V1798" s="66"/>
      <c r="W1798" s="66"/>
      <c r="X1798" s="110">
        <f t="shared" si="2901"/>
        <v>0</v>
      </c>
      <c r="Y1798" s="110"/>
      <c r="Z1798" s="110"/>
      <c r="AA1798" s="110"/>
      <c r="AB1798" s="46"/>
      <c r="AC1798" s="78"/>
      <c r="AD1798" s="78"/>
      <c r="AE1798" s="100">
        <f t="shared" si="2896"/>
        <v>-1</v>
      </c>
      <c r="AF1798" s="90"/>
      <c r="AG1798" s="109">
        <f t="shared" si="2897"/>
        <v>-948</v>
      </c>
      <c r="AH1798" s="100">
        <f t="shared" si="2898"/>
        <v>-1</v>
      </c>
      <c r="AI1798" s="100">
        <f t="shared" si="2899"/>
        <v>-1</v>
      </c>
    </row>
    <row r="1799" spans="1:35" s="47" customFormat="1" ht="21" customHeight="1" x14ac:dyDescent="0.3">
      <c r="A1799" s="78"/>
      <c r="B1799" s="106" t="s">
        <v>51</v>
      </c>
      <c r="C1799" s="117">
        <v>48615</v>
      </c>
      <c r="D1799" s="300"/>
      <c r="E1799" s="131" t="s">
        <v>292</v>
      </c>
      <c r="F1799" s="66">
        <v>2285</v>
      </c>
      <c r="G1799" s="66"/>
      <c r="H1799" s="66"/>
      <c r="I1799" s="66"/>
      <c r="J1799" s="66"/>
      <c r="K1799" s="78"/>
      <c r="L1799" s="66"/>
      <c r="M1799" s="66"/>
      <c r="N1799" s="110">
        <f t="shared" si="2894"/>
        <v>-2285</v>
      </c>
      <c r="O1799" s="110"/>
      <c r="P1799" s="66"/>
      <c r="Q1799" s="66"/>
      <c r="R1799" s="66"/>
      <c r="S1799" s="66"/>
      <c r="T1799" s="110">
        <f t="shared" si="2900"/>
        <v>0</v>
      </c>
      <c r="U1799" s="59">
        <f t="shared" si="2895"/>
        <v>0</v>
      </c>
      <c r="V1799" s="66"/>
      <c r="W1799" s="66"/>
      <c r="X1799" s="110">
        <f t="shared" si="2901"/>
        <v>0</v>
      </c>
      <c r="Y1799" s="110"/>
      <c r="Z1799" s="110"/>
      <c r="AA1799" s="110"/>
      <c r="AB1799" s="46"/>
      <c r="AC1799" s="78"/>
      <c r="AD1799" s="78"/>
      <c r="AE1799" s="100">
        <f t="shared" si="2896"/>
        <v>-1</v>
      </c>
      <c r="AF1799" s="90"/>
      <c r="AG1799" s="109">
        <f t="shared" si="2897"/>
        <v>-2285</v>
      </c>
      <c r="AH1799" s="100">
        <f t="shared" si="2898"/>
        <v>-1</v>
      </c>
      <c r="AI1799" s="100">
        <f t="shared" si="2899"/>
        <v>-1</v>
      </c>
    </row>
    <row r="1800" spans="1:35" s="47" customFormat="1" ht="21" customHeight="1" x14ac:dyDescent="0.3">
      <c r="A1800" s="78"/>
      <c r="B1800" s="106" t="s">
        <v>51</v>
      </c>
      <c r="C1800" s="117">
        <v>48615</v>
      </c>
      <c r="D1800" s="300"/>
      <c r="E1800" s="131" t="s">
        <v>890</v>
      </c>
      <c r="F1800" s="66">
        <v>1831</v>
      </c>
      <c r="G1800" s="66"/>
      <c r="H1800" s="66"/>
      <c r="I1800" s="66"/>
      <c r="J1800" s="66"/>
      <c r="K1800" s="78"/>
      <c r="L1800" s="66"/>
      <c r="M1800" s="66"/>
      <c r="N1800" s="110">
        <f t="shared" si="2894"/>
        <v>-1831</v>
      </c>
      <c r="O1800" s="110"/>
      <c r="P1800" s="66"/>
      <c r="Q1800" s="66"/>
      <c r="R1800" s="66"/>
      <c r="S1800" s="66"/>
      <c r="T1800" s="110">
        <f t="shared" si="2900"/>
        <v>0</v>
      </c>
      <c r="U1800" s="59">
        <f t="shared" si="2895"/>
        <v>0</v>
      </c>
      <c r="V1800" s="66"/>
      <c r="W1800" s="66"/>
      <c r="X1800" s="110">
        <f t="shared" si="2901"/>
        <v>0</v>
      </c>
      <c r="Y1800" s="110"/>
      <c r="Z1800" s="110"/>
      <c r="AA1800" s="110"/>
      <c r="AB1800" s="46"/>
      <c r="AC1800" s="78"/>
      <c r="AD1800" s="78"/>
      <c r="AE1800" s="100">
        <f t="shared" si="2896"/>
        <v>-1</v>
      </c>
      <c r="AF1800" s="90"/>
      <c r="AG1800" s="109">
        <f t="shared" si="2897"/>
        <v>-1831</v>
      </c>
      <c r="AH1800" s="100">
        <f t="shared" si="2898"/>
        <v>-1</v>
      </c>
      <c r="AI1800" s="100">
        <f t="shared" si="2899"/>
        <v>-1</v>
      </c>
    </row>
    <row r="1801" spans="1:35" s="47" customFormat="1" ht="21" customHeight="1" x14ac:dyDescent="0.3">
      <c r="A1801" s="78"/>
      <c r="B1801" s="106" t="s">
        <v>51</v>
      </c>
      <c r="C1801" s="117">
        <v>48615</v>
      </c>
      <c r="D1801" s="300"/>
      <c r="E1801" s="131" t="s">
        <v>0</v>
      </c>
      <c r="F1801" s="66">
        <v>6069</v>
      </c>
      <c r="G1801" s="66"/>
      <c r="H1801" s="66"/>
      <c r="I1801" s="66"/>
      <c r="J1801" s="66"/>
      <c r="K1801" s="78"/>
      <c r="L1801" s="66"/>
      <c r="M1801" s="66"/>
      <c r="N1801" s="110">
        <f t="shared" si="2894"/>
        <v>-6069</v>
      </c>
      <c r="O1801" s="110"/>
      <c r="P1801" s="66"/>
      <c r="Q1801" s="66"/>
      <c r="R1801" s="66"/>
      <c r="S1801" s="66"/>
      <c r="T1801" s="110">
        <f t="shared" si="2900"/>
        <v>0</v>
      </c>
      <c r="U1801" s="59">
        <f t="shared" si="2895"/>
        <v>0</v>
      </c>
      <c r="V1801" s="66"/>
      <c r="W1801" s="66"/>
      <c r="X1801" s="110">
        <f t="shared" si="2901"/>
        <v>0</v>
      </c>
      <c r="Y1801" s="110"/>
      <c r="Z1801" s="110"/>
      <c r="AA1801" s="110"/>
      <c r="AB1801" s="46"/>
      <c r="AC1801" s="78"/>
      <c r="AD1801" s="78"/>
      <c r="AE1801" s="100">
        <f t="shared" si="2896"/>
        <v>-1</v>
      </c>
      <c r="AF1801" s="90"/>
      <c r="AG1801" s="109">
        <f t="shared" si="2897"/>
        <v>-6069</v>
      </c>
      <c r="AH1801" s="100">
        <f t="shared" si="2898"/>
        <v>-1</v>
      </c>
      <c r="AI1801" s="100">
        <f t="shared" si="2899"/>
        <v>-1</v>
      </c>
    </row>
    <row r="1802" spans="1:35" s="47" customFormat="1" ht="21" customHeight="1" x14ac:dyDescent="0.3">
      <c r="A1802" s="78"/>
      <c r="B1802" s="106" t="s">
        <v>51</v>
      </c>
      <c r="C1802" s="117">
        <v>48615</v>
      </c>
      <c r="D1802" s="300"/>
      <c r="E1802" s="131" t="s">
        <v>39</v>
      </c>
      <c r="F1802" s="66">
        <v>6418</v>
      </c>
      <c r="G1802" s="66"/>
      <c r="H1802" s="66"/>
      <c r="I1802" s="66"/>
      <c r="J1802" s="66"/>
      <c r="K1802" s="78"/>
      <c r="L1802" s="66"/>
      <c r="M1802" s="66"/>
      <c r="N1802" s="110">
        <f t="shared" si="2894"/>
        <v>-6418</v>
      </c>
      <c r="O1802" s="110"/>
      <c r="P1802" s="66"/>
      <c r="Q1802" s="66"/>
      <c r="R1802" s="66"/>
      <c r="S1802" s="66"/>
      <c r="T1802" s="110">
        <f t="shared" si="2900"/>
        <v>0</v>
      </c>
      <c r="U1802" s="59">
        <f t="shared" si="2895"/>
        <v>0</v>
      </c>
      <c r="V1802" s="66"/>
      <c r="W1802" s="66"/>
      <c r="X1802" s="110">
        <f t="shared" si="2901"/>
        <v>0</v>
      </c>
      <c r="Y1802" s="110"/>
      <c r="Z1802" s="110"/>
      <c r="AA1802" s="110"/>
      <c r="AB1802" s="46"/>
      <c r="AC1802" s="78"/>
      <c r="AD1802" s="78"/>
      <c r="AE1802" s="100">
        <f t="shared" si="2896"/>
        <v>-1</v>
      </c>
      <c r="AF1802" s="90"/>
      <c r="AG1802" s="109">
        <f t="shared" si="2897"/>
        <v>-6418</v>
      </c>
      <c r="AH1802" s="100">
        <f t="shared" si="2898"/>
        <v>-1</v>
      </c>
      <c r="AI1802" s="100">
        <f t="shared" si="2899"/>
        <v>-1</v>
      </c>
    </row>
    <row r="1803" spans="1:35" s="47" customFormat="1" ht="21" customHeight="1" x14ac:dyDescent="0.3">
      <c r="A1803" s="78"/>
      <c r="B1803" s="106" t="s">
        <v>51</v>
      </c>
      <c r="C1803" s="117">
        <v>48615</v>
      </c>
      <c r="D1803" s="300"/>
      <c r="E1803" s="131" t="s">
        <v>891</v>
      </c>
      <c r="F1803" s="66">
        <v>2866</v>
      </c>
      <c r="G1803" s="66"/>
      <c r="H1803" s="66"/>
      <c r="I1803" s="66"/>
      <c r="J1803" s="66"/>
      <c r="K1803" s="78"/>
      <c r="L1803" s="66"/>
      <c r="M1803" s="66"/>
      <c r="N1803" s="110">
        <f t="shared" si="2894"/>
        <v>-2866</v>
      </c>
      <c r="O1803" s="110"/>
      <c r="P1803" s="66"/>
      <c r="Q1803" s="66"/>
      <c r="R1803" s="66"/>
      <c r="S1803" s="66"/>
      <c r="T1803" s="110">
        <f t="shared" si="2900"/>
        <v>0</v>
      </c>
      <c r="U1803" s="59">
        <f t="shared" si="2895"/>
        <v>0</v>
      </c>
      <c r="V1803" s="66"/>
      <c r="W1803" s="66"/>
      <c r="X1803" s="110">
        <f t="shared" si="2901"/>
        <v>0</v>
      </c>
      <c r="Y1803" s="110"/>
      <c r="Z1803" s="110"/>
      <c r="AA1803" s="110"/>
      <c r="AB1803" s="46"/>
      <c r="AC1803" s="78"/>
      <c r="AD1803" s="78"/>
      <c r="AE1803" s="100">
        <f t="shared" si="2896"/>
        <v>-1</v>
      </c>
      <c r="AF1803" s="90"/>
      <c r="AG1803" s="109">
        <f t="shared" si="2897"/>
        <v>-2866</v>
      </c>
      <c r="AH1803" s="100">
        <f t="shared" si="2898"/>
        <v>-1</v>
      </c>
      <c r="AI1803" s="100">
        <f t="shared" si="2899"/>
        <v>-1</v>
      </c>
    </row>
    <row r="1804" spans="1:35" s="47" customFormat="1" ht="21" customHeight="1" x14ac:dyDescent="0.3">
      <c r="A1804" s="78"/>
      <c r="B1804" s="106" t="s">
        <v>51</v>
      </c>
      <c r="C1804" s="117">
        <v>48615</v>
      </c>
      <c r="D1804" s="300"/>
      <c r="E1804" s="131" t="s">
        <v>548</v>
      </c>
      <c r="F1804" s="66">
        <v>1604</v>
      </c>
      <c r="G1804" s="66"/>
      <c r="H1804" s="66"/>
      <c r="I1804" s="66"/>
      <c r="J1804" s="66"/>
      <c r="K1804" s="78"/>
      <c r="L1804" s="66"/>
      <c r="M1804" s="66"/>
      <c r="N1804" s="110">
        <f t="shared" si="2894"/>
        <v>-1604</v>
      </c>
      <c r="O1804" s="110"/>
      <c r="P1804" s="66"/>
      <c r="Q1804" s="66"/>
      <c r="R1804" s="66"/>
      <c r="S1804" s="66"/>
      <c r="T1804" s="110">
        <f t="shared" si="2900"/>
        <v>0</v>
      </c>
      <c r="U1804" s="59">
        <f t="shared" si="2895"/>
        <v>0</v>
      </c>
      <c r="V1804" s="66"/>
      <c r="W1804" s="66"/>
      <c r="X1804" s="110">
        <f t="shared" si="2901"/>
        <v>0</v>
      </c>
      <c r="Y1804" s="110"/>
      <c r="Z1804" s="110"/>
      <c r="AA1804" s="110"/>
      <c r="AB1804" s="46"/>
      <c r="AC1804" s="78"/>
      <c r="AD1804" s="78"/>
      <c r="AE1804" s="100">
        <f t="shared" si="2896"/>
        <v>-1</v>
      </c>
      <c r="AF1804" s="90"/>
      <c r="AG1804" s="109">
        <f t="shared" si="2897"/>
        <v>-1604</v>
      </c>
      <c r="AH1804" s="100">
        <f t="shared" si="2898"/>
        <v>-1</v>
      </c>
      <c r="AI1804" s="100">
        <f t="shared" si="2899"/>
        <v>-1</v>
      </c>
    </row>
    <row r="1805" spans="1:35" s="47" customFormat="1" ht="21" customHeight="1" x14ac:dyDescent="0.3">
      <c r="A1805" s="78"/>
      <c r="B1805" s="106" t="s">
        <v>51</v>
      </c>
      <c r="C1805" s="117">
        <v>48615</v>
      </c>
      <c r="D1805" s="300"/>
      <c r="E1805" s="131" t="s">
        <v>233</v>
      </c>
      <c r="F1805" s="66">
        <v>4925</v>
      </c>
      <c r="G1805" s="66"/>
      <c r="H1805" s="66"/>
      <c r="I1805" s="66"/>
      <c r="J1805" s="66"/>
      <c r="K1805" s="78"/>
      <c r="L1805" s="66"/>
      <c r="M1805" s="66"/>
      <c r="N1805" s="110">
        <f t="shared" si="2894"/>
        <v>-4925</v>
      </c>
      <c r="O1805" s="110"/>
      <c r="P1805" s="66"/>
      <c r="Q1805" s="66"/>
      <c r="R1805" s="66"/>
      <c r="S1805" s="66"/>
      <c r="T1805" s="110">
        <f t="shared" si="2900"/>
        <v>0</v>
      </c>
      <c r="U1805" s="59">
        <f t="shared" si="2895"/>
        <v>0</v>
      </c>
      <c r="V1805" s="66"/>
      <c r="W1805" s="66"/>
      <c r="X1805" s="110">
        <f t="shared" si="2901"/>
        <v>0</v>
      </c>
      <c r="Y1805" s="110"/>
      <c r="Z1805" s="110"/>
      <c r="AA1805" s="110"/>
      <c r="AB1805" s="46"/>
      <c r="AC1805" s="78"/>
      <c r="AD1805" s="78"/>
      <c r="AE1805" s="100">
        <f t="shared" si="2896"/>
        <v>-1</v>
      </c>
      <c r="AF1805" s="90"/>
      <c r="AG1805" s="109">
        <f t="shared" si="2897"/>
        <v>-4925</v>
      </c>
      <c r="AH1805" s="100">
        <f t="shared" si="2898"/>
        <v>-1</v>
      </c>
      <c r="AI1805" s="100">
        <f t="shared" si="2899"/>
        <v>-1</v>
      </c>
    </row>
    <row r="1806" spans="1:35" s="79" customFormat="1" ht="15.75" customHeight="1" x14ac:dyDescent="0.3">
      <c r="A1806" s="90" t="s">
        <v>46</v>
      </c>
      <c r="B1806" s="136" t="s">
        <v>51</v>
      </c>
      <c r="C1806" s="137"/>
      <c r="D1806" s="136"/>
      <c r="E1806" s="138"/>
      <c r="F1806" s="91">
        <f>SUM(F1794:F1805)</f>
        <v>32379</v>
      </c>
      <c r="G1806" s="91"/>
      <c r="H1806" s="91"/>
      <c r="I1806" s="91"/>
      <c r="J1806" s="91"/>
      <c r="K1806" s="65" t="s">
        <v>617</v>
      </c>
      <c r="L1806" s="91">
        <f>SUM(L1794:L1805)</f>
        <v>0</v>
      </c>
      <c r="M1806" s="91">
        <f>SUM(M1794:M1805)</f>
        <v>0</v>
      </c>
      <c r="N1806" s="91">
        <f>SUM(N1794:N1805)</f>
        <v>-32379</v>
      </c>
      <c r="O1806" s="91"/>
      <c r="P1806" s="91">
        <f>SUM(P1794:P1805)</f>
        <v>0</v>
      </c>
      <c r="Q1806" s="91">
        <f>SUM(Q1794:Q1805)</f>
        <v>0</v>
      </c>
      <c r="R1806" s="91">
        <f>SUM(R1794:R1805)</f>
        <v>0</v>
      </c>
      <c r="S1806" s="91">
        <f>SUM(S1794:S1805)</f>
        <v>0</v>
      </c>
      <c r="T1806" s="91">
        <f>SUM(T1794:T1805)</f>
        <v>0</v>
      </c>
      <c r="U1806" s="59">
        <f t="shared" si="2895"/>
        <v>0</v>
      </c>
      <c r="V1806" s="91">
        <f>SUM(V1794:V1805)</f>
        <v>0</v>
      </c>
      <c r="W1806" s="91">
        <f>SUM(W1794:W1805)</f>
        <v>0</v>
      </c>
      <c r="X1806" s="91">
        <f>SUM(X1794:X1805)</f>
        <v>0</v>
      </c>
      <c r="Y1806" s="136" t="s">
        <v>47</v>
      </c>
      <c r="Z1806" s="136" t="s">
        <v>45</v>
      </c>
      <c r="AA1806" s="136"/>
      <c r="AB1806" s="84"/>
      <c r="AC1806" s="90"/>
      <c r="AD1806" s="90"/>
      <c r="AE1806" s="100">
        <f t="shared" si="2896"/>
        <v>-1</v>
      </c>
      <c r="AF1806" s="90"/>
      <c r="AG1806" s="109">
        <f t="shared" si="2897"/>
        <v>-32379</v>
      </c>
      <c r="AH1806" s="100">
        <f t="shared" si="2898"/>
        <v>-1</v>
      </c>
      <c r="AI1806" s="100">
        <f t="shared" si="2899"/>
        <v>-1</v>
      </c>
    </row>
    <row r="1807" spans="1:35" s="47" customFormat="1" ht="21" customHeight="1" x14ac:dyDescent="0.3">
      <c r="A1807" s="78"/>
      <c r="B1807" s="106" t="s">
        <v>51</v>
      </c>
      <c r="C1807" s="117" t="s">
        <v>957</v>
      </c>
      <c r="D1807" s="299">
        <v>15390900</v>
      </c>
      <c r="E1807" s="131" t="s">
        <v>41</v>
      </c>
      <c r="F1807" s="66">
        <v>300</v>
      </c>
      <c r="G1807" s="66"/>
      <c r="H1807" s="66"/>
      <c r="I1807" s="66"/>
      <c r="J1807" s="66"/>
      <c r="K1807" s="78"/>
      <c r="L1807" s="66"/>
      <c r="M1807" s="66"/>
      <c r="N1807" s="110">
        <f t="shared" ref="N1807:N1809" si="2902">M1807-F1807</f>
        <v>-300</v>
      </c>
      <c r="O1807" s="110"/>
      <c r="P1807" s="66"/>
      <c r="Q1807" s="66"/>
      <c r="R1807" s="66"/>
      <c r="S1807" s="66"/>
      <c r="T1807" s="110">
        <f>S1807-Q1807</f>
        <v>0</v>
      </c>
      <c r="U1807" s="59">
        <f t="shared" si="2856"/>
        <v>0</v>
      </c>
      <c r="V1807" s="66"/>
      <c r="W1807" s="66"/>
      <c r="X1807" s="110">
        <f>W1807-M1807</f>
        <v>0</v>
      </c>
      <c r="Y1807" s="110"/>
      <c r="Z1807" s="110"/>
      <c r="AA1807" s="110"/>
      <c r="AB1807" s="46"/>
      <c r="AC1807" s="78"/>
      <c r="AD1807" s="78"/>
      <c r="AE1807" s="100">
        <f t="shared" si="2857"/>
        <v>-1</v>
      </c>
      <c r="AF1807" s="90"/>
      <c r="AG1807" s="109">
        <f t="shared" si="2858"/>
        <v>-300</v>
      </c>
      <c r="AH1807" s="100">
        <f t="shared" si="2859"/>
        <v>-1</v>
      </c>
      <c r="AI1807" s="100">
        <f t="shared" si="2860"/>
        <v>-1</v>
      </c>
    </row>
    <row r="1808" spans="1:35" s="47" customFormat="1" ht="21" customHeight="1" x14ac:dyDescent="0.3">
      <c r="A1808" s="78"/>
      <c r="B1808" s="106" t="s">
        <v>51</v>
      </c>
      <c r="C1808" s="117" t="s">
        <v>957</v>
      </c>
      <c r="D1808" s="300"/>
      <c r="E1808" s="131" t="s">
        <v>890</v>
      </c>
      <c r="F1808" s="66">
        <v>300</v>
      </c>
      <c r="G1808" s="66"/>
      <c r="H1808" s="66"/>
      <c r="I1808" s="66"/>
      <c r="J1808" s="66"/>
      <c r="K1808" s="78"/>
      <c r="L1808" s="66"/>
      <c r="M1808" s="66"/>
      <c r="N1808" s="110">
        <f t="shared" si="2902"/>
        <v>-300</v>
      </c>
      <c r="O1808" s="110"/>
      <c r="P1808" s="66"/>
      <c r="Q1808" s="66"/>
      <c r="R1808" s="66"/>
      <c r="S1808" s="66"/>
      <c r="T1808" s="110">
        <f t="shared" ref="T1808:T1810" si="2903">S1808-Q1808</f>
        <v>0</v>
      </c>
      <c r="U1808" s="59">
        <f t="shared" si="2856"/>
        <v>0</v>
      </c>
      <c r="V1808" s="66"/>
      <c r="W1808" s="66"/>
      <c r="X1808" s="110">
        <f t="shared" ref="X1808:X1810" si="2904">W1808-M1808</f>
        <v>0</v>
      </c>
      <c r="Y1808" s="110"/>
      <c r="Z1808" s="110"/>
      <c r="AA1808" s="110"/>
      <c r="AB1808" s="46"/>
      <c r="AC1808" s="78"/>
      <c r="AD1808" s="78"/>
      <c r="AE1808" s="100">
        <f t="shared" si="2857"/>
        <v>-1</v>
      </c>
      <c r="AF1808" s="90"/>
      <c r="AG1808" s="109">
        <f t="shared" si="2858"/>
        <v>-300</v>
      </c>
      <c r="AH1808" s="100">
        <f t="shared" si="2859"/>
        <v>-1</v>
      </c>
      <c r="AI1808" s="100">
        <f t="shared" si="2860"/>
        <v>-1</v>
      </c>
    </row>
    <row r="1809" spans="1:35" s="47" customFormat="1" ht="21" customHeight="1" x14ac:dyDescent="0.3">
      <c r="A1809" s="78"/>
      <c r="B1809" s="106" t="s">
        <v>51</v>
      </c>
      <c r="C1809" s="117" t="s">
        <v>957</v>
      </c>
      <c r="D1809" s="300"/>
      <c r="E1809" s="131" t="s">
        <v>956</v>
      </c>
      <c r="F1809" s="66">
        <v>200</v>
      </c>
      <c r="G1809" s="66"/>
      <c r="H1809" s="66"/>
      <c r="I1809" s="66"/>
      <c r="J1809" s="66"/>
      <c r="K1809" s="78"/>
      <c r="L1809" s="66"/>
      <c r="M1809" s="66"/>
      <c r="N1809" s="110">
        <f t="shared" si="2902"/>
        <v>-200</v>
      </c>
      <c r="O1809" s="110"/>
      <c r="P1809" s="66"/>
      <c r="Q1809" s="66"/>
      <c r="R1809" s="66"/>
      <c r="S1809" s="66"/>
      <c r="T1809" s="110">
        <f t="shared" si="2903"/>
        <v>0</v>
      </c>
      <c r="U1809" s="59">
        <f t="shared" si="2856"/>
        <v>0</v>
      </c>
      <c r="V1809" s="66"/>
      <c r="W1809" s="66"/>
      <c r="X1809" s="110">
        <f t="shared" si="2904"/>
        <v>0</v>
      </c>
      <c r="Y1809" s="110"/>
      <c r="Z1809" s="110"/>
      <c r="AA1809" s="110"/>
      <c r="AB1809" s="46"/>
      <c r="AC1809" s="78"/>
      <c r="AD1809" s="78"/>
      <c r="AE1809" s="100">
        <f t="shared" si="2857"/>
        <v>-1</v>
      </c>
      <c r="AF1809" s="90"/>
      <c r="AG1809" s="109">
        <f t="shared" si="2858"/>
        <v>-200</v>
      </c>
      <c r="AH1809" s="100">
        <f t="shared" si="2859"/>
        <v>-1</v>
      </c>
      <c r="AI1809" s="100">
        <f t="shared" si="2860"/>
        <v>-1</v>
      </c>
    </row>
    <row r="1810" spans="1:35" s="47" customFormat="1" ht="21" customHeight="1" x14ac:dyDescent="0.3">
      <c r="A1810" s="78"/>
      <c r="B1810" s="106" t="s">
        <v>51</v>
      </c>
      <c r="C1810" s="117" t="s">
        <v>957</v>
      </c>
      <c r="D1810" s="300"/>
      <c r="E1810" s="131" t="s">
        <v>891</v>
      </c>
      <c r="F1810" s="66">
        <v>200</v>
      </c>
      <c r="G1810" s="66"/>
      <c r="H1810" s="66"/>
      <c r="I1810" s="66"/>
      <c r="J1810" s="66"/>
      <c r="K1810" s="78"/>
      <c r="L1810" s="66"/>
      <c r="M1810" s="66"/>
      <c r="N1810" s="110">
        <f t="shared" ref="N1810" si="2905">M1810-F1810</f>
        <v>-200</v>
      </c>
      <c r="O1810" s="110"/>
      <c r="P1810" s="66"/>
      <c r="Q1810" s="66"/>
      <c r="R1810" s="66"/>
      <c r="S1810" s="66"/>
      <c r="T1810" s="110">
        <f t="shared" si="2903"/>
        <v>0</v>
      </c>
      <c r="U1810" s="59">
        <f t="shared" ref="U1810" si="2906">IF(Q1810&gt;0,S1810-W1810,M1810-W1810)</f>
        <v>0</v>
      </c>
      <c r="V1810" s="66"/>
      <c r="W1810" s="66"/>
      <c r="X1810" s="110">
        <f t="shared" si="2904"/>
        <v>0</v>
      </c>
      <c r="Y1810" s="110"/>
      <c r="Z1810" s="110"/>
      <c r="AA1810" s="110"/>
      <c r="AB1810" s="46"/>
      <c r="AC1810" s="78"/>
      <c r="AD1810" s="78"/>
      <c r="AE1810" s="100">
        <f t="shared" ref="AE1810" si="2907">N1810/F1810</f>
        <v>-1</v>
      </c>
      <c r="AF1810" s="90"/>
      <c r="AG1810" s="109">
        <f t="shared" ref="AG1810" si="2908">IF(N1810&lt;0,N1810,0)</f>
        <v>-200</v>
      </c>
      <c r="AH1810" s="100">
        <f t="shared" ref="AH1810" si="2909">(S1810-F1810)/F1810</f>
        <v>-1</v>
      </c>
      <c r="AI1810" s="100">
        <f t="shared" ref="AI1810" si="2910">(W1810-F1810)/F1810</f>
        <v>-1</v>
      </c>
    </row>
    <row r="1811" spans="1:35" s="79" customFormat="1" ht="15.75" customHeight="1" x14ac:dyDescent="0.3">
      <c r="A1811" s="90" t="s">
        <v>46</v>
      </c>
      <c r="B1811" s="136" t="s">
        <v>51</v>
      </c>
      <c r="C1811" s="137"/>
      <c r="D1811" s="136"/>
      <c r="E1811" s="138"/>
      <c r="F1811" s="91">
        <f>SUM(F1807:F1810)</f>
        <v>1000</v>
      </c>
      <c r="G1811" s="91"/>
      <c r="H1811" s="91"/>
      <c r="I1811" s="91"/>
      <c r="J1811" s="91"/>
      <c r="K1811" s="65" t="s">
        <v>410</v>
      </c>
      <c r="L1811" s="91">
        <f>SUM(L1807:L1810)</f>
        <v>0</v>
      </c>
      <c r="M1811" s="91">
        <f>SUM(M1807:M1810)</f>
        <v>0</v>
      </c>
      <c r="N1811" s="91">
        <f>SUM(N1807:N1810)</f>
        <v>-1000</v>
      </c>
      <c r="O1811" s="91"/>
      <c r="P1811" s="91">
        <f>SUM(P1807:P1810)</f>
        <v>0</v>
      </c>
      <c r="Q1811" s="91">
        <f>SUM(Q1807:Q1810)</f>
        <v>0</v>
      </c>
      <c r="R1811" s="91">
        <f>SUM(R1807:R1810)</f>
        <v>0</v>
      </c>
      <c r="S1811" s="91">
        <f>SUM(S1807:S1810)</f>
        <v>0</v>
      </c>
      <c r="T1811" s="91">
        <f>SUM(T1807:T1810)</f>
        <v>0</v>
      </c>
      <c r="U1811" s="59">
        <f t="shared" si="2856"/>
        <v>0</v>
      </c>
      <c r="V1811" s="91">
        <f>SUM(V1807:V1810)</f>
        <v>0</v>
      </c>
      <c r="W1811" s="91">
        <f>SUM(W1807:W1810)</f>
        <v>0</v>
      </c>
      <c r="X1811" s="91">
        <f>SUM(X1807:X1810)</f>
        <v>0</v>
      </c>
      <c r="Y1811" s="136" t="s">
        <v>47</v>
      </c>
      <c r="Z1811" s="136" t="s">
        <v>45</v>
      </c>
      <c r="AA1811" s="136"/>
      <c r="AB1811" s="84"/>
      <c r="AC1811" s="90"/>
      <c r="AD1811" s="90"/>
      <c r="AE1811" s="100">
        <f t="shared" si="2857"/>
        <v>-1</v>
      </c>
      <c r="AF1811" s="90"/>
      <c r="AG1811" s="109">
        <f t="shared" si="2858"/>
        <v>-1000</v>
      </c>
      <c r="AH1811" s="100">
        <f t="shared" si="2859"/>
        <v>-1</v>
      </c>
      <c r="AI1811" s="100">
        <f t="shared" si="2860"/>
        <v>-1</v>
      </c>
    </row>
    <row r="1812" spans="1:35" s="47" customFormat="1" ht="21" customHeight="1" x14ac:dyDescent="0.3">
      <c r="A1812" s="78"/>
      <c r="B1812" s="106" t="s">
        <v>51</v>
      </c>
      <c r="C1812" s="117" t="s">
        <v>211</v>
      </c>
      <c r="D1812" s="299">
        <v>15318144</v>
      </c>
      <c r="E1812" s="131" t="s">
        <v>212</v>
      </c>
      <c r="F1812" s="66">
        <v>1536</v>
      </c>
      <c r="G1812" s="66"/>
      <c r="H1812" s="66"/>
      <c r="I1812" s="66"/>
      <c r="J1812" s="66"/>
      <c r="K1812" s="78"/>
      <c r="L1812" s="66"/>
      <c r="M1812" s="66">
        <f>400+1063+138</f>
        <v>1601</v>
      </c>
      <c r="N1812" s="110">
        <f t="shared" ref="N1812:N1826" si="2911">M1812-F1812</f>
        <v>65</v>
      </c>
      <c r="O1812" s="110"/>
      <c r="P1812" s="66"/>
      <c r="Q1812" s="66">
        <v>1601</v>
      </c>
      <c r="R1812" s="66"/>
      <c r="S1812" s="66">
        <f>1500+94</f>
        <v>1594</v>
      </c>
      <c r="T1812" s="110">
        <f>S1812-Q1812</f>
        <v>-7</v>
      </c>
      <c r="U1812" s="59">
        <f t="shared" si="2856"/>
        <v>1594</v>
      </c>
      <c r="V1812" s="66"/>
      <c r="W1812" s="66"/>
      <c r="X1812" s="110">
        <f>W1812-M1812</f>
        <v>-1601</v>
      </c>
      <c r="Y1812" s="110"/>
      <c r="Z1812" s="110"/>
      <c r="AA1812" s="110"/>
      <c r="AB1812" s="46"/>
      <c r="AC1812" s="78"/>
      <c r="AD1812" s="78"/>
      <c r="AE1812" s="100">
        <f t="shared" si="2857"/>
        <v>4.2317708333333336E-2</v>
      </c>
      <c r="AF1812" s="90"/>
      <c r="AG1812" s="109">
        <f t="shared" si="2858"/>
        <v>0</v>
      </c>
      <c r="AH1812" s="100">
        <f t="shared" si="2859"/>
        <v>3.7760416666666664E-2</v>
      </c>
      <c r="AI1812" s="100">
        <f t="shared" si="2860"/>
        <v>-1</v>
      </c>
    </row>
    <row r="1813" spans="1:35" s="47" customFormat="1" ht="21" customHeight="1" x14ac:dyDescent="0.3">
      <c r="A1813" s="78"/>
      <c r="B1813" s="106" t="s">
        <v>51</v>
      </c>
      <c r="C1813" s="117" t="s">
        <v>211</v>
      </c>
      <c r="D1813" s="300"/>
      <c r="E1813" s="131" t="s">
        <v>213</v>
      </c>
      <c r="F1813" s="66">
        <v>1116</v>
      </c>
      <c r="G1813" s="66"/>
      <c r="H1813" s="66"/>
      <c r="I1813" s="66"/>
      <c r="J1813" s="66"/>
      <c r="K1813" s="78"/>
      <c r="L1813" s="66"/>
      <c r="M1813" s="66">
        <v>1146</v>
      </c>
      <c r="N1813" s="110">
        <f t="shared" si="2911"/>
        <v>30</v>
      </c>
      <c r="O1813" s="110"/>
      <c r="P1813" s="66"/>
      <c r="Q1813" s="66">
        <v>1146</v>
      </c>
      <c r="R1813" s="66"/>
      <c r="S1813" s="66">
        <v>1146</v>
      </c>
      <c r="T1813" s="110">
        <f t="shared" ref="T1813:T1826" si="2912">S1813-Q1813</f>
        <v>0</v>
      </c>
      <c r="U1813" s="59">
        <f t="shared" si="2856"/>
        <v>2</v>
      </c>
      <c r="V1813" s="66"/>
      <c r="W1813" s="66">
        <v>1144</v>
      </c>
      <c r="X1813" s="110">
        <f t="shared" ref="X1813:X1826" si="2913">W1813-M1813</f>
        <v>-2</v>
      </c>
      <c r="Y1813" s="110"/>
      <c r="Z1813" s="110"/>
      <c r="AA1813" s="110"/>
      <c r="AB1813" s="46"/>
      <c r="AC1813" s="78"/>
      <c r="AD1813" s="78"/>
      <c r="AE1813" s="100">
        <f t="shared" si="2857"/>
        <v>2.6881720430107527E-2</v>
      </c>
      <c r="AF1813" s="90"/>
      <c r="AG1813" s="109">
        <f t="shared" si="2858"/>
        <v>0</v>
      </c>
      <c r="AH1813" s="100">
        <f t="shared" si="2859"/>
        <v>2.6881720430107527E-2</v>
      </c>
      <c r="AI1813" s="100">
        <f t="shared" si="2860"/>
        <v>2.5089605734767026E-2</v>
      </c>
    </row>
    <row r="1814" spans="1:35" s="47" customFormat="1" ht="21" customHeight="1" x14ac:dyDescent="0.3">
      <c r="A1814" s="78"/>
      <c r="B1814" s="106" t="s">
        <v>51</v>
      </c>
      <c r="C1814" s="117" t="s">
        <v>211</v>
      </c>
      <c r="D1814" s="300"/>
      <c r="E1814" s="131" t="s">
        <v>214</v>
      </c>
      <c r="F1814" s="66">
        <v>1116</v>
      </c>
      <c r="G1814" s="66"/>
      <c r="H1814" s="66"/>
      <c r="I1814" s="66"/>
      <c r="J1814" s="66"/>
      <c r="K1814" s="78"/>
      <c r="L1814" s="66"/>
      <c r="M1814" s="66">
        <v>1146</v>
      </c>
      <c r="N1814" s="110">
        <f t="shared" si="2911"/>
        <v>30</v>
      </c>
      <c r="O1814" s="110"/>
      <c r="P1814" s="66"/>
      <c r="Q1814" s="66">
        <v>1146</v>
      </c>
      <c r="R1814" s="66"/>
      <c r="S1814" s="66">
        <f>862+284</f>
        <v>1146</v>
      </c>
      <c r="T1814" s="110">
        <f t="shared" si="2912"/>
        <v>0</v>
      </c>
      <c r="U1814" s="59">
        <f t="shared" si="2856"/>
        <v>6</v>
      </c>
      <c r="V1814" s="66"/>
      <c r="W1814" s="66">
        <v>1140</v>
      </c>
      <c r="X1814" s="110">
        <f t="shared" si="2913"/>
        <v>-6</v>
      </c>
      <c r="Y1814" s="110"/>
      <c r="Z1814" s="110"/>
      <c r="AA1814" s="110"/>
      <c r="AB1814" s="46"/>
      <c r="AC1814" s="78"/>
      <c r="AD1814" s="78"/>
      <c r="AE1814" s="100">
        <f t="shared" si="2857"/>
        <v>2.6881720430107527E-2</v>
      </c>
      <c r="AF1814" s="90"/>
      <c r="AG1814" s="109">
        <f t="shared" si="2858"/>
        <v>0</v>
      </c>
      <c r="AH1814" s="100">
        <f t="shared" si="2859"/>
        <v>2.6881720430107527E-2</v>
      </c>
      <c r="AI1814" s="100">
        <f t="shared" si="2860"/>
        <v>2.1505376344086023E-2</v>
      </c>
    </row>
    <row r="1815" spans="1:35" s="47" customFormat="1" ht="21" customHeight="1" x14ac:dyDescent="0.3">
      <c r="A1815" s="78"/>
      <c r="B1815" s="106" t="s">
        <v>51</v>
      </c>
      <c r="C1815" s="117" t="s">
        <v>211</v>
      </c>
      <c r="D1815" s="300"/>
      <c r="E1815" s="131" t="s">
        <v>215</v>
      </c>
      <c r="F1815" s="66">
        <v>1116</v>
      </c>
      <c r="G1815" s="66"/>
      <c r="H1815" s="66"/>
      <c r="I1815" s="66"/>
      <c r="J1815" s="66"/>
      <c r="K1815" s="78"/>
      <c r="L1815" s="66"/>
      <c r="M1815" s="66">
        <v>1156</v>
      </c>
      <c r="N1815" s="110">
        <f t="shared" si="2911"/>
        <v>40</v>
      </c>
      <c r="O1815" s="110"/>
      <c r="P1815" s="66"/>
      <c r="Q1815" s="66">
        <v>1156</v>
      </c>
      <c r="R1815" s="66"/>
      <c r="S1815" s="66">
        <f>1059+85</f>
        <v>1144</v>
      </c>
      <c r="T1815" s="110">
        <f t="shared" si="2912"/>
        <v>-12</v>
      </c>
      <c r="U1815" s="59">
        <f t="shared" si="2856"/>
        <v>0</v>
      </c>
      <c r="V1815" s="66"/>
      <c r="W1815" s="66">
        <v>1144</v>
      </c>
      <c r="X1815" s="110">
        <f t="shared" si="2913"/>
        <v>-12</v>
      </c>
      <c r="Y1815" s="110"/>
      <c r="Z1815" s="110"/>
      <c r="AA1815" s="110"/>
      <c r="AB1815" s="46"/>
      <c r="AC1815" s="78"/>
      <c r="AD1815" s="78"/>
      <c r="AE1815" s="100">
        <f t="shared" si="2857"/>
        <v>3.5842293906810034E-2</v>
      </c>
      <c r="AF1815" s="90"/>
      <c r="AG1815" s="109">
        <f t="shared" si="2858"/>
        <v>0</v>
      </c>
      <c r="AH1815" s="100">
        <f t="shared" si="2859"/>
        <v>2.5089605734767026E-2</v>
      </c>
      <c r="AI1815" s="100">
        <f t="shared" si="2860"/>
        <v>2.5089605734767026E-2</v>
      </c>
    </row>
    <row r="1816" spans="1:35" s="47" customFormat="1" ht="21" customHeight="1" x14ac:dyDescent="0.3">
      <c r="A1816" s="78"/>
      <c r="B1816" s="106" t="s">
        <v>51</v>
      </c>
      <c r="C1816" s="117" t="s">
        <v>211</v>
      </c>
      <c r="D1816" s="300"/>
      <c r="E1816" s="131" t="s">
        <v>216</v>
      </c>
      <c r="F1816" s="66">
        <v>600</v>
      </c>
      <c r="G1816" s="66"/>
      <c r="H1816" s="66"/>
      <c r="I1816" s="66"/>
      <c r="J1816" s="66"/>
      <c r="K1816" s="78"/>
      <c r="L1816" s="66"/>
      <c r="M1816" s="66">
        <v>626</v>
      </c>
      <c r="N1816" s="110">
        <f t="shared" si="2911"/>
        <v>26</v>
      </c>
      <c r="O1816" s="110"/>
      <c r="P1816" s="66"/>
      <c r="Q1816" s="66">
        <v>626</v>
      </c>
      <c r="R1816" s="66"/>
      <c r="S1816" s="66">
        <v>626</v>
      </c>
      <c r="T1816" s="110">
        <f t="shared" si="2912"/>
        <v>0</v>
      </c>
      <c r="U1816" s="59">
        <f t="shared" si="2856"/>
        <v>3</v>
      </c>
      <c r="V1816" s="66"/>
      <c r="W1816" s="66">
        <v>623</v>
      </c>
      <c r="X1816" s="110">
        <f t="shared" si="2913"/>
        <v>-3</v>
      </c>
      <c r="Y1816" s="110"/>
      <c r="Z1816" s="110"/>
      <c r="AA1816" s="110"/>
      <c r="AB1816" s="46"/>
      <c r="AC1816" s="78"/>
      <c r="AD1816" s="78"/>
      <c r="AE1816" s="100">
        <f t="shared" si="2857"/>
        <v>4.3333333333333335E-2</v>
      </c>
      <c r="AF1816" s="90"/>
      <c r="AG1816" s="109">
        <f t="shared" si="2858"/>
        <v>0</v>
      </c>
      <c r="AH1816" s="100">
        <f t="shared" si="2859"/>
        <v>4.3333333333333335E-2</v>
      </c>
      <c r="AI1816" s="100">
        <f t="shared" si="2860"/>
        <v>3.833333333333333E-2</v>
      </c>
    </row>
    <row r="1817" spans="1:35" s="47" customFormat="1" ht="21" customHeight="1" x14ac:dyDescent="0.3">
      <c r="A1817" s="78"/>
      <c r="B1817" s="106" t="s">
        <v>51</v>
      </c>
      <c r="C1817" s="117" t="s">
        <v>211</v>
      </c>
      <c r="D1817" s="300"/>
      <c r="E1817" s="131" t="s">
        <v>217</v>
      </c>
      <c r="F1817" s="66">
        <v>816</v>
      </c>
      <c r="G1817" s="66"/>
      <c r="H1817" s="66"/>
      <c r="I1817" s="66"/>
      <c r="J1817" s="66"/>
      <c r="K1817" s="78"/>
      <c r="L1817" s="66"/>
      <c r="M1817" s="66">
        <v>864</v>
      </c>
      <c r="N1817" s="110">
        <f t="shared" si="2911"/>
        <v>48</v>
      </c>
      <c r="O1817" s="110"/>
      <c r="P1817" s="66"/>
      <c r="Q1817" s="66">
        <f>864</f>
        <v>864</v>
      </c>
      <c r="R1817" s="66"/>
      <c r="S1817" s="66">
        <v>855</v>
      </c>
      <c r="T1817" s="110">
        <f t="shared" si="2912"/>
        <v>-9</v>
      </c>
      <c r="U1817" s="59">
        <f t="shared" si="2856"/>
        <v>7</v>
      </c>
      <c r="V1817" s="66"/>
      <c r="W1817" s="66">
        <v>848</v>
      </c>
      <c r="X1817" s="110">
        <f t="shared" si="2913"/>
        <v>-16</v>
      </c>
      <c r="Y1817" s="110"/>
      <c r="Z1817" s="110"/>
      <c r="AA1817" s="110"/>
      <c r="AB1817" s="46"/>
      <c r="AC1817" s="78"/>
      <c r="AD1817" s="78"/>
      <c r="AE1817" s="100">
        <f t="shared" si="2857"/>
        <v>5.8823529411764705E-2</v>
      </c>
      <c r="AF1817" s="90"/>
      <c r="AG1817" s="109">
        <f t="shared" si="2858"/>
        <v>0</v>
      </c>
      <c r="AH1817" s="100">
        <f t="shared" si="2859"/>
        <v>4.779411764705882E-2</v>
      </c>
      <c r="AI1817" s="100">
        <f t="shared" si="2860"/>
        <v>3.9215686274509803E-2</v>
      </c>
    </row>
    <row r="1818" spans="1:35" s="47" customFormat="1" ht="21" customHeight="1" x14ac:dyDescent="0.3">
      <c r="A1818" s="78"/>
      <c r="B1818" s="106" t="s">
        <v>51</v>
      </c>
      <c r="C1818" s="117" t="s">
        <v>211</v>
      </c>
      <c r="D1818" s="300"/>
      <c r="E1818" s="131" t="s">
        <v>218</v>
      </c>
      <c r="F1818" s="66">
        <v>816</v>
      </c>
      <c r="G1818" s="66"/>
      <c r="H1818" s="66"/>
      <c r="I1818" s="66"/>
      <c r="J1818" s="66"/>
      <c r="K1818" s="78"/>
      <c r="L1818" s="66"/>
      <c r="M1818" s="66">
        <v>847</v>
      </c>
      <c r="N1818" s="110">
        <f t="shared" si="2911"/>
        <v>31</v>
      </c>
      <c r="O1818" s="110"/>
      <c r="P1818" s="66"/>
      <c r="Q1818" s="66">
        <v>847</v>
      </c>
      <c r="R1818" s="66"/>
      <c r="S1818" s="66">
        <v>847</v>
      </c>
      <c r="T1818" s="110">
        <f t="shared" si="2912"/>
        <v>0</v>
      </c>
      <c r="U1818" s="59">
        <f t="shared" si="2856"/>
        <v>0</v>
      </c>
      <c r="V1818" s="66"/>
      <c r="W1818" s="66">
        <v>847</v>
      </c>
      <c r="X1818" s="110">
        <f t="shared" si="2913"/>
        <v>0</v>
      </c>
      <c r="Y1818" s="110"/>
      <c r="Z1818" s="110"/>
      <c r="AA1818" s="110"/>
      <c r="AB1818" s="46"/>
      <c r="AC1818" s="78"/>
      <c r="AD1818" s="78"/>
      <c r="AE1818" s="100">
        <f t="shared" si="2857"/>
        <v>3.7990196078431369E-2</v>
      </c>
      <c r="AF1818" s="90"/>
      <c r="AG1818" s="109">
        <f t="shared" si="2858"/>
        <v>0</v>
      </c>
      <c r="AH1818" s="100">
        <f t="shared" si="2859"/>
        <v>3.7990196078431369E-2</v>
      </c>
      <c r="AI1818" s="100">
        <f t="shared" si="2860"/>
        <v>3.7990196078431369E-2</v>
      </c>
    </row>
    <row r="1819" spans="1:35" s="47" customFormat="1" ht="21" customHeight="1" x14ac:dyDescent="0.3">
      <c r="A1819" s="78"/>
      <c r="B1819" s="106" t="s">
        <v>51</v>
      </c>
      <c r="C1819" s="117" t="s">
        <v>211</v>
      </c>
      <c r="D1819" s="300"/>
      <c r="E1819" s="131" t="s">
        <v>219</v>
      </c>
      <c r="F1819" s="66">
        <v>816</v>
      </c>
      <c r="G1819" s="66"/>
      <c r="H1819" s="66"/>
      <c r="I1819" s="66"/>
      <c r="J1819" s="66"/>
      <c r="K1819" s="78"/>
      <c r="L1819" s="66"/>
      <c r="M1819" s="66">
        <v>842</v>
      </c>
      <c r="N1819" s="110">
        <f t="shared" si="2911"/>
        <v>26</v>
      </c>
      <c r="O1819" s="110"/>
      <c r="P1819" s="66"/>
      <c r="Q1819" s="66">
        <v>842</v>
      </c>
      <c r="R1819" s="66"/>
      <c r="S1819" s="66">
        <v>840</v>
      </c>
      <c r="T1819" s="110">
        <f t="shared" si="2912"/>
        <v>-2</v>
      </c>
      <c r="U1819" s="59">
        <f t="shared" si="2856"/>
        <v>5</v>
      </c>
      <c r="V1819" s="66"/>
      <c r="W1819" s="66">
        <v>835</v>
      </c>
      <c r="X1819" s="110">
        <f t="shared" si="2913"/>
        <v>-7</v>
      </c>
      <c r="Y1819" s="110"/>
      <c r="Z1819" s="110"/>
      <c r="AA1819" s="110"/>
      <c r="AB1819" s="46"/>
      <c r="AC1819" s="78"/>
      <c r="AD1819" s="78"/>
      <c r="AE1819" s="100">
        <f t="shared" si="2857"/>
        <v>3.1862745098039214E-2</v>
      </c>
      <c r="AF1819" s="90"/>
      <c r="AG1819" s="109">
        <f t="shared" si="2858"/>
        <v>0</v>
      </c>
      <c r="AH1819" s="100">
        <f t="shared" si="2859"/>
        <v>2.9411764705882353E-2</v>
      </c>
      <c r="AI1819" s="100">
        <f t="shared" si="2860"/>
        <v>2.3284313725490197E-2</v>
      </c>
    </row>
    <row r="1820" spans="1:35" s="47" customFormat="1" ht="21" customHeight="1" x14ac:dyDescent="0.3">
      <c r="A1820" s="78"/>
      <c r="B1820" s="106" t="s">
        <v>51</v>
      </c>
      <c r="C1820" s="117" t="s">
        <v>211</v>
      </c>
      <c r="D1820" s="300"/>
      <c r="E1820" s="131" t="s">
        <v>220</v>
      </c>
      <c r="F1820" s="66">
        <v>816</v>
      </c>
      <c r="G1820" s="66"/>
      <c r="H1820" s="66"/>
      <c r="I1820" s="66"/>
      <c r="J1820" s="66"/>
      <c r="K1820" s="78"/>
      <c r="L1820" s="66"/>
      <c r="M1820" s="66">
        <v>842</v>
      </c>
      <c r="N1820" s="110">
        <f t="shared" si="2911"/>
        <v>26</v>
      </c>
      <c r="O1820" s="110"/>
      <c r="P1820" s="66"/>
      <c r="Q1820" s="66">
        <v>842</v>
      </c>
      <c r="R1820" s="66"/>
      <c r="S1820" s="66">
        <v>842</v>
      </c>
      <c r="T1820" s="110">
        <f t="shared" si="2912"/>
        <v>0</v>
      </c>
      <c r="U1820" s="59">
        <f t="shared" si="2856"/>
        <v>3</v>
      </c>
      <c r="V1820" s="66"/>
      <c r="W1820" s="66">
        <v>839</v>
      </c>
      <c r="X1820" s="110">
        <f t="shared" si="2913"/>
        <v>-3</v>
      </c>
      <c r="Y1820" s="110"/>
      <c r="Z1820" s="110"/>
      <c r="AA1820" s="110"/>
      <c r="AB1820" s="46"/>
      <c r="AC1820" s="78"/>
      <c r="AD1820" s="78"/>
      <c r="AE1820" s="100">
        <f t="shared" si="2857"/>
        <v>3.1862745098039214E-2</v>
      </c>
      <c r="AF1820" s="90"/>
      <c r="AG1820" s="109">
        <f t="shared" si="2858"/>
        <v>0</v>
      </c>
      <c r="AH1820" s="100">
        <f t="shared" si="2859"/>
        <v>3.1862745098039214E-2</v>
      </c>
      <c r="AI1820" s="100">
        <f t="shared" si="2860"/>
        <v>2.8186274509803922E-2</v>
      </c>
    </row>
    <row r="1821" spans="1:35" s="47" customFormat="1" ht="21" customHeight="1" x14ac:dyDescent="0.3">
      <c r="A1821" s="78"/>
      <c r="B1821" s="106" t="s">
        <v>51</v>
      </c>
      <c r="C1821" s="117" t="s">
        <v>211</v>
      </c>
      <c r="D1821" s="300"/>
      <c r="E1821" s="131" t="s">
        <v>221</v>
      </c>
      <c r="F1821" s="66">
        <v>816</v>
      </c>
      <c r="G1821" s="66"/>
      <c r="H1821" s="66"/>
      <c r="I1821" s="66"/>
      <c r="J1821" s="66"/>
      <c r="K1821" s="78"/>
      <c r="L1821" s="66"/>
      <c r="M1821" s="66">
        <v>842</v>
      </c>
      <c r="N1821" s="110">
        <f t="shared" si="2911"/>
        <v>26</v>
      </c>
      <c r="O1821" s="110"/>
      <c r="P1821" s="66"/>
      <c r="Q1821" s="66">
        <v>842</v>
      </c>
      <c r="R1821" s="66"/>
      <c r="S1821" s="66">
        <v>842</v>
      </c>
      <c r="T1821" s="110">
        <f t="shared" si="2912"/>
        <v>0</v>
      </c>
      <c r="U1821" s="59">
        <f t="shared" si="2856"/>
        <v>5</v>
      </c>
      <c r="V1821" s="66"/>
      <c r="W1821" s="66">
        <v>837</v>
      </c>
      <c r="X1821" s="110">
        <f t="shared" si="2913"/>
        <v>-5</v>
      </c>
      <c r="Y1821" s="110"/>
      <c r="Z1821" s="110"/>
      <c r="AA1821" s="110"/>
      <c r="AB1821" s="46"/>
      <c r="AC1821" s="78"/>
      <c r="AD1821" s="78"/>
      <c r="AE1821" s="100">
        <f t="shared" si="2857"/>
        <v>3.1862745098039214E-2</v>
      </c>
      <c r="AF1821" s="90"/>
      <c r="AG1821" s="109">
        <f t="shared" si="2858"/>
        <v>0</v>
      </c>
      <c r="AH1821" s="100">
        <f t="shared" si="2859"/>
        <v>3.1862745098039214E-2</v>
      </c>
      <c r="AI1821" s="100">
        <f t="shared" si="2860"/>
        <v>2.5735294117647058E-2</v>
      </c>
    </row>
    <row r="1822" spans="1:35" s="47" customFormat="1" ht="21" customHeight="1" x14ac:dyDescent="0.3">
      <c r="A1822" s="78"/>
      <c r="B1822" s="106" t="s">
        <v>51</v>
      </c>
      <c r="C1822" s="117" t="s">
        <v>211</v>
      </c>
      <c r="D1822" s="300"/>
      <c r="E1822" s="131" t="s">
        <v>222</v>
      </c>
      <c r="F1822" s="66">
        <v>1116</v>
      </c>
      <c r="G1822" s="66"/>
      <c r="H1822" s="66"/>
      <c r="I1822" s="66"/>
      <c r="J1822" s="66"/>
      <c r="K1822" s="78"/>
      <c r="L1822" s="66"/>
      <c r="M1822" s="66">
        <v>1202</v>
      </c>
      <c r="N1822" s="110">
        <f t="shared" si="2911"/>
        <v>86</v>
      </c>
      <c r="O1822" s="110"/>
      <c r="P1822" s="66"/>
      <c r="Q1822" s="66">
        <v>1202</v>
      </c>
      <c r="R1822" s="66"/>
      <c r="S1822" s="66">
        <v>1119</v>
      </c>
      <c r="T1822" s="110">
        <f t="shared" si="2912"/>
        <v>-83</v>
      </c>
      <c r="U1822" s="59">
        <f t="shared" si="2856"/>
        <v>1119</v>
      </c>
      <c r="V1822" s="66"/>
      <c r="W1822" s="66"/>
      <c r="X1822" s="110">
        <f t="shared" si="2913"/>
        <v>-1202</v>
      </c>
      <c r="Y1822" s="110"/>
      <c r="Z1822" s="110"/>
      <c r="AA1822" s="110"/>
      <c r="AB1822" s="46"/>
      <c r="AC1822" s="78"/>
      <c r="AD1822" s="78"/>
      <c r="AE1822" s="100">
        <f t="shared" si="2857"/>
        <v>7.7060931899641583E-2</v>
      </c>
      <c r="AF1822" s="90"/>
      <c r="AG1822" s="109">
        <f t="shared" si="2858"/>
        <v>0</v>
      </c>
      <c r="AH1822" s="100">
        <f t="shared" si="2859"/>
        <v>2.6881720430107529E-3</v>
      </c>
      <c r="AI1822" s="100">
        <f t="shared" si="2860"/>
        <v>-1</v>
      </c>
    </row>
    <row r="1823" spans="1:35" s="47" customFormat="1" ht="21" customHeight="1" x14ac:dyDescent="0.3">
      <c r="A1823" s="78"/>
      <c r="B1823" s="106" t="s">
        <v>51</v>
      </c>
      <c r="C1823" s="117" t="s">
        <v>211</v>
      </c>
      <c r="D1823" s="300"/>
      <c r="E1823" s="131" t="s">
        <v>223</v>
      </c>
      <c r="F1823" s="66">
        <v>936</v>
      </c>
      <c r="G1823" s="66"/>
      <c r="H1823" s="66"/>
      <c r="I1823" s="66"/>
      <c r="J1823" s="66"/>
      <c r="K1823" s="78"/>
      <c r="L1823" s="66"/>
      <c r="M1823" s="66">
        <f>889+90</f>
        <v>979</v>
      </c>
      <c r="N1823" s="110">
        <f t="shared" si="2911"/>
        <v>43</v>
      </c>
      <c r="O1823" s="110"/>
      <c r="P1823" s="66"/>
      <c r="Q1823" s="66">
        <f>889+90</f>
        <v>979</v>
      </c>
      <c r="R1823" s="66"/>
      <c r="S1823" s="66">
        <v>979</v>
      </c>
      <c r="T1823" s="110">
        <f t="shared" si="2912"/>
        <v>0</v>
      </c>
      <c r="U1823" s="59">
        <f>IF(Q1823&gt;0,S1823-W1823,M1823-W1823)</f>
        <v>10</v>
      </c>
      <c r="V1823" s="66"/>
      <c r="W1823" s="66">
        <f>853+116</f>
        <v>969</v>
      </c>
      <c r="X1823" s="110">
        <f t="shared" si="2913"/>
        <v>-10</v>
      </c>
      <c r="Y1823" s="110"/>
      <c r="Z1823" s="110"/>
      <c r="AA1823" s="110"/>
      <c r="AB1823" s="46"/>
      <c r="AC1823" s="78"/>
      <c r="AD1823" s="78"/>
      <c r="AE1823" s="100">
        <f t="shared" si="2857"/>
        <v>4.5940170940170943E-2</v>
      </c>
      <c r="AF1823" s="90"/>
      <c r="AG1823" s="109">
        <f t="shared" si="2858"/>
        <v>0</v>
      </c>
      <c r="AH1823" s="100">
        <f t="shared" si="2859"/>
        <v>4.5940170940170943E-2</v>
      </c>
      <c r="AI1823" s="100">
        <f t="shared" si="2860"/>
        <v>3.5256410256410256E-2</v>
      </c>
    </row>
    <row r="1824" spans="1:35" s="47" customFormat="1" ht="21" customHeight="1" x14ac:dyDescent="0.3">
      <c r="A1824" s="78"/>
      <c r="B1824" s="106" t="s">
        <v>51</v>
      </c>
      <c r="C1824" s="117" t="s">
        <v>211</v>
      </c>
      <c r="D1824" s="300"/>
      <c r="E1824" s="131" t="s">
        <v>224</v>
      </c>
      <c r="F1824" s="66">
        <v>864</v>
      </c>
      <c r="G1824" s="66"/>
      <c r="H1824" s="66"/>
      <c r="I1824" s="66"/>
      <c r="J1824" s="66"/>
      <c r="K1824" s="78"/>
      <c r="L1824" s="66"/>
      <c r="M1824" s="66">
        <f>422+500</f>
        <v>922</v>
      </c>
      <c r="N1824" s="110">
        <f t="shared" si="2911"/>
        <v>58</v>
      </c>
      <c r="O1824" s="110"/>
      <c r="P1824" s="66"/>
      <c r="Q1824" s="66">
        <v>895</v>
      </c>
      <c r="R1824" s="66"/>
      <c r="S1824" s="66">
        <f>860+35</f>
        <v>895</v>
      </c>
      <c r="T1824" s="110">
        <f t="shared" si="2912"/>
        <v>0</v>
      </c>
      <c r="U1824" s="59">
        <f t="shared" si="2856"/>
        <v>26</v>
      </c>
      <c r="V1824" s="66"/>
      <c r="W1824" s="66">
        <v>869</v>
      </c>
      <c r="X1824" s="110">
        <f t="shared" si="2913"/>
        <v>-53</v>
      </c>
      <c r="Y1824" s="110"/>
      <c r="Z1824" s="110"/>
      <c r="AA1824" s="110"/>
      <c r="AB1824" s="46"/>
      <c r="AC1824" s="78"/>
      <c r="AD1824" s="78"/>
      <c r="AE1824" s="100">
        <f t="shared" si="2857"/>
        <v>6.7129629629629636E-2</v>
      </c>
      <c r="AF1824" s="90"/>
      <c r="AG1824" s="109">
        <f t="shared" si="2858"/>
        <v>0</v>
      </c>
      <c r="AH1824" s="100">
        <f t="shared" si="2859"/>
        <v>3.5879629629629629E-2</v>
      </c>
      <c r="AI1824" s="100">
        <f t="shared" si="2860"/>
        <v>5.7870370370370367E-3</v>
      </c>
    </row>
    <row r="1825" spans="1:35" s="47" customFormat="1" ht="21" customHeight="1" x14ac:dyDescent="0.3">
      <c r="A1825" s="78"/>
      <c r="B1825" s="106" t="s">
        <v>51</v>
      </c>
      <c r="C1825" s="117" t="s">
        <v>211</v>
      </c>
      <c r="D1825" s="300"/>
      <c r="E1825" s="131" t="s">
        <v>181</v>
      </c>
      <c r="F1825" s="66">
        <v>816</v>
      </c>
      <c r="G1825" s="66"/>
      <c r="H1825" s="66"/>
      <c r="I1825" s="66"/>
      <c r="J1825" s="66"/>
      <c r="K1825" s="78"/>
      <c r="L1825" s="66"/>
      <c r="M1825" s="66">
        <v>911</v>
      </c>
      <c r="N1825" s="110">
        <f t="shared" si="2911"/>
        <v>95</v>
      </c>
      <c r="O1825" s="110"/>
      <c r="P1825" s="66"/>
      <c r="Q1825" s="66">
        <v>853</v>
      </c>
      <c r="R1825" s="66"/>
      <c r="S1825" s="66">
        <f>736+117</f>
        <v>853</v>
      </c>
      <c r="T1825" s="110">
        <f t="shared" si="2912"/>
        <v>0</v>
      </c>
      <c r="U1825" s="59">
        <f t="shared" si="2856"/>
        <v>7</v>
      </c>
      <c r="V1825" s="66"/>
      <c r="W1825" s="66">
        <v>846</v>
      </c>
      <c r="X1825" s="110">
        <f t="shared" si="2913"/>
        <v>-65</v>
      </c>
      <c r="Y1825" s="110"/>
      <c r="Z1825" s="110"/>
      <c r="AA1825" s="110"/>
      <c r="AB1825" s="46"/>
      <c r="AC1825" s="78"/>
      <c r="AD1825" s="78"/>
      <c r="AE1825" s="100">
        <f t="shared" si="2857"/>
        <v>0.11642156862745098</v>
      </c>
      <c r="AF1825" s="90"/>
      <c r="AG1825" s="109">
        <f t="shared" si="2858"/>
        <v>0</v>
      </c>
      <c r="AH1825" s="100">
        <f t="shared" si="2859"/>
        <v>4.5343137254901959E-2</v>
      </c>
      <c r="AI1825" s="100">
        <f t="shared" si="2860"/>
        <v>3.6764705882352942E-2</v>
      </c>
    </row>
    <row r="1826" spans="1:35" s="47" customFormat="1" ht="21" customHeight="1" x14ac:dyDescent="0.3">
      <c r="A1826" s="78"/>
      <c r="B1826" s="106" t="s">
        <v>51</v>
      </c>
      <c r="C1826" s="117" t="s">
        <v>211</v>
      </c>
      <c r="D1826" s="300"/>
      <c r="E1826" s="131" t="s">
        <v>135</v>
      </c>
      <c r="F1826" s="66">
        <v>1116</v>
      </c>
      <c r="G1826" s="66"/>
      <c r="H1826" s="66"/>
      <c r="I1826" s="66"/>
      <c r="J1826" s="66"/>
      <c r="K1826" s="78"/>
      <c r="L1826" s="66"/>
      <c r="M1826" s="66">
        <f>1162</f>
        <v>1162</v>
      </c>
      <c r="N1826" s="110">
        <f t="shared" si="2911"/>
        <v>46</v>
      </c>
      <c r="O1826" s="110"/>
      <c r="P1826" s="66"/>
      <c r="Q1826" s="66">
        <v>1156</v>
      </c>
      <c r="R1826" s="66"/>
      <c r="S1826" s="66">
        <v>1156</v>
      </c>
      <c r="T1826" s="110">
        <f t="shared" si="2912"/>
        <v>0</v>
      </c>
      <c r="U1826" s="59">
        <f t="shared" si="2856"/>
        <v>6</v>
      </c>
      <c r="V1826" s="66"/>
      <c r="W1826" s="66">
        <v>1150</v>
      </c>
      <c r="X1826" s="110">
        <f t="shared" si="2913"/>
        <v>-12</v>
      </c>
      <c r="Y1826" s="110"/>
      <c r="Z1826" s="110"/>
      <c r="AA1826" s="110"/>
      <c r="AB1826" s="46"/>
      <c r="AC1826" s="78"/>
      <c r="AD1826" s="78"/>
      <c r="AE1826" s="100">
        <f t="shared" si="2857"/>
        <v>4.1218637992831542E-2</v>
      </c>
      <c r="AF1826" s="90"/>
      <c r="AG1826" s="109">
        <f t="shared" si="2858"/>
        <v>0</v>
      </c>
      <c r="AH1826" s="100">
        <f t="shared" si="2859"/>
        <v>3.5842293906810034E-2</v>
      </c>
      <c r="AI1826" s="100">
        <f t="shared" si="2860"/>
        <v>3.046594982078853E-2</v>
      </c>
    </row>
    <row r="1827" spans="1:35" s="79" customFormat="1" ht="15.75" customHeight="1" x14ac:dyDescent="0.3">
      <c r="A1827" s="90" t="s">
        <v>46</v>
      </c>
      <c r="B1827" s="136" t="s">
        <v>51</v>
      </c>
      <c r="C1827" s="137"/>
      <c r="D1827" s="136"/>
      <c r="E1827" s="138"/>
      <c r="F1827" s="91">
        <f>SUM(F1812:F1826)</f>
        <v>14412</v>
      </c>
      <c r="G1827" s="91"/>
      <c r="H1827" s="91"/>
      <c r="I1827" s="91"/>
      <c r="J1827" s="91" t="s">
        <v>59</v>
      </c>
      <c r="K1827" s="65" t="s">
        <v>208</v>
      </c>
      <c r="L1827" s="91">
        <f>SUM(L1812:L1826)</f>
        <v>0</v>
      </c>
      <c r="M1827" s="91">
        <f>SUM(M1812:M1826)</f>
        <v>15088</v>
      </c>
      <c r="N1827" s="91">
        <f>SUM(N1812:N1826)</f>
        <v>676</v>
      </c>
      <c r="O1827" s="91" t="s">
        <v>140</v>
      </c>
      <c r="P1827" s="91">
        <f>SUM(P1812:P1826)</f>
        <v>0</v>
      </c>
      <c r="Q1827" s="91">
        <f>SUM(Q1812:Q1826)</f>
        <v>14997</v>
      </c>
      <c r="R1827" s="91">
        <f>SUM(R1812:R1826)</f>
        <v>0</v>
      </c>
      <c r="S1827" s="91">
        <f>SUM(S1812:S1826)</f>
        <v>14884</v>
      </c>
      <c r="T1827" s="91">
        <f>SUM(T1812:T1826)</f>
        <v>-113</v>
      </c>
      <c r="U1827" s="59">
        <f t="shared" si="2856"/>
        <v>2793</v>
      </c>
      <c r="V1827" s="91">
        <f>SUM(V1812:V1826)</f>
        <v>0</v>
      </c>
      <c r="W1827" s="91">
        <f>SUM(W1812:W1826)</f>
        <v>12091</v>
      </c>
      <c r="X1827" s="91">
        <f>SUM(X1812:X1826)</f>
        <v>-2997</v>
      </c>
      <c r="Y1827" s="136" t="s">
        <v>57</v>
      </c>
      <c r="Z1827" s="136" t="s">
        <v>45</v>
      </c>
      <c r="AA1827" s="136"/>
      <c r="AB1827" s="84"/>
      <c r="AC1827" s="90"/>
      <c r="AD1827" s="90"/>
      <c r="AE1827" s="100">
        <f t="shared" si="2857"/>
        <v>4.6905356647238411E-2</v>
      </c>
      <c r="AF1827" s="90"/>
      <c r="AG1827" s="109">
        <f t="shared" si="2858"/>
        <v>0</v>
      </c>
      <c r="AH1827" s="100">
        <f t="shared" si="2859"/>
        <v>3.2750485706355817E-2</v>
      </c>
      <c r="AI1827" s="100">
        <f t="shared" si="2860"/>
        <v>-0.16104635026366917</v>
      </c>
    </row>
    <row r="1828" spans="1:35" s="47" customFormat="1" ht="21" customHeight="1" x14ac:dyDescent="0.3">
      <c r="A1828" s="78"/>
      <c r="B1828" s="106" t="s">
        <v>51</v>
      </c>
      <c r="C1828" s="117" t="s">
        <v>435</v>
      </c>
      <c r="D1828" s="299">
        <v>15318144</v>
      </c>
      <c r="E1828" s="131" t="s">
        <v>437</v>
      </c>
      <c r="F1828" s="66">
        <v>936</v>
      </c>
      <c r="G1828" s="66"/>
      <c r="H1828" s="66"/>
      <c r="I1828" s="66"/>
      <c r="J1828" s="66"/>
      <c r="K1828" s="78"/>
      <c r="L1828" s="66"/>
      <c r="M1828" s="66">
        <v>972</v>
      </c>
      <c r="N1828" s="110">
        <f t="shared" ref="N1828:N1832" si="2914">M1828-F1828</f>
        <v>36</v>
      </c>
      <c r="O1828" s="110"/>
      <c r="P1828" s="66"/>
      <c r="Q1828" s="66">
        <f>740+232</f>
        <v>972</v>
      </c>
      <c r="R1828" s="66"/>
      <c r="S1828" s="66"/>
      <c r="T1828" s="110">
        <f>S1828-Q1828</f>
        <v>-972</v>
      </c>
      <c r="U1828" s="59">
        <f t="shared" si="2686"/>
        <v>0</v>
      </c>
      <c r="V1828" s="66"/>
      <c r="W1828" s="66"/>
      <c r="X1828" s="110">
        <f>W1828-M1828</f>
        <v>-972</v>
      </c>
      <c r="Y1828" s="110"/>
      <c r="Z1828" s="110"/>
      <c r="AA1828" s="110"/>
      <c r="AB1828" s="46"/>
      <c r="AC1828" s="78"/>
      <c r="AD1828" s="78"/>
      <c r="AE1828" s="100">
        <f t="shared" si="2687"/>
        <v>3.8461538461538464E-2</v>
      </c>
      <c r="AF1828" s="90"/>
      <c r="AG1828" s="109">
        <f t="shared" si="2688"/>
        <v>0</v>
      </c>
      <c r="AH1828" s="100">
        <f t="shared" si="2689"/>
        <v>-1</v>
      </c>
      <c r="AI1828" s="100">
        <f t="shared" si="2690"/>
        <v>-1</v>
      </c>
    </row>
    <row r="1829" spans="1:35" s="47" customFormat="1" ht="21" customHeight="1" x14ac:dyDescent="0.3">
      <c r="A1829" s="78"/>
      <c r="B1829" s="106" t="s">
        <v>51</v>
      </c>
      <c r="C1829" s="117" t="s">
        <v>435</v>
      </c>
      <c r="D1829" s="300"/>
      <c r="E1829" s="131" t="s">
        <v>438</v>
      </c>
      <c r="F1829" s="66">
        <v>936</v>
      </c>
      <c r="G1829" s="66"/>
      <c r="H1829" s="66"/>
      <c r="I1829" s="66"/>
      <c r="J1829" s="66"/>
      <c r="K1829" s="78"/>
      <c r="L1829" s="66"/>
      <c r="M1829" s="66">
        <v>970</v>
      </c>
      <c r="N1829" s="110">
        <f t="shared" si="2914"/>
        <v>34</v>
      </c>
      <c r="O1829" s="110"/>
      <c r="P1829" s="66"/>
      <c r="Q1829" s="66">
        <v>970</v>
      </c>
      <c r="R1829" s="66"/>
      <c r="S1829" s="66">
        <v>970</v>
      </c>
      <c r="T1829" s="110">
        <f t="shared" ref="T1829:T1836" si="2915">S1829-Q1829</f>
        <v>0</v>
      </c>
      <c r="U1829" s="59">
        <f t="shared" si="2686"/>
        <v>0</v>
      </c>
      <c r="V1829" s="66"/>
      <c r="W1829" s="66">
        <v>970</v>
      </c>
      <c r="X1829" s="110">
        <f t="shared" ref="X1829:X1836" si="2916">W1829-M1829</f>
        <v>0</v>
      </c>
      <c r="Y1829" s="110"/>
      <c r="Z1829" s="110"/>
      <c r="AA1829" s="110"/>
      <c r="AB1829" s="46"/>
      <c r="AC1829" s="78"/>
      <c r="AD1829" s="78"/>
      <c r="AE1829" s="100">
        <f t="shared" si="2687"/>
        <v>3.6324786324786328E-2</v>
      </c>
      <c r="AF1829" s="90"/>
      <c r="AG1829" s="109">
        <f t="shared" si="2688"/>
        <v>0</v>
      </c>
      <c r="AH1829" s="100">
        <f t="shared" si="2689"/>
        <v>3.6324786324786328E-2</v>
      </c>
      <c r="AI1829" s="100">
        <f t="shared" si="2690"/>
        <v>3.6324786324786328E-2</v>
      </c>
    </row>
    <row r="1830" spans="1:35" s="47" customFormat="1" ht="21" customHeight="1" x14ac:dyDescent="0.3">
      <c r="A1830" s="78"/>
      <c r="B1830" s="106" t="s">
        <v>51</v>
      </c>
      <c r="C1830" s="117" t="s">
        <v>435</v>
      </c>
      <c r="D1830" s="300"/>
      <c r="E1830" s="131" t="s">
        <v>439</v>
      </c>
      <c r="F1830" s="66">
        <v>936</v>
      </c>
      <c r="G1830" s="66"/>
      <c r="H1830" s="66"/>
      <c r="I1830" s="66"/>
      <c r="J1830" s="66"/>
      <c r="K1830" s="78"/>
      <c r="L1830" s="66"/>
      <c r="M1830" s="66">
        <f>964</f>
        <v>964</v>
      </c>
      <c r="N1830" s="110">
        <f t="shared" si="2914"/>
        <v>28</v>
      </c>
      <c r="O1830" s="110"/>
      <c r="P1830" s="66"/>
      <c r="Q1830" s="66">
        <v>964</v>
      </c>
      <c r="R1830" s="66"/>
      <c r="S1830" s="66">
        <v>962</v>
      </c>
      <c r="T1830" s="110">
        <f t="shared" si="2915"/>
        <v>-2</v>
      </c>
      <c r="U1830" s="59">
        <f t="shared" si="2686"/>
        <v>0</v>
      </c>
      <c r="V1830" s="66"/>
      <c r="W1830" s="66">
        <v>962</v>
      </c>
      <c r="X1830" s="110">
        <f t="shared" si="2916"/>
        <v>-2</v>
      </c>
      <c r="Y1830" s="110"/>
      <c r="Z1830" s="110"/>
      <c r="AA1830" s="110"/>
      <c r="AB1830" s="46"/>
      <c r="AC1830" s="78"/>
      <c r="AD1830" s="78"/>
      <c r="AE1830" s="100">
        <f t="shared" si="2687"/>
        <v>2.9914529914529916E-2</v>
      </c>
      <c r="AF1830" s="90"/>
      <c r="AG1830" s="109">
        <f t="shared" si="2688"/>
        <v>0</v>
      </c>
      <c r="AH1830" s="100">
        <f t="shared" si="2689"/>
        <v>2.7777777777777776E-2</v>
      </c>
      <c r="AI1830" s="100">
        <f t="shared" si="2690"/>
        <v>2.7777777777777776E-2</v>
      </c>
    </row>
    <row r="1831" spans="1:35" s="47" customFormat="1" ht="21" customHeight="1" x14ac:dyDescent="0.3">
      <c r="A1831" s="78"/>
      <c r="B1831" s="106" t="s">
        <v>51</v>
      </c>
      <c r="C1831" s="117" t="s">
        <v>435</v>
      </c>
      <c r="D1831" s="300"/>
      <c r="E1831" s="131" t="s">
        <v>440</v>
      </c>
      <c r="F1831" s="66">
        <v>816</v>
      </c>
      <c r="G1831" s="66"/>
      <c r="H1831" s="66"/>
      <c r="I1831" s="66"/>
      <c r="J1831" s="66"/>
      <c r="K1831" s="78"/>
      <c r="L1831" s="66"/>
      <c r="M1831" s="66">
        <v>840</v>
      </c>
      <c r="N1831" s="110">
        <f t="shared" si="2914"/>
        <v>24</v>
      </c>
      <c r="O1831" s="110"/>
      <c r="P1831" s="66"/>
      <c r="Q1831" s="66">
        <v>840</v>
      </c>
      <c r="R1831" s="66"/>
      <c r="S1831" s="66"/>
      <c r="T1831" s="110">
        <f t="shared" si="2915"/>
        <v>-840</v>
      </c>
      <c r="U1831" s="59">
        <f t="shared" si="2686"/>
        <v>0</v>
      </c>
      <c r="V1831" s="66"/>
      <c r="W1831" s="66"/>
      <c r="X1831" s="110">
        <f t="shared" si="2916"/>
        <v>-840</v>
      </c>
      <c r="Y1831" s="110"/>
      <c r="Z1831" s="110"/>
      <c r="AA1831" s="110"/>
      <c r="AB1831" s="46"/>
      <c r="AC1831" s="78"/>
      <c r="AD1831" s="78"/>
      <c r="AE1831" s="100">
        <f t="shared" si="2687"/>
        <v>2.9411764705882353E-2</v>
      </c>
      <c r="AF1831" s="90"/>
      <c r="AG1831" s="109">
        <f t="shared" si="2688"/>
        <v>0</v>
      </c>
      <c r="AH1831" s="100">
        <f t="shared" si="2689"/>
        <v>-1</v>
      </c>
      <c r="AI1831" s="100">
        <f t="shared" si="2690"/>
        <v>-1</v>
      </c>
    </row>
    <row r="1832" spans="1:35" s="47" customFormat="1" ht="21" customHeight="1" x14ac:dyDescent="0.3">
      <c r="A1832" s="78"/>
      <c r="B1832" s="106" t="s">
        <v>51</v>
      </c>
      <c r="C1832" s="117" t="s">
        <v>435</v>
      </c>
      <c r="D1832" s="300"/>
      <c r="E1832" s="131" t="s">
        <v>441</v>
      </c>
      <c r="F1832" s="66">
        <v>816</v>
      </c>
      <c r="G1832" s="66"/>
      <c r="H1832" s="66"/>
      <c r="I1832" s="66"/>
      <c r="J1832" s="66"/>
      <c r="K1832" s="78"/>
      <c r="L1832" s="66"/>
      <c r="M1832" s="66">
        <f>540+300</f>
        <v>840</v>
      </c>
      <c r="N1832" s="110">
        <f t="shared" si="2914"/>
        <v>24</v>
      </c>
      <c r="O1832" s="110"/>
      <c r="P1832" s="66"/>
      <c r="Q1832" s="66">
        <f>540+300</f>
        <v>840</v>
      </c>
      <c r="R1832" s="66"/>
      <c r="S1832" s="66"/>
      <c r="T1832" s="110">
        <f t="shared" si="2915"/>
        <v>-840</v>
      </c>
      <c r="U1832" s="59">
        <f t="shared" si="2686"/>
        <v>0</v>
      </c>
      <c r="V1832" s="66"/>
      <c r="W1832" s="66"/>
      <c r="X1832" s="110">
        <f t="shared" si="2916"/>
        <v>-840</v>
      </c>
      <c r="Y1832" s="110"/>
      <c r="Z1832" s="110"/>
      <c r="AA1832" s="110"/>
      <c r="AB1832" s="46"/>
      <c r="AC1832" s="78"/>
      <c r="AD1832" s="78"/>
      <c r="AE1832" s="100">
        <f t="shared" si="2687"/>
        <v>2.9411764705882353E-2</v>
      </c>
      <c r="AF1832" s="90"/>
      <c r="AG1832" s="109">
        <f t="shared" si="2688"/>
        <v>0</v>
      </c>
      <c r="AH1832" s="100">
        <f t="shared" si="2689"/>
        <v>-1</v>
      </c>
      <c r="AI1832" s="100">
        <f t="shared" si="2690"/>
        <v>-1</v>
      </c>
    </row>
    <row r="1833" spans="1:35" s="47" customFormat="1" ht="21" customHeight="1" x14ac:dyDescent="0.3">
      <c r="A1833" s="78"/>
      <c r="B1833" s="106" t="s">
        <v>51</v>
      </c>
      <c r="C1833" s="117" t="s">
        <v>435</v>
      </c>
      <c r="D1833" s="300"/>
      <c r="E1833" s="131" t="s">
        <v>442</v>
      </c>
      <c r="F1833" s="66">
        <v>816</v>
      </c>
      <c r="G1833" s="66"/>
      <c r="H1833" s="66"/>
      <c r="I1833" s="66"/>
      <c r="J1833" s="66"/>
      <c r="K1833" s="78"/>
      <c r="L1833" s="66"/>
      <c r="M1833" s="66">
        <v>852</v>
      </c>
      <c r="N1833" s="110">
        <f t="shared" ref="N1833:N1836" si="2917">M1833-F1833</f>
        <v>36</v>
      </c>
      <c r="O1833" s="110"/>
      <c r="P1833" s="66"/>
      <c r="Q1833" s="66">
        <v>852</v>
      </c>
      <c r="R1833" s="66"/>
      <c r="S1833" s="66"/>
      <c r="T1833" s="110">
        <f t="shared" si="2915"/>
        <v>-852</v>
      </c>
      <c r="U1833" s="59">
        <f t="shared" ref="U1833:U1836" si="2918">IF(Q1833&gt;0,S1833-W1833,M1833-W1833)</f>
        <v>0</v>
      </c>
      <c r="V1833" s="66"/>
      <c r="W1833" s="66"/>
      <c r="X1833" s="110">
        <f t="shared" si="2916"/>
        <v>-852</v>
      </c>
      <c r="Y1833" s="110"/>
      <c r="Z1833" s="110"/>
      <c r="AA1833" s="110"/>
      <c r="AB1833" s="46"/>
      <c r="AC1833" s="78"/>
      <c r="AD1833" s="78"/>
      <c r="AE1833" s="100">
        <f t="shared" ref="AE1833:AE1836" si="2919">N1833/F1833</f>
        <v>4.4117647058823532E-2</v>
      </c>
      <c r="AF1833" s="90"/>
      <c r="AG1833" s="109">
        <f t="shared" ref="AG1833:AG1836" si="2920">IF(N1833&lt;0,N1833,0)</f>
        <v>0</v>
      </c>
      <c r="AH1833" s="100">
        <f t="shared" ref="AH1833:AH1836" si="2921">(S1833-F1833)/F1833</f>
        <v>-1</v>
      </c>
      <c r="AI1833" s="100">
        <f t="shared" ref="AI1833:AI1836" si="2922">(W1833-F1833)/F1833</f>
        <v>-1</v>
      </c>
    </row>
    <row r="1834" spans="1:35" s="47" customFormat="1" ht="21" customHeight="1" x14ac:dyDescent="0.3">
      <c r="A1834" s="78"/>
      <c r="B1834" s="106" t="s">
        <v>51</v>
      </c>
      <c r="C1834" s="117" t="s">
        <v>435</v>
      </c>
      <c r="D1834" s="300"/>
      <c r="E1834" s="131" t="s">
        <v>443</v>
      </c>
      <c r="F1834" s="66">
        <v>936</v>
      </c>
      <c r="G1834" s="66"/>
      <c r="H1834" s="66"/>
      <c r="I1834" s="66"/>
      <c r="J1834" s="66"/>
      <c r="K1834" s="78"/>
      <c r="L1834" s="66"/>
      <c r="M1834" s="66">
        <f>964</f>
        <v>964</v>
      </c>
      <c r="N1834" s="110">
        <f t="shared" si="2917"/>
        <v>28</v>
      </c>
      <c r="O1834" s="110"/>
      <c r="P1834" s="66"/>
      <c r="Q1834" s="66">
        <v>964</v>
      </c>
      <c r="R1834" s="66"/>
      <c r="S1834" s="66"/>
      <c r="T1834" s="110">
        <f t="shared" si="2915"/>
        <v>-964</v>
      </c>
      <c r="U1834" s="59">
        <f t="shared" si="2918"/>
        <v>0</v>
      </c>
      <c r="V1834" s="66"/>
      <c r="W1834" s="66"/>
      <c r="X1834" s="110">
        <f t="shared" si="2916"/>
        <v>-964</v>
      </c>
      <c r="Y1834" s="110"/>
      <c r="Z1834" s="110"/>
      <c r="AA1834" s="110"/>
      <c r="AB1834" s="46"/>
      <c r="AC1834" s="78"/>
      <c r="AD1834" s="78"/>
      <c r="AE1834" s="100">
        <f t="shared" si="2919"/>
        <v>2.9914529914529916E-2</v>
      </c>
      <c r="AF1834" s="90"/>
      <c r="AG1834" s="109">
        <f t="shared" si="2920"/>
        <v>0</v>
      </c>
      <c r="AH1834" s="100">
        <f t="shared" si="2921"/>
        <v>-1</v>
      </c>
      <c r="AI1834" s="100">
        <f t="shared" si="2922"/>
        <v>-1</v>
      </c>
    </row>
    <row r="1835" spans="1:35" s="47" customFormat="1" ht="21" customHeight="1" x14ac:dyDescent="0.3">
      <c r="A1835" s="78"/>
      <c r="B1835" s="106" t="s">
        <v>51</v>
      </c>
      <c r="C1835" s="117" t="s">
        <v>435</v>
      </c>
      <c r="D1835" s="300"/>
      <c r="E1835" s="131" t="s">
        <v>444</v>
      </c>
      <c r="F1835" s="66">
        <v>1500</v>
      </c>
      <c r="G1835" s="66"/>
      <c r="H1835" s="66"/>
      <c r="I1835" s="66"/>
      <c r="J1835" s="66"/>
      <c r="K1835" s="78"/>
      <c r="L1835" s="66"/>
      <c r="M1835" s="66">
        <v>1530</v>
      </c>
      <c r="N1835" s="110">
        <f t="shared" si="2917"/>
        <v>30</v>
      </c>
      <c r="O1835" s="110"/>
      <c r="P1835" s="66"/>
      <c r="Q1835" s="66">
        <f>1530</f>
        <v>1530</v>
      </c>
      <c r="R1835" s="66"/>
      <c r="S1835" s="66">
        <v>1523</v>
      </c>
      <c r="T1835" s="110">
        <f t="shared" si="2915"/>
        <v>-7</v>
      </c>
      <c r="U1835" s="59">
        <f t="shared" si="2918"/>
        <v>5</v>
      </c>
      <c r="V1835" s="66"/>
      <c r="W1835" s="66">
        <v>1518</v>
      </c>
      <c r="X1835" s="110">
        <f t="shared" si="2916"/>
        <v>-12</v>
      </c>
      <c r="Y1835" s="110"/>
      <c r="Z1835" s="110"/>
      <c r="AA1835" s="110"/>
      <c r="AB1835" s="46"/>
      <c r="AC1835" s="78"/>
      <c r="AD1835" s="78"/>
      <c r="AE1835" s="100">
        <f t="shared" si="2919"/>
        <v>0.02</v>
      </c>
      <c r="AF1835" s="90"/>
      <c r="AG1835" s="109">
        <f t="shared" si="2920"/>
        <v>0</v>
      </c>
      <c r="AH1835" s="100">
        <f t="shared" si="2921"/>
        <v>1.5333333333333332E-2</v>
      </c>
      <c r="AI1835" s="100">
        <f t="shared" si="2922"/>
        <v>1.2E-2</v>
      </c>
    </row>
    <row r="1836" spans="1:35" s="47" customFormat="1" ht="21" customHeight="1" x14ac:dyDescent="0.3">
      <c r="A1836" s="78"/>
      <c r="B1836" s="106" t="s">
        <v>51</v>
      </c>
      <c r="C1836" s="117" t="s">
        <v>435</v>
      </c>
      <c r="D1836" s="300"/>
      <c r="E1836" s="131" t="s">
        <v>212</v>
      </c>
      <c r="F1836" s="66">
        <v>1500</v>
      </c>
      <c r="G1836" s="66"/>
      <c r="H1836" s="66"/>
      <c r="I1836" s="66"/>
      <c r="J1836" s="66"/>
      <c r="K1836" s="78"/>
      <c r="L1836" s="66"/>
      <c r="M1836" s="66">
        <f>1160+300+100</f>
        <v>1560</v>
      </c>
      <c r="N1836" s="110">
        <f t="shared" si="2917"/>
        <v>60</v>
      </c>
      <c r="O1836" s="110"/>
      <c r="P1836" s="66"/>
      <c r="Q1836" s="66">
        <f>1460+100</f>
        <v>1560</v>
      </c>
      <c r="R1836" s="66"/>
      <c r="S1836" s="66">
        <v>1460</v>
      </c>
      <c r="T1836" s="110">
        <f t="shared" si="2915"/>
        <v>-100</v>
      </c>
      <c r="U1836" s="59">
        <f t="shared" si="2918"/>
        <v>3</v>
      </c>
      <c r="V1836" s="66"/>
      <c r="W1836" s="66">
        <v>1457</v>
      </c>
      <c r="X1836" s="110">
        <f t="shared" si="2916"/>
        <v>-103</v>
      </c>
      <c r="Y1836" s="110"/>
      <c r="Z1836" s="110"/>
      <c r="AA1836" s="110"/>
      <c r="AB1836" s="46"/>
      <c r="AC1836" s="78"/>
      <c r="AD1836" s="78"/>
      <c r="AE1836" s="100">
        <f t="shared" si="2919"/>
        <v>0.04</v>
      </c>
      <c r="AF1836" s="90"/>
      <c r="AG1836" s="109">
        <f t="shared" si="2920"/>
        <v>0</v>
      </c>
      <c r="AH1836" s="100">
        <f t="shared" si="2921"/>
        <v>-2.6666666666666668E-2</v>
      </c>
      <c r="AI1836" s="100">
        <f t="shared" si="2922"/>
        <v>-2.8666666666666667E-2</v>
      </c>
    </row>
    <row r="1837" spans="1:35" s="47" customFormat="1" ht="21" customHeight="1" x14ac:dyDescent="0.3">
      <c r="A1837" s="78"/>
      <c r="B1837" s="106" t="s">
        <v>51</v>
      </c>
      <c r="C1837" s="117" t="s">
        <v>435</v>
      </c>
      <c r="D1837" s="300"/>
      <c r="E1837" s="131" t="s">
        <v>135</v>
      </c>
      <c r="F1837" s="66">
        <v>1605</v>
      </c>
      <c r="G1837" s="66"/>
      <c r="H1837" s="66"/>
      <c r="I1837" s="66"/>
      <c r="J1837" s="66"/>
      <c r="K1837" s="78"/>
      <c r="L1837" s="66"/>
      <c r="M1837" s="66">
        <v>1660</v>
      </c>
      <c r="N1837" s="110">
        <f t="shared" ref="N1837:N1839" si="2923">M1837-F1837</f>
        <v>55</v>
      </c>
      <c r="O1837" s="110"/>
      <c r="P1837" s="66"/>
      <c r="Q1837" s="66">
        <f>1660</f>
        <v>1660</v>
      </c>
      <c r="R1837" s="66"/>
      <c r="S1837" s="66"/>
      <c r="T1837" s="110">
        <f t="shared" ref="T1837:T1839" si="2924">S1837-Q1837</f>
        <v>-1660</v>
      </c>
      <c r="U1837" s="59">
        <f t="shared" ref="U1837:U1839" si="2925">IF(Q1837&gt;0,S1837-W1837,M1837-W1837)</f>
        <v>0</v>
      </c>
      <c r="V1837" s="66"/>
      <c r="W1837" s="66"/>
      <c r="X1837" s="110">
        <f t="shared" ref="X1837:X1839" si="2926">W1837-M1837</f>
        <v>-1660</v>
      </c>
      <c r="Y1837" s="110"/>
      <c r="Z1837" s="110"/>
      <c r="AA1837" s="110"/>
      <c r="AB1837" s="46"/>
      <c r="AC1837" s="78"/>
      <c r="AD1837" s="78"/>
      <c r="AE1837" s="100">
        <f t="shared" ref="AE1837:AE1839" si="2927">N1837/F1837</f>
        <v>3.4267912772585667E-2</v>
      </c>
      <c r="AF1837" s="90"/>
      <c r="AG1837" s="109">
        <f t="shared" ref="AG1837:AG1839" si="2928">IF(N1837&lt;0,N1837,0)</f>
        <v>0</v>
      </c>
      <c r="AH1837" s="100">
        <f t="shared" ref="AH1837:AH1839" si="2929">(S1837-F1837)/F1837</f>
        <v>-1</v>
      </c>
      <c r="AI1837" s="100">
        <f t="shared" ref="AI1837:AI1839" si="2930">(W1837-F1837)/F1837</f>
        <v>-1</v>
      </c>
    </row>
    <row r="1838" spans="1:35" s="47" customFormat="1" ht="21" customHeight="1" x14ac:dyDescent="0.3">
      <c r="A1838" s="78"/>
      <c r="B1838" s="106" t="s">
        <v>51</v>
      </c>
      <c r="C1838" s="117" t="s">
        <v>435</v>
      </c>
      <c r="D1838" s="300"/>
      <c r="E1838" s="131" t="s">
        <v>224</v>
      </c>
      <c r="F1838" s="66">
        <v>900</v>
      </c>
      <c r="G1838" s="66"/>
      <c r="H1838" s="66"/>
      <c r="I1838" s="66"/>
      <c r="J1838" s="66"/>
      <c r="K1838" s="78"/>
      <c r="L1838" s="66"/>
      <c r="M1838" s="66">
        <v>940</v>
      </c>
      <c r="N1838" s="110">
        <f t="shared" si="2923"/>
        <v>40</v>
      </c>
      <c r="O1838" s="110"/>
      <c r="P1838" s="66"/>
      <c r="Q1838" s="66">
        <f>807+121+5</f>
        <v>933</v>
      </c>
      <c r="R1838" s="66"/>
      <c r="S1838" s="66">
        <v>933</v>
      </c>
      <c r="T1838" s="110">
        <f t="shared" si="2924"/>
        <v>0</v>
      </c>
      <c r="U1838" s="59">
        <f t="shared" si="2925"/>
        <v>5</v>
      </c>
      <c r="V1838" s="66"/>
      <c r="W1838" s="66">
        <f>928</f>
        <v>928</v>
      </c>
      <c r="X1838" s="110">
        <f t="shared" si="2926"/>
        <v>-12</v>
      </c>
      <c r="Y1838" s="110"/>
      <c r="Z1838" s="110"/>
      <c r="AA1838" s="110"/>
      <c r="AB1838" s="46"/>
      <c r="AC1838" s="78"/>
      <c r="AD1838" s="78"/>
      <c r="AE1838" s="100">
        <f t="shared" si="2927"/>
        <v>4.4444444444444446E-2</v>
      </c>
      <c r="AF1838" s="90"/>
      <c r="AG1838" s="109">
        <f t="shared" si="2928"/>
        <v>0</v>
      </c>
      <c r="AH1838" s="100">
        <f t="shared" si="2929"/>
        <v>3.6666666666666667E-2</v>
      </c>
      <c r="AI1838" s="100">
        <f t="shared" si="2930"/>
        <v>3.111111111111111E-2</v>
      </c>
    </row>
    <row r="1839" spans="1:35" s="47" customFormat="1" ht="21" customHeight="1" x14ac:dyDescent="0.3">
      <c r="A1839" s="78"/>
      <c r="B1839" s="106" t="s">
        <v>51</v>
      </c>
      <c r="C1839" s="117" t="s">
        <v>435</v>
      </c>
      <c r="D1839" s="300"/>
      <c r="E1839" s="131" t="s">
        <v>445</v>
      </c>
      <c r="F1839" s="66">
        <v>900</v>
      </c>
      <c r="G1839" s="66"/>
      <c r="H1839" s="66"/>
      <c r="I1839" s="66"/>
      <c r="J1839" s="66"/>
      <c r="K1839" s="78"/>
      <c r="L1839" s="66"/>
      <c r="M1839" s="66">
        <f>434+496</f>
        <v>930</v>
      </c>
      <c r="N1839" s="110">
        <f t="shared" si="2923"/>
        <v>30</v>
      </c>
      <c r="O1839" s="110"/>
      <c r="P1839" s="66"/>
      <c r="Q1839" s="66"/>
      <c r="R1839" s="66"/>
      <c r="S1839" s="66"/>
      <c r="T1839" s="110">
        <f t="shared" si="2924"/>
        <v>0</v>
      </c>
      <c r="U1839" s="59">
        <f t="shared" si="2925"/>
        <v>930</v>
      </c>
      <c r="V1839" s="66"/>
      <c r="W1839" s="66"/>
      <c r="X1839" s="110">
        <f t="shared" si="2926"/>
        <v>-930</v>
      </c>
      <c r="Y1839" s="110"/>
      <c r="Z1839" s="110"/>
      <c r="AA1839" s="110"/>
      <c r="AB1839" s="46"/>
      <c r="AC1839" s="78"/>
      <c r="AD1839" s="78"/>
      <c r="AE1839" s="100">
        <f t="shared" si="2927"/>
        <v>3.3333333333333333E-2</v>
      </c>
      <c r="AF1839" s="90"/>
      <c r="AG1839" s="109">
        <f t="shared" si="2928"/>
        <v>0</v>
      </c>
      <c r="AH1839" s="100">
        <f t="shared" si="2929"/>
        <v>-1</v>
      </c>
      <c r="AI1839" s="100">
        <f t="shared" si="2930"/>
        <v>-1</v>
      </c>
    </row>
    <row r="1840" spans="1:35" s="79" customFormat="1" ht="15.75" customHeight="1" x14ac:dyDescent="0.3">
      <c r="A1840" s="90" t="s">
        <v>46</v>
      </c>
      <c r="B1840" s="136" t="s">
        <v>51</v>
      </c>
      <c r="C1840" s="137"/>
      <c r="D1840" s="136"/>
      <c r="E1840" s="138"/>
      <c r="F1840" s="91">
        <f>SUM(F1828:F1839)</f>
        <v>12597</v>
      </c>
      <c r="G1840" s="91"/>
      <c r="H1840" s="91"/>
      <c r="I1840" s="91"/>
      <c r="J1840" s="91" t="s">
        <v>59</v>
      </c>
      <c r="K1840" s="65" t="s">
        <v>436</v>
      </c>
      <c r="L1840" s="91">
        <f>SUM(L1828:L1839)</f>
        <v>0</v>
      </c>
      <c r="M1840" s="91">
        <f>SUM(M1828:M1839)</f>
        <v>13022</v>
      </c>
      <c r="N1840" s="91">
        <f>SUM(N1828:N1839)</f>
        <v>425</v>
      </c>
      <c r="O1840" s="91" t="s">
        <v>232</v>
      </c>
      <c r="P1840" s="91">
        <f>SUM(P1828:P1839)</f>
        <v>0</v>
      </c>
      <c r="Q1840" s="91">
        <f>SUM(Q1828:Q1839)</f>
        <v>12085</v>
      </c>
      <c r="R1840" s="91">
        <f>SUM(R1828:R1839)</f>
        <v>0</v>
      </c>
      <c r="S1840" s="91">
        <f>SUM(S1828:S1839)</f>
        <v>5848</v>
      </c>
      <c r="T1840" s="91">
        <f>SUM(T1828:T1839)</f>
        <v>-6237</v>
      </c>
      <c r="U1840" s="59">
        <f t="shared" si="2686"/>
        <v>13</v>
      </c>
      <c r="V1840" s="91">
        <f>SUM(V1828:V1839)</f>
        <v>0</v>
      </c>
      <c r="W1840" s="91">
        <f>SUM(W1828:W1839)</f>
        <v>5835</v>
      </c>
      <c r="X1840" s="91">
        <f>SUM(X1828:X1839)</f>
        <v>-7187</v>
      </c>
      <c r="Y1840" s="136" t="s">
        <v>57</v>
      </c>
      <c r="Z1840" s="136" t="s">
        <v>45</v>
      </c>
      <c r="AA1840" s="136"/>
      <c r="AB1840" s="84"/>
      <c r="AC1840" s="90"/>
      <c r="AD1840" s="90"/>
      <c r="AE1840" s="100">
        <f t="shared" si="2687"/>
        <v>3.3738191632928474E-2</v>
      </c>
      <c r="AF1840" s="90"/>
      <c r="AG1840" s="109">
        <f t="shared" si="2688"/>
        <v>0</v>
      </c>
      <c r="AH1840" s="100">
        <f t="shared" si="2689"/>
        <v>-0.53576248313090413</v>
      </c>
      <c r="AI1840" s="100">
        <f t="shared" si="2690"/>
        <v>-0.53679447487497023</v>
      </c>
    </row>
    <row r="1841" spans="1:35" s="47" customFormat="1" ht="21" customHeight="1" x14ac:dyDescent="0.3">
      <c r="A1841" s="78"/>
      <c r="B1841" s="106" t="s">
        <v>51</v>
      </c>
      <c r="C1841" s="117" t="s">
        <v>209</v>
      </c>
      <c r="D1841" s="299">
        <v>15366301</v>
      </c>
      <c r="E1841" s="131" t="s">
        <v>0</v>
      </c>
      <c r="F1841" s="66">
        <v>1380</v>
      </c>
      <c r="G1841" s="66"/>
      <c r="H1841" s="66"/>
      <c r="I1841" s="66"/>
      <c r="J1841" s="66"/>
      <c r="K1841" s="78"/>
      <c r="L1841" s="66"/>
      <c r="M1841" s="66">
        <f>204+1220</f>
        <v>1424</v>
      </c>
      <c r="N1841" s="110">
        <f t="shared" ref="N1841:N1842" si="2931">M1841-F1841</f>
        <v>44</v>
      </c>
      <c r="O1841" s="110"/>
      <c r="P1841" s="66"/>
      <c r="Q1841" s="66">
        <v>1424</v>
      </c>
      <c r="R1841" s="66"/>
      <c r="S1841" s="66">
        <v>1424</v>
      </c>
      <c r="T1841" s="110">
        <f>S1841-Q1841</f>
        <v>0</v>
      </c>
      <c r="U1841" s="59">
        <f t="shared" si="2686"/>
        <v>12</v>
      </c>
      <c r="V1841" s="66"/>
      <c r="W1841" s="66">
        <v>1412</v>
      </c>
      <c r="X1841" s="110">
        <f>W1841-M1841</f>
        <v>-12</v>
      </c>
      <c r="Y1841" s="110"/>
      <c r="Z1841" s="110"/>
      <c r="AA1841" s="110"/>
      <c r="AB1841" s="46"/>
      <c r="AC1841" s="78"/>
      <c r="AD1841" s="78"/>
      <c r="AE1841" s="100">
        <f t="shared" si="2687"/>
        <v>3.1884057971014491E-2</v>
      </c>
      <c r="AF1841" s="90"/>
      <c r="AG1841" s="109">
        <f t="shared" si="2688"/>
        <v>0</v>
      </c>
      <c r="AH1841" s="100">
        <f t="shared" si="2689"/>
        <v>3.1884057971014491E-2</v>
      </c>
      <c r="AI1841" s="100">
        <f t="shared" si="2690"/>
        <v>2.318840579710145E-2</v>
      </c>
    </row>
    <row r="1842" spans="1:35" s="47" customFormat="1" ht="21" customHeight="1" x14ac:dyDescent="0.3">
      <c r="A1842" s="78"/>
      <c r="B1842" s="106" t="s">
        <v>51</v>
      </c>
      <c r="C1842" s="117" t="s">
        <v>209</v>
      </c>
      <c r="D1842" s="300"/>
      <c r="E1842" s="131" t="s">
        <v>49</v>
      </c>
      <c r="F1842" s="66">
        <v>1380</v>
      </c>
      <c r="G1842" s="66"/>
      <c r="H1842" s="66"/>
      <c r="I1842" s="66"/>
      <c r="J1842" s="66"/>
      <c r="K1842" s="78"/>
      <c r="L1842" s="66"/>
      <c r="M1842" s="66">
        <f>210+1202</f>
        <v>1412</v>
      </c>
      <c r="N1842" s="110">
        <f t="shared" si="2931"/>
        <v>32</v>
      </c>
      <c r="O1842" s="110"/>
      <c r="P1842" s="66"/>
      <c r="Q1842" s="66">
        <v>1412</v>
      </c>
      <c r="R1842" s="66"/>
      <c r="S1842" s="66">
        <v>1412</v>
      </c>
      <c r="T1842" s="110">
        <f t="shared" ref="T1842" si="2932">S1842-Q1842</f>
        <v>0</v>
      </c>
      <c r="U1842" s="59">
        <f t="shared" si="2686"/>
        <v>0</v>
      </c>
      <c r="V1842" s="66"/>
      <c r="W1842" s="66">
        <v>1412</v>
      </c>
      <c r="X1842" s="110">
        <f t="shared" ref="X1842" si="2933">W1842-M1842</f>
        <v>0</v>
      </c>
      <c r="Y1842" s="110"/>
      <c r="Z1842" s="110"/>
      <c r="AA1842" s="110"/>
      <c r="AB1842" s="46"/>
      <c r="AC1842" s="78"/>
      <c r="AD1842" s="78"/>
      <c r="AE1842" s="100">
        <f t="shared" si="2687"/>
        <v>2.318840579710145E-2</v>
      </c>
      <c r="AF1842" s="90"/>
      <c r="AG1842" s="109">
        <f t="shared" si="2688"/>
        <v>0</v>
      </c>
      <c r="AH1842" s="100">
        <f t="shared" si="2689"/>
        <v>2.318840579710145E-2</v>
      </c>
      <c r="AI1842" s="100">
        <f t="shared" si="2690"/>
        <v>2.318840579710145E-2</v>
      </c>
    </row>
    <row r="1843" spans="1:35" s="79" customFormat="1" ht="15.75" customHeight="1" x14ac:dyDescent="0.3">
      <c r="A1843" s="90" t="s">
        <v>46</v>
      </c>
      <c r="B1843" s="136" t="s">
        <v>51</v>
      </c>
      <c r="C1843" s="137"/>
      <c r="D1843" s="136"/>
      <c r="E1843" s="138"/>
      <c r="F1843" s="91">
        <f>SUM(F1841:F1842)</f>
        <v>2760</v>
      </c>
      <c r="G1843" s="91"/>
      <c r="H1843" s="91"/>
      <c r="I1843" s="91"/>
      <c r="J1843" s="91" t="s">
        <v>59</v>
      </c>
      <c r="K1843" s="65" t="s">
        <v>210</v>
      </c>
      <c r="L1843" s="91">
        <f>SUM(L1841:L1842)</f>
        <v>0</v>
      </c>
      <c r="M1843" s="91">
        <f>SUM(M1841:M1842)</f>
        <v>2836</v>
      </c>
      <c r="N1843" s="91">
        <f>SUM(N1841:N1842)</f>
        <v>76</v>
      </c>
      <c r="O1843" s="91" t="s">
        <v>176</v>
      </c>
      <c r="P1843" s="91">
        <f>SUM(P1841:P1842)</f>
        <v>0</v>
      </c>
      <c r="Q1843" s="91">
        <f>SUM(Q1841:Q1842)</f>
        <v>2836</v>
      </c>
      <c r="R1843" s="91">
        <f>SUM(R1841:R1842)</f>
        <v>0</v>
      </c>
      <c r="S1843" s="91">
        <f>SUM(S1841:S1842)</f>
        <v>2836</v>
      </c>
      <c r="T1843" s="91">
        <f>SUM(T1841:T1842)</f>
        <v>0</v>
      </c>
      <c r="U1843" s="59">
        <f t="shared" si="2686"/>
        <v>12</v>
      </c>
      <c r="V1843" s="91">
        <f>SUM(V1841:V1842)</f>
        <v>0</v>
      </c>
      <c r="W1843" s="91">
        <f>SUM(W1841:W1842)</f>
        <v>2824</v>
      </c>
      <c r="X1843" s="91">
        <f>SUM(X1841:X1842)</f>
        <v>-12</v>
      </c>
      <c r="Y1843" s="136" t="s">
        <v>47</v>
      </c>
      <c r="Z1843" s="136" t="s">
        <v>45</v>
      </c>
      <c r="AA1843" s="136"/>
      <c r="AB1843" s="84"/>
      <c r="AC1843" s="90"/>
      <c r="AD1843" s="90"/>
      <c r="AE1843" s="100">
        <f t="shared" si="2687"/>
        <v>2.753623188405797E-2</v>
      </c>
      <c r="AF1843" s="90"/>
      <c r="AG1843" s="109">
        <f t="shared" si="2688"/>
        <v>0</v>
      </c>
      <c r="AH1843" s="100">
        <f t="shared" si="2689"/>
        <v>2.753623188405797E-2</v>
      </c>
      <c r="AI1843" s="100">
        <f t="shared" si="2690"/>
        <v>2.318840579710145E-2</v>
      </c>
    </row>
    <row r="1844" spans="1:35" s="47" customFormat="1" ht="21" customHeight="1" x14ac:dyDescent="0.3">
      <c r="A1844" s="78"/>
      <c r="B1844" s="106" t="s">
        <v>51</v>
      </c>
      <c r="C1844" s="117" t="s">
        <v>887</v>
      </c>
      <c r="D1844" s="299">
        <v>15366301</v>
      </c>
      <c r="E1844" s="131" t="s">
        <v>49</v>
      </c>
      <c r="F1844" s="66">
        <v>750</v>
      </c>
      <c r="G1844" s="66"/>
      <c r="H1844" s="66"/>
      <c r="I1844" s="66"/>
      <c r="J1844" s="66"/>
      <c r="K1844" s="78"/>
      <c r="L1844" s="66"/>
      <c r="M1844" s="66">
        <f>774</f>
        <v>774</v>
      </c>
      <c r="N1844" s="110">
        <f t="shared" ref="N1844:N1846" si="2934">M1844-F1844</f>
        <v>24</v>
      </c>
      <c r="O1844" s="110"/>
      <c r="P1844" s="66"/>
      <c r="Q1844" s="66">
        <f>424+350</f>
        <v>774</v>
      </c>
      <c r="R1844" s="66"/>
      <c r="S1844" s="66">
        <v>774</v>
      </c>
      <c r="T1844" s="110">
        <f>S1844-Q1844</f>
        <v>0</v>
      </c>
      <c r="U1844" s="59">
        <f t="shared" si="2686"/>
        <v>1</v>
      </c>
      <c r="V1844" s="66"/>
      <c r="W1844" s="66">
        <v>773</v>
      </c>
      <c r="X1844" s="110">
        <f>W1844-M1844</f>
        <v>-1</v>
      </c>
      <c r="Y1844" s="110"/>
      <c r="Z1844" s="110"/>
      <c r="AA1844" s="110"/>
      <c r="AB1844" s="46"/>
      <c r="AC1844" s="78"/>
      <c r="AD1844" s="78"/>
      <c r="AE1844" s="100">
        <f t="shared" si="2687"/>
        <v>3.2000000000000001E-2</v>
      </c>
      <c r="AF1844" s="90"/>
      <c r="AG1844" s="109">
        <f t="shared" si="2688"/>
        <v>0</v>
      </c>
      <c r="AH1844" s="100">
        <f t="shared" si="2689"/>
        <v>3.2000000000000001E-2</v>
      </c>
      <c r="AI1844" s="100">
        <f t="shared" si="2690"/>
        <v>3.0666666666666665E-2</v>
      </c>
    </row>
    <row r="1845" spans="1:35" s="47" customFormat="1" ht="21" customHeight="1" x14ac:dyDescent="0.3">
      <c r="A1845" s="78"/>
      <c r="B1845" s="106" t="s">
        <v>51</v>
      </c>
      <c r="C1845" s="117" t="s">
        <v>887</v>
      </c>
      <c r="D1845" s="300"/>
      <c r="E1845" s="131" t="s">
        <v>135</v>
      </c>
      <c r="F1845" s="66">
        <v>375</v>
      </c>
      <c r="G1845" s="66"/>
      <c r="H1845" s="66"/>
      <c r="I1845" s="66"/>
      <c r="J1845" s="66"/>
      <c r="K1845" s="78"/>
      <c r="L1845" s="66"/>
      <c r="M1845" s="66">
        <v>397</v>
      </c>
      <c r="N1845" s="110">
        <f t="shared" si="2934"/>
        <v>22</v>
      </c>
      <c r="O1845" s="110"/>
      <c r="P1845" s="66"/>
      <c r="Q1845" s="66">
        <v>397</v>
      </c>
      <c r="R1845" s="66"/>
      <c r="S1845" s="66">
        <v>397</v>
      </c>
      <c r="T1845" s="110">
        <f t="shared" ref="T1845:T1846" si="2935">S1845-Q1845</f>
        <v>0</v>
      </c>
      <c r="U1845" s="59">
        <f t="shared" si="2686"/>
        <v>2</v>
      </c>
      <c r="V1845" s="66"/>
      <c r="W1845" s="66">
        <v>395</v>
      </c>
      <c r="X1845" s="110">
        <f t="shared" ref="X1845:X1846" si="2936">W1845-M1845</f>
        <v>-2</v>
      </c>
      <c r="Y1845" s="110"/>
      <c r="Z1845" s="110"/>
      <c r="AA1845" s="110"/>
      <c r="AB1845" s="46"/>
      <c r="AC1845" s="78"/>
      <c r="AD1845" s="78"/>
      <c r="AE1845" s="100">
        <f t="shared" si="2687"/>
        <v>5.8666666666666666E-2</v>
      </c>
      <c r="AF1845" s="90"/>
      <c r="AG1845" s="109">
        <f t="shared" si="2688"/>
        <v>0</v>
      </c>
      <c r="AH1845" s="100">
        <f t="shared" si="2689"/>
        <v>5.8666666666666666E-2</v>
      </c>
      <c r="AI1845" s="100">
        <f t="shared" si="2690"/>
        <v>5.3333333333333337E-2</v>
      </c>
    </row>
    <row r="1846" spans="1:35" s="47" customFormat="1" ht="21" customHeight="1" x14ac:dyDescent="0.3">
      <c r="A1846" s="78"/>
      <c r="B1846" s="106" t="s">
        <v>51</v>
      </c>
      <c r="C1846" s="117" t="s">
        <v>887</v>
      </c>
      <c r="D1846" s="300"/>
      <c r="E1846" s="131" t="s">
        <v>391</v>
      </c>
      <c r="F1846" s="66">
        <v>375</v>
      </c>
      <c r="G1846" s="66"/>
      <c r="H1846" s="66"/>
      <c r="I1846" s="66"/>
      <c r="J1846" s="66"/>
      <c r="K1846" s="78"/>
      <c r="L1846" s="66"/>
      <c r="M1846" s="66">
        <v>397</v>
      </c>
      <c r="N1846" s="110">
        <f t="shared" si="2934"/>
        <v>22</v>
      </c>
      <c r="O1846" s="110"/>
      <c r="P1846" s="66"/>
      <c r="Q1846" s="66">
        <v>397</v>
      </c>
      <c r="R1846" s="66"/>
      <c r="S1846" s="66">
        <v>397</v>
      </c>
      <c r="T1846" s="110">
        <f t="shared" si="2935"/>
        <v>0</v>
      </c>
      <c r="U1846" s="59">
        <f t="shared" si="2686"/>
        <v>0</v>
      </c>
      <c r="V1846" s="66"/>
      <c r="W1846" s="66">
        <f>397</f>
        <v>397</v>
      </c>
      <c r="X1846" s="110">
        <f t="shared" si="2936"/>
        <v>0</v>
      </c>
      <c r="Y1846" s="110"/>
      <c r="Z1846" s="110"/>
      <c r="AA1846" s="110"/>
      <c r="AB1846" s="46"/>
      <c r="AC1846" s="78"/>
      <c r="AD1846" s="78"/>
      <c r="AE1846" s="100">
        <f t="shared" si="2687"/>
        <v>5.8666666666666666E-2</v>
      </c>
      <c r="AF1846" s="90"/>
      <c r="AG1846" s="109">
        <f t="shared" si="2688"/>
        <v>0</v>
      </c>
      <c r="AH1846" s="100">
        <f t="shared" si="2689"/>
        <v>5.8666666666666666E-2</v>
      </c>
      <c r="AI1846" s="100">
        <f t="shared" si="2690"/>
        <v>5.8666666666666666E-2</v>
      </c>
    </row>
    <row r="1847" spans="1:35" s="79" customFormat="1" ht="15.75" customHeight="1" x14ac:dyDescent="0.3">
      <c r="A1847" s="90" t="s">
        <v>46</v>
      </c>
      <c r="B1847" s="136" t="s">
        <v>51</v>
      </c>
      <c r="C1847" s="137"/>
      <c r="D1847" s="136"/>
      <c r="E1847" s="138"/>
      <c r="F1847" s="91">
        <f>SUM(F1844:F1846)</f>
        <v>1500</v>
      </c>
      <c r="G1847" s="91"/>
      <c r="H1847" s="91"/>
      <c r="I1847" s="91"/>
      <c r="J1847" s="91" t="s">
        <v>59</v>
      </c>
      <c r="K1847" s="65" t="s">
        <v>290</v>
      </c>
      <c r="L1847" s="91">
        <f>SUM(L1844:L1846)</f>
        <v>0</v>
      </c>
      <c r="M1847" s="91">
        <f>SUM(M1844:M1846)</f>
        <v>1568</v>
      </c>
      <c r="N1847" s="91">
        <f>SUM(N1844:N1846)</f>
        <v>68</v>
      </c>
      <c r="O1847" s="91" t="s">
        <v>210</v>
      </c>
      <c r="P1847" s="91">
        <f>SUM(P1844:P1846)</f>
        <v>0</v>
      </c>
      <c r="Q1847" s="91">
        <f>SUM(Q1844:Q1846)</f>
        <v>1568</v>
      </c>
      <c r="R1847" s="91">
        <f>SUM(R1844:R1846)</f>
        <v>0</v>
      </c>
      <c r="S1847" s="91">
        <f>SUM(S1844:S1846)</f>
        <v>1568</v>
      </c>
      <c r="T1847" s="91">
        <f>SUM(T1844:T1846)</f>
        <v>0</v>
      </c>
      <c r="U1847" s="59">
        <f t="shared" si="2686"/>
        <v>3</v>
      </c>
      <c r="V1847" s="91">
        <f>SUM(V1844:V1846)</f>
        <v>0</v>
      </c>
      <c r="W1847" s="91">
        <f>SUM(W1844:W1846)</f>
        <v>1565</v>
      </c>
      <c r="X1847" s="91">
        <f>SUM(X1844:X1846)</f>
        <v>-3</v>
      </c>
      <c r="Y1847" s="136" t="s">
        <v>47</v>
      </c>
      <c r="Z1847" s="136" t="s">
        <v>45</v>
      </c>
      <c r="AA1847" s="136"/>
      <c r="AB1847" s="84"/>
      <c r="AC1847" s="90"/>
      <c r="AD1847" s="90"/>
      <c r="AE1847" s="100">
        <f t="shared" si="2687"/>
        <v>4.5333333333333337E-2</v>
      </c>
      <c r="AF1847" s="90"/>
      <c r="AG1847" s="109">
        <f t="shared" si="2688"/>
        <v>0</v>
      </c>
      <c r="AH1847" s="100">
        <f t="shared" si="2689"/>
        <v>4.5333333333333337E-2</v>
      </c>
      <c r="AI1847" s="100">
        <f t="shared" si="2690"/>
        <v>4.3333333333333335E-2</v>
      </c>
    </row>
    <row r="1848" spans="1:35" s="47" customFormat="1" ht="21" customHeight="1" x14ac:dyDescent="0.3">
      <c r="A1848" s="78"/>
      <c r="B1848" s="106" t="s">
        <v>51</v>
      </c>
      <c r="C1848" s="117">
        <v>48619</v>
      </c>
      <c r="D1848" s="299">
        <v>15291465</v>
      </c>
      <c r="E1848" s="131" t="s">
        <v>309</v>
      </c>
      <c r="F1848" s="66">
        <v>10655</v>
      </c>
      <c r="G1848" s="66"/>
      <c r="H1848" s="66"/>
      <c r="I1848" s="66"/>
      <c r="J1848" s="66"/>
      <c r="K1848" s="78"/>
      <c r="L1848" s="66">
        <f>808+536+536+640+2384</f>
        <v>4904</v>
      </c>
      <c r="M1848" s="66">
        <f>808+536+536+640+2384</f>
        <v>4904</v>
      </c>
      <c r="N1848" s="110">
        <f t="shared" ref="N1848:N1850" si="2937">M1848-F1848</f>
        <v>-5751</v>
      </c>
      <c r="O1848" s="110"/>
      <c r="P1848" s="66">
        <f>2520+720+864</f>
        <v>4104</v>
      </c>
      <c r="Q1848" s="66">
        <f>2520+720+864</f>
        <v>4104</v>
      </c>
      <c r="R1848" s="66"/>
      <c r="S1848" s="66"/>
      <c r="T1848" s="110">
        <f>S1848-Q1848</f>
        <v>-4104</v>
      </c>
      <c r="U1848" s="59">
        <f t="shared" ref="U1848:U1851" si="2938">IF(Q1848&gt;0,S1848-W1848,M1848-W1848)</f>
        <v>0</v>
      </c>
      <c r="V1848" s="66"/>
      <c r="W1848" s="66"/>
      <c r="X1848" s="110">
        <f>W1848-M1848</f>
        <v>-4904</v>
      </c>
      <c r="Y1848" s="110"/>
      <c r="Z1848" s="110"/>
      <c r="AA1848" s="110"/>
      <c r="AB1848" s="46"/>
      <c r="AC1848" s="78"/>
      <c r="AD1848" s="78"/>
      <c r="AE1848" s="100">
        <f t="shared" ref="AE1848:AE1851" si="2939">N1848/F1848</f>
        <v>-0.53974659784138901</v>
      </c>
      <c r="AF1848" s="90"/>
      <c r="AG1848" s="109">
        <f t="shared" ref="AG1848:AG1851" si="2940">IF(N1848&lt;0,N1848,0)</f>
        <v>-5751</v>
      </c>
      <c r="AH1848" s="100">
        <f t="shared" ref="AH1848:AH1851" si="2941">(S1848-F1848)/F1848</f>
        <v>-1</v>
      </c>
      <c r="AI1848" s="100">
        <f t="shared" ref="AI1848:AI1851" si="2942">(W1848-F1848)/F1848</f>
        <v>-1</v>
      </c>
    </row>
    <row r="1849" spans="1:35" s="47" customFormat="1" ht="21" customHeight="1" x14ac:dyDescent="0.3">
      <c r="A1849" s="78"/>
      <c r="B1849" s="106" t="s">
        <v>51</v>
      </c>
      <c r="C1849" s="117">
        <v>48619</v>
      </c>
      <c r="D1849" s="300"/>
      <c r="E1849" s="131" t="s">
        <v>599</v>
      </c>
      <c r="F1849" s="66">
        <v>5318</v>
      </c>
      <c r="G1849" s="66"/>
      <c r="H1849" s="66"/>
      <c r="I1849" s="66"/>
      <c r="J1849" s="66"/>
      <c r="K1849" s="78"/>
      <c r="L1849" s="66"/>
      <c r="M1849" s="66"/>
      <c r="N1849" s="110">
        <f t="shared" ref="N1849" si="2943">M1849-F1849</f>
        <v>-5318</v>
      </c>
      <c r="O1849" s="110"/>
      <c r="P1849" s="66"/>
      <c r="Q1849" s="66"/>
      <c r="R1849" s="66"/>
      <c r="S1849" s="66"/>
      <c r="T1849" s="110">
        <f t="shared" ref="T1849" si="2944">S1849-Q1849</f>
        <v>0</v>
      </c>
      <c r="U1849" s="59">
        <f t="shared" ref="U1849" si="2945">IF(Q1849&gt;0,S1849-W1849,M1849-W1849)</f>
        <v>0</v>
      </c>
      <c r="V1849" s="66"/>
      <c r="W1849" s="66"/>
      <c r="X1849" s="110">
        <f t="shared" ref="X1849" si="2946">W1849-M1849</f>
        <v>0</v>
      </c>
      <c r="Y1849" s="110"/>
      <c r="Z1849" s="110"/>
      <c r="AA1849" s="110"/>
      <c r="AB1849" s="46"/>
      <c r="AC1849" s="78"/>
      <c r="AD1849" s="78"/>
      <c r="AE1849" s="100">
        <f t="shared" ref="AE1849" si="2947">N1849/F1849</f>
        <v>-1</v>
      </c>
      <c r="AF1849" s="90"/>
      <c r="AG1849" s="109">
        <f t="shared" ref="AG1849" si="2948">IF(N1849&lt;0,N1849,0)</f>
        <v>-5318</v>
      </c>
      <c r="AH1849" s="100">
        <f t="shared" ref="AH1849" si="2949">(S1849-F1849)/F1849</f>
        <v>-1</v>
      </c>
      <c r="AI1849" s="100">
        <f t="shared" ref="AI1849" si="2950">(W1849-F1849)/F1849</f>
        <v>-1</v>
      </c>
    </row>
    <row r="1850" spans="1:35" s="47" customFormat="1" ht="21" customHeight="1" x14ac:dyDescent="0.3">
      <c r="A1850" s="78"/>
      <c r="B1850" s="106" t="s">
        <v>51</v>
      </c>
      <c r="C1850" s="117">
        <v>48619</v>
      </c>
      <c r="D1850" s="300"/>
      <c r="E1850" s="131" t="s">
        <v>49</v>
      </c>
      <c r="F1850" s="66">
        <v>10673</v>
      </c>
      <c r="G1850" s="66"/>
      <c r="H1850" s="66"/>
      <c r="I1850" s="66"/>
      <c r="J1850" s="66"/>
      <c r="K1850" s="78"/>
      <c r="L1850" s="66"/>
      <c r="M1850" s="66"/>
      <c r="N1850" s="110">
        <f t="shared" si="2937"/>
        <v>-10673</v>
      </c>
      <c r="O1850" s="110"/>
      <c r="P1850" s="66"/>
      <c r="Q1850" s="66"/>
      <c r="R1850" s="66"/>
      <c r="S1850" s="66"/>
      <c r="T1850" s="110">
        <f t="shared" ref="T1850" si="2951">S1850-Q1850</f>
        <v>0</v>
      </c>
      <c r="U1850" s="59">
        <f t="shared" si="2938"/>
        <v>0</v>
      </c>
      <c r="V1850" s="66"/>
      <c r="W1850" s="66"/>
      <c r="X1850" s="110">
        <f t="shared" ref="X1850" si="2952">W1850-M1850</f>
        <v>0</v>
      </c>
      <c r="Y1850" s="110"/>
      <c r="Z1850" s="110"/>
      <c r="AA1850" s="110"/>
      <c r="AB1850" s="46"/>
      <c r="AC1850" s="78"/>
      <c r="AD1850" s="78"/>
      <c r="AE1850" s="100">
        <f t="shared" si="2939"/>
        <v>-1</v>
      </c>
      <c r="AF1850" s="90"/>
      <c r="AG1850" s="109">
        <f t="shared" si="2940"/>
        <v>-10673</v>
      </c>
      <c r="AH1850" s="100">
        <f t="shared" si="2941"/>
        <v>-1</v>
      </c>
      <c r="AI1850" s="100">
        <f t="shared" si="2942"/>
        <v>-1</v>
      </c>
    </row>
    <row r="1851" spans="1:35" s="79" customFormat="1" ht="15.75" customHeight="1" x14ac:dyDescent="0.3">
      <c r="A1851" s="90" t="s">
        <v>46</v>
      </c>
      <c r="B1851" s="136" t="s">
        <v>51</v>
      </c>
      <c r="C1851" s="137"/>
      <c r="D1851" s="136"/>
      <c r="E1851" s="138"/>
      <c r="F1851" s="91">
        <f>SUM(F1848:F1850)</f>
        <v>26646</v>
      </c>
      <c r="G1851" s="91"/>
      <c r="H1851" s="91"/>
      <c r="I1851" s="91"/>
      <c r="J1851" s="91" t="s">
        <v>60</v>
      </c>
      <c r="K1851" s="65" t="s">
        <v>687</v>
      </c>
      <c r="L1851" s="91">
        <f>SUM(L1848:L1850)</f>
        <v>4904</v>
      </c>
      <c r="M1851" s="91">
        <f>SUM(M1848:M1850)</f>
        <v>4904</v>
      </c>
      <c r="N1851" s="91">
        <f>SUM(N1848:N1850)</f>
        <v>-21742</v>
      </c>
      <c r="O1851" s="91" t="s">
        <v>1029</v>
      </c>
      <c r="P1851" s="91">
        <f>SUM(P1848:P1850)</f>
        <v>4104</v>
      </c>
      <c r="Q1851" s="91">
        <f>SUM(Q1848:Q1850)</f>
        <v>4104</v>
      </c>
      <c r="R1851" s="91">
        <f>SUM(R1848:R1850)</f>
        <v>0</v>
      </c>
      <c r="S1851" s="91">
        <f>SUM(S1848:S1850)</f>
        <v>0</v>
      </c>
      <c r="T1851" s="91">
        <f>SUM(T1848:T1850)</f>
        <v>-4104</v>
      </c>
      <c r="U1851" s="59">
        <f t="shared" si="2938"/>
        <v>0</v>
      </c>
      <c r="V1851" s="91">
        <f>SUM(V1848:V1850)</f>
        <v>0</v>
      </c>
      <c r="W1851" s="91">
        <f>SUM(W1848:W1850)</f>
        <v>0</v>
      </c>
      <c r="X1851" s="91">
        <f>SUM(X1848:X1850)</f>
        <v>-4904</v>
      </c>
      <c r="Y1851" s="136" t="s">
        <v>47</v>
      </c>
      <c r="Z1851" s="136" t="s">
        <v>45</v>
      </c>
      <c r="AA1851" s="136"/>
      <c r="AB1851" s="84"/>
      <c r="AC1851" s="90"/>
      <c r="AD1851" s="90"/>
      <c r="AE1851" s="100">
        <f t="shared" si="2939"/>
        <v>-0.81595736695939358</v>
      </c>
      <c r="AF1851" s="90"/>
      <c r="AG1851" s="109">
        <f t="shared" si="2940"/>
        <v>-21742</v>
      </c>
      <c r="AH1851" s="100">
        <f t="shared" si="2941"/>
        <v>-1</v>
      </c>
      <c r="AI1851" s="100">
        <f t="shared" si="2942"/>
        <v>-1</v>
      </c>
    </row>
    <row r="1852" spans="1:35" s="47" customFormat="1" ht="21" customHeight="1" x14ac:dyDescent="0.3">
      <c r="A1852" s="78"/>
      <c r="B1852" s="106" t="s">
        <v>51</v>
      </c>
      <c r="C1852" s="117" t="s">
        <v>912</v>
      </c>
      <c r="D1852" s="299">
        <v>15291465</v>
      </c>
      <c r="E1852" s="131" t="s">
        <v>309</v>
      </c>
      <c r="F1852" s="66">
        <v>5040</v>
      </c>
      <c r="G1852" s="66"/>
      <c r="H1852" s="66"/>
      <c r="I1852" s="66"/>
      <c r="J1852" s="66"/>
      <c r="K1852" s="78"/>
      <c r="L1852" s="66"/>
      <c r="M1852" s="66"/>
      <c r="N1852" s="110">
        <f t="shared" ref="N1852" si="2953">M1852-F1852</f>
        <v>-5040</v>
      </c>
      <c r="O1852" s="110"/>
      <c r="P1852" s="66"/>
      <c r="Q1852" s="66"/>
      <c r="R1852" s="66"/>
      <c r="S1852" s="66"/>
      <c r="T1852" s="110">
        <f>S1852-Q1852</f>
        <v>0</v>
      </c>
      <c r="U1852" s="59">
        <f t="shared" si="2686"/>
        <v>0</v>
      </c>
      <c r="V1852" s="66"/>
      <c r="W1852" s="66"/>
      <c r="X1852" s="110">
        <f>W1852-M1852</f>
        <v>0</v>
      </c>
      <c r="Y1852" s="110"/>
      <c r="Z1852" s="110"/>
      <c r="AA1852" s="110"/>
      <c r="AB1852" s="46"/>
      <c r="AC1852" s="78"/>
      <c r="AD1852" s="78"/>
      <c r="AE1852" s="100">
        <f t="shared" si="2687"/>
        <v>-1</v>
      </c>
      <c r="AF1852" s="90"/>
      <c r="AG1852" s="109">
        <f t="shared" si="2688"/>
        <v>-5040</v>
      </c>
      <c r="AH1852" s="100">
        <f t="shared" si="2689"/>
        <v>-1</v>
      </c>
      <c r="AI1852" s="100">
        <f t="shared" si="2690"/>
        <v>-1</v>
      </c>
    </row>
    <row r="1853" spans="1:35" s="47" customFormat="1" ht="21" customHeight="1" x14ac:dyDescent="0.3">
      <c r="A1853" s="78"/>
      <c r="B1853" s="106" t="s">
        <v>51</v>
      </c>
      <c r="C1853" s="117" t="s">
        <v>912</v>
      </c>
      <c r="D1853" s="300"/>
      <c r="E1853" s="131" t="s">
        <v>49</v>
      </c>
      <c r="F1853" s="66">
        <v>5040</v>
      </c>
      <c r="G1853" s="66"/>
      <c r="H1853" s="66"/>
      <c r="I1853" s="66"/>
      <c r="J1853" s="66"/>
      <c r="K1853" s="78"/>
      <c r="L1853" s="66"/>
      <c r="M1853" s="66"/>
      <c r="N1853" s="110">
        <f t="shared" ref="N1853" si="2954">M1853-F1853</f>
        <v>-5040</v>
      </c>
      <c r="O1853" s="110"/>
      <c r="P1853" s="66"/>
      <c r="Q1853" s="66"/>
      <c r="R1853" s="66"/>
      <c r="S1853" s="66"/>
      <c r="T1853" s="110">
        <f t="shared" ref="T1853" si="2955">S1853-Q1853</f>
        <v>0</v>
      </c>
      <c r="U1853" s="59">
        <f t="shared" ref="U1853" si="2956">IF(Q1853&gt;0,S1853-W1853,M1853-W1853)</f>
        <v>0</v>
      </c>
      <c r="V1853" s="66"/>
      <c r="W1853" s="66"/>
      <c r="X1853" s="110">
        <f t="shared" ref="X1853" si="2957">W1853-M1853</f>
        <v>0</v>
      </c>
      <c r="Y1853" s="110"/>
      <c r="Z1853" s="110"/>
      <c r="AA1853" s="110"/>
      <c r="AB1853" s="46"/>
      <c r="AC1853" s="78"/>
      <c r="AD1853" s="78"/>
      <c r="AE1853" s="100">
        <f t="shared" ref="AE1853" si="2958">N1853/F1853</f>
        <v>-1</v>
      </c>
      <c r="AF1853" s="90"/>
      <c r="AG1853" s="109">
        <f t="shared" ref="AG1853" si="2959">IF(N1853&lt;0,N1853,0)</f>
        <v>-5040</v>
      </c>
      <c r="AH1853" s="100">
        <f t="shared" ref="AH1853" si="2960">(S1853-F1853)/F1853</f>
        <v>-1</v>
      </c>
      <c r="AI1853" s="100">
        <f t="shared" ref="AI1853" si="2961">(W1853-F1853)/F1853</f>
        <v>-1</v>
      </c>
    </row>
    <row r="1854" spans="1:35" s="79" customFormat="1" ht="15.75" customHeight="1" x14ac:dyDescent="0.3">
      <c r="A1854" s="90" t="s">
        <v>46</v>
      </c>
      <c r="B1854" s="136" t="s">
        <v>51</v>
      </c>
      <c r="C1854" s="137"/>
      <c r="D1854" s="136"/>
      <c r="E1854" s="138"/>
      <c r="F1854" s="91">
        <f>SUM(F1852:F1853)</f>
        <v>10080</v>
      </c>
      <c r="G1854" s="91"/>
      <c r="H1854" s="91"/>
      <c r="I1854" s="91"/>
      <c r="J1854" s="91" t="s">
        <v>60</v>
      </c>
      <c r="K1854" s="65" t="s">
        <v>879</v>
      </c>
      <c r="L1854" s="91">
        <f>SUM(L1852:L1853)</f>
        <v>0</v>
      </c>
      <c r="M1854" s="91">
        <f>SUM(M1852:M1853)</f>
        <v>0</v>
      </c>
      <c r="N1854" s="91">
        <f>SUM(N1852:N1853)</f>
        <v>-10080</v>
      </c>
      <c r="O1854" s="91"/>
      <c r="P1854" s="91">
        <f>SUM(P1852:P1853)</f>
        <v>0</v>
      </c>
      <c r="Q1854" s="91">
        <f>SUM(Q1852:Q1853)</f>
        <v>0</v>
      </c>
      <c r="R1854" s="91">
        <f>SUM(R1852:R1853)</f>
        <v>0</v>
      </c>
      <c r="S1854" s="91">
        <f>SUM(S1852:S1853)</f>
        <v>0</v>
      </c>
      <c r="T1854" s="91">
        <f>SUM(T1852:T1853)</f>
        <v>0</v>
      </c>
      <c r="U1854" s="59">
        <f t="shared" si="2686"/>
        <v>0</v>
      </c>
      <c r="V1854" s="91">
        <f>SUM(V1852:V1853)</f>
        <v>0</v>
      </c>
      <c r="W1854" s="91">
        <f>SUM(W1852:W1853)</f>
        <v>0</v>
      </c>
      <c r="X1854" s="91">
        <f>SUM(X1852:X1853)</f>
        <v>0</v>
      </c>
      <c r="Y1854" s="136" t="s">
        <v>47</v>
      </c>
      <c r="Z1854" s="136" t="s">
        <v>45</v>
      </c>
      <c r="AA1854" s="136"/>
      <c r="AB1854" s="84"/>
      <c r="AC1854" s="90"/>
      <c r="AD1854" s="90"/>
      <c r="AE1854" s="100">
        <f t="shared" si="2687"/>
        <v>-1</v>
      </c>
      <c r="AF1854" s="90"/>
      <c r="AG1854" s="109">
        <f t="shared" si="2688"/>
        <v>-10080</v>
      </c>
      <c r="AH1854" s="100">
        <f t="shared" si="2689"/>
        <v>-1</v>
      </c>
      <c r="AI1854" s="100">
        <f t="shared" si="2690"/>
        <v>-1</v>
      </c>
    </row>
    <row r="1855" spans="1:35" s="47" customFormat="1" ht="21" customHeight="1" x14ac:dyDescent="0.3">
      <c r="A1855" s="78"/>
      <c r="B1855" s="106" t="s">
        <v>51</v>
      </c>
      <c r="C1855" s="117" t="s">
        <v>894</v>
      </c>
      <c r="D1855" s="299">
        <v>15391574</v>
      </c>
      <c r="E1855" s="131" t="s">
        <v>599</v>
      </c>
      <c r="F1855" s="66">
        <v>7753</v>
      </c>
      <c r="G1855" s="66"/>
      <c r="H1855" s="66"/>
      <c r="I1855" s="66"/>
      <c r="J1855" s="66"/>
      <c r="K1855" s="78"/>
      <c r="L1855" s="66"/>
      <c r="M1855" s="66"/>
      <c r="N1855" s="110">
        <f t="shared" ref="N1855:N1859" si="2962">M1855-F1855</f>
        <v>-7753</v>
      </c>
      <c r="O1855" s="110"/>
      <c r="P1855" s="66"/>
      <c r="Q1855" s="66"/>
      <c r="R1855" s="66"/>
      <c r="S1855" s="66"/>
      <c r="T1855" s="110">
        <f>S1855-Q1855</f>
        <v>0</v>
      </c>
      <c r="U1855" s="59">
        <f t="shared" si="2686"/>
        <v>0</v>
      </c>
      <c r="V1855" s="66"/>
      <c r="W1855" s="66"/>
      <c r="X1855" s="110">
        <f>W1855-M1855</f>
        <v>0</v>
      </c>
      <c r="Y1855" s="110"/>
      <c r="Z1855" s="110"/>
      <c r="AA1855" s="110"/>
      <c r="AB1855" s="46"/>
      <c r="AC1855" s="78"/>
      <c r="AD1855" s="78"/>
      <c r="AE1855" s="100">
        <f t="shared" si="2687"/>
        <v>-1</v>
      </c>
      <c r="AF1855" s="90"/>
      <c r="AG1855" s="109">
        <f t="shared" si="2688"/>
        <v>-7753</v>
      </c>
      <c r="AH1855" s="100">
        <f t="shared" si="2689"/>
        <v>-1</v>
      </c>
      <c r="AI1855" s="100">
        <f t="shared" si="2690"/>
        <v>-1</v>
      </c>
    </row>
    <row r="1856" spans="1:35" s="47" customFormat="1" ht="21" customHeight="1" x14ac:dyDescent="0.3">
      <c r="A1856" s="78"/>
      <c r="B1856" s="106" t="s">
        <v>51</v>
      </c>
      <c r="C1856" s="117" t="s">
        <v>894</v>
      </c>
      <c r="D1856" s="300"/>
      <c r="E1856" s="131" t="s">
        <v>49</v>
      </c>
      <c r="F1856" s="66">
        <v>6863</v>
      </c>
      <c r="G1856" s="66"/>
      <c r="H1856" s="66"/>
      <c r="I1856" s="66"/>
      <c r="J1856" s="66"/>
      <c r="K1856" s="78"/>
      <c r="L1856" s="66"/>
      <c r="M1856" s="66"/>
      <c r="N1856" s="110">
        <f t="shared" si="2962"/>
        <v>-6863</v>
      </c>
      <c r="O1856" s="110"/>
      <c r="P1856" s="66"/>
      <c r="Q1856" s="66"/>
      <c r="R1856" s="66"/>
      <c r="S1856" s="66"/>
      <c r="T1856" s="110">
        <f t="shared" ref="T1856:T1857" si="2963">S1856-Q1856</f>
        <v>0</v>
      </c>
      <c r="U1856" s="59">
        <f t="shared" si="2686"/>
        <v>0</v>
      </c>
      <c r="V1856" s="66"/>
      <c r="W1856" s="66"/>
      <c r="X1856" s="110">
        <f t="shared" ref="X1856:X1857" si="2964">W1856-M1856</f>
        <v>0</v>
      </c>
      <c r="Y1856" s="110"/>
      <c r="Z1856" s="110"/>
      <c r="AA1856" s="110"/>
      <c r="AB1856" s="46"/>
      <c r="AC1856" s="78"/>
      <c r="AD1856" s="78"/>
      <c r="AE1856" s="100">
        <f t="shared" si="2687"/>
        <v>-1</v>
      </c>
      <c r="AF1856" s="90"/>
      <c r="AG1856" s="109">
        <f t="shared" si="2688"/>
        <v>-6863</v>
      </c>
      <c r="AH1856" s="100">
        <f t="shared" si="2689"/>
        <v>-1</v>
      </c>
      <c r="AI1856" s="100">
        <f t="shared" si="2690"/>
        <v>-1</v>
      </c>
    </row>
    <row r="1857" spans="1:35" s="47" customFormat="1" ht="21" customHeight="1" x14ac:dyDescent="0.3">
      <c r="A1857" s="78"/>
      <c r="B1857" s="106" t="s">
        <v>51</v>
      </c>
      <c r="C1857" s="117" t="s">
        <v>894</v>
      </c>
      <c r="D1857" s="300"/>
      <c r="E1857" s="131" t="s">
        <v>292</v>
      </c>
      <c r="F1857" s="66">
        <v>9789</v>
      </c>
      <c r="G1857" s="66"/>
      <c r="H1857" s="66"/>
      <c r="I1857" s="66"/>
      <c r="J1857" s="66"/>
      <c r="K1857" s="78"/>
      <c r="L1857" s="66"/>
      <c r="M1857" s="66"/>
      <c r="N1857" s="110">
        <f t="shared" ref="N1857" si="2965">M1857-F1857</f>
        <v>-9789</v>
      </c>
      <c r="O1857" s="110"/>
      <c r="P1857" s="66"/>
      <c r="Q1857" s="66"/>
      <c r="R1857" s="66"/>
      <c r="S1857" s="66"/>
      <c r="T1857" s="110">
        <f t="shared" si="2963"/>
        <v>0</v>
      </c>
      <c r="U1857" s="59">
        <f t="shared" ref="U1857" si="2966">IF(Q1857&gt;0,S1857-W1857,M1857-W1857)</f>
        <v>0</v>
      </c>
      <c r="V1857" s="66"/>
      <c r="W1857" s="66"/>
      <c r="X1857" s="110">
        <f t="shared" si="2964"/>
        <v>0</v>
      </c>
      <c r="Y1857" s="110"/>
      <c r="Z1857" s="110"/>
      <c r="AA1857" s="110"/>
      <c r="AB1857" s="46"/>
      <c r="AC1857" s="78"/>
      <c r="AD1857" s="78"/>
      <c r="AE1857" s="100">
        <f t="shared" ref="AE1857" si="2967">N1857/F1857</f>
        <v>-1</v>
      </c>
      <c r="AF1857" s="90"/>
      <c r="AG1857" s="109">
        <f t="shared" ref="AG1857" si="2968">IF(N1857&lt;0,N1857,0)</f>
        <v>-9789</v>
      </c>
      <c r="AH1857" s="100">
        <f t="shared" ref="AH1857" si="2969">(S1857-F1857)/F1857</f>
        <v>-1</v>
      </c>
      <c r="AI1857" s="100">
        <f t="shared" ref="AI1857" si="2970">(W1857-F1857)/F1857</f>
        <v>-1</v>
      </c>
    </row>
    <row r="1858" spans="1:35" s="47" customFormat="1" ht="21" customHeight="1" x14ac:dyDescent="0.3">
      <c r="A1858" s="78"/>
      <c r="B1858" s="106" t="s">
        <v>51</v>
      </c>
      <c r="C1858" s="117" t="s">
        <v>894</v>
      </c>
      <c r="D1858" s="300"/>
      <c r="E1858" s="131" t="s">
        <v>895</v>
      </c>
      <c r="F1858" s="66">
        <v>8725</v>
      </c>
      <c r="G1858" s="66"/>
      <c r="H1858" s="66"/>
      <c r="I1858" s="66"/>
      <c r="J1858" s="66"/>
      <c r="K1858" s="78"/>
      <c r="L1858" s="66"/>
      <c r="M1858" s="66"/>
      <c r="N1858" s="110">
        <f t="shared" ref="N1858" si="2971">M1858-F1858</f>
        <v>-8725</v>
      </c>
      <c r="O1858" s="110"/>
      <c r="P1858" s="66"/>
      <c r="Q1858" s="66"/>
      <c r="R1858" s="66"/>
      <c r="S1858" s="66"/>
      <c r="T1858" s="110">
        <f t="shared" ref="T1858" si="2972">S1858-Q1858</f>
        <v>0</v>
      </c>
      <c r="U1858" s="59">
        <f t="shared" ref="U1858" si="2973">IF(Q1858&gt;0,S1858-W1858,M1858-W1858)</f>
        <v>0</v>
      </c>
      <c r="V1858" s="66"/>
      <c r="W1858" s="66"/>
      <c r="X1858" s="110">
        <f t="shared" ref="X1858" si="2974">W1858-M1858</f>
        <v>0</v>
      </c>
      <c r="Y1858" s="110"/>
      <c r="Z1858" s="110"/>
      <c r="AA1858" s="110"/>
      <c r="AB1858" s="46"/>
      <c r="AC1858" s="78"/>
      <c r="AD1858" s="78"/>
      <c r="AE1858" s="100">
        <f t="shared" ref="AE1858" si="2975">N1858/F1858</f>
        <v>-1</v>
      </c>
      <c r="AF1858" s="90"/>
      <c r="AG1858" s="109">
        <f t="shared" ref="AG1858" si="2976">IF(N1858&lt;0,N1858,0)</f>
        <v>-8725</v>
      </c>
      <c r="AH1858" s="100">
        <f t="shared" ref="AH1858" si="2977">(S1858-F1858)/F1858</f>
        <v>-1</v>
      </c>
      <c r="AI1858" s="100">
        <f t="shared" ref="AI1858" si="2978">(W1858-F1858)/F1858</f>
        <v>-1</v>
      </c>
    </row>
    <row r="1859" spans="1:35" s="47" customFormat="1" ht="21" customHeight="1" x14ac:dyDescent="0.3">
      <c r="A1859" s="78"/>
      <c r="B1859" s="106" t="s">
        <v>51</v>
      </c>
      <c r="C1859" s="117" t="s">
        <v>894</v>
      </c>
      <c r="D1859" s="300"/>
      <c r="E1859" s="131" t="s">
        <v>0</v>
      </c>
      <c r="F1859" s="66">
        <v>7127</v>
      </c>
      <c r="G1859" s="66"/>
      <c r="H1859" s="66"/>
      <c r="I1859" s="66"/>
      <c r="J1859" s="66"/>
      <c r="K1859" s="78"/>
      <c r="L1859" s="66"/>
      <c r="M1859" s="66"/>
      <c r="N1859" s="110">
        <f t="shared" si="2962"/>
        <v>-7127</v>
      </c>
      <c r="O1859" s="110"/>
      <c r="P1859" s="66"/>
      <c r="Q1859" s="66"/>
      <c r="R1859" s="66"/>
      <c r="S1859" s="66"/>
      <c r="T1859" s="110">
        <f t="shared" ref="T1859" si="2979">S1859-Q1859</f>
        <v>0</v>
      </c>
      <c r="U1859" s="59">
        <f t="shared" si="2686"/>
        <v>0</v>
      </c>
      <c r="V1859" s="66"/>
      <c r="W1859" s="66"/>
      <c r="X1859" s="110">
        <f t="shared" ref="X1859" si="2980">W1859-M1859</f>
        <v>0</v>
      </c>
      <c r="Y1859" s="110"/>
      <c r="Z1859" s="110"/>
      <c r="AA1859" s="110"/>
      <c r="AB1859" s="46"/>
      <c r="AC1859" s="78"/>
      <c r="AD1859" s="78"/>
      <c r="AE1859" s="100">
        <f t="shared" si="2687"/>
        <v>-1</v>
      </c>
      <c r="AF1859" s="90"/>
      <c r="AG1859" s="109">
        <f t="shared" si="2688"/>
        <v>-7127</v>
      </c>
      <c r="AH1859" s="100">
        <f t="shared" si="2689"/>
        <v>-1</v>
      </c>
      <c r="AI1859" s="100">
        <f t="shared" si="2690"/>
        <v>-1</v>
      </c>
    </row>
    <row r="1860" spans="1:35" s="79" customFormat="1" ht="15.75" customHeight="1" x14ac:dyDescent="0.3">
      <c r="A1860" s="90" t="s">
        <v>46</v>
      </c>
      <c r="B1860" s="136" t="s">
        <v>51</v>
      </c>
      <c r="C1860" s="137"/>
      <c r="D1860" s="136"/>
      <c r="E1860" s="138"/>
      <c r="F1860" s="91">
        <f>SUM(F1855:F1859)</f>
        <v>40257</v>
      </c>
      <c r="G1860" s="91"/>
      <c r="H1860" s="91"/>
      <c r="I1860" s="91"/>
      <c r="J1860" s="91" t="s">
        <v>60</v>
      </c>
      <c r="K1860" s="65" t="s">
        <v>687</v>
      </c>
      <c r="L1860" s="91">
        <f>SUM(L1855:L1859)</f>
        <v>0</v>
      </c>
      <c r="M1860" s="91">
        <f>SUM(M1855:M1859)</f>
        <v>0</v>
      </c>
      <c r="N1860" s="91">
        <f>SUM(N1855:N1859)</f>
        <v>-40257</v>
      </c>
      <c r="O1860" s="91"/>
      <c r="P1860" s="91">
        <f>SUM(P1855:P1859)</f>
        <v>0</v>
      </c>
      <c r="Q1860" s="91">
        <f>SUM(Q1855:Q1859)</f>
        <v>0</v>
      </c>
      <c r="R1860" s="91">
        <f>SUM(R1855:R1859)</f>
        <v>0</v>
      </c>
      <c r="S1860" s="91">
        <f>SUM(S1855:S1859)</f>
        <v>0</v>
      </c>
      <c r="T1860" s="91">
        <f>SUM(T1855:T1859)</f>
        <v>0</v>
      </c>
      <c r="U1860" s="59">
        <f t="shared" si="2686"/>
        <v>0</v>
      </c>
      <c r="V1860" s="91">
        <f>SUM(V1855:V1859)</f>
        <v>0</v>
      </c>
      <c r="W1860" s="91">
        <f>SUM(W1855:W1859)</f>
        <v>0</v>
      </c>
      <c r="X1860" s="91">
        <f>SUM(X1855:X1859)</f>
        <v>0</v>
      </c>
      <c r="Y1860" s="136"/>
      <c r="Z1860" s="136"/>
      <c r="AA1860" s="136"/>
      <c r="AB1860" s="84"/>
      <c r="AC1860" s="90"/>
      <c r="AD1860" s="90"/>
      <c r="AE1860" s="100">
        <f t="shared" si="2687"/>
        <v>-1</v>
      </c>
      <c r="AF1860" s="90"/>
      <c r="AG1860" s="109">
        <f t="shared" si="2688"/>
        <v>-40257</v>
      </c>
      <c r="AH1860" s="100">
        <f t="shared" si="2689"/>
        <v>-1</v>
      </c>
      <c r="AI1860" s="100">
        <f t="shared" si="2690"/>
        <v>-1</v>
      </c>
    </row>
    <row r="1861" spans="1:35" s="47" customFormat="1" ht="21" customHeight="1" x14ac:dyDescent="0.3">
      <c r="A1861" s="78"/>
      <c r="B1861" s="106" t="s">
        <v>51</v>
      </c>
      <c r="C1861" s="117">
        <v>48186</v>
      </c>
      <c r="D1861" s="299">
        <v>15390588</v>
      </c>
      <c r="E1861" s="131" t="s">
        <v>750</v>
      </c>
      <c r="F1861" s="66">
        <v>756</v>
      </c>
      <c r="G1861" s="66"/>
      <c r="H1861" s="66"/>
      <c r="I1861" s="66"/>
      <c r="J1861" s="66"/>
      <c r="K1861" s="78"/>
      <c r="L1861" s="66"/>
      <c r="M1861" s="66">
        <f>482+300</f>
        <v>782</v>
      </c>
      <c r="N1861" s="110">
        <f t="shared" ref="N1861:N1862" si="2981">M1861-F1861</f>
        <v>26</v>
      </c>
      <c r="O1861" s="110"/>
      <c r="P1861" s="66"/>
      <c r="Q1861" s="66">
        <v>782</v>
      </c>
      <c r="R1861" s="66"/>
      <c r="S1861" s="66">
        <v>782</v>
      </c>
      <c r="T1861" s="110">
        <f>S1861-Q1861</f>
        <v>0</v>
      </c>
      <c r="U1861" s="59">
        <f t="shared" si="2686"/>
        <v>0</v>
      </c>
      <c r="V1861" s="66"/>
      <c r="W1861" s="66">
        <f>782</f>
        <v>782</v>
      </c>
      <c r="X1861" s="110">
        <f>W1861-M1861</f>
        <v>0</v>
      </c>
      <c r="Y1861" s="110"/>
      <c r="Z1861" s="110"/>
      <c r="AA1861" s="110"/>
      <c r="AB1861" s="46"/>
      <c r="AC1861" s="78"/>
      <c r="AD1861" s="78"/>
      <c r="AE1861" s="100">
        <f t="shared" si="2687"/>
        <v>3.439153439153439E-2</v>
      </c>
      <c r="AF1861" s="90"/>
      <c r="AG1861" s="109">
        <f t="shared" si="2688"/>
        <v>0</v>
      </c>
      <c r="AH1861" s="100">
        <f t="shared" si="2689"/>
        <v>3.439153439153439E-2</v>
      </c>
      <c r="AI1861" s="100">
        <f t="shared" si="2690"/>
        <v>3.439153439153439E-2</v>
      </c>
    </row>
    <row r="1862" spans="1:35" s="47" customFormat="1" ht="21" customHeight="1" x14ac:dyDescent="0.3">
      <c r="A1862" s="78"/>
      <c r="B1862" s="106" t="s">
        <v>51</v>
      </c>
      <c r="C1862" s="117">
        <v>48186</v>
      </c>
      <c r="D1862" s="300"/>
      <c r="E1862" s="131" t="s">
        <v>394</v>
      </c>
      <c r="F1862" s="66">
        <v>672</v>
      </c>
      <c r="G1862" s="66"/>
      <c r="H1862" s="66"/>
      <c r="I1862" s="66"/>
      <c r="J1862" s="66"/>
      <c r="K1862" s="78"/>
      <c r="L1862" s="66"/>
      <c r="M1862" s="66">
        <v>694</v>
      </c>
      <c r="N1862" s="110">
        <f t="shared" si="2981"/>
        <v>22</v>
      </c>
      <c r="O1862" s="110"/>
      <c r="P1862" s="66"/>
      <c r="Q1862" s="66">
        <f>694</f>
        <v>694</v>
      </c>
      <c r="R1862" s="66"/>
      <c r="S1862" s="66">
        <v>691</v>
      </c>
      <c r="T1862" s="110">
        <f t="shared" ref="T1862" si="2982">S1862-Q1862</f>
        <v>-3</v>
      </c>
      <c r="U1862" s="59">
        <f t="shared" si="2686"/>
        <v>1</v>
      </c>
      <c r="V1862" s="66"/>
      <c r="W1862" s="66">
        <f>688+2</f>
        <v>690</v>
      </c>
      <c r="X1862" s="110">
        <f t="shared" ref="X1862" si="2983">W1862-M1862</f>
        <v>-4</v>
      </c>
      <c r="Y1862" s="110"/>
      <c r="Z1862" s="110"/>
      <c r="AA1862" s="110"/>
      <c r="AB1862" s="46"/>
      <c r="AC1862" s="78"/>
      <c r="AD1862" s="78"/>
      <c r="AE1862" s="100">
        <f t="shared" si="2687"/>
        <v>3.273809523809524E-2</v>
      </c>
      <c r="AF1862" s="90"/>
      <c r="AG1862" s="109">
        <f t="shared" si="2688"/>
        <v>0</v>
      </c>
      <c r="AH1862" s="100">
        <f t="shared" si="2689"/>
        <v>2.8273809523809524E-2</v>
      </c>
      <c r="AI1862" s="100">
        <f t="shared" si="2690"/>
        <v>2.6785714285714284E-2</v>
      </c>
    </row>
    <row r="1863" spans="1:35" s="79" customFormat="1" ht="15.75" customHeight="1" x14ac:dyDescent="0.3">
      <c r="A1863" s="90" t="s">
        <v>46</v>
      </c>
      <c r="B1863" s="136" t="s">
        <v>51</v>
      </c>
      <c r="C1863" s="137"/>
      <c r="D1863" s="136"/>
      <c r="E1863" s="138"/>
      <c r="F1863" s="91">
        <f>SUM(F1861:F1862)</f>
        <v>1428</v>
      </c>
      <c r="G1863" s="91"/>
      <c r="H1863" s="91"/>
      <c r="I1863" s="91"/>
      <c r="J1863" s="91" t="s">
        <v>59</v>
      </c>
      <c r="K1863" s="65" t="s">
        <v>572</v>
      </c>
      <c r="L1863" s="91">
        <f>SUM(L1861:L1862)</f>
        <v>0</v>
      </c>
      <c r="M1863" s="91">
        <f>SUM(M1861:M1862)</f>
        <v>1476</v>
      </c>
      <c r="N1863" s="91">
        <f>SUM(N1861:N1862)</f>
        <v>48</v>
      </c>
      <c r="O1863" s="91" t="s">
        <v>210</v>
      </c>
      <c r="P1863" s="91">
        <f>SUM(P1861:P1862)</f>
        <v>0</v>
      </c>
      <c r="Q1863" s="91">
        <f>SUM(Q1861:Q1862)</f>
        <v>1476</v>
      </c>
      <c r="R1863" s="91">
        <f>SUM(R1861:R1862)</f>
        <v>0</v>
      </c>
      <c r="S1863" s="91">
        <f>SUM(S1861:S1862)</f>
        <v>1473</v>
      </c>
      <c r="T1863" s="91">
        <f>SUM(T1861:T1862)</f>
        <v>-3</v>
      </c>
      <c r="U1863" s="59">
        <f t="shared" si="2686"/>
        <v>1</v>
      </c>
      <c r="V1863" s="91">
        <f>SUM(V1861:V1862)</f>
        <v>0</v>
      </c>
      <c r="W1863" s="91">
        <f>SUM(W1861:W1862)</f>
        <v>1472</v>
      </c>
      <c r="X1863" s="91">
        <f>SUM(X1861:X1862)</f>
        <v>-4</v>
      </c>
      <c r="Y1863" s="136" t="s">
        <v>47</v>
      </c>
      <c r="Z1863" s="136" t="s">
        <v>45</v>
      </c>
      <c r="AA1863" s="136"/>
      <c r="AB1863" s="84"/>
      <c r="AC1863" s="90"/>
      <c r="AD1863" s="90"/>
      <c r="AE1863" s="100">
        <f t="shared" si="2687"/>
        <v>3.3613445378151259E-2</v>
      </c>
      <c r="AF1863" s="90"/>
      <c r="AG1863" s="109">
        <f t="shared" si="2688"/>
        <v>0</v>
      </c>
      <c r="AH1863" s="100">
        <f t="shared" si="2689"/>
        <v>3.1512605042016806E-2</v>
      </c>
      <c r="AI1863" s="100">
        <f t="shared" si="2690"/>
        <v>3.081232492997199E-2</v>
      </c>
    </row>
    <row r="1864" spans="1:35" s="47" customFormat="1" ht="21" customHeight="1" x14ac:dyDescent="0.3">
      <c r="A1864" s="78"/>
      <c r="B1864" s="106" t="s">
        <v>51</v>
      </c>
      <c r="C1864" s="117" t="s">
        <v>894</v>
      </c>
      <c r="D1864" s="299">
        <v>15391574</v>
      </c>
      <c r="E1864" s="131" t="s">
        <v>599</v>
      </c>
      <c r="F1864" s="66">
        <v>7753</v>
      </c>
      <c r="G1864" s="66"/>
      <c r="H1864" s="66"/>
      <c r="I1864" s="66"/>
      <c r="J1864" s="66"/>
      <c r="K1864" s="78"/>
      <c r="L1864" s="66"/>
      <c r="M1864" s="66"/>
      <c r="N1864" s="110">
        <f t="shared" ref="N1864:N1868" si="2984">M1864-F1864</f>
        <v>-7753</v>
      </c>
      <c r="O1864" s="110"/>
      <c r="P1864" s="66"/>
      <c r="Q1864" s="66"/>
      <c r="R1864" s="66"/>
      <c r="S1864" s="66"/>
      <c r="T1864" s="110">
        <f>S1864-Q1864</f>
        <v>0</v>
      </c>
      <c r="U1864" s="59">
        <f t="shared" si="2686"/>
        <v>0</v>
      </c>
      <c r="V1864" s="66"/>
      <c r="W1864" s="66"/>
      <c r="X1864" s="110">
        <f>W1864-M1864</f>
        <v>0</v>
      </c>
      <c r="Y1864" s="110"/>
      <c r="Z1864" s="110"/>
      <c r="AA1864" s="110"/>
      <c r="AB1864" s="46"/>
      <c r="AC1864" s="78"/>
      <c r="AD1864" s="78"/>
      <c r="AE1864" s="100">
        <f t="shared" si="2687"/>
        <v>-1</v>
      </c>
      <c r="AF1864" s="90"/>
      <c r="AG1864" s="109">
        <f t="shared" si="2688"/>
        <v>-7753</v>
      </c>
      <c r="AH1864" s="100">
        <f t="shared" si="2689"/>
        <v>-1</v>
      </c>
      <c r="AI1864" s="100">
        <f t="shared" si="2690"/>
        <v>-1</v>
      </c>
    </row>
    <row r="1865" spans="1:35" s="47" customFormat="1" ht="21" customHeight="1" x14ac:dyDescent="0.3">
      <c r="A1865" s="78"/>
      <c r="B1865" s="106" t="s">
        <v>51</v>
      </c>
      <c r="C1865" s="117" t="s">
        <v>894</v>
      </c>
      <c r="D1865" s="300"/>
      <c r="E1865" s="131" t="s">
        <v>49</v>
      </c>
      <c r="F1865" s="66">
        <v>6863</v>
      </c>
      <c r="G1865" s="66"/>
      <c r="H1865" s="66"/>
      <c r="I1865" s="66"/>
      <c r="J1865" s="66"/>
      <c r="K1865" s="78"/>
      <c r="L1865" s="66"/>
      <c r="M1865" s="66"/>
      <c r="N1865" s="110">
        <f t="shared" si="2984"/>
        <v>-6863</v>
      </c>
      <c r="O1865" s="110"/>
      <c r="P1865" s="66"/>
      <c r="Q1865" s="66"/>
      <c r="R1865" s="66"/>
      <c r="S1865" s="66"/>
      <c r="T1865" s="110">
        <f t="shared" ref="T1865:T1866" si="2985">S1865-Q1865</f>
        <v>0</v>
      </c>
      <c r="U1865" s="59">
        <f t="shared" si="2686"/>
        <v>0</v>
      </c>
      <c r="V1865" s="66"/>
      <c r="W1865" s="66"/>
      <c r="X1865" s="110">
        <f t="shared" ref="X1865:X1866" si="2986">W1865-M1865</f>
        <v>0</v>
      </c>
      <c r="Y1865" s="110"/>
      <c r="Z1865" s="110"/>
      <c r="AA1865" s="110"/>
      <c r="AB1865" s="46"/>
      <c r="AC1865" s="78"/>
      <c r="AD1865" s="78"/>
      <c r="AE1865" s="100">
        <f t="shared" si="2687"/>
        <v>-1</v>
      </c>
      <c r="AF1865" s="90"/>
      <c r="AG1865" s="109">
        <f t="shared" si="2688"/>
        <v>-6863</v>
      </c>
      <c r="AH1865" s="100">
        <f t="shared" si="2689"/>
        <v>-1</v>
      </c>
      <c r="AI1865" s="100">
        <f t="shared" si="2690"/>
        <v>-1</v>
      </c>
    </row>
    <row r="1866" spans="1:35" s="47" customFormat="1" ht="21" customHeight="1" x14ac:dyDescent="0.3">
      <c r="A1866" s="78"/>
      <c r="B1866" s="106" t="s">
        <v>51</v>
      </c>
      <c r="C1866" s="117" t="s">
        <v>894</v>
      </c>
      <c r="D1866" s="300"/>
      <c r="E1866" s="131" t="s">
        <v>292</v>
      </c>
      <c r="F1866" s="66">
        <v>9789</v>
      </c>
      <c r="G1866" s="66"/>
      <c r="H1866" s="66"/>
      <c r="I1866" s="66"/>
      <c r="J1866" s="66"/>
      <c r="K1866" s="78"/>
      <c r="L1866" s="66"/>
      <c r="M1866" s="66"/>
      <c r="N1866" s="110">
        <f t="shared" ref="N1866" si="2987">M1866-F1866</f>
        <v>-9789</v>
      </c>
      <c r="O1866" s="110"/>
      <c r="P1866" s="66"/>
      <c r="Q1866" s="66"/>
      <c r="R1866" s="66"/>
      <c r="S1866" s="66"/>
      <c r="T1866" s="110">
        <f t="shared" si="2985"/>
        <v>0</v>
      </c>
      <c r="U1866" s="59">
        <f t="shared" ref="U1866" si="2988">IF(Q1866&gt;0,S1866-W1866,M1866-W1866)</f>
        <v>0</v>
      </c>
      <c r="V1866" s="66"/>
      <c r="W1866" s="66"/>
      <c r="X1866" s="110">
        <f t="shared" si="2986"/>
        <v>0</v>
      </c>
      <c r="Y1866" s="110"/>
      <c r="Z1866" s="110"/>
      <c r="AA1866" s="110"/>
      <c r="AB1866" s="46"/>
      <c r="AC1866" s="78"/>
      <c r="AD1866" s="78"/>
      <c r="AE1866" s="100">
        <f t="shared" ref="AE1866" si="2989">N1866/F1866</f>
        <v>-1</v>
      </c>
      <c r="AF1866" s="90"/>
      <c r="AG1866" s="109">
        <f t="shared" ref="AG1866" si="2990">IF(N1866&lt;0,N1866,0)</f>
        <v>-9789</v>
      </c>
      <c r="AH1866" s="100">
        <f t="shared" ref="AH1866" si="2991">(S1866-F1866)/F1866</f>
        <v>-1</v>
      </c>
      <c r="AI1866" s="100">
        <f t="shared" ref="AI1866" si="2992">(W1866-F1866)/F1866</f>
        <v>-1</v>
      </c>
    </row>
    <row r="1867" spans="1:35" s="47" customFormat="1" ht="21" customHeight="1" x14ac:dyDescent="0.3">
      <c r="A1867" s="78"/>
      <c r="B1867" s="106" t="s">
        <v>51</v>
      </c>
      <c r="C1867" s="117" t="s">
        <v>894</v>
      </c>
      <c r="D1867" s="300"/>
      <c r="E1867" s="131" t="s">
        <v>895</v>
      </c>
      <c r="F1867" s="66">
        <v>8725</v>
      </c>
      <c r="G1867" s="66"/>
      <c r="H1867" s="66"/>
      <c r="I1867" s="66"/>
      <c r="J1867" s="66"/>
      <c r="K1867" s="78"/>
      <c r="L1867" s="66"/>
      <c r="M1867" s="66"/>
      <c r="N1867" s="110">
        <f t="shared" ref="N1867" si="2993">M1867-F1867</f>
        <v>-8725</v>
      </c>
      <c r="O1867" s="110"/>
      <c r="P1867" s="66"/>
      <c r="Q1867" s="66"/>
      <c r="R1867" s="66"/>
      <c r="S1867" s="66"/>
      <c r="T1867" s="110">
        <f t="shared" ref="T1867" si="2994">S1867-Q1867</f>
        <v>0</v>
      </c>
      <c r="U1867" s="59">
        <f t="shared" ref="U1867" si="2995">IF(Q1867&gt;0,S1867-W1867,M1867-W1867)</f>
        <v>0</v>
      </c>
      <c r="V1867" s="66"/>
      <c r="W1867" s="66"/>
      <c r="X1867" s="110">
        <f t="shared" ref="X1867" si="2996">W1867-M1867</f>
        <v>0</v>
      </c>
      <c r="Y1867" s="110"/>
      <c r="Z1867" s="110"/>
      <c r="AA1867" s="110"/>
      <c r="AB1867" s="46"/>
      <c r="AC1867" s="78"/>
      <c r="AD1867" s="78"/>
      <c r="AE1867" s="100">
        <f t="shared" ref="AE1867" si="2997">N1867/F1867</f>
        <v>-1</v>
      </c>
      <c r="AF1867" s="90"/>
      <c r="AG1867" s="109">
        <f t="shared" ref="AG1867" si="2998">IF(N1867&lt;0,N1867,0)</f>
        <v>-8725</v>
      </c>
      <c r="AH1867" s="100">
        <f t="shared" ref="AH1867" si="2999">(S1867-F1867)/F1867</f>
        <v>-1</v>
      </c>
      <c r="AI1867" s="100">
        <f t="shared" ref="AI1867" si="3000">(W1867-F1867)/F1867</f>
        <v>-1</v>
      </c>
    </row>
    <row r="1868" spans="1:35" s="47" customFormat="1" ht="21" customHeight="1" x14ac:dyDescent="0.3">
      <c r="A1868" s="78"/>
      <c r="B1868" s="106" t="s">
        <v>51</v>
      </c>
      <c r="C1868" s="117" t="s">
        <v>894</v>
      </c>
      <c r="D1868" s="300"/>
      <c r="E1868" s="131" t="s">
        <v>0</v>
      </c>
      <c r="F1868" s="66">
        <v>7127</v>
      </c>
      <c r="G1868" s="66"/>
      <c r="H1868" s="66"/>
      <c r="I1868" s="66"/>
      <c r="J1868" s="66"/>
      <c r="K1868" s="78"/>
      <c r="L1868" s="66"/>
      <c r="M1868" s="66"/>
      <c r="N1868" s="110">
        <f t="shared" si="2984"/>
        <v>-7127</v>
      </c>
      <c r="O1868" s="110"/>
      <c r="P1868" s="66"/>
      <c r="Q1868" s="66"/>
      <c r="R1868" s="66"/>
      <c r="S1868" s="66"/>
      <c r="T1868" s="110">
        <f t="shared" ref="T1868" si="3001">S1868-Q1868</f>
        <v>0</v>
      </c>
      <c r="U1868" s="59">
        <f t="shared" si="2686"/>
        <v>0</v>
      </c>
      <c r="V1868" s="66"/>
      <c r="W1868" s="66"/>
      <c r="X1868" s="110">
        <f t="shared" ref="X1868" si="3002">W1868-M1868</f>
        <v>0</v>
      </c>
      <c r="Y1868" s="110"/>
      <c r="Z1868" s="110"/>
      <c r="AA1868" s="110"/>
      <c r="AB1868" s="46"/>
      <c r="AC1868" s="78"/>
      <c r="AD1868" s="78"/>
      <c r="AE1868" s="100">
        <f t="shared" si="2687"/>
        <v>-1</v>
      </c>
      <c r="AF1868" s="90"/>
      <c r="AG1868" s="109">
        <f t="shared" si="2688"/>
        <v>-7127</v>
      </c>
      <c r="AH1868" s="100">
        <f t="shared" si="2689"/>
        <v>-1</v>
      </c>
      <c r="AI1868" s="100">
        <f t="shared" si="2690"/>
        <v>-1</v>
      </c>
    </row>
    <row r="1869" spans="1:35" s="79" customFormat="1" ht="15.75" customHeight="1" x14ac:dyDescent="0.3">
      <c r="A1869" s="90" t="s">
        <v>46</v>
      </c>
      <c r="B1869" s="136" t="s">
        <v>51</v>
      </c>
      <c r="C1869" s="137"/>
      <c r="D1869" s="136"/>
      <c r="E1869" s="138"/>
      <c r="F1869" s="91">
        <f>SUM(F1864:F1868)</f>
        <v>40257</v>
      </c>
      <c r="G1869" s="91"/>
      <c r="H1869" s="91"/>
      <c r="I1869" s="91"/>
      <c r="J1869" s="91" t="s">
        <v>59</v>
      </c>
      <c r="K1869" s="65" t="s">
        <v>687</v>
      </c>
      <c r="L1869" s="91">
        <f>SUM(L1864:L1868)</f>
        <v>0</v>
      </c>
      <c r="M1869" s="91">
        <f>SUM(M1864:M1868)</f>
        <v>0</v>
      </c>
      <c r="N1869" s="91">
        <f>SUM(N1864:N1868)</f>
        <v>-40257</v>
      </c>
      <c r="O1869" s="91"/>
      <c r="P1869" s="91">
        <f>SUM(P1864:P1868)</f>
        <v>0</v>
      </c>
      <c r="Q1869" s="91">
        <f>SUM(Q1864:Q1868)</f>
        <v>0</v>
      </c>
      <c r="R1869" s="91">
        <f>SUM(R1864:R1868)</f>
        <v>0</v>
      </c>
      <c r="S1869" s="91">
        <f>SUM(S1864:S1868)</f>
        <v>0</v>
      </c>
      <c r="T1869" s="91">
        <f>SUM(T1864:T1868)</f>
        <v>0</v>
      </c>
      <c r="U1869" s="59">
        <f t="shared" si="2686"/>
        <v>0</v>
      </c>
      <c r="V1869" s="91">
        <f>SUM(V1864:V1868)</f>
        <v>0</v>
      </c>
      <c r="W1869" s="91">
        <f>SUM(W1864:W1868)</f>
        <v>0</v>
      </c>
      <c r="X1869" s="91">
        <f>SUM(X1864:X1868)</f>
        <v>0</v>
      </c>
      <c r="Y1869" s="136"/>
      <c r="Z1869" s="136"/>
      <c r="AA1869" s="136"/>
      <c r="AB1869" s="84"/>
      <c r="AC1869" s="90"/>
      <c r="AD1869" s="90"/>
      <c r="AE1869" s="100">
        <f t="shared" si="2687"/>
        <v>-1</v>
      </c>
      <c r="AF1869" s="90"/>
      <c r="AG1869" s="109">
        <f t="shared" si="2688"/>
        <v>-40257</v>
      </c>
      <c r="AH1869" s="100">
        <f t="shared" si="2689"/>
        <v>-1</v>
      </c>
      <c r="AI1869" s="100">
        <f t="shared" si="2690"/>
        <v>-1</v>
      </c>
    </row>
    <row r="1870" spans="1:35" s="47" customFormat="1" ht="21" customHeight="1" x14ac:dyDescent="0.3">
      <c r="A1870" s="78"/>
      <c r="B1870" s="106" t="s">
        <v>51</v>
      </c>
      <c r="C1870" s="117">
        <v>48207</v>
      </c>
      <c r="D1870" s="299">
        <v>15347335</v>
      </c>
      <c r="E1870" s="131" t="s">
        <v>228</v>
      </c>
      <c r="F1870" s="66">
        <v>1859</v>
      </c>
      <c r="G1870" s="66"/>
      <c r="H1870" s="66"/>
      <c r="I1870" s="66"/>
      <c r="J1870" s="66"/>
      <c r="K1870" s="78"/>
      <c r="L1870" s="66"/>
      <c r="M1870" s="66">
        <f>1916</f>
        <v>1916</v>
      </c>
      <c r="N1870" s="110">
        <f t="shared" ref="N1870:N1871" si="3003">M1870-F1870</f>
        <v>57</v>
      </c>
      <c r="O1870" s="110"/>
      <c r="P1870" s="66"/>
      <c r="Q1870" s="66">
        <f>876+1040</f>
        <v>1916</v>
      </c>
      <c r="R1870" s="66"/>
      <c r="S1870" s="66"/>
      <c r="T1870" s="110">
        <f>S1870-Q1870</f>
        <v>-1916</v>
      </c>
      <c r="U1870" s="59">
        <f t="shared" ref="U1870:U2122" si="3004">IF(Q1870&gt;0,S1870-W1870,M1870-W1870)</f>
        <v>0</v>
      </c>
      <c r="V1870" s="66"/>
      <c r="W1870" s="66"/>
      <c r="X1870" s="110">
        <f>W1870-M1870</f>
        <v>-1916</v>
      </c>
      <c r="Y1870" s="110"/>
      <c r="Z1870" s="110"/>
      <c r="AA1870" s="110"/>
      <c r="AB1870" s="46"/>
      <c r="AC1870" s="78"/>
      <c r="AD1870" s="78"/>
      <c r="AE1870" s="100">
        <f t="shared" ref="AE1870:AE2122" si="3005">N1870/F1870</f>
        <v>3.0661646046261429E-2</v>
      </c>
      <c r="AF1870" s="90"/>
      <c r="AG1870" s="109">
        <f t="shared" ref="AG1870:AG2122" si="3006">IF(N1870&lt;0,N1870,0)</f>
        <v>0</v>
      </c>
      <c r="AH1870" s="100">
        <f t="shared" ref="AH1870:AH2122" si="3007">(S1870-F1870)/F1870</f>
        <v>-1</v>
      </c>
      <c r="AI1870" s="100">
        <f t="shared" ref="AI1870:AI2122" si="3008">(W1870-F1870)/F1870</f>
        <v>-1</v>
      </c>
    </row>
    <row r="1871" spans="1:35" s="47" customFormat="1" ht="21" customHeight="1" x14ac:dyDescent="0.3">
      <c r="A1871" s="78"/>
      <c r="B1871" s="106" t="s">
        <v>51</v>
      </c>
      <c r="C1871" s="117">
        <v>48207</v>
      </c>
      <c r="D1871" s="300"/>
      <c r="E1871" s="131" t="s">
        <v>49</v>
      </c>
      <c r="F1871" s="66">
        <v>578</v>
      </c>
      <c r="G1871" s="66"/>
      <c r="H1871" s="66"/>
      <c r="I1871" s="66"/>
      <c r="J1871" s="66"/>
      <c r="K1871" s="78"/>
      <c r="L1871" s="66"/>
      <c r="M1871" s="66">
        <f>595</f>
        <v>595</v>
      </c>
      <c r="N1871" s="110">
        <f t="shared" si="3003"/>
        <v>17</v>
      </c>
      <c r="O1871" s="110"/>
      <c r="P1871" s="66"/>
      <c r="Q1871" s="66">
        <f>590</f>
        <v>590</v>
      </c>
      <c r="R1871" s="66"/>
      <c r="S1871" s="66"/>
      <c r="T1871" s="110">
        <f t="shared" ref="T1871" si="3009">S1871-Q1871</f>
        <v>-590</v>
      </c>
      <c r="U1871" s="59">
        <f t="shared" si="3004"/>
        <v>0</v>
      </c>
      <c r="V1871" s="66"/>
      <c r="W1871" s="66"/>
      <c r="X1871" s="110">
        <f t="shared" ref="X1871" si="3010">W1871-M1871</f>
        <v>-595</v>
      </c>
      <c r="Y1871" s="110"/>
      <c r="Z1871" s="110"/>
      <c r="AA1871" s="110"/>
      <c r="AB1871" s="46"/>
      <c r="AC1871" s="78"/>
      <c r="AD1871" s="78"/>
      <c r="AE1871" s="100">
        <f t="shared" si="3005"/>
        <v>2.9411764705882353E-2</v>
      </c>
      <c r="AF1871" s="90"/>
      <c r="AG1871" s="109">
        <f t="shared" si="3006"/>
        <v>0</v>
      </c>
      <c r="AH1871" s="100">
        <f t="shared" si="3007"/>
        <v>-1</v>
      </c>
      <c r="AI1871" s="100">
        <f t="shared" si="3008"/>
        <v>-1</v>
      </c>
    </row>
    <row r="1872" spans="1:35" s="79" customFormat="1" ht="15.75" customHeight="1" x14ac:dyDescent="0.3">
      <c r="A1872" s="90" t="s">
        <v>46</v>
      </c>
      <c r="B1872" s="136" t="s">
        <v>51</v>
      </c>
      <c r="C1872" s="137"/>
      <c r="D1872" s="136"/>
      <c r="E1872" s="138"/>
      <c r="F1872" s="91">
        <f>SUM(F1870:F1871)</f>
        <v>2437</v>
      </c>
      <c r="G1872" s="91"/>
      <c r="H1872" s="91"/>
      <c r="I1872" s="91"/>
      <c r="J1872" s="91" t="s">
        <v>59</v>
      </c>
      <c r="K1872" s="65" t="s">
        <v>617</v>
      </c>
      <c r="L1872" s="91">
        <f>SUM(L1870:L1871)</f>
        <v>0</v>
      </c>
      <c r="M1872" s="91">
        <f>SUM(M1870:M1871)</f>
        <v>2511</v>
      </c>
      <c r="N1872" s="91">
        <f>SUM(N1870:N1871)</f>
        <v>74</v>
      </c>
      <c r="O1872" s="91" t="s">
        <v>808</v>
      </c>
      <c r="P1872" s="91">
        <f>SUM(P1870:P1871)</f>
        <v>0</v>
      </c>
      <c r="Q1872" s="91">
        <f>SUM(Q1870:Q1871)</f>
        <v>2506</v>
      </c>
      <c r="R1872" s="91">
        <f>SUM(R1870:R1871)</f>
        <v>0</v>
      </c>
      <c r="S1872" s="91">
        <f>SUM(S1870:S1871)</f>
        <v>0</v>
      </c>
      <c r="T1872" s="91">
        <f>SUM(T1870:T1871)</f>
        <v>-2506</v>
      </c>
      <c r="U1872" s="59">
        <f t="shared" si="3004"/>
        <v>0</v>
      </c>
      <c r="V1872" s="91">
        <f>SUM(V1870:V1871)</f>
        <v>0</v>
      </c>
      <c r="W1872" s="91">
        <f>SUM(W1870:W1871)</f>
        <v>0</v>
      </c>
      <c r="X1872" s="91">
        <f>SUM(X1870:X1871)</f>
        <v>-2511</v>
      </c>
      <c r="Y1872" s="136" t="s">
        <v>47</v>
      </c>
      <c r="Z1872" s="136" t="s">
        <v>45</v>
      </c>
      <c r="AA1872" s="136"/>
      <c r="AB1872" s="84"/>
      <c r="AC1872" s="90"/>
      <c r="AD1872" s="90"/>
      <c r="AE1872" s="100">
        <f t="shared" si="3005"/>
        <v>3.0365203118588428E-2</v>
      </c>
      <c r="AF1872" s="90"/>
      <c r="AG1872" s="109">
        <f t="shared" si="3006"/>
        <v>0</v>
      </c>
      <c r="AH1872" s="100">
        <f t="shared" si="3007"/>
        <v>-1</v>
      </c>
      <c r="AI1872" s="100">
        <f t="shared" si="3008"/>
        <v>-1</v>
      </c>
    </row>
    <row r="1873" spans="1:35" s="47" customFormat="1" ht="21" customHeight="1" x14ac:dyDescent="0.3">
      <c r="A1873" s="78"/>
      <c r="B1873" s="106" t="s">
        <v>51</v>
      </c>
      <c r="C1873" s="117">
        <v>48225</v>
      </c>
      <c r="D1873" s="299">
        <v>15374431</v>
      </c>
      <c r="E1873" s="131" t="s">
        <v>49</v>
      </c>
      <c r="F1873" s="66">
        <v>1185</v>
      </c>
      <c r="G1873" s="66"/>
      <c r="H1873" s="66"/>
      <c r="I1873" s="66"/>
      <c r="J1873" s="66"/>
      <c r="K1873" s="78"/>
      <c r="L1873" s="66"/>
      <c r="M1873" s="66"/>
      <c r="N1873" s="110">
        <f t="shared" ref="N1873:N1875" si="3011">M1873-F1873</f>
        <v>-1185</v>
      </c>
      <c r="O1873" s="110"/>
      <c r="P1873" s="66"/>
      <c r="Q1873" s="66"/>
      <c r="R1873" s="66"/>
      <c r="S1873" s="66"/>
      <c r="T1873" s="110">
        <f>S1873-Q1873</f>
        <v>0</v>
      </c>
      <c r="U1873" s="59">
        <f t="shared" ref="U1873:U1886" si="3012">IF(Q1873&gt;0,S1873-W1873,M1873-W1873)</f>
        <v>0</v>
      </c>
      <c r="V1873" s="66"/>
      <c r="W1873" s="66"/>
      <c r="X1873" s="110">
        <f>W1873-M1873</f>
        <v>0</v>
      </c>
      <c r="Y1873" s="110"/>
      <c r="Z1873" s="110"/>
      <c r="AA1873" s="110"/>
      <c r="AB1873" s="46"/>
      <c r="AC1873" s="78"/>
      <c r="AD1873" s="78"/>
      <c r="AE1873" s="100">
        <f t="shared" ref="AE1873:AE1886" si="3013">N1873/F1873</f>
        <v>-1</v>
      </c>
      <c r="AF1873" s="90"/>
      <c r="AG1873" s="109">
        <f t="shared" ref="AG1873:AG1886" si="3014">IF(N1873&lt;0,N1873,0)</f>
        <v>-1185</v>
      </c>
      <c r="AH1873" s="100">
        <f t="shared" ref="AH1873:AH1886" si="3015">(S1873-F1873)/F1873</f>
        <v>-1</v>
      </c>
      <c r="AI1873" s="100">
        <f t="shared" ref="AI1873:AI1886" si="3016">(W1873-F1873)/F1873</f>
        <v>-1</v>
      </c>
    </row>
    <row r="1874" spans="1:35" s="47" customFormat="1" ht="21" customHeight="1" x14ac:dyDescent="0.3">
      <c r="A1874" s="78"/>
      <c r="B1874" s="106" t="s">
        <v>51</v>
      </c>
      <c r="C1874" s="117">
        <v>48225</v>
      </c>
      <c r="D1874" s="300"/>
      <c r="E1874" s="131" t="s">
        <v>0</v>
      </c>
      <c r="F1874" s="66">
        <v>753</v>
      </c>
      <c r="G1874" s="66"/>
      <c r="H1874" s="66"/>
      <c r="I1874" s="66"/>
      <c r="J1874" s="66"/>
      <c r="K1874" s="78"/>
      <c r="L1874" s="66"/>
      <c r="M1874" s="66"/>
      <c r="N1874" s="110">
        <f t="shared" si="3011"/>
        <v>-753</v>
      </c>
      <c r="O1874" s="110"/>
      <c r="P1874" s="66"/>
      <c r="Q1874" s="66"/>
      <c r="R1874" s="66"/>
      <c r="S1874" s="66"/>
      <c r="T1874" s="110">
        <f t="shared" ref="T1874:T1875" si="3017">S1874-Q1874</f>
        <v>0</v>
      </c>
      <c r="U1874" s="59">
        <f t="shared" si="3012"/>
        <v>0</v>
      </c>
      <c r="V1874" s="66"/>
      <c r="W1874" s="66"/>
      <c r="X1874" s="110">
        <f t="shared" ref="X1874:X1875" si="3018">W1874-M1874</f>
        <v>0</v>
      </c>
      <c r="Y1874" s="110"/>
      <c r="Z1874" s="110"/>
      <c r="AA1874" s="110"/>
      <c r="AB1874" s="46"/>
      <c r="AC1874" s="78"/>
      <c r="AD1874" s="78"/>
      <c r="AE1874" s="100">
        <f t="shared" si="3013"/>
        <v>-1</v>
      </c>
      <c r="AF1874" s="90"/>
      <c r="AG1874" s="109">
        <f t="shared" si="3014"/>
        <v>-753</v>
      </c>
      <c r="AH1874" s="100">
        <f t="shared" si="3015"/>
        <v>-1</v>
      </c>
      <c r="AI1874" s="100">
        <f t="shared" si="3016"/>
        <v>-1</v>
      </c>
    </row>
    <row r="1875" spans="1:35" s="47" customFormat="1" ht="21" customHeight="1" x14ac:dyDescent="0.3">
      <c r="A1875" s="78"/>
      <c r="B1875" s="106" t="s">
        <v>51</v>
      </c>
      <c r="C1875" s="117">
        <v>48225</v>
      </c>
      <c r="D1875" s="300"/>
      <c r="E1875" s="131" t="s">
        <v>310</v>
      </c>
      <c r="F1875" s="66">
        <v>654</v>
      </c>
      <c r="G1875" s="66"/>
      <c r="H1875" s="66"/>
      <c r="I1875" s="66"/>
      <c r="J1875" s="66"/>
      <c r="K1875" s="78"/>
      <c r="L1875" s="66"/>
      <c r="M1875" s="66"/>
      <c r="N1875" s="110">
        <f t="shared" si="3011"/>
        <v>-654</v>
      </c>
      <c r="O1875" s="110"/>
      <c r="P1875" s="66"/>
      <c r="Q1875" s="66"/>
      <c r="R1875" s="66"/>
      <c r="S1875" s="66"/>
      <c r="T1875" s="110">
        <f t="shared" si="3017"/>
        <v>0</v>
      </c>
      <c r="U1875" s="59">
        <f t="shared" si="3012"/>
        <v>0</v>
      </c>
      <c r="V1875" s="66"/>
      <c r="W1875" s="66"/>
      <c r="X1875" s="110">
        <f t="shared" si="3018"/>
        <v>0</v>
      </c>
      <c r="Y1875" s="110"/>
      <c r="Z1875" s="110"/>
      <c r="AA1875" s="110"/>
      <c r="AB1875" s="46"/>
      <c r="AC1875" s="78"/>
      <c r="AD1875" s="78"/>
      <c r="AE1875" s="100">
        <f t="shared" si="3013"/>
        <v>-1</v>
      </c>
      <c r="AF1875" s="90"/>
      <c r="AG1875" s="109">
        <f t="shared" si="3014"/>
        <v>-654</v>
      </c>
      <c r="AH1875" s="100">
        <f t="shared" si="3015"/>
        <v>-1</v>
      </c>
      <c r="AI1875" s="100">
        <f t="shared" si="3016"/>
        <v>-1</v>
      </c>
    </row>
    <row r="1876" spans="1:35" s="79" customFormat="1" ht="15.75" customHeight="1" x14ac:dyDescent="0.3">
      <c r="A1876" s="90" t="s">
        <v>46</v>
      </c>
      <c r="B1876" s="136" t="s">
        <v>51</v>
      </c>
      <c r="C1876" s="137"/>
      <c r="D1876" s="136"/>
      <c r="E1876" s="138"/>
      <c r="F1876" s="91">
        <f>SUM(F1873:F1875)</f>
        <v>2592</v>
      </c>
      <c r="G1876" s="91"/>
      <c r="H1876" s="91"/>
      <c r="I1876" s="91"/>
      <c r="J1876" s="91"/>
      <c r="K1876" s="65" t="s">
        <v>515</v>
      </c>
      <c r="L1876" s="91">
        <f>SUM(L1873:L1875)</f>
        <v>0</v>
      </c>
      <c r="M1876" s="91">
        <f>SUM(M1873:M1875)</f>
        <v>0</v>
      </c>
      <c r="N1876" s="91">
        <f>SUM(N1873:N1875)</f>
        <v>-2592</v>
      </c>
      <c r="O1876" s="91"/>
      <c r="P1876" s="91">
        <f>SUM(P1873:P1875)</f>
        <v>0</v>
      </c>
      <c r="Q1876" s="91">
        <f>SUM(Q1873:Q1875)</f>
        <v>0</v>
      </c>
      <c r="R1876" s="91">
        <f>SUM(R1873:R1875)</f>
        <v>0</v>
      </c>
      <c r="S1876" s="91">
        <f>SUM(S1873:S1875)</f>
        <v>0</v>
      </c>
      <c r="T1876" s="91">
        <f>SUM(T1873:T1875)</f>
        <v>0</v>
      </c>
      <c r="U1876" s="59">
        <f t="shared" si="3012"/>
        <v>0</v>
      </c>
      <c r="V1876" s="91">
        <f>SUM(V1873:V1875)</f>
        <v>0</v>
      </c>
      <c r="W1876" s="91">
        <f>SUM(W1873:W1875)</f>
        <v>0</v>
      </c>
      <c r="X1876" s="91">
        <f>SUM(X1873:X1875)</f>
        <v>0</v>
      </c>
      <c r="Y1876" s="136"/>
      <c r="Z1876" s="136"/>
      <c r="AA1876" s="136"/>
      <c r="AB1876" s="84"/>
      <c r="AC1876" s="90"/>
      <c r="AD1876" s="90"/>
      <c r="AE1876" s="100">
        <f t="shared" si="3013"/>
        <v>-1</v>
      </c>
      <c r="AF1876" s="90"/>
      <c r="AG1876" s="109">
        <f t="shared" si="3014"/>
        <v>-2592</v>
      </c>
      <c r="AH1876" s="100">
        <f t="shared" si="3015"/>
        <v>-1</v>
      </c>
      <c r="AI1876" s="100">
        <f t="shared" si="3016"/>
        <v>-1</v>
      </c>
    </row>
    <row r="1877" spans="1:35" s="47" customFormat="1" ht="21" customHeight="1" x14ac:dyDescent="0.3">
      <c r="A1877" s="78"/>
      <c r="B1877" s="106" t="s">
        <v>51</v>
      </c>
      <c r="C1877" s="117">
        <v>48226</v>
      </c>
      <c r="D1877" s="299">
        <v>15371458</v>
      </c>
      <c r="E1877" s="131" t="s">
        <v>234</v>
      </c>
      <c r="F1877" s="66">
        <v>2757</v>
      </c>
      <c r="G1877" s="66"/>
      <c r="H1877" s="66"/>
      <c r="I1877" s="66"/>
      <c r="J1877" s="66"/>
      <c r="K1877" s="78"/>
      <c r="L1877" s="66"/>
      <c r="M1877" s="66"/>
      <c r="N1877" s="110">
        <f t="shared" ref="N1877:N1879" si="3019">M1877-F1877</f>
        <v>-2757</v>
      </c>
      <c r="O1877" s="110"/>
      <c r="P1877" s="66"/>
      <c r="Q1877" s="66"/>
      <c r="R1877" s="66"/>
      <c r="S1877" s="66"/>
      <c r="T1877" s="110">
        <f>S1877-Q1877</f>
        <v>0</v>
      </c>
      <c r="U1877" s="59">
        <f t="shared" si="3012"/>
        <v>0</v>
      </c>
      <c r="V1877" s="66"/>
      <c r="W1877" s="66"/>
      <c r="X1877" s="110">
        <f>W1877-M1877</f>
        <v>0</v>
      </c>
      <c r="Y1877" s="110"/>
      <c r="Z1877" s="110"/>
      <c r="AA1877" s="110"/>
      <c r="AB1877" s="46"/>
      <c r="AC1877" s="78"/>
      <c r="AD1877" s="78"/>
      <c r="AE1877" s="100">
        <f t="shared" si="3013"/>
        <v>-1</v>
      </c>
      <c r="AF1877" s="90"/>
      <c r="AG1877" s="109">
        <f t="shared" si="3014"/>
        <v>-2757</v>
      </c>
      <c r="AH1877" s="100">
        <f t="shared" si="3015"/>
        <v>-1</v>
      </c>
      <c r="AI1877" s="100">
        <f t="shared" si="3016"/>
        <v>-1</v>
      </c>
    </row>
    <row r="1878" spans="1:35" s="47" customFormat="1" ht="21" customHeight="1" x14ac:dyDescent="0.3">
      <c r="A1878" s="78"/>
      <c r="B1878" s="106" t="s">
        <v>51</v>
      </c>
      <c r="C1878" s="117">
        <v>48226</v>
      </c>
      <c r="D1878" s="300"/>
      <c r="E1878" s="131" t="s">
        <v>49</v>
      </c>
      <c r="F1878" s="66">
        <v>2685</v>
      </c>
      <c r="G1878" s="66"/>
      <c r="H1878" s="66"/>
      <c r="I1878" s="66"/>
      <c r="J1878" s="66"/>
      <c r="K1878" s="78"/>
      <c r="L1878" s="66"/>
      <c r="M1878" s="66"/>
      <c r="N1878" s="110">
        <f t="shared" si="3019"/>
        <v>-2685</v>
      </c>
      <c r="O1878" s="110"/>
      <c r="P1878" s="66"/>
      <c r="Q1878" s="66"/>
      <c r="R1878" s="66"/>
      <c r="S1878" s="66"/>
      <c r="T1878" s="110">
        <f t="shared" ref="T1878:T1879" si="3020">S1878-Q1878</f>
        <v>0</v>
      </c>
      <c r="U1878" s="59">
        <f t="shared" si="3012"/>
        <v>0</v>
      </c>
      <c r="V1878" s="66"/>
      <c r="W1878" s="66"/>
      <c r="X1878" s="110">
        <f t="shared" ref="X1878:X1879" si="3021">W1878-M1878</f>
        <v>0</v>
      </c>
      <c r="Y1878" s="110"/>
      <c r="Z1878" s="110"/>
      <c r="AA1878" s="110"/>
      <c r="AB1878" s="46"/>
      <c r="AC1878" s="78"/>
      <c r="AD1878" s="78"/>
      <c r="AE1878" s="100">
        <f t="shared" si="3013"/>
        <v>-1</v>
      </c>
      <c r="AF1878" s="90"/>
      <c r="AG1878" s="109">
        <f t="shared" si="3014"/>
        <v>-2685</v>
      </c>
      <c r="AH1878" s="100">
        <f t="shared" si="3015"/>
        <v>-1</v>
      </c>
      <c r="AI1878" s="100">
        <f t="shared" si="3016"/>
        <v>-1</v>
      </c>
    </row>
    <row r="1879" spans="1:35" s="47" customFormat="1" ht="21" customHeight="1" x14ac:dyDescent="0.3">
      <c r="A1879" s="78"/>
      <c r="B1879" s="106" t="s">
        <v>51</v>
      </c>
      <c r="C1879" s="117">
        <v>48226</v>
      </c>
      <c r="D1879" s="300"/>
      <c r="E1879" s="131" t="s">
        <v>228</v>
      </c>
      <c r="F1879" s="66">
        <v>2721</v>
      </c>
      <c r="G1879" s="66"/>
      <c r="H1879" s="66"/>
      <c r="I1879" s="66"/>
      <c r="J1879" s="66"/>
      <c r="K1879" s="78"/>
      <c r="L1879" s="66"/>
      <c r="M1879" s="66"/>
      <c r="N1879" s="110">
        <f t="shared" si="3019"/>
        <v>-2721</v>
      </c>
      <c r="O1879" s="110"/>
      <c r="P1879" s="66"/>
      <c r="Q1879" s="66"/>
      <c r="R1879" s="66"/>
      <c r="S1879" s="66"/>
      <c r="T1879" s="110">
        <f t="shared" si="3020"/>
        <v>0</v>
      </c>
      <c r="U1879" s="59">
        <f t="shared" si="3012"/>
        <v>0</v>
      </c>
      <c r="V1879" s="66"/>
      <c r="W1879" s="66"/>
      <c r="X1879" s="110">
        <f t="shared" si="3021"/>
        <v>0</v>
      </c>
      <c r="Y1879" s="110"/>
      <c r="Z1879" s="110"/>
      <c r="AA1879" s="110"/>
      <c r="AB1879" s="46"/>
      <c r="AC1879" s="78"/>
      <c r="AD1879" s="78"/>
      <c r="AE1879" s="100">
        <f t="shared" si="3013"/>
        <v>-1</v>
      </c>
      <c r="AF1879" s="90"/>
      <c r="AG1879" s="109">
        <f t="shared" si="3014"/>
        <v>-2721</v>
      </c>
      <c r="AH1879" s="100">
        <f t="shared" si="3015"/>
        <v>-1</v>
      </c>
      <c r="AI1879" s="100">
        <f t="shared" si="3016"/>
        <v>-1</v>
      </c>
    </row>
    <row r="1880" spans="1:35" s="79" customFormat="1" ht="15.75" customHeight="1" x14ac:dyDescent="0.3">
      <c r="A1880" s="90" t="s">
        <v>46</v>
      </c>
      <c r="B1880" s="136" t="s">
        <v>51</v>
      </c>
      <c r="C1880" s="137"/>
      <c r="D1880" s="136"/>
      <c r="E1880" s="138"/>
      <c r="F1880" s="91">
        <f>SUM(F1877:F1879)</f>
        <v>8163</v>
      </c>
      <c r="G1880" s="91"/>
      <c r="H1880" s="91"/>
      <c r="I1880" s="91"/>
      <c r="J1880" s="91"/>
      <c r="K1880" s="65" t="s">
        <v>508</v>
      </c>
      <c r="L1880" s="91">
        <f>SUM(L1877:L1879)</f>
        <v>0</v>
      </c>
      <c r="M1880" s="91">
        <f>SUM(M1877:M1879)</f>
        <v>0</v>
      </c>
      <c r="N1880" s="91">
        <f>SUM(N1877:N1879)</f>
        <v>-8163</v>
      </c>
      <c r="O1880" s="91"/>
      <c r="P1880" s="91">
        <f>SUM(P1877:P1879)</f>
        <v>0</v>
      </c>
      <c r="Q1880" s="91">
        <f>SUM(Q1877:Q1879)</f>
        <v>0</v>
      </c>
      <c r="R1880" s="91">
        <f>SUM(R1877:R1879)</f>
        <v>0</v>
      </c>
      <c r="S1880" s="91">
        <f>SUM(S1877:S1879)</f>
        <v>0</v>
      </c>
      <c r="T1880" s="91">
        <f>SUM(T1877:T1879)</f>
        <v>0</v>
      </c>
      <c r="U1880" s="59">
        <f t="shared" si="3012"/>
        <v>0</v>
      </c>
      <c r="V1880" s="91">
        <f>SUM(V1877:V1879)</f>
        <v>0</v>
      </c>
      <c r="W1880" s="91">
        <f>SUM(W1877:W1879)</f>
        <v>0</v>
      </c>
      <c r="X1880" s="91">
        <f>SUM(X1877:X1879)</f>
        <v>0</v>
      </c>
      <c r="Y1880" s="136" t="s">
        <v>47</v>
      </c>
      <c r="Z1880" s="136" t="s">
        <v>45</v>
      </c>
      <c r="AA1880" s="136"/>
      <c r="AB1880" s="84"/>
      <c r="AC1880" s="90"/>
      <c r="AD1880" s="90"/>
      <c r="AE1880" s="100">
        <f t="shared" si="3013"/>
        <v>-1</v>
      </c>
      <c r="AF1880" s="90"/>
      <c r="AG1880" s="109">
        <f t="shared" si="3014"/>
        <v>-8163</v>
      </c>
      <c r="AH1880" s="100">
        <f t="shared" si="3015"/>
        <v>-1</v>
      </c>
      <c r="AI1880" s="100">
        <f t="shared" si="3016"/>
        <v>-1</v>
      </c>
    </row>
    <row r="1881" spans="1:35" s="47" customFormat="1" ht="21" customHeight="1" x14ac:dyDescent="0.3">
      <c r="A1881" s="78"/>
      <c r="B1881" s="106" t="s">
        <v>51</v>
      </c>
      <c r="C1881" s="117">
        <v>48178</v>
      </c>
      <c r="D1881" s="299">
        <v>15388315</v>
      </c>
      <c r="E1881" s="131" t="s">
        <v>234</v>
      </c>
      <c r="F1881" s="66">
        <v>456</v>
      </c>
      <c r="G1881" s="66"/>
      <c r="H1881" s="66"/>
      <c r="I1881" s="66"/>
      <c r="J1881" s="66"/>
      <c r="K1881" s="78"/>
      <c r="L1881" s="66"/>
      <c r="M1881" s="66"/>
      <c r="N1881" s="110">
        <f t="shared" ref="N1881:N1885" si="3022">M1881-F1881</f>
        <v>-456</v>
      </c>
      <c r="O1881" s="110"/>
      <c r="P1881" s="66"/>
      <c r="Q1881" s="66"/>
      <c r="R1881" s="66"/>
      <c r="S1881" s="66"/>
      <c r="T1881" s="110">
        <f>S1881-Q1881</f>
        <v>0</v>
      </c>
      <c r="U1881" s="59">
        <f t="shared" si="3012"/>
        <v>0</v>
      </c>
      <c r="V1881" s="66"/>
      <c r="W1881" s="66"/>
      <c r="X1881" s="110">
        <f>W1881-M1881</f>
        <v>0</v>
      </c>
      <c r="Y1881" s="110"/>
      <c r="Z1881" s="110"/>
      <c r="AA1881" s="110"/>
      <c r="AB1881" s="46"/>
      <c r="AC1881" s="78"/>
      <c r="AD1881" s="78"/>
      <c r="AE1881" s="100">
        <f t="shared" si="3013"/>
        <v>-1</v>
      </c>
      <c r="AF1881" s="90"/>
      <c r="AG1881" s="109">
        <f t="shared" si="3014"/>
        <v>-456</v>
      </c>
      <c r="AH1881" s="100">
        <f t="shared" si="3015"/>
        <v>-1</v>
      </c>
      <c r="AI1881" s="100">
        <f t="shared" si="3016"/>
        <v>-1</v>
      </c>
    </row>
    <row r="1882" spans="1:35" s="47" customFormat="1" ht="21" customHeight="1" x14ac:dyDescent="0.3">
      <c r="A1882" s="78"/>
      <c r="B1882" s="106" t="s">
        <v>51</v>
      </c>
      <c r="C1882" s="117">
        <v>48178</v>
      </c>
      <c r="D1882" s="300"/>
      <c r="E1882" s="131" t="s">
        <v>150</v>
      </c>
      <c r="F1882" s="66">
        <v>684</v>
      </c>
      <c r="G1882" s="66"/>
      <c r="H1882" s="66"/>
      <c r="I1882" s="66"/>
      <c r="J1882" s="66"/>
      <c r="K1882" s="78"/>
      <c r="L1882" s="66"/>
      <c r="M1882" s="66"/>
      <c r="N1882" s="110">
        <f t="shared" si="3022"/>
        <v>-684</v>
      </c>
      <c r="O1882" s="110"/>
      <c r="P1882" s="66"/>
      <c r="Q1882" s="66"/>
      <c r="R1882" s="66"/>
      <c r="S1882" s="66"/>
      <c r="T1882" s="110">
        <f t="shared" ref="T1882:T1885" si="3023">S1882-Q1882</f>
        <v>0</v>
      </c>
      <c r="U1882" s="59">
        <f t="shared" si="3012"/>
        <v>0</v>
      </c>
      <c r="V1882" s="66"/>
      <c r="W1882" s="66"/>
      <c r="X1882" s="110">
        <f t="shared" ref="X1882:X1885" si="3024">W1882-M1882</f>
        <v>0</v>
      </c>
      <c r="Y1882" s="110"/>
      <c r="Z1882" s="110"/>
      <c r="AA1882" s="110"/>
      <c r="AB1882" s="46"/>
      <c r="AC1882" s="78"/>
      <c r="AD1882" s="78"/>
      <c r="AE1882" s="100">
        <f t="shared" si="3013"/>
        <v>-1</v>
      </c>
      <c r="AF1882" s="90"/>
      <c r="AG1882" s="109">
        <f t="shared" si="3014"/>
        <v>-684</v>
      </c>
      <c r="AH1882" s="100">
        <f t="shared" si="3015"/>
        <v>-1</v>
      </c>
      <c r="AI1882" s="100">
        <f t="shared" si="3016"/>
        <v>-1</v>
      </c>
    </row>
    <row r="1883" spans="1:35" s="47" customFormat="1" ht="21" customHeight="1" x14ac:dyDescent="0.3">
      <c r="A1883" s="78"/>
      <c r="B1883" s="106" t="s">
        <v>51</v>
      </c>
      <c r="C1883" s="117">
        <v>48178</v>
      </c>
      <c r="D1883" s="300"/>
      <c r="E1883" s="131" t="s">
        <v>309</v>
      </c>
      <c r="F1883" s="66">
        <v>792</v>
      </c>
      <c r="G1883" s="66"/>
      <c r="H1883" s="66"/>
      <c r="I1883" s="66"/>
      <c r="J1883" s="66"/>
      <c r="K1883" s="78"/>
      <c r="L1883" s="66"/>
      <c r="M1883" s="66"/>
      <c r="N1883" s="110">
        <f t="shared" si="3022"/>
        <v>-792</v>
      </c>
      <c r="O1883" s="110"/>
      <c r="P1883" s="66"/>
      <c r="Q1883" s="66"/>
      <c r="R1883" s="66"/>
      <c r="S1883" s="66"/>
      <c r="T1883" s="110">
        <f t="shared" si="3023"/>
        <v>0</v>
      </c>
      <c r="U1883" s="59">
        <f t="shared" si="3012"/>
        <v>0</v>
      </c>
      <c r="V1883" s="66"/>
      <c r="W1883" s="66"/>
      <c r="X1883" s="110">
        <f t="shared" si="3024"/>
        <v>0</v>
      </c>
      <c r="Y1883" s="110"/>
      <c r="Z1883" s="110"/>
      <c r="AA1883" s="110"/>
      <c r="AB1883" s="46"/>
      <c r="AC1883" s="78"/>
      <c r="AD1883" s="78"/>
      <c r="AE1883" s="100">
        <f t="shared" si="3013"/>
        <v>-1</v>
      </c>
      <c r="AF1883" s="90"/>
      <c r="AG1883" s="109">
        <f t="shared" si="3014"/>
        <v>-792</v>
      </c>
      <c r="AH1883" s="100">
        <f t="shared" si="3015"/>
        <v>-1</v>
      </c>
      <c r="AI1883" s="100">
        <f t="shared" si="3016"/>
        <v>-1</v>
      </c>
    </row>
    <row r="1884" spans="1:35" s="47" customFormat="1" ht="21" customHeight="1" x14ac:dyDescent="0.3">
      <c r="A1884" s="78"/>
      <c r="B1884" s="106" t="s">
        <v>51</v>
      </c>
      <c r="C1884" s="117">
        <v>48178</v>
      </c>
      <c r="D1884" s="300"/>
      <c r="E1884" s="131" t="s">
        <v>292</v>
      </c>
      <c r="F1884" s="66">
        <v>456</v>
      </c>
      <c r="G1884" s="66"/>
      <c r="H1884" s="66"/>
      <c r="I1884" s="66"/>
      <c r="J1884" s="66"/>
      <c r="K1884" s="78"/>
      <c r="L1884" s="66"/>
      <c r="M1884" s="66"/>
      <c r="N1884" s="110">
        <f t="shared" si="3022"/>
        <v>-456</v>
      </c>
      <c r="O1884" s="110"/>
      <c r="P1884" s="66"/>
      <c r="Q1884" s="66"/>
      <c r="R1884" s="66"/>
      <c r="S1884" s="66"/>
      <c r="T1884" s="110">
        <f t="shared" si="3023"/>
        <v>0</v>
      </c>
      <c r="U1884" s="59">
        <f t="shared" si="3012"/>
        <v>0</v>
      </c>
      <c r="V1884" s="66"/>
      <c r="W1884" s="66"/>
      <c r="X1884" s="110">
        <f t="shared" si="3024"/>
        <v>0</v>
      </c>
      <c r="Y1884" s="110"/>
      <c r="Z1884" s="110"/>
      <c r="AA1884" s="110"/>
      <c r="AB1884" s="46"/>
      <c r="AC1884" s="78"/>
      <c r="AD1884" s="78"/>
      <c r="AE1884" s="100">
        <f t="shared" si="3013"/>
        <v>-1</v>
      </c>
      <c r="AF1884" s="90"/>
      <c r="AG1884" s="109">
        <f t="shared" si="3014"/>
        <v>-456</v>
      </c>
      <c r="AH1884" s="100">
        <f t="shared" si="3015"/>
        <v>-1</v>
      </c>
      <c r="AI1884" s="100">
        <f t="shared" si="3016"/>
        <v>-1</v>
      </c>
    </row>
    <row r="1885" spans="1:35" s="47" customFormat="1" ht="21" customHeight="1" x14ac:dyDescent="0.3">
      <c r="A1885" s="78"/>
      <c r="B1885" s="106" t="s">
        <v>51</v>
      </c>
      <c r="C1885" s="117">
        <v>48178</v>
      </c>
      <c r="D1885" s="300"/>
      <c r="E1885" s="131" t="s">
        <v>0</v>
      </c>
      <c r="F1885" s="66">
        <v>684</v>
      </c>
      <c r="G1885" s="66"/>
      <c r="H1885" s="66"/>
      <c r="I1885" s="66"/>
      <c r="J1885" s="66"/>
      <c r="K1885" s="78"/>
      <c r="L1885" s="66"/>
      <c r="M1885" s="66"/>
      <c r="N1885" s="110">
        <f t="shared" si="3022"/>
        <v>-684</v>
      </c>
      <c r="O1885" s="110"/>
      <c r="P1885" s="66"/>
      <c r="Q1885" s="66"/>
      <c r="R1885" s="66"/>
      <c r="S1885" s="66"/>
      <c r="T1885" s="110">
        <f t="shared" si="3023"/>
        <v>0</v>
      </c>
      <c r="U1885" s="59">
        <f t="shared" si="3012"/>
        <v>0</v>
      </c>
      <c r="V1885" s="66"/>
      <c r="W1885" s="66"/>
      <c r="X1885" s="110">
        <f t="shared" si="3024"/>
        <v>0</v>
      </c>
      <c r="Y1885" s="110"/>
      <c r="Z1885" s="110"/>
      <c r="AA1885" s="110"/>
      <c r="AB1885" s="46"/>
      <c r="AC1885" s="78"/>
      <c r="AD1885" s="78"/>
      <c r="AE1885" s="100">
        <f t="shared" si="3013"/>
        <v>-1</v>
      </c>
      <c r="AF1885" s="90"/>
      <c r="AG1885" s="109">
        <f t="shared" si="3014"/>
        <v>-684</v>
      </c>
      <c r="AH1885" s="100">
        <f t="shared" si="3015"/>
        <v>-1</v>
      </c>
      <c r="AI1885" s="100">
        <f t="shared" si="3016"/>
        <v>-1</v>
      </c>
    </row>
    <row r="1886" spans="1:35" s="79" customFormat="1" ht="15.75" customHeight="1" x14ac:dyDescent="0.3">
      <c r="A1886" s="90" t="s">
        <v>46</v>
      </c>
      <c r="B1886" s="136" t="s">
        <v>51</v>
      </c>
      <c r="C1886" s="137"/>
      <c r="D1886" s="136"/>
      <c r="E1886" s="138"/>
      <c r="F1886" s="91">
        <f>SUM(F1881:F1885)</f>
        <v>3072</v>
      </c>
      <c r="G1886" s="91"/>
      <c r="H1886" s="91"/>
      <c r="I1886" s="91"/>
      <c r="J1886" s="91"/>
      <c r="K1886" s="65" t="s">
        <v>410</v>
      </c>
      <c r="L1886" s="91">
        <f>SUM(L1881:L1885)</f>
        <v>0</v>
      </c>
      <c r="M1886" s="91">
        <f>SUM(M1881:M1885)</f>
        <v>0</v>
      </c>
      <c r="N1886" s="91">
        <f>SUM(N1881:N1885)</f>
        <v>-3072</v>
      </c>
      <c r="O1886" s="91"/>
      <c r="P1886" s="91">
        <f>SUM(P1881:P1885)</f>
        <v>0</v>
      </c>
      <c r="Q1886" s="91">
        <f>SUM(Q1881:Q1885)</f>
        <v>0</v>
      </c>
      <c r="R1886" s="91">
        <f>SUM(R1881:R1885)</f>
        <v>0</v>
      </c>
      <c r="S1886" s="91">
        <f>SUM(S1881:S1885)</f>
        <v>0</v>
      </c>
      <c r="T1886" s="91">
        <f>SUM(T1881:T1885)</f>
        <v>0</v>
      </c>
      <c r="U1886" s="59">
        <f t="shared" si="3012"/>
        <v>0</v>
      </c>
      <c r="V1886" s="91">
        <f>SUM(V1881:V1885)</f>
        <v>0</v>
      </c>
      <c r="W1886" s="91">
        <f>SUM(W1881:W1885)</f>
        <v>0</v>
      </c>
      <c r="X1886" s="91">
        <f>SUM(X1881:X1885)</f>
        <v>0</v>
      </c>
      <c r="Y1886" s="136" t="s">
        <v>47</v>
      </c>
      <c r="Z1886" s="136" t="s">
        <v>45</v>
      </c>
      <c r="AA1886" s="136"/>
      <c r="AB1886" s="84"/>
      <c r="AC1886" s="90"/>
      <c r="AD1886" s="90"/>
      <c r="AE1886" s="100">
        <f t="shared" si="3013"/>
        <v>-1</v>
      </c>
      <c r="AF1886" s="90"/>
      <c r="AG1886" s="109">
        <f t="shared" si="3014"/>
        <v>-3072</v>
      </c>
      <c r="AH1886" s="100">
        <f t="shared" si="3015"/>
        <v>-1</v>
      </c>
      <c r="AI1886" s="100">
        <f t="shared" si="3016"/>
        <v>-1</v>
      </c>
    </row>
    <row r="1887" spans="1:35" s="47" customFormat="1" ht="21" customHeight="1" x14ac:dyDescent="0.3">
      <c r="A1887" s="78"/>
      <c r="B1887" s="106" t="s">
        <v>51</v>
      </c>
      <c r="C1887" s="117" t="s">
        <v>236</v>
      </c>
      <c r="D1887" s="299">
        <v>15386479</v>
      </c>
      <c r="E1887" s="131" t="s">
        <v>228</v>
      </c>
      <c r="F1887" s="66">
        <v>514</v>
      </c>
      <c r="G1887" s="66"/>
      <c r="H1887" s="66"/>
      <c r="I1887" s="66"/>
      <c r="J1887" s="66"/>
      <c r="K1887" s="78"/>
      <c r="L1887" s="66"/>
      <c r="M1887" s="66">
        <v>532</v>
      </c>
      <c r="N1887" s="110">
        <f t="shared" ref="N1887:N1894" si="3025">M1887-F1887</f>
        <v>18</v>
      </c>
      <c r="O1887" s="110"/>
      <c r="P1887" s="66"/>
      <c r="Q1887" s="66"/>
      <c r="R1887" s="66"/>
      <c r="S1887" s="66"/>
      <c r="T1887" s="110">
        <f>S1887-Q1887</f>
        <v>0</v>
      </c>
      <c r="U1887" s="59">
        <f t="shared" si="3004"/>
        <v>0</v>
      </c>
      <c r="V1887" s="66"/>
      <c r="W1887" s="66">
        <v>532</v>
      </c>
      <c r="X1887" s="110">
        <f>W1887-M1887</f>
        <v>0</v>
      </c>
      <c r="Y1887" s="110"/>
      <c r="Z1887" s="110"/>
      <c r="AA1887" s="110"/>
      <c r="AB1887" s="46"/>
      <c r="AC1887" s="78"/>
      <c r="AD1887" s="78"/>
      <c r="AE1887" s="100">
        <f t="shared" si="3005"/>
        <v>3.5019455252918288E-2</v>
      </c>
      <c r="AF1887" s="90"/>
      <c r="AG1887" s="109">
        <f t="shared" si="3006"/>
        <v>0</v>
      </c>
      <c r="AH1887" s="100">
        <f t="shared" si="3007"/>
        <v>-1</v>
      </c>
      <c r="AI1887" s="100">
        <f t="shared" si="3008"/>
        <v>3.5019455252918288E-2</v>
      </c>
    </row>
    <row r="1888" spans="1:35" s="47" customFormat="1" ht="21" customHeight="1" x14ac:dyDescent="0.3">
      <c r="A1888" s="78"/>
      <c r="B1888" s="106" t="s">
        <v>51</v>
      </c>
      <c r="C1888" s="117" t="s">
        <v>236</v>
      </c>
      <c r="D1888" s="300"/>
      <c r="E1888" s="131" t="s">
        <v>234</v>
      </c>
      <c r="F1888" s="66">
        <v>394</v>
      </c>
      <c r="G1888" s="66"/>
      <c r="H1888" s="66"/>
      <c r="I1888" s="66"/>
      <c r="J1888" s="66"/>
      <c r="K1888" s="78"/>
      <c r="L1888" s="66"/>
      <c r="M1888" s="66">
        <v>414</v>
      </c>
      <c r="N1888" s="110">
        <f t="shared" ref="N1888" si="3026">M1888-F1888</f>
        <v>20</v>
      </c>
      <c r="O1888" s="110"/>
      <c r="P1888" s="66"/>
      <c r="Q1888" s="66"/>
      <c r="R1888" s="66"/>
      <c r="S1888" s="66"/>
      <c r="T1888" s="110">
        <f t="shared" ref="T1888" si="3027">S1888-Q1888</f>
        <v>0</v>
      </c>
      <c r="U1888" s="59">
        <f t="shared" ref="U1888" si="3028">IF(Q1888&gt;0,S1888-W1888,M1888-W1888)</f>
        <v>0</v>
      </c>
      <c r="V1888" s="66"/>
      <c r="W1888" s="66">
        <v>414</v>
      </c>
      <c r="X1888" s="110">
        <f t="shared" ref="X1888" si="3029">W1888-M1888</f>
        <v>0</v>
      </c>
      <c r="Y1888" s="110"/>
      <c r="Z1888" s="110"/>
      <c r="AA1888" s="110"/>
      <c r="AB1888" s="46"/>
      <c r="AC1888" s="78"/>
      <c r="AD1888" s="78"/>
      <c r="AE1888" s="100">
        <f t="shared" ref="AE1888" si="3030">N1888/F1888</f>
        <v>5.0761421319796954E-2</v>
      </c>
      <c r="AF1888" s="90"/>
      <c r="AG1888" s="109">
        <f t="shared" ref="AG1888" si="3031">IF(N1888&lt;0,N1888,0)</f>
        <v>0</v>
      </c>
      <c r="AH1888" s="100">
        <f t="shared" ref="AH1888" si="3032">(S1888-F1888)/F1888</f>
        <v>-1</v>
      </c>
      <c r="AI1888" s="100">
        <f t="shared" ref="AI1888" si="3033">(W1888-F1888)/F1888</f>
        <v>5.0761421319796954E-2</v>
      </c>
    </row>
    <row r="1889" spans="1:35" s="47" customFormat="1" ht="21" customHeight="1" x14ac:dyDescent="0.3">
      <c r="A1889" s="78"/>
      <c r="B1889" s="106" t="s">
        <v>51</v>
      </c>
      <c r="C1889" s="117" t="s">
        <v>236</v>
      </c>
      <c r="D1889" s="300"/>
      <c r="E1889" s="131" t="s">
        <v>41</v>
      </c>
      <c r="F1889" s="66">
        <v>1051</v>
      </c>
      <c r="G1889" s="66"/>
      <c r="H1889" s="66"/>
      <c r="I1889" s="66"/>
      <c r="J1889" s="66"/>
      <c r="K1889" s="78"/>
      <c r="L1889" s="66"/>
      <c r="M1889" s="66">
        <f>517+560</f>
        <v>1077</v>
      </c>
      <c r="N1889" s="110">
        <f t="shared" si="3025"/>
        <v>26</v>
      </c>
      <c r="O1889" s="110"/>
      <c r="P1889" s="66"/>
      <c r="Q1889" s="66"/>
      <c r="R1889" s="66"/>
      <c r="S1889" s="66"/>
      <c r="T1889" s="110">
        <f t="shared" ref="T1889:T1895" si="3034">S1889-Q1889</f>
        <v>0</v>
      </c>
      <c r="U1889" s="59">
        <f t="shared" si="3004"/>
        <v>0</v>
      </c>
      <c r="V1889" s="66"/>
      <c r="W1889" s="66">
        <v>1077</v>
      </c>
      <c r="X1889" s="110">
        <f t="shared" ref="X1889:X1895" si="3035">W1889-M1889</f>
        <v>0</v>
      </c>
      <c r="Y1889" s="110"/>
      <c r="Z1889" s="110"/>
      <c r="AA1889" s="110"/>
      <c r="AB1889" s="46"/>
      <c r="AC1889" s="78"/>
      <c r="AD1889" s="78"/>
      <c r="AE1889" s="100">
        <f t="shared" si="3005"/>
        <v>2.4738344433872503E-2</v>
      </c>
      <c r="AF1889" s="90"/>
      <c r="AG1889" s="109">
        <f t="shared" si="3006"/>
        <v>0</v>
      </c>
      <c r="AH1889" s="100">
        <f t="shared" si="3007"/>
        <v>-1</v>
      </c>
      <c r="AI1889" s="100">
        <f t="shared" si="3008"/>
        <v>2.4738344433872503E-2</v>
      </c>
    </row>
    <row r="1890" spans="1:35" s="47" customFormat="1" ht="21" customHeight="1" x14ac:dyDescent="0.3">
      <c r="A1890" s="78"/>
      <c r="B1890" s="106" t="s">
        <v>51</v>
      </c>
      <c r="C1890" s="117" t="s">
        <v>236</v>
      </c>
      <c r="D1890" s="300"/>
      <c r="E1890" s="131" t="s">
        <v>49</v>
      </c>
      <c r="F1890" s="66">
        <v>1391</v>
      </c>
      <c r="G1890" s="66"/>
      <c r="H1890" s="66"/>
      <c r="I1890" s="66"/>
      <c r="J1890" s="66"/>
      <c r="K1890" s="78"/>
      <c r="L1890" s="66"/>
      <c r="M1890" s="66">
        <f>592+844</f>
        <v>1436</v>
      </c>
      <c r="N1890" s="110">
        <f t="shared" si="3025"/>
        <v>45</v>
      </c>
      <c r="O1890" s="110"/>
      <c r="P1890" s="66"/>
      <c r="Q1890" s="66"/>
      <c r="R1890" s="66"/>
      <c r="S1890" s="66"/>
      <c r="T1890" s="110">
        <f t="shared" ref="T1890:T1894" si="3036">S1890-Q1890</f>
        <v>0</v>
      </c>
      <c r="U1890" s="59">
        <f t="shared" si="3004"/>
        <v>0</v>
      </c>
      <c r="V1890" s="66"/>
      <c r="W1890" s="66">
        <v>1436</v>
      </c>
      <c r="X1890" s="110">
        <f t="shared" ref="X1890:X1894" si="3037">W1890-M1890</f>
        <v>0</v>
      </c>
      <c r="Y1890" s="110"/>
      <c r="Z1890" s="110"/>
      <c r="AA1890" s="110"/>
      <c r="AB1890" s="46"/>
      <c r="AC1890" s="78"/>
      <c r="AD1890" s="78"/>
      <c r="AE1890" s="100">
        <f t="shared" si="3005"/>
        <v>3.235082674335011E-2</v>
      </c>
      <c r="AF1890" s="90"/>
      <c r="AG1890" s="109">
        <f t="shared" si="3006"/>
        <v>0</v>
      </c>
      <c r="AH1890" s="100">
        <f t="shared" si="3007"/>
        <v>-1</v>
      </c>
      <c r="AI1890" s="100">
        <f t="shared" si="3008"/>
        <v>3.235082674335011E-2</v>
      </c>
    </row>
    <row r="1891" spans="1:35" s="47" customFormat="1" ht="21" customHeight="1" x14ac:dyDescent="0.3">
      <c r="A1891" s="78"/>
      <c r="B1891" s="106" t="s">
        <v>51</v>
      </c>
      <c r="C1891" s="117" t="s">
        <v>236</v>
      </c>
      <c r="D1891" s="300"/>
      <c r="E1891" s="131" t="s">
        <v>56</v>
      </c>
      <c r="F1891" s="66">
        <v>182</v>
      </c>
      <c r="G1891" s="66"/>
      <c r="H1891" s="66"/>
      <c r="I1891" s="66"/>
      <c r="J1891" s="66"/>
      <c r="K1891" s="78"/>
      <c r="L1891" s="66"/>
      <c r="M1891" s="66">
        <v>197</v>
      </c>
      <c r="N1891" s="110">
        <f t="shared" si="3025"/>
        <v>15</v>
      </c>
      <c r="O1891" s="110"/>
      <c r="P1891" s="66"/>
      <c r="Q1891" s="66"/>
      <c r="R1891" s="66"/>
      <c r="S1891" s="66"/>
      <c r="T1891" s="110">
        <f t="shared" si="3036"/>
        <v>0</v>
      </c>
      <c r="U1891" s="59">
        <f t="shared" si="3004"/>
        <v>0</v>
      </c>
      <c r="V1891" s="66"/>
      <c r="W1891" s="66">
        <v>197</v>
      </c>
      <c r="X1891" s="110">
        <f t="shared" si="3037"/>
        <v>0</v>
      </c>
      <c r="Y1891" s="110"/>
      <c r="Z1891" s="110"/>
      <c r="AA1891" s="110"/>
      <c r="AB1891" s="46"/>
      <c r="AC1891" s="78"/>
      <c r="AD1891" s="78"/>
      <c r="AE1891" s="100">
        <f t="shared" si="3005"/>
        <v>8.2417582417582416E-2</v>
      </c>
      <c r="AF1891" s="90"/>
      <c r="AG1891" s="109">
        <f t="shared" si="3006"/>
        <v>0</v>
      </c>
      <c r="AH1891" s="100">
        <f t="shared" si="3007"/>
        <v>-1</v>
      </c>
      <c r="AI1891" s="100">
        <f t="shared" si="3008"/>
        <v>8.2417582417582416E-2</v>
      </c>
    </row>
    <row r="1892" spans="1:35" s="47" customFormat="1" ht="21" customHeight="1" x14ac:dyDescent="0.3">
      <c r="A1892" s="78"/>
      <c r="B1892" s="106" t="s">
        <v>51</v>
      </c>
      <c r="C1892" s="117" t="s">
        <v>236</v>
      </c>
      <c r="D1892" s="300"/>
      <c r="E1892" s="131" t="s">
        <v>0</v>
      </c>
      <c r="F1892" s="66">
        <v>1027</v>
      </c>
      <c r="G1892" s="66"/>
      <c r="H1892" s="66"/>
      <c r="I1892" s="66"/>
      <c r="J1892" s="66"/>
      <c r="K1892" s="78"/>
      <c r="L1892" s="66"/>
      <c r="M1892" s="66">
        <f>1024+39</f>
        <v>1063</v>
      </c>
      <c r="N1892" s="110">
        <f t="shared" ref="N1892:N1893" si="3038">M1892-F1892</f>
        <v>36</v>
      </c>
      <c r="O1892" s="110"/>
      <c r="P1892" s="66"/>
      <c r="Q1892" s="66"/>
      <c r="R1892" s="66"/>
      <c r="S1892" s="66"/>
      <c r="T1892" s="110">
        <f t="shared" ref="T1892:T1893" si="3039">S1892-Q1892</f>
        <v>0</v>
      </c>
      <c r="U1892" s="59">
        <f t="shared" ref="U1892:U1893" si="3040">IF(Q1892&gt;0,S1892-W1892,M1892-W1892)</f>
        <v>1</v>
      </c>
      <c r="V1892" s="66"/>
      <c r="W1892" s="66">
        <v>1062</v>
      </c>
      <c r="X1892" s="110">
        <f t="shared" ref="X1892:X1893" si="3041">W1892-M1892</f>
        <v>-1</v>
      </c>
      <c r="Y1892" s="110"/>
      <c r="Z1892" s="110"/>
      <c r="AA1892" s="110"/>
      <c r="AB1892" s="46"/>
      <c r="AC1892" s="78"/>
      <c r="AD1892" s="78"/>
      <c r="AE1892" s="100">
        <f t="shared" ref="AE1892:AE1893" si="3042">N1892/F1892</f>
        <v>3.5053554040895815E-2</v>
      </c>
      <c r="AF1892" s="90"/>
      <c r="AG1892" s="109">
        <f t="shared" ref="AG1892:AG1893" si="3043">IF(N1892&lt;0,N1892,0)</f>
        <v>0</v>
      </c>
      <c r="AH1892" s="100">
        <f t="shared" ref="AH1892:AH1893" si="3044">(S1892-F1892)/F1892</f>
        <v>-1</v>
      </c>
      <c r="AI1892" s="100">
        <f t="shared" ref="AI1892:AI1893" si="3045">(W1892-F1892)/F1892</f>
        <v>3.4079844206426485E-2</v>
      </c>
    </row>
    <row r="1893" spans="1:35" s="47" customFormat="1" ht="21" customHeight="1" x14ac:dyDescent="0.3">
      <c r="A1893" s="78"/>
      <c r="B1893" s="106" t="s">
        <v>51</v>
      </c>
      <c r="C1893" s="117" t="s">
        <v>236</v>
      </c>
      <c r="D1893" s="300"/>
      <c r="E1893" s="131" t="s">
        <v>169</v>
      </c>
      <c r="F1893" s="66">
        <v>816</v>
      </c>
      <c r="G1893" s="66"/>
      <c r="H1893" s="66"/>
      <c r="I1893" s="66"/>
      <c r="J1893" s="66"/>
      <c r="K1893" s="78"/>
      <c r="L1893" s="66"/>
      <c r="M1893" s="66">
        <v>846</v>
      </c>
      <c r="N1893" s="110">
        <f t="shared" si="3038"/>
        <v>30</v>
      </c>
      <c r="O1893" s="110"/>
      <c r="P1893" s="66"/>
      <c r="Q1893" s="66"/>
      <c r="R1893" s="66"/>
      <c r="S1893" s="66"/>
      <c r="T1893" s="110">
        <f t="shared" si="3039"/>
        <v>0</v>
      </c>
      <c r="U1893" s="59">
        <f t="shared" si="3040"/>
        <v>0</v>
      </c>
      <c r="V1893" s="66"/>
      <c r="W1893" s="66">
        <v>846</v>
      </c>
      <c r="X1893" s="110">
        <f t="shared" si="3041"/>
        <v>0</v>
      </c>
      <c r="Y1893" s="110"/>
      <c r="Z1893" s="110"/>
      <c r="AA1893" s="110"/>
      <c r="AB1893" s="46"/>
      <c r="AC1893" s="78"/>
      <c r="AD1893" s="78"/>
      <c r="AE1893" s="100">
        <f t="shared" si="3042"/>
        <v>3.6764705882352942E-2</v>
      </c>
      <c r="AF1893" s="90"/>
      <c r="AG1893" s="109">
        <f t="shared" si="3043"/>
        <v>0</v>
      </c>
      <c r="AH1893" s="100">
        <f t="shared" si="3044"/>
        <v>-1</v>
      </c>
      <c r="AI1893" s="100">
        <f t="shared" si="3045"/>
        <v>3.6764705882352942E-2</v>
      </c>
    </row>
    <row r="1894" spans="1:35" s="47" customFormat="1" ht="21" customHeight="1" x14ac:dyDescent="0.3">
      <c r="A1894" s="78"/>
      <c r="B1894" s="106" t="s">
        <v>51</v>
      </c>
      <c r="C1894" s="117" t="s">
        <v>236</v>
      </c>
      <c r="D1894" s="300"/>
      <c r="E1894" s="131" t="s">
        <v>146</v>
      </c>
      <c r="F1894" s="66">
        <v>536</v>
      </c>
      <c r="G1894" s="66"/>
      <c r="H1894" s="66"/>
      <c r="I1894" s="66"/>
      <c r="J1894" s="66"/>
      <c r="K1894" s="78"/>
      <c r="L1894" s="66"/>
      <c r="M1894" s="66">
        <f>560</f>
        <v>560</v>
      </c>
      <c r="N1894" s="110">
        <f t="shared" si="3025"/>
        <v>24</v>
      </c>
      <c r="O1894" s="110"/>
      <c r="P1894" s="66"/>
      <c r="Q1894" s="66"/>
      <c r="R1894" s="66"/>
      <c r="S1894" s="66"/>
      <c r="T1894" s="110">
        <f t="shared" si="3036"/>
        <v>0</v>
      </c>
      <c r="U1894" s="59">
        <f t="shared" si="3004"/>
        <v>0</v>
      </c>
      <c r="V1894" s="66"/>
      <c r="W1894" s="66">
        <v>560</v>
      </c>
      <c r="X1894" s="110">
        <f t="shared" si="3037"/>
        <v>0</v>
      </c>
      <c r="Y1894" s="110"/>
      <c r="Z1894" s="110"/>
      <c r="AA1894" s="110"/>
      <c r="AB1894" s="46"/>
      <c r="AC1894" s="78"/>
      <c r="AD1894" s="78"/>
      <c r="AE1894" s="100">
        <f t="shared" si="3005"/>
        <v>4.4776119402985072E-2</v>
      </c>
      <c r="AF1894" s="90"/>
      <c r="AG1894" s="109">
        <f t="shared" si="3006"/>
        <v>0</v>
      </c>
      <c r="AH1894" s="100">
        <f t="shared" si="3007"/>
        <v>-1</v>
      </c>
      <c r="AI1894" s="100">
        <f t="shared" si="3008"/>
        <v>4.4776119402985072E-2</v>
      </c>
    </row>
    <row r="1895" spans="1:35" s="47" customFormat="1" ht="21" customHeight="1" x14ac:dyDescent="0.3">
      <c r="A1895" s="78"/>
      <c r="B1895" s="106" t="s">
        <v>51</v>
      </c>
      <c r="C1895" s="117" t="s">
        <v>236</v>
      </c>
      <c r="D1895" s="300"/>
      <c r="E1895" s="131" t="s">
        <v>235</v>
      </c>
      <c r="F1895" s="66">
        <v>998</v>
      </c>
      <c r="G1895" s="66"/>
      <c r="H1895" s="66"/>
      <c r="I1895" s="66"/>
      <c r="J1895" s="66"/>
      <c r="K1895" s="78"/>
      <c r="L1895" s="66"/>
      <c r="M1895" s="66">
        <v>1029</v>
      </c>
      <c r="N1895" s="110">
        <f t="shared" ref="N1895" si="3046">M1895-F1895</f>
        <v>31</v>
      </c>
      <c r="O1895" s="110"/>
      <c r="P1895" s="66"/>
      <c r="Q1895" s="66"/>
      <c r="R1895" s="66"/>
      <c r="S1895" s="66"/>
      <c r="T1895" s="110">
        <f t="shared" si="3034"/>
        <v>0</v>
      </c>
      <c r="U1895" s="59">
        <f t="shared" ref="U1895" si="3047">IF(Q1895&gt;0,S1895-W1895,M1895-W1895)</f>
        <v>0</v>
      </c>
      <c r="V1895" s="66"/>
      <c r="W1895" s="66">
        <v>1029</v>
      </c>
      <c r="X1895" s="110">
        <f t="shared" si="3035"/>
        <v>0</v>
      </c>
      <c r="Y1895" s="110"/>
      <c r="Z1895" s="110"/>
      <c r="AA1895" s="110"/>
      <c r="AB1895" s="46"/>
      <c r="AC1895" s="78"/>
      <c r="AD1895" s="78"/>
      <c r="AE1895" s="100">
        <f t="shared" ref="AE1895" si="3048">N1895/F1895</f>
        <v>3.1062124248496994E-2</v>
      </c>
      <c r="AF1895" s="90"/>
      <c r="AG1895" s="109">
        <f t="shared" ref="AG1895" si="3049">IF(N1895&lt;0,N1895,0)</f>
        <v>0</v>
      </c>
      <c r="AH1895" s="100">
        <f t="shared" ref="AH1895" si="3050">(S1895-F1895)/F1895</f>
        <v>-1</v>
      </c>
      <c r="AI1895" s="100">
        <f t="shared" ref="AI1895" si="3051">(W1895-F1895)/F1895</f>
        <v>3.1062124248496994E-2</v>
      </c>
    </row>
    <row r="1896" spans="1:35" s="79" customFormat="1" ht="15.75" customHeight="1" x14ac:dyDescent="0.3">
      <c r="A1896" s="90" t="s">
        <v>46</v>
      </c>
      <c r="B1896" s="136" t="s">
        <v>51</v>
      </c>
      <c r="C1896" s="137"/>
      <c r="D1896" s="136"/>
      <c r="E1896" s="138"/>
      <c r="F1896" s="91">
        <f>SUM(F1887:F1895)</f>
        <v>6909</v>
      </c>
      <c r="G1896" s="91"/>
      <c r="H1896" s="91"/>
      <c r="I1896" s="91"/>
      <c r="J1896" s="91" t="s">
        <v>59</v>
      </c>
      <c r="K1896" s="65" t="s">
        <v>210</v>
      </c>
      <c r="L1896" s="91">
        <f>SUM(L1887:L1895)</f>
        <v>0</v>
      </c>
      <c r="M1896" s="91">
        <f>SUM(M1887:M1895)</f>
        <v>7154</v>
      </c>
      <c r="N1896" s="91">
        <f>SUM(N1887:N1895)</f>
        <v>245</v>
      </c>
      <c r="O1896" s="91"/>
      <c r="P1896" s="91">
        <f>SUM(P1887:P1895)</f>
        <v>0</v>
      </c>
      <c r="Q1896" s="91">
        <f>SUM(Q1887:Q1895)</f>
        <v>0</v>
      </c>
      <c r="R1896" s="91">
        <f>SUM(R1887:R1895)</f>
        <v>0</v>
      </c>
      <c r="S1896" s="91">
        <f>SUM(S1887:S1895)</f>
        <v>0</v>
      </c>
      <c r="T1896" s="91">
        <f>SUM(T1887:T1895)</f>
        <v>0</v>
      </c>
      <c r="U1896" s="59">
        <f t="shared" si="3004"/>
        <v>1</v>
      </c>
      <c r="V1896" s="91">
        <f>SUM(V1887:V1895)</f>
        <v>0</v>
      </c>
      <c r="W1896" s="91">
        <f>SUM(W1887:W1895)</f>
        <v>7153</v>
      </c>
      <c r="X1896" s="91">
        <f>SUM(X1887:X1895)</f>
        <v>-1</v>
      </c>
      <c r="Y1896" s="136"/>
      <c r="Z1896" s="136"/>
      <c r="AA1896" s="136"/>
      <c r="AB1896" s="84"/>
      <c r="AC1896" s="90"/>
      <c r="AD1896" s="90"/>
      <c r="AE1896" s="100">
        <f t="shared" si="3005"/>
        <v>3.5460992907801421E-2</v>
      </c>
      <c r="AF1896" s="90"/>
      <c r="AG1896" s="109">
        <f t="shared" si="3006"/>
        <v>0</v>
      </c>
      <c r="AH1896" s="100">
        <f t="shared" si="3007"/>
        <v>-1</v>
      </c>
      <c r="AI1896" s="100">
        <f t="shared" si="3008"/>
        <v>3.5316254161238965E-2</v>
      </c>
    </row>
    <row r="1897" spans="1:35" s="47" customFormat="1" ht="21" customHeight="1" x14ac:dyDescent="0.3">
      <c r="A1897" s="78"/>
      <c r="B1897" s="106" t="s">
        <v>51</v>
      </c>
      <c r="C1897" s="117">
        <v>48204</v>
      </c>
      <c r="D1897" s="299">
        <v>15393547</v>
      </c>
      <c r="E1897" s="131" t="s">
        <v>49</v>
      </c>
      <c r="F1897" s="66">
        <v>602</v>
      </c>
      <c r="G1897" s="66"/>
      <c r="H1897" s="66"/>
      <c r="I1897" s="66"/>
      <c r="J1897" s="66"/>
      <c r="K1897" s="78"/>
      <c r="L1897" s="66"/>
      <c r="M1897" s="66">
        <v>643</v>
      </c>
      <c r="N1897" s="110">
        <f t="shared" ref="N1897:N1898" si="3052">M1897-F1897</f>
        <v>41</v>
      </c>
      <c r="O1897" s="110"/>
      <c r="P1897" s="66"/>
      <c r="Q1897" s="66">
        <v>643</v>
      </c>
      <c r="R1897" s="66"/>
      <c r="S1897" s="66">
        <v>643</v>
      </c>
      <c r="T1897" s="110">
        <f>S1897-Q1897</f>
        <v>0</v>
      </c>
      <c r="U1897" s="59">
        <f t="shared" ref="U1897:U1904" si="3053">IF(Q1897&gt;0,S1897-W1897,M1897-W1897)</f>
        <v>643</v>
      </c>
      <c r="V1897" s="66"/>
      <c r="W1897" s="66"/>
      <c r="X1897" s="110">
        <f>W1897-M1897</f>
        <v>-643</v>
      </c>
      <c r="Y1897" s="110"/>
      <c r="Z1897" s="110"/>
      <c r="AA1897" s="110"/>
      <c r="AB1897" s="46"/>
      <c r="AC1897" s="78"/>
      <c r="AD1897" s="78"/>
      <c r="AE1897" s="100">
        <f t="shared" ref="AE1897:AE1904" si="3054">N1897/F1897</f>
        <v>6.8106312292358806E-2</v>
      </c>
      <c r="AF1897" s="90"/>
      <c r="AG1897" s="109">
        <f t="shared" ref="AG1897:AG1904" si="3055">IF(N1897&lt;0,N1897,0)</f>
        <v>0</v>
      </c>
      <c r="AH1897" s="100">
        <f t="shared" ref="AH1897:AH1904" si="3056">(S1897-F1897)/F1897</f>
        <v>6.8106312292358806E-2</v>
      </c>
      <c r="AI1897" s="100">
        <f t="shared" ref="AI1897:AI1904" si="3057">(W1897-F1897)/F1897</f>
        <v>-1</v>
      </c>
    </row>
    <row r="1898" spans="1:35" s="47" customFormat="1" ht="21" customHeight="1" x14ac:dyDescent="0.3">
      <c r="A1898" s="78"/>
      <c r="B1898" s="106" t="s">
        <v>51</v>
      </c>
      <c r="C1898" s="117">
        <v>48204</v>
      </c>
      <c r="D1898" s="300"/>
      <c r="E1898" s="131" t="s">
        <v>750</v>
      </c>
      <c r="F1898" s="66">
        <v>602</v>
      </c>
      <c r="G1898" s="66"/>
      <c r="H1898" s="66"/>
      <c r="I1898" s="66"/>
      <c r="J1898" s="66"/>
      <c r="K1898" s="78"/>
      <c r="L1898" s="66"/>
      <c r="M1898" s="66">
        <v>643</v>
      </c>
      <c r="N1898" s="110">
        <f t="shared" si="3052"/>
        <v>41</v>
      </c>
      <c r="O1898" s="110"/>
      <c r="P1898" s="66"/>
      <c r="Q1898" s="66">
        <f>643</f>
        <v>643</v>
      </c>
      <c r="R1898" s="66">
        <v>639</v>
      </c>
      <c r="S1898" s="66">
        <v>639</v>
      </c>
      <c r="T1898" s="110">
        <f t="shared" ref="T1898" si="3058">S1898-Q1898</f>
        <v>-4</v>
      </c>
      <c r="U1898" s="59">
        <f t="shared" si="3053"/>
        <v>639</v>
      </c>
      <c r="V1898" s="66"/>
      <c r="W1898" s="66"/>
      <c r="X1898" s="110">
        <f t="shared" ref="X1898" si="3059">W1898-M1898</f>
        <v>-643</v>
      </c>
      <c r="Y1898" s="110"/>
      <c r="Z1898" s="110"/>
      <c r="AA1898" s="110"/>
      <c r="AB1898" s="46"/>
      <c r="AC1898" s="78"/>
      <c r="AD1898" s="78"/>
      <c r="AE1898" s="100">
        <f t="shared" si="3054"/>
        <v>6.8106312292358806E-2</v>
      </c>
      <c r="AF1898" s="90"/>
      <c r="AG1898" s="109">
        <f t="shared" si="3055"/>
        <v>0</v>
      </c>
      <c r="AH1898" s="100">
        <f t="shared" si="3056"/>
        <v>6.1461794019933555E-2</v>
      </c>
      <c r="AI1898" s="100">
        <f t="shared" si="3057"/>
        <v>-1</v>
      </c>
    </row>
    <row r="1899" spans="1:35" s="79" customFormat="1" ht="15.75" customHeight="1" x14ac:dyDescent="0.3">
      <c r="A1899" s="90" t="s">
        <v>46</v>
      </c>
      <c r="B1899" s="136" t="s">
        <v>51</v>
      </c>
      <c r="C1899" s="137"/>
      <c r="D1899" s="136"/>
      <c r="E1899" s="138"/>
      <c r="F1899" s="91">
        <f>SUM(F1897:F1898)</f>
        <v>1204</v>
      </c>
      <c r="G1899" s="91"/>
      <c r="H1899" s="91"/>
      <c r="I1899" s="91"/>
      <c r="J1899" s="91" t="s">
        <v>59</v>
      </c>
      <c r="K1899" s="65" t="s">
        <v>226</v>
      </c>
      <c r="L1899" s="91">
        <f>SUM(L1897:L1898)</f>
        <v>0</v>
      </c>
      <c r="M1899" s="91">
        <f>SUM(M1897:M1898)</f>
        <v>1286</v>
      </c>
      <c r="N1899" s="91">
        <f>SUM(N1897:N1898)</f>
        <v>82</v>
      </c>
      <c r="O1899" s="91" t="s">
        <v>210</v>
      </c>
      <c r="P1899" s="91">
        <f>SUM(P1897:P1898)</f>
        <v>0</v>
      </c>
      <c r="Q1899" s="91">
        <f>SUM(Q1897:Q1898)</f>
        <v>1286</v>
      </c>
      <c r="R1899" s="91">
        <f>SUM(R1897:R1898)</f>
        <v>639</v>
      </c>
      <c r="S1899" s="91">
        <f>SUM(S1897:S1898)</f>
        <v>1282</v>
      </c>
      <c r="T1899" s="91">
        <f>SUM(T1897:T1898)</f>
        <v>-4</v>
      </c>
      <c r="U1899" s="59">
        <f t="shared" si="3053"/>
        <v>1282</v>
      </c>
      <c r="V1899" s="91">
        <f>SUM(V1897:V1898)</f>
        <v>0</v>
      </c>
      <c r="W1899" s="91">
        <f>SUM(W1897:W1898)</f>
        <v>0</v>
      </c>
      <c r="X1899" s="91">
        <f>SUM(X1897:X1898)</f>
        <v>-1286</v>
      </c>
      <c r="Y1899" s="136" t="s">
        <v>57</v>
      </c>
      <c r="Z1899" s="136" t="s">
        <v>45</v>
      </c>
      <c r="AA1899" s="136"/>
      <c r="AB1899" s="84"/>
      <c r="AC1899" s="90"/>
      <c r="AD1899" s="90"/>
      <c r="AE1899" s="100">
        <f t="shared" si="3054"/>
        <v>6.8106312292358806E-2</v>
      </c>
      <c r="AF1899" s="90"/>
      <c r="AG1899" s="109">
        <f t="shared" si="3055"/>
        <v>0</v>
      </c>
      <c r="AH1899" s="100">
        <f t="shared" si="3056"/>
        <v>6.4784053156146174E-2</v>
      </c>
      <c r="AI1899" s="100">
        <f t="shared" si="3057"/>
        <v>-1</v>
      </c>
    </row>
    <row r="1900" spans="1:35" s="47" customFormat="1" ht="21" customHeight="1" x14ac:dyDescent="0.3">
      <c r="A1900" s="78"/>
      <c r="B1900" s="106" t="s">
        <v>51</v>
      </c>
      <c r="C1900" s="117">
        <v>48620</v>
      </c>
      <c r="D1900" s="299">
        <v>15391460</v>
      </c>
      <c r="E1900" s="131" t="s">
        <v>884</v>
      </c>
      <c r="F1900" s="66">
        <v>982</v>
      </c>
      <c r="G1900" s="66"/>
      <c r="H1900" s="66"/>
      <c r="I1900" s="66"/>
      <c r="J1900" s="66"/>
      <c r="K1900" s="78"/>
      <c r="L1900" s="66"/>
      <c r="M1900" s="66"/>
      <c r="N1900" s="110">
        <f t="shared" ref="N1900:N1903" si="3060">M1900-F1900</f>
        <v>-982</v>
      </c>
      <c r="O1900" s="110"/>
      <c r="P1900" s="66"/>
      <c r="Q1900" s="66"/>
      <c r="R1900" s="66"/>
      <c r="S1900" s="66"/>
      <c r="T1900" s="110">
        <f>S1900-Q1900</f>
        <v>0</v>
      </c>
      <c r="U1900" s="59">
        <f t="shared" si="3053"/>
        <v>0</v>
      </c>
      <c r="V1900" s="66"/>
      <c r="W1900" s="66"/>
      <c r="X1900" s="110">
        <f>W1900-M1900</f>
        <v>0</v>
      </c>
      <c r="Y1900" s="110"/>
      <c r="Z1900" s="110"/>
      <c r="AA1900" s="110"/>
      <c r="AB1900" s="46"/>
      <c r="AC1900" s="78"/>
      <c r="AD1900" s="78"/>
      <c r="AE1900" s="100">
        <f t="shared" si="3054"/>
        <v>-1</v>
      </c>
      <c r="AF1900" s="90"/>
      <c r="AG1900" s="109">
        <f t="shared" si="3055"/>
        <v>-982</v>
      </c>
      <c r="AH1900" s="100">
        <f t="shared" si="3056"/>
        <v>-1</v>
      </c>
      <c r="AI1900" s="100">
        <f t="shared" si="3057"/>
        <v>-1</v>
      </c>
    </row>
    <row r="1901" spans="1:35" s="47" customFormat="1" ht="21" customHeight="1" x14ac:dyDescent="0.3">
      <c r="A1901" s="78"/>
      <c r="B1901" s="106" t="s">
        <v>51</v>
      </c>
      <c r="C1901" s="117">
        <v>48620</v>
      </c>
      <c r="D1901" s="300"/>
      <c r="E1901" s="131" t="s">
        <v>49</v>
      </c>
      <c r="F1901" s="66">
        <v>1948</v>
      </c>
      <c r="G1901" s="66"/>
      <c r="H1901" s="66"/>
      <c r="I1901" s="66"/>
      <c r="J1901" s="66"/>
      <c r="K1901" s="78"/>
      <c r="L1901" s="66"/>
      <c r="M1901" s="66"/>
      <c r="N1901" s="110">
        <f t="shared" si="3060"/>
        <v>-1948</v>
      </c>
      <c r="O1901" s="110"/>
      <c r="P1901" s="66"/>
      <c r="Q1901" s="66"/>
      <c r="R1901" s="66"/>
      <c r="S1901" s="66"/>
      <c r="T1901" s="110">
        <f t="shared" ref="T1901:T1903" si="3061">S1901-Q1901</f>
        <v>0</v>
      </c>
      <c r="U1901" s="59">
        <f t="shared" si="3053"/>
        <v>0</v>
      </c>
      <c r="V1901" s="66"/>
      <c r="W1901" s="66"/>
      <c r="X1901" s="110">
        <f t="shared" ref="X1901:X1903" si="3062">W1901-M1901</f>
        <v>0</v>
      </c>
      <c r="Y1901" s="110"/>
      <c r="Z1901" s="110"/>
      <c r="AA1901" s="110"/>
      <c r="AB1901" s="46"/>
      <c r="AC1901" s="78"/>
      <c r="AD1901" s="78"/>
      <c r="AE1901" s="100">
        <f t="shared" si="3054"/>
        <v>-1</v>
      </c>
      <c r="AF1901" s="90"/>
      <c r="AG1901" s="109">
        <f t="shared" si="3055"/>
        <v>-1948</v>
      </c>
      <c r="AH1901" s="100">
        <f t="shared" si="3056"/>
        <v>-1</v>
      </c>
      <c r="AI1901" s="100">
        <f t="shared" si="3057"/>
        <v>-1</v>
      </c>
    </row>
    <row r="1902" spans="1:35" s="47" customFormat="1" ht="21" customHeight="1" x14ac:dyDescent="0.3">
      <c r="A1902" s="78"/>
      <c r="B1902" s="106" t="s">
        <v>51</v>
      </c>
      <c r="C1902" s="117">
        <v>48620</v>
      </c>
      <c r="D1902" s="300"/>
      <c r="E1902" s="131" t="s">
        <v>280</v>
      </c>
      <c r="F1902" s="66">
        <v>1584</v>
      </c>
      <c r="G1902" s="66"/>
      <c r="H1902" s="66"/>
      <c r="I1902" s="66"/>
      <c r="J1902" s="66"/>
      <c r="K1902" s="78"/>
      <c r="L1902" s="66"/>
      <c r="M1902" s="66"/>
      <c r="N1902" s="110">
        <f t="shared" si="3060"/>
        <v>-1584</v>
      </c>
      <c r="O1902" s="110"/>
      <c r="P1902" s="66"/>
      <c r="Q1902" s="66"/>
      <c r="R1902" s="66"/>
      <c r="S1902" s="66"/>
      <c r="T1902" s="110">
        <f t="shared" si="3061"/>
        <v>0</v>
      </c>
      <c r="U1902" s="59">
        <f t="shared" si="3053"/>
        <v>0</v>
      </c>
      <c r="V1902" s="66"/>
      <c r="W1902" s="66"/>
      <c r="X1902" s="110">
        <f t="shared" si="3062"/>
        <v>0</v>
      </c>
      <c r="Y1902" s="110"/>
      <c r="Z1902" s="110"/>
      <c r="AA1902" s="110"/>
      <c r="AB1902" s="46"/>
      <c r="AC1902" s="78"/>
      <c r="AD1902" s="78"/>
      <c r="AE1902" s="100">
        <f t="shared" si="3054"/>
        <v>-1</v>
      </c>
      <c r="AF1902" s="90"/>
      <c r="AG1902" s="109">
        <f t="shared" si="3055"/>
        <v>-1584</v>
      </c>
      <c r="AH1902" s="100">
        <f t="shared" si="3056"/>
        <v>-1</v>
      </c>
      <c r="AI1902" s="100">
        <f t="shared" si="3057"/>
        <v>-1</v>
      </c>
    </row>
    <row r="1903" spans="1:35" s="47" customFormat="1" ht="21" customHeight="1" x14ac:dyDescent="0.3">
      <c r="A1903" s="78"/>
      <c r="B1903" s="106" t="s">
        <v>51</v>
      </c>
      <c r="C1903" s="117">
        <v>48620</v>
      </c>
      <c r="D1903" s="300"/>
      <c r="E1903" s="131" t="s">
        <v>0</v>
      </c>
      <c r="F1903" s="66">
        <v>1549</v>
      </c>
      <c r="G1903" s="66"/>
      <c r="H1903" s="66"/>
      <c r="I1903" s="66"/>
      <c r="J1903" s="66"/>
      <c r="K1903" s="78"/>
      <c r="L1903" s="66"/>
      <c r="M1903" s="66"/>
      <c r="N1903" s="110">
        <f t="shared" si="3060"/>
        <v>-1549</v>
      </c>
      <c r="O1903" s="110"/>
      <c r="P1903" s="66"/>
      <c r="Q1903" s="66"/>
      <c r="R1903" s="66"/>
      <c r="S1903" s="66"/>
      <c r="T1903" s="110">
        <f t="shared" si="3061"/>
        <v>0</v>
      </c>
      <c r="U1903" s="59">
        <f t="shared" si="3053"/>
        <v>0</v>
      </c>
      <c r="V1903" s="66"/>
      <c r="W1903" s="66"/>
      <c r="X1903" s="110">
        <f t="shared" si="3062"/>
        <v>0</v>
      </c>
      <c r="Y1903" s="110"/>
      <c r="Z1903" s="110"/>
      <c r="AA1903" s="110"/>
      <c r="AB1903" s="46"/>
      <c r="AC1903" s="78"/>
      <c r="AD1903" s="78"/>
      <c r="AE1903" s="100">
        <f t="shared" si="3054"/>
        <v>-1</v>
      </c>
      <c r="AF1903" s="90"/>
      <c r="AG1903" s="109">
        <f t="shared" si="3055"/>
        <v>-1549</v>
      </c>
      <c r="AH1903" s="100">
        <f t="shared" si="3056"/>
        <v>-1</v>
      </c>
      <c r="AI1903" s="100">
        <f t="shared" si="3057"/>
        <v>-1</v>
      </c>
    </row>
    <row r="1904" spans="1:35" s="79" customFormat="1" ht="15.75" customHeight="1" x14ac:dyDescent="0.3">
      <c r="A1904" s="90" t="s">
        <v>46</v>
      </c>
      <c r="B1904" s="136" t="s">
        <v>51</v>
      </c>
      <c r="C1904" s="137"/>
      <c r="D1904" s="136"/>
      <c r="E1904" s="138"/>
      <c r="F1904" s="91">
        <f>SUM(F1900:F1903)</f>
        <v>6063</v>
      </c>
      <c r="G1904" s="91"/>
      <c r="H1904" s="91"/>
      <c r="I1904" s="91"/>
      <c r="J1904" s="91"/>
      <c r="K1904" s="65" t="s">
        <v>410</v>
      </c>
      <c r="L1904" s="91">
        <f>SUM(L1900:L1903)</f>
        <v>0</v>
      </c>
      <c r="M1904" s="91">
        <f>SUM(M1900:M1903)</f>
        <v>0</v>
      </c>
      <c r="N1904" s="91">
        <f>SUM(N1900:N1903)</f>
        <v>-6063</v>
      </c>
      <c r="O1904" s="91"/>
      <c r="P1904" s="91">
        <f>SUM(P1900:P1903)</f>
        <v>0</v>
      </c>
      <c r="Q1904" s="91">
        <f>SUM(Q1900:Q1903)</f>
        <v>0</v>
      </c>
      <c r="R1904" s="91">
        <f>SUM(R1900:R1903)</f>
        <v>0</v>
      </c>
      <c r="S1904" s="91">
        <f>SUM(S1900:S1903)</f>
        <v>0</v>
      </c>
      <c r="T1904" s="91">
        <f>SUM(T1900:T1903)</f>
        <v>0</v>
      </c>
      <c r="U1904" s="59">
        <f t="shared" si="3053"/>
        <v>0</v>
      </c>
      <c r="V1904" s="91">
        <f>SUM(V1900:V1903)</f>
        <v>0</v>
      </c>
      <c r="W1904" s="91">
        <f>SUM(W1900:W1903)</f>
        <v>0</v>
      </c>
      <c r="X1904" s="91">
        <f>SUM(X1900:X1903)</f>
        <v>0</v>
      </c>
      <c r="Y1904" s="136"/>
      <c r="Z1904" s="136"/>
      <c r="AA1904" s="136"/>
      <c r="AB1904" s="84"/>
      <c r="AC1904" s="90"/>
      <c r="AD1904" s="90"/>
      <c r="AE1904" s="100">
        <f t="shared" si="3054"/>
        <v>-1</v>
      </c>
      <c r="AF1904" s="90"/>
      <c r="AG1904" s="109">
        <f t="shared" si="3055"/>
        <v>-6063</v>
      </c>
      <c r="AH1904" s="100">
        <f t="shared" si="3056"/>
        <v>-1</v>
      </c>
      <c r="AI1904" s="100">
        <f t="shared" si="3057"/>
        <v>-1</v>
      </c>
    </row>
    <row r="1905" spans="1:35" s="47" customFormat="1" ht="21" customHeight="1" x14ac:dyDescent="0.3">
      <c r="A1905" s="78"/>
      <c r="B1905" s="106" t="s">
        <v>51</v>
      </c>
      <c r="C1905" s="117" t="s">
        <v>963</v>
      </c>
      <c r="D1905" s="299">
        <v>15391460</v>
      </c>
      <c r="E1905" s="131" t="s">
        <v>0</v>
      </c>
      <c r="F1905" s="66">
        <v>499</v>
      </c>
      <c r="G1905" s="66"/>
      <c r="H1905" s="66"/>
      <c r="I1905" s="66"/>
      <c r="J1905" s="66"/>
      <c r="K1905" s="78"/>
      <c r="L1905" s="66"/>
      <c r="M1905" s="66"/>
      <c r="N1905" s="110">
        <f t="shared" ref="N1905" si="3063">M1905-F1905</f>
        <v>-499</v>
      </c>
      <c r="O1905" s="110"/>
      <c r="P1905" s="66"/>
      <c r="Q1905" s="66"/>
      <c r="R1905" s="66"/>
      <c r="S1905" s="66"/>
      <c r="T1905" s="110">
        <f>S1905-Q1905</f>
        <v>0</v>
      </c>
      <c r="U1905" s="59">
        <f t="shared" si="3004"/>
        <v>0</v>
      </c>
      <c r="V1905" s="66"/>
      <c r="W1905" s="66"/>
      <c r="X1905" s="110">
        <f>W1905-M1905</f>
        <v>0</v>
      </c>
      <c r="Y1905" s="110"/>
      <c r="Z1905" s="110"/>
      <c r="AA1905" s="110"/>
      <c r="AB1905" s="46"/>
      <c r="AC1905" s="78"/>
      <c r="AD1905" s="78"/>
      <c r="AE1905" s="100">
        <f t="shared" si="3005"/>
        <v>-1</v>
      </c>
      <c r="AF1905" s="90"/>
      <c r="AG1905" s="109">
        <f t="shared" si="3006"/>
        <v>-499</v>
      </c>
      <c r="AH1905" s="100">
        <f t="shared" si="3007"/>
        <v>-1</v>
      </c>
      <c r="AI1905" s="100">
        <f t="shared" si="3008"/>
        <v>-1</v>
      </c>
    </row>
    <row r="1906" spans="1:35" s="47" customFormat="1" ht="21" customHeight="1" x14ac:dyDescent="0.3">
      <c r="A1906" s="78"/>
      <c r="B1906" s="106" t="s">
        <v>51</v>
      </c>
      <c r="C1906" s="117" t="s">
        <v>963</v>
      </c>
      <c r="D1906" s="300"/>
      <c r="E1906" s="131" t="s">
        <v>49</v>
      </c>
      <c r="F1906" s="66">
        <v>300</v>
      </c>
      <c r="G1906" s="66"/>
      <c r="H1906" s="66"/>
      <c r="I1906" s="66"/>
      <c r="J1906" s="66"/>
      <c r="K1906" s="78"/>
      <c r="L1906" s="66"/>
      <c r="M1906" s="66"/>
      <c r="N1906" s="110">
        <f t="shared" ref="N1906" si="3064">M1906-F1906</f>
        <v>-300</v>
      </c>
      <c r="O1906" s="110"/>
      <c r="P1906" s="66"/>
      <c r="Q1906" s="66"/>
      <c r="R1906" s="66"/>
      <c r="S1906" s="66"/>
      <c r="T1906" s="110">
        <f t="shared" ref="T1906" si="3065">S1906-Q1906</f>
        <v>0</v>
      </c>
      <c r="U1906" s="59">
        <f t="shared" ref="U1906" si="3066">IF(Q1906&gt;0,S1906-W1906,M1906-W1906)</f>
        <v>0</v>
      </c>
      <c r="V1906" s="66"/>
      <c r="W1906" s="66"/>
      <c r="X1906" s="110">
        <f t="shared" ref="X1906" si="3067">W1906-M1906</f>
        <v>0</v>
      </c>
      <c r="Y1906" s="110"/>
      <c r="Z1906" s="110"/>
      <c r="AA1906" s="110"/>
      <c r="AB1906" s="46"/>
      <c r="AC1906" s="78"/>
      <c r="AD1906" s="78"/>
      <c r="AE1906" s="100">
        <f t="shared" ref="AE1906" si="3068">N1906/F1906</f>
        <v>-1</v>
      </c>
      <c r="AF1906" s="90"/>
      <c r="AG1906" s="109">
        <f t="shared" ref="AG1906" si="3069">IF(N1906&lt;0,N1906,0)</f>
        <v>-300</v>
      </c>
      <c r="AH1906" s="100">
        <f t="shared" ref="AH1906" si="3070">(S1906-F1906)/F1906</f>
        <v>-1</v>
      </c>
      <c r="AI1906" s="100">
        <f t="shared" ref="AI1906" si="3071">(W1906-F1906)/F1906</f>
        <v>-1</v>
      </c>
    </row>
    <row r="1907" spans="1:35" s="79" customFormat="1" ht="15.75" customHeight="1" x14ac:dyDescent="0.3">
      <c r="A1907" s="90" t="s">
        <v>46</v>
      </c>
      <c r="B1907" s="136" t="s">
        <v>51</v>
      </c>
      <c r="C1907" s="137"/>
      <c r="D1907" s="136"/>
      <c r="E1907" s="138"/>
      <c r="F1907" s="91">
        <f>SUM(F1905:F1906)</f>
        <v>799</v>
      </c>
      <c r="G1907" s="91"/>
      <c r="H1907" s="91"/>
      <c r="I1907" s="91"/>
      <c r="J1907" s="91"/>
      <c r="K1907" s="65" t="s">
        <v>410</v>
      </c>
      <c r="L1907" s="91">
        <f>SUM(L1905:L1906)</f>
        <v>0</v>
      </c>
      <c r="M1907" s="91">
        <f>SUM(M1905:M1906)</f>
        <v>0</v>
      </c>
      <c r="N1907" s="91">
        <f>SUM(N1905:N1906)</f>
        <v>-799</v>
      </c>
      <c r="O1907" s="91"/>
      <c r="P1907" s="91">
        <f>SUM(P1905:P1906)</f>
        <v>0</v>
      </c>
      <c r="Q1907" s="91">
        <f>SUM(Q1905:Q1906)</f>
        <v>0</v>
      </c>
      <c r="R1907" s="91">
        <f>SUM(R1905:R1906)</f>
        <v>0</v>
      </c>
      <c r="S1907" s="91">
        <f>SUM(S1905:S1906)</f>
        <v>0</v>
      </c>
      <c r="T1907" s="91">
        <f>SUM(T1905:T1906)</f>
        <v>0</v>
      </c>
      <c r="U1907" s="59">
        <f t="shared" si="3004"/>
        <v>0</v>
      </c>
      <c r="V1907" s="91">
        <f>SUM(V1905:V1906)</f>
        <v>0</v>
      </c>
      <c r="W1907" s="91">
        <f>SUM(W1905:W1906)</f>
        <v>0</v>
      </c>
      <c r="X1907" s="91">
        <f>SUM(X1905:X1906)</f>
        <v>0</v>
      </c>
      <c r="Y1907" s="136"/>
      <c r="Z1907" s="136"/>
      <c r="AA1907" s="136"/>
      <c r="AB1907" s="84"/>
      <c r="AC1907" s="90"/>
      <c r="AD1907" s="90"/>
      <c r="AE1907" s="100">
        <f t="shared" si="3005"/>
        <v>-1</v>
      </c>
      <c r="AF1907" s="90"/>
      <c r="AG1907" s="109">
        <f t="shared" si="3006"/>
        <v>-799</v>
      </c>
      <c r="AH1907" s="100">
        <f t="shared" si="3007"/>
        <v>-1</v>
      </c>
      <c r="AI1907" s="100">
        <f t="shared" si="3008"/>
        <v>-1</v>
      </c>
    </row>
    <row r="1908" spans="1:35" s="47" customFormat="1" ht="21" customHeight="1" x14ac:dyDescent="0.3">
      <c r="A1908" s="78"/>
      <c r="B1908" s="106" t="s">
        <v>51</v>
      </c>
      <c r="C1908" s="117">
        <v>48612</v>
      </c>
      <c r="D1908" s="299">
        <v>15267224</v>
      </c>
      <c r="E1908" s="131" t="s">
        <v>892</v>
      </c>
      <c r="F1908" s="66">
        <v>3593</v>
      </c>
      <c r="G1908" s="66"/>
      <c r="H1908" s="66"/>
      <c r="I1908" s="66"/>
      <c r="J1908" s="66"/>
      <c r="K1908" s="78"/>
      <c r="L1908" s="66"/>
      <c r="M1908" s="66"/>
      <c r="N1908" s="110">
        <f t="shared" ref="N1908:N1910" si="3072">M1908-F1908</f>
        <v>-3593</v>
      </c>
      <c r="O1908" s="110"/>
      <c r="P1908" s="66"/>
      <c r="Q1908" s="66"/>
      <c r="R1908" s="66"/>
      <c r="S1908" s="66"/>
      <c r="T1908" s="110">
        <f>S1908-Q1908</f>
        <v>0</v>
      </c>
      <c r="U1908" s="59">
        <f t="shared" ref="U1908:U1997" si="3073">IF(Q1908&gt;0,S1908-W1908,M1908-W1908)</f>
        <v>0</v>
      </c>
      <c r="V1908" s="66"/>
      <c r="W1908" s="66"/>
      <c r="X1908" s="110">
        <f>W1908-M1908</f>
        <v>0</v>
      </c>
      <c r="Y1908" s="110"/>
      <c r="Z1908" s="110"/>
      <c r="AA1908" s="110"/>
      <c r="AB1908" s="46"/>
      <c r="AC1908" s="78"/>
      <c r="AD1908" s="78"/>
      <c r="AE1908" s="100">
        <f t="shared" ref="AE1908:AE1997" si="3074">N1908/F1908</f>
        <v>-1</v>
      </c>
      <c r="AF1908" s="90"/>
      <c r="AG1908" s="109">
        <f t="shared" ref="AG1908:AG1997" si="3075">IF(N1908&lt;0,N1908,0)</f>
        <v>-3593</v>
      </c>
      <c r="AH1908" s="100">
        <f t="shared" ref="AH1908:AH1997" si="3076">(S1908-F1908)/F1908</f>
        <v>-1</v>
      </c>
      <c r="AI1908" s="100">
        <f t="shared" ref="AI1908:AI1997" si="3077">(W1908-F1908)/F1908</f>
        <v>-1</v>
      </c>
    </row>
    <row r="1909" spans="1:35" s="47" customFormat="1" ht="21" customHeight="1" x14ac:dyDescent="0.3">
      <c r="A1909" s="78"/>
      <c r="B1909" s="106" t="s">
        <v>51</v>
      </c>
      <c r="C1909" s="117">
        <v>48612</v>
      </c>
      <c r="D1909" s="300"/>
      <c r="E1909" s="131" t="s">
        <v>893</v>
      </c>
      <c r="F1909" s="66">
        <v>2126</v>
      </c>
      <c r="G1909" s="66"/>
      <c r="H1909" s="66"/>
      <c r="I1909" s="66"/>
      <c r="J1909" s="66"/>
      <c r="K1909" s="78"/>
      <c r="L1909" s="66">
        <v>1242</v>
      </c>
      <c r="M1909" s="66">
        <f>1242</f>
        <v>1242</v>
      </c>
      <c r="N1909" s="110">
        <f t="shared" ref="N1909" si="3078">M1909-F1909</f>
        <v>-884</v>
      </c>
      <c r="O1909" s="110"/>
      <c r="P1909" s="66"/>
      <c r="Q1909" s="66"/>
      <c r="R1909" s="66"/>
      <c r="S1909" s="66"/>
      <c r="T1909" s="110">
        <f t="shared" ref="T1909" si="3079">S1909-Q1909</f>
        <v>0</v>
      </c>
      <c r="U1909" s="59">
        <f t="shared" ref="U1909" si="3080">IF(Q1909&gt;0,S1909-W1909,M1909-W1909)</f>
        <v>1242</v>
      </c>
      <c r="V1909" s="66"/>
      <c r="W1909" s="66"/>
      <c r="X1909" s="110">
        <f t="shared" ref="X1909" si="3081">W1909-M1909</f>
        <v>-1242</v>
      </c>
      <c r="Y1909" s="110"/>
      <c r="Z1909" s="110"/>
      <c r="AA1909" s="110"/>
      <c r="AB1909" s="46"/>
      <c r="AC1909" s="78"/>
      <c r="AD1909" s="78"/>
      <c r="AE1909" s="100">
        <f t="shared" ref="AE1909" si="3082">N1909/F1909</f>
        <v>-0.41580432737535278</v>
      </c>
      <c r="AF1909" s="90"/>
      <c r="AG1909" s="109">
        <f t="shared" ref="AG1909" si="3083">IF(N1909&lt;0,N1909,0)</f>
        <v>-884</v>
      </c>
      <c r="AH1909" s="100">
        <f t="shared" ref="AH1909" si="3084">(S1909-F1909)/F1909</f>
        <v>-1</v>
      </c>
      <c r="AI1909" s="100">
        <f t="shared" ref="AI1909" si="3085">(W1909-F1909)/F1909</f>
        <v>-1</v>
      </c>
    </row>
    <row r="1910" spans="1:35" s="47" customFormat="1" ht="21" customHeight="1" x14ac:dyDescent="0.3">
      <c r="A1910" s="78"/>
      <c r="B1910" s="106" t="s">
        <v>51</v>
      </c>
      <c r="C1910" s="117">
        <v>48612</v>
      </c>
      <c r="D1910" s="300"/>
      <c r="E1910" s="131" t="s">
        <v>161</v>
      </c>
      <c r="F1910" s="66">
        <v>3551</v>
      </c>
      <c r="G1910" s="66"/>
      <c r="H1910" s="66"/>
      <c r="I1910" s="66"/>
      <c r="J1910" s="66"/>
      <c r="K1910" s="78"/>
      <c r="L1910" s="66"/>
      <c r="M1910" s="66"/>
      <c r="N1910" s="110">
        <f t="shared" si="3072"/>
        <v>-3551</v>
      </c>
      <c r="O1910" s="110"/>
      <c r="P1910" s="66"/>
      <c r="Q1910" s="66"/>
      <c r="R1910" s="66"/>
      <c r="S1910" s="66"/>
      <c r="T1910" s="110">
        <f t="shared" ref="T1910" si="3086">S1910-Q1910</f>
        <v>0</v>
      </c>
      <c r="U1910" s="59">
        <f t="shared" si="3073"/>
        <v>0</v>
      </c>
      <c r="V1910" s="66"/>
      <c r="W1910" s="66"/>
      <c r="X1910" s="110">
        <f t="shared" ref="X1910" si="3087">W1910-M1910</f>
        <v>0</v>
      </c>
      <c r="Y1910" s="110"/>
      <c r="Z1910" s="110"/>
      <c r="AA1910" s="110"/>
      <c r="AB1910" s="46"/>
      <c r="AC1910" s="78"/>
      <c r="AD1910" s="78"/>
      <c r="AE1910" s="100">
        <f t="shared" si="3074"/>
        <v>-1</v>
      </c>
      <c r="AF1910" s="90"/>
      <c r="AG1910" s="109">
        <f t="shared" si="3075"/>
        <v>-3551</v>
      </c>
      <c r="AH1910" s="100">
        <f t="shared" si="3076"/>
        <v>-1</v>
      </c>
      <c r="AI1910" s="100">
        <f t="shared" si="3077"/>
        <v>-1</v>
      </c>
    </row>
    <row r="1911" spans="1:35" s="79" customFormat="1" ht="15.75" customHeight="1" x14ac:dyDescent="0.3">
      <c r="A1911" s="90" t="s">
        <v>46</v>
      </c>
      <c r="B1911" s="136" t="s">
        <v>51</v>
      </c>
      <c r="C1911" s="137"/>
      <c r="D1911" s="136"/>
      <c r="E1911" s="138"/>
      <c r="F1911" s="91">
        <f>SUM(F1908:F1910)</f>
        <v>9270</v>
      </c>
      <c r="G1911" s="91"/>
      <c r="H1911" s="91"/>
      <c r="I1911" s="91"/>
      <c r="J1911" s="91" t="s">
        <v>59</v>
      </c>
      <c r="K1911" s="65" t="s">
        <v>617</v>
      </c>
      <c r="L1911" s="91">
        <f>SUM(L1908:L1910)</f>
        <v>1242</v>
      </c>
      <c r="M1911" s="91">
        <f>SUM(M1908:M1910)</f>
        <v>1242</v>
      </c>
      <c r="N1911" s="91">
        <f>SUM(N1908:N1910)</f>
        <v>-8028</v>
      </c>
      <c r="O1911" s="91"/>
      <c r="P1911" s="91">
        <f>SUM(P1908:P1910)</f>
        <v>0</v>
      </c>
      <c r="Q1911" s="91">
        <f>SUM(Q1908:Q1910)</f>
        <v>0</v>
      </c>
      <c r="R1911" s="91">
        <f>SUM(R1908:R1910)</f>
        <v>0</v>
      </c>
      <c r="S1911" s="91">
        <f>SUM(S1908:S1910)</f>
        <v>0</v>
      </c>
      <c r="T1911" s="91">
        <f>SUM(T1908:T1910)</f>
        <v>0</v>
      </c>
      <c r="U1911" s="59">
        <f t="shared" si="3073"/>
        <v>1242</v>
      </c>
      <c r="V1911" s="91">
        <f>SUM(V1908:V1910)</f>
        <v>0</v>
      </c>
      <c r="W1911" s="91">
        <f>SUM(W1908:W1910)</f>
        <v>0</v>
      </c>
      <c r="X1911" s="91">
        <f>SUM(X1908:X1910)</f>
        <v>-1242</v>
      </c>
      <c r="Y1911" s="136"/>
      <c r="Z1911" s="136"/>
      <c r="AA1911" s="136"/>
      <c r="AB1911" s="84"/>
      <c r="AC1911" s="90"/>
      <c r="AD1911" s="90"/>
      <c r="AE1911" s="100">
        <f t="shared" si="3074"/>
        <v>-0.86601941747572819</v>
      </c>
      <c r="AF1911" s="90"/>
      <c r="AG1911" s="109">
        <f t="shared" si="3075"/>
        <v>-8028</v>
      </c>
      <c r="AH1911" s="100">
        <f t="shared" si="3076"/>
        <v>-1</v>
      </c>
      <c r="AI1911" s="100">
        <f t="shared" si="3077"/>
        <v>-1</v>
      </c>
    </row>
    <row r="1912" spans="1:35" s="47" customFormat="1" ht="21" customHeight="1" x14ac:dyDescent="0.3">
      <c r="A1912" s="78"/>
      <c r="B1912" s="106" t="s">
        <v>51</v>
      </c>
      <c r="C1912" s="117">
        <v>48614</v>
      </c>
      <c r="D1912" s="299">
        <v>15391466</v>
      </c>
      <c r="E1912" s="131" t="s">
        <v>49</v>
      </c>
      <c r="F1912" s="66">
        <v>1014</v>
      </c>
      <c r="G1912" s="66"/>
      <c r="H1912" s="66"/>
      <c r="I1912" s="66"/>
      <c r="J1912" s="66"/>
      <c r="K1912" s="78"/>
      <c r="L1912" s="66"/>
      <c r="M1912" s="66"/>
      <c r="N1912" s="110">
        <f t="shared" ref="N1912:N1913" si="3088">M1912-F1912</f>
        <v>-1014</v>
      </c>
      <c r="O1912" s="110"/>
      <c r="P1912" s="66"/>
      <c r="Q1912" s="66"/>
      <c r="R1912" s="66"/>
      <c r="S1912" s="66"/>
      <c r="T1912" s="110">
        <f>S1912-Q1912</f>
        <v>0</v>
      </c>
      <c r="U1912" s="59">
        <f t="shared" ref="U1912:U1931" si="3089">IF(Q1912&gt;0,S1912-W1912,M1912-W1912)</f>
        <v>0</v>
      </c>
      <c r="V1912" s="66"/>
      <c r="W1912" s="66"/>
      <c r="X1912" s="110">
        <f>W1912-M1912</f>
        <v>0</v>
      </c>
      <c r="Y1912" s="110"/>
      <c r="Z1912" s="110"/>
      <c r="AA1912" s="110"/>
      <c r="AB1912" s="46"/>
      <c r="AC1912" s="78"/>
      <c r="AD1912" s="78"/>
      <c r="AE1912" s="100">
        <f t="shared" ref="AE1912:AE1931" si="3090">N1912/F1912</f>
        <v>-1</v>
      </c>
      <c r="AF1912" s="90"/>
      <c r="AG1912" s="109">
        <f t="shared" ref="AG1912:AG1931" si="3091">IF(N1912&lt;0,N1912,0)</f>
        <v>-1014</v>
      </c>
      <c r="AH1912" s="100">
        <f t="shared" ref="AH1912:AH1931" si="3092">(S1912-F1912)/F1912</f>
        <v>-1</v>
      </c>
      <c r="AI1912" s="100">
        <f t="shared" ref="AI1912:AI1931" si="3093">(W1912-F1912)/F1912</f>
        <v>-1</v>
      </c>
    </row>
    <row r="1913" spans="1:35" s="47" customFormat="1" ht="21" customHeight="1" x14ac:dyDescent="0.3">
      <c r="A1913" s="78"/>
      <c r="B1913" s="106" t="s">
        <v>51</v>
      </c>
      <c r="C1913" s="117">
        <v>48614</v>
      </c>
      <c r="D1913" s="300"/>
      <c r="E1913" s="131" t="s">
        <v>0</v>
      </c>
      <c r="F1913" s="66">
        <v>1326</v>
      </c>
      <c r="G1913" s="66"/>
      <c r="H1913" s="66"/>
      <c r="I1913" s="66"/>
      <c r="J1913" s="66"/>
      <c r="K1913" s="78"/>
      <c r="L1913" s="66"/>
      <c r="M1913" s="66"/>
      <c r="N1913" s="110">
        <f t="shared" si="3088"/>
        <v>-1326</v>
      </c>
      <c r="O1913" s="110"/>
      <c r="P1913" s="66"/>
      <c r="Q1913" s="66"/>
      <c r="R1913" s="66"/>
      <c r="S1913" s="66"/>
      <c r="T1913" s="110">
        <f t="shared" ref="T1913" si="3094">S1913-Q1913</f>
        <v>0</v>
      </c>
      <c r="U1913" s="59">
        <f t="shared" si="3089"/>
        <v>0</v>
      </c>
      <c r="V1913" s="66"/>
      <c r="W1913" s="66"/>
      <c r="X1913" s="110">
        <f t="shared" ref="X1913" si="3095">W1913-M1913</f>
        <v>0</v>
      </c>
      <c r="Y1913" s="110"/>
      <c r="Z1913" s="110"/>
      <c r="AA1913" s="110"/>
      <c r="AB1913" s="46"/>
      <c r="AC1913" s="78"/>
      <c r="AD1913" s="78"/>
      <c r="AE1913" s="100">
        <f t="shared" si="3090"/>
        <v>-1</v>
      </c>
      <c r="AF1913" s="90"/>
      <c r="AG1913" s="109">
        <f t="shared" si="3091"/>
        <v>-1326</v>
      </c>
      <c r="AH1913" s="100">
        <f t="shared" si="3092"/>
        <v>-1</v>
      </c>
      <c r="AI1913" s="100">
        <f t="shared" si="3093"/>
        <v>-1</v>
      </c>
    </row>
    <row r="1914" spans="1:35" s="79" customFormat="1" ht="15.75" customHeight="1" x14ac:dyDescent="0.3">
      <c r="A1914" s="90" t="s">
        <v>46</v>
      </c>
      <c r="B1914" s="136" t="s">
        <v>51</v>
      </c>
      <c r="C1914" s="137"/>
      <c r="D1914" s="136"/>
      <c r="E1914" s="138"/>
      <c r="F1914" s="91">
        <f>SUM(F1912:F1913)</f>
        <v>2340</v>
      </c>
      <c r="G1914" s="91"/>
      <c r="H1914" s="91"/>
      <c r="I1914" s="91"/>
      <c r="J1914" s="91" t="s">
        <v>59</v>
      </c>
      <c r="K1914" s="65" t="s">
        <v>617</v>
      </c>
      <c r="L1914" s="91">
        <f>SUM(L1912:L1913)</f>
        <v>0</v>
      </c>
      <c r="M1914" s="91">
        <f>SUM(M1912:M1913)</f>
        <v>0</v>
      </c>
      <c r="N1914" s="91">
        <f>SUM(N1912:N1913)</f>
        <v>-2340</v>
      </c>
      <c r="O1914" s="91"/>
      <c r="P1914" s="91">
        <f>SUM(P1912:P1913)</f>
        <v>0</v>
      </c>
      <c r="Q1914" s="91">
        <f>SUM(Q1912:Q1913)</f>
        <v>0</v>
      </c>
      <c r="R1914" s="91">
        <f>SUM(R1912:R1913)</f>
        <v>0</v>
      </c>
      <c r="S1914" s="91">
        <f>SUM(S1912:S1913)</f>
        <v>0</v>
      </c>
      <c r="T1914" s="91">
        <f>SUM(T1912:T1913)</f>
        <v>0</v>
      </c>
      <c r="U1914" s="59">
        <f t="shared" si="3089"/>
        <v>0</v>
      </c>
      <c r="V1914" s="91">
        <f>SUM(V1912:V1913)</f>
        <v>0</v>
      </c>
      <c r="W1914" s="91">
        <f>SUM(W1912:W1913)</f>
        <v>0</v>
      </c>
      <c r="X1914" s="91">
        <f>SUM(X1912:X1913)</f>
        <v>0</v>
      </c>
      <c r="Y1914" s="136"/>
      <c r="Z1914" s="136"/>
      <c r="AA1914" s="136"/>
      <c r="AB1914" s="84"/>
      <c r="AC1914" s="90"/>
      <c r="AD1914" s="90"/>
      <c r="AE1914" s="100">
        <f t="shared" si="3090"/>
        <v>-1</v>
      </c>
      <c r="AF1914" s="90"/>
      <c r="AG1914" s="109">
        <f t="shared" si="3091"/>
        <v>-2340</v>
      </c>
      <c r="AH1914" s="100">
        <f t="shared" si="3092"/>
        <v>-1</v>
      </c>
      <c r="AI1914" s="100">
        <f t="shared" si="3093"/>
        <v>-1</v>
      </c>
    </row>
    <row r="1915" spans="1:35" s="47" customFormat="1" ht="21" customHeight="1" x14ac:dyDescent="0.3">
      <c r="A1915" s="78"/>
      <c r="B1915" s="106" t="s">
        <v>51</v>
      </c>
      <c r="C1915" s="117">
        <v>48223</v>
      </c>
      <c r="D1915" s="299">
        <v>15387837</v>
      </c>
      <c r="E1915" s="131" t="s">
        <v>228</v>
      </c>
      <c r="F1915" s="66">
        <v>1152</v>
      </c>
      <c r="G1915" s="66"/>
      <c r="H1915" s="66"/>
      <c r="I1915" s="66"/>
      <c r="J1915" s="66"/>
      <c r="K1915" s="78"/>
      <c r="L1915" s="66"/>
      <c r="M1915" s="66">
        <f>1180</f>
        <v>1180</v>
      </c>
      <c r="N1915" s="110">
        <f t="shared" ref="N1915:N1917" si="3096">M1915-F1915</f>
        <v>28</v>
      </c>
      <c r="O1915" s="110"/>
      <c r="P1915" s="66"/>
      <c r="Q1915" s="66">
        <v>1180</v>
      </c>
      <c r="R1915" s="66"/>
      <c r="S1915" s="66">
        <v>1179</v>
      </c>
      <c r="T1915" s="110">
        <f>S1915-Q1915</f>
        <v>-1</v>
      </c>
      <c r="U1915" s="59">
        <f t="shared" si="3089"/>
        <v>1179</v>
      </c>
      <c r="V1915" s="66"/>
      <c r="W1915" s="66"/>
      <c r="X1915" s="110">
        <f>W1915-M1915</f>
        <v>-1180</v>
      </c>
      <c r="Y1915" s="110"/>
      <c r="Z1915" s="110"/>
      <c r="AA1915" s="110"/>
      <c r="AB1915" s="46"/>
      <c r="AC1915" s="78"/>
      <c r="AD1915" s="78"/>
      <c r="AE1915" s="100">
        <f t="shared" si="3090"/>
        <v>2.4305555555555556E-2</v>
      </c>
      <c r="AF1915" s="90"/>
      <c r="AG1915" s="109">
        <f t="shared" si="3091"/>
        <v>0</v>
      </c>
      <c r="AH1915" s="100">
        <f t="shared" si="3092"/>
        <v>2.34375E-2</v>
      </c>
      <c r="AI1915" s="100">
        <f t="shared" si="3093"/>
        <v>-1</v>
      </c>
    </row>
    <row r="1916" spans="1:35" s="47" customFormat="1" ht="21" customHeight="1" x14ac:dyDescent="0.3">
      <c r="A1916" s="78"/>
      <c r="B1916" s="106" t="s">
        <v>51</v>
      </c>
      <c r="C1916" s="117">
        <v>48223</v>
      </c>
      <c r="D1916" s="300"/>
      <c r="E1916" s="131" t="s">
        <v>49</v>
      </c>
      <c r="F1916" s="66">
        <v>810</v>
      </c>
      <c r="G1916" s="66"/>
      <c r="H1916" s="66"/>
      <c r="I1916" s="66"/>
      <c r="J1916" s="66"/>
      <c r="K1916" s="78"/>
      <c r="L1916" s="66"/>
      <c r="M1916" s="66">
        <v>832</v>
      </c>
      <c r="N1916" s="110">
        <f t="shared" ref="N1916" si="3097">M1916-F1916</f>
        <v>22</v>
      </c>
      <c r="O1916" s="110"/>
      <c r="P1916" s="66"/>
      <c r="Q1916" s="66">
        <v>832</v>
      </c>
      <c r="R1916" s="66"/>
      <c r="S1916" s="66">
        <v>828</v>
      </c>
      <c r="T1916" s="110">
        <f t="shared" ref="T1916" si="3098">S1916-Q1916</f>
        <v>-4</v>
      </c>
      <c r="U1916" s="59">
        <f t="shared" ref="U1916" si="3099">IF(Q1916&gt;0,S1916-W1916,M1916-W1916)</f>
        <v>828</v>
      </c>
      <c r="V1916" s="66"/>
      <c r="W1916" s="66"/>
      <c r="X1916" s="110">
        <f t="shared" ref="X1916" si="3100">W1916-M1916</f>
        <v>-832</v>
      </c>
      <c r="Y1916" s="110"/>
      <c r="Z1916" s="110"/>
      <c r="AA1916" s="110"/>
      <c r="AB1916" s="46"/>
      <c r="AC1916" s="78"/>
      <c r="AD1916" s="78"/>
      <c r="AE1916" s="100">
        <f t="shared" ref="AE1916" si="3101">N1916/F1916</f>
        <v>2.7160493827160494E-2</v>
      </c>
      <c r="AF1916" s="90"/>
      <c r="AG1916" s="109">
        <f t="shared" ref="AG1916" si="3102">IF(N1916&lt;0,N1916,0)</f>
        <v>0</v>
      </c>
      <c r="AH1916" s="100">
        <f t="shared" ref="AH1916" si="3103">(S1916-F1916)/F1916</f>
        <v>2.2222222222222223E-2</v>
      </c>
      <c r="AI1916" s="100">
        <f t="shared" ref="AI1916" si="3104">(W1916-F1916)/F1916</f>
        <v>-1</v>
      </c>
    </row>
    <row r="1917" spans="1:35" s="47" customFormat="1" ht="21" customHeight="1" x14ac:dyDescent="0.3">
      <c r="A1917" s="78"/>
      <c r="B1917" s="106" t="s">
        <v>51</v>
      </c>
      <c r="C1917" s="117">
        <v>48223</v>
      </c>
      <c r="D1917" s="300"/>
      <c r="E1917" s="131" t="s">
        <v>750</v>
      </c>
      <c r="F1917" s="66">
        <v>1299</v>
      </c>
      <c r="G1917" s="66"/>
      <c r="H1917" s="66"/>
      <c r="I1917" s="66"/>
      <c r="J1917" s="66"/>
      <c r="K1917" s="78"/>
      <c r="L1917" s="66"/>
      <c r="M1917" s="66">
        <v>1342</v>
      </c>
      <c r="N1917" s="110">
        <f t="shared" si="3096"/>
        <v>43</v>
      </c>
      <c r="O1917" s="110"/>
      <c r="P1917" s="66"/>
      <c r="Q1917" s="66">
        <v>1342</v>
      </c>
      <c r="R1917" s="66"/>
      <c r="S1917" s="66">
        <v>1319</v>
      </c>
      <c r="T1917" s="110">
        <f t="shared" ref="T1917" si="3105">S1917-Q1917</f>
        <v>-23</v>
      </c>
      <c r="U1917" s="59">
        <f t="shared" si="3089"/>
        <v>1319</v>
      </c>
      <c r="V1917" s="66"/>
      <c r="W1917" s="66"/>
      <c r="X1917" s="110">
        <f t="shared" ref="X1917" si="3106">W1917-M1917</f>
        <v>-1342</v>
      </c>
      <c r="Y1917" s="110"/>
      <c r="Z1917" s="110"/>
      <c r="AA1917" s="110"/>
      <c r="AB1917" s="46"/>
      <c r="AC1917" s="78"/>
      <c r="AD1917" s="78"/>
      <c r="AE1917" s="100">
        <f t="shared" si="3090"/>
        <v>3.3102386451116246E-2</v>
      </c>
      <c r="AF1917" s="90"/>
      <c r="AG1917" s="109">
        <f t="shared" si="3091"/>
        <v>0</v>
      </c>
      <c r="AH1917" s="100">
        <f t="shared" si="3092"/>
        <v>1.5396458814472672E-2</v>
      </c>
      <c r="AI1917" s="100">
        <f t="shared" si="3093"/>
        <v>-1</v>
      </c>
    </row>
    <row r="1918" spans="1:35" s="79" customFormat="1" ht="15.75" customHeight="1" x14ac:dyDescent="0.3">
      <c r="A1918" s="90" t="s">
        <v>46</v>
      </c>
      <c r="B1918" s="136" t="s">
        <v>51</v>
      </c>
      <c r="C1918" s="137"/>
      <c r="D1918" s="136"/>
      <c r="E1918" s="138"/>
      <c r="F1918" s="91">
        <f>SUM(F1915:F1917)</f>
        <v>3261</v>
      </c>
      <c r="G1918" s="91"/>
      <c r="H1918" s="91"/>
      <c r="I1918" s="91"/>
      <c r="J1918" s="91" t="s">
        <v>59</v>
      </c>
      <c r="K1918" s="65" t="s">
        <v>416</v>
      </c>
      <c r="L1918" s="91">
        <f>SUM(L1915:L1917)</f>
        <v>0</v>
      </c>
      <c r="M1918" s="91">
        <f>SUM(M1915:M1917)</f>
        <v>3354</v>
      </c>
      <c r="N1918" s="91">
        <f>SUM(N1915:N1917)</f>
        <v>93</v>
      </c>
      <c r="O1918" s="91" t="s">
        <v>210</v>
      </c>
      <c r="P1918" s="91">
        <f>SUM(P1915:P1917)</f>
        <v>0</v>
      </c>
      <c r="Q1918" s="91">
        <f>SUM(Q1915:Q1917)</f>
        <v>3354</v>
      </c>
      <c r="R1918" s="91">
        <f>SUM(R1915:R1917)</f>
        <v>0</v>
      </c>
      <c r="S1918" s="91">
        <f>SUM(S1915:S1917)</f>
        <v>3326</v>
      </c>
      <c r="T1918" s="91">
        <f>SUM(T1915:T1917)</f>
        <v>-28</v>
      </c>
      <c r="U1918" s="59">
        <f t="shared" si="3089"/>
        <v>3326</v>
      </c>
      <c r="V1918" s="91">
        <f>SUM(V1915:V1917)</f>
        <v>0</v>
      </c>
      <c r="W1918" s="91">
        <f>SUM(W1915:W1917)</f>
        <v>0</v>
      </c>
      <c r="X1918" s="91">
        <f>SUM(X1915:X1917)</f>
        <v>-3354</v>
      </c>
      <c r="Y1918" s="136" t="s">
        <v>47</v>
      </c>
      <c r="Z1918" s="136" t="s">
        <v>45</v>
      </c>
      <c r="AA1918" s="136"/>
      <c r="AB1918" s="84"/>
      <c r="AC1918" s="90"/>
      <c r="AD1918" s="90"/>
      <c r="AE1918" s="100">
        <f t="shared" si="3090"/>
        <v>2.8518859245630176E-2</v>
      </c>
      <c r="AF1918" s="90"/>
      <c r="AG1918" s="109">
        <f t="shared" si="3091"/>
        <v>0</v>
      </c>
      <c r="AH1918" s="100">
        <f t="shared" si="3092"/>
        <v>1.9932536031892059E-2</v>
      </c>
      <c r="AI1918" s="100">
        <f t="shared" si="3093"/>
        <v>-1</v>
      </c>
    </row>
    <row r="1919" spans="1:35" s="47" customFormat="1" ht="21" customHeight="1" x14ac:dyDescent="0.3">
      <c r="A1919" s="78"/>
      <c r="B1919" s="106" t="s">
        <v>51</v>
      </c>
      <c r="C1919" s="117">
        <v>48217</v>
      </c>
      <c r="D1919" s="299">
        <v>15368599</v>
      </c>
      <c r="E1919" s="131" t="s">
        <v>747</v>
      </c>
      <c r="F1919" s="66">
        <v>698</v>
      </c>
      <c r="G1919" s="66"/>
      <c r="H1919" s="66"/>
      <c r="I1919" s="66"/>
      <c r="J1919" s="66"/>
      <c r="K1919" s="78"/>
      <c r="L1919" s="66"/>
      <c r="M1919" s="66">
        <v>722</v>
      </c>
      <c r="N1919" s="110">
        <f t="shared" ref="N1919:N1922" si="3107">M1919-F1919</f>
        <v>24</v>
      </c>
      <c r="O1919" s="110"/>
      <c r="P1919" s="66"/>
      <c r="Q1919" s="66">
        <v>722</v>
      </c>
      <c r="R1919" s="66"/>
      <c r="S1919" s="66"/>
      <c r="T1919" s="110">
        <f>S1919-Q1919</f>
        <v>-722</v>
      </c>
      <c r="U1919" s="59">
        <f t="shared" si="3089"/>
        <v>0</v>
      </c>
      <c r="V1919" s="66"/>
      <c r="W1919" s="66"/>
      <c r="X1919" s="110">
        <f>W1919-M1919</f>
        <v>-722</v>
      </c>
      <c r="Y1919" s="110"/>
      <c r="Z1919" s="110"/>
      <c r="AA1919" s="110"/>
      <c r="AB1919" s="46"/>
      <c r="AC1919" s="78"/>
      <c r="AD1919" s="78"/>
      <c r="AE1919" s="100">
        <f t="shared" si="3090"/>
        <v>3.4383954154727794E-2</v>
      </c>
      <c r="AF1919" s="90"/>
      <c r="AG1919" s="109">
        <f t="shared" si="3091"/>
        <v>0</v>
      </c>
      <c r="AH1919" s="100">
        <f t="shared" si="3092"/>
        <v>-1</v>
      </c>
      <c r="AI1919" s="100">
        <f t="shared" si="3093"/>
        <v>-1</v>
      </c>
    </row>
    <row r="1920" spans="1:35" s="47" customFormat="1" ht="21" customHeight="1" x14ac:dyDescent="0.3">
      <c r="A1920" s="78"/>
      <c r="B1920" s="106" t="s">
        <v>51</v>
      </c>
      <c r="C1920" s="117">
        <v>48217</v>
      </c>
      <c r="D1920" s="300"/>
      <c r="E1920" s="131" t="s">
        <v>161</v>
      </c>
      <c r="F1920" s="66">
        <v>1754</v>
      </c>
      <c r="G1920" s="66"/>
      <c r="H1920" s="66"/>
      <c r="I1920" s="66"/>
      <c r="J1920" s="66"/>
      <c r="K1920" s="78"/>
      <c r="L1920" s="66"/>
      <c r="M1920" s="66">
        <v>1790</v>
      </c>
      <c r="N1920" s="110">
        <f t="shared" si="3107"/>
        <v>36</v>
      </c>
      <c r="O1920" s="110"/>
      <c r="P1920" s="66"/>
      <c r="Q1920" s="66">
        <f>1790</f>
        <v>1790</v>
      </c>
      <c r="R1920" s="66"/>
      <c r="S1920" s="66"/>
      <c r="T1920" s="110">
        <f t="shared" ref="T1920" si="3108">S1920-Q1920</f>
        <v>-1790</v>
      </c>
      <c r="U1920" s="59">
        <f t="shared" si="3089"/>
        <v>0</v>
      </c>
      <c r="V1920" s="66"/>
      <c r="W1920" s="66"/>
      <c r="X1920" s="110">
        <f t="shared" ref="X1920" si="3109">W1920-M1920</f>
        <v>-1790</v>
      </c>
      <c r="Y1920" s="110"/>
      <c r="Z1920" s="110"/>
      <c r="AA1920" s="110"/>
      <c r="AB1920" s="46"/>
      <c r="AC1920" s="78"/>
      <c r="AD1920" s="78"/>
      <c r="AE1920" s="100">
        <f t="shared" si="3090"/>
        <v>2.0524515393386546E-2</v>
      </c>
      <c r="AF1920" s="90"/>
      <c r="AG1920" s="109">
        <f t="shared" si="3091"/>
        <v>0</v>
      </c>
      <c r="AH1920" s="100">
        <f t="shared" si="3092"/>
        <v>-1</v>
      </c>
      <c r="AI1920" s="100">
        <f t="shared" si="3093"/>
        <v>-1</v>
      </c>
    </row>
    <row r="1921" spans="1:35" s="47" customFormat="1" ht="21" customHeight="1" x14ac:dyDescent="0.3">
      <c r="A1921" s="78"/>
      <c r="B1921" s="106" t="s">
        <v>51</v>
      </c>
      <c r="C1921" s="117">
        <v>48217</v>
      </c>
      <c r="D1921" s="300"/>
      <c r="E1921" s="131" t="s">
        <v>748</v>
      </c>
      <c r="F1921" s="66">
        <v>5762</v>
      </c>
      <c r="G1921" s="66"/>
      <c r="H1921" s="66"/>
      <c r="I1921" s="66"/>
      <c r="J1921" s="66"/>
      <c r="K1921" s="78"/>
      <c r="L1921" s="66">
        <f>200+792</f>
        <v>992</v>
      </c>
      <c r="M1921" s="66">
        <f>1209+3700+200+792</f>
        <v>5901</v>
      </c>
      <c r="N1921" s="110">
        <f t="shared" ref="N1921" si="3110">M1921-F1921</f>
        <v>139</v>
      </c>
      <c r="O1921" s="110"/>
      <c r="P1921" s="66">
        <v>792</v>
      </c>
      <c r="Q1921" s="66">
        <f>3809+1300+792</f>
        <v>5901</v>
      </c>
      <c r="R1921" s="66"/>
      <c r="S1921" s="66"/>
      <c r="T1921" s="110">
        <f t="shared" ref="T1921" si="3111">S1921-Q1921</f>
        <v>-5901</v>
      </c>
      <c r="U1921" s="59">
        <f t="shared" ref="U1921" si="3112">IF(Q1921&gt;0,S1921-W1921,M1921-W1921)</f>
        <v>0</v>
      </c>
      <c r="V1921" s="66"/>
      <c r="W1921" s="66"/>
      <c r="X1921" s="110">
        <f t="shared" ref="X1921" si="3113">W1921-M1921</f>
        <v>-5901</v>
      </c>
      <c r="Y1921" s="110"/>
      <c r="Z1921" s="110"/>
      <c r="AA1921" s="110"/>
      <c r="AB1921" s="46"/>
      <c r="AC1921" s="78"/>
      <c r="AD1921" s="78"/>
      <c r="AE1921" s="100">
        <f t="shared" ref="AE1921" si="3114">N1921/F1921</f>
        <v>2.4123568205484208E-2</v>
      </c>
      <c r="AF1921" s="90"/>
      <c r="AG1921" s="109">
        <f t="shared" ref="AG1921" si="3115">IF(N1921&lt;0,N1921,0)</f>
        <v>0</v>
      </c>
      <c r="AH1921" s="100">
        <f t="shared" ref="AH1921" si="3116">(S1921-F1921)/F1921</f>
        <v>-1</v>
      </c>
      <c r="AI1921" s="100">
        <f t="shared" ref="AI1921" si="3117">(W1921-F1921)/F1921</f>
        <v>-1</v>
      </c>
    </row>
    <row r="1922" spans="1:35" s="47" customFormat="1" ht="21" customHeight="1" x14ac:dyDescent="0.3">
      <c r="A1922" s="78"/>
      <c r="B1922" s="106" t="s">
        <v>51</v>
      </c>
      <c r="C1922" s="117">
        <v>48217</v>
      </c>
      <c r="D1922" s="300"/>
      <c r="E1922" s="131" t="s">
        <v>749</v>
      </c>
      <c r="F1922" s="66">
        <v>4430</v>
      </c>
      <c r="G1922" s="66"/>
      <c r="H1922" s="66"/>
      <c r="I1922" s="66"/>
      <c r="J1922" s="66"/>
      <c r="K1922" s="78"/>
      <c r="L1922" s="66"/>
      <c r="M1922" s="66">
        <f>1404+2736+400</f>
        <v>4540</v>
      </c>
      <c r="N1922" s="110">
        <f t="shared" si="3107"/>
        <v>110</v>
      </c>
      <c r="O1922" s="110"/>
      <c r="P1922" s="66"/>
      <c r="Q1922" s="66">
        <f>1053+2736+351+400</f>
        <v>4540</v>
      </c>
      <c r="R1922" s="66">
        <v>1847</v>
      </c>
      <c r="S1922" s="66">
        <f>2717+1823</f>
        <v>4540</v>
      </c>
      <c r="T1922" s="110">
        <f t="shared" ref="T1922" si="3118">S1922-Q1922</f>
        <v>0</v>
      </c>
      <c r="U1922" s="59">
        <f t="shared" si="3089"/>
        <v>4540</v>
      </c>
      <c r="V1922" s="66"/>
      <c r="W1922" s="66"/>
      <c r="X1922" s="110">
        <f t="shared" ref="X1922" si="3119">W1922-M1922</f>
        <v>-4540</v>
      </c>
      <c r="Y1922" s="110"/>
      <c r="Z1922" s="110"/>
      <c r="AA1922" s="110"/>
      <c r="AB1922" s="46"/>
      <c r="AC1922" s="78"/>
      <c r="AD1922" s="78"/>
      <c r="AE1922" s="100">
        <f t="shared" si="3090"/>
        <v>2.4830699774266364E-2</v>
      </c>
      <c r="AF1922" s="90"/>
      <c r="AG1922" s="109">
        <f t="shared" si="3091"/>
        <v>0</v>
      </c>
      <c r="AH1922" s="100">
        <f t="shared" si="3092"/>
        <v>2.4830699774266364E-2</v>
      </c>
      <c r="AI1922" s="100">
        <f t="shared" si="3093"/>
        <v>-1</v>
      </c>
    </row>
    <row r="1923" spans="1:35" s="79" customFormat="1" ht="15.75" customHeight="1" x14ac:dyDescent="0.3">
      <c r="A1923" s="90" t="s">
        <v>46</v>
      </c>
      <c r="B1923" s="136" t="s">
        <v>51</v>
      </c>
      <c r="C1923" s="137"/>
      <c r="D1923" s="136"/>
      <c r="E1923" s="138"/>
      <c r="F1923" s="91">
        <f>SUM(F1919:F1922)</f>
        <v>12644</v>
      </c>
      <c r="G1923" s="91"/>
      <c r="H1923" s="91"/>
      <c r="I1923" s="91"/>
      <c r="J1923" s="91" t="s">
        <v>59</v>
      </c>
      <c r="K1923" s="65" t="s">
        <v>416</v>
      </c>
      <c r="L1923" s="91">
        <f>SUM(L1919:L1922)</f>
        <v>992</v>
      </c>
      <c r="M1923" s="91">
        <f>SUM(M1919:M1922)</f>
        <v>12953</v>
      </c>
      <c r="N1923" s="91">
        <f>SUM(N1919:N1922)</f>
        <v>309</v>
      </c>
      <c r="O1923" s="91" t="s">
        <v>851</v>
      </c>
      <c r="P1923" s="91">
        <f>SUM(P1919:P1922)</f>
        <v>792</v>
      </c>
      <c r="Q1923" s="91">
        <f>SUM(Q1919:Q1922)</f>
        <v>12953</v>
      </c>
      <c r="R1923" s="91">
        <f>SUM(R1919:R1922)</f>
        <v>1847</v>
      </c>
      <c r="S1923" s="91">
        <f>SUM(S1919:S1922)</f>
        <v>4540</v>
      </c>
      <c r="T1923" s="91">
        <f>SUM(T1919:T1922)</f>
        <v>-8413</v>
      </c>
      <c r="U1923" s="59">
        <f t="shared" si="3089"/>
        <v>4540</v>
      </c>
      <c r="V1923" s="91">
        <f>SUM(V1919:V1922)</f>
        <v>0</v>
      </c>
      <c r="W1923" s="91">
        <f>SUM(W1919:W1922)</f>
        <v>0</v>
      </c>
      <c r="X1923" s="91">
        <f>SUM(X1919:X1922)</f>
        <v>-12953</v>
      </c>
      <c r="Y1923" s="136" t="s">
        <v>48</v>
      </c>
      <c r="Z1923" s="136" t="s">
        <v>45</v>
      </c>
      <c r="AA1923" s="136"/>
      <c r="AB1923" s="84"/>
      <c r="AC1923" s="90"/>
      <c r="AD1923" s="90"/>
      <c r="AE1923" s="100">
        <f t="shared" si="3090"/>
        <v>2.4438468838975009E-2</v>
      </c>
      <c r="AF1923" s="90"/>
      <c r="AG1923" s="109">
        <f t="shared" si="3091"/>
        <v>0</v>
      </c>
      <c r="AH1923" s="100">
        <f t="shared" si="3092"/>
        <v>-0.64093641252768108</v>
      </c>
      <c r="AI1923" s="100">
        <f t="shared" si="3093"/>
        <v>-1</v>
      </c>
    </row>
    <row r="1924" spans="1:35" s="47" customFormat="1" ht="21" customHeight="1" x14ac:dyDescent="0.3">
      <c r="A1924" s="78"/>
      <c r="B1924" s="106" t="s">
        <v>51</v>
      </c>
      <c r="C1924" s="117" t="s">
        <v>958</v>
      </c>
      <c r="D1924" s="299">
        <v>15390922</v>
      </c>
      <c r="E1924" s="131" t="s">
        <v>234</v>
      </c>
      <c r="F1924" s="66">
        <v>3558</v>
      </c>
      <c r="G1924" s="66"/>
      <c r="H1924" s="66"/>
      <c r="I1924" s="66"/>
      <c r="J1924" s="66"/>
      <c r="K1924" s="78"/>
      <c r="L1924" s="66"/>
      <c r="M1924" s="66"/>
      <c r="N1924" s="110">
        <f t="shared" ref="N1924:N1930" si="3120">M1924-F1924</f>
        <v>-3558</v>
      </c>
      <c r="O1924" s="110"/>
      <c r="P1924" s="66"/>
      <c r="Q1924" s="66"/>
      <c r="R1924" s="66"/>
      <c r="S1924" s="66"/>
      <c r="T1924" s="110">
        <f>S1924-Q1924</f>
        <v>0</v>
      </c>
      <c r="U1924" s="59">
        <f t="shared" si="3089"/>
        <v>0</v>
      </c>
      <c r="V1924" s="66"/>
      <c r="W1924" s="66"/>
      <c r="X1924" s="110">
        <f>W1924-M1924</f>
        <v>0</v>
      </c>
      <c r="Y1924" s="110"/>
      <c r="Z1924" s="110"/>
      <c r="AA1924" s="110"/>
      <c r="AB1924" s="46"/>
      <c r="AC1924" s="78"/>
      <c r="AD1924" s="78"/>
      <c r="AE1924" s="100">
        <f t="shared" si="3090"/>
        <v>-1</v>
      </c>
      <c r="AF1924" s="90"/>
      <c r="AG1924" s="109">
        <f t="shared" si="3091"/>
        <v>-3558</v>
      </c>
      <c r="AH1924" s="100">
        <f t="shared" si="3092"/>
        <v>-1</v>
      </c>
      <c r="AI1924" s="100">
        <f t="shared" si="3093"/>
        <v>-1</v>
      </c>
    </row>
    <row r="1925" spans="1:35" s="47" customFormat="1" ht="21" customHeight="1" x14ac:dyDescent="0.3">
      <c r="A1925" s="78"/>
      <c r="B1925" s="106" t="s">
        <v>51</v>
      </c>
      <c r="C1925" s="117" t="s">
        <v>958</v>
      </c>
      <c r="D1925" s="300"/>
      <c r="E1925" s="131" t="s">
        <v>599</v>
      </c>
      <c r="F1925" s="66">
        <v>1275</v>
      </c>
      <c r="G1925" s="66"/>
      <c r="H1925" s="66"/>
      <c r="I1925" s="66"/>
      <c r="J1925" s="66"/>
      <c r="K1925" s="78"/>
      <c r="L1925" s="66"/>
      <c r="M1925" s="66"/>
      <c r="N1925" s="110">
        <f t="shared" si="3120"/>
        <v>-1275</v>
      </c>
      <c r="O1925" s="110"/>
      <c r="P1925" s="66"/>
      <c r="Q1925" s="66"/>
      <c r="R1925" s="66"/>
      <c r="S1925" s="66"/>
      <c r="T1925" s="110">
        <f t="shared" ref="T1925:T1930" si="3121">S1925-Q1925</f>
        <v>0</v>
      </c>
      <c r="U1925" s="59">
        <f t="shared" si="3089"/>
        <v>0</v>
      </c>
      <c r="V1925" s="66"/>
      <c r="W1925" s="66"/>
      <c r="X1925" s="110">
        <f t="shared" ref="X1925:X1930" si="3122">W1925-M1925</f>
        <v>0</v>
      </c>
      <c r="Y1925" s="110"/>
      <c r="Z1925" s="110"/>
      <c r="AA1925" s="110"/>
      <c r="AB1925" s="46"/>
      <c r="AC1925" s="78"/>
      <c r="AD1925" s="78"/>
      <c r="AE1925" s="100">
        <f t="shared" si="3090"/>
        <v>-1</v>
      </c>
      <c r="AF1925" s="90"/>
      <c r="AG1925" s="109">
        <f t="shared" si="3091"/>
        <v>-1275</v>
      </c>
      <c r="AH1925" s="100">
        <f t="shared" si="3092"/>
        <v>-1</v>
      </c>
      <c r="AI1925" s="100">
        <f t="shared" si="3093"/>
        <v>-1</v>
      </c>
    </row>
    <row r="1926" spans="1:35" s="47" customFormat="1" ht="21" customHeight="1" x14ac:dyDescent="0.3">
      <c r="A1926" s="78"/>
      <c r="B1926" s="106" t="s">
        <v>51</v>
      </c>
      <c r="C1926" s="117" t="s">
        <v>958</v>
      </c>
      <c r="D1926" s="300"/>
      <c r="E1926" s="131" t="s">
        <v>959</v>
      </c>
      <c r="F1926" s="66">
        <v>1230</v>
      </c>
      <c r="G1926" s="66"/>
      <c r="H1926" s="66"/>
      <c r="I1926" s="66"/>
      <c r="J1926" s="66"/>
      <c r="K1926" s="78"/>
      <c r="L1926" s="66"/>
      <c r="M1926" s="66"/>
      <c r="N1926" s="110">
        <f t="shared" si="3120"/>
        <v>-1230</v>
      </c>
      <c r="O1926" s="110"/>
      <c r="P1926" s="66"/>
      <c r="Q1926" s="66"/>
      <c r="R1926" s="66"/>
      <c r="S1926" s="66"/>
      <c r="T1926" s="110">
        <f t="shared" si="3121"/>
        <v>0</v>
      </c>
      <c r="U1926" s="59">
        <f t="shared" si="3089"/>
        <v>0</v>
      </c>
      <c r="V1926" s="66"/>
      <c r="W1926" s="66"/>
      <c r="X1926" s="110">
        <f t="shared" si="3122"/>
        <v>0</v>
      </c>
      <c r="Y1926" s="110"/>
      <c r="Z1926" s="110"/>
      <c r="AA1926" s="110"/>
      <c r="AB1926" s="46"/>
      <c r="AC1926" s="78"/>
      <c r="AD1926" s="78"/>
      <c r="AE1926" s="100">
        <f t="shared" si="3090"/>
        <v>-1</v>
      </c>
      <c r="AF1926" s="90"/>
      <c r="AG1926" s="109">
        <f t="shared" si="3091"/>
        <v>-1230</v>
      </c>
      <c r="AH1926" s="100">
        <f t="shared" si="3092"/>
        <v>-1</v>
      </c>
      <c r="AI1926" s="100">
        <f t="shared" si="3093"/>
        <v>-1</v>
      </c>
    </row>
    <row r="1927" spans="1:35" s="47" customFormat="1" ht="21" customHeight="1" x14ac:dyDescent="0.3">
      <c r="A1927" s="78"/>
      <c r="B1927" s="106" t="s">
        <v>51</v>
      </c>
      <c r="C1927" s="117" t="s">
        <v>958</v>
      </c>
      <c r="D1927" s="300"/>
      <c r="E1927" s="131" t="s">
        <v>230</v>
      </c>
      <c r="F1927" s="66">
        <v>1022</v>
      </c>
      <c r="G1927" s="66"/>
      <c r="H1927" s="66"/>
      <c r="I1927" s="66"/>
      <c r="J1927" s="66"/>
      <c r="K1927" s="78"/>
      <c r="L1927" s="66"/>
      <c r="M1927" s="66"/>
      <c r="N1927" s="110">
        <f t="shared" si="3120"/>
        <v>-1022</v>
      </c>
      <c r="O1927" s="110"/>
      <c r="P1927" s="66"/>
      <c r="Q1927" s="66"/>
      <c r="R1927" s="66"/>
      <c r="S1927" s="66"/>
      <c r="T1927" s="110">
        <f t="shared" si="3121"/>
        <v>0</v>
      </c>
      <c r="U1927" s="59">
        <f t="shared" si="3089"/>
        <v>0</v>
      </c>
      <c r="V1927" s="66"/>
      <c r="W1927" s="66"/>
      <c r="X1927" s="110">
        <f t="shared" si="3122"/>
        <v>0</v>
      </c>
      <c r="Y1927" s="110"/>
      <c r="Z1927" s="110"/>
      <c r="AA1927" s="110"/>
      <c r="AB1927" s="46"/>
      <c r="AC1927" s="78"/>
      <c r="AD1927" s="78"/>
      <c r="AE1927" s="100">
        <f t="shared" si="3090"/>
        <v>-1</v>
      </c>
      <c r="AF1927" s="90"/>
      <c r="AG1927" s="109">
        <f t="shared" si="3091"/>
        <v>-1022</v>
      </c>
      <c r="AH1927" s="100">
        <f t="shared" si="3092"/>
        <v>-1</v>
      </c>
      <c r="AI1927" s="100">
        <f t="shared" si="3093"/>
        <v>-1</v>
      </c>
    </row>
    <row r="1928" spans="1:35" s="47" customFormat="1" ht="21" customHeight="1" x14ac:dyDescent="0.3">
      <c r="A1928" s="78"/>
      <c r="B1928" s="106" t="s">
        <v>51</v>
      </c>
      <c r="C1928" s="117" t="s">
        <v>958</v>
      </c>
      <c r="D1928" s="300"/>
      <c r="E1928" s="131" t="s">
        <v>960</v>
      </c>
      <c r="F1928" s="66">
        <v>734</v>
      </c>
      <c r="G1928" s="66"/>
      <c r="H1928" s="66"/>
      <c r="I1928" s="66"/>
      <c r="J1928" s="66"/>
      <c r="K1928" s="78"/>
      <c r="L1928" s="66"/>
      <c r="M1928" s="66"/>
      <c r="N1928" s="110">
        <f t="shared" si="3120"/>
        <v>-734</v>
      </c>
      <c r="O1928" s="110"/>
      <c r="P1928" s="66"/>
      <c r="Q1928" s="66"/>
      <c r="R1928" s="66"/>
      <c r="S1928" s="66"/>
      <c r="T1928" s="110">
        <f t="shared" si="3121"/>
        <v>0</v>
      </c>
      <c r="U1928" s="59">
        <f t="shared" si="3089"/>
        <v>0</v>
      </c>
      <c r="V1928" s="66"/>
      <c r="W1928" s="66"/>
      <c r="X1928" s="110">
        <f t="shared" si="3122"/>
        <v>0</v>
      </c>
      <c r="Y1928" s="110"/>
      <c r="Z1928" s="110"/>
      <c r="AA1928" s="110"/>
      <c r="AB1928" s="46"/>
      <c r="AC1928" s="78"/>
      <c r="AD1928" s="78"/>
      <c r="AE1928" s="100">
        <f t="shared" si="3090"/>
        <v>-1</v>
      </c>
      <c r="AF1928" s="90"/>
      <c r="AG1928" s="109">
        <f t="shared" si="3091"/>
        <v>-734</v>
      </c>
      <c r="AH1928" s="100">
        <f t="shared" si="3092"/>
        <v>-1</v>
      </c>
      <c r="AI1928" s="100">
        <f t="shared" si="3093"/>
        <v>-1</v>
      </c>
    </row>
    <row r="1929" spans="1:35" s="47" customFormat="1" ht="21" customHeight="1" x14ac:dyDescent="0.3">
      <c r="A1929" s="78"/>
      <c r="B1929" s="106" t="s">
        <v>51</v>
      </c>
      <c r="C1929" s="117" t="s">
        <v>958</v>
      </c>
      <c r="D1929" s="300"/>
      <c r="E1929" s="131" t="s">
        <v>309</v>
      </c>
      <c r="F1929" s="66">
        <v>1424</v>
      </c>
      <c r="G1929" s="66"/>
      <c r="H1929" s="66"/>
      <c r="I1929" s="66"/>
      <c r="J1929" s="66"/>
      <c r="K1929" s="78"/>
      <c r="L1929" s="66"/>
      <c r="M1929" s="66"/>
      <c r="N1929" s="110">
        <f t="shared" si="3120"/>
        <v>-1424</v>
      </c>
      <c r="O1929" s="110"/>
      <c r="P1929" s="66"/>
      <c r="Q1929" s="66"/>
      <c r="R1929" s="66"/>
      <c r="S1929" s="66"/>
      <c r="T1929" s="110">
        <f t="shared" si="3121"/>
        <v>0</v>
      </c>
      <c r="U1929" s="59">
        <f t="shared" si="3089"/>
        <v>0</v>
      </c>
      <c r="V1929" s="66"/>
      <c r="W1929" s="66"/>
      <c r="X1929" s="110">
        <f t="shared" si="3122"/>
        <v>0</v>
      </c>
      <c r="Y1929" s="110"/>
      <c r="Z1929" s="110"/>
      <c r="AA1929" s="110"/>
      <c r="AB1929" s="46"/>
      <c r="AC1929" s="78"/>
      <c r="AD1929" s="78"/>
      <c r="AE1929" s="100">
        <f t="shared" si="3090"/>
        <v>-1</v>
      </c>
      <c r="AF1929" s="90"/>
      <c r="AG1929" s="109">
        <f t="shared" si="3091"/>
        <v>-1424</v>
      </c>
      <c r="AH1929" s="100">
        <f t="shared" si="3092"/>
        <v>-1</v>
      </c>
      <c r="AI1929" s="100">
        <f t="shared" si="3093"/>
        <v>-1</v>
      </c>
    </row>
    <row r="1930" spans="1:35" s="47" customFormat="1" ht="21" customHeight="1" x14ac:dyDescent="0.3">
      <c r="A1930" s="78"/>
      <c r="B1930" s="106" t="s">
        <v>51</v>
      </c>
      <c r="C1930" s="117" t="s">
        <v>958</v>
      </c>
      <c r="D1930" s="300"/>
      <c r="E1930" s="131" t="s">
        <v>961</v>
      </c>
      <c r="F1930" s="66">
        <v>4188</v>
      </c>
      <c r="G1930" s="66"/>
      <c r="H1930" s="66"/>
      <c r="I1930" s="66"/>
      <c r="J1930" s="66"/>
      <c r="K1930" s="78"/>
      <c r="L1930" s="66"/>
      <c r="M1930" s="66"/>
      <c r="N1930" s="110">
        <f t="shared" si="3120"/>
        <v>-4188</v>
      </c>
      <c r="O1930" s="110"/>
      <c r="P1930" s="66"/>
      <c r="Q1930" s="66"/>
      <c r="R1930" s="66"/>
      <c r="S1930" s="66"/>
      <c r="T1930" s="110">
        <f t="shared" si="3121"/>
        <v>0</v>
      </c>
      <c r="U1930" s="59">
        <f t="shared" si="3089"/>
        <v>0</v>
      </c>
      <c r="V1930" s="66"/>
      <c r="W1930" s="66"/>
      <c r="X1930" s="110">
        <f t="shared" si="3122"/>
        <v>0</v>
      </c>
      <c r="Y1930" s="110"/>
      <c r="Z1930" s="110"/>
      <c r="AA1930" s="110"/>
      <c r="AB1930" s="46"/>
      <c r="AC1930" s="78"/>
      <c r="AD1930" s="78"/>
      <c r="AE1930" s="100">
        <f t="shared" si="3090"/>
        <v>-1</v>
      </c>
      <c r="AF1930" s="90"/>
      <c r="AG1930" s="109">
        <f t="shared" si="3091"/>
        <v>-4188</v>
      </c>
      <c r="AH1930" s="100">
        <f t="shared" si="3092"/>
        <v>-1</v>
      </c>
      <c r="AI1930" s="100">
        <f t="shared" si="3093"/>
        <v>-1</v>
      </c>
    </row>
    <row r="1931" spans="1:35" s="79" customFormat="1" ht="15.75" customHeight="1" x14ac:dyDescent="0.3">
      <c r="A1931" s="90" t="s">
        <v>46</v>
      </c>
      <c r="B1931" s="136" t="s">
        <v>51</v>
      </c>
      <c r="C1931" s="137"/>
      <c r="D1931" s="136"/>
      <c r="E1931" s="138"/>
      <c r="F1931" s="91">
        <f>SUM(F1924:F1930)</f>
        <v>13431</v>
      </c>
      <c r="G1931" s="91"/>
      <c r="H1931" s="91"/>
      <c r="I1931" s="91"/>
      <c r="J1931" s="91"/>
      <c r="K1931" s="65" t="s">
        <v>617</v>
      </c>
      <c r="L1931" s="91">
        <f>SUM(L1924:L1930)</f>
        <v>0</v>
      </c>
      <c r="M1931" s="91">
        <f>SUM(M1924:M1930)</f>
        <v>0</v>
      </c>
      <c r="N1931" s="91">
        <f>SUM(N1924:N1930)</f>
        <v>-13431</v>
      </c>
      <c r="O1931" s="91"/>
      <c r="P1931" s="91">
        <f>SUM(P1924:P1930)</f>
        <v>0</v>
      </c>
      <c r="Q1931" s="91">
        <f>SUM(Q1924:Q1930)</f>
        <v>0</v>
      </c>
      <c r="R1931" s="91">
        <f>SUM(R1924:R1930)</f>
        <v>0</v>
      </c>
      <c r="S1931" s="91">
        <f>SUM(S1924:S1930)</f>
        <v>0</v>
      </c>
      <c r="T1931" s="91">
        <f>SUM(T1924:T1930)</f>
        <v>0</v>
      </c>
      <c r="U1931" s="59">
        <f t="shared" si="3089"/>
        <v>0</v>
      </c>
      <c r="V1931" s="91">
        <f>SUM(V1924:V1930)</f>
        <v>0</v>
      </c>
      <c r="W1931" s="91">
        <f>SUM(W1924:W1930)</f>
        <v>0</v>
      </c>
      <c r="X1931" s="91">
        <f>SUM(X1924:X1930)</f>
        <v>0</v>
      </c>
      <c r="Y1931" s="136" t="s">
        <v>47</v>
      </c>
      <c r="Z1931" s="136" t="s">
        <v>45</v>
      </c>
      <c r="AA1931" s="136"/>
      <c r="AB1931" s="84"/>
      <c r="AC1931" s="90"/>
      <c r="AD1931" s="90"/>
      <c r="AE1931" s="100">
        <f t="shared" si="3090"/>
        <v>-1</v>
      </c>
      <c r="AF1931" s="90"/>
      <c r="AG1931" s="109">
        <f t="shared" si="3091"/>
        <v>-13431</v>
      </c>
      <c r="AH1931" s="100">
        <f t="shared" si="3092"/>
        <v>-1</v>
      </c>
      <c r="AI1931" s="100">
        <f t="shared" si="3093"/>
        <v>-1</v>
      </c>
    </row>
    <row r="1932" spans="1:35" s="47" customFormat="1" ht="21" customHeight="1" x14ac:dyDescent="0.3">
      <c r="A1932" s="78"/>
      <c r="B1932" s="106" t="s">
        <v>51</v>
      </c>
      <c r="C1932" s="117" t="s">
        <v>962</v>
      </c>
      <c r="D1932" s="299">
        <v>15390922</v>
      </c>
      <c r="E1932" s="131" t="s">
        <v>961</v>
      </c>
      <c r="F1932" s="66">
        <v>551</v>
      </c>
      <c r="G1932" s="66"/>
      <c r="H1932" s="66"/>
      <c r="I1932" s="66"/>
      <c r="J1932" s="66"/>
      <c r="K1932" s="78"/>
      <c r="L1932" s="66"/>
      <c r="M1932" s="66"/>
      <c r="N1932" s="110">
        <f t="shared" ref="N1932:N1933" si="3123">M1932-F1932</f>
        <v>-551</v>
      </c>
      <c r="O1932" s="110"/>
      <c r="P1932" s="66"/>
      <c r="Q1932" s="66"/>
      <c r="R1932" s="66"/>
      <c r="S1932" s="66"/>
      <c r="T1932" s="110">
        <f>S1932-Q1932</f>
        <v>0</v>
      </c>
      <c r="U1932" s="59">
        <f t="shared" si="3073"/>
        <v>0</v>
      </c>
      <c r="V1932" s="66"/>
      <c r="W1932" s="66"/>
      <c r="X1932" s="110">
        <f>W1932-M1932</f>
        <v>0</v>
      </c>
      <c r="Y1932" s="110"/>
      <c r="Z1932" s="110"/>
      <c r="AA1932" s="110"/>
      <c r="AB1932" s="46"/>
      <c r="AC1932" s="78"/>
      <c r="AD1932" s="78"/>
      <c r="AE1932" s="100">
        <f t="shared" si="3074"/>
        <v>-1</v>
      </c>
      <c r="AF1932" s="90"/>
      <c r="AG1932" s="109">
        <f t="shared" si="3075"/>
        <v>-551</v>
      </c>
      <c r="AH1932" s="100">
        <f t="shared" si="3076"/>
        <v>-1</v>
      </c>
      <c r="AI1932" s="100">
        <f t="shared" si="3077"/>
        <v>-1</v>
      </c>
    </row>
    <row r="1933" spans="1:35" s="47" customFormat="1" ht="21" customHeight="1" x14ac:dyDescent="0.3">
      <c r="A1933" s="78"/>
      <c r="B1933" s="106" t="s">
        <v>51</v>
      </c>
      <c r="C1933" s="117" t="s">
        <v>962</v>
      </c>
      <c r="D1933" s="300"/>
      <c r="E1933" s="131" t="s">
        <v>234</v>
      </c>
      <c r="F1933" s="66">
        <v>710</v>
      </c>
      <c r="G1933" s="66"/>
      <c r="H1933" s="66"/>
      <c r="I1933" s="66"/>
      <c r="J1933" s="66"/>
      <c r="K1933" s="78"/>
      <c r="L1933" s="66"/>
      <c r="M1933" s="66"/>
      <c r="N1933" s="110">
        <f t="shared" si="3123"/>
        <v>-710</v>
      </c>
      <c r="O1933" s="110"/>
      <c r="P1933" s="66"/>
      <c r="Q1933" s="66"/>
      <c r="R1933" s="66"/>
      <c r="S1933" s="66"/>
      <c r="T1933" s="110">
        <f t="shared" ref="T1933:T1935" si="3124">S1933-Q1933</f>
        <v>0</v>
      </c>
      <c r="U1933" s="59">
        <f t="shared" si="3073"/>
        <v>0</v>
      </c>
      <c r="V1933" s="66"/>
      <c r="W1933" s="66"/>
      <c r="X1933" s="110">
        <f t="shared" ref="X1933:X1935" si="3125">W1933-M1933</f>
        <v>0</v>
      </c>
      <c r="Y1933" s="110"/>
      <c r="Z1933" s="110"/>
      <c r="AA1933" s="110"/>
      <c r="AB1933" s="46"/>
      <c r="AC1933" s="78"/>
      <c r="AD1933" s="78"/>
      <c r="AE1933" s="100">
        <f t="shared" si="3074"/>
        <v>-1</v>
      </c>
      <c r="AF1933" s="90"/>
      <c r="AG1933" s="109">
        <f t="shared" si="3075"/>
        <v>-710</v>
      </c>
      <c r="AH1933" s="100">
        <f t="shared" si="3076"/>
        <v>-1</v>
      </c>
      <c r="AI1933" s="100">
        <f t="shared" si="3077"/>
        <v>-1</v>
      </c>
    </row>
    <row r="1934" spans="1:35" s="47" customFormat="1" ht="21" customHeight="1" x14ac:dyDescent="0.3">
      <c r="A1934" s="78"/>
      <c r="B1934" s="106" t="s">
        <v>51</v>
      </c>
      <c r="C1934" s="117" t="s">
        <v>962</v>
      </c>
      <c r="D1934" s="300"/>
      <c r="E1934" s="131" t="s">
        <v>230</v>
      </c>
      <c r="F1934" s="66">
        <v>1119</v>
      </c>
      <c r="G1934" s="66"/>
      <c r="H1934" s="66"/>
      <c r="I1934" s="66"/>
      <c r="J1934" s="66"/>
      <c r="K1934" s="78"/>
      <c r="L1934" s="66"/>
      <c r="M1934" s="66"/>
      <c r="N1934" s="110">
        <f t="shared" ref="N1934:N1935" si="3126">M1934-F1934</f>
        <v>-1119</v>
      </c>
      <c r="O1934" s="110"/>
      <c r="P1934" s="66"/>
      <c r="Q1934" s="66"/>
      <c r="R1934" s="66"/>
      <c r="S1934" s="66"/>
      <c r="T1934" s="110">
        <f t="shared" si="3124"/>
        <v>0</v>
      </c>
      <c r="U1934" s="59">
        <f t="shared" ref="U1934:U1935" si="3127">IF(Q1934&gt;0,S1934-W1934,M1934-W1934)</f>
        <v>0</v>
      </c>
      <c r="V1934" s="66"/>
      <c r="W1934" s="66"/>
      <c r="X1934" s="110">
        <f t="shared" si="3125"/>
        <v>0</v>
      </c>
      <c r="Y1934" s="110"/>
      <c r="Z1934" s="110"/>
      <c r="AA1934" s="110"/>
      <c r="AB1934" s="46"/>
      <c r="AC1934" s="78"/>
      <c r="AD1934" s="78"/>
      <c r="AE1934" s="100">
        <f t="shared" ref="AE1934:AE1935" si="3128">N1934/F1934</f>
        <v>-1</v>
      </c>
      <c r="AF1934" s="90"/>
      <c r="AG1934" s="109">
        <f t="shared" ref="AG1934:AG1935" si="3129">IF(N1934&lt;0,N1934,0)</f>
        <v>-1119</v>
      </c>
      <c r="AH1934" s="100">
        <f t="shared" ref="AH1934:AH1935" si="3130">(S1934-F1934)/F1934</f>
        <v>-1</v>
      </c>
      <c r="AI1934" s="100">
        <f t="shared" ref="AI1934:AI1935" si="3131">(W1934-F1934)/F1934</f>
        <v>-1</v>
      </c>
    </row>
    <row r="1935" spans="1:35" s="47" customFormat="1" ht="21" customHeight="1" x14ac:dyDescent="0.3">
      <c r="A1935" s="78"/>
      <c r="B1935" s="106" t="s">
        <v>51</v>
      </c>
      <c r="C1935" s="117" t="s">
        <v>962</v>
      </c>
      <c r="D1935" s="300"/>
      <c r="E1935" s="131" t="s">
        <v>309</v>
      </c>
      <c r="F1935" s="66">
        <v>301</v>
      </c>
      <c r="G1935" s="66"/>
      <c r="H1935" s="66"/>
      <c r="I1935" s="66"/>
      <c r="J1935" s="66"/>
      <c r="K1935" s="78"/>
      <c r="L1935" s="66"/>
      <c r="M1935" s="66"/>
      <c r="N1935" s="110">
        <f t="shared" si="3126"/>
        <v>-301</v>
      </c>
      <c r="O1935" s="110"/>
      <c r="P1935" s="66"/>
      <c r="Q1935" s="66"/>
      <c r="R1935" s="66"/>
      <c r="S1935" s="66"/>
      <c r="T1935" s="110">
        <f t="shared" si="3124"/>
        <v>0</v>
      </c>
      <c r="U1935" s="59">
        <f t="shared" si="3127"/>
        <v>0</v>
      </c>
      <c r="V1935" s="66"/>
      <c r="W1935" s="66"/>
      <c r="X1935" s="110">
        <f t="shared" si="3125"/>
        <v>0</v>
      </c>
      <c r="Y1935" s="110"/>
      <c r="Z1935" s="110"/>
      <c r="AA1935" s="110"/>
      <c r="AB1935" s="46"/>
      <c r="AC1935" s="78"/>
      <c r="AD1935" s="78"/>
      <c r="AE1935" s="100">
        <f t="shared" si="3128"/>
        <v>-1</v>
      </c>
      <c r="AF1935" s="90"/>
      <c r="AG1935" s="109">
        <f t="shared" si="3129"/>
        <v>-301</v>
      </c>
      <c r="AH1935" s="100">
        <f t="shared" si="3130"/>
        <v>-1</v>
      </c>
      <c r="AI1935" s="100">
        <f t="shared" si="3131"/>
        <v>-1</v>
      </c>
    </row>
    <row r="1936" spans="1:35" s="79" customFormat="1" ht="15.75" customHeight="1" x14ac:dyDescent="0.3">
      <c r="A1936" s="90" t="s">
        <v>46</v>
      </c>
      <c r="B1936" s="136" t="s">
        <v>51</v>
      </c>
      <c r="C1936" s="137"/>
      <c r="D1936" s="136"/>
      <c r="E1936" s="138"/>
      <c r="F1936" s="91">
        <f>SUM(F1932:F1935)</f>
        <v>2681</v>
      </c>
      <c r="G1936" s="91"/>
      <c r="H1936" s="91"/>
      <c r="I1936" s="91"/>
      <c r="J1936" s="91"/>
      <c r="K1936" s="65" t="s">
        <v>410</v>
      </c>
      <c r="L1936" s="91">
        <f>SUM(L1932:L1935)</f>
        <v>0</v>
      </c>
      <c r="M1936" s="91">
        <f>SUM(M1932:M1935)</f>
        <v>0</v>
      </c>
      <c r="N1936" s="91">
        <f>SUM(N1932:N1935)</f>
        <v>-2681</v>
      </c>
      <c r="O1936" s="91"/>
      <c r="P1936" s="91">
        <f>SUM(P1932:P1935)</f>
        <v>0</v>
      </c>
      <c r="Q1936" s="91">
        <f>SUM(Q1932:Q1935)</f>
        <v>0</v>
      </c>
      <c r="R1936" s="91">
        <f>SUM(R1932:R1935)</f>
        <v>0</v>
      </c>
      <c r="S1936" s="91">
        <f>SUM(S1932:S1935)</f>
        <v>0</v>
      </c>
      <c r="T1936" s="91">
        <f>SUM(T1932:T1935)</f>
        <v>0</v>
      </c>
      <c r="U1936" s="59">
        <f t="shared" si="3073"/>
        <v>0</v>
      </c>
      <c r="V1936" s="91">
        <f>SUM(V1932:V1935)</f>
        <v>0</v>
      </c>
      <c r="W1936" s="91">
        <f>SUM(W1932:W1935)</f>
        <v>0</v>
      </c>
      <c r="X1936" s="91">
        <f>SUM(X1932:X1935)</f>
        <v>0</v>
      </c>
      <c r="Y1936" s="136" t="s">
        <v>47</v>
      </c>
      <c r="Z1936" s="136" t="s">
        <v>45</v>
      </c>
      <c r="AA1936" s="136"/>
      <c r="AB1936" s="84"/>
      <c r="AC1936" s="90"/>
      <c r="AD1936" s="90"/>
      <c r="AE1936" s="100">
        <f t="shared" si="3074"/>
        <v>-1</v>
      </c>
      <c r="AF1936" s="90"/>
      <c r="AG1936" s="109">
        <f t="shared" si="3075"/>
        <v>-2681</v>
      </c>
      <c r="AH1936" s="100">
        <f t="shared" si="3076"/>
        <v>-1</v>
      </c>
      <c r="AI1936" s="100">
        <f t="shared" si="3077"/>
        <v>-1</v>
      </c>
    </row>
    <row r="1937" spans="1:35" s="47" customFormat="1" ht="21" customHeight="1" x14ac:dyDescent="0.3">
      <c r="A1937" s="78"/>
      <c r="B1937" s="106" t="s">
        <v>51</v>
      </c>
      <c r="C1937" s="117">
        <v>48203</v>
      </c>
      <c r="D1937" s="299">
        <v>15388785</v>
      </c>
      <c r="E1937" s="131" t="s">
        <v>49</v>
      </c>
      <c r="F1937" s="66">
        <v>2868</v>
      </c>
      <c r="G1937" s="66"/>
      <c r="H1937" s="66"/>
      <c r="I1937" s="66"/>
      <c r="J1937" s="66"/>
      <c r="K1937" s="78"/>
      <c r="L1937" s="66">
        <v>94</v>
      </c>
      <c r="M1937" s="66">
        <f>496+520+488+1428</f>
        <v>2932</v>
      </c>
      <c r="N1937" s="110">
        <f t="shared" ref="N1937:N1938" si="3132">M1937-F1937</f>
        <v>64</v>
      </c>
      <c r="O1937" s="110"/>
      <c r="P1937" s="66">
        <v>94</v>
      </c>
      <c r="Q1937" s="66">
        <f>1016+488+1428</f>
        <v>2932</v>
      </c>
      <c r="R1937" s="66"/>
      <c r="S1937" s="66">
        <f>2817+23+23</f>
        <v>2863</v>
      </c>
      <c r="T1937" s="110">
        <f>S1937-Q1937</f>
        <v>-69</v>
      </c>
      <c r="U1937" s="59">
        <f t="shared" si="3073"/>
        <v>43</v>
      </c>
      <c r="V1937" s="66"/>
      <c r="W1937" s="66">
        <f>1359+980+481</f>
        <v>2820</v>
      </c>
      <c r="X1937" s="110">
        <f>W1937-M1937</f>
        <v>-112</v>
      </c>
      <c r="Y1937" s="110"/>
      <c r="Z1937" s="110"/>
      <c r="AA1937" s="110"/>
      <c r="AB1937" s="46"/>
      <c r="AC1937" s="78"/>
      <c r="AD1937" s="78"/>
      <c r="AE1937" s="100">
        <f t="shared" si="3074"/>
        <v>2.2315202231520222E-2</v>
      </c>
      <c r="AF1937" s="90"/>
      <c r="AG1937" s="109">
        <f t="shared" si="3075"/>
        <v>0</v>
      </c>
      <c r="AH1937" s="100">
        <f t="shared" si="3076"/>
        <v>-1.7433751743375174E-3</v>
      </c>
      <c r="AI1937" s="100">
        <f t="shared" si="3077"/>
        <v>-1.6736401673640166E-2</v>
      </c>
    </row>
    <row r="1938" spans="1:35" s="47" customFormat="1" ht="21" customHeight="1" x14ac:dyDescent="0.3">
      <c r="A1938" s="78"/>
      <c r="B1938" s="106" t="s">
        <v>51</v>
      </c>
      <c r="C1938" s="117">
        <v>48203</v>
      </c>
      <c r="D1938" s="300"/>
      <c r="E1938" s="131" t="s">
        <v>98</v>
      </c>
      <c r="F1938" s="66">
        <v>3252</v>
      </c>
      <c r="G1938" s="66"/>
      <c r="H1938" s="66"/>
      <c r="I1938" s="66"/>
      <c r="J1938" s="66"/>
      <c r="K1938" s="78"/>
      <c r="L1938" s="66"/>
      <c r="M1938" s="66">
        <f>560+666+536+1000+584</f>
        <v>3346</v>
      </c>
      <c r="N1938" s="110">
        <f t="shared" si="3132"/>
        <v>94</v>
      </c>
      <c r="O1938" s="110"/>
      <c r="P1938" s="66"/>
      <c r="Q1938" s="66">
        <f>560+536+584+546+966+154</f>
        <v>3346</v>
      </c>
      <c r="R1938" s="66"/>
      <c r="S1938" s="66">
        <v>3346</v>
      </c>
      <c r="T1938" s="110">
        <f t="shared" ref="T1938" si="3133">S1938-Q1938</f>
        <v>0</v>
      </c>
      <c r="U1938" s="59">
        <f t="shared" si="3073"/>
        <v>44</v>
      </c>
      <c r="V1938" s="66">
        <f>2347+955</f>
        <v>3302</v>
      </c>
      <c r="W1938" s="66">
        <v>3302</v>
      </c>
      <c r="X1938" s="110">
        <f t="shared" ref="X1938" si="3134">W1938-M1938</f>
        <v>-44</v>
      </c>
      <c r="Y1938" s="110"/>
      <c r="Z1938" s="110"/>
      <c r="AA1938" s="110"/>
      <c r="AB1938" s="46"/>
      <c r="AC1938" s="78"/>
      <c r="AD1938" s="78"/>
      <c r="AE1938" s="100">
        <f t="shared" si="3074"/>
        <v>2.8905289052890529E-2</v>
      </c>
      <c r="AF1938" s="90"/>
      <c r="AG1938" s="109">
        <f t="shared" si="3075"/>
        <v>0</v>
      </c>
      <c r="AH1938" s="100">
        <f t="shared" si="3076"/>
        <v>2.8905289052890529E-2</v>
      </c>
      <c r="AI1938" s="100">
        <f t="shared" si="3077"/>
        <v>1.5375153751537515E-2</v>
      </c>
    </row>
    <row r="1939" spans="1:35" s="79" customFormat="1" ht="15.75" customHeight="1" x14ac:dyDescent="0.3">
      <c r="A1939" s="90" t="s">
        <v>46</v>
      </c>
      <c r="B1939" s="136" t="s">
        <v>51</v>
      </c>
      <c r="C1939" s="137"/>
      <c r="D1939" s="136"/>
      <c r="E1939" s="138"/>
      <c r="F1939" s="91">
        <f>SUM(F1937:F1938)</f>
        <v>6120</v>
      </c>
      <c r="G1939" s="91"/>
      <c r="H1939" s="91"/>
      <c r="I1939" s="91"/>
      <c r="J1939" s="91" t="s">
        <v>59</v>
      </c>
      <c r="K1939" s="65" t="s">
        <v>226</v>
      </c>
      <c r="L1939" s="91">
        <f>SUM(L1937:L1938)</f>
        <v>94</v>
      </c>
      <c r="M1939" s="91">
        <f>SUM(M1937:M1938)</f>
        <v>6278</v>
      </c>
      <c r="N1939" s="91">
        <f>SUM(N1937:N1938)</f>
        <v>158</v>
      </c>
      <c r="O1939" s="91" t="s">
        <v>479</v>
      </c>
      <c r="P1939" s="91">
        <f>SUM(P1937:P1938)</f>
        <v>94</v>
      </c>
      <c r="Q1939" s="91">
        <f>SUM(Q1937:Q1938)</f>
        <v>6278</v>
      </c>
      <c r="R1939" s="91">
        <f>SUM(R1937:R1938)</f>
        <v>0</v>
      </c>
      <c r="S1939" s="91">
        <f>SUM(S1937:S1938)</f>
        <v>6209</v>
      </c>
      <c r="T1939" s="91">
        <f>SUM(T1937:T1938)</f>
        <v>-69</v>
      </c>
      <c r="U1939" s="59">
        <f t="shared" si="3073"/>
        <v>87</v>
      </c>
      <c r="V1939" s="91">
        <f>SUM(V1937:V1938)</f>
        <v>3302</v>
      </c>
      <c r="W1939" s="91">
        <f>SUM(W1937:W1938)</f>
        <v>6122</v>
      </c>
      <c r="X1939" s="91">
        <f>SUM(X1937:X1938)</f>
        <v>-156</v>
      </c>
      <c r="Y1939" s="136" t="s">
        <v>47</v>
      </c>
      <c r="Z1939" s="136" t="s">
        <v>45</v>
      </c>
      <c r="AA1939" s="136"/>
      <c r="AB1939" s="84"/>
      <c r="AC1939" s="90"/>
      <c r="AD1939" s="90"/>
      <c r="AE1939" s="100">
        <f t="shared" si="3074"/>
        <v>2.5816993464052286E-2</v>
      </c>
      <c r="AF1939" s="90"/>
      <c r="AG1939" s="109">
        <f t="shared" si="3075"/>
        <v>0</v>
      </c>
      <c r="AH1939" s="100">
        <f t="shared" si="3076"/>
        <v>1.4542483660130719E-2</v>
      </c>
      <c r="AI1939" s="100">
        <f t="shared" si="3077"/>
        <v>3.2679738562091501E-4</v>
      </c>
    </row>
    <row r="1940" spans="1:35" s="47" customFormat="1" ht="21" customHeight="1" x14ac:dyDescent="0.3">
      <c r="A1940" s="78"/>
      <c r="B1940" s="106" t="s">
        <v>51</v>
      </c>
      <c r="C1940" s="117" t="s">
        <v>742</v>
      </c>
      <c r="D1940" s="248">
        <v>15388785</v>
      </c>
      <c r="E1940" s="131" t="s">
        <v>98</v>
      </c>
      <c r="F1940" s="66">
        <v>1022</v>
      </c>
      <c r="G1940" s="66"/>
      <c r="H1940" s="66"/>
      <c r="I1940" s="66"/>
      <c r="J1940" s="66"/>
      <c r="K1940" s="78"/>
      <c r="L1940" s="66">
        <v>1048</v>
      </c>
      <c r="M1940" s="66">
        <v>1048</v>
      </c>
      <c r="N1940" s="110">
        <f t="shared" ref="N1940" si="3135">M1940-F1940</f>
        <v>26</v>
      </c>
      <c r="O1940" s="110"/>
      <c r="P1940" s="66">
        <v>1048</v>
      </c>
      <c r="Q1940" s="66">
        <v>1048</v>
      </c>
      <c r="R1940" s="66"/>
      <c r="S1940" s="66"/>
      <c r="T1940" s="110">
        <f>S1940-Q1940</f>
        <v>-1048</v>
      </c>
      <c r="U1940" s="59">
        <f t="shared" si="3073"/>
        <v>0</v>
      </c>
      <c r="V1940" s="66"/>
      <c r="W1940" s="66"/>
      <c r="X1940" s="110">
        <f>W1940-M1940</f>
        <v>-1048</v>
      </c>
      <c r="Y1940" s="110"/>
      <c r="Z1940" s="110"/>
      <c r="AA1940" s="110"/>
      <c r="AB1940" s="46"/>
      <c r="AC1940" s="78"/>
      <c r="AD1940" s="78"/>
      <c r="AE1940" s="100">
        <f t="shared" si="3074"/>
        <v>2.5440313111545987E-2</v>
      </c>
      <c r="AF1940" s="90"/>
      <c r="AG1940" s="109">
        <f t="shared" si="3075"/>
        <v>0</v>
      </c>
      <c r="AH1940" s="100">
        <f t="shared" si="3076"/>
        <v>-1</v>
      </c>
      <c r="AI1940" s="100">
        <f t="shared" si="3077"/>
        <v>-1</v>
      </c>
    </row>
    <row r="1941" spans="1:35" s="79" customFormat="1" ht="15.75" customHeight="1" x14ac:dyDescent="0.3">
      <c r="A1941" s="90" t="s">
        <v>46</v>
      </c>
      <c r="B1941" s="136" t="s">
        <v>51</v>
      </c>
      <c r="C1941" s="137"/>
      <c r="D1941" s="136"/>
      <c r="E1941" s="138"/>
      <c r="F1941" s="91">
        <f>SUM(F1940:F1940)</f>
        <v>1022</v>
      </c>
      <c r="G1941" s="91"/>
      <c r="H1941" s="91"/>
      <c r="I1941" s="91"/>
      <c r="J1941" s="91" t="s">
        <v>59</v>
      </c>
      <c r="K1941" s="65" t="s">
        <v>436</v>
      </c>
      <c r="L1941" s="91">
        <f>SUM(L1940:L1940)</f>
        <v>1048</v>
      </c>
      <c r="M1941" s="91">
        <f>SUM(M1940:M1940)</f>
        <v>1048</v>
      </c>
      <c r="N1941" s="91">
        <f>SUM(N1940:N1940)</f>
        <v>26</v>
      </c>
      <c r="O1941" s="91" t="s">
        <v>1029</v>
      </c>
      <c r="P1941" s="91">
        <f>SUM(P1940:P1940)</f>
        <v>1048</v>
      </c>
      <c r="Q1941" s="91">
        <f>SUM(Q1940:Q1940)</f>
        <v>1048</v>
      </c>
      <c r="R1941" s="91">
        <f>SUM(R1940:R1940)</f>
        <v>0</v>
      </c>
      <c r="S1941" s="91">
        <f>SUM(S1940:S1940)</f>
        <v>0</v>
      </c>
      <c r="T1941" s="91">
        <f>SUM(T1940:T1940)</f>
        <v>-1048</v>
      </c>
      <c r="U1941" s="59">
        <f t="shared" si="3073"/>
        <v>0</v>
      </c>
      <c r="V1941" s="91">
        <f>SUM(V1940:V1940)</f>
        <v>0</v>
      </c>
      <c r="W1941" s="91">
        <f>SUM(W1940:W1940)</f>
        <v>0</v>
      </c>
      <c r="X1941" s="91">
        <f>SUM(X1940:X1940)</f>
        <v>-1048</v>
      </c>
      <c r="Y1941" s="136" t="s">
        <v>47</v>
      </c>
      <c r="Z1941" s="136" t="s">
        <v>45</v>
      </c>
      <c r="AA1941" s="136"/>
      <c r="AB1941" s="84"/>
      <c r="AC1941" s="90"/>
      <c r="AD1941" s="90"/>
      <c r="AE1941" s="100">
        <f t="shared" si="3074"/>
        <v>2.5440313111545987E-2</v>
      </c>
      <c r="AF1941" s="90"/>
      <c r="AG1941" s="109">
        <f t="shared" si="3075"/>
        <v>0</v>
      </c>
      <c r="AH1941" s="100">
        <f t="shared" si="3076"/>
        <v>-1</v>
      </c>
      <c r="AI1941" s="100">
        <f t="shared" si="3077"/>
        <v>-1</v>
      </c>
    </row>
    <row r="1942" spans="1:35" s="47" customFormat="1" ht="21" customHeight="1" x14ac:dyDescent="0.3">
      <c r="A1942" s="78"/>
      <c r="B1942" s="106" t="s">
        <v>51</v>
      </c>
      <c r="C1942" s="117">
        <v>48212</v>
      </c>
      <c r="D1942" s="299">
        <v>15388120</v>
      </c>
      <c r="E1942" s="131" t="s">
        <v>743</v>
      </c>
      <c r="F1942" s="66">
        <v>492</v>
      </c>
      <c r="G1942" s="66"/>
      <c r="H1942" s="66"/>
      <c r="I1942" s="66"/>
      <c r="J1942" s="66"/>
      <c r="K1942" s="78"/>
      <c r="L1942" s="66"/>
      <c r="M1942" s="66"/>
      <c r="N1942" s="110">
        <f t="shared" ref="N1942:N1943" si="3136">M1942-F1942</f>
        <v>-492</v>
      </c>
      <c r="O1942" s="110"/>
      <c r="P1942" s="66"/>
      <c r="Q1942" s="66"/>
      <c r="R1942" s="66"/>
      <c r="S1942" s="66"/>
      <c r="T1942" s="110">
        <f>S1942-Q1942</f>
        <v>0</v>
      </c>
      <c r="U1942" s="59">
        <f t="shared" ref="U1942:U1944" si="3137">IF(Q1942&gt;0,S1942-W1942,M1942-W1942)</f>
        <v>0</v>
      </c>
      <c r="V1942" s="66"/>
      <c r="W1942" s="66"/>
      <c r="X1942" s="110">
        <f>W1942-M1942</f>
        <v>0</v>
      </c>
      <c r="Y1942" s="110"/>
      <c r="Z1942" s="110"/>
      <c r="AA1942" s="110"/>
      <c r="AB1942" s="46"/>
      <c r="AC1942" s="78"/>
      <c r="AD1942" s="78"/>
      <c r="AE1942" s="100">
        <f t="shared" ref="AE1942:AE1944" si="3138">N1942/F1942</f>
        <v>-1</v>
      </c>
      <c r="AF1942" s="90"/>
      <c r="AG1942" s="109">
        <f t="shared" ref="AG1942:AG1944" si="3139">IF(N1942&lt;0,N1942,0)</f>
        <v>-492</v>
      </c>
      <c r="AH1942" s="100">
        <f t="shared" ref="AH1942:AH1944" si="3140">(S1942-F1942)/F1942</f>
        <v>-1</v>
      </c>
      <c r="AI1942" s="100">
        <f t="shared" ref="AI1942:AI1944" si="3141">(W1942-F1942)/F1942</f>
        <v>-1</v>
      </c>
    </row>
    <row r="1943" spans="1:35" s="47" customFormat="1" ht="21" customHeight="1" x14ac:dyDescent="0.3">
      <c r="A1943" s="78"/>
      <c r="B1943" s="106" t="s">
        <v>51</v>
      </c>
      <c r="C1943" s="117">
        <v>48212</v>
      </c>
      <c r="D1943" s="300"/>
      <c r="E1943" s="131" t="s">
        <v>744</v>
      </c>
      <c r="F1943" s="66">
        <v>516</v>
      </c>
      <c r="G1943" s="66"/>
      <c r="H1943" s="66"/>
      <c r="I1943" s="66"/>
      <c r="J1943" s="66"/>
      <c r="K1943" s="78"/>
      <c r="L1943" s="66"/>
      <c r="M1943" s="66"/>
      <c r="N1943" s="110">
        <f t="shared" si="3136"/>
        <v>-516</v>
      </c>
      <c r="O1943" s="110"/>
      <c r="P1943" s="66"/>
      <c r="Q1943" s="66"/>
      <c r="R1943" s="66"/>
      <c r="S1943" s="66"/>
      <c r="T1943" s="110">
        <f t="shared" ref="T1943" si="3142">S1943-Q1943</f>
        <v>0</v>
      </c>
      <c r="U1943" s="59">
        <f t="shared" si="3137"/>
        <v>0</v>
      </c>
      <c r="V1943" s="66"/>
      <c r="W1943" s="66"/>
      <c r="X1943" s="110">
        <f t="shared" ref="X1943" si="3143">W1943-M1943</f>
        <v>0</v>
      </c>
      <c r="Y1943" s="110"/>
      <c r="Z1943" s="110"/>
      <c r="AA1943" s="110"/>
      <c r="AB1943" s="46"/>
      <c r="AC1943" s="78"/>
      <c r="AD1943" s="78"/>
      <c r="AE1943" s="100">
        <f t="shared" si="3138"/>
        <v>-1</v>
      </c>
      <c r="AF1943" s="90"/>
      <c r="AG1943" s="109">
        <f t="shared" si="3139"/>
        <v>-516</v>
      </c>
      <c r="AH1943" s="100">
        <f t="shared" si="3140"/>
        <v>-1</v>
      </c>
      <c r="AI1943" s="100">
        <f t="shared" si="3141"/>
        <v>-1</v>
      </c>
    </row>
    <row r="1944" spans="1:35" s="79" customFormat="1" ht="15.75" customHeight="1" x14ac:dyDescent="0.3">
      <c r="A1944" s="90" t="s">
        <v>46</v>
      </c>
      <c r="B1944" s="136" t="s">
        <v>51</v>
      </c>
      <c r="C1944" s="137"/>
      <c r="D1944" s="136"/>
      <c r="E1944" s="138"/>
      <c r="F1944" s="91">
        <f>SUM(F1942:F1943)</f>
        <v>1008</v>
      </c>
      <c r="G1944" s="91"/>
      <c r="H1944" s="91"/>
      <c r="I1944" s="91"/>
      <c r="J1944" s="91"/>
      <c r="K1944" s="65" t="s">
        <v>617</v>
      </c>
      <c r="L1944" s="91">
        <f>SUM(L1942:L1943)</f>
        <v>0</v>
      </c>
      <c r="M1944" s="91">
        <f>SUM(M1942:M1943)</f>
        <v>0</v>
      </c>
      <c r="N1944" s="91">
        <f>SUM(N1942:N1943)</f>
        <v>-1008</v>
      </c>
      <c r="O1944" s="91"/>
      <c r="P1944" s="91">
        <f>SUM(P1942:P1943)</f>
        <v>0</v>
      </c>
      <c r="Q1944" s="91">
        <f>SUM(Q1942:Q1943)</f>
        <v>0</v>
      </c>
      <c r="R1944" s="91">
        <f>SUM(R1942:R1943)</f>
        <v>0</v>
      </c>
      <c r="S1944" s="91">
        <f>SUM(S1942:S1943)</f>
        <v>0</v>
      </c>
      <c r="T1944" s="91">
        <f>SUM(T1942:T1943)</f>
        <v>0</v>
      </c>
      <c r="U1944" s="59">
        <f t="shared" si="3137"/>
        <v>0</v>
      </c>
      <c r="V1944" s="91">
        <f>SUM(V1942:V1943)</f>
        <v>0</v>
      </c>
      <c r="W1944" s="91">
        <f>SUM(W1942:W1943)</f>
        <v>0</v>
      </c>
      <c r="X1944" s="91">
        <f>SUM(X1942:X1943)</f>
        <v>0</v>
      </c>
      <c r="Y1944" s="136" t="s">
        <v>47</v>
      </c>
      <c r="Z1944" s="136" t="s">
        <v>45</v>
      </c>
      <c r="AA1944" s="136"/>
      <c r="AB1944" s="84"/>
      <c r="AC1944" s="90"/>
      <c r="AD1944" s="90"/>
      <c r="AE1944" s="100">
        <f t="shared" si="3138"/>
        <v>-1</v>
      </c>
      <c r="AF1944" s="90"/>
      <c r="AG1944" s="109">
        <f t="shared" si="3139"/>
        <v>-1008</v>
      </c>
      <c r="AH1944" s="100">
        <f t="shared" si="3140"/>
        <v>-1</v>
      </c>
      <c r="AI1944" s="100">
        <f t="shared" si="3141"/>
        <v>-1</v>
      </c>
    </row>
    <row r="1945" spans="1:35" s="47" customFormat="1" ht="21" customHeight="1" x14ac:dyDescent="0.3">
      <c r="A1945" s="78"/>
      <c r="B1945" s="106" t="s">
        <v>51</v>
      </c>
      <c r="C1945" s="117">
        <v>48213</v>
      </c>
      <c r="D1945" s="299">
        <v>15387825</v>
      </c>
      <c r="E1945" s="131" t="s">
        <v>745</v>
      </c>
      <c r="F1945" s="66">
        <v>694</v>
      </c>
      <c r="G1945" s="66"/>
      <c r="H1945" s="66"/>
      <c r="I1945" s="66"/>
      <c r="J1945" s="66"/>
      <c r="K1945" s="78"/>
      <c r="L1945" s="66"/>
      <c r="M1945" s="66">
        <f>294+411+18</f>
        <v>723</v>
      </c>
      <c r="N1945" s="110">
        <f t="shared" ref="N1945:N1946" si="3144">M1945-F1945</f>
        <v>29</v>
      </c>
      <c r="O1945" s="110"/>
      <c r="P1945" s="66"/>
      <c r="Q1945" s="66">
        <f>705+18</f>
        <v>723</v>
      </c>
      <c r="R1945" s="66"/>
      <c r="S1945" s="66"/>
      <c r="T1945" s="110">
        <f>S1945-Q1945</f>
        <v>-723</v>
      </c>
      <c r="U1945" s="59">
        <f t="shared" si="3073"/>
        <v>0</v>
      </c>
      <c r="V1945" s="66"/>
      <c r="W1945" s="66"/>
      <c r="X1945" s="110">
        <f>W1945-M1945</f>
        <v>-723</v>
      </c>
      <c r="Y1945" s="110"/>
      <c r="Z1945" s="110"/>
      <c r="AA1945" s="110"/>
      <c r="AB1945" s="46"/>
      <c r="AC1945" s="78"/>
      <c r="AD1945" s="78"/>
      <c r="AE1945" s="100">
        <f t="shared" si="3074"/>
        <v>4.1786743515850142E-2</v>
      </c>
      <c r="AF1945" s="90"/>
      <c r="AG1945" s="109">
        <f t="shared" si="3075"/>
        <v>0</v>
      </c>
      <c r="AH1945" s="100">
        <f t="shared" si="3076"/>
        <v>-1</v>
      </c>
      <c r="AI1945" s="100">
        <f t="shared" si="3077"/>
        <v>-1</v>
      </c>
    </row>
    <row r="1946" spans="1:35" s="47" customFormat="1" ht="21" customHeight="1" x14ac:dyDescent="0.3">
      <c r="A1946" s="78"/>
      <c r="B1946" s="106" t="s">
        <v>51</v>
      </c>
      <c r="C1946" s="117">
        <v>48213</v>
      </c>
      <c r="D1946" s="300"/>
      <c r="E1946" s="131" t="s">
        <v>746</v>
      </c>
      <c r="F1946" s="66">
        <v>526</v>
      </c>
      <c r="G1946" s="66"/>
      <c r="H1946" s="66"/>
      <c r="I1946" s="66"/>
      <c r="J1946" s="66"/>
      <c r="K1946" s="78"/>
      <c r="L1946" s="66"/>
      <c r="M1946" s="66">
        <f>542</f>
        <v>542</v>
      </c>
      <c r="N1946" s="110">
        <f t="shared" si="3144"/>
        <v>16</v>
      </c>
      <c r="O1946" s="110"/>
      <c r="P1946" s="66"/>
      <c r="Q1946" s="66">
        <v>542</v>
      </c>
      <c r="R1946" s="66"/>
      <c r="S1946" s="66"/>
      <c r="T1946" s="110">
        <f t="shared" ref="T1946" si="3145">S1946-Q1946</f>
        <v>-542</v>
      </c>
      <c r="U1946" s="59">
        <f t="shared" si="3073"/>
        <v>0</v>
      </c>
      <c r="V1946" s="66"/>
      <c r="W1946" s="66"/>
      <c r="X1946" s="110">
        <f t="shared" ref="X1946" si="3146">W1946-M1946</f>
        <v>-542</v>
      </c>
      <c r="Y1946" s="110"/>
      <c r="Z1946" s="110"/>
      <c r="AA1946" s="110"/>
      <c r="AB1946" s="46"/>
      <c r="AC1946" s="78"/>
      <c r="AD1946" s="78"/>
      <c r="AE1946" s="100">
        <f t="shared" si="3074"/>
        <v>3.0418250950570342E-2</v>
      </c>
      <c r="AF1946" s="90"/>
      <c r="AG1946" s="109">
        <f t="shared" si="3075"/>
        <v>0</v>
      </c>
      <c r="AH1946" s="100">
        <f t="shared" si="3076"/>
        <v>-1</v>
      </c>
      <c r="AI1946" s="100">
        <f t="shared" si="3077"/>
        <v>-1</v>
      </c>
    </row>
    <row r="1947" spans="1:35" s="79" customFormat="1" ht="15.75" customHeight="1" x14ac:dyDescent="0.3">
      <c r="A1947" s="90" t="s">
        <v>46</v>
      </c>
      <c r="B1947" s="136" t="s">
        <v>51</v>
      </c>
      <c r="C1947" s="137"/>
      <c r="D1947" s="136"/>
      <c r="E1947" s="138"/>
      <c r="F1947" s="91">
        <f>SUM(F1945:F1946)</f>
        <v>1220</v>
      </c>
      <c r="G1947" s="91"/>
      <c r="H1947" s="91"/>
      <c r="I1947" s="91"/>
      <c r="J1947" s="91" t="s">
        <v>59</v>
      </c>
      <c r="K1947" s="65" t="s">
        <v>617</v>
      </c>
      <c r="L1947" s="91">
        <f>SUM(L1945:L1946)</f>
        <v>0</v>
      </c>
      <c r="M1947" s="91">
        <f>SUM(M1945:M1946)</f>
        <v>1265</v>
      </c>
      <c r="N1947" s="91">
        <f>SUM(N1945:N1946)</f>
        <v>45</v>
      </c>
      <c r="O1947" s="91" t="s">
        <v>808</v>
      </c>
      <c r="P1947" s="91">
        <f>SUM(P1945:P1946)</f>
        <v>0</v>
      </c>
      <c r="Q1947" s="91">
        <f>SUM(Q1945:Q1946)</f>
        <v>1265</v>
      </c>
      <c r="R1947" s="91">
        <f>SUM(R1945:R1946)</f>
        <v>0</v>
      </c>
      <c r="S1947" s="91">
        <f>SUM(S1945:S1946)</f>
        <v>0</v>
      </c>
      <c r="T1947" s="91">
        <f>SUM(T1945:T1946)</f>
        <v>-1265</v>
      </c>
      <c r="U1947" s="59">
        <f t="shared" si="3073"/>
        <v>0</v>
      </c>
      <c r="V1947" s="91">
        <f>SUM(V1945:V1946)</f>
        <v>0</v>
      </c>
      <c r="W1947" s="91">
        <f>SUM(W1945:W1946)</f>
        <v>0</v>
      </c>
      <c r="X1947" s="91">
        <f>SUM(X1945:X1946)</f>
        <v>-1265</v>
      </c>
      <c r="Y1947" s="136" t="s">
        <v>47</v>
      </c>
      <c r="Z1947" s="136" t="s">
        <v>45</v>
      </c>
      <c r="AA1947" s="136"/>
      <c r="AB1947" s="84"/>
      <c r="AC1947" s="90"/>
      <c r="AD1947" s="90"/>
      <c r="AE1947" s="100">
        <f t="shared" si="3074"/>
        <v>3.6885245901639344E-2</v>
      </c>
      <c r="AF1947" s="90"/>
      <c r="AG1947" s="109">
        <f t="shared" si="3075"/>
        <v>0</v>
      </c>
      <c r="AH1947" s="100">
        <f t="shared" si="3076"/>
        <v>-1</v>
      </c>
      <c r="AI1947" s="100">
        <f t="shared" si="3077"/>
        <v>-1</v>
      </c>
    </row>
    <row r="1948" spans="1:35" s="47" customFormat="1" ht="21" customHeight="1" x14ac:dyDescent="0.3">
      <c r="A1948" s="78"/>
      <c r="B1948" s="106" t="s">
        <v>51</v>
      </c>
      <c r="C1948" s="117">
        <v>48128</v>
      </c>
      <c r="D1948" s="299">
        <v>15389798</v>
      </c>
      <c r="E1948" s="131" t="s">
        <v>233</v>
      </c>
      <c r="F1948" s="66">
        <v>312</v>
      </c>
      <c r="G1948" s="66"/>
      <c r="H1948" s="66"/>
      <c r="I1948" s="66"/>
      <c r="J1948" s="66"/>
      <c r="K1948" s="78"/>
      <c r="L1948" s="66"/>
      <c r="M1948" s="66">
        <v>336</v>
      </c>
      <c r="N1948" s="110">
        <f t="shared" ref="N1948:N1949" si="3147">M1948-F1948</f>
        <v>24</v>
      </c>
      <c r="O1948" s="110"/>
      <c r="P1948" s="66"/>
      <c r="Q1948" s="66">
        <v>336</v>
      </c>
      <c r="R1948" s="66"/>
      <c r="S1948" s="66">
        <v>336</v>
      </c>
      <c r="T1948" s="110">
        <f>S1948-Q1948</f>
        <v>0</v>
      </c>
      <c r="U1948" s="59">
        <f t="shared" ref="U1948:U1950" si="3148">IF(Q1948&gt;0,S1948-W1948,M1948-W1948)</f>
        <v>3</v>
      </c>
      <c r="V1948" s="66"/>
      <c r="W1948" s="66">
        <v>333</v>
      </c>
      <c r="X1948" s="110">
        <f>W1948-M1948</f>
        <v>-3</v>
      </c>
      <c r="Y1948" s="110"/>
      <c r="Z1948" s="110"/>
      <c r="AA1948" s="110"/>
      <c r="AB1948" s="46"/>
      <c r="AC1948" s="78"/>
      <c r="AD1948" s="78"/>
      <c r="AE1948" s="100">
        <f t="shared" ref="AE1948:AE1950" si="3149">N1948/F1948</f>
        <v>7.6923076923076927E-2</v>
      </c>
      <c r="AF1948" s="90"/>
      <c r="AG1948" s="109">
        <f t="shared" ref="AG1948:AG1950" si="3150">IF(N1948&lt;0,N1948,0)</f>
        <v>0</v>
      </c>
      <c r="AH1948" s="100">
        <f t="shared" ref="AH1948:AH1950" si="3151">(S1948-F1948)/F1948</f>
        <v>7.6923076923076927E-2</v>
      </c>
      <c r="AI1948" s="100">
        <f t="shared" ref="AI1948:AI1950" si="3152">(W1948-F1948)/F1948</f>
        <v>6.7307692307692304E-2</v>
      </c>
    </row>
    <row r="1949" spans="1:35" s="47" customFormat="1" ht="21" customHeight="1" x14ac:dyDescent="0.3">
      <c r="A1949" s="78"/>
      <c r="B1949" s="106" t="s">
        <v>51</v>
      </c>
      <c r="C1949" s="117">
        <v>48128</v>
      </c>
      <c r="D1949" s="300"/>
      <c r="E1949" s="131" t="s">
        <v>0</v>
      </c>
      <c r="F1949" s="66">
        <v>408</v>
      </c>
      <c r="G1949" s="66"/>
      <c r="H1949" s="66"/>
      <c r="I1949" s="66"/>
      <c r="J1949" s="66"/>
      <c r="K1949" s="78"/>
      <c r="L1949" s="66"/>
      <c r="M1949" s="66">
        <v>433</v>
      </c>
      <c r="N1949" s="110">
        <f t="shared" si="3147"/>
        <v>25</v>
      </c>
      <c r="O1949" s="110"/>
      <c r="P1949" s="66"/>
      <c r="Q1949" s="66">
        <v>433</v>
      </c>
      <c r="R1949" s="66"/>
      <c r="S1949" s="66">
        <v>433</v>
      </c>
      <c r="T1949" s="110">
        <f t="shared" ref="T1949" si="3153">S1949-Q1949</f>
        <v>0</v>
      </c>
      <c r="U1949" s="59">
        <f t="shared" si="3148"/>
        <v>0</v>
      </c>
      <c r="V1949" s="66"/>
      <c r="W1949" s="66">
        <v>433</v>
      </c>
      <c r="X1949" s="110">
        <f t="shared" ref="X1949" si="3154">W1949-M1949</f>
        <v>0</v>
      </c>
      <c r="Y1949" s="110"/>
      <c r="Z1949" s="110"/>
      <c r="AA1949" s="110"/>
      <c r="AB1949" s="46"/>
      <c r="AC1949" s="78"/>
      <c r="AD1949" s="78"/>
      <c r="AE1949" s="100">
        <f t="shared" si="3149"/>
        <v>6.1274509803921566E-2</v>
      </c>
      <c r="AF1949" s="90"/>
      <c r="AG1949" s="109">
        <f t="shared" si="3150"/>
        <v>0</v>
      </c>
      <c r="AH1949" s="100">
        <f t="shared" si="3151"/>
        <v>6.1274509803921566E-2</v>
      </c>
      <c r="AI1949" s="100">
        <f t="shared" si="3152"/>
        <v>6.1274509803921566E-2</v>
      </c>
    </row>
    <row r="1950" spans="1:35" s="79" customFormat="1" ht="15.75" customHeight="1" x14ac:dyDescent="0.3">
      <c r="A1950" s="90" t="s">
        <v>46</v>
      </c>
      <c r="B1950" s="136" t="s">
        <v>51</v>
      </c>
      <c r="C1950" s="137"/>
      <c r="D1950" s="136"/>
      <c r="E1950" s="138"/>
      <c r="F1950" s="91">
        <f>SUM(F1948:F1949)</f>
        <v>720</v>
      </c>
      <c r="G1950" s="91"/>
      <c r="H1950" s="91"/>
      <c r="I1950" s="91"/>
      <c r="J1950" s="91" t="s">
        <v>59</v>
      </c>
      <c r="K1950" s="65" t="s">
        <v>290</v>
      </c>
      <c r="L1950" s="91">
        <f>SUM(L1948:L1949)</f>
        <v>0</v>
      </c>
      <c r="M1950" s="91">
        <f>SUM(M1948:M1949)</f>
        <v>769</v>
      </c>
      <c r="N1950" s="91">
        <f>SUM(N1948:N1949)</f>
        <v>49</v>
      </c>
      <c r="O1950" s="91" t="s">
        <v>210</v>
      </c>
      <c r="P1950" s="91">
        <f>SUM(P1948:P1949)</f>
        <v>0</v>
      </c>
      <c r="Q1950" s="91">
        <f>SUM(Q1948:Q1949)</f>
        <v>769</v>
      </c>
      <c r="R1950" s="91">
        <f>SUM(R1948:R1949)</f>
        <v>0</v>
      </c>
      <c r="S1950" s="91">
        <f>SUM(S1948:S1949)</f>
        <v>769</v>
      </c>
      <c r="T1950" s="91">
        <f>SUM(T1948:T1949)</f>
        <v>0</v>
      </c>
      <c r="U1950" s="59">
        <f t="shared" si="3148"/>
        <v>3</v>
      </c>
      <c r="V1950" s="91">
        <f>SUM(V1948:V1949)</f>
        <v>0</v>
      </c>
      <c r="W1950" s="91">
        <f>SUM(W1948:W1949)</f>
        <v>766</v>
      </c>
      <c r="X1950" s="91">
        <f>SUM(X1948:X1949)</f>
        <v>-3</v>
      </c>
      <c r="Y1950" s="136" t="s">
        <v>47</v>
      </c>
      <c r="Z1950" s="136" t="s">
        <v>45</v>
      </c>
      <c r="AA1950" s="136"/>
      <c r="AB1950" s="84"/>
      <c r="AC1950" s="90"/>
      <c r="AD1950" s="90"/>
      <c r="AE1950" s="100">
        <f t="shared" si="3149"/>
        <v>6.805555555555555E-2</v>
      </c>
      <c r="AF1950" s="90"/>
      <c r="AG1950" s="109">
        <f t="shared" si="3150"/>
        <v>0</v>
      </c>
      <c r="AH1950" s="100">
        <f t="shared" si="3151"/>
        <v>6.805555555555555E-2</v>
      </c>
      <c r="AI1950" s="100">
        <f t="shared" si="3152"/>
        <v>6.3888888888888884E-2</v>
      </c>
    </row>
    <row r="1951" spans="1:35" s="47" customFormat="1" ht="21" customHeight="1" x14ac:dyDescent="0.3">
      <c r="A1951" s="78"/>
      <c r="B1951" s="106" t="s">
        <v>51</v>
      </c>
      <c r="C1951" s="117">
        <v>48127</v>
      </c>
      <c r="D1951" s="299">
        <v>15394337</v>
      </c>
      <c r="E1951" s="131" t="s">
        <v>292</v>
      </c>
      <c r="F1951" s="66">
        <v>324</v>
      </c>
      <c r="G1951" s="66"/>
      <c r="H1951" s="66"/>
      <c r="I1951" s="66"/>
      <c r="J1951" s="66"/>
      <c r="K1951" s="78"/>
      <c r="L1951" s="66"/>
      <c r="M1951" s="66">
        <f>290+56</f>
        <v>346</v>
      </c>
      <c r="N1951" s="110">
        <f t="shared" ref="N1951:N1953" si="3155">M1951-F1951</f>
        <v>22</v>
      </c>
      <c r="O1951" s="110"/>
      <c r="P1951" s="66"/>
      <c r="Q1951" s="66">
        <f>290+56</f>
        <v>346</v>
      </c>
      <c r="R1951" s="66"/>
      <c r="S1951" s="66">
        <v>346</v>
      </c>
      <c r="T1951" s="110">
        <f>S1951-Q1951</f>
        <v>0</v>
      </c>
      <c r="U1951" s="59">
        <f t="shared" si="3073"/>
        <v>2</v>
      </c>
      <c r="V1951" s="66"/>
      <c r="W1951" s="66">
        <v>344</v>
      </c>
      <c r="X1951" s="110">
        <f>W1951-M1951</f>
        <v>-2</v>
      </c>
      <c r="Y1951" s="110"/>
      <c r="Z1951" s="110"/>
      <c r="AA1951" s="110"/>
      <c r="AB1951" s="46"/>
      <c r="AC1951" s="78"/>
      <c r="AD1951" s="78"/>
      <c r="AE1951" s="100">
        <f t="shared" si="3074"/>
        <v>6.7901234567901231E-2</v>
      </c>
      <c r="AF1951" s="90"/>
      <c r="AG1951" s="109">
        <f t="shared" si="3075"/>
        <v>0</v>
      </c>
      <c r="AH1951" s="100">
        <f t="shared" si="3076"/>
        <v>6.7901234567901231E-2</v>
      </c>
      <c r="AI1951" s="100">
        <f t="shared" si="3077"/>
        <v>6.1728395061728392E-2</v>
      </c>
    </row>
    <row r="1952" spans="1:35" s="47" customFormat="1" ht="21" customHeight="1" x14ac:dyDescent="0.3">
      <c r="A1952" s="78"/>
      <c r="B1952" s="106" t="s">
        <v>51</v>
      </c>
      <c r="C1952" s="117">
        <v>48127</v>
      </c>
      <c r="D1952" s="300"/>
      <c r="E1952" s="131" t="s">
        <v>0</v>
      </c>
      <c r="F1952" s="66">
        <v>564</v>
      </c>
      <c r="G1952" s="66"/>
      <c r="H1952" s="66"/>
      <c r="I1952" s="66"/>
      <c r="J1952" s="66"/>
      <c r="K1952" s="78"/>
      <c r="L1952" s="66"/>
      <c r="M1952" s="66">
        <v>590</v>
      </c>
      <c r="N1952" s="110">
        <f t="shared" ref="N1952" si="3156">M1952-F1952</f>
        <v>26</v>
      </c>
      <c r="O1952" s="110"/>
      <c r="P1952" s="66"/>
      <c r="Q1952" s="66">
        <v>590</v>
      </c>
      <c r="R1952" s="66"/>
      <c r="S1952" s="66">
        <v>590</v>
      </c>
      <c r="T1952" s="110">
        <f t="shared" ref="T1952" si="3157">S1952-Q1952</f>
        <v>0</v>
      </c>
      <c r="U1952" s="59">
        <f t="shared" ref="U1952" si="3158">IF(Q1952&gt;0,S1952-W1952,M1952-W1952)</f>
        <v>2</v>
      </c>
      <c r="V1952" s="66"/>
      <c r="W1952" s="66">
        <v>588</v>
      </c>
      <c r="X1952" s="110">
        <f t="shared" ref="X1952" si="3159">W1952-M1952</f>
        <v>-2</v>
      </c>
      <c r="Y1952" s="110"/>
      <c r="Z1952" s="110"/>
      <c r="AA1952" s="110"/>
      <c r="AB1952" s="46"/>
      <c r="AC1952" s="78"/>
      <c r="AD1952" s="78"/>
      <c r="AE1952" s="100">
        <f t="shared" ref="AE1952" si="3160">N1952/F1952</f>
        <v>4.6099290780141841E-2</v>
      </c>
      <c r="AF1952" s="90"/>
      <c r="AG1952" s="109">
        <f t="shared" ref="AG1952" si="3161">IF(N1952&lt;0,N1952,0)</f>
        <v>0</v>
      </c>
      <c r="AH1952" s="100">
        <f t="shared" ref="AH1952" si="3162">(S1952-F1952)/F1952</f>
        <v>4.6099290780141841E-2</v>
      </c>
      <c r="AI1952" s="100">
        <f t="shared" ref="AI1952" si="3163">(W1952-F1952)/F1952</f>
        <v>4.2553191489361701E-2</v>
      </c>
    </row>
    <row r="1953" spans="1:35" s="47" customFormat="1" ht="21" customHeight="1" x14ac:dyDescent="0.3">
      <c r="A1953" s="78"/>
      <c r="B1953" s="106" t="s">
        <v>51</v>
      </c>
      <c r="C1953" s="117">
        <v>48127</v>
      </c>
      <c r="D1953" s="300"/>
      <c r="E1953" s="131" t="s">
        <v>233</v>
      </c>
      <c r="F1953" s="66">
        <v>468</v>
      </c>
      <c r="G1953" s="66"/>
      <c r="H1953" s="66"/>
      <c r="I1953" s="66"/>
      <c r="J1953" s="66"/>
      <c r="K1953" s="78"/>
      <c r="L1953" s="66"/>
      <c r="M1953" s="66">
        <v>498</v>
      </c>
      <c r="N1953" s="110">
        <f t="shared" si="3155"/>
        <v>30</v>
      </c>
      <c r="O1953" s="110"/>
      <c r="P1953" s="66"/>
      <c r="Q1953" s="66">
        <v>498</v>
      </c>
      <c r="R1953" s="66"/>
      <c r="S1953" s="66">
        <v>498</v>
      </c>
      <c r="T1953" s="110">
        <f t="shared" ref="T1953" si="3164">S1953-Q1953</f>
        <v>0</v>
      </c>
      <c r="U1953" s="59">
        <f t="shared" si="3073"/>
        <v>2</v>
      </c>
      <c r="V1953" s="66"/>
      <c r="W1953" s="66">
        <v>496</v>
      </c>
      <c r="X1953" s="110">
        <f t="shared" ref="X1953" si="3165">W1953-M1953</f>
        <v>-2</v>
      </c>
      <c r="Y1953" s="110"/>
      <c r="Z1953" s="110"/>
      <c r="AA1953" s="110"/>
      <c r="AB1953" s="46"/>
      <c r="AC1953" s="78"/>
      <c r="AD1953" s="78"/>
      <c r="AE1953" s="100">
        <f t="shared" si="3074"/>
        <v>6.4102564102564097E-2</v>
      </c>
      <c r="AF1953" s="90"/>
      <c r="AG1953" s="109">
        <f t="shared" si="3075"/>
        <v>0</v>
      </c>
      <c r="AH1953" s="100">
        <f t="shared" si="3076"/>
        <v>6.4102564102564097E-2</v>
      </c>
      <c r="AI1953" s="100">
        <f t="shared" si="3077"/>
        <v>5.9829059829059832E-2</v>
      </c>
    </row>
    <row r="1954" spans="1:35" s="79" customFormat="1" ht="15.75" customHeight="1" x14ac:dyDescent="0.3">
      <c r="A1954" s="90" t="s">
        <v>46</v>
      </c>
      <c r="B1954" s="136" t="s">
        <v>51</v>
      </c>
      <c r="C1954" s="137"/>
      <c r="D1954" s="136"/>
      <c r="E1954" s="138"/>
      <c r="F1954" s="91">
        <f>SUM(F1951:F1953)</f>
        <v>1356</v>
      </c>
      <c r="G1954" s="91"/>
      <c r="H1954" s="91"/>
      <c r="I1954" s="91"/>
      <c r="J1954" s="91" t="s">
        <v>59</v>
      </c>
      <c r="K1954" s="65" t="s">
        <v>290</v>
      </c>
      <c r="L1954" s="91">
        <f>SUM(L1951:L1953)</f>
        <v>0</v>
      </c>
      <c r="M1954" s="91">
        <f>SUM(M1951:M1953)</f>
        <v>1434</v>
      </c>
      <c r="N1954" s="91">
        <f>SUM(N1951:N1953)</f>
        <v>78</v>
      </c>
      <c r="O1954" s="91" t="s">
        <v>832</v>
      </c>
      <c r="P1954" s="91">
        <f>SUM(P1951:P1953)</f>
        <v>0</v>
      </c>
      <c r="Q1954" s="91">
        <f>SUM(Q1951:Q1953)</f>
        <v>1434</v>
      </c>
      <c r="R1954" s="91">
        <f>SUM(R1951:R1953)</f>
        <v>0</v>
      </c>
      <c r="S1954" s="91">
        <f>SUM(S1951:S1953)</f>
        <v>1434</v>
      </c>
      <c r="T1954" s="91">
        <f>SUM(T1951:T1953)</f>
        <v>0</v>
      </c>
      <c r="U1954" s="59">
        <f t="shared" si="3073"/>
        <v>6</v>
      </c>
      <c r="V1954" s="91">
        <f>SUM(V1951:V1953)</f>
        <v>0</v>
      </c>
      <c r="W1954" s="91">
        <f>SUM(W1951:W1953)</f>
        <v>1428</v>
      </c>
      <c r="X1954" s="91">
        <f>SUM(X1951:X1953)</f>
        <v>-6</v>
      </c>
      <c r="Y1954" s="136" t="s">
        <v>47</v>
      </c>
      <c r="Z1954" s="136" t="s">
        <v>45</v>
      </c>
      <c r="AA1954" s="136"/>
      <c r="AB1954" s="84"/>
      <c r="AC1954" s="90"/>
      <c r="AD1954" s="90"/>
      <c r="AE1954" s="100">
        <f t="shared" si="3074"/>
        <v>5.7522123893805309E-2</v>
      </c>
      <c r="AF1954" s="90"/>
      <c r="AG1954" s="109">
        <f t="shared" si="3075"/>
        <v>0</v>
      </c>
      <c r="AH1954" s="100">
        <f t="shared" si="3076"/>
        <v>5.7522123893805309E-2</v>
      </c>
      <c r="AI1954" s="100">
        <f t="shared" si="3077"/>
        <v>5.3097345132743362E-2</v>
      </c>
    </row>
    <row r="1955" spans="1:35" s="47" customFormat="1" ht="21" customHeight="1" x14ac:dyDescent="0.3">
      <c r="A1955" s="78"/>
      <c r="B1955" s="106" t="s">
        <v>51</v>
      </c>
      <c r="C1955" s="117">
        <v>48532</v>
      </c>
      <c r="D1955" s="299">
        <v>15391922</v>
      </c>
      <c r="E1955" s="131" t="s">
        <v>818</v>
      </c>
      <c r="F1955" s="66">
        <f>90+1113+24+2991+435+285+135</f>
        <v>5073</v>
      </c>
      <c r="G1955" s="66"/>
      <c r="H1955" s="66"/>
      <c r="I1955" s="66"/>
      <c r="J1955" s="66"/>
      <c r="K1955" s="78"/>
      <c r="L1955" s="66"/>
      <c r="M1955" s="66">
        <f>721+1485+719+878+539+917</f>
        <v>5259</v>
      </c>
      <c r="N1955" s="110">
        <f t="shared" ref="N1955:N1957" si="3166">M1955-F1955</f>
        <v>186</v>
      </c>
      <c r="O1955" s="110"/>
      <c r="P1955" s="66"/>
      <c r="Q1955" s="66">
        <f>698+1441+697+852+529+882</f>
        <v>5099</v>
      </c>
      <c r="R1955" s="66"/>
      <c r="S1955" s="66"/>
      <c r="T1955" s="110">
        <f>S1955-Q1955</f>
        <v>-5099</v>
      </c>
      <c r="U1955" s="59">
        <f t="shared" ref="U1955:U1958" si="3167">IF(Q1955&gt;0,S1955-W1955,M1955-W1955)</f>
        <v>0</v>
      </c>
      <c r="V1955" s="66"/>
      <c r="W1955" s="66"/>
      <c r="X1955" s="110">
        <f>W1955-M1955</f>
        <v>-5259</v>
      </c>
      <c r="Y1955" s="110"/>
      <c r="Z1955" s="110"/>
      <c r="AA1955" s="110"/>
      <c r="AB1955" s="46"/>
      <c r="AC1955" s="78"/>
      <c r="AD1955" s="78"/>
      <c r="AE1955" s="100">
        <f t="shared" ref="AE1955:AE1958" si="3168">N1955/F1955</f>
        <v>3.666469544648137E-2</v>
      </c>
      <c r="AF1955" s="90"/>
      <c r="AG1955" s="109">
        <f t="shared" ref="AG1955:AG1958" si="3169">IF(N1955&lt;0,N1955,0)</f>
        <v>0</v>
      </c>
      <c r="AH1955" s="100">
        <f t="shared" ref="AH1955:AH1958" si="3170">(S1955-F1955)/F1955</f>
        <v>-1</v>
      </c>
      <c r="AI1955" s="100">
        <f t="shared" ref="AI1955:AI1958" si="3171">(W1955-F1955)/F1955</f>
        <v>-1</v>
      </c>
    </row>
    <row r="1956" spans="1:35" s="47" customFormat="1" ht="21" customHeight="1" x14ac:dyDescent="0.3">
      <c r="A1956" s="78"/>
      <c r="B1956" s="106" t="s">
        <v>51</v>
      </c>
      <c r="C1956" s="117">
        <v>48532</v>
      </c>
      <c r="D1956" s="300"/>
      <c r="E1956" s="131" t="s">
        <v>819</v>
      </c>
      <c r="F1956" s="66">
        <f>897+24+3063+435</f>
        <v>4419</v>
      </c>
      <c r="G1956" s="66"/>
      <c r="H1956" s="66"/>
      <c r="I1956" s="66"/>
      <c r="J1956" s="66"/>
      <c r="K1956" s="78"/>
      <c r="L1956" s="66"/>
      <c r="M1956" s="66">
        <f>931</f>
        <v>931</v>
      </c>
      <c r="N1956" s="110">
        <f t="shared" ref="N1956" si="3172">M1956-F1956</f>
        <v>-3488</v>
      </c>
      <c r="O1956" s="110"/>
      <c r="P1956" s="66"/>
      <c r="Q1956" s="66">
        <f>904</f>
        <v>904</v>
      </c>
      <c r="R1956" s="66"/>
      <c r="S1956" s="66"/>
      <c r="T1956" s="110">
        <f t="shared" ref="T1956" si="3173">S1956-Q1956</f>
        <v>-904</v>
      </c>
      <c r="U1956" s="59">
        <f t="shared" ref="U1956" si="3174">IF(Q1956&gt;0,S1956-W1956,M1956-W1956)</f>
        <v>0</v>
      </c>
      <c r="V1956" s="66"/>
      <c r="W1956" s="66"/>
      <c r="X1956" s="110">
        <f t="shared" ref="X1956" si="3175">W1956-M1956</f>
        <v>-931</v>
      </c>
      <c r="Y1956" s="110"/>
      <c r="Z1956" s="110"/>
      <c r="AA1956" s="110"/>
      <c r="AB1956" s="46"/>
      <c r="AC1956" s="78"/>
      <c r="AD1956" s="78"/>
      <c r="AE1956" s="100">
        <f t="shared" ref="AE1956" si="3176">N1956/F1956</f>
        <v>-0.7893188504186468</v>
      </c>
      <c r="AF1956" s="90"/>
      <c r="AG1956" s="109">
        <f t="shared" ref="AG1956" si="3177">IF(N1956&lt;0,N1956,0)</f>
        <v>-3488</v>
      </c>
      <c r="AH1956" s="100">
        <f t="shared" ref="AH1956" si="3178">(S1956-F1956)/F1956</f>
        <v>-1</v>
      </c>
      <c r="AI1956" s="100">
        <f t="shared" ref="AI1956" si="3179">(W1956-F1956)/F1956</f>
        <v>-1</v>
      </c>
    </row>
    <row r="1957" spans="1:35" s="47" customFormat="1" ht="21" customHeight="1" x14ac:dyDescent="0.3">
      <c r="A1957" s="78"/>
      <c r="B1957" s="106" t="s">
        <v>51</v>
      </c>
      <c r="C1957" s="117">
        <v>48532</v>
      </c>
      <c r="D1957" s="300"/>
      <c r="E1957" s="131" t="s">
        <v>820</v>
      </c>
      <c r="F1957" s="66">
        <f>90+849+2079+123</f>
        <v>3141</v>
      </c>
      <c r="G1957" s="66"/>
      <c r="H1957" s="66"/>
      <c r="I1957" s="66"/>
      <c r="J1957" s="66"/>
      <c r="K1957" s="78"/>
      <c r="L1957" s="66"/>
      <c r="M1957" s="66"/>
      <c r="N1957" s="110">
        <f t="shared" si="3166"/>
        <v>-3141</v>
      </c>
      <c r="O1957" s="110"/>
      <c r="P1957" s="66"/>
      <c r="Q1957" s="66"/>
      <c r="R1957" s="66"/>
      <c r="S1957" s="66"/>
      <c r="T1957" s="110">
        <f t="shared" ref="T1957" si="3180">S1957-Q1957</f>
        <v>0</v>
      </c>
      <c r="U1957" s="59">
        <f t="shared" si="3167"/>
        <v>0</v>
      </c>
      <c r="V1957" s="66"/>
      <c r="W1957" s="66"/>
      <c r="X1957" s="110">
        <f t="shared" ref="X1957" si="3181">W1957-M1957</f>
        <v>0</v>
      </c>
      <c r="Y1957" s="110"/>
      <c r="Z1957" s="110"/>
      <c r="AA1957" s="110"/>
      <c r="AB1957" s="46"/>
      <c r="AC1957" s="78"/>
      <c r="AD1957" s="78"/>
      <c r="AE1957" s="100">
        <f t="shared" si="3168"/>
        <v>-1</v>
      </c>
      <c r="AF1957" s="90"/>
      <c r="AG1957" s="109">
        <f t="shared" si="3169"/>
        <v>-3141</v>
      </c>
      <c r="AH1957" s="100">
        <f t="shared" si="3170"/>
        <v>-1</v>
      </c>
      <c r="AI1957" s="100">
        <f t="shared" si="3171"/>
        <v>-1</v>
      </c>
    </row>
    <row r="1958" spans="1:35" s="79" customFormat="1" ht="15.75" customHeight="1" x14ac:dyDescent="0.3">
      <c r="A1958" s="90" t="s">
        <v>46</v>
      </c>
      <c r="B1958" s="136" t="s">
        <v>51</v>
      </c>
      <c r="C1958" s="137"/>
      <c r="D1958" s="136"/>
      <c r="E1958" s="138"/>
      <c r="F1958" s="91">
        <f>SUM(F1955:F1957)</f>
        <v>12633</v>
      </c>
      <c r="G1958" s="91"/>
      <c r="H1958" s="91"/>
      <c r="I1958" s="91"/>
      <c r="J1958" s="91" t="s">
        <v>58</v>
      </c>
      <c r="K1958" s="65" t="s">
        <v>617</v>
      </c>
      <c r="L1958" s="91">
        <f>SUM(L1955:L1957)</f>
        <v>0</v>
      </c>
      <c r="M1958" s="91">
        <f>SUM(M1955:M1957)</f>
        <v>6190</v>
      </c>
      <c r="N1958" s="91">
        <f>SUM(N1955:N1957)</f>
        <v>-6443</v>
      </c>
      <c r="O1958" s="91" t="s">
        <v>272</v>
      </c>
      <c r="P1958" s="91">
        <f>SUM(P1955:P1957)</f>
        <v>0</v>
      </c>
      <c r="Q1958" s="91">
        <f>SUM(Q1955:Q1957)</f>
        <v>6003</v>
      </c>
      <c r="R1958" s="91">
        <f>SUM(R1955:R1957)</f>
        <v>0</v>
      </c>
      <c r="S1958" s="91">
        <f>SUM(S1955:S1957)</f>
        <v>0</v>
      </c>
      <c r="T1958" s="91">
        <f>SUM(T1955:T1957)</f>
        <v>-6003</v>
      </c>
      <c r="U1958" s="59">
        <f t="shared" si="3167"/>
        <v>0</v>
      </c>
      <c r="V1958" s="91">
        <f>SUM(V1955:V1957)</f>
        <v>0</v>
      </c>
      <c r="W1958" s="91">
        <f>SUM(W1955:W1957)</f>
        <v>0</v>
      </c>
      <c r="X1958" s="91">
        <f>SUM(X1955:X1957)</f>
        <v>-6190</v>
      </c>
      <c r="Y1958" s="136" t="s">
        <v>47</v>
      </c>
      <c r="Z1958" s="136" t="s">
        <v>45</v>
      </c>
      <c r="AA1958" s="136"/>
      <c r="AB1958" s="84"/>
      <c r="AC1958" s="90"/>
      <c r="AD1958" s="90"/>
      <c r="AE1958" s="100">
        <f t="shared" si="3168"/>
        <v>-0.5100134568194411</v>
      </c>
      <c r="AF1958" s="90"/>
      <c r="AG1958" s="109">
        <f t="shared" si="3169"/>
        <v>-6443</v>
      </c>
      <c r="AH1958" s="100">
        <f t="shared" si="3170"/>
        <v>-1</v>
      </c>
      <c r="AI1958" s="100">
        <f t="shared" si="3171"/>
        <v>-1</v>
      </c>
    </row>
    <row r="1959" spans="1:35" s="47" customFormat="1" ht="21" customHeight="1" x14ac:dyDescent="0.3">
      <c r="A1959" s="78"/>
      <c r="B1959" s="106" t="s">
        <v>51</v>
      </c>
      <c r="C1959" s="117" t="s">
        <v>817</v>
      </c>
      <c r="D1959" s="299">
        <v>15391922</v>
      </c>
      <c r="E1959" s="131" t="s">
        <v>818</v>
      </c>
      <c r="F1959" s="66">
        <v>581</v>
      </c>
      <c r="G1959" s="66"/>
      <c r="H1959" s="66"/>
      <c r="I1959" s="66"/>
      <c r="J1959" s="66"/>
      <c r="K1959" s="78"/>
      <c r="L1959" s="66"/>
      <c r="M1959" s="66"/>
      <c r="N1959" s="110">
        <f t="shared" ref="N1959:N1960" si="3182">M1959-F1959</f>
        <v>-581</v>
      </c>
      <c r="O1959" s="110"/>
      <c r="P1959" s="66"/>
      <c r="Q1959" s="66"/>
      <c r="R1959" s="66"/>
      <c r="S1959" s="66"/>
      <c r="T1959" s="110">
        <f>S1959-Q1959</f>
        <v>0</v>
      </c>
      <c r="U1959" s="59">
        <f t="shared" si="3073"/>
        <v>0</v>
      </c>
      <c r="V1959" s="66"/>
      <c r="W1959" s="66"/>
      <c r="X1959" s="110">
        <f>W1959-M1959</f>
        <v>0</v>
      </c>
      <c r="Y1959" s="110"/>
      <c r="Z1959" s="110"/>
      <c r="AA1959" s="110"/>
      <c r="AB1959" s="46"/>
      <c r="AC1959" s="78"/>
      <c r="AD1959" s="78"/>
      <c r="AE1959" s="100">
        <f t="shared" si="3074"/>
        <v>-1</v>
      </c>
      <c r="AF1959" s="90"/>
      <c r="AG1959" s="109">
        <f t="shared" si="3075"/>
        <v>-581</v>
      </c>
      <c r="AH1959" s="100">
        <f t="shared" si="3076"/>
        <v>-1</v>
      </c>
      <c r="AI1959" s="100">
        <f t="shared" si="3077"/>
        <v>-1</v>
      </c>
    </row>
    <row r="1960" spans="1:35" s="47" customFormat="1" ht="21" customHeight="1" x14ac:dyDescent="0.3">
      <c r="A1960" s="78"/>
      <c r="B1960" s="106" t="s">
        <v>51</v>
      </c>
      <c r="C1960" s="117" t="s">
        <v>817</v>
      </c>
      <c r="D1960" s="300"/>
      <c r="E1960" s="131" t="s">
        <v>819</v>
      </c>
      <c r="F1960" s="66">
        <v>398</v>
      </c>
      <c r="G1960" s="66"/>
      <c r="H1960" s="66"/>
      <c r="I1960" s="66"/>
      <c r="J1960" s="66"/>
      <c r="K1960" s="78"/>
      <c r="L1960" s="66"/>
      <c r="M1960" s="66"/>
      <c r="N1960" s="110">
        <f t="shared" si="3182"/>
        <v>-398</v>
      </c>
      <c r="O1960" s="110"/>
      <c r="P1960" s="66"/>
      <c r="Q1960" s="66"/>
      <c r="R1960" s="66"/>
      <c r="S1960" s="66"/>
      <c r="T1960" s="110">
        <f t="shared" ref="T1960" si="3183">S1960-Q1960</f>
        <v>0</v>
      </c>
      <c r="U1960" s="59">
        <f t="shared" si="3073"/>
        <v>0</v>
      </c>
      <c r="V1960" s="66"/>
      <c r="W1960" s="66"/>
      <c r="X1960" s="110">
        <f t="shared" ref="X1960" si="3184">W1960-M1960</f>
        <v>0</v>
      </c>
      <c r="Y1960" s="110"/>
      <c r="Z1960" s="110"/>
      <c r="AA1960" s="110"/>
      <c r="AB1960" s="46"/>
      <c r="AC1960" s="78"/>
      <c r="AD1960" s="78"/>
      <c r="AE1960" s="100">
        <f t="shared" si="3074"/>
        <v>-1</v>
      </c>
      <c r="AF1960" s="90"/>
      <c r="AG1960" s="109">
        <f t="shared" si="3075"/>
        <v>-398</v>
      </c>
      <c r="AH1960" s="100">
        <f t="shared" si="3076"/>
        <v>-1</v>
      </c>
      <c r="AI1960" s="100">
        <f t="shared" si="3077"/>
        <v>-1</v>
      </c>
    </row>
    <row r="1961" spans="1:35" s="79" customFormat="1" ht="15.75" customHeight="1" x14ac:dyDescent="0.3">
      <c r="A1961" s="90" t="s">
        <v>46</v>
      </c>
      <c r="B1961" s="136" t="s">
        <v>51</v>
      </c>
      <c r="C1961" s="137"/>
      <c r="D1961" s="136"/>
      <c r="E1961" s="138"/>
      <c r="F1961" s="91">
        <f>SUM(F1959:F1960)</f>
        <v>979</v>
      </c>
      <c r="G1961" s="91"/>
      <c r="H1961" s="91"/>
      <c r="I1961" s="91"/>
      <c r="J1961" s="91"/>
      <c r="K1961" s="65" t="s">
        <v>687</v>
      </c>
      <c r="L1961" s="91">
        <f>SUM(L1959:L1960)</f>
        <v>0</v>
      </c>
      <c r="M1961" s="91">
        <f>SUM(M1959:M1960)</f>
        <v>0</v>
      </c>
      <c r="N1961" s="91">
        <f>SUM(N1959:N1960)</f>
        <v>-979</v>
      </c>
      <c r="O1961" s="91"/>
      <c r="P1961" s="91">
        <f>SUM(P1959:P1960)</f>
        <v>0</v>
      </c>
      <c r="Q1961" s="91">
        <f>SUM(Q1959:Q1960)</f>
        <v>0</v>
      </c>
      <c r="R1961" s="91">
        <f>SUM(R1959:R1960)</f>
        <v>0</v>
      </c>
      <c r="S1961" s="91">
        <f>SUM(S1959:S1960)</f>
        <v>0</v>
      </c>
      <c r="T1961" s="91">
        <f>SUM(T1959:T1960)</f>
        <v>0</v>
      </c>
      <c r="U1961" s="59">
        <f t="shared" si="3073"/>
        <v>0</v>
      </c>
      <c r="V1961" s="91">
        <f>SUM(V1959:V1960)</f>
        <v>0</v>
      </c>
      <c r="W1961" s="91">
        <f>SUM(W1959:W1960)</f>
        <v>0</v>
      </c>
      <c r="X1961" s="91">
        <f>SUM(X1959:X1960)</f>
        <v>0</v>
      </c>
      <c r="Y1961" s="136" t="s">
        <v>47</v>
      </c>
      <c r="Z1961" s="136" t="s">
        <v>45</v>
      </c>
      <c r="AA1961" s="136"/>
      <c r="AB1961" s="84"/>
      <c r="AC1961" s="90"/>
      <c r="AD1961" s="90"/>
      <c r="AE1961" s="100">
        <f t="shared" si="3074"/>
        <v>-1</v>
      </c>
      <c r="AF1961" s="90"/>
      <c r="AG1961" s="109">
        <f t="shared" si="3075"/>
        <v>-979</v>
      </c>
      <c r="AH1961" s="100">
        <f t="shared" si="3076"/>
        <v>-1</v>
      </c>
      <c r="AI1961" s="100">
        <f t="shared" si="3077"/>
        <v>-1</v>
      </c>
    </row>
    <row r="1962" spans="1:35" s="47" customFormat="1" ht="21" customHeight="1" x14ac:dyDescent="0.3">
      <c r="A1962" s="78"/>
      <c r="B1962" s="106" t="s">
        <v>51</v>
      </c>
      <c r="C1962" s="117" t="s">
        <v>1005</v>
      </c>
      <c r="D1962" s="299">
        <v>15377771</v>
      </c>
      <c r="E1962" s="131" t="s">
        <v>0</v>
      </c>
      <c r="F1962" s="66">
        <v>944</v>
      </c>
      <c r="G1962" s="66"/>
      <c r="H1962" s="66"/>
      <c r="I1962" s="66"/>
      <c r="J1962" s="66"/>
      <c r="K1962" s="78"/>
      <c r="L1962" s="66"/>
      <c r="M1962" s="66"/>
      <c r="N1962" s="110">
        <f t="shared" ref="N1962:N1963" si="3185">M1962-F1962</f>
        <v>-944</v>
      </c>
      <c r="O1962" s="110"/>
      <c r="P1962" s="66"/>
      <c r="Q1962" s="66"/>
      <c r="R1962" s="66"/>
      <c r="S1962" s="66"/>
      <c r="T1962" s="110">
        <f>S1962-Q1962</f>
        <v>0</v>
      </c>
      <c r="U1962" s="59">
        <f t="shared" ref="U1962:U1964" si="3186">IF(Q1962&gt;0,S1962-W1962,M1962-W1962)</f>
        <v>0</v>
      </c>
      <c r="V1962" s="66"/>
      <c r="W1962" s="66"/>
      <c r="X1962" s="110">
        <f>W1962-M1962</f>
        <v>0</v>
      </c>
      <c r="Y1962" s="110"/>
      <c r="Z1962" s="110"/>
      <c r="AA1962" s="110"/>
      <c r="AB1962" s="46"/>
      <c r="AC1962" s="78"/>
      <c r="AD1962" s="78"/>
      <c r="AE1962" s="100">
        <f t="shared" ref="AE1962:AE1964" si="3187">N1962/F1962</f>
        <v>-1</v>
      </c>
      <c r="AF1962" s="90"/>
      <c r="AG1962" s="109">
        <f t="shared" ref="AG1962:AG1964" si="3188">IF(N1962&lt;0,N1962,0)</f>
        <v>-944</v>
      </c>
      <c r="AH1962" s="100">
        <f t="shared" ref="AH1962:AH1964" si="3189">(S1962-F1962)/F1962</f>
        <v>-1</v>
      </c>
      <c r="AI1962" s="100">
        <f t="shared" ref="AI1962:AI1964" si="3190">(W1962-F1962)/F1962</f>
        <v>-1</v>
      </c>
    </row>
    <row r="1963" spans="1:35" s="47" customFormat="1" ht="21" customHeight="1" x14ac:dyDescent="0.3">
      <c r="A1963" s="78"/>
      <c r="B1963" s="106" t="s">
        <v>51</v>
      </c>
      <c r="C1963" s="117" t="s">
        <v>1005</v>
      </c>
      <c r="D1963" s="300"/>
      <c r="E1963" s="131" t="s">
        <v>5</v>
      </c>
      <c r="F1963" s="66">
        <v>879</v>
      </c>
      <c r="G1963" s="66"/>
      <c r="H1963" s="66"/>
      <c r="I1963" s="66"/>
      <c r="J1963" s="66"/>
      <c r="K1963" s="78"/>
      <c r="L1963" s="66"/>
      <c r="M1963" s="66"/>
      <c r="N1963" s="110">
        <f t="shared" si="3185"/>
        <v>-879</v>
      </c>
      <c r="O1963" s="110"/>
      <c r="P1963" s="66"/>
      <c r="Q1963" s="66"/>
      <c r="R1963" s="66"/>
      <c r="S1963" s="66"/>
      <c r="T1963" s="110">
        <f t="shared" ref="T1963" si="3191">S1963-Q1963</f>
        <v>0</v>
      </c>
      <c r="U1963" s="59">
        <f t="shared" si="3186"/>
        <v>0</v>
      </c>
      <c r="V1963" s="66"/>
      <c r="W1963" s="66"/>
      <c r="X1963" s="110">
        <f t="shared" ref="X1963" si="3192">W1963-M1963</f>
        <v>0</v>
      </c>
      <c r="Y1963" s="110"/>
      <c r="Z1963" s="110"/>
      <c r="AA1963" s="110"/>
      <c r="AB1963" s="46"/>
      <c r="AC1963" s="78"/>
      <c r="AD1963" s="78"/>
      <c r="AE1963" s="100">
        <f t="shared" si="3187"/>
        <v>-1</v>
      </c>
      <c r="AF1963" s="90"/>
      <c r="AG1963" s="109">
        <f t="shared" si="3188"/>
        <v>-879</v>
      </c>
      <c r="AH1963" s="100">
        <f t="shared" si="3189"/>
        <v>-1</v>
      </c>
      <c r="AI1963" s="100">
        <f t="shared" si="3190"/>
        <v>-1</v>
      </c>
    </row>
    <row r="1964" spans="1:35" s="79" customFormat="1" ht="15.75" customHeight="1" x14ac:dyDescent="0.3">
      <c r="A1964" s="90" t="s">
        <v>46</v>
      </c>
      <c r="B1964" s="136" t="s">
        <v>51</v>
      </c>
      <c r="C1964" s="137"/>
      <c r="D1964" s="136"/>
      <c r="E1964" s="138"/>
      <c r="F1964" s="91">
        <f>SUM(F1962:F1963)</f>
        <v>1823</v>
      </c>
      <c r="G1964" s="91"/>
      <c r="H1964" s="91"/>
      <c r="I1964" s="91"/>
      <c r="J1964" s="91" t="s">
        <v>59</v>
      </c>
      <c r="K1964" s="65" t="s">
        <v>436</v>
      </c>
      <c r="L1964" s="91">
        <f>SUM(L1962:L1963)</f>
        <v>0</v>
      </c>
      <c r="M1964" s="91">
        <f>SUM(M1962:M1963)</f>
        <v>0</v>
      </c>
      <c r="N1964" s="91">
        <f>SUM(N1962:N1963)</f>
        <v>-1823</v>
      </c>
      <c r="O1964" s="91"/>
      <c r="P1964" s="91">
        <f>SUM(P1962:P1963)</f>
        <v>0</v>
      </c>
      <c r="Q1964" s="91">
        <f>SUM(Q1962:Q1963)</f>
        <v>0</v>
      </c>
      <c r="R1964" s="91">
        <f>SUM(R1962:R1963)</f>
        <v>0</v>
      </c>
      <c r="S1964" s="91">
        <f>SUM(S1962:S1963)</f>
        <v>0</v>
      </c>
      <c r="T1964" s="91">
        <f>SUM(T1962:T1963)</f>
        <v>0</v>
      </c>
      <c r="U1964" s="59">
        <f t="shared" si="3186"/>
        <v>0</v>
      </c>
      <c r="V1964" s="91">
        <f>SUM(V1962:V1963)</f>
        <v>0</v>
      </c>
      <c r="W1964" s="91">
        <f>SUM(W1962:W1963)</f>
        <v>0</v>
      </c>
      <c r="X1964" s="91">
        <f>SUM(X1962:X1963)</f>
        <v>0</v>
      </c>
      <c r="Y1964" s="136" t="s">
        <v>47</v>
      </c>
      <c r="Z1964" s="136" t="s">
        <v>45</v>
      </c>
      <c r="AA1964" s="136"/>
      <c r="AB1964" s="84"/>
      <c r="AC1964" s="90"/>
      <c r="AD1964" s="90"/>
      <c r="AE1964" s="100">
        <f t="shared" si="3187"/>
        <v>-1</v>
      </c>
      <c r="AF1964" s="90"/>
      <c r="AG1964" s="109">
        <f t="shared" si="3188"/>
        <v>-1823</v>
      </c>
      <c r="AH1964" s="100">
        <f t="shared" si="3189"/>
        <v>-1</v>
      </c>
      <c r="AI1964" s="100">
        <f t="shared" si="3190"/>
        <v>-1</v>
      </c>
    </row>
    <row r="1965" spans="1:35" s="47" customFormat="1" ht="21" customHeight="1" x14ac:dyDescent="0.3">
      <c r="A1965" s="78"/>
      <c r="B1965" s="106" t="s">
        <v>51</v>
      </c>
      <c r="C1965" s="117">
        <v>48201</v>
      </c>
      <c r="D1965" s="299">
        <v>15365507</v>
      </c>
      <c r="E1965" s="131" t="s">
        <v>291</v>
      </c>
      <c r="F1965" s="66">
        <v>4192</v>
      </c>
      <c r="G1965" s="66"/>
      <c r="H1965" s="66"/>
      <c r="I1965" s="66"/>
      <c r="J1965" s="66"/>
      <c r="K1965" s="78"/>
      <c r="L1965" s="66"/>
      <c r="M1965" s="66">
        <f>1490+800+620+800+294+117+170</f>
        <v>4291</v>
      </c>
      <c r="N1965" s="110">
        <f t="shared" ref="N1965:N1967" si="3193">M1965-F1965</f>
        <v>99</v>
      </c>
      <c r="O1965" s="110"/>
      <c r="P1965" s="66"/>
      <c r="Q1965" s="66">
        <f>1490+800+620+1094+117+170</f>
        <v>4291</v>
      </c>
      <c r="R1965" s="66"/>
      <c r="S1965" s="66">
        <v>4291</v>
      </c>
      <c r="T1965" s="110">
        <f>S1965-Q1965</f>
        <v>0</v>
      </c>
      <c r="U1965" s="59">
        <f t="shared" si="3073"/>
        <v>4291</v>
      </c>
      <c r="V1965" s="66"/>
      <c r="W1965" s="66"/>
      <c r="X1965" s="110">
        <f>W1965-M1965</f>
        <v>-4291</v>
      </c>
      <c r="Y1965" s="110"/>
      <c r="Z1965" s="110"/>
      <c r="AA1965" s="110"/>
      <c r="AB1965" s="46"/>
      <c r="AC1965" s="78"/>
      <c r="AD1965" s="78"/>
      <c r="AE1965" s="100">
        <f t="shared" si="3074"/>
        <v>2.3616412213740459E-2</v>
      </c>
      <c r="AF1965" s="90"/>
      <c r="AG1965" s="109">
        <f t="shared" si="3075"/>
        <v>0</v>
      </c>
      <c r="AH1965" s="100">
        <f t="shared" si="3076"/>
        <v>2.3616412213740459E-2</v>
      </c>
      <c r="AI1965" s="100">
        <f t="shared" si="3077"/>
        <v>-1</v>
      </c>
    </row>
    <row r="1966" spans="1:35" s="47" customFormat="1" ht="21" customHeight="1" x14ac:dyDescent="0.3">
      <c r="A1966" s="78"/>
      <c r="B1966" s="106" t="s">
        <v>51</v>
      </c>
      <c r="C1966" s="117">
        <v>48201</v>
      </c>
      <c r="D1966" s="300"/>
      <c r="E1966" s="131" t="s">
        <v>167</v>
      </c>
      <c r="F1966" s="66">
        <v>6582</v>
      </c>
      <c r="G1966" s="66"/>
      <c r="H1966" s="66"/>
      <c r="I1966" s="66"/>
      <c r="J1966" s="66"/>
      <c r="K1966" s="78"/>
      <c r="L1966" s="66"/>
      <c r="M1966" s="66">
        <f>830+1630+750+1700+720+840+265+67</f>
        <v>6802</v>
      </c>
      <c r="N1966" s="110">
        <f t="shared" ref="N1966" si="3194">M1966-F1966</f>
        <v>220</v>
      </c>
      <c r="O1966" s="110"/>
      <c r="P1966" s="66"/>
      <c r="Q1966" s="66">
        <f>800+750+840+860+720+1640+235+830+67</f>
        <v>6742</v>
      </c>
      <c r="R1966" s="66"/>
      <c r="S1966" s="66">
        <f>3017+3658</f>
        <v>6675</v>
      </c>
      <c r="T1966" s="110">
        <f t="shared" ref="T1966" si="3195">S1966-Q1966</f>
        <v>-67</v>
      </c>
      <c r="U1966" s="59">
        <f t="shared" ref="U1966" si="3196">IF(Q1966&gt;0,S1966-W1966,M1966-W1966)</f>
        <v>85</v>
      </c>
      <c r="V1966" s="66"/>
      <c r="W1966" s="66">
        <v>6590</v>
      </c>
      <c r="X1966" s="110">
        <f t="shared" ref="X1966" si="3197">W1966-M1966</f>
        <v>-212</v>
      </c>
      <c r="Y1966" s="110"/>
      <c r="Z1966" s="110"/>
      <c r="AA1966" s="110"/>
      <c r="AB1966" s="46"/>
      <c r="AC1966" s="78"/>
      <c r="AD1966" s="78"/>
      <c r="AE1966" s="100">
        <f t="shared" ref="AE1966" si="3198">N1966/F1966</f>
        <v>3.3424491036159222E-2</v>
      </c>
      <c r="AF1966" s="90"/>
      <c r="AG1966" s="109">
        <f t="shared" ref="AG1966" si="3199">IF(N1966&lt;0,N1966,0)</f>
        <v>0</v>
      </c>
      <c r="AH1966" s="100">
        <f t="shared" ref="AH1966" si="3200">(S1966-F1966)/F1966</f>
        <v>1.4129443938012761E-2</v>
      </c>
      <c r="AI1966" s="100">
        <f t="shared" ref="AI1966" si="3201">(W1966-F1966)/F1966</f>
        <v>1.2154360376785171E-3</v>
      </c>
    </row>
    <row r="1967" spans="1:35" s="47" customFormat="1" ht="21" customHeight="1" x14ac:dyDescent="0.3">
      <c r="A1967" s="78"/>
      <c r="B1967" s="106" t="s">
        <v>51</v>
      </c>
      <c r="C1967" s="117">
        <v>48201</v>
      </c>
      <c r="D1967" s="300"/>
      <c r="E1967" s="131" t="s">
        <v>228</v>
      </c>
      <c r="F1967" s="66">
        <v>2632</v>
      </c>
      <c r="G1967" s="66"/>
      <c r="H1967" s="66"/>
      <c r="I1967" s="66"/>
      <c r="J1967" s="66"/>
      <c r="K1967" s="78"/>
      <c r="L1967" s="66"/>
      <c r="M1967" s="66">
        <f>352+1000+260+850+230</f>
        <v>2692</v>
      </c>
      <c r="N1967" s="110">
        <f t="shared" si="3193"/>
        <v>60</v>
      </c>
      <c r="O1967" s="110"/>
      <c r="P1967" s="66"/>
      <c r="Q1967" s="66">
        <f>1352+260+1080</f>
        <v>2692</v>
      </c>
      <c r="R1967" s="66"/>
      <c r="S1967" s="66">
        <v>2692</v>
      </c>
      <c r="T1967" s="110">
        <f t="shared" ref="T1967" si="3202">S1967-Q1967</f>
        <v>0</v>
      </c>
      <c r="U1967" s="59">
        <f t="shared" si="3073"/>
        <v>0</v>
      </c>
      <c r="V1967" s="66"/>
      <c r="W1967" s="66">
        <v>2692</v>
      </c>
      <c r="X1967" s="110">
        <f t="shared" ref="X1967" si="3203">W1967-M1967</f>
        <v>0</v>
      </c>
      <c r="Y1967" s="110"/>
      <c r="Z1967" s="110"/>
      <c r="AA1967" s="110"/>
      <c r="AB1967" s="46"/>
      <c r="AC1967" s="78"/>
      <c r="AD1967" s="78"/>
      <c r="AE1967" s="100">
        <f t="shared" si="3074"/>
        <v>2.2796352583586626E-2</v>
      </c>
      <c r="AF1967" s="90"/>
      <c r="AG1967" s="109">
        <f t="shared" si="3075"/>
        <v>0</v>
      </c>
      <c r="AH1967" s="100">
        <f t="shared" si="3076"/>
        <v>2.2796352583586626E-2</v>
      </c>
      <c r="AI1967" s="100">
        <f t="shared" si="3077"/>
        <v>2.2796352583586626E-2</v>
      </c>
    </row>
    <row r="1968" spans="1:35" s="79" customFormat="1" ht="15.75" customHeight="1" x14ac:dyDescent="0.3">
      <c r="A1968" s="90" t="s">
        <v>46</v>
      </c>
      <c r="B1968" s="136" t="s">
        <v>51</v>
      </c>
      <c r="C1968" s="137"/>
      <c r="D1968" s="136"/>
      <c r="E1968" s="138"/>
      <c r="F1968" s="91">
        <f>SUM(F1965:F1967)</f>
        <v>13406</v>
      </c>
      <c r="G1968" s="91"/>
      <c r="H1968" s="91"/>
      <c r="I1968" s="91"/>
      <c r="J1968" s="91" t="s">
        <v>58</v>
      </c>
      <c r="K1968" s="65" t="s">
        <v>305</v>
      </c>
      <c r="L1968" s="91">
        <f>SUM(L1965:L1967)</f>
        <v>0</v>
      </c>
      <c r="M1968" s="91">
        <f>SUM(M1965:M1967)</f>
        <v>13785</v>
      </c>
      <c r="N1968" s="91">
        <f>SUM(N1965:N1967)</f>
        <v>379</v>
      </c>
      <c r="O1968" s="91" t="s">
        <v>758</v>
      </c>
      <c r="P1968" s="91">
        <f>SUM(P1965:P1967)</f>
        <v>0</v>
      </c>
      <c r="Q1968" s="91">
        <f>SUM(Q1965:Q1967)</f>
        <v>13725</v>
      </c>
      <c r="R1968" s="91">
        <f>SUM(R1965:R1967)</f>
        <v>0</v>
      </c>
      <c r="S1968" s="91">
        <f>SUM(S1965:S1967)</f>
        <v>13658</v>
      </c>
      <c r="T1968" s="91">
        <f>SUM(T1965:T1967)</f>
        <v>-67</v>
      </c>
      <c r="U1968" s="59">
        <f t="shared" si="3073"/>
        <v>4376</v>
      </c>
      <c r="V1968" s="91">
        <f>SUM(V1965:V1967)</f>
        <v>0</v>
      </c>
      <c r="W1968" s="91">
        <f>SUM(W1965:W1967)</f>
        <v>9282</v>
      </c>
      <c r="X1968" s="91">
        <f>SUM(X1965:X1967)</f>
        <v>-4503</v>
      </c>
      <c r="Y1968" s="136" t="s">
        <v>47</v>
      </c>
      <c r="Z1968" s="136" t="s">
        <v>45</v>
      </c>
      <c r="AA1968" s="136"/>
      <c r="AB1968" s="84"/>
      <c r="AC1968" s="90"/>
      <c r="AD1968" s="90"/>
      <c r="AE1968" s="100">
        <f t="shared" si="3074"/>
        <v>2.8270923467104282E-2</v>
      </c>
      <c r="AF1968" s="90"/>
      <c r="AG1968" s="109">
        <f t="shared" si="3075"/>
        <v>0</v>
      </c>
      <c r="AH1968" s="100">
        <f t="shared" si="3076"/>
        <v>1.8797553334327914E-2</v>
      </c>
      <c r="AI1968" s="100">
        <f t="shared" si="3077"/>
        <v>-0.30762345218558856</v>
      </c>
    </row>
    <row r="1969" spans="1:35" s="47" customFormat="1" ht="21" customHeight="1" x14ac:dyDescent="0.3">
      <c r="A1969" s="78"/>
      <c r="B1969" s="106" t="s">
        <v>51</v>
      </c>
      <c r="C1969" s="117">
        <v>48202</v>
      </c>
      <c r="D1969" s="299">
        <v>15388786</v>
      </c>
      <c r="E1969" s="131" t="s">
        <v>720</v>
      </c>
      <c r="F1969" s="66">
        <v>5084</v>
      </c>
      <c r="G1969" s="66"/>
      <c r="H1969" s="66"/>
      <c r="I1969" s="66"/>
      <c r="J1969" s="66"/>
      <c r="K1969" s="78"/>
      <c r="L1969" s="66"/>
      <c r="M1969" s="66">
        <f>1212+1221+1254+1500+9</f>
        <v>5196</v>
      </c>
      <c r="N1969" s="110">
        <f t="shared" ref="N1969:N1972" si="3204">M1969-F1969</f>
        <v>112</v>
      </c>
      <c r="O1969" s="110"/>
      <c r="P1969" s="66"/>
      <c r="Q1969" s="66">
        <f>5196</f>
        <v>5196</v>
      </c>
      <c r="R1969" s="66"/>
      <c r="S1969" s="66">
        <v>5196</v>
      </c>
      <c r="T1969" s="110">
        <f>S1969-Q1969</f>
        <v>0</v>
      </c>
      <c r="U1969" s="59">
        <f t="shared" si="3073"/>
        <v>47</v>
      </c>
      <c r="V1969" s="66"/>
      <c r="W1969" s="66">
        <v>5149</v>
      </c>
      <c r="X1969" s="110">
        <f>W1969-M1969</f>
        <v>-47</v>
      </c>
      <c r="Y1969" s="110"/>
      <c r="Z1969" s="110"/>
      <c r="AA1969" s="110"/>
      <c r="AB1969" s="46"/>
      <c r="AC1969" s="78"/>
      <c r="AD1969" s="78"/>
      <c r="AE1969" s="100">
        <f t="shared" si="3074"/>
        <v>2.2029897718332022E-2</v>
      </c>
      <c r="AF1969" s="90"/>
      <c r="AG1969" s="109">
        <f t="shared" si="3075"/>
        <v>0</v>
      </c>
      <c r="AH1969" s="100">
        <f t="shared" si="3076"/>
        <v>2.2029897718332022E-2</v>
      </c>
      <c r="AI1969" s="100">
        <f t="shared" si="3077"/>
        <v>1.2785208497246263E-2</v>
      </c>
    </row>
    <row r="1970" spans="1:35" s="47" customFormat="1" ht="21" customHeight="1" x14ac:dyDescent="0.3">
      <c r="A1970" s="78"/>
      <c r="B1970" s="106" t="s">
        <v>51</v>
      </c>
      <c r="C1970" s="117">
        <v>48202</v>
      </c>
      <c r="D1970" s="300"/>
      <c r="E1970" s="131" t="s">
        <v>721</v>
      </c>
      <c r="F1970" s="66">
        <v>6460</v>
      </c>
      <c r="G1970" s="66"/>
      <c r="H1970" s="66"/>
      <c r="I1970" s="66"/>
      <c r="J1970" s="66"/>
      <c r="K1970" s="78"/>
      <c r="L1970" s="66"/>
      <c r="M1970" s="66">
        <f>1210+1265+1210+1210+1210+480+20</f>
        <v>6605</v>
      </c>
      <c r="N1970" s="110">
        <f t="shared" si="3204"/>
        <v>145</v>
      </c>
      <c r="O1970" s="110"/>
      <c r="P1970" s="66"/>
      <c r="Q1970" s="66">
        <f>1210+2475+2420+370+130</f>
        <v>6605</v>
      </c>
      <c r="R1970" s="66">
        <v>202</v>
      </c>
      <c r="S1970" s="66">
        <f>3168+3307+130</f>
        <v>6605</v>
      </c>
      <c r="T1970" s="110">
        <f t="shared" ref="T1970" si="3205">S1970-Q1970</f>
        <v>0</v>
      </c>
      <c r="U1970" s="59">
        <f t="shared" si="3073"/>
        <v>2987</v>
      </c>
      <c r="V1970" s="66">
        <v>2672</v>
      </c>
      <c r="W1970" s="66">
        <v>3618</v>
      </c>
      <c r="X1970" s="110">
        <f t="shared" ref="X1970" si="3206">W1970-M1970</f>
        <v>-2987</v>
      </c>
      <c r="Y1970" s="110"/>
      <c r="Z1970" s="110"/>
      <c r="AA1970" s="110"/>
      <c r="AB1970" s="46"/>
      <c r="AC1970" s="78"/>
      <c r="AD1970" s="78"/>
      <c r="AE1970" s="100">
        <f t="shared" si="3074"/>
        <v>2.2445820433436531E-2</v>
      </c>
      <c r="AF1970" s="90"/>
      <c r="AG1970" s="109">
        <f t="shared" si="3075"/>
        <v>0</v>
      </c>
      <c r="AH1970" s="100">
        <f t="shared" si="3076"/>
        <v>2.2445820433436531E-2</v>
      </c>
      <c r="AI1970" s="100">
        <f t="shared" si="3077"/>
        <v>-0.43993808049535604</v>
      </c>
    </row>
    <row r="1971" spans="1:35" s="47" customFormat="1" ht="21" customHeight="1" x14ac:dyDescent="0.3">
      <c r="A1971" s="78"/>
      <c r="B1971" s="106" t="s">
        <v>51</v>
      </c>
      <c r="C1971" s="117">
        <v>48202</v>
      </c>
      <c r="D1971" s="300"/>
      <c r="E1971" s="131" t="s">
        <v>291</v>
      </c>
      <c r="F1971" s="66">
        <v>5812</v>
      </c>
      <c r="G1971" s="66"/>
      <c r="H1971" s="66"/>
      <c r="I1971" s="66"/>
      <c r="J1971" s="66"/>
      <c r="K1971" s="78"/>
      <c r="L1971" s="66"/>
      <c r="M1971" s="66">
        <f>1221+1166+935+946+1188+486</f>
        <v>5942</v>
      </c>
      <c r="N1971" s="110">
        <f t="shared" ref="N1971" si="3207">M1971-F1971</f>
        <v>130</v>
      </c>
      <c r="O1971" s="110"/>
      <c r="P1971" s="66"/>
      <c r="Q1971" s="66">
        <f>2409+1116+946+935+486</f>
        <v>5892</v>
      </c>
      <c r="R1971" s="66">
        <v>427</v>
      </c>
      <c r="S1971" s="66">
        <f>427</f>
        <v>427</v>
      </c>
      <c r="T1971" s="110">
        <f t="shared" ref="T1971" si="3208">S1971-Q1971</f>
        <v>-5465</v>
      </c>
      <c r="U1971" s="59">
        <f t="shared" ref="U1971" si="3209">IF(Q1971&gt;0,S1971-W1971,M1971-W1971)</f>
        <v>427</v>
      </c>
      <c r="V1971" s="66"/>
      <c r="W1971" s="66"/>
      <c r="X1971" s="110">
        <f t="shared" ref="X1971" si="3210">W1971-M1971</f>
        <v>-5942</v>
      </c>
      <c r="Y1971" s="110"/>
      <c r="Z1971" s="110"/>
      <c r="AA1971" s="110"/>
      <c r="AB1971" s="46"/>
      <c r="AC1971" s="78"/>
      <c r="AD1971" s="78"/>
      <c r="AE1971" s="100">
        <f t="shared" ref="AE1971" si="3211">N1971/F1971</f>
        <v>2.2367515485203028E-2</v>
      </c>
      <c r="AF1971" s="90"/>
      <c r="AG1971" s="109">
        <f t="shared" ref="AG1971" si="3212">IF(N1971&lt;0,N1971,0)</f>
        <v>0</v>
      </c>
      <c r="AH1971" s="100">
        <f t="shared" ref="AH1971" si="3213">(S1971-F1971)/F1971</f>
        <v>-0.92653131452167925</v>
      </c>
      <c r="AI1971" s="100">
        <f t="shared" ref="AI1971" si="3214">(W1971-F1971)/F1971</f>
        <v>-1</v>
      </c>
    </row>
    <row r="1972" spans="1:35" s="47" customFormat="1" ht="21" customHeight="1" x14ac:dyDescent="0.3">
      <c r="A1972" s="78"/>
      <c r="B1972" s="106" t="s">
        <v>51</v>
      </c>
      <c r="C1972" s="117">
        <v>48202</v>
      </c>
      <c r="D1972" s="300"/>
      <c r="E1972" s="131" t="s">
        <v>98</v>
      </c>
      <c r="F1972" s="66">
        <v>4360</v>
      </c>
      <c r="G1972" s="66"/>
      <c r="H1972" s="66"/>
      <c r="I1972" s="66"/>
      <c r="J1972" s="66"/>
      <c r="K1972" s="78"/>
      <c r="L1972" s="66"/>
      <c r="M1972" s="66">
        <f>2200+1100+1157</f>
        <v>4457</v>
      </c>
      <c r="N1972" s="110">
        <f t="shared" si="3204"/>
        <v>97</v>
      </c>
      <c r="O1972" s="110"/>
      <c r="P1972" s="66"/>
      <c r="Q1972" s="66">
        <f>2257+2200</f>
        <v>4457</v>
      </c>
      <c r="R1972" s="66"/>
      <c r="S1972" s="66">
        <f>2327+2130</f>
        <v>4457</v>
      </c>
      <c r="T1972" s="110">
        <f t="shared" ref="T1972" si="3215">S1972-Q1972</f>
        <v>0</v>
      </c>
      <c r="U1972" s="59">
        <f t="shared" si="3073"/>
        <v>16</v>
      </c>
      <c r="V1972" s="66"/>
      <c r="W1972" s="66">
        <v>4441</v>
      </c>
      <c r="X1972" s="110">
        <f t="shared" ref="X1972" si="3216">W1972-M1972</f>
        <v>-16</v>
      </c>
      <c r="Y1972" s="110"/>
      <c r="Z1972" s="110"/>
      <c r="AA1972" s="110"/>
      <c r="AB1972" s="46"/>
      <c r="AC1972" s="78"/>
      <c r="AD1972" s="78"/>
      <c r="AE1972" s="100">
        <f t="shared" si="3074"/>
        <v>2.224770642201835E-2</v>
      </c>
      <c r="AF1972" s="90"/>
      <c r="AG1972" s="109">
        <f t="shared" si="3075"/>
        <v>0</v>
      </c>
      <c r="AH1972" s="100">
        <f t="shared" si="3076"/>
        <v>2.224770642201835E-2</v>
      </c>
      <c r="AI1972" s="100">
        <f t="shared" si="3077"/>
        <v>1.8577981651376148E-2</v>
      </c>
    </row>
    <row r="1973" spans="1:35" s="79" customFormat="1" ht="15.75" customHeight="1" x14ac:dyDescent="0.3">
      <c r="A1973" s="90" t="s">
        <v>46</v>
      </c>
      <c r="B1973" s="136" t="s">
        <v>51</v>
      </c>
      <c r="C1973" s="137"/>
      <c r="D1973" s="136"/>
      <c r="E1973" s="138"/>
      <c r="F1973" s="91">
        <f>SUM(F1969:F1972)</f>
        <v>21716</v>
      </c>
      <c r="G1973" s="91"/>
      <c r="H1973" s="91"/>
      <c r="I1973" s="91"/>
      <c r="J1973" s="91" t="s">
        <v>58</v>
      </c>
      <c r="K1973" s="65" t="s">
        <v>436</v>
      </c>
      <c r="L1973" s="91">
        <f>SUM(L1969:L1972)</f>
        <v>0</v>
      </c>
      <c r="M1973" s="91">
        <f>SUM(M1969:M1972)</f>
        <v>22200</v>
      </c>
      <c r="N1973" s="91">
        <f>SUM(N1969:N1972)</f>
        <v>484</v>
      </c>
      <c r="O1973" s="91" t="s">
        <v>758</v>
      </c>
      <c r="P1973" s="91">
        <f>SUM(P1969:P1972)</f>
        <v>0</v>
      </c>
      <c r="Q1973" s="91">
        <f>SUM(Q1969:Q1972)</f>
        <v>22150</v>
      </c>
      <c r="R1973" s="91">
        <f>SUM(R1969:R1972)</f>
        <v>629</v>
      </c>
      <c r="S1973" s="91">
        <f>SUM(S1969:S1972)</f>
        <v>16685</v>
      </c>
      <c r="T1973" s="91">
        <f>SUM(T1969:T1972)</f>
        <v>-5465</v>
      </c>
      <c r="U1973" s="59">
        <f t="shared" si="3073"/>
        <v>3477</v>
      </c>
      <c r="V1973" s="91">
        <f>SUM(V1969:V1972)</f>
        <v>2672</v>
      </c>
      <c r="W1973" s="91">
        <f>SUM(W1969:W1972)</f>
        <v>13208</v>
      </c>
      <c r="X1973" s="91">
        <f>SUM(X1969:X1972)</f>
        <v>-8992</v>
      </c>
      <c r="Y1973" s="136" t="s">
        <v>47</v>
      </c>
      <c r="Z1973" s="136" t="s">
        <v>45</v>
      </c>
      <c r="AA1973" s="136"/>
      <c r="AB1973" s="84"/>
      <c r="AC1973" s="90"/>
      <c r="AD1973" s="90"/>
      <c r="AE1973" s="100">
        <f t="shared" si="3074"/>
        <v>2.2287714127832012E-2</v>
      </c>
      <c r="AF1973" s="90"/>
      <c r="AG1973" s="109">
        <f t="shared" si="3075"/>
        <v>0</v>
      </c>
      <c r="AH1973" s="100">
        <f t="shared" si="3076"/>
        <v>-0.23167249953951005</v>
      </c>
      <c r="AI1973" s="100">
        <f t="shared" si="3077"/>
        <v>-0.39178485909007182</v>
      </c>
    </row>
    <row r="1974" spans="1:35" s="47" customFormat="1" ht="21" customHeight="1" x14ac:dyDescent="0.3">
      <c r="A1974" s="78"/>
      <c r="B1974" s="106" t="s">
        <v>51</v>
      </c>
      <c r="C1974" s="117" t="s">
        <v>722</v>
      </c>
      <c r="D1974" s="245">
        <v>15388786</v>
      </c>
      <c r="E1974" s="131" t="s">
        <v>721</v>
      </c>
      <c r="F1974" s="66">
        <v>3002</v>
      </c>
      <c r="G1974" s="66"/>
      <c r="H1974" s="66"/>
      <c r="I1974" s="66"/>
      <c r="J1974" s="66"/>
      <c r="K1974" s="78"/>
      <c r="L1974" s="66"/>
      <c r="M1974" s="66">
        <f>2266+816</f>
        <v>3082</v>
      </c>
      <c r="N1974" s="110">
        <f t="shared" ref="N1974" si="3217">M1974-F1974</f>
        <v>80</v>
      </c>
      <c r="O1974" s="110"/>
      <c r="P1974" s="66"/>
      <c r="Q1974" s="66">
        <v>3082</v>
      </c>
      <c r="R1974" s="66"/>
      <c r="S1974" s="66"/>
      <c r="T1974" s="110">
        <f>S1974-Q1974</f>
        <v>-3082</v>
      </c>
      <c r="U1974" s="59">
        <f t="shared" ref="U1974:U1987" si="3218">IF(Q1974&gt;0,S1974-W1974,M1974-W1974)</f>
        <v>0</v>
      </c>
      <c r="V1974" s="66"/>
      <c r="W1974" s="66"/>
      <c r="X1974" s="110">
        <f>W1974-M1974</f>
        <v>-3082</v>
      </c>
      <c r="Y1974" s="110"/>
      <c r="Z1974" s="110"/>
      <c r="AA1974" s="110"/>
      <c r="AB1974" s="46"/>
      <c r="AC1974" s="78"/>
      <c r="AD1974" s="78"/>
      <c r="AE1974" s="100">
        <f t="shared" ref="AE1974:AE1987" si="3219">N1974/F1974</f>
        <v>2.6648900732844771E-2</v>
      </c>
      <c r="AF1974" s="90"/>
      <c r="AG1974" s="109">
        <f t="shared" ref="AG1974:AG1987" si="3220">IF(N1974&lt;0,N1974,0)</f>
        <v>0</v>
      </c>
      <c r="AH1974" s="100">
        <f t="shared" ref="AH1974:AH1987" si="3221">(S1974-F1974)/F1974</f>
        <v>-1</v>
      </c>
      <c r="AI1974" s="100">
        <f t="shared" ref="AI1974:AI1987" si="3222">(W1974-F1974)/F1974</f>
        <v>-1</v>
      </c>
    </row>
    <row r="1975" spans="1:35" s="79" customFormat="1" ht="15.75" customHeight="1" x14ac:dyDescent="0.3">
      <c r="A1975" s="90" t="s">
        <v>46</v>
      </c>
      <c r="B1975" s="136" t="s">
        <v>51</v>
      </c>
      <c r="C1975" s="137"/>
      <c r="D1975" s="136"/>
      <c r="E1975" s="138"/>
      <c r="F1975" s="91">
        <f>SUM(F1974:F1974)</f>
        <v>3002</v>
      </c>
      <c r="G1975" s="91"/>
      <c r="H1975" s="91"/>
      <c r="I1975" s="91"/>
      <c r="J1975" s="91" t="s">
        <v>58</v>
      </c>
      <c r="K1975" s="65" t="s">
        <v>436</v>
      </c>
      <c r="L1975" s="91">
        <f>SUM(L1974:L1974)</f>
        <v>0</v>
      </c>
      <c r="M1975" s="91">
        <f>SUM(M1974:M1974)</f>
        <v>3082</v>
      </c>
      <c r="N1975" s="91">
        <f>SUM(N1974:N1974)</f>
        <v>80</v>
      </c>
      <c r="O1975" s="91" t="s">
        <v>935</v>
      </c>
      <c r="P1975" s="91">
        <f>SUM(P1974:P1974)</f>
        <v>0</v>
      </c>
      <c r="Q1975" s="91">
        <f>SUM(Q1974:Q1974)</f>
        <v>3082</v>
      </c>
      <c r="R1975" s="91">
        <f>SUM(R1974:R1974)</f>
        <v>0</v>
      </c>
      <c r="S1975" s="91">
        <f>SUM(S1974:S1974)</f>
        <v>0</v>
      </c>
      <c r="T1975" s="91">
        <f>SUM(T1974:T1974)</f>
        <v>-3082</v>
      </c>
      <c r="U1975" s="59">
        <f t="shared" si="3218"/>
        <v>0</v>
      </c>
      <c r="V1975" s="91">
        <f>SUM(V1974:V1974)</f>
        <v>0</v>
      </c>
      <c r="W1975" s="91">
        <f>SUM(W1974:W1974)</f>
        <v>0</v>
      </c>
      <c r="X1975" s="91">
        <f>SUM(X1974:X1974)</f>
        <v>-3082</v>
      </c>
      <c r="Y1975" s="136" t="s">
        <v>47</v>
      </c>
      <c r="Z1975" s="136" t="s">
        <v>45</v>
      </c>
      <c r="AA1975" s="136"/>
      <c r="AB1975" s="84"/>
      <c r="AC1975" s="90"/>
      <c r="AD1975" s="90"/>
      <c r="AE1975" s="100">
        <f t="shared" si="3219"/>
        <v>2.6648900732844771E-2</v>
      </c>
      <c r="AF1975" s="90"/>
      <c r="AG1975" s="109">
        <f t="shared" si="3220"/>
        <v>0</v>
      </c>
      <c r="AH1975" s="100">
        <f t="shared" si="3221"/>
        <v>-1</v>
      </c>
      <c r="AI1975" s="100">
        <f t="shared" si="3222"/>
        <v>-1</v>
      </c>
    </row>
    <row r="1976" spans="1:35" s="47" customFormat="1" ht="21" customHeight="1" x14ac:dyDescent="0.3">
      <c r="A1976" s="78"/>
      <c r="B1976" s="106" t="s">
        <v>51</v>
      </c>
      <c r="C1976" s="117">
        <v>48205</v>
      </c>
      <c r="D1976" s="299">
        <v>15395685</v>
      </c>
      <c r="E1976" s="131" t="s">
        <v>49</v>
      </c>
      <c r="F1976" s="66">
        <v>242</v>
      </c>
      <c r="G1976" s="66"/>
      <c r="H1976" s="66"/>
      <c r="I1976" s="66"/>
      <c r="J1976" s="66"/>
      <c r="K1976" s="78"/>
      <c r="L1976" s="66"/>
      <c r="M1976" s="66">
        <v>257</v>
      </c>
      <c r="N1976" s="110">
        <f t="shared" ref="N1976:N1977" si="3223">M1976-F1976</f>
        <v>15</v>
      </c>
      <c r="O1976" s="110"/>
      <c r="P1976" s="66"/>
      <c r="Q1976" s="66">
        <v>257</v>
      </c>
      <c r="R1976" s="66">
        <v>257</v>
      </c>
      <c r="S1976" s="66">
        <v>257</v>
      </c>
      <c r="T1976" s="110">
        <f>S1976-Q1976</f>
        <v>0</v>
      </c>
      <c r="U1976" s="59">
        <f t="shared" si="3218"/>
        <v>257</v>
      </c>
      <c r="V1976" s="66"/>
      <c r="W1976" s="66"/>
      <c r="X1976" s="110">
        <f>W1976-M1976</f>
        <v>-257</v>
      </c>
      <c r="Y1976" s="110"/>
      <c r="Z1976" s="110"/>
      <c r="AA1976" s="110"/>
      <c r="AB1976" s="46"/>
      <c r="AC1976" s="78"/>
      <c r="AD1976" s="78"/>
      <c r="AE1976" s="100">
        <f t="shared" si="3219"/>
        <v>6.1983471074380167E-2</v>
      </c>
      <c r="AF1976" s="90"/>
      <c r="AG1976" s="109">
        <f t="shared" si="3220"/>
        <v>0</v>
      </c>
      <c r="AH1976" s="100">
        <f t="shared" si="3221"/>
        <v>6.1983471074380167E-2</v>
      </c>
      <c r="AI1976" s="100">
        <f t="shared" si="3222"/>
        <v>-1</v>
      </c>
    </row>
    <row r="1977" spans="1:35" s="47" customFormat="1" ht="21" customHeight="1" x14ac:dyDescent="0.3">
      <c r="A1977" s="78"/>
      <c r="B1977" s="106" t="s">
        <v>51</v>
      </c>
      <c r="C1977" s="117">
        <v>48205</v>
      </c>
      <c r="D1977" s="300"/>
      <c r="E1977" s="131" t="s">
        <v>291</v>
      </c>
      <c r="F1977" s="66">
        <v>242</v>
      </c>
      <c r="G1977" s="66"/>
      <c r="H1977" s="66"/>
      <c r="I1977" s="66"/>
      <c r="J1977" s="66"/>
      <c r="K1977" s="78"/>
      <c r="L1977" s="66"/>
      <c r="M1977" s="66">
        <v>257</v>
      </c>
      <c r="N1977" s="110">
        <f t="shared" si="3223"/>
        <v>15</v>
      </c>
      <c r="O1977" s="110"/>
      <c r="P1977" s="66"/>
      <c r="Q1977" s="66">
        <v>257</v>
      </c>
      <c r="R1977" s="66"/>
      <c r="S1977" s="66"/>
      <c r="T1977" s="110">
        <f t="shared" ref="T1977" si="3224">S1977-Q1977</f>
        <v>-257</v>
      </c>
      <c r="U1977" s="59">
        <f t="shared" si="3218"/>
        <v>0</v>
      </c>
      <c r="V1977" s="66"/>
      <c r="W1977" s="66"/>
      <c r="X1977" s="110">
        <f t="shared" ref="X1977" si="3225">W1977-M1977</f>
        <v>-257</v>
      </c>
      <c r="Y1977" s="110"/>
      <c r="Z1977" s="110"/>
      <c r="AA1977" s="110"/>
      <c r="AB1977" s="46"/>
      <c r="AC1977" s="78"/>
      <c r="AD1977" s="78"/>
      <c r="AE1977" s="100">
        <f t="shared" si="3219"/>
        <v>6.1983471074380167E-2</v>
      </c>
      <c r="AF1977" s="90"/>
      <c r="AG1977" s="109">
        <f t="shared" si="3220"/>
        <v>0</v>
      </c>
      <c r="AH1977" s="100">
        <f t="shared" si="3221"/>
        <v>-1</v>
      </c>
      <c r="AI1977" s="100">
        <f t="shared" si="3222"/>
        <v>-1</v>
      </c>
    </row>
    <row r="1978" spans="1:35" s="79" customFormat="1" ht="15.75" customHeight="1" x14ac:dyDescent="0.3">
      <c r="A1978" s="90" t="s">
        <v>46</v>
      </c>
      <c r="B1978" s="136" t="s">
        <v>51</v>
      </c>
      <c r="C1978" s="137"/>
      <c r="D1978" s="136"/>
      <c r="E1978" s="138"/>
      <c r="F1978" s="91">
        <f>SUM(F1976:F1977)</f>
        <v>484</v>
      </c>
      <c r="G1978" s="91"/>
      <c r="H1978" s="91"/>
      <c r="I1978" s="91"/>
      <c r="J1978" s="91" t="s">
        <v>59</v>
      </c>
      <c r="K1978" s="65" t="s">
        <v>226</v>
      </c>
      <c r="L1978" s="91">
        <f>SUM(L1976:L1977)</f>
        <v>0</v>
      </c>
      <c r="M1978" s="91">
        <f>SUM(M1976:M1977)</f>
        <v>514</v>
      </c>
      <c r="N1978" s="91">
        <f>SUM(N1976:N1977)</f>
        <v>30</v>
      </c>
      <c r="O1978" s="91" t="s">
        <v>287</v>
      </c>
      <c r="P1978" s="91">
        <f>SUM(P1976:P1977)</f>
        <v>0</v>
      </c>
      <c r="Q1978" s="91">
        <f>SUM(Q1976:Q1977)</f>
        <v>514</v>
      </c>
      <c r="R1978" s="91">
        <f>SUM(R1976:R1977)</f>
        <v>257</v>
      </c>
      <c r="S1978" s="91">
        <f>SUM(S1976:S1977)</f>
        <v>257</v>
      </c>
      <c r="T1978" s="91">
        <f>SUM(T1976:T1977)</f>
        <v>-257</v>
      </c>
      <c r="U1978" s="59">
        <f t="shared" si="3218"/>
        <v>257</v>
      </c>
      <c r="V1978" s="91">
        <f>SUM(V1976:V1977)</f>
        <v>0</v>
      </c>
      <c r="W1978" s="91">
        <f>SUM(W1976:W1977)</f>
        <v>0</v>
      </c>
      <c r="X1978" s="91">
        <f>SUM(X1976:X1977)</f>
        <v>-514</v>
      </c>
      <c r="Y1978" s="136" t="s">
        <v>47</v>
      </c>
      <c r="Z1978" s="136" t="s">
        <v>45</v>
      </c>
      <c r="AA1978" s="136"/>
      <c r="AB1978" s="84"/>
      <c r="AC1978" s="90"/>
      <c r="AD1978" s="90"/>
      <c r="AE1978" s="100">
        <f t="shared" si="3219"/>
        <v>6.1983471074380167E-2</v>
      </c>
      <c r="AF1978" s="90"/>
      <c r="AG1978" s="109">
        <f t="shared" si="3220"/>
        <v>0</v>
      </c>
      <c r="AH1978" s="100">
        <f t="shared" si="3221"/>
        <v>-0.46900826446280991</v>
      </c>
      <c r="AI1978" s="100">
        <f t="shared" si="3222"/>
        <v>-1</v>
      </c>
    </row>
    <row r="1979" spans="1:35" s="47" customFormat="1" ht="21" customHeight="1" x14ac:dyDescent="0.3">
      <c r="A1979" s="78"/>
      <c r="B1979" s="106" t="s">
        <v>51</v>
      </c>
      <c r="C1979" s="117">
        <v>48165</v>
      </c>
      <c r="D1979" s="299">
        <v>15395288</v>
      </c>
      <c r="E1979" s="131" t="s">
        <v>0</v>
      </c>
      <c r="F1979" s="66">
        <v>956</v>
      </c>
      <c r="G1979" s="66"/>
      <c r="H1979" s="66"/>
      <c r="I1979" s="66"/>
      <c r="J1979" s="66"/>
      <c r="K1979" s="78"/>
      <c r="L1979" s="66"/>
      <c r="M1979" s="66"/>
      <c r="N1979" s="110">
        <f t="shared" ref="N1979:N1983" si="3226">M1979-F1979</f>
        <v>-956</v>
      </c>
      <c r="O1979" s="110"/>
      <c r="P1979" s="66"/>
      <c r="Q1979" s="66"/>
      <c r="R1979" s="66"/>
      <c r="S1979" s="66"/>
      <c r="T1979" s="110">
        <f>S1979-Q1979</f>
        <v>0</v>
      </c>
      <c r="U1979" s="59">
        <f t="shared" si="3218"/>
        <v>0</v>
      </c>
      <c r="V1979" s="66"/>
      <c r="W1979" s="66"/>
      <c r="X1979" s="110">
        <f>W1979-M1979</f>
        <v>0</v>
      </c>
      <c r="Y1979" s="110"/>
      <c r="Z1979" s="110"/>
      <c r="AA1979" s="110"/>
      <c r="AB1979" s="46"/>
      <c r="AC1979" s="78"/>
      <c r="AD1979" s="78"/>
      <c r="AE1979" s="100">
        <f t="shared" si="3219"/>
        <v>-1</v>
      </c>
      <c r="AF1979" s="90"/>
      <c r="AG1979" s="109">
        <f t="shared" si="3220"/>
        <v>-956</v>
      </c>
      <c r="AH1979" s="100">
        <f t="shared" si="3221"/>
        <v>-1</v>
      </c>
      <c r="AI1979" s="100">
        <f t="shared" si="3222"/>
        <v>-1</v>
      </c>
    </row>
    <row r="1980" spans="1:35" s="47" customFormat="1" ht="21" customHeight="1" x14ac:dyDescent="0.3">
      <c r="A1980" s="78"/>
      <c r="B1980" s="106" t="s">
        <v>51</v>
      </c>
      <c r="C1980" s="117">
        <v>48165</v>
      </c>
      <c r="D1980" s="300"/>
      <c r="E1980" s="131" t="s">
        <v>884</v>
      </c>
      <c r="F1980" s="66">
        <v>956</v>
      </c>
      <c r="G1980" s="66"/>
      <c r="H1980" s="66"/>
      <c r="I1980" s="66"/>
      <c r="J1980" s="66"/>
      <c r="K1980" s="78"/>
      <c r="L1980" s="66"/>
      <c r="M1980" s="66"/>
      <c r="N1980" s="110">
        <f t="shared" si="3226"/>
        <v>-956</v>
      </c>
      <c r="O1980" s="110"/>
      <c r="P1980" s="66"/>
      <c r="Q1980" s="66"/>
      <c r="R1980" s="66"/>
      <c r="S1980" s="66"/>
      <c r="T1980" s="110">
        <f t="shared" ref="T1980:T1981" si="3227">S1980-Q1980</f>
        <v>0</v>
      </c>
      <c r="U1980" s="59">
        <f t="shared" si="3218"/>
        <v>0</v>
      </c>
      <c r="V1980" s="66"/>
      <c r="W1980" s="66"/>
      <c r="X1980" s="110">
        <f t="shared" ref="X1980:X1981" si="3228">W1980-M1980</f>
        <v>0</v>
      </c>
      <c r="Y1980" s="110"/>
      <c r="Z1980" s="110"/>
      <c r="AA1980" s="110"/>
      <c r="AB1980" s="46"/>
      <c r="AC1980" s="78"/>
      <c r="AD1980" s="78"/>
      <c r="AE1980" s="100">
        <f t="shared" si="3219"/>
        <v>-1</v>
      </c>
      <c r="AF1980" s="90"/>
      <c r="AG1980" s="109">
        <f t="shared" si="3220"/>
        <v>-956</v>
      </c>
      <c r="AH1980" s="100">
        <f t="shared" si="3221"/>
        <v>-1</v>
      </c>
      <c r="AI1980" s="100">
        <f t="shared" si="3222"/>
        <v>-1</v>
      </c>
    </row>
    <row r="1981" spans="1:35" s="47" customFormat="1" ht="21" customHeight="1" x14ac:dyDescent="0.3">
      <c r="A1981" s="78"/>
      <c r="B1981" s="106" t="s">
        <v>51</v>
      </c>
      <c r="C1981" s="117">
        <v>48165</v>
      </c>
      <c r="D1981" s="300"/>
      <c r="E1981" s="131" t="s">
        <v>885</v>
      </c>
      <c r="F1981" s="66">
        <v>926</v>
      </c>
      <c r="G1981" s="66"/>
      <c r="H1981" s="66"/>
      <c r="I1981" s="66"/>
      <c r="J1981" s="66"/>
      <c r="K1981" s="78"/>
      <c r="L1981" s="66"/>
      <c r="M1981" s="66"/>
      <c r="N1981" s="110">
        <f t="shared" ref="N1981" si="3229">M1981-F1981</f>
        <v>-926</v>
      </c>
      <c r="O1981" s="110"/>
      <c r="P1981" s="66"/>
      <c r="Q1981" s="66"/>
      <c r="R1981" s="66"/>
      <c r="S1981" s="66"/>
      <c r="T1981" s="110">
        <f t="shared" si="3227"/>
        <v>0</v>
      </c>
      <c r="U1981" s="59">
        <f t="shared" ref="U1981" si="3230">IF(Q1981&gt;0,S1981-W1981,M1981-W1981)</f>
        <v>0</v>
      </c>
      <c r="V1981" s="66"/>
      <c r="W1981" s="66"/>
      <c r="X1981" s="110">
        <f t="shared" si="3228"/>
        <v>0</v>
      </c>
      <c r="Y1981" s="110"/>
      <c r="Z1981" s="110"/>
      <c r="AA1981" s="110"/>
      <c r="AB1981" s="46"/>
      <c r="AC1981" s="78"/>
      <c r="AD1981" s="78"/>
      <c r="AE1981" s="100">
        <f t="shared" ref="AE1981" si="3231">N1981/F1981</f>
        <v>-1</v>
      </c>
      <c r="AF1981" s="90"/>
      <c r="AG1981" s="109">
        <f t="shared" ref="AG1981" si="3232">IF(N1981&lt;0,N1981,0)</f>
        <v>-926</v>
      </c>
      <c r="AH1981" s="100">
        <f t="shared" ref="AH1981" si="3233">(S1981-F1981)/F1981</f>
        <v>-1</v>
      </c>
      <c r="AI1981" s="100">
        <f t="shared" ref="AI1981" si="3234">(W1981-F1981)/F1981</f>
        <v>-1</v>
      </c>
    </row>
    <row r="1982" spans="1:35" s="47" customFormat="1" ht="21" customHeight="1" x14ac:dyDescent="0.3">
      <c r="A1982" s="78"/>
      <c r="B1982" s="106" t="s">
        <v>51</v>
      </c>
      <c r="C1982" s="117">
        <v>48165</v>
      </c>
      <c r="D1982" s="300"/>
      <c r="E1982" s="131" t="s">
        <v>181</v>
      </c>
      <c r="F1982" s="66">
        <v>806</v>
      </c>
      <c r="G1982" s="66"/>
      <c r="H1982" s="66"/>
      <c r="I1982" s="66"/>
      <c r="J1982" s="66"/>
      <c r="K1982" s="78"/>
      <c r="L1982" s="66"/>
      <c r="M1982" s="66"/>
      <c r="N1982" s="110">
        <f t="shared" ref="N1982" si="3235">M1982-F1982</f>
        <v>-806</v>
      </c>
      <c r="O1982" s="110"/>
      <c r="P1982" s="66"/>
      <c r="Q1982" s="66"/>
      <c r="R1982" s="66"/>
      <c r="S1982" s="66"/>
      <c r="T1982" s="110">
        <f t="shared" ref="T1982" si="3236">S1982-Q1982</f>
        <v>0</v>
      </c>
      <c r="U1982" s="59">
        <f t="shared" ref="U1982" si="3237">IF(Q1982&gt;0,S1982-W1982,M1982-W1982)</f>
        <v>0</v>
      </c>
      <c r="V1982" s="66"/>
      <c r="W1982" s="66"/>
      <c r="X1982" s="110">
        <f t="shared" ref="X1982" si="3238">W1982-M1982</f>
        <v>0</v>
      </c>
      <c r="Y1982" s="110"/>
      <c r="Z1982" s="110"/>
      <c r="AA1982" s="110"/>
      <c r="AB1982" s="46"/>
      <c r="AC1982" s="78"/>
      <c r="AD1982" s="78"/>
      <c r="AE1982" s="100">
        <f t="shared" ref="AE1982" si="3239">N1982/F1982</f>
        <v>-1</v>
      </c>
      <c r="AF1982" s="90"/>
      <c r="AG1982" s="109">
        <f t="shared" ref="AG1982" si="3240">IF(N1982&lt;0,N1982,0)</f>
        <v>-806</v>
      </c>
      <c r="AH1982" s="100">
        <f t="shared" ref="AH1982" si="3241">(S1982-F1982)/F1982</f>
        <v>-1</v>
      </c>
      <c r="AI1982" s="100">
        <f t="shared" ref="AI1982" si="3242">(W1982-F1982)/F1982</f>
        <v>-1</v>
      </c>
    </row>
    <row r="1983" spans="1:35" s="47" customFormat="1" ht="21" customHeight="1" x14ac:dyDescent="0.3">
      <c r="A1983" s="78"/>
      <c r="B1983" s="106" t="s">
        <v>51</v>
      </c>
      <c r="C1983" s="117">
        <v>48165</v>
      </c>
      <c r="D1983" s="300"/>
      <c r="E1983" s="131" t="s">
        <v>886</v>
      </c>
      <c r="F1983" s="66">
        <v>806</v>
      </c>
      <c r="G1983" s="66"/>
      <c r="H1983" s="66"/>
      <c r="I1983" s="66"/>
      <c r="J1983" s="66"/>
      <c r="K1983" s="78"/>
      <c r="L1983" s="66"/>
      <c r="M1983" s="66"/>
      <c r="N1983" s="110">
        <f t="shared" si="3226"/>
        <v>-806</v>
      </c>
      <c r="O1983" s="110"/>
      <c r="P1983" s="66"/>
      <c r="Q1983" s="66"/>
      <c r="R1983" s="66"/>
      <c r="S1983" s="66"/>
      <c r="T1983" s="110">
        <f t="shared" ref="T1983" si="3243">S1983-Q1983</f>
        <v>0</v>
      </c>
      <c r="U1983" s="59">
        <f t="shared" si="3218"/>
        <v>0</v>
      </c>
      <c r="V1983" s="66"/>
      <c r="W1983" s="66"/>
      <c r="X1983" s="110">
        <f t="shared" ref="X1983" si="3244">W1983-M1983</f>
        <v>0</v>
      </c>
      <c r="Y1983" s="110"/>
      <c r="Z1983" s="110"/>
      <c r="AA1983" s="110"/>
      <c r="AB1983" s="46"/>
      <c r="AC1983" s="78"/>
      <c r="AD1983" s="78"/>
      <c r="AE1983" s="100">
        <f t="shared" si="3219"/>
        <v>-1</v>
      </c>
      <c r="AF1983" s="90"/>
      <c r="AG1983" s="109">
        <f t="shared" si="3220"/>
        <v>-806</v>
      </c>
      <c r="AH1983" s="100">
        <f t="shared" si="3221"/>
        <v>-1</v>
      </c>
      <c r="AI1983" s="100">
        <f t="shared" si="3222"/>
        <v>-1</v>
      </c>
    </row>
    <row r="1984" spans="1:35" s="79" customFormat="1" ht="15.75" customHeight="1" x14ac:dyDescent="0.3">
      <c r="A1984" s="90" t="s">
        <v>46</v>
      </c>
      <c r="B1984" s="136" t="s">
        <v>51</v>
      </c>
      <c r="C1984" s="137"/>
      <c r="D1984" s="136"/>
      <c r="E1984" s="138"/>
      <c r="F1984" s="91">
        <f>SUM(F1979:F1983)</f>
        <v>4450</v>
      </c>
      <c r="G1984" s="91"/>
      <c r="H1984" s="91"/>
      <c r="I1984" s="91"/>
      <c r="J1984" s="91" t="s">
        <v>59</v>
      </c>
      <c r="K1984" s="65" t="s">
        <v>410</v>
      </c>
      <c r="L1984" s="91">
        <f>SUM(L1979:L1983)</f>
        <v>0</v>
      </c>
      <c r="M1984" s="91">
        <f>SUM(M1979:M1983)</f>
        <v>0</v>
      </c>
      <c r="N1984" s="91">
        <f>SUM(N1979:N1983)</f>
        <v>-4450</v>
      </c>
      <c r="O1984" s="91"/>
      <c r="P1984" s="91">
        <f>SUM(P1979:P1983)</f>
        <v>0</v>
      </c>
      <c r="Q1984" s="91">
        <f>SUM(Q1979:Q1983)</f>
        <v>0</v>
      </c>
      <c r="R1984" s="91">
        <f>SUM(R1979:R1983)</f>
        <v>0</v>
      </c>
      <c r="S1984" s="91">
        <f>SUM(S1979:S1983)</f>
        <v>0</v>
      </c>
      <c r="T1984" s="91">
        <f>SUM(T1979:T1983)</f>
        <v>0</v>
      </c>
      <c r="U1984" s="59">
        <f t="shared" si="3218"/>
        <v>0</v>
      </c>
      <c r="V1984" s="91">
        <f>SUM(V1979:V1983)</f>
        <v>0</v>
      </c>
      <c r="W1984" s="91">
        <f>SUM(W1979:W1983)</f>
        <v>0</v>
      </c>
      <c r="X1984" s="91">
        <f>SUM(X1979:X1983)</f>
        <v>0</v>
      </c>
      <c r="Y1984" s="136"/>
      <c r="Z1984" s="136"/>
      <c r="AA1984" s="136"/>
      <c r="AB1984" s="84"/>
      <c r="AC1984" s="90"/>
      <c r="AD1984" s="90"/>
      <c r="AE1984" s="100">
        <f t="shared" si="3219"/>
        <v>-1</v>
      </c>
      <c r="AF1984" s="90"/>
      <c r="AG1984" s="109">
        <f t="shared" si="3220"/>
        <v>-4450</v>
      </c>
      <c r="AH1984" s="100">
        <f t="shared" si="3221"/>
        <v>-1</v>
      </c>
      <c r="AI1984" s="100">
        <f t="shared" si="3222"/>
        <v>-1</v>
      </c>
    </row>
    <row r="1985" spans="1:35" s="47" customFormat="1" ht="21" customHeight="1" x14ac:dyDescent="0.3">
      <c r="A1985" s="78"/>
      <c r="B1985" s="106" t="s">
        <v>51</v>
      </c>
      <c r="C1985" s="117">
        <v>47762</v>
      </c>
      <c r="D1985" s="299">
        <v>15387324</v>
      </c>
      <c r="E1985" s="131" t="s">
        <v>56</v>
      </c>
      <c r="F1985" s="66">
        <v>828</v>
      </c>
      <c r="G1985" s="66"/>
      <c r="H1985" s="66"/>
      <c r="I1985" s="66"/>
      <c r="J1985" s="66"/>
      <c r="K1985" s="78"/>
      <c r="L1985" s="66"/>
      <c r="M1985" s="66">
        <v>856</v>
      </c>
      <c r="N1985" s="110">
        <f t="shared" ref="N1985:N1986" si="3245">M1985-F1985</f>
        <v>28</v>
      </c>
      <c r="O1985" s="110"/>
      <c r="P1985" s="66"/>
      <c r="Q1985" s="66"/>
      <c r="R1985" s="66"/>
      <c r="S1985" s="66"/>
      <c r="T1985" s="110">
        <f>S1985-Q1985</f>
        <v>0</v>
      </c>
      <c r="U1985" s="59">
        <f t="shared" si="3218"/>
        <v>3</v>
      </c>
      <c r="V1985" s="66"/>
      <c r="W1985" s="66">
        <v>853</v>
      </c>
      <c r="X1985" s="110">
        <f>W1985-M1985</f>
        <v>-3</v>
      </c>
      <c r="Y1985" s="110"/>
      <c r="Z1985" s="110"/>
      <c r="AA1985" s="110"/>
      <c r="AB1985" s="46"/>
      <c r="AC1985" s="78"/>
      <c r="AD1985" s="78"/>
      <c r="AE1985" s="100">
        <f t="shared" si="3219"/>
        <v>3.3816425120772944E-2</v>
      </c>
      <c r="AF1985" s="90"/>
      <c r="AG1985" s="109">
        <f t="shared" si="3220"/>
        <v>0</v>
      </c>
      <c r="AH1985" s="100">
        <f t="shared" si="3221"/>
        <v>-1</v>
      </c>
      <c r="AI1985" s="100">
        <f t="shared" si="3222"/>
        <v>3.0193236714975844E-2</v>
      </c>
    </row>
    <row r="1986" spans="1:35" s="47" customFormat="1" ht="21" customHeight="1" x14ac:dyDescent="0.3">
      <c r="A1986" s="78"/>
      <c r="B1986" s="106" t="s">
        <v>51</v>
      </c>
      <c r="C1986" s="117">
        <v>47762</v>
      </c>
      <c r="D1986" s="300"/>
      <c r="E1986" s="131" t="s">
        <v>237</v>
      </c>
      <c r="F1986" s="66">
        <v>828</v>
      </c>
      <c r="G1986" s="66"/>
      <c r="H1986" s="66"/>
      <c r="I1986" s="66"/>
      <c r="J1986" s="66"/>
      <c r="K1986" s="78"/>
      <c r="L1986" s="66"/>
      <c r="M1986" s="66">
        <v>856</v>
      </c>
      <c r="N1986" s="110">
        <f t="shared" si="3245"/>
        <v>28</v>
      </c>
      <c r="O1986" s="110"/>
      <c r="P1986" s="66"/>
      <c r="Q1986" s="66"/>
      <c r="R1986" s="66"/>
      <c r="S1986" s="66"/>
      <c r="T1986" s="110">
        <f t="shared" ref="T1986" si="3246">S1986-Q1986</f>
        <v>0</v>
      </c>
      <c r="U1986" s="59">
        <f t="shared" si="3218"/>
        <v>12</v>
      </c>
      <c r="V1986" s="66"/>
      <c r="W1986" s="66">
        <v>844</v>
      </c>
      <c r="X1986" s="110">
        <f t="shared" ref="X1986" si="3247">W1986-M1986</f>
        <v>-12</v>
      </c>
      <c r="Y1986" s="110"/>
      <c r="Z1986" s="110"/>
      <c r="AA1986" s="110"/>
      <c r="AB1986" s="46"/>
      <c r="AC1986" s="78"/>
      <c r="AD1986" s="78"/>
      <c r="AE1986" s="100">
        <f t="shared" si="3219"/>
        <v>3.3816425120772944E-2</v>
      </c>
      <c r="AF1986" s="90"/>
      <c r="AG1986" s="109">
        <f t="shared" si="3220"/>
        <v>0</v>
      </c>
      <c r="AH1986" s="100">
        <f t="shared" si="3221"/>
        <v>-1</v>
      </c>
      <c r="AI1986" s="100">
        <f t="shared" si="3222"/>
        <v>1.932367149758454E-2</v>
      </c>
    </row>
    <row r="1987" spans="1:35" s="79" customFormat="1" ht="15.75" customHeight="1" x14ac:dyDescent="0.3">
      <c r="A1987" s="90" t="s">
        <v>46</v>
      </c>
      <c r="B1987" s="136" t="s">
        <v>51</v>
      </c>
      <c r="C1987" s="137"/>
      <c r="D1987" s="136"/>
      <c r="E1987" s="138"/>
      <c r="F1987" s="91">
        <f>SUM(F1985:F1986)</f>
        <v>1656</v>
      </c>
      <c r="G1987" s="91"/>
      <c r="H1987" s="91"/>
      <c r="I1987" s="91"/>
      <c r="J1987" s="91" t="s">
        <v>59</v>
      </c>
      <c r="K1987" s="65" t="s">
        <v>210</v>
      </c>
      <c r="L1987" s="91">
        <f>SUM(L1985:L1986)</f>
        <v>0</v>
      </c>
      <c r="M1987" s="91">
        <f>SUM(M1985:M1986)</f>
        <v>1712</v>
      </c>
      <c r="N1987" s="91">
        <f>SUM(N1985:N1986)</f>
        <v>56</v>
      </c>
      <c r="O1987" s="91"/>
      <c r="P1987" s="91">
        <f>SUM(P1985:P1986)</f>
        <v>0</v>
      </c>
      <c r="Q1987" s="91">
        <f>SUM(Q1985:Q1986)</f>
        <v>0</v>
      </c>
      <c r="R1987" s="91">
        <f>SUM(R1985:R1986)</f>
        <v>0</v>
      </c>
      <c r="S1987" s="91">
        <f>SUM(S1985:S1986)</f>
        <v>0</v>
      </c>
      <c r="T1987" s="91">
        <f>SUM(T1985:T1986)</f>
        <v>0</v>
      </c>
      <c r="U1987" s="59">
        <f t="shared" si="3218"/>
        <v>15</v>
      </c>
      <c r="V1987" s="91">
        <f>SUM(V1985:V1986)</f>
        <v>0</v>
      </c>
      <c r="W1987" s="91">
        <f>SUM(W1985:W1986)</f>
        <v>1697</v>
      </c>
      <c r="X1987" s="91">
        <f>SUM(X1985:X1986)</f>
        <v>-15</v>
      </c>
      <c r="Y1987" s="136"/>
      <c r="Z1987" s="136"/>
      <c r="AA1987" s="136"/>
      <c r="AB1987" s="84"/>
      <c r="AC1987" s="90"/>
      <c r="AD1987" s="90"/>
      <c r="AE1987" s="100">
        <f t="shared" si="3219"/>
        <v>3.3816425120772944E-2</v>
      </c>
      <c r="AF1987" s="90"/>
      <c r="AG1987" s="109">
        <f t="shared" si="3220"/>
        <v>0</v>
      </c>
      <c r="AH1987" s="100">
        <f t="shared" si="3221"/>
        <v>-1</v>
      </c>
      <c r="AI1987" s="100">
        <f t="shared" si="3222"/>
        <v>2.4758454106280192E-2</v>
      </c>
    </row>
    <row r="1988" spans="1:35" s="47" customFormat="1" ht="21" customHeight="1" x14ac:dyDescent="0.3">
      <c r="A1988" s="78"/>
      <c r="B1988" s="106" t="s">
        <v>51</v>
      </c>
      <c r="C1988" s="117">
        <v>48617</v>
      </c>
      <c r="D1988" s="299">
        <v>15390892</v>
      </c>
      <c r="E1988" s="131" t="s">
        <v>888</v>
      </c>
      <c r="F1988" s="66">
        <v>831</v>
      </c>
      <c r="G1988" s="66"/>
      <c r="H1988" s="66"/>
      <c r="I1988" s="66"/>
      <c r="J1988" s="66"/>
      <c r="K1988" s="78"/>
      <c r="L1988" s="66"/>
      <c r="M1988" s="66"/>
      <c r="N1988" s="110">
        <f t="shared" ref="N1988:N1996" si="3248">M1988-F1988</f>
        <v>-831</v>
      </c>
      <c r="O1988" s="110"/>
      <c r="P1988" s="66"/>
      <c r="Q1988" s="66"/>
      <c r="R1988" s="66"/>
      <c r="S1988" s="66"/>
      <c r="T1988" s="110">
        <f>S1988-Q1988</f>
        <v>0</v>
      </c>
      <c r="U1988" s="59">
        <f t="shared" si="3073"/>
        <v>0</v>
      </c>
      <c r="V1988" s="66"/>
      <c r="W1988" s="66"/>
      <c r="X1988" s="110">
        <f>W1988-M1988</f>
        <v>0</v>
      </c>
      <c r="Y1988" s="110"/>
      <c r="Z1988" s="110"/>
      <c r="AA1988" s="110"/>
      <c r="AB1988" s="46"/>
      <c r="AC1988" s="78"/>
      <c r="AD1988" s="78"/>
      <c r="AE1988" s="100">
        <f t="shared" si="3074"/>
        <v>-1</v>
      </c>
      <c r="AF1988" s="90"/>
      <c r="AG1988" s="109">
        <f t="shared" si="3075"/>
        <v>-831</v>
      </c>
      <c r="AH1988" s="100">
        <f t="shared" si="3076"/>
        <v>-1</v>
      </c>
      <c r="AI1988" s="100">
        <f t="shared" si="3077"/>
        <v>-1</v>
      </c>
    </row>
    <row r="1989" spans="1:35" s="47" customFormat="1" ht="21" customHeight="1" x14ac:dyDescent="0.3">
      <c r="A1989" s="78"/>
      <c r="B1989" s="106" t="s">
        <v>51</v>
      </c>
      <c r="C1989" s="117">
        <v>48617</v>
      </c>
      <c r="D1989" s="300"/>
      <c r="E1989" s="131" t="s">
        <v>161</v>
      </c>
      <c r="F1989" s="66">
        <v>843</v>
      </c>
      <c r="G1989" s="66"/>
      <c r="H1989" s="66"/>
      <c r="I1989" s="66"/>
      <c r="J1989" s="66"/>
      <c r="K1989" s="78"/>
      <c r="L1989" s="66"/>
      <c r="M1989" s="66"/>
      <c r="N1989" s="110">
        <f t="shared" ref="N1989:N1992" si="3249">M1989-F1989</f>
        <v>-843</v>
      </c>
      <c r="O1989" s="110"/>
      <c r="P1989" s="66"/>
      <c r="Q1989" s="66"/>
      <c r="R1989" s="66"/>
      <c r="S1989" s="66"/>
      <c r="T1989" s="110">
        <f t="shared" ref="T1989:T1992" si="3250">S1989-Q1989</f>
        <v>0</v>
      </c>
      <c r="U1989" s="59">
        <f t="shared" ref="U1989:U1992" si="3251">IF(Q1989&gt;0,S1989-W1989,M1989-W1989)</f>
        <v>0</v>
      </c>
      <c r="V1989" s="66"/>
      <c r="W1989" s="66"/>
      <c r="X1989" s="110">
        <f t="shared" ref="X1989:X1992" si="3252">W1989-M1989</f>
        <v>0</v>
      </c>
      <c r="Y1989" s="110"/>
      <c r="Z1989" s="110"/>
      <c r="AA1989" s="110"/>
      <c r="AB1989" s="46"/>
      <c r="AC1989" s="78"/>
      <c r="AD1989" s="78"/>
      <c r="AE1989" s="100">
        <f t="shared" ref="AE1989:AE1992" si="3253">N1989/F1989</f>
        <v>-1</v>
      </c>
      <c r="AF1989" s="90"/>
      <c r="AG1989" s="109">
        <f t="shared" ref="AG1989:AG1992" si="3254">IF(N1989&lt;0,N1989,0)</f>
        <v>-843</v>
      </c>
      <c r="AH1989" s="100">
        <f t="shared" ref="AH1989:AH1992" si="3255">(S1989-F1989)/F1989</f>
        <v>-1</v>
      </c>
      <c r="AI1989" s="100">
        <f t="shared" ref="AI1989:AI1992" si="3256">(W1989-F1989)/F1989</f>
        <v>-1</v>
      </c>
    </row>
    <row r="1990" spans="1:35" s="47" customFormat="1" ht="21" customHeight="1" x14ac:dyDescent="0.3">
      <c r="A1990" s="78"/>
      <c r="B1990" s="106" t="s">
        <v>51</v>
      </c>
      <c r="C1990" s="117">
        <v>48617</v>
      </c>
      <c r="D1990" s="300"/>
      <c r="E1990" s="131" t="s">
        <v>889</v>
      </c>
      <c r="F1990" s="66">
        <v>1653</v>
      </c>
      <c r="G1990" s="66"/>
      <c r="H1990" s="66"/>
      <c r="I1990" s="66"/>
      <c r="J1990" s="66"/>
      <c r="K1990" s="78"/>
      <c r="L1990" s="66"/>
      <c r="M1990" s="66"/>
      <c r="N1990" s="110">
        <f t="shared" si="3249"/>
        <v>-1653</v>
      </c>
      <c r="O1990" s="110"/>
      <c r="P1990" s="66"/>
      <c r="Q1990" s="66"/>
      <c r="R1990" s="66"/>
      <c r="S1990" s="66"/>
      <c r="T1990" s="110">
        <f t="shared" si="3250"/>
        <v>0</v>
      </c>
      <c r="U1990" s="59">
        <f t="shared" si="3251"/>
        <v>0</v>
      </c>
      <c r="V1990" s="66"/>
      <c r="W1990" s="66"/>
      <c r="X1990" s="110">
        <f t="shared" si="3252"/>
        <v>0</v>
      </c>
      <c r="Y1990" s="110"/>
      <c r="Z1990" s="110"/>
      <c r="AA1990" s="110"/>
      <c r="AB1990" s="46"/>
      <c r="AC1990" s="78"/>
      <c r="AD1990" s="78"/>
      <c r="AE1990" s="100">
        <f t="shared" si="3253"/>
        <v>-1</v>
      </c>
      <c r="AF1990" s="90"/>
      <c r="AG1990" s="109">
        <f t="shared" si="3254"/>
        <v>-1653</v>
      </c>
      <c r="AH1990" s="100">
        <f t="shared" si="3255"/>
        <v>-1</v>
      </c>
      <c r="AI1990" s="100">
        <f t="shared" si="3256"/>
        <v>-1</v>
      </c>
    </row>
    <row r="1991" spans="1:35" s="47" customFormat="1" ht="21" customHeight="1" x14ac:dyDescent="0.3">
      <c r="A1991" s="78"/>
      <c r="B1991" s="106" t="s">
        <v>51</v>
      </c>
      <c r="C1991" s="117">
        <v>48617</v>
      </c>
      <c r="D1991" s="300"/>
      <c r="E1991" s="131" t="s">
        <v>41</v>
      </c>
      <c r="F1991" s="66">
        <v>1407</v>
      </c>
      <c r="G1991" s="66"/>
      <c r="H1991" s="66"/>
      <c r="I1991" s="66"/>
      <c r="J1991" s="66"/>
      <c r="K1991" s="78"/>
      <c r="L1991" s="66"/>
      <c r="M1991" s="66"/>
      <c r="N1991" s="110">
        <f t="shared" si="3249"/>
        <v>-1407</v>
      </c>
      <c r="O1991" s="110"/>
      <c r="P1991" s="66"/>
      <c r="Q1991" s="66"/>
      <c r="R1991" s="66"/>
      <c r="S1991" s="66"/>
      <c r="T1991" s="110">
        <f t="shared" si="3250"/>
        <v>0</v>
      </c>
      <c r="U1991" s="59">
        <f t="shared" si="3251"/>
        <v>0</v>
      </c>
      <c r="V1991" s="66"/>
      <c r="W1991" s="66"/>
      <c r="X1991" s="110">
        <f t="shared" si="3252"/>
        <v>0</v>
      </c>
      <c r="Y1991" s="110"/>
      <c r="Z1991" s="110"/>
      <c r="AA1991" s="110"/>
      <c r="AB1991" s="46"/>
      <c r="AC1991" s="78"/>
      <c r="AD1991" s="78"/>
      <c r="AE1991" s="100">
        <f t="shared" si="3253"/>
        <v>-1</v>
      </c>
      <c r="AF1991" s="90"/>
      <c r="AG1991" s="109">
        <f t="shared" si="3254"/>
        <v>-1407</v>
      </c>
      <c r="AH1991" s="100">
        <f t="shared" si="3255"/>
        <v>-1</v>
      </c>
      <c r="AI1991" s="100">
        <f t="shared" si="3256"/>
        <v>-1</v>
      </c>
    </row>
    <row r="1992" spans="1:35" s="47" customFormat="1" ht="21" customHeight="1" x14ac:dyDescent="0.3">
      <c r="A1992" s="78"/>
      <c r="B1992" s="106" t="s">
        <v>51</v>
      </c>
      <c r="C1992" s="117">
        <v>48617</v>
      </c>
      <c r="D1992" s="300"/>
      <c r="E1992" s="131" t="s">
        <v>292</v>
      </c>
      <c r="F1992" s="66">
        <v>1875</v>
      </c>
      <c r="G1992" s="66"/>
      <c r="H1992" s="66"/>
      <c r="I1992" s="66"/>
      <c r="J1992" s="66"/>
      <c r="K1992" s="78"/>
      <c r="L1992" s="66"/>
      <c r="M1992" s="66"/>
      <c r="N1992" s="110">
        <f t="shared" si="3249"/>
        <v>-1875</v>
      </c>
      <c r="O1992" s="110"/>
      <c r="P1992" s="66"/>
      <c r="Q1992" s="66"/>
      <c r="R1992" s="66"/>
      <c r="S1992" s="66"/>
      <c r="T1992" s="110">
        <f t="shared" si="3250"/>
        <v>0</v>
      </c>
      <c r="U1992" s="59">
        <f t="shared" si="3251"/>
        <v>0</v>
      </c>
      <c r="V1992" s="66"/>
      <c r="W1992" s="66"/>
      <c r="X1992" s="110">
        <f t="shared" si="3252"/>
        <v>0</v>
      </c>
      <c r="Y1992" s="110"/>
      <c r="Z1992" s="110"/>
      <c r="AA1992" s="110"/>
      <c r="AB1992" s="46"/>
      <c r="AC1992" s="78"/>
      <c r="AD1992" s="78"/>
      <c r="AE1992" s="100">
        <f t="shared" si="3253"/>
        <v>-1</v>
      </c>
      <c r="AF1992" s="90"/>
      <c r="AG1992" s="109">
        <f t="shared" si="3254"/>
        <v>-1875</v>
      </c>
      <c r="AH1992" s="100">
        <f t="shared" si="3255"/>
        <v>-1</v>
      </c>
      <c r="AI1992" s="100">
        <f t="shared" si="3256"/>
        <v>-1</v>
      </c>
    </row>
    <row r="1993" spans="1:35" s="47" customFormat="1" ht="21" customHeight="1" x14ac:dyDescent="0.3">
      <c r="A1993" s="78"/>
      <c r="B1993" s="106" t="s">
        <v>51</v>
      </c>
      <c r="C1993" s="117">
        <v>48617</v>
      </c>
      <c r="D1993" s="300"/>
      <c r="E1993" s="131" t="s">
        <v>890</v>
      </c>
      <c r="F1993" s="66">
        <v>1431</v>
      </c>
      <c r="G1993" s="66"/>
      <c r="H1993" s="66"/>
      <c r="I1993" s="66"/>
      <c r="J1993" s="66"/>
      <c r="K1993" s="78"/>
      <c r="L1993" s="66"/>
      <c r="M1993" s="66"/>
      <c r="N1993" s="110">
        <f t="shared" si="3248"/>
        <v>-1431</v>
      </c>
      <c r="O1993" s="110"/>
      <c r="P1993" s="66"/>
      <c r="Q1993" s="66"/>
      <c r="R1993" s="66"/>
      <c r="S1993" s="66"/>
      <c r="T1993" s="110">
        <f t="shared" ref="T1993:T1994" si="3257">S1993-Q1993</f>
        <v>0</v>
      </c>
      <c r="U1993" s="59">
        <f t="shared" si="3073"/>
        <v>0</v>
      </c>
      <c r="V1993" s="66"/>
      <c r="W1993" s="66"/>
      <c r="X1993" s="110">
        <f t="shared" ref="X1993:X1994" si="3258">W1993-M1993</f>
        <v>0</v>
      </c>
      <c r="Y1993" s="110"/>
      <c r="Z1993" s="110"/>
      <c r="AA1993" s="110"/>
      <c r="AB1993" s="46"/>
      <c r="AC1993" s="78"/>
      <c r="AD1993" s="78"/>
      <c r="AE1993" s="100">
        <f t="shared" si="3074"/>
        <v>-1</v>
      </c>
      <c r="AF1993" s="90"/>
      <c r="AG1993" s="109">
        <f t="shared" si="3075"/>
        <v>-1431</v>
      </c>
      <c r="AH1993" s="100">
        <f t="shared" si="3076"/>
        <v>-1</v>
      </c>
      <c r="AI1993" s="100">
        <f t="shared" si="3077"/>
        <v>-1</v>
      </c>
    </row>
    <row r="1994" spans="1:35" s="47" customFormat="1" ht="21" customHeight="1" x14ac:dyDescent="0.3">
      <c r="A1994" s="78"/>
      <c r="B1994" s="106" t="s">
        <v>51</v>
      </c>
      <c r="C1994" s="117">
        <v>48617</v>
      </c>
      <c r="D1994" s="300"/>
      <c r="E1994" s="131" t="s">
        <v>0</v>
      </c>
      <c r="F1994" s="66">
        <v>400</v>
      </c>
      <c r="G1994" s="66"/>
      <c r="H1994" s="66"/>
      <c r="I1994" s="66"/>
      <c r="J1994" s="66"/>
      <c r="K1994" s="78"/>
      <c r="L1994" s="66"/>
      <c r="M1994" s="66"/>
      <c r="N1994" s="110">
        <f t="shared" ref="N1994" si="3259">M1994-F1994</f>
        <v>-400</v>
      </c>
      <c r="O1994" s="110"/>
      <c r="P1994" s="66"/>
      <c r="Q1994" s="66"/>
      <c r="R1994" s="66"/>
      <c r="S1994" s="66"/>
      <c r="T1994" s="110">
        <f t="shared" si="3257"/>
        <v>0</v>
      </c>
      <c r="U1994" s="59">
        <f t="shared" ref="U1994" si="3260">IF(Q1994&gt;0,S1994-W1994,M1994-W1994)</f>
        <v>0</v>
      </c>
      <c r="V1994" s="66"/>
      <c r="W1994" s="66"/>
      <c r="X1994" s="110">
        <f t="shared" si="3258"/>
        <v>0</v>
      </c>
      <c r="Y1994" s="110"/>
      <c r="Z1994" s="110"/>
      <c r="AA1994" s="110"/>
      <c r="AB1994" s="46"/>
      <c r="AC1994" s="78"/>
      <c r="AD1994" s="78"/>
      <c r="AE1994" s="100">
        <f t="shared" ref="AE1994" si="3261">N1994/F1994</f>
        <v>-1</v>
      </c>
      <c r="AF1994" s="90"/>
      <c r="AG1994" s="109">
        <f t="shared" ref="AG1994" si="3262">IF(N1994&lt;0,N1994,0)</f>
        <v>-400</v>
      </c>
      <c r="AH1994" s="100">
        <f t="shared" ref="AH1994" si="3263">(S1994-F1994)/F1994</f>
        <v>-1</v>
      </c>
      <c r="AI1994" s="100">
        <f t="shared" ref="AI1994" si="3264">(W1994-F1994)/F1994</f>
        <v>-1</v>
      </c>
    </row>
    <row r="1995" spans="1:35" s="47" customFormat="1" ht="21" customHeight="1" x14ac:dyDescent="0.3">
      <c r="A1995" s="78"/>
      <c r="B1995" s="106" t="s">
        <v>51</v>
      </c>
      <c r="C1995" s="117">
        <v>48617</v>
      </c>
      <c r="D1995" s="300"/>
      <c r="E1995" s="131" t="s">
        <v>39</v>
      </c>
      <c r="F1995" s="66">
        <v>1743</v>
      </c>
      <c r="G1995" s="66"/>
      <c r="H1995" s="66"/>
      <c r="I1995" s="66"/>
      <c r="J1995" s="66"/>
      <c r="K1995" s="78"/>
      <c r="L1995" s="66"/>
      <c r="M1995" s="66"/>
      <c r="N1995" s="110">
        <f t="shared" ref="N1995" si="3265">M1995-F1995</f>
        <v>-1743</v>
      </c>
      <c r="O1995" s="110"/>
      <c r="P1995" s="66"/>
      <c r="Q1995" s="66"/>
      <c r="R1995" s="66"/>
      <c r="S1995" s="66"/>
      <c r="T1995" s="110">
        <f t="shared" ref="T1995" si="3266">S1995-Q1995</f>
        <v>0</v>
      </c>
      <c r="U1995" s="59">
        <f t="shared" ref="U1995" si="3267">IF(Q1995&gt;0,S1995-W1995,M1995-W1995)</f>
        <v>0</v>
      </c>
      <c r="V1995" s="66"/>
      <c r="W1995" s="66"/>
      <c r="X1995" s="110">
        <f t="shared" ref="X1995" si="3268">W1995-M1995</f>
        <v>0</v>
      </c>
      <c r="Y1995" s="110"/>
      <c r="Z1995" s="110"/>
      <c r="AA1995" s="110"/>
      <c r="AB1995" s="46"/>
      <c r="AC1995" s="78"/>
      <c r="AD1995" s="78"/>
      <c r="AE1995" s="100">
        <f t="shared" ref="AE1995" si="3269">N1995/F1995</f>
        <v>-1</v>
      </c>
      <c r="AF1995" s="90"/>
      <c r="AG1995" s="109">
        <f t="shared" ref="AG1995" si="3270">IF(N1995&lt;0,N1995,0)</f>
        <v>-1743</v>
      </c>
      <c r="AH1995" s="100">
        <f t="shared" ref="AH1995" si="3271">(S1995-F1995)/F1995</f>
        <v>-1</v>
      </c>
      <c r="AI1995" s="100">
        <f t="shared" ref="AI1995" si="3272">(W1995-F1995)/F1995</f>
        <v>-1</v>
      </c>
    </row>
    <row r="1996" spans="1:35" s="47" customFormat="1" ht="21" customHeight="1" x14ac:dyDescent="0.3">
      <c r="A1996" s="78"/>
      <c r="B1996" s="106" t="s">
        <v>51</v>
      </c>
      <c r="C1996" s="117">
        <v>48617</v>
      </c>
      <c r="D1996" s="300"/>
      <c r="E1996" s="131" t="s">
        <v>891</v>
      </c>
      <c r="F1996" s="66">
        <v>1757</v>
      </c>
      <c r="G1996" s="66"/>
      <c r="H1996" s="66"/>
      <c r="I1996" s="66"/>
      <c r="J1996" s="66"/>
      <c r="K1996" s="78"/>
      <c r="L1996" s="66"/>
      <c r="M1996" s="66"/>
      <c r="N1996" s="110">
        <f t="shared" si="3248"/>
        <v>-1757</v>
      </c>
      <c r="O1996" s="110"/>
      <c r="P1996" s="66"/>
      <c r="Q1996" s="66"/>
      <c r="R1996" s="66"/>
      <c r="S1996" s="66"/>
      <c r="T1996" s="110">
        <f t="shared" ref="T1996" si="3273">S1996-Q1996</f>
        <v>0</v>
      </c>
      <c r="U1996" s="59">
        <f t="shared" si="3073"/>
        <v>0</v>
      </c>
      <c r="V1996" s="66"/>
      <c r="W1996" s="66"/>
      <c r="X1996" s="110">
        <f t="shared" ref="X1996" si="3274">W1996-M1996</f>
        <v>0</v>
      </c>
      <c r="Y1996" s="110"/>
      <c r="Z1996" s="110"/>
      <c r="AA1996" s="110"/>
      <c r="AB1996" s="46"/>
      <c r="AC1996" s="78"/>
      <c r="AD1996" s="78"/>
      <c r="AE1996" s="100">
        <f t="shared" si="3074"/>
        <v>-1</v>
      </c>
      <c r="AF1996" s="90"/>
      <c r="AG1996" s="109">
        <f t="shared" si="3075"/>
        <v>-1757</v>
      </c>
      <c r="AH1996" s="100">
        <f t="shared" si="3076"/>
        <v>-1</v>
      </c>
      <c r="AI1996" s="100">
        <f t="shared" si="3077"/>
        <v>-1</v>
      </c>
    </row>
    <row r="1997" spans="1:35" s="79" customFormat="1" ht="15.75" customHeight="1" x14ac:dyDescent="0.3">
      <c r="A1997" s="90" t="s">
        <v>46</v>
      </c>
      <c r="B1997" s="136" t="s">
        <v>51</v>
      </c>
      <c r="C1997" s="137"/>
      <c r="D1997" s="136"/>
      <c r="E1997" s="138"/>
      <c r="F1997" s="91">
        <f>SUM(F1988:F1996)</f>
        <v>11940</v>
      </c>
      <c r="G1997" s="91"/>
      <c r="H1997" s="91"/>
      <c r="I1997" s="91"/>
      <c r="J1997" s="91" t="s">
        <v>59</v>
      </c>
      <c r="K1997" s="65" t="s">
        <v>617</v>
      </c>
      <c r="L1997" s="91">
        <f>SUM(L1988:L1996)</f>
        <v>0</v>
      </c>
      <c r="M1997" s="91">
        <f>SUM(M1988:M1996)</f>
        <v>0</v>
      </c>
      <c r="N1997" s="91">
        <f>SUM(N1988:N1996)</f>
        <v>-11940</v>
      </c>
      <c r="O1997" s="91"/>
      <c r="P1997" s="91">
        <f>SUM(P1988:P1996)</f>
        <v>0</v>
      </c>
      <c r="Q1997" s="91">
        <f>SUM(Q1988:Q1996)</f>
        <v>0</v>
      </c>
      <c r="R1997" s="91">
        <f>SUM(R1988:R1996)</f>
        <v>0</v>
      </c>
      <c r="S1997" s="91">
        <f>SUM(S1988:S1996)</f>
        <v>0</v>
      </c>
      <c r="T1997" s="91">
        <f>SUM(T1988:T1996)</f>
        <v>0</v>
      </c>
      <c r="U1997" s="59">
        <f t="shared" si="3073"/>
        <v>0</v>
      </c>
      <c r="V1997" s="91">
        <f>SUM(V1988:V1996)</f>
        <v>0</v>
      </c>
      <c r="W1997" s="91">
        <f>SUM(W1988:W1996)</f>
        <v>0</v>
      </c>
      <c r="X1997" s="91">
        <f>SUM(X1988:X1996)</f>
        <v>0</v>
      </c>
      <c r="Y1997" s="136" t="s">
        <v>47</v>
      </c>
      <c r="Z1997" s="136" t="s">
        <v>45</v>
      </c>
      <c r="AA1997" s="136"/>
      <c r="AB1997" s="84"/>
      <c r="AC1997" s="90"/>
      <c r="AD1997" s="90"/>
      <c r="AE1997" s="100">
        <f t="shared" si="3074"/>
        <v>-1</v>
      </c>
      <c r="AF1997" s="90"/>
      <c r="AG1997" s="109">
        <f t="shared" si="3075"/>
        <v>-11940</v>
      </c>
      <c r="AH1997" s="100">
        <f t="shared" si="3076"/>
        <v>-1</v>
      </c>
      <c r="AI1997" s="100">
        <f t="shared" si="3077"/>
        <v>-1</v>
      </c>
    </row>
    <row r="1998" spans="1:35" s="47" customFormat="1" ht="21" customHeight="1" x14ac:dyDescent="0.3">
      <c r="A1998" s="78"/>
      <c r="B1998" s="106" t="s">
        <v>51</v>
      </c>
      <c r="C1998" s="117" t="s">
        <v>841</v>
      </c>
      <c r="D1998" s="299">
        <v>15060061</v>
      </c>
      <c r="E1998" s="131" t="s">
        <v>0</v>
      </c>
      <c r="F1998" s="66">
        <v>11550</v>
      </c>
      <c r="G1998" s="66"/>
      <c r="H1998" s="66"/>
      <c r="I1998" s="66"/>
      <c r="J1998" s="66"/>
      <c r="K1998" s="78"/>
      <c r="L1998" s="66"/>
      <c r="M1998" s="66"/>
      <c r="N1998" s="110">
        <f t="shared" ref="N1998:N1999" si="3275">M1998-F1998</f>
        <v>-11550</v>
      </c>
      <c r="O1998" s="110"/>
      <c r="P1998" s="66"/>
      <c r="Q1998" s="66"/>
      <c r="R1998" s="66"/>
      <c r="S1998" s="66"/>
      <c r="T1998" s="110">
        <f>S1998-Q1998</f>
        <v>0</v>
      </c>
      <c r="U1998" s="59">
        <f t="shared" ref="U1998:U2011" si="3276">IF(Q1998&gt;0,S1998-W1998,M1998-W1998)</f>
        <v>0</v>
      </c>
      <c r="V1998" s="66"/>
      <c r="W1998" s="66"/>
      <c r="X1998" s="110">
        <f>W1998-M1998</f>
        <v>0</v>
      </c>
      <c r="Y1998" s="110"/>
      <c r="Z1998" s="110"/>
      <c r="AA1998" s="110"/>
      <c r="AB1998" s="46"/>
      <c r="AC1998" s="78"/>
      <c r="AD1998" s="78"/>
      <c r="AE1998" s="100">
        <f t="shared" ref="AE1998:AE2011" si="3277">N1998/F1998</f>
        <v>-1</v>
      </c>
      <c r="AF1998" s="90"/>
      <c r="AG1998" s="109">
        <f t="shared" ref="AG1998:AG2011" si="3278">IF(N1998&lt;0,N1998,0)</f>
        <v>-11550</v>
      </c>
      <c r="AH1998" s="100">
        <f t="shared" ref="AH1998:AH2011" si="3279">(S1998-F1998)/F1998</f>
        <v>-1</v>
      </c>
      <c r="AI1998" s="100">
        <f t="shared" ref="AI1998:AI2011" si="3280">(W1998-F1998)/F1998</f>
        <v>-1</v>
      </c>
    </row>
    <row r="1999" spans="1:35" s="47" customFormat="1" ht="21" customHeight="1" x14ac:dyDescent="0.3">
      <c r="A1999" s="78"/>
      <c r="B1999" s="106" t="s">
        <v>51</v>
      </c>
      <c r="C1999" s="117" t="s">
        <v>841</v>
      </c>
      <c r="D1999" s="300"/>
      <c r="E1999" s="131" t="s">
        <v>5</v>
      </c>
      <c r="F1999" s="66">
        <v>6808</v>
      </c>
      <c r="G1999" s="66"/>
      <c r="H1999" s="66"/>
      <c r="I1999" s="66"/>
      <c r="J1999" s="66"/>
      <c r="K1999" s="78"/>
      <c r="L1999" s="66"/>
      <c r="M1999" s="66">
        <f>1200+1200+878+1272</f>
        <v>4550</v>
      </c>
      <c r="N1999" s="110">
        <f t="shared" si="3275"/>
        <v>-2258</v>
      </c>
      <c r="O1999" s="110"/>
      <c r="P1999" s="66"/>
      <c r="Q1999" s="66"/>
      <c r="R1999" s="66"/>
      <c r="S1999" s="66"/>
      <c r="T1999" s="110">
        <f t="shared" ref="T1999" si="3281">S1999-Q1999</f>
        <v>0</v>
      </c>
      <c r="U1999" s="59">
        <f t="shared" si="3276"/>
        <v>4550</v>
      </c>
      <c r="V1999" s="66"/>
      <c r="W1999" s="66"/>
      <c r="X1999" s="110">
        <f t="shared" ref="X1999" si="3282">W1999-M1999</f>
        <v>-4550</v>
      </c>
      <c r="Y1999" s="110"/>
      <c r="Z1999" s="110"/>
      <c r="AA1999" s="110"/>
      <c r="AB1999" s="46"/>
      <c r="AC1999" s="78"/>
      <c r="AD1999" s="78"/>
      <c r="AE1999" s="100">
        <f t="shared" si="3277"/>
        <v>-0.331668625146886</v>
      </c>
      <c r="AF1999" s="90"/>
      <c r="AG1999" s="109">
        <f t="shared" si="3278"/>
        <v>-2258</v>
      </c>
      <c r="AH1999" s="100">
        <f t="shared" si="3279"/>
        <v>-1</v>
      </c>
      <c r="AI1999" s="100">
        <f t="shared" si="3280"/>
        <v>-1</v>
      </c>
    </row>
    <row r="2000" spans="1:35" s="79" customFormat="1" ht="15.75" customHeight="1" x14ac:dyDescent="0.3">
      <c r="A2000" s="90" t="s">
        <v>46</v>
      </c>
      <c r="B2000" s="136" t="s">
        <v>51</v>
      </c>
      <c r="C2000" s="137"/>
      <c r="D2000" s="136"/>
      <c r="E2000" s="138"/>
      <c r="F2000" s="91">
        <f>SUM(F1998:F1999)</f>
        <v>18358</v>
      </c>
      <c r="G2000" s="91"/>
      <c r="H2000" s="91"/>
      <c r="I2000" s="91"/>
      <c r="J2000" s="91" t="s">
        <v>58</v>
      </c>
      <c r="K2000" s="65" t="s">
        <v>377</v>
      </c>
      <c r="L2000" s="91">
        <f>SUM(L1998:L1999)</f>
        <v>0</v>
      </c>
      <c r="M2000" s="91">
        <f>SUM(M1998:M1999)</f>
        <v>4550</v>
      </c>
      <c r="N2000" s="91">
        <f>SUM(N1998:N1999)</f>
        <v>-13808</v>
      </c>
      <c r="O2000" s="91"/>
      <c r="P2000" s="91">
        <f>SUM(P1998:P1999)</f>
        <v>0</v>
      </c>
      <c r="Q2000" s="91">
        <f>SUM(Q1998:Q1999)</f>
        <v>0</v>
      </c>
      <c r="R2000" s="91">
        <f>SUM(R1998:R1999)</f>
        <v>0</v>
      </c>
      <c r="S2000" s="91">
        <f>SUM(S1998:S1999)</f>
        <v>0</v>
      </c>
      <c r="T2000" s="91">
        <f>SUM(T1998:T1999)</f>
        <v>0</v>
      </c>
      <c r="U2000" s="59">
        <f t="shared" si="3276"/>
        <v>4550</v>
      </c>
      <c r="V2000" s="91">
        <f>SUM(V1998:V1999)</f>
        <v>0</v>
      </c>
      <c r="W2000" s="91">
        <f>SUM(W1998:W1999)</f>
        <v>0</v>
      </c>
      <c r="X2000" s="91">
        <f>SUM(X1998:X1999)</f>
        <v>-4550</v>
      </c>
      <c r="Y2000" s="136"/>
      <c r="Z2000" s="136"/>
      <c r="AA2000" s="136"/>
      <c r="AB2000" s="84"/>
      <c r="AC2000" s="90"/>
      <c r="AD2000" s="90"/>
      <c r="AE2000" s="100">
        <f t="shared" si="3277"/>
        <v>-0.75215165050659116</v>
      </c>
      <c r="AF2000" s="90"/>
      <c r="AG2000" s="109">
        <f t="shared" si="3278"/>
        <v>-13808</v>
      </c>
      <c r="AH2000" s="100">
        <f t="shared" si="3279"/>
        <v>-1</v>
      </c>
      <c r="AI2000" s="100">
        <f t="shared" si="3280"/>
        <v>-1</v>
      </c>
    </row>
    <row r="2001" spans="1:35" s="47" customFormat="1" ht="21" customHeight="1" x14ac:dyDescent="0.3">
      <c r="A2001" s="78"/>
      <c r="B2001" s="106" t="s">
        <v>51</v>
      </c>
      <c r="C2001" s="117" t="s">
        <v>293</v>
      </c>
      <c r="D2001" s="212">
        <v>15299502</v>
      </c>
      <c r="E2001" s="131" t="s">
        <v>0</v>
      </c>
      <c r="F2001" s="66">
        <v>1040</v>
      </c>
      <c r="G2001" s="66"/>
      <c r="H2001" s="66"/>
      <c r="I2001" s="66"/>
      <c r="J2001" s="66"/>
      <c r="K2001" s="78"/>
      <c r="L2001" s="66"/>
      <c r="M2001" s="66">
        <v>1063</v>
      </c>
      <c r="N2001" s="110">
        <f t="shared" ref="N2001" si="3283">M2001-F2001</f>
        <v>23</v>
      </c>
      <c r="O2001" s="110"/>
      <c r="P2001" s="66"/>
      <c r="Q2001" s="66">
        <v>1063</v>
      </c>
      <c r="R2001" s="66"/>
      <c r="S2001" s="66">
        <v>1063</v>
      </c>
      <c r="T2001" s="110">
        <f>S2001-Q2001</f>
        <v>0</v>
      </c>
      <c r="U2001" s="59">
        <f t="shared" si="3276"/>
        <v>0</v>
      </c>
      <c r="V2001" s="66"/>
      <c r="W2001" s="66">
        <v>1063</v>
      </c>
      <c r="X2001" s="110">
        <f>W2001-M2001</f>
        <v>0</v>
      </c>
      <c r="Y2001" s="110"/>
      <c r="Z2001" s="110"/>
      <c r="AA2001" s="110"/>
      <c r="AB2001" s="46"/>
      <c r="AC2001" s="78"/>
      <c r="AD2001" s="78"/>
      <c r="AE2001" s="100">
        <f t="shared" si="3277"/>
        <v>2.2115384615384617E-2</v>
      </c>
      <c r="AF2001" s="90"/>
      <c r="AG2001" s="109">
        <f t="shared" si="3278"/>
        <v>0</v>
      </c>
      <c r="AH2001" s="100">
        <f t="shared" si="3279"/>
        <v>2.2115384615384617E-2</v>
      </c>
      <c r="AI2001" s="100">
        <f t="shared" si="3280"/>
        <v>2.2115384615384617E-2</v>
      </c>
    </row>
    <row r="2002" spans="1:35" s="79" customFormat="1" ht="15.75" customHeight="1" x14ac:dyDescent="0.3">
      <c r="A2002" s="90" t="s">
        <v>46</v>
      </c>
      <c r="B2002" s="136" t="s">
        <v>51</v>
      </c>
      <c r="C2002" s="137"/>
      <c r="D2002" s="136"/>
      <c r="E2002" s="138"/>
      <c r="F2002" s="91">
        <f>SUM(F2001:F2001)</f>
        <v>1040</v>
      </c>
      <c r="G2002" s="91"/>
      <c r="H2002" s="91"/>
      <c r="I2002" s="91"/>
      <c r="J2002" s="91" t="s">
        <v>59</v>
      </c>
      <c r="K2002" s="65" t="s">
        <v>208</v>
      </c>
      <c r="L2002" s="91">
        <f>SUM(L2001:L2001)</f>
        <v>0</v>
      </c>
      <c r="M2002" s="91">
        <f>SUM(M2001:M2001)</f>
        <v>1063</v>
      </c>
      <c r="N2002" s="91">
        <f>SUM(N2001:N2001)</f>
        <v>23</v>
      </c>
      <c r="O2002" s="91" t="s">
        <v>501</v>
      </c>
      <c r="P2002" s="91">
        <f>SUM(P2001:P2001)</f>
        <v>0</v>
      </c>
      <c r="Q2002" s="91">
        <f>SUM(Q2001:Q2001)</f>
        <v>1063</v>
      </c>
      <c r="R2002" s="91">
        <f>SUM(R2001:R2001)</f>
        <v>0</v>
      </c>
      <c r="S2002" s="91">
        <f>SUM(S2001:S2001)</f>
        <v>1063</v>
      </c>
      <c r="T2002" s="91">
        <f>SUM(T2001:T2001)</f>
        <v>0</v>
      </c>
      <c r="U2002" s="59">
        <f t="shared" si="3276"/>
        <v>0</v>
      </c>
      <c r="V2002" s="91">
        <f>SUM(V2001:V2001)</f>
        <v>0</v>
      </c>
      <c r="W2002" s="91">
        <f>SUM(W2001:W2001)</f>
        <v>1063</v>
      </c>
      <c r="X2002" s="91">
        <f>SUM(X2001:X2001)</f>
        <v>0</v>
      </c>
      <c r="Y2002" s="136" t="s">
        <v>47</v>
      </c>
      <c r="Z2002" s="136" t="s">
        <v>45</v>
      </c>
      <c r="AA2002" s="136"/>
      <c r="AB2002" s="84"/>
      <c r="AC2002" s="90"/>
      <c r="AD2002" s="90"/>
      <c r="AE2002" s="100">
        <f t="shared" si="3277"/>
        <v>2.2115384615384617E-2</v>
      </c>
      <c r="AF2002" s="90"/>
      <c r="AG2002" s="109">
        <f t="shared" si="3278"/>
        <v>0</v>
      </c>
      <c r="AH2002" s="100">
        <f t="shared" si="3279"/>
        <v>2.2115384615384617E-2</v>
      </c>
      <c r="AI2002" s="100">
        <f t="shared" si="3280"/>
        <v>2.2115384615384617E-2</v>
      </c>
    </row>
    <row r="2003" spans="1:35" s="47" customFormat="1" ht="21" customHeight="1" x14ac:dyDescent="0.3">
      <c r="A2003" s="78"/>
      <c r="B2003" s="106" t="s">
        <v>51</v>
      </c>
      <c r="C2003" s="117">
        <v>48188</v>
      </c>
      <c r="D2003" s="299">
        <v>15299502</v>
      </c>
      <c r="E2003" s="131" t="s">
        <v>0</v>
      </c>
      <c r="F2003" s="66">
        <v>762</v>
      </c>
      <c r="G2003" s="66"/>
      <c r="H2003" s="66"/>
      <c r="I2003" s="66"/>
      <c r="J2003" s="66"/>
      <c r="K2003" s="78"/>
      <c r="L2003" s="66"/>
      <c r="M2003" s="66">
        <v>799</v>
      </c>
      <c r="N2003" s="110">
        <f t="shared" ref="N2003:N2007" si="3284">M2003-F2003</f>
        <v>37</v>
      </c>
      <c r="O2003" s="110"/>
      <c r="P2003" s="66"/>
      <c r="Q2003" s="66">
        <v>799</v>
      </c>
      <c r="R2003" s="66"/>
      <c r="S2003" s="66">
        <v>792</v>
      </c>
      <c r="T2003" s="110">
        <f>S2003-Q2003</f>
        <v>-7</v>
      </c>
      <c r="U2003" s="59">
        <f t="shared" si="3276"/>
        <v>1</v>
      </c>
      <c r="V2003" s="66"/>
      <c r="W2003" s="66">
        <v>791</v>
      </c>
      <c r="X2003" s="110">
        <f>W2003-M2003</f>
        <v>-8</v>
      </c>
      <c r="Y2003" s="110"/>
      <c r="Z2003" s="110"/>
      <c r="AA2003" s="110"/>
      <c r="AB2003" s="46"/>
      <c r="AC2003" s="78"/>
      <c r="AD2003" s="78"/>
      <c r="AE2003" s="100">
        <f t="shared" si="3277"/>
        <v>4.8556430446194225E-2</v>
      </c>
      <c r="AF2003" s="90"/>
      <c r="AG2003" s="109">
        <f t="shared" si="3278"/>
        <v>0</v>
      </c>
      <c r="AH2003" s="100">
        <f t="shared" si="3279"/>
        <v>3.937007874015748E-2</v>
      </c>
      <c r="AI2003" s="100">
        <f t="shared" si="3280"/>
        <v>3.805774278215223E-2</v>
      </c>
    </row>
    <row r="2004" spans="1:35" s="47" customFormat="1" ht="21" customHeight="1" x14ac:dyDescent="0.3">
      <c r="A2004" s="78"/>
      <c r="B2004" s="106" t="s">
        <v>51</v>
      </c>
      <c r="C2004" s="117">
        <v>48188</v>
      </c>
      <c r="D2004" s="300"/>
      <c r="E2004" s="131" t="s">
        <v>291</v>
      </c>
      <c r="F2004" s="66">
        <v>1290</v>
      </c>
      <c r="G2004" s="66"/>
      <c r="H2004" s="66"/>
      <c r="I2004" s="66"/>
      <c r="J2004" s="66"/>
      <c r="K2004" s="78"/>
      <c r="L2004" s="66"/>
      <c r="M2004" s="66">
        <f>640+692</f>
        <v>1332</v>
      </c>
      <c r="N2004" s="110">
        <f t="shared" si="3284"/>
        <v>42</v>
      </c>
      <c r="O2004" s="110"/>
      <c r="P2004" s="66"/>
      <c r="Q2004" s="66">
        <f>1322+7</f>
        <v>1329</v>
      </c>
      <c r="R2004" s="66"/>
      <c r="S2004" s="66">
        <v>1329</v>
      </c>
      <c r="T2004" s="110">
        <f t="shared" ref="T2004:T2007" si="3285">S2004-Q2004</f>
        <v>0</v>
      </c>
      <c r="U2004" s="59">
        <f t="shared" si="3276"/>
        <v>2</v>
      </c>
      <c r="V2004" s="66"/>
      <c r="W2004" s="66">
        <v>1327</v>
      </c>
      <c r="X2004" s="110">
        <f t="shared" ref="X2004:X2007" si="3286">W2004-M2004</f>
        <v>-5</v>
      </c>
      <c r="Y2004" s="110"/>
      <c r="Z2004" s="110"/>
      <c r="AA2004" s="110"/>
      <c r="AB2004" s="46"/>
      <c r="AC2004" s="78"/>
      <c r="AD2004" s="78"/>
      <c r="AE2004" s="100">
        <f t="shared" si="3277"/>
        <v>3.255813953488372E-2</v>
      </c>
      <c r="AF2004" s="90"/>
      <c r="AG2004" s="109">
        <f t="shared" si="3278"/>
        <v>0</v>
      </c>
      <c r="AH2004" s="100">
        <f t="shared" si="3279"/>
        <v>3.0232558139534883E-2</v>
      </c>
      <c r="AI2004" s="100">
        <f t="shared" si="3280"/>
        <v>2.8682170542635659E-2</v>
      </c>
    </row>
    <row r="2005" spans="1:35" s="47" customFormat="1" ht="21" customHeight="1" x14ac:dyDescent="0.3">
      <c r="A2005" s="78"/>
      <c r="B2005" s="106" t="s">
        <v>51</v>
      </c>
      <c r="C2005" s="117">
        <v>48188</v>
      </c>
      <c r="D2005" s="300"/>
      <c r="E2005" s="131" t="s">
        <v>49</v>
      </c>
      <c r="F2005" s="66">
        <v>642</v>
      </c>
      <c r="G2005" s="66"/>
      <c r="H2005" s="66"/>
      <c r="I2005" s="66"/>
      <c r="J2005" s="66"/>
      <c r="K2005" s="78"/>
      <c r="L2005" s="66"/>
      <c r="M2005" s="66">
        <f>665</f>
        <v>665</v>
      </c>
      <c r="N2005" s="110">
        <f t="shared" si="3284"/>
        <v>23</v>
      </c>
      <c r="O2005" s="110"/>
      <c r="P2005" s="66"/>
      <c r="Q2005" s="66">
        <v>665</v>
      </c>
      <c r="R2005" s="66"/>
      <c r="S2005" s="66">
        <v>665</v>
      </c>
      <c r="T2005" s="110">
        <f t="shared" si="3285"/>
        <v>0</v>
      </c>
      <c r="U2005" s="59">
        <f t="shared" si="3276"/>
        <v>0</v>
      </c>
      <c r="V2005" s="66"/>
      <c r="W2005" s="66">
        <v>665</v>
      </c>
      <c r="X2005" s="110">
        <f t="shared" si="3286"/>
        <v>0</v>
      </c>
      <c r="Y2005" s="110"/>
      <c r="Z2005" s="110"/>
      <c r="AA2005" s="110"/>
      <c r="AB2005" s="46"/>
      <c r="AC2005" s="78"/>
      <c r="AD2005" s="78"/>
      <c r="AE2005" s="100">
        <f t="shared" si="3277"/>
        <v>3.5825545171339561E-2</v>
      </c>
      <c r="AF2005" s="90"/>
      <c r="AG2005" s="109">
        <f t="shared" si="3278"/>
        <v>0</v>
      </c>
      <c r="AH2005" s="100">
        <f t="shared" si="3279"/>
        <v>3.5825545171339561E-2</v>
      </c>
      <c r="AI2005" s="100">
        <f t="shared" si="3280"/>
        <v>3.5825545171339561E-2</v>
      </c>
    </row>
    <row r="2006" spans="1:35" s="47" customFormat="1" ht="21" customHeight="1" x14ac:dyDescent="0.3">
      <c r="A2006" s="78"/>
      <c r="B2006" s="106" t="s">
        <v>51</v>
      </c>
      <c r="C2006" s="117">
        <v>48188</v>
      </c>
      <c r="D2006" s="300"/>
      <c r="E2006" s="131" t="s">
        <v>228</v>
      </c>
      <c r="F2006" s="66">
        <v>2532</v>
      </c>
      <c r="G2006" s="66"/>
      <c r="H2006" s="66"/>
      <c r="I2006" s="66"/>
      <c r="J2006" s="66"/>
      <c r="K2006" s="78"/>
      <c r="L2006" s="66"/>
      <c r="M2006" s="66">
        <f>1352+1228</f>
        <v>2580</v>
      </c>
      <c r="N2006" s="110">
        <f t="shared" si="3284"/>
        <v>48</v>
      </c>
      <c r="O2006" s="110"/>
      <c r="P2006" s="66"/>
      <c r="Q2006" s="66">
        <f>1352+1228</f>
        <v>2580</v>
      </c>
      <c r="R2006" s="66"/>
      <c r="S2006" s="66">
        <v>2579</v>
      </c>
      <c r="T2006" s="110">
        <f t="shared" si="3285"/>
        <v>-1</v>
      </c>
      <c r="U2006" s="59">
        <f t="shared" si="3276"/>
        <v>9</v>
      </c>
      <c r="V2006" s="66"/>
      <c r="W2006" s="66">
        <v>2570</v>
      </c>
      <c r="X2006" s="110">
        <f t="shared" si="3286"/>
        <v>-10</v>
      </c>
      <c r="Y2006" s="110"/>
      <c r="Z2006" s="110"/>
      <c r="AA2006" s="110"/>
      <c r="AB2006" s="46"/>
      <c r="AC2006" s="78"/>
      <c r="AD2006" s="78"/>
      <c r="AE2006" s="100">
        <f t="shared" si="3277"/>
        <v>1.8957345971563982E-2</v>
      </c>
      <c r="AF2006" s="90"/>
      <c r="AG2006" s="109">
        <f t="shared" si="3278"/>
        <v>0</v>
      </c>
      <c r="AH2006" s="100">
        <f t="shared" si="3279"/>
        <v>1.8562401263823063E-2</v>
      </c>
      <c r="AI2006" s="100">
        <f t="shared" si="3280"/>
        <v>1.5007898894154818E-2</v>
      </c>
    </row>
    <row r="2007" spans="1:35" s="47" customFormat="1" ht="21" customHeight="1" x14ac:dyDescent="0.3">
      <c r="A2007" s="78"/>
      <c r="B2007" s="106" t="s">
        <v>51</v>
      </c>
      <c r="C2007" s="117">
        <v>48188</v>
      </c>
      <c r="D2007" s="300"/>
      <c r="E2007" s="131" t="s">
        <v>292</v>
      </c>
      <c r="F2007" s="66">
        <v>2616</v>
      </c>
      <c r="G2007" s="66"/>
      <c r="H2007" s="66"/>
      <c r="I2007" s="66"/>
      <c r="J2007" s="66"/>
      <c r="K2007" s="78"/>
      <c r="L2007" s="66"/>
      <c r="M2007" s="66">
        <f>882+846+483+462</f>
        <v>2673</v>
      </c>
      <c r="N2007" s="110">
        <f t="shared" si="3284"/>
        <v>57</v>
      </c>
      <c r="O2007" s="110"/>
      <c r="P2007" s="66"/>
      <c r="Q2007" s="66">
        <f>1826+846</f>
        <v>2672</v>
      </c>
      <c r="R2007" s="66"/>
      <c r="S2007" s="66">
        <v>2672</v>
      </c>
      <c r="T2007" s="110">
        <f t="shared" si="3285"/>
        <v>0</v>
      </c>
      <c r="U2007" s="59">
        <f t="shared" si="3276"/>
        <v>0</v>
      </c>
      <c r="V2007" s="66"/>
      <c r="W2007" s="66">
        <v>2672</v>
      </c>
      <c r="X2007" s="110">
        <f t="shared" si="3286"/>
        <v>-1</v>
      </c>
      <c r="Y2007" s="110"/>
      <c r="Z2007" s="110"/>
      <c r="AA2007" s="110"/>
      <c r="AB2007" s="46"/>
      <c r="AC2007" s="78"/>
      <c r="AD2007" s="78"/>
      <c r="AE2007" s="100">
        <f t="shared" si="3277"/>
        <v>2.1788990825688075E-2</v>
      </c>
      <c r="AF2007" s="90"/>
      <c r="AG2007" s="109">
        <f t="shared" si="3278"/>
        <v>0</v>
      </c>
      <c r="AH2007" s="100">
        <f t="shared" si="3279"/>
        <v>2.1406727828746176E-2</v>
      </c>
      <c r="AI2007" s="100">
        <f t="shared" si="3280"/>
        <v>2.1406727828746176E-2</v>
      </c>
    </row>
    <row r="2008" spans="1:35" s="79" customFormat="1" ht="15.75" customHeight="1" x14ac:dyDescent="0.3">
      <c r="A2008" s="90" t="s">
        <v>46</v>
      </c>
      <c r="B2008" s="136" t="s">
        <v>51</v>
      </c>
      <c r="C2008" s="137"/>
      <c r="D2008" s="136"/>
      <c r="E2008" s="138"/>
      <c r="F2008" s="91">
        <f>SUM(F2003:F2007)</f>
        <v>7842</v>
      </c>
      <c r="G2008" s="91"/>
      <c r="H2008" s="91"/>
      <c r="I2008" s="91"/>
      <c r="J2008" s="91" t="s">
        <v>59</v>
      </c>
      <c r="K2008" s="65" t="s">
        <v>290</v>
      </c>
      <c r="L2008" s="91">
        <f>SUM(L2003:L2007)</f>
        <v>0</v>
      </c>
      <c r="M2008" s="91">
        <f>SUM(M2003:M2007)</f>
        <v>8049</v>
      </c>
      <c r="N2008" s="91">
        <f>SUM(N2003:N2007)</f>
        <v>207</v>
      </c>
      <c r="O2008" s="91" t="s">
        <v>403</v>
      </c>
      <c r="P2008" s="91">
        <f>SUM(P2003:P2007)</f>
        <v>0</v>
      </c>
      <c r="Q2008" s="91">
        <f>SUM(Q2003:Q2007)</f>
        <v>8045</v>
      </c>
      <c r="R2008" s="91">
        <f>SUM(R2003:R2007)</f>
        <v>0</v>
      </c>
      <c r="S2008" s="91">
        <f>SUM(S2003:S2007)</f>
        <v>8037</v>
      </c>
      <c r="T2008" s="91">
        <f>SUM(T2003:T2007)</f>
        <v>-8</v>
      </c>
      <c r="U2008" s="59">
        <f t="shared" si="3276"/>
        <v>12</v>
      </c>
      <c r="V2008" s="91">
        <f>SUM(V2003:V2007)</f>
        <v>0</v>
      </c>
      <c r="W2008" s="91">
        <f>SUM(W2003:W2007)</f>
        <v>8025</v>
      </c>
      <c r="X2008" s="91">
        <f>SUM(X2003:X2007)</f>
        <v>-24</v>
      </c>
      <c r="Y2008" s="136" t="s">
        <v>47</v>
      </c>
      <c r="Z2008" s="136" t="s">
        <v>45</v>
      </c>
      <c r="AA2008" s="136"/>
      <c r="AB2008" s="84"/>
      <c r="AC2008" s="90"/>
      <c r="AD2008" s="90"/>
      <c r="AE2008" s="100">
        <f t="shared" si="3277"/>
        <v>2.6396327467482786E-2</v>
      </c>
      <c r="AF2008" s="90"/>
      <c r="AG2008" s="109">
        <f t="shared" si="3278"/>
        <v>0</v>
      </c>
      <c r="AH2008" s="100">
        <f t="shared" si="3279"/>
        <v>2.4866105585309869E-2</v>
      </c>
      <c r="AI2008" s="100">
        <f t="shared" si="3280"/>
        <v>2.3335883703136953E-2</v>
      </c>
    </row>
    <row r="2009" spans="1:35" s="47" customFormat="1" ht="21" customHeight="1" x14ac:dyDescent="0.3">
      <c r="A2009" s="78"/>
      <c r="B2009" s="106" t="s">
        <v>51</v>
      </c>
      <c r="C2009" s="117" t="s">
        <v>755</v>
      </c>
      <c r="D2009" s="299">
        <v>15299502</v>
      </c>
      <c r="E2009" s="131" t="s">
        <v>0</v>
      </c>
      <c r="F2009" s="66">
        <v>1040</v>
      </c>
      <c r="G2009" s="66"/>
      <c r="H2009" s="66"/>
      <c r="I2009" s="66"/>
      <c r="J2009" s="66"/>
      <c r="K2009" s="78"/>
      <c r="L2009" s="66"/>
      <c r="M2009" s="66">
        <f>1001+77</f>
        <v>1078</v>
      </c>
      <c r="N2009" s="110">
        <f t="shared" ref="N2009:N2010" si="3287">M2009-F2009</f>
        <v>38</v>
      </c>
      <c r="O2009" s="110"/>
      <c r="P2009" s="66"/>
      <c r="Q2009" s="66">
        <f>984+78</f>
        <v>1062</v>
      </c>
      <c r="R2009" s="66"/>
      <c r="S2009" s="66">
        <f>984+78</f>
        <v>1062</v>
      </c>
      <c r="T2009" s="110">
        <f>S2009-Q2009</f>
        <v>0</v>
      </c>
      <c r="U2009" s="59">
        <f t="shared" si="3276"/>
        <v>3</v>
      </c>
      <c r="V2009" s="66"/>
      <c r="W2009" s="66">
        <v>1059</v>
      </c>
      <c r="X2009" s="110">
        <f>W2009-M2009</f>
        <v>-19</v>
      </c>
      <c r="Y2009" s="110"/>
      <c r="Z2009" s="110"/>
      <c r="AA2009" s="110"/>
      <c r="AB2009" s="46"/>
      <c r="AC2009" s="78"/>
      <c r="AD2009" s="78"/>
      <c r="AE2009" s="100">
        <f t="shared" si="3277"/>
        <v>3.653846153846154E-2</v>
      </c>
      <c r="AF2009" s="90"/>
      <c r="AG2009" s="109">
        <f t="shared" si="3278"/>
        <v>0</v>
      </c>
      <c r="AH2009" s="100">
        <f t="shared" si="3279"/>
        <v>2.1153846153846155E-2</v>
      </c>
      <c r="AI2009" s="100">
        <f t="shared" si="3280"/>
        <v>1.826923076923077E-2</v>
      </c>
    </row>
    <row r="2010" spans="1:35" s="47" customFormat="1" ht="21" customHeight="1" x14ac:dyDescent="0.3">
      <c r="A2010" s="78"/>
      <c r="B2010" s="106" t="s">
        <v>51</v>
      </c>
      <c r="C2010" s="117" t="s">
        <v>755</v>
      </c>
      <c r="D2010" s="300"/>
      <c r="E2010" s="131" t="s">
        <v>49</v>
      </c>
      <c r="F2010" s="66">
        <v>1040</v>
      </c>
      <c r="G2010" s="66"/>
      <c r="H2010" s="66"/>
      <c r="I2010" s="66"/>
      <c r="J2010" s="66"/>
      <c r="K2010" s="78"/>
      <c r="L2010" s="66"/>
      <c r="M2010" s="66">
        <f>872+192</f>
        <v>1064</v>
      </c>
      <c r="N2010" s="110">
        <f t="shared" si="3287"/>
        <v>24</v>
      </c>
      <c r="O2010" s="110"/>
      <c r="P2010" s="66"/>
      <c r="Q2010" s="66">
        <f>872+192</f>
        <v>1064</v>
      </c>
      <c r="R2010" s="66"/>
      <c r="S2010" s="66">
        <v>1064</v>
      </c>
      <c r="T2010" s="110">
        <f t="shared" ref="T2010" si="3288">S2010-Q2010</f>
        <v>0</v>
      </c>
      <c r="U2010" s="59">
        <f t="shared" si="3276"/>
        <v>0</v>
      </c>
      <c r="V2010" s="66"/>
      <c r="W2010" s="66">
        <v>1064</v>
      </c>
      <c r="X2010" s="110">
        <f t="shared" ref="X2010" si="3289">W2010-M2010</f>
        <v>0</v>
      </c>
      <c r="Y2010" s="110"/>
      <c r="Z2010" s="110"/>
      <c r="AA2010" s="110"/>
      <c r="AB2010" s="46"/>
      <c r="AC2010" s="78"/>
      <c r="AD2010" s="78"/>
      <c r="AE2010" s="100">
        <f t="shared" si="3277"/>
        <v>2.3076923076923078E-2</v>
      </c>
      <c r="AF2010" s="90"/>
      <c r="AG2010" s="109">
        <f t="shared" si="3278"/>
        <v>0</v>
      </c>
      <c r="AH2010" s="100">
        <f t="shared" si="3279"/>
        <v>2.3076923076923078E-2</v>
      </c>
      <c r="AI2010" s="100">
        <f t="shared" si="3280"/>
        <v>2.3076923076923078E-2</v>
      </c>
    </row>
    <row r="2011" spans="1:35" s="79" customFormat="1" ht="15.75" customHeight="1" x14ac:dyDescent="0.3">
      <c r="A2011" s="90" t="s">
        <v>46</v>
      </c>
      <c r="B2011" s="136" t="s">
        <v>51</v>
      </c>
      <c r="C2011" s="137"/>
      <c r="D2011" s="136"/>
      <c r="E2011" s="138"/>
      <c r="F2011" s="91">
        <f>SUM(F2009:F2010)</f>
        <v>2080</v>
      </c>
      <c r="G2011" s="91"/>
      <c r="H2011" s="91"/>
      <c r="I2011" s="91"/>
      <c r="J2011" s="91" t="s">
        <v>58</v>
      </c>
      <c r="K2011" s="65" t="s">
        <v>290</v>
      </c>
      <c r="L2011" s="91">
        <f>SUM(L2009:L2010)</f>
        <v>0</v>
      </c>
      <c r="M2011" s="91">
        <f>SUM(M2009:M2010)</f>
        <v>2142</v>
      </c>
      <c r="N2011" s="91">
        <f>SUM(N2009:N2010)</f>
        <v>62</v>
      </c>
      <c r="O2011" s="91" t="s">
        <v>210</v>
      </c>
      <c r="P2011" s="91">
        <f>SUM(P2009:P2010)</f>
        <v>0</v>
      </c>
      <c r="Q2011" s="91">
        <f>SUM(Q2009:Q2010)</f>
        <v>2126</v>
      </c>
      <c r="R2011" s="91">
        <f>SUM(R2009:R2010)</f>
        <v>0</v>
      </c>
      <c r="S2011" s="91">
        <f>SUM(S2009:S2010)</f>
        <v>2126</v>
      </c>
      <c r="T2011" s="91">
        <f>SUM(T2009:T2010)</f>
        <v>0</v>
      </c>
      <c r="U2011" s="59">
        <f t="shared" si="3276"/>
        <v>3</v>
      </c>
      <c r="V2011" s="91">
        <f>SUM(V2009:V2010)</f>
        <v>0</v>
      </c>
      <c r="W2011" s="91">
        <f>SUM(W2009:W2010)</f>
        <v>2123</v>
      </c>
      <c r="X2011" s="91">
        <f>SUM(X2009:X2010)</f>
        <v>-19</v>
      </c>
      <c r="Y2011" s="136" t="s">
        <v>47</v>
      </c>
      <c r="Z2011" s="136" t="s">
        <v>45</v>
      </c>
      <c r="AA2011" s="136"/>
      <c r="AB2011" s="84"/>
      <c r="AC2011" s="90"/>
      <c r="AD2011" s="90"/>
      <c r="AE2011" s="100">
        <f t="shared" si="3277"/>
        <v>2.9807692307692309E-2</v>
      </c>
      <c r="AF2011" s="90"/>
      <c r="AG2011" s="109">
        <f t="shared" si="3278"/>
        <v>0</v>
      </c>
      <c r="AH2011" s="100">
        <f t="shared" si="3279"/>
        <v>2.2115384615384617E-2</v>
      </c>
      <c r="AI2011" s="100">
        <f t="shared" si="3280"/>
        <v>2.0673076923076922E-2</v>
      </c>
    </row>
    <row r="2012" spans="1:35" s="47" customFormat="1" ht="21" customHeight="1" x14ac:dyDescent="0.3">
      <c r="A2012" s="78"/>
      <c r="B2012" s="106" t="s">
        <v>51</v>
      </c>
      <c r="C2012" s="117">
        <v>48174</v>
      </c>
      <c r="D2012" s="299">
        <v>153809012</v>
      </c>
      <c r="E2012" s="131" t="s">
        <v>41</v>
      </c>
      <c r="F2012" s="66">
        <v>1424</v>
      </c>
      <c r="G2012" s="66"/>
      <c r="H2012" s="66"/>
      <c r="I2012" s="66"/>
      <c r="J2012" s="66"/>
      <c r="K2012" s="78"/>
      <c r="L2012" s="66"/>
      <c r="M2012" s="66">
        <v>1498</v>
      </c>
      <c r="N2012" s="110">
        <f t="shared" ref="N2012" si="3290">M2012-F2012</f>
        <v>74</v>
      </c>
      <c r="O2012" s="110"/>
      <c r="P2012" s="66"/>
      <c r="Q2012" s="66">
        <v>1498</v>
      </c>
      <c r="R2012" s="66"/>
      <c r="S2012" s="66">
        <v>1498</v>
      </c>
      <c r="T2012" s="110">
        <f>S2012-Q2012</f>
        <v>0</v>
      </c>
      <c r="U2012" s="59">
        <f t="shared" ref="U2012:U2081" si="3291">IF(Q2012&gt;0,S2012-W2012,M2012-W2012)</f>
        <v>1498</v>
      </c>
      <c r="V2012" s="66"/>
      <c r="W2012" s="66"/>
      <c r="X2012" s="110">
        <f>W2012-M2012</f>
        <v>-1498</v>
      </c>
      <c r="Y2012" s="110"/>
      <c r="Z2012" s="110"/>
      <c r="AA2012" s="110"/>
      <c r="AB2012" s="46"/>
      <c r="AC2012" s="78"/>
      <c r="AD2012" s="78"/>
      <c r="AE2012" s="100">
        <f t="shared" ref="AE2012:AE2081" si="3292">N2012/F2012</f>
        <v>5.1966292134831463E-2</v>
      </c>
      <c r="AF2012" s="90"/>
      <c r="AG2012" s="109">
        <f t="shared" ref="AG2012:AG2081" si="3293">IF(N2012&lt;0,N2012,0)</f>
        <v>0</v>
      </c>
      <c r="AH2012" s="100">
        <f t="shared" ref="AH2012:AH2081" si="3294">(S2012-F2012)/F2012</f>
        <v>5.1966292134831463E-2</v>
      </c>
      <c r="AI2012" s="100">
        <f t="shared" ref="AI2012:AI2081" si="3295">(W2012-F2012)/F2012</f>
        <v>-1</v>
      </c>
    </row>
    <row r="2013" spans="1:35" s="47" customFormat="1" ht="21" customHeight="1" x14ac:dyDescent="0.3">
      <c r="A2013" s="78"/>
      <c r="B2013" s="106" t="s">
        <v>51</v>
      </c>
      <c r="C2013" s="117">
        <v>48174</v>
      </c>
      <c r="D2013" s="300"/>
      <c r="E2013" s="131" t="s">
        <v>49</v>
      </c>
      <c r="F2013" s="66">
        <v>2234</v>
      </c>
      <c r="G2013" s="66"/>
      <c r="H2013" s="66"/>
      <c r="I2013" s="66"/>
      <c r="J2013" s="66"/>
      <c r="K2013" s="78"/>
      <c r="L2013" s="66"/>
      <c r="M2013" s="66">
        <f>1020+1282</f>
        <v>2302</v>
      </c>
      <c r="N2013" s="110">
        <f t="shared" ref="N2013:N2014" si="3296">M2013-F2013</f>
        <v>68</v>
      </c>
      <c r="O2013" s="110"/>
      <c r="P2013" s="66"/>
      <c r="Q2013" s="66">
        <f>1910+392</f>
        <v>2302</v>
      </c>
      <c r="R2013" s="66"/>
      <c r="S2013" s="66">
        <f>2121+167</f>
        <v>2288</v>
      </c>
      <c r="T2013" s="110">
        <f t="shared" ref="T2013:T2014" si="3297">S2013-Q2013</f>
        <v>-14</v>
      </c>
      <c r="U2013" s="59">
        <f t="shared" ref="U2013:U2014" si="3298">IF(Q2013&gt;0,S2013-W2013,M2013-W2013)</f>
        <v>2288</v>
      </c>
      <c r="V2013" s="66"/>
      <c r="W2013" s="66"/>
      <c r="X2013" s="110">
        <f t="shared" ref="X2013:X2014" si="3299">W2013-M2013</f>
        <v>-2302</v>
      </c>
      <c r="Y2013" s="110"/>
      <c r="Z2013" s="110"/>
      <c r="AA2013" s="110"/>
      <c r="AB2013" s="46"/>
      <c r="AC2013" s="78"/>
      <c r="AD2013" s="78"/>
      <c r="AE2013" s="100">
        <f t="shared" ref="AE2013:AE2014" si="3300">N2013/F2013</f>
        <v>3.043867502238138E-2</v>
      </c>
      <c r="AF2013" s="90"/>
      <c r="AG2013" s="109">
        <f t="shared" ref="AG2013:AG2014" si="3301">IF(N2013&lt;0,N2013,0)</f>
        <v>0</v>
      </c>
      <c r="AH2013" s="100">
        <f t="shared" ref="AH2013:AH2014" si="3302">(S2013-F2013)/F2013</f>
        <v>2.4171888988361683E-2</v>
      </c>
      <c r="AI2013" s="100">
        <f t="shared" ref="AI2013:AI2014" si="3303">(W2013-F2013)/F2013</f>
        <v>-1</v>
      </c>
    </row>
    <row r="2014" spans="1:35" s="47" customFormat="1" ht="21" customHeight="1" x14ac:dyDescent="0.3">
      <c r="A2014" s="78"/>
      <c r="B2014" s="106" t="s">
        <v>51</v>
      </c>
      <c r="C2014" s="117">
        <v>48174</v>
      </c>
      <c r="D2014" s="300"/>
      <c r="E2014" s="131" t="s">
        <v>0</v>
      </c>
      <c r="F2014" s="66">
        <v>2180</v>
      </c>
      <c r="G2014" s="66"/>
      <c r="H2014" s="66"/>
      <c r="I2014" s="66"/>
      <c r="J2014" s="66"/>
      <c r="K2014" s="78"/>
      <c r="L2014" s="66"/>
      <c r="M2014" s="66">
        <v>2252</v>
      </c>
      <c r="N2014" s="110">
        <f t="shared" si="3296"/>
        <v>72</v>
      </c>
      <c r="O2014" s="110"/>
      <c r="P2014" s="66"/>
      <c r="Q2014" s="66">
        <v>2252</v>
      </c>
      <c r="R2014" s="66"/>
      <c r="S2014" s="66">
        <v>2252</v>
      </c>
      <c r="T2014" s="110">
        <f t="shared" si="3297"/>
        <v>0</v>
      </c>
      <c r="U2014" s="59">
        <f t="shared" si="3298"/>
        <v>2252</v>
      </c>
      <c r="V2014" s="66"/>
      <c r="W2014" s="66"/>
      <c r="X2014" s="110">
        <f t="shared" si="3299"/>
        <v>-2252</v>
      </c>
      <c r="Y2014" s="110"/>
      <c r="Z2014" s="110"/>
      <c r="AA2014" s="110"/>
      <c r="AB2014" s="46"/>
      <c r="AC2014" s="78"/>
      <c r="AD2014" s="78"/>
      <c r="AE2014" s="100">
        <f t="shared" si="3300"/>
        <v>3.3027522935779818E-2</v>
      </c>
      <c r="AF2014" s="90"/>
      <c r="AG2014" s="109">
        <f t="shared" si="3301"/>
        <v>0</v>
      </c>
      <c r="AH2014" s="100">
        <f t="shared" si="3302"/>
        <v>3.3027522935779818E-2</v>
      </c>
      <c r="AI2014" s="100">
        <f t="shared" si="3303"/>
        <v>-1</v>
      </c>
    </row>
    <row r="2015" spans="1:35" s="79" customFormat="1" ht="15.75" customHeight="1" x14ac:dyDescent="0.3">
      <c r="A2015" s="90" t="s">
        <v>46</v>
      </c>
      <c r="B2015" s="136" t="s">
        <v>51</v>
      </c>
      <c r="C2015" s="137"/>
      <c r="D2015" s="136"/>
      <c r="E2015" s="138"/>
      <c r="F2015" s="91">
        <f>SUM(F2012:F2014)</f>
        <v>5838</v>
      </c>
      <c r="G2015" s="91"/>
      <c r="H2015" s="91"/>
      <c r="I2015" s="91"/>
      <c r="J2015" s="91" t="s">
        <v>59</v>
      </c>
      <c r="K2015" s="65" t="s">
        <v>210</v>
      </c>
      <c r="L2015" s="91">
        <f>SUM(L2012:L2014)</f>
        <v>0</v>
      </c>
      <c r="M2015" s="91">
        <f>SUM(M2012:M2014)</f>
        <v>6052</v>
      </c>
      <c r="N2015" s="91">
        <f>SUM(N2012:N2014)</f>
        <v>214</v>
      </c>
      <c r="O2015" s="91" t="s">
        <v>531</v>
      </c>
      <c r="P2015" s="91">
        <f>SUM(P2012:P2014)</f>
        <v>0</v>
      </c>
      <c r="Q2015" s="91">
        <f>SUM(Q2012:Q2014)</f>
        <v>6052</v>
      </c>
      <c r="R2015" s="91">
        <f>SUM(R2012:R2014)</f>
        <v>0</v>
      </c>
      <c r="S2015" s="91">
        <f>SUM(S2012:S2014)</f>
        <v>6038</v>
      </c>
      <c r="T2015" s="91">
        <f>SUM(T2012:T2014)</f>
        <v>-14</v>
      </c>
      <c r="U2015" s="59">
        <f t="shared" si="3291"/>
        <v>6038</v>
      </c>
      <c r="V2015" s="91">
        <f>SUM(V2012:V2014)</f>
        <v>0</v>
      </c>
      <c r="W2015" s="91">
        <f>SUM(W2012:W2014)</f>
        <v>0</v>
      </c>
      <c r="X2015" s="91">
        <f>SUM(X2012:X2014)</f>
        <v>-6052</v>
      </c>
      <c r="Y2015" s="136" t="s">
        <v>47</v>
      </c>
      <c r="Z2015" s="136" t="s">
        <v>45</v>
      </c>
      <c r="AA2015" s="136"/>
      <c r="AB2015" s="84"/>
      <c r="AC2015" s="90"/>
      <c r="AD2015" s="90"/>
      <c r="AE2015" s="100">
        <f t="shared" si="3292"/>
        <v>3.6656389174374783E-2</v>
      </c>
      <c r="AF2015" s="90"/>
      <c r="AG2015" s="109">
        <f t="shared" si="3293"/>
        <v>0</v>
      </c>
      <c r="AH2015" s="100">
        <f t="shared" si="3294"/>
        <v>3.4258307639602602E-2</v>
      </c>
      <c r="AI2015" s="100">
        <f t="shared" si="3295"/>
        <v>-1</v>
      </c>
    </row>
    <row r="2016" spans="1:35" s="47" customFormat="1" ht="21" customHeight="1" x14ac:dyDescent="0.3">
      <c r="A2016" s="78"/>
      <c r="B2016" s="106" t="s">
        <v>51</v>
      </c>
      <c r="C2016" s="117">
        <v>48129</v>
      </c>
      <c r="D2016" s="299">
        <v>15393712</v>
      </c>
      <c r="E2016" s="131" t="s">
        <v>0</v>
      </c>
      <c r="F2016" s="66">
        <v>300</v>
      </c>
      <c r="G2016" s="66"/>
      <c r="H2016" s="66"/>
      <c r="I2016" s="66"/>
      <c r="J2016" s="66"/>
      <c r="K2016" s="78"/>
      <c r="L2016" s="66"/>
      <c r="M2016" s="66">
        <f>302+19</f>
        <v>321</v>
      </c>
      <c r="N2016" s="110">
        <f t="shared" ref="N2016:N2017" si="3304">M2016-F2016</f>
        <v>21</v>
      </c>
      <c r="O2016" s="110"/>
      <c r="P2016" s="66"/>
      <c r="Q2016" s="66"/>
      <c r="R2016" s="66"/>
      <c r="S2016" s="66"/>
      <c r="T2016" s="110">
        <f>S2016-Q2016</f>
        <v>0</v>
      </c>
      <c r="U2016" s="59">
        <f t="shared" si="3291"/>
        <v>0</v>
      </c>
      <c r="V2016" s="66"/>
      <c r="W2016" s="66">
        <v>321</v>
      </c>
      <c r="X2016" s="110">
        <f>W2016-M2016</f>
        <v>0</v>
      </c>
      <c r="Y2016" s="110"/>
      <c r="Z2016" s="110"/>
      <c r="AA2016" s="110"/>
      <c r="AB2016" s="46"/>
      <c r="AC2016" s="78"/>
      <c r="AD2016" s="78"/>
      <c r="AE2016" s="100">
        <f t="shared" si="3292"/>
        <v>7.0000000000000007E-2</v>
      </c>
      <c r="AF2016" s="90"/>
      <c r="AG2016" s="109">
        <f t="shared" si="3293"/>
        <v>0</v>
      </c>
      <c r="AH2016" s="100">
        <f t="shared" si="3294"/>
        <v>-1</v>
      </c>
      <c r="AI2016" s="100">
        <f t="shared" si="3295"/>
        <v>7.0000000000000007E-2</v>
      </c>
    </row>
    <row r="2017" spans="1:35" s="47" customFormat="1" ht="21" customHeight="1" x14ac:dyDescent="0.3">
      <c r="A2017" s="78"/>
      <c r="B2017" s="106" t="s">
        <v>51</v>
      </c>
      <c r="C2017" s="117">
        <v>48129</v>
      </c>
      <c r="D2017" s="300"/>
      <c r="E2017" s="131" t="s">
        <v>49</v>
      </c>
      <c r="F2017" s="66">
        <v>300</v>
      </c>
      <c r="G2017" s="66"/>
      <c r="H2017" s="66"/>
      <c r="I2017" s="66"/>
      <c r="J2017" s="66"/>
      <c r="K2017" s="78"/>
      <c r="L2017" s="66"/>
      <c r="M2017" s="66">
        <f>300+16</f>
        <v>316</v>
      </c>
      <c r="N2017" s="110">
        <f t="shared" si="3304"/>
        <v>16</v>
      </c>
      <c r="O2017" s="110"/>
      <c r="P2017" s="66"/>
      <c r="Q2017" s="66"/>
      <c r="R2017" s="66"/>
      <c r="S2017" s="66"/>
      <c r="T2017" s="110">
        <f t="shared" ref="T2017" si="3305">S2017-Q2017</f>
        <v>0</v>
      </c>
      <c r="U2017" s="59">
        <f t="shared" si="3291"/>
        <v>0</v>
      </c>
      <c r="V2017" s="66"/>
      <c r="W2017" s="66">
        <v>316</v>
      </c>
      <c r="X2017" s="110">
        <f t="shared" ref="X2017" si="3306">W2017-M2017</f>
        <v>0</v>
      </c>
      <c r="Y2017" s="110"/>
      <c r="Z2017" s="110"/>
      <c r="AA2017" s="110"/>
      <c r="AB2017" s="46"/>
      <c r="AC2017" s="78"/>
      <c r="AD2017" s="78"/>
      <c r="AE2017" s="100">
        <f t="shared" si="3292"/>
        <v>5.3333333333333337E-2</v>
      </c>
      <c r="AF2017" s="90"/>
      <c r="AG2017" s="109">
        <f t="shared" si="3293"/>
        <v>0</v>
      </c>
      <c r="AH2017" s="100">
        <f t="shared" si="3294"/>
        <v>-1</v>
      </c>
      <c r="AI2017" s="100">
        <f t="shared" si="3295"/>
        <v>5.3333333333333337E-2</v>
      </c>
    </row>
    <row r="2018" spans="1:35" s="79" customFormat="1" ht="15.75" customHeight="1" x14ac:dyDescent="0.3">
      <c r="A2018" s="90" t="s">
        <v>46</v>
      </c>
      <c r="B2018" s="136" t="s">
        <v>51</v>
      </c>
      <c r="C2018" s="137"/>
      <c r="D2018" s="136"/>
      <c r="E2018" s="138"/>
      <c r="F2018" s="91">
        <f>SUM(F2016:F2017)</f>
        <v>600</v>
      </c>
      <c r="G2018" s="91"/>
      <c r="H2018" s="91"/>
      <c r="I2018" s="91"/>
      <c r="J2018" s="91" t="s">
        <v>59</v>
      </c>
      <c r="K2018" s="65" t="s">
        <v>436</v>
      </c>
      <c r="L2018" s="91">
        <f>SUM(L2016:L2017)</f>
        <v>0</v>
      </c>
      <c r="M2018" s="91">
        <f>SUM(M2016:M2017)</f>
        <v>637</v>
      </c>
      <c r="N2018" s="91">
        <f>SUM(N2016:N2017)</f>
        <v>37</v>
      </c>
      <c r="O2018" s="91"/>
      <c r="P2018" s="91">
        <f>SUM(P2016:P2017)</f>
        <v>0</v>
      </c>
      <c r="Q2018" s="91">
        <f>SUM(Q2016:Q2017)</f>
        <v>0</v>
      </c>
      <c r="R2018" s="91">
        <f>SUM(R2016:R2017)</f>
        <v>0</v>
      </c>
      <c r="S2018" s="91">
        <f>SUM(S2016:S2017)</f>
        <v>0</v>
      </c>
      <c r="T2018" s="91">
        <f>SUM(T2016:T2017)</f>
        <v>0</v>
      </c>
      <c r="U2018" s="59">
        <f t="shared" si="3291"/>
        <v>0</v>
      </c>
      <c r="V2018" s="91">
        <f>SUM(V2016:V2017)</f>
        <v>0</v>
      </c>
      <c r="W2018" s="91">
        <f>SUM(W2016:W2017)</f>
        <v>637</v>
      </c>
      <c r="X2018" s="91">
        <f>SUM(X2016:X2017)</f>
        <v>0</v>
      </c>
      <c r="Y2018" s="136"/>
      <c r="Z2018" s="136"/>
      <c r="AA2018" s="136"/>
      <c r="AB2018" s="84"/>
      <c r="AC2018" s="90"/>
      <c r="AD2018" s="90"/>
      <c r="AE2018" s="100">
        <f t="shared" si="3292"/>
        <v>6.1666666666666668E-2</v>
      </c>
      <c r="AF2018" s="90"/>
      <c r="AG2018" s="109">
        <f t="shared" si="3293"/>
        <v>0</v>
      </c>
      <c r="AH2018" s="100">
        <f t="shared" si="3294"/>
        <v>-1</v>
      </c>
      <c r="AI2018" s="100">
        <f t="shared" si="3295"/>
        <v>6.1666666666666668E-2</v>
      </c>
    </row>
    <row r="2019" spans="1:35" s="47" customFormat="1" ht="21" customHeight="1" x14ac:dyDescent="0.3">
      <c r="A2019" s="78"/>
      <c r="B2019" s="106" t="s">
        <v>51</v>
      </c>
      <c r="C2019" s="117" t="s">
        <v>756</v>
      </c>
      <c r="D2019" s="299">
        <v>15247223</v>
      </c>
      <c r="E2019" s="131" t="s">
        <v>141</v>
      </c>
      <c r="F2019" s="66">
        <v>300</v>
      </c>
      <c r="G2019" s="66"/>
      <c r="H2019" s="66"/>
      <c r="I2019" s="66"/>
      <c r="J2019" s="66"/>
      <c r="K2019" s="78"/>
      <c r="L2019" s="66"/>
      <c r="M2019" s="66">
        <v>319</v>
      </c>
      <c r="N2019" s="110">
        <f t="shared" ref="N2019:N2020" si="3307">M2019-F2019</f>
        <v>19</v>
      </c>
      <c r="O2019" s="110"/>
      <c r="P2019" s="66"/>
      <c r="Q2019" s="66"/>
      <c r="R2019" s="66"/>
      <c r="S2019" s="66"/>
      <c r="T2019" s="110">
        <f>S2019-Q2019</f>
        <v>0</v>
      </c>
      <c r="U2019" s="59">
        <f t="shared" si="3291"/>
        <v>319</v>
      </c>
      <c r="V2019" s="66"/>
      <c r="W2019" s="66"/>
      <c r="X2019" s="110">
        <f>W2019-M2019</f>
        <v>-319</v>
      </c>
      <c r="Y2019" s="110"/>
      <c r="Z2019" s="110"/>
      <c r="AA2019" s="110"/>
      <c r="AB2019" s="46"/>
      <c r="AC2019" s="78"/>
      <c r="AD2019" s="78"/>
      <c r="AE2019" s="100">
        <f t="shared" si="3292"/>
        <v>6.3333333333333339E-2</v>
      </c>
      <c r="AF2019" s="90"/>
      <c r="AG2019" s="109">
        <f t="shared" si="3293"/>
        <v>0</v>
      </c>
      <c r="AH2019" s="100">
        <f t="shared" si="3294"/>
        <v>-1</v>
      </c>
      <c r="AI2019" s="100">
        <f t="shared" si="3295"/>
        <v>-1</v>
      </c>
    </row>
    <row r="2020" spans="1:35" s="47" customFormat="1" ht="21" customHeight="1" x14ac:dyDescent="0.3">
      <c r="A2020" s="78"/>
      <c r="B2020" s="106" t="s">
        <v>51</v>
      </c>
      <c r="C2020" s="117" t="s">
        <v>756</v>
      </c>
      <c r="D2020" s="300"/>
      <c r="E2020" s="131" t="s">
        <v>0</v>
      </c>
      <c r="F2020" s="66">
        <v>300</v>
      </c>
      <c r="G2020" s="66"/>
      <c r="H2020" s="66"/>
      <c r="I2020" s="66"/>
      <c r="J2020" s="66"/>
      <c r="K2020" s="78"/>
      <c r="L2020" s="66"/>
      <c r="M2020" s="66">
        <v>324</v>
      </c>
      <c r="N2020" s="110">
        <f t="shared" si="3307"/>
        <v>24</v>
      </c>
      <c r="O2020" s="110"/>
      <c r="P2020" s="66"/>
      <c r="Q2020" s="66"/>
      <c r="R2020" s="66"/>
      <c r="S2020" s="66"/>
      <c r="T2020" s="110">
        <f t="shared" ref="T2020" si="3308">S2020-Q2020</f>
        <v>0</v>
      </c>
      <c r="U2020" s="59">
        <f t="shared" si="3291"/>
        <v>324</v>
      </c>
      <c r="V2020" s="66"/>
      <c r="W2020" s="66"/>
      <c r="X2020" s="110">
        <f t="shared" ref="X2020" si="3309">W2020-M2020</f>
        <v>-324</v>
      </c>
      <c r="Y2020" s="110"/>
      <c r="Z2020" s="110"/>
      <c r="AA2020" s="110"/>
      <c r="AB2020" s="46"/>
      <c r="AC2020" s="78"/>
      <c r="AD2020" s="78"/>
      <c r="AE2020" s="100">
        <f t="shared" si="3292"/>
        <v>0.08</v>
      </c>
      <c r="AF2020" s="90"/>
      <c r="AG2020" s="109">
        <f t="shared" si="3293"/>
        <v>0</v>
      </c>
      <c r="AH2020" s="100">
        <f t="shared" si="3294"/>
        <v>-1</v>
      </c>
      <c r="AI2020" s="100">
        <f t="shared" si="3295"/>
        <v>-1</v>
      </c>
    </row>
    <row r="2021" spans="1:35" s="79" customFormat="1" ht="15.75" customHeight="1" x14ac:dyDescent="0.3">
      <c r="A2021" s="90" t="s">
        <v>46</v>
      </c>
      <c r="B2021" s="136" t="s">
        <v>51</v>
      </c>
      <c r="C2021" s="137"/>
      <c r="D2021" s="136"/>
      <c r="E2021" s="138"/>
      <c r="F2021" s="91">
        <f>SUM(F2019:F2020)</f>
        <v>600</v>
      </c>
      <c r="G2021" s="91"/>
      <c r="H2021" s="91"/>
      <c r="I2021" s="91"/>
      <c r="J2021" s="91" t="s">
        <v>59</v>
      </c>
      <c r="K2021" s="65" t="s">
        <v>226</v>
      </c>
      <c r="L2021" s="91">
        <f>SUM(L2019:L2020)</f>
        <v>0</v>
      </c>
      <c r="M2021" s="91">
        <f>SUM(M2019:M2020)</f>
        <v>643</v>
      </c>
      <c r="N2021" s="91">
        <f>SUM(N2019:N2020)</f>
        <v>43</v>
      </c>
      <c r="O2021" s="91"/>
      <c r="P2021" s="91">
        <f>SUM(P2019:P2020)</f>
        <v>0</v>
      </c>
      <c r="Q2021" s="91">
        <f>SUM(Q2019:Q2020)</f>
        <v>0</v>
      </c>
      <c r="R2021" s="91">
        <f>SUM(R2019:R2020)</f>
        <v>0</v>
      </c>
      <c r="S2021" s="91">
        <f>SUM(S2019:S2020)</f>
        <v>0</v>
      </c>
      <c r="T2021" s="91">
        <f>SUM(T2019:T2020)</f>
        <v>0</v>
      </c>
      <c r="U2021" s="59">
        <f t="shared" si="3291"/>
        <v>643</v>
      </c>
      <c r="V2021" s="91">
        <f>SUM(V2019:V2020)</f>
        <v>0</v>
      </c>
      <c r="W2021" s="91">
        <f>SUM(W2019:W2020)</f>
        <v>0</v>
      </c>
      <c r="X2021" s="91">
        <f>SUM(X2019:X2020)</f>
        <v>-643</v>
      </c>
      <c r="Y2021" s="136"/>
      <c r="Z2021" s="136"/>
      <c r="AA2021" s="136"/>
      <c r="AB2021" s="84"/>
      <c r="AC2021" s="90"/>
      <c r="AD2021" s="90"/>
      <c r="AE2021" s="100">
        <f t="shared" si="3292"/>
        <v>7.166666666666667E-2</v>
      </c>
      <c r="AF2021" s="90"/>
      <c r="AG2021" s="109">
        <f t="shared" si="3293"/>
        <v>0</v>
      </c>
      <c r="AH2021" s="100">
        <f t="shared" si="3294"/>
        <v>-1</v>
      </c>
      <c r="AI2021" s="100">
        <f t="shared" si="3295"/>
        <v>-1</v>
      </c>
    </row>
    <row r="2022" spans="1:35" s="47" customFormat="1" ht="21" customHeight="1" x14ac:dyDescent="0.3">
      <c r="A2022" s="78"/>
      <c r="B2022" s="106" t="s">
        <v>51</v>
      </c>
      <c r="C2022" s="117" t="s">
        <v>537</v>
      </c>
      <c r="D2022" s="299">
        <v>15318962</v>
      </c>
      <c r="E2022" s="131" t="s">
        <v>538</v>
      </c>
      <c r="F2022" s="66">
        <v>1700</v>
      </c>
      <c r="G2022" s="66"/>
      <c r="H2022" s="66"/>
      <c r="I2022" s="66"/>
      <c r="J2022" s="66"/>
      <c r="K2022" s="78"/>
      <c r="L2022" s="66"/>
      <c r="M2022" s="66">
        <f>700+357+672+25</f>
        <v>1754</v>
      </c>
      <c r="N2022" s="110">
        <f t="shared" ref="N2022:N2023" si="3310">M2022-F2022</f>
        <v>54</v>
      </c>
      <c r="O2022" s="110"/>
      <c r="P2022" s="66"/>
      <c r="Q2022" s="66">
        <f>700+357+672+25</f>
        <v>1754</v>
      </c>
      <c r="R2022" s="66"/>
      <c r="S2022" s="66">
        <f>692+301+725+20</f>
        <v>1738</v>
      </c>
      <c r="T2022" s="110">
        <f>S2022-Q2022</f>
        <v>-16</v>
      </c>
      <c r="U2022" s="59">
        <f t="shared" si="3291"/>
        <v>0</v>
      </c>
      <c r="V2022" s="66"/>
      <c r="W2022" s="66">
        <v>1738</v>
      </c>
      <c r="X2022" s="110">
        <f>W2022-M2022</f>
        <v>-16</v>
      </c>
      <c r="Y2022" s="110"/>
      <c r="Z2022" s="110"/>
      <c r="AA2022" s="110"/>
      <c r="AB2022" s="46"/>
      <c r="AC2022" s="78"/>
      <c r="AD2022" s="78"/>
      <c r="AE2022" s="100">
        <f t="shared" si="3292"/>
        <v>3.1764705882352938E-2</v>
      </c>
      <c r="AF2022" s="90"/>
      <c r="AG2022" s="109">
        <f t="shared" si="3293"/>
        <v>0</v>
      </c>
      <c r="AH2022" s="100">
        <f t="shared" si="3294"/>
        <v>2.2352941176470589E-2</v>
      </c>
      <c r="AI2022" s="100">
        <f t="shared" si="3295"/>
        <v>2.2352941176470589E-2</v>
      </c>
    </row>
    <row r="2023" spans="1:35" s="47" customFormat="1" ht="21" customHeight="1" x14ac:dyDescent="0.3">
      <c r="A2023" s="78"/>
      <c r="B2023" s="106" t="s">
        <v>51</v>
      </c>
      <c r="C2023" s="117" t="s">
        <v>537</v>
      </c>
      <c r="D2023" s="300"/>
      <c r="E2023" s="131" t="s">
        <v>539</v>
      </c>
      <c r="F2023" s="66">
        <v>4875</v>
      </c>
      <c r="G2023" s="66"/>
      <c r="H2023" s="66"/>
      <c r="I2023" s="66"/>
      <c r="J2023" s="66"/>
      <c r="K2023" s="78"/>
      <c r="L2023" s="66"/>
      <c r="M2023" s="66">
        <f>520+288+1448+288+385+364+385+1141+188</f>
        <v>5007</v>
      </c>
      <c r="N2023" s="110">
        <f t="shared" si="3310"/>
        <v>132</v>
      </c>
      <c r="O2023" s="110"/>
      <c r="P2023" s="66"/>
      <c r="Q2023" s="66">
        <f>808+1448+288+364+770+1141+188</f>
        <v>5007</v>
      </c>
      <c r="R2023" s="66"/>
      <c r="S2023" s="66">
        <f>1425+1657+694+626+526</f>
        <v>4928</v>
      </c>
      <c r="T2023" s="110">
        <f t="shared" ref="T2023" si="3311">S2023-Q2023</f>
        <v>-79</v>
      </c>
      <c r="U2023" s="59">
        <f t="shared" si="3291"/>
        <v>0</v>
      </c>
      <c r="V2023" s="66"/>
      <c r="W2023" s="66">
        <v>4928</v>
      </c>
      <c r="X2023" s="110">
        <f t="shared" ref="X2023" si="3312">W2023-M2023</f>
        <v>-79</v>
      </c>
      <c r="Y2023" s="110"/>
      <c r="Z2023" s="110"/>
      <c r="AA2023" s="110"/>
      <c r="AB2023" s="46"/>
      <c r="AC2023" s="78"/>
      <c r="AD2023" s="78"/>
      <c r="AE2023" s="100">
        <f t="shared" si="3292"/>
        <v>2.7076923076923078E-2</v>
      </c>
      <c r="AF2023" s="90"/>
      <c r="AG2023" s="109">
        <f t="shared" si="3293"/>
        <v>0</v>
      </c>
      <c r="AH2023" s="100">
        <f t="shared" si="3294"/>
        <v>1.0871794871794871E-2</v>
      </c>
      <c r="AI2023" s="100">
        <f t="shared" si="3295"/>
        <v>1.0871794871794871E-2</v>
      </c>
    </row>
    <row r="2024" spans="1:35" s="79" customFormat="1" ht="15.75" customHeight="1" x14ac:dyDescent="0.3">
      <c r="A2024" s="90" t="s">
        <v>46</v>
      </c>
      <c r="B2024" s="136" t="s">
        <v>51</v>
      </c>
      <c r="C2024" s="137"/>
      <c r="D2024" s="136"/>
      <c r="E2024" s="138"/>
      <c r="F2024" s="91">
        <f>SUM(F2022:F2023)</f>
        <v>6575</v>
      </c>
      <c r="G2024" s="91"/>
      <c r="H2024" s="91"/>
      <c r="I2024" s="91"/>
      <c r="J2024" s="91" t="s">
        <v>59</v>
      </c>
      <c r="K2024" s="65" t="s">
        <v>290</v>
      </c>
      <c r="L2024" s="91">
        <f>SUM(L2022:L2023)</f>
        <v>0</v>
      </c>
      <c r="M2024" s="91">
        <f>SUM(M2022:M2023)</f>
        <v>6761</v>
      </c>
      <c r="N2024" s="91">
        <f>SUM(N2022:N2023)</f>
        <v>186</v>
      </c>
      <c r="O2024" s="91" t="s">
        <v>316</v>
      </c>
      <c r="P2024" s="91">
        <f>SUM(P2022:P2023)</f>
        <v>0</v>
      </c>
      <c r="Q2024" s="91">
        <f>SUM(Q2022:Q2023)</f>
        <v>6761</v>
      </c>
      <c r="R2024" s="91">
        <f>SUM(R2022:R2023)</f>
        <v>0</v>
      </c>
      <c r="S2024" s="91">
        <f>SUM(S2022:S2023)</f>
        <v>6666</v>
      </c>
      <c r="T2024" s="91">
        <f>SUM(T2022:T2023)</f>
        <v>-95</v>
      </c>
      <c r="U2024" s="59">
        <f t="shared" si="3291"/>
        <v>0</v>
      </c>
      <c r="V2024" s="91">
        <f>SUM(V2022:V2023)</f>
        <v>0</v>
      </c>
      <c r="W2024" s="91">
        <f>SUM(W2022:W2023)</f>
        <v>6666</v>
      </c>
      <c r="X2024" s="91">
        <f>SUM(X2022:X2023)</f>
        <v>-95</v>
      </c>
      <c r="Y2024" s="136" t="s">
        <v>57</v>
      </c>
      <c r="Z2024" s="136" t="s">
        <v>45</v>
      </c>
      <c r="AA2024" s="136"/>
      <c r="AB2024" s="84"/>
      <c r="AC2024" s="90"/>
      <c r="AD2024" s="90"/>
      <c r="AE2024" s="100">
        <f t="shared" si="3292"/>
        <v>2.8288973384030417E-2</v>
      </c>
      <c r="AF2024" s="90"/>
      <c r="AG2024" s="109">
        <f t="shared" si="3293"/>
        <v>0</v>
      </c>
      <c r="AH2024" s="100">
        <f t="shared" si="3294"/>
        <v>1.3840304182509505E-2</v>
      </c>
      <c r="AI2024" s="100">
        <f t="shared" si="3295"/>
        <v>1.3840304182509505E-2</v>
      </c>
    </row>
    <row r="2025" spans="1:35" s="47" customFormat="1" ht="21" customHeight="1" x14ac:dyDescent="0.3">
      <c r="A2025" s="78"/>
      <c r="B2025" s="106" t="s">
        <v>51</v>
      </c>
      <c r="C2025" s="117" t="s">
        <v>536</v>
      </c>
      <c r="D2025" s="299">
        <v>15316153</v>
      </c>
      <c r="E2025" s="131" t="s">
        <v>292</v>
      </c>
      <c r="F2025" s="66">
        <v>1704</v>
      </c>
      <c r="G2025" s="66"/>
      <c r="H2025" s="66"/>
      <c r="I2025" s="66"/>
      <c r="J2025" s="66"/>
      <c r="K2025" s="78"/>
      <c r="L2025" s="66"/>
      <c r="M2025" s="66">
        <f>840+216+252+468</f>
        <v>1776</v>
      </c>
      <c r="N2025" s="110">
        <f t="shared" ref="N2025:N2026" si="3313">M2025-F2025</f>
        <v>72</v>
      </c>
      <c r="O2025" s="110"/>
      <c r="P2025" s="66"/>
      <c r="Q2025" s="66">
        <f>831+468+477</f>
        <v>1776</v>
      </c>
      <c r="R2025" s="66"/>
      <c r="S2025" s="66">
        <f>810+468+498</f>
        <v>1776</v>
      </c>
      <c r="T2025" s="110">
        <f>S2025-Q2025</f>
        <v>0</v>
      </c>
      <c r="U2025" s="59">
        <f t="shared" si="3291"/>
        <v>33</v>
      </c>
      <c r="V2025" s="66"/>
      <c r="W2025" s="66">
        <v>1743</v>
      </c>
      <c r="X2025" s="110">
        <f>W2025-M2025</f>
        <v>-33</v>
      </c>
      <c r="Y2025" s="110"/>
      <c r="Z2025" s="110"/>
      <c r="AA2025" s="110"/>
      <c r="AB2025" s="46"/>
      <c r="AC2025" s="78"/>
      <c r="AD2025" s="78"/>
      <c r="AE2025" s="100">
        <f t="shared" si="3292"/>
        <v>4.2253521126760563E-2</v>
      </c>
      <c r="AF2025" s="90"/>
      <c r="AG2025" s="109">
        <f t="shared" si="3293"/>
        <v>0</v>
      </c>
      <c r="AH2025" s="100">
        <f t="shared" si="3294"/>
        <v>4.2253521126760563E-2</v>
      </c>
      <c r="AI2025" s="100">
        <f t="shared" si="3295"/>
        <v>2.2887323943661973E-2</v>
      </c>
    </row>
    <row r="2026" spans="1:35" s="47" customFormat="1" ht="21" customHeight="1" x14ac:dyDescent="0.3">
      <c r="A2026" s="78"/>
      <c r="B2026" s="106" t="s">
        <v>51</v>
      </c>
      <c r="C2026" s="117" t="s">
        <v>536</v>
      </c>
      <c r="D2026" s="300"/>
      <c r="E2026" s="131" t="s">
        <v>228</v>
      </c>
      <c r="F2026" s="66">
        <v>1704</v>
      </c>
      <c r="G2026" s="66"/>
      <c r="H2026" s="66"/>
      <c r="I2026" s="66"/>
      <c r="J2026" s="66"/>
      <c r="K2026" s="78"/>
      <c r="L2026" s="66"/>
      <c r="M2026" s="66">
        <f>462+378+907</f>
        <v>1747</v>
      </c>
      <c r="N2026" s="110">
        <f t="shared" si="3313"/>
        <v>43</v>
      </c>
      <c r="O2026" s="110"/>
      <c r="P2026" s="66"/>
      <c r="Q2026" s="66">
        <v>1747</v>
      </c>
      <c r="R2026" s="66"/>
      <c r="S2026" s="66">
        <v>1747</v>
      </c>
      <c r="T2026" s="110">
        <f t="shared" ref="T2026" si="3314">S2026-Q2026</f>
        <v>0</v>
      </c>
      <c r="U2026" s="59">
        <f t="shared" si="3291"/>
        <v>0</v>
      </c>
      <c r="V2026" s="66"/>
      <c r="W2026" s="66">
        <v>1747</v>
      </c>
      <c r="X2026" s="110">
        <f t="shared" ref="X2026" si="3315">W2026-M2026</f>
        <v>0</v>
      </c>
      <c r="Y2026" s="110"/>
      <c r="Z2026" s="110"/>
      <c r="AA2026" s="110"/>
      <c r="AB2026" s="46"/>
      <c r="AC2026" s="78"/>
      <c r="AD2026" s="78"/>
      <c r="AE2026" s="100">
        <f t="shared" si="3292"/>
        <v>2.5234741784037559E-2</v>
      </c>
      <c r="AF2026" s="90"/>
      <c r="AG2026" s="109">
        <f t="shared" si="3293"/>
        <v>0</v>
      </c>
      <c r="AH2026" s="100">
        <f t="shared" si="3294"/>
        <v>2.5234741784037559E-2</v>
      </c>
      <c r="AI2026" s="100">
        <f t="shared" si="3295"/>
        <v>2.5234741784037559E-2</v>
      </c>
    </row>
    <row r="2027" spans="1:35" s="79" customFormat="1" ht="15.75" customHeight="1" x14ac:dyDescent="0.3">
      <c r="A2027" s="90" t="s">
        <v>46</v>
      </c>
      <c r="B2027" s="136" t="s">
        <v>51</v>
      </c>
      <c r="C2027" s="137"/>
      <c r="D2027" s="136"/>
      <c r="E2027" s="138"/>
      <c r="F2027" s="91">
        <f>SUM(F2025:F2026)</f>
        <v>3408</v>
      </c>
      <c r="G2027" s="91"/>
      <c r="H2027" s="91"/>
      <c r="I2027" s="91"/>
      <c r="J2027" s="91" t="s">
        <v>59</v>
      </c>
      <c r="K2027" s="65" t="s">
        <v>290</v>
      </c>
      <c r="L2027" s="91">
        <f>SUM(L2025:L2026)</f>
        <v>0</v>
      </c>
      <c r="M2027" s="91">
        <f>SUM(M2025:M2026)</f>
        <v>3523</v>
      </c>
      <c r="N2027" s="91">
        <f>SUM(N2025:N2026)</f>
        <v>115</v>
      </c>
      <c r="O2027" s="91" t="s">
        <v>175</v>
      </c>
      <c r="P2027" s="91">
        <f>SUM(P2025:P2026)</f>
        <v>0</v>
      </c>
      <c r="Q2027" s="91">
        <f>SUM(Q2025:Q2026)</f>
        <v>3523</v>
      </c>
      <c r="R2027" s="91">
        <f>SUM(R2025:R2026)</f>
        <v>0</v>
      </c>
      <c r="S2027" s="91">
        <f>SUM(S2025:S2026)</f>
        <v>3523</v>
      </c>
      <c r="T2027" s="91">
        <f>SUM(T2025:T2026)</f>
        <v>0</v>
      </c>
      <c r="U2027" s="59">
        <f t="shared" si="3291"/>
        <v>33</v>
      </c>
      <c r="V2027" s="91">
        <f>SUM(V2025:V2026)</f>
        <v>0</v>
      </c>
      <c r="W2027" s="91">
        <f>SUM(W2025:W2026)</f>
        <v>3490</v>
      </c>
      <c r="X2027" s="91">
        <f>SUM(X2025:X2026)</f>
        <v>-33</v>
      </c>
      <c r="Y2027" s="136" t="s">
        <v>48</v>
      </c>
      <c r="Z2027" s="136" t="s">
        <v>45</v>
      </c>
      <c r="AA2027" s="136"/>
      <c r="AB2027" s="84"/>
      <c r="AC2027" s="90"/>
      <c r="AD2027" s="90"/>
      <c r="AE2027" s="100">
        <f t="shared" si="3292"/>
        <v>3.3744131455399062E-2</v>
      </c>
      <c r="AF2027" s="90"/>
      <c r="AG2027" s="109">
        <f t="shared" si="3293"/>
        <v>0</v>
      </c>
      <c r="AH2027" s="100">
        <f t="shared" si="3294"/>
        <v>3.3744131455399062E-2</v>
      </c>
      <c r="AI2027" s="100">
        <f t="shared" si="3295"/>
        <v>2.4061032863849766E-2</v>
      </c>
    </row>
    <row r="2028" spans="1:35" s="47" customFormat="1" ht="21" customHeight="1" x14ac:dyDescent="0.3">
      <c r="A2028" s="78"/>
      <c r="B2028" s="106" t="s">
        <v>51</v>
      </c>
      <c r="C2028" s="117">
        <v>48171</v>
      </c>
      <c r="D2028" s="299">
        <v>15388040</v>
      </c>
      <c r="E2028" s="131" t="s">
        <v>308</v>
      </c>
      <c r="F2028" s="66">
        <v>1392</v>
      </c>
      <c r="G2028" s="66"/>
      <c r="H2028" s="66"/>
      <c r="I2028" s="66"/>
      <c r="J2028" s="66"/>
      <c r="K2028" s="78"/>
      <c r="L2028" s="66"/>
      <c r="M2028" s="66">
        <f>1411+20</f>
        <v>1431</v>
      </c>
      <c r="N2028" s="110">
        <f t="shared" ref="N2028:N2034" si="3316">M2028-F2028</f>
        <v>39</v>
      </c>
      <c r="O2028" s="110"/>
      <c r="P2028" s="66"/>
      <c r="Q2028" s="66">
        <f>1411+20</f>
        <v>1431</v>
      </c>
      <c r="R2028" s="66"/>
      <c r="S2028" s="66">
        <f>1411+20</f>
        <v>1431</v>
      </c>
      <c r="T2028" s="110">
        <f>S2028-Q2028</f>
        <v>0</v>
      </c>
      <c r="U2028" s="59">
        <f t="shared" ref="U2028:U2035" si="3317">IF(Q2028&gt;0,S2028-W2028,M2028-W2028)</f>
        <v>4</v>
      </c>
      <c r="V2028" s="66"/>
      <c r="W2028" s="66">
        <f>1405+22</f>
        <v>1427</v>
      </c>
      <c r="X2028" s="110">
        <f>W2028-M2028</f>
        <v>-4</v>
      </c>
      <c r="Y2028" s="110"/>
      <c r="Z2028" s="110"/>
      <c r="AA2028" s="110"/>
      <c r="AB2028" s="46"/>
      <c r="AC2028" s="78"/>
      <c r="AD2028" s="78"/>
      <c r="AE2028" s="100">
        <f t="shared" ref="AE2028:AE2035" si="3318">N2028/F2028</f>
        <v>2.8017241379310345E-2</v>
      </c>
      <c r="AF2028" s="90"/>
      <c r="AG2028" s="109">
        <f t="shared" ref="AG2028:AG2035" si="3319">IF(N2028&lt;0,N2028,0)</f>
        <v>0</v>
      </c>
      <c r="AH2028" s="100">
        <f t="shared" ref="AH2028:AH2035" si="3320">(S2028-F2028)/F2028</f>
        <v>2.8017241379310345E-2</v>
      </c>
      <c r="AI2028" s="100">
        <f t="shared" ref="AI2028:AI2035" si="3321">(W2028-F2028)/F2028</f>
        <v>2.5143678160919541E-2</v>
      </c>
    </row>
    <row r="2029" spans="1:35" s="47" customFormat="1" ht="21" customHeight="1" x14ac:dyDescent="0.3">
      <c r="A2029" s="78"/>
      <c r="B2029" s="106" t="s">
        <v>51</v>
      </c>
      <c r="C2029" s="117">
        <v>48171</v>
      </c>
      <c r="D2029" s="300"/>
      <c r="E2029" s="131" t="s">
        <v>309</v>
      </c>
      <c r="F2029" s="66">
        <v>1345</v>
      </c>
      <c r="G2029" s="66"/>
      <c r="H2029" s="66"/>
      <c r="I2029" s="66"/>
      <c r="J2029" s="66"/>
      <c r="K2029" s="78"/>
      <c r="L2029" s="66"/>
      <c r="M2029" s="66">
        <f>828+558</f>
        <v>1386</v>
      </c>
      <c r="N2029" s="110">
        <f t="shared" si="3316"/>
        <v>41</v>
      </c>
      <c r="O2029" s="110"/>
      <c r="P2029" s="66"/>
      <c r="Q2029" s="66">
        <f>528+858</f>
        <v>1386</v>
      </c>
      <c r="R2029" s="66"/>
      <c r="S2029" s="66">
        <v>1384</v>
      </c>
      <c r="T2029" s="110">
        <f t="shared" ref="T2029:T2034" si="3322">S2029-Q2029</f>
        <v>-2</v>
      </c>
      <c r="U2029" s="59">
        <f t="shared" si="3317"/>
        <v>8</v>
      </c>
      <c r="V2029" s="66"/>
      <c r="W2029" s="66">
        <v>1376</v>
      </c>
      <c r="X2029" s="110">
        <f t="shared" ref="X2029:X2034" si="3323">W2029-M2029</f>
        <v>-10</v>
      </c>
      <c r="Y2029" s="110"/>
      <c r="Z2029" s="110"/>
      <c r="AA2029" s="110"/>
      <c r="AB2029" s="46"/>
      <c r="AC2029" s="78"/>
      <c r="AD2029" s="78"/>
      <c r="AE2029" s="100">
        <f t="shared" si="3318"/>
        <v>3.0483271375464683E-2</v>
      </c>
      <c r="AF2029" s="90"/>
      <c r="AG2029" s="109">
        <f t="shared" si="3319"/>
        <v>0</v>
      </c>
      <c r="AH2029" s="100">
        <f t="shared" si="3320"/>
        <v>2.8996282527881039E-2</v>
      </c>
      <c r="AI2029" s="100">
        <f t="shared" si="3321"/>
        <v>2.3048327137546468E-2</v>
      </c>
    </row>
    <row r="2030" spans="1:35" s="47" customFormat="1" ht="21" customHeight="1" x14ac:dyDescent="0.3">
      <c r="A2030" s="78"/>
      <c r="B2030" s="106" t="s">
        <v>51</v>
      </c>
      <c r="C2030" s="117">
        <v>48171</v>
      </c>
      <c r="D2030" s="300"/>
      <c r="E2030" s="131" t="s">
        <v>292</v>
      </c>
      <c r="F2030" s="66">
        <v>1492</v>
      </c>
      <c r="G2030" s="66"/>
      <c r="H2030" s="66"/>
      <c r="I2030" s="66"/>
      <c r="J2030" s="66"/>
      <c r="K2030" s="78"/>
      <c r="L2030" s="66"/>
      <c r="M2030" s="66">
        <f>1533</f>
        <v>1533</v>
      </c>
      <c r="N2030" s="110">
        <f t="shared" si="3316"/>
        <v>41</v>
      </c>
      <c r="O2030" s="110"/>
      <c r="P2030" s="66"/>
      <c r="Q2030" s="66">
        <f>1068+465</f>
        <v>1533</v>
      </c>
      <c r="R2030" s="66"/>
      <c r="S2030" s="66">
        <v>1533</v>
      </c>
      <c r="T2030" s="110">
        <f t="shared" si="3322"/>
        <v>0</v>
      </c>
      <c r="U2030" s="59">
        <f t="shared" si="3317"/>
        <v>7</v>
      </c>
      <c r="V2030" s="66"/>
      <c r="W2030" s="66">
        <v>1526</v>
      </c>
      <c r="X2030" s="110">
        <f t="shared" si="3323"/>
        <v>-7</v>
      </c>
      <c r="Y2030" s="110"/>
      <c r="Z2030" s="110"/>
      <c r="AA2030" s="110"/>
      <c r="AB2030" s="46"/>
      <c r="AC2030" s="78"/>
      <c r="AD2030" s="78"/>
      <c r="AE2030" s="100">
        <f t="shared" si="3318"/>
        <v>2.7479892761394103E-2</v>
      </c>
      <c r="AF2030" s="90"/>
      <c r="AG2030" s="109">
        <f t="shared" si="3319"/>
        <v>0</v>
      </c>
      <c r="AH2030" s="100">
        <f t="shared" si="3320"/>
        <v>2.7479892761394103E-2</v>
      </c>
      <c r="AI2030" s="100">
        <f t="shared" si="3321"/>
        <v>2.2788203753351208E-2</v>
      </c>
    </row>
    <row r="2031" spans="1:35" s="47" customFormat="1" ht="21" customHeight="1" x14ac:dyDescent="0.3">
      <c r="A2031" s="78"/>
      <c r="B2031" s="106" t="s">
        <v>51</v>
      </c>
      <c r="C2031" s="117">
        <v>48171</v>
      </c>
      <c r="D2031" s="300"/>
      <c r="E2031" s="131" t="s">
        <v>310</v>
      </c>
      <c r="F2031" s="66">
        <v>633</v>
      </c>
      <c r="G2031" s="66"/>
      <c r="H2031" s="66"/>
      <c r="I2031" s="66"/>
      <c r="J2031" s="66"/>
      <c r="K2031" s="78"/>
      <c r="L2031" s="66"/>
      <c r="M2031" s="66">
        <f>438+227</f>
        <v>665</v>
      </c>
      <c r="N2031" s="110">
        <f t="shared" si="3316"/>
        <v>32</v>
      </c>
      <c r="O2031" s="110"/>
      <c r="P2031" s="66"/>
      <c r="Q2031" s="66">
        <v>665</v>
      </c>
      <c r="R2031" s="66"/>
      <c r="S2031" s="66">
        <v>660</v>
      </c>
      <c r="T2031" s="110">
        <f t="shared" si="3322"/>
        <v>-5</v>
      </c>
      <c r="U2031" s="59">
        <f t="shared" si="3317"/>
        <v>1</v>
      </c>
      <c r="V2031" s="66"/>
      <c r="W2031" s="66">
        <v>659</v>
      </c>
      <c r="X2031" s="110">
        <f t="shared" si="3323"/>
        <v>-6</v>
      </c>
      <c r="Y2031" s="110"/>
      <c r="Z2031" s="110"/>
      <c r="AA2031" s="110"/>
      <c r="AB2031" s="46"/>
      <c r="AC2031" s="78"/>
      <c r="AD2031" s="78"/>
      <c r="AE2031" s="100">
        <f t="shared" si="3318"/>
        <v>5.0552922590837282E-2</v>
      </c>
      <c r="AF2031" s="90"/>
      <c r="AG2031" s="109">
        <f t="shared" si="3319"/>
        <v>0</v>
      </c>
      <c r="AH2031" s="100">
        <f t="shared" si="3320"/>
        <v>4.2654028436018961E-2</v>
      </c>
      <c r="AI2031" s="100">
        <f t="shared" si="3321"/>
        <v>4.1074249605055291E-2</v>
      </c>
    </row>
    <row r="2032" spans="1:35" s="47" customFormat="1" ht="21" customHeight="1" x14ac:dyDescent="0.3">
      <c r="A2032" s="78"/>
      <c r="B2032" s="106" t="s">
        <v>51</v>
      </c>
      <c r="C2032" s="117">
        <v>48171</v>
      </c>
      <c r="D2032" s="300"/>
      <c r="E2032" s="131" t="s">
        <v>233</v>
      </c>
      <c r="F2032" s="66">
        <v>1662</v>
      </c>
      <c r="G2032" s="66"/>
      <c r="H2032" s="66"/>
      <c r="I2032" s="66"/>
      <c r="J2032" s="66"/>
      <c r="K2032" s="78"/>
      <c r="L2032" s="66"/>
      <c r="M2032" s="66">
        <v>1701</v>
      </c>
      <c r="N2032" s="110">
        <f t="shared" si="3316"/>
        <v>39</v>
      </c>
      <c r="O2032" s="110"/>
      <c r="P2032" s="66"/>
      <c r="Q2032" s="66">
        <v>1701</v>
      </c>
      <c r="R2032" s="66"/>
      <c r="S2032" s="66">
        <v>1701</v>
      </c>
      <c r="T2032" s="110">
        <f t="shared" si="3322"/>
        <v>0</v>
      </c>
      <c r="U2032" s="59">
        <f t="shared" si="3317"/>
        <v>9</v>
      </c>
      <c r="V2032" s="66"/>
      <c r="W2032" s="66">
        <v>1692</v>
      </c>
      <c r="X2032" s="110">
        <f t="shared" si="3323"/>
        <v>-9</v>
      </c>
      <c r="Y2032" s="110"/>
      <c r="Z2032" s="110"/>
      <c r="AA2032" s="110"/>
      <c r="AB2032" s="46"/>
      <c r="AC2032" s="78"/>
      <c r="AD2032" s="78"/>
      <c r="AE2032" s="100">
        <f t="shared" si="3318"/>
        <v>2.3465703971119134E-2</v>
      </c>
      <c r="AF2032" s="90"/>
      <c r="AG2032" s="109">
        <f t="shared" si="3319"/>
        <v>0</v>
      </c>
      <c r="AH2032" s="100">
        <f t="shared" si="3320"/>
        <v>2.3465703971119134E-2</v>
      </c>
      <c r="AI2032" s="100">
        <f t="shared" si="3321"/>
        <v>1.8050541516245487E-2</v>
      </c>
    </row>
    <row r="2033" spans="1:35" s="47" customFormat="1" ht="21" customHeight="1" x14ac:dyDescent="0.3">
      <c r="A2033" s="78"/>
      <c r="B2033" s="106" t="s">
        <v>51</v>
      </c>
      <c r="C2033" s="117">
        <v>48171</v>
      </c>
      <c r="D2033" s="300"/>
      <c r="E2033" s="131" t="s">
        <v>0</v>
      </c>
      <c r="F2033" s="66">
        <v>1527</v>
      </c>
      <c r="G2033" s="66"/>
      <c r="H2033" s="66"/>
      <c r="I2033" s="66"/>
      <c r="J2033" s="66"/>
      <c r="K2033" s="78"/>
      <c r="L2033" s="66"/>
      <c r="M2033" s="66">
        <f>1014+462+85</f>
        <v>1561</v>
      </c>
      <c r="N2033" s="110">
        <f t="shared" si="3316"/>
        <v>34</v>
      </c>
      <c r="O2033" s="110"/>
      <c r="P2033" s="66"/>
      <c r="Q2033" s="66">
        <f>1476+85</f>
        <v>1561</v>
      </c>
      <c r="R2033" s="66"/>
      <c r="S2033" s="66">
        <f>1471+85</f>
        <v>1556</v>
      </c>
      <c r="T2033" s="110">
        <f t="shared" si="3322"/>
        <v>-5</v>
      </c>
      <c r="U2033" s="59">
        <f t="shared" si="3317"/>
        <v>4</v>
      </c>
      <c r="V2033" s="66"/>
      <c r="W2033" s="66">
        <f>1467+85</f>
        <v>1552</v>
      </c>
      <c r="X2033" s="110">
        <f t="shared" si="3323"/>
        <v>-9</v>
      </c>
      <c r="Y2033" s="110"/>
      <c r="Z2033" s="110"/>
      <c r="AA2033" s="110"/>
      <c r="AB2033" s="46"/>
      <c r="AC2033" s="78"/>
      <c r="AD2033" s="78"/>
      <c r="AE2033" s="100">
        <f t="shared" si="3318"/>
        <v>2.2265880812049769E-2</v>
      </c>
      <c r="AF2033" s="90"/>
      <c r="AG2033" s="109">
        <f t="shared" si="3319"/>
        <v>0</v>
      </c>
      <c r="AH2033" s="100">
        <f t="shared" si="3320"/>
        <v>1.8991486574983629E-2</v>
      </c>
      <c r="AI2033" s="100">
        <f t="shared" si="3321"/>
        <v>1.6371971185330715E-2</v>
      </c>
    </row>
    <row r="2034" spans="1:35" s="47" customFormat="1" ht="21" customHeight="1" x14ac:dyDescent="0.3">
      <c r="A2034" s="78"/>
      <c r="B2034" s="106" t="s">
        <v>51</v>
      </c>
      <c r="C2034" s="117">
        <v>48171</v>
      </c>
      <c r="D2034" s="300"/>
      <c r="E2034" s="131" t="s">
        <v>49</v>
      </c>
      <c r="F2034" s="66">
        <v>2527</v>
      </c>
      <c r="G2034" s="66"/>
      <c r="H2034" s="66"/>
      <c r="I2034" s="66"/>
      <c r="J2034" s="66"/>
      <c r="K2034" s="78"/>
      <c r="L2034" s="66"/>
      <c r="M2034" s="66">
        <f>600+600+1387</f>
        <v>2587</v>
      </c>
      <c r="N2034" s="110">
        <f t="shared" si="3316"/>
        <v>60</v>
      </c>
      <c r="O2034" s="110"/>
      <c r="P2034" s="66"/>
      <c r="Q2034" s="66">
        <f>600+600+1387</f>
        <v>2587</v>
      </c>
      <c r="R2034" s="66"/>
      <c r="S2034" s="66">
        <f>1748+831</f>
        <v>2579</v>
      </c>
      <c r="T2034" s="110">
        <f t="shared" si="3322"/>
        <v>-8</v>
      </c>
      <c r="U2034" s="59">
        <f t="shared" si="3317"/>
        <v>22</v>
      </c>
      <c r="V2034" s="66"/>
      <c r="W2034" s="66">
        <v>2557</v>
      </c>
      <c r="X2034" s="110">
        <f t="shared" si="3323"/>
        <v>-30</v>
      </c>
      <c r="Y2034" s="110"/>
      <c r="Z2034" s="110"/>
      <c r="AA2034" s="110"/>
      <c r="AB2034" s="46"/>
      <c r="AC2034" s="78"/>
      <c r="AD2034" s="78"/>
      <c r="AE2034" s="100">
        <f t="shared" si="3318"/>
        <v>2.3743569449940639E-2</v>
      </c>
      <c r="AF2034" s="90"/>
      <c r="AG2034" s="109">
        <f t="shared" si="3319"/>
        <v>0</v>
      </c>
      <c r="AH2034" s="100">
        <f t="shared" si="3320"/>
        <v>2.0577760189948554E-2</v>
      </c>
      <c r="AI2034" s="100">
        <f t="shared" si="3321"/>
        <v>1.187178472497032E-2</v>
      </c>
    </row>
    <row r="2035" spans="1:35" s="79" customFormat="1" ht="15.75" customHeight="1" x14ac:dyDescent="0.3">
      <c r="A2035" s="90" t="s">
        <v>46</v>
      </c>
      <c r="B2035" s="136" t="s">
        <v>51</v>
      </c>
      <c r="C2035" s="137"/>
      <c r="D2035" s="136"/>
      <c r="E2035" s="138"/>
      <c r="F2035" s="91">
        <f>SUM(F2028:F2034)</f>
        <v>10578</v>
      </c>
      <c r="G2035" s="91"/>
      <c r="H2035" s="91"/>
      <c r="I2035" s="91"/>
      <c r="J2035" s="91" t="s">
        <v>59</v>
      </c>
      <c r="K2035" s="65" t="s">
        <v>290</v>
      </c>
      <c r="L2035" s="91">
        <f>SUM(L2028:L2034)</f>
        <v>0</v>
      </c>
      <c r="M2035" s="91">
        <f>SUM(M2028:M2034)</f>
        <v>10864</v>
      </c>
      <c r="N2035" s="91">
        <f>SUM(N2028:N2034)</f>
        <v>286</v>
      </c>
      <c r="O2035" s="91" t="s">
        <v>473</v>
      </c>
      <c r="P2035" s="91">
        <f>SUM(P2028:P2034)</f>
        <v>0</v>
      </c>
      <c r="Q2035" s="91">
        <f>SUM(Q2028:Q2034)</f>
        <v>10864</v>
      </c>
      <c r="R2035" s="91">
        <f>SUM(R2028:R2034)</f>
        <v>0</v>
      </c>
      <c r="S2035" s="91">
        <f>SUM(S2028:S2034)</f>
        <v>10844</v>
      </c>
      <c r="T2035" s="91">
        <f>SUM(T2028:T2034)</f>
        <v>-20</v>
      </c>
      <c r="U2035" s="59">
        <f t="shared" si="3317"/>
        <v>55</v>
      </c>
      <c r="V2035" s="91">
        <f>SUM(V2028:V2034)</f>
        <v>0</v>
      </c>
      <c r="W2035" s="91">
        <f>SUM(W2028:W2034)</f>
        <v>10789</v>
      </c>
      <c r="X2035" s="91">
        <f>SUM(X2028:X2034)</f>
        <v>-75</v>
      </c>
      <c r="Y2035" s="136" t="s">
        <v>47</v>
      </c>
      <c r="Z2035" s="136" t="s">
        <v>45</v>
      </c>
      <c r="AA2035" s="136"/>
      <c r="AB2035" s="84"/>
      <c r="AC2035" s="90"/>
      <c r="AD2035" s="90"/>
      <c r="AE2035" s="100">
        <f t="shared" si="3318"/>
        <v>2.7037247116657212E-2</v>
      </c>
      <c r="AF2035" s="90"/>
      <c r="AG2035" s="109">
        <f t="shared" si="3319"/>
        <v>0</v>
      </c>
      <c r="AH2035" s="100">
        <f t="shared" si="3320"/>
        <v>2.5146530535072792E-2</v>
      </c>
      <c r="AI2035" s="100">
        <f t="shared" si="3321"/>
        <v>1.9947059935715637E-2</v>
      </c>
    </row>
    <row r="2036" spans="1:35" s="47" customFormat="1" ht="21" customHeight="1" x14ac:dyDescent="0.3">
      <c r="A2036" s="78"/>
      <c r="B2036" s="106" t="s">
        <v>51</v>
      </c>
      <c r="C2036" s="117">
        <v>48172</v>
      </c>
      <c r="D2036" s="299">
        <v>15388038</v>
      </c>
      <c r="E2036" s="131" t="s">
        <v>49</v>
      </c>
      <c r="F2036" s="66">
        <v>719</v>
      </c>
      <c r="G2036" s="66"/>
      <c r="H2036" s="66"/>
      <c r="I2036" s="66"/>
      <c r="J2036" s="66"/>
      <c r="K2036" s="78"/>
      <c r="L2036" s="66"/>
      <c r="M2036" s="66"/>
      <c r="N2036" s="110">
        <f t="shared" ref="N2036:N2039" si="3324">M2036-F2036</f>
        <v>-719</v>
      </c>
      <c r="O2036" s="110"/>
      <c r="P2036" s="66"/>
      <c r="Q2036" s="66"/>
      <c r="R2036" s="66"/>
      <c r="S2036" s="66"/>
      <c r="T2036" s="110">
        <f>S2036-Q2036</f>
        <v>0</v>
      </c>
      <c r="U2036" s="59">
        <f t="shared" si="3291"/>
        <v>0</v>
      </c>
      <c r="V2036" s="66"/>
      <c r="W2036" s="66"/>
      <c r="X2036" s="110">
        <f>W2036-M2036</f>
        <v>0</v>
      </c>
      <c r="Y2036" s="110"/>
      <c r="Z2036" s="110"/>
      <c r="AA2036" s="110"/>
      <c r="AB2036" s="46"/>
      <c r="AC2036" s="78"/>
      <c r="AD2036" s="78"/>
      <c r="AE2036" s="100">
        <f t="shared" si="3292"/>
        <v>-1</v>
      </c>
      <c r="AF2036" s="90"/>
      <c r="AG2036" s="109">
        <f t="shared" si="3293"/>
        <v>-719</v>
      </c>
      <c r="AH2036" s="100">
        <f t="shared" si="3294"/>
        <v>-1</v>
      </c>
      <c r="AI2036" s="100">
        <f t="shared" si="3295"/>
        <v>-1</v>
      </c>
    </row>
    <row r="2037" spans="1:35" s="47" customFormat="1" ht="21" customHeight="1" x14ac:dyDescent="0.3">
      <c r="A2037" s="78"/>
      <c r="B2037" s="106" t="s">
        <v>51</v>
      </c>
      <c r="C2037" s="117">
        <v>48172</v>
      </c>
      <c r="D2037" s="300"/>
      <c r="E2037" s="131" t="s">
        <v>309</v>
      </c>
      <c r="F2037" s="66">
        <v>609</v>
      </c>
      <c r="G2037" s="66"/>
      <c r="H2037" s="66"/>
      <c r="I2037" s="66"/>
      <c r="J2037" s="66"/>
      <c r="K2037" s="78"/>
      <c r="L2037" s="66"/>
      <c r="M2037" s="66"/>
      <c r="N2037" s="110">
        <f t="shared" ref="N2037:N2038" si="3325">M2037-F2037</f>
        <v>-609</v>
      </c>
      <c r="O2037" s="110"/>
      <c r="P2037" s="66"/>
      <c r="Q2037" s="66"/>
      <c r="R2037" s="66"/>
      <c r="S2037" s="66"/>
      <c r="T2037" s="110">
        <f t="shared" ref="T2037:T2038" si="3326">S2037-Q2037</f>
        <v>0</v>
      </c>
      <c r="U2037" s="59">
        <f t="shared" ref="U2037:U2038" si="3327">IF(Q2037&gt;0,S2037-W2037,M2037-W2037)</f>
        <v>0</v>
      </c>
      <c r="V2037" s="66"/>
      <c r="W2037" s="66"/>
      <c r="X2037" s="110">
        <f t="shared" ref="X2037:X2038" si="3328">W2037-M2037</f>
        <v>0</v>
      </c>
      <c r="Y2037" s="110"/>
      <c r="Z2037" s="110"/>
      <c r="AA2037" s="110"/>
      <c r="AB2037" s="46"/>
      <c r="AC2037" s="78"/>
      <c r="AD2037" s="78"/>
      <c r="AE2037" s="100">
        <f t="shared" ref="AE2037:AE2038" si="3329">N2037/F2037</f>
        <v>-1</v>
      </c>
      <c r="AF2037" s="90"/>
      <c r="AG2037" s="109">
        <f t="shared" ref="AG2037:AG2038" si="3330">IF(N2037&lt;0,N2037,0)</f>
        <v>-609</v>
      </c>
      <c r="AH2037" s="100">
        <f t="shared" ref="AH2037:AH2038" si="3331">(S2037-F2037)/F2037</f>
        <v>-1</v>
      </c>
      <c r="AI2037" s="100">
        <f t="shared" ref="AI2037:AI2038" si="3332">(W2037-F2037)/F2037</f>
        <v>-1</v>
      </c>
    </row>
    <row r="2038" spans="1:35" s="47" customFormat="1" ht="21" customHeight="1" x14ac:dyDescent="0.3">
      <c r="A2038" s="78"/>
      <c r="B2038" s="106" t="s">
        <v>51</v>
      </c>
      <c r="C2038" s="117">
        <v>48172</v>
      </c>
      <c r="D2038" s="300"/>
      <c r="E2038" s="131" t="s">
        <v>292</v>
      </c>
      <c r="F2038" s="66">
        <v>504</v>
      </c>
      <c r="G2038" s="66"/>
      <c r="H2038" s="66"/>
      <c r="I2038" s="66"/>
      <c r="J2038" s="66"/>
      <c r="K2038" s="78"/>
      <c r="L2038" s="66"/>
      <c r="M2038" s="66"/>
      <c r="N2038" s="110">
        <f t="shared" si="3325"/>
        <v>-504</v>
      </c>
      <c r="O2038" s="110"/>
      <c r="P2038" s="66"/>
      <c r="Q2038" s="66"/>
      <c r="R2038" s="66"/>
      <c r="S2038" s="66"/>
      <c r="T2038" s="110">
        <f t="shared" si="3326"/>
        <v>0</v>
      </c>
      <c r="U2038" s="59">
        <f t="shared" si="3327"/>
        <v>0</v>
      </c>
      <c r="V2038" s="66"/>
      <c r="W2038" s="66"/>
      <c r="X2038" s="110">
        <f t="shared" si="3328"/>
        <v>0</v>
      </c>
      <c r="Y2038" s="110"/>
      <c r="Z2038" s="110"/>
      <c r="AA2038" s="110"/>
      <c r="AB2038" s="46"/>
      <c r="AC2038" s="78"/>
      <c r="AD2038" s="78"/>
      <c r="AE2038" s="100">
        <f t="shared" si="3329"/>
        <v>-1</v>
      </c>
      <c r="AF2038" s="90"/>
      <c r="AG2038" s="109">
        <f t="shared" si="3330"/>
        <v>-504</v>
      </c>
      <c r="AH2038" s="100">
        <f t="shared" si="3331"/>
        <v>-1</v>
      </c>
      <c r="AI2038" s="100">
        <f t="shared" si="3332"/>
        <v>-1</v>
      </c>
    </row>
    <row r="2039" spans="1:35" s="47" customFormat="1" ht="21" customHeight="1" x14ac:dyDescent="0.3">
      <c r="A2039" s="78"/>
      <c r="B2039" s="106" t="s">
        <v>51</v>
      </c>
      <c r="C2039" s="117">
        <v>48172</v>
      </c>
      <c r="D2039" s="300"/>
      <c r="E2039" s="131" t="s">
        <v>0</v>
      </c>
      <c r="F2039" s="66">
        <v>1043</v>
      </c>
      <c r="G2039" s="66"/>
      <c r="H2039" s="66"/>
      <c r="I2039" s="66"/>
      <c r="J2039" s="66"/>
      <c r="K2039" s="78"/>
      <c r="L2039" s="66"/>
      <c r="M2039" s="66"/>
      <c r="N2039" s="110">
        <f t="shared" si="3324"/>
        <v>-1043</v>
      </c>
      <c r="O2039" s="110"/>
      <c r="P2039" s="66"/>
      <c r="Q2039" s="66"/>
      <c r="R2039" s="66"/>
      <c r="S2039" s="66"/>
      <c r="T2039" s="110">
        <f t="shared" ref="T2039:T2040" si="3333">S2039-Q2039</f>
        <v>0</v>
      </c>
      <c r="U2039" s="59">
        <f t="shared" si="3291"/>
        <v>0</v>
      </c>
      <c r="V2039" s="66"/>
      <c r="W2039" s="66"/>
      <c r="X2039" s="110">
        <f t="shared" ref="X2039:X2040" si="3334">W2039-M2039</f>
        <v>0</v>
      </c>
      <c r="Y2039" s="110"/>
      <c r="Z2039" s="110"/>
      <c r="AA2039" s="110"/>
      <c r="AB2039" s="46"/>
      <c r="AC2039" s="78"/>
      <c r="AD2039" s="78"/>
      <c r="AE2039" s="100">
        <f t="shared" si="3292"/>
        <v>-1</v>
      </c>
      <c r="AF2039" s="90"/>
      <c r="AG2039" s="109">
        <f t="shared" si="3293"/>
        <v>-1043</v>
      </c>
      <c r="AH2039" s="100">
        <f t="shared" si="3294"/>
        <v>-1</v>
      </c>
      <c r="AI2039" s="100">
        <f t="shared" si="3295"/>
        <v>-1</v>
      </c>
    </row>
    <row r="2040" spans="1:35" s="47" customFormat="1" ht="21" customHeight="1" x14ac:dyDescent="0.3">
      <c r="A2040" s="78"/>
      <c r="B2040" s="106" t="s">
        <v>51</v>
      </c>
      <c r="C2040" s="117">
        <v>48172</v>
      </c>
      <c r="D2040" s="300"/>
      <c r="E2040" s="131" t="s">
        <v>310</v>
      </c>
      <c r="F2040" s="66">
        <v>504</v>
      </c>
      <c r="G2040" s="66"/>
      <c r="H2040" s="66"/>
      <c r="I2040" s="66"/>
      <c r="J2040" s="66"/>
      <c r="K2040" s="78"/>
      <c r="L2040" s="66"/>
      <c r="M2040" s="66"/>
      <c r="N2040" s="110">
        <f t="shared" ref="N2040" si="3335">M2040-F2040</f>
        <v>-504</v>
      </c>
      <c r="O2040" s="110"/>
      <c r="P2040" s="66"/>
      <c r="Q2040" s="66"/>
      <c r="R2040" s="66"/>
      <c r="S2040" s="66"/>
      <c r="T2040" s="110">
        <f t="shared" si="3333"/>
        <v>0</v>
      </c>
      <c r="U2040" s="59">
        <f t="shared" ref="U2040" si="3336">IF(Q2040&gt;0,S2040-W2040,M2040-W2040)</f>
        <v>0</v>
      </c>
      <c r="V2040" s="66"/>
      <c r="W2040" s="66"/>
      <c r="X2040" s="110">
        <f t="shared" si="3334"/>
        <v>0</v>
      </c>
      <c r="Y2040" s="110"/>
      <c r="Z2040" s="110"/>
      <c r="AA2040" s="110"/>
      <c r="AB2040" s="46"/>
      <c r="AC2040" s="78"/>
      <c r="AD2040" s="78"/>
      <c r="AE2040" s="100">
        <f t="shared" ref="AE2040" si="3337">N2040/F2040</f>
        <v>-1</v>
      </c>
      <c r="AF2040" s="90"/>
      <c r="AG2040" s="109">
        <f t="shared" ref="AG2040" si="3338">IF(N2040&lt;0,N2040,0)</f>
        <v>-504</v>
      </c>
      <c r="AH2040" s="100">
        <f t="shared" ref="AH2040" si="3339">(S2040-F2040)/F2040</f>
        <v>-1</v>
      </c>
      <c r="AI2040" s="100">
        <f t="shared" ref="AI2040" si="3340">(W2040-F2040)/F2040</f>
        <v>-1</v>
      </c>
    </row>
    <row r="2041" spans="1:35" s="47" customFormat="1" ht="21" customHeight="1" x14ac:dyDescent="0.3">
      <c r="A2041" s="78"/>
      <c r="B2041" s="106" t="s">
        <v>51</v>
      </c>
      <c r="C2041" s="117">
        <v>48172</v>
      </c>
      <c r="D2041" s="300"/>
      <c r="E2041" s="131" t="s">
        <v>233</v>
      </c>
      <c r="F2041" s="66">
        <v>644</v>
      </c>
      <c r="G2041" s="66"/>
      <c r="H2041" s="66"/>
      <c r="I2041" s="66"/>
      <c r="J2041" s="66"/>
      <c r="K2041" s="78"/>
      <c r="L2041" s="66"/>
      <c r="M2041" s="66"/>
      <c r="N2041" s="110">
        <f t="shared" ref="N2041" si="3341">M2041-F2041</f>
        <v>-644</v>
      </c>
      <c r="O2041" s="110"/>
      <c r="P2041" s="66"/>
      <c r="Q2041" s="66"/>
      <c r="R2041" s="66"/>
      <c r="S2041" s="66"/>
      <c r="T2041" s="110">
        <f t="shared" ref="T2041" si="3342">S2041-Q2041</f>
        <v>0</v>
      </c>
      <c r="U2041" s="59">
        <f t="shared" ref="U2041" si="3343">IF(Q2041&gt;0,S2041-W2041,M2041-W2041)</f>
        <v>0</v>
      </c>
      <c r="V2041" s="66"/>
      <c r="W2041" s="66"/>
      <c r="X2041" s="110">
        <f t="shared" ref="X2041" si="3344">W2041-M2041</f>
        <v>0</v>
      </c>
      <c r="Y2041" s="110"/>
      <c r="Z2041" s="110"/>
      <c r="AA2041" s="110"/>
      <c r="AB2041" s="46"/>
      <c r="AC2041" s="78"/>
      <c r="AD2041" s="78"/>
      <c r="AE2041" s="100">
        <f t="shared" ref="AE2041" si="3345">N2041/F2041</f>
        <v>-1</v>
      </c>
      <c r="AF2041" s="90"/>
      <c r="AG2041" s="109">
        <f t="shared" ref="AG2041" si="3346">IF(N2041&lt;0,N2041,0)</f>
        <v>-644</v>
      </c>
      <c r="AH2041" s="100">
        <f t="shared" ref="AH2041" si="3347">(S2041-F2041)/F2041</f>
        <v>-1</v>
      </c>
      <c r="AI2041" s="100">
        <f t="shared" ref="AI2041" si="3348">(W2041-F2041)/F2041</f>
        <v>-1</v>
      </c>
    </row>
    <row r="2042" spans="1:35" s="79" customFormat="1" ht="15.75" customHeight="1" x14ac:dyDescent="0.3">
      <c r="A2042" s="90" t="s">
        <v>46</v>
      </c>
      <c r="B2042" s="136" t="s">
        <v>51</v>
      </c>
      <c r="C2042" s="137"/>
      <c r="D2042" s="136"/>
      <c r="E2042" s="138"/>
      <c r="F2042" s="91">
        <f>SUM(F2036:F2041)</f>
        <v>4023</v>
      </c>
      <c r="G2042" s="91"/>
      <c r="H2042" s="91"/>
      <c r="I2042" s="91"/>
      <c r="J2042" s="91"/>
      <c r="K2042" s="65" t="s">
        <v>311</v>
      </c>
      <c r="L2042" s="91">
        <f>SUM(L2036:L2041)</f>
        <v>0</v>
      </c>
      <c r="M2042" s="91">
        <f>SUM(M2036:M2041)</f>
        <v>0</v>
      </c>
      <c r="N2042" s="91">
        <f>SUM(N2036:N2041)</f>
        <v>-4023</v>
      </c>
      <c r="O2042" s="91"/>
      <c r="P2042" s="91">
        <f>SUM(P2036:P2041)</f>
        <v>0</v>
      </c>
      <c r="Q2042" s="91">
        <f>SUM(Q2036:Q2041)</f>
        <v>0</v>
      </c>
      <c r="R2042" s="91">
        <f>SUM(R2036:R2041)</f>
        <v>0</v>
      </c>
      <c r="S2042" s="91">
        <f>SUM(S2036:S2041)</f>
        <v>0</v>
      </c>
      <c r="T2042" s="91">
        <f>SUM(T2036:T2041)</f>
        <v>0</v>
      </c>
      <c r="U2042" s="59">
        <f t="shared" si="3291"/>
        <v>0</v>
      </c>
      <c r="V2042" s="91">
        <f>SUM(V2036:V2041)</f>
        <v>0</v>
      </c>
      <c r="W2042" s="91">
        <f>SUM(W2036:W2041)</f>
        <v>0</v>
      </c>
      <c r="X2042" s="91">
        <f>SUM(X2036:X2041)</f>
        <v>0</v>
      </c>
      <c r="Y2042" s="136" t="s">
        <v>47</v>
      </c>
      <c r="Z2042" s="136" t="s">
        <v>45</v>
      </c>
      <c r="AA2042" s="136"/>
      <c r="AB2042" s="84"/>
      <c r="AC2042" s="90"/>
      <c r="AD2042" s="90"/>
      <c r="AE2042" s="100">
        <f t="shared" si="3292"/>
        <v>-1</v>
      </c>
      <c r="AF2042" s="90"/>
      <c r="AG2042" s="109">
        <f t="shared" si="3293"/>
        <v>-4023</v>
      </c>
      <c r="AH2042" s="100">
        <f t="shared" si="3294"/>
        <v>-1</v>
      </c>
      <c r="AI2042" s="100">
        <f t="shared" si="3295"/>
        <v>-1</v>
      </c>
    </row>
    <row r="2043" spans="1:35" s="47" customFormat="1" ht="21" customHeight="1" x14ac:dyDescent="0.3">
      <c r="A2043" s="78"/>
      <c r="B2043" s="106" t="s">
        <v>51</v>
      </c>
      <c r="C2043" s="117" t="s">
        <v>988</v>
      </c>
      <c r="D2043" s="299" t="s">
        <v>989</v>
      </c>
      <c r="E2043" s="131" t="s">
        <v>0</v>
      </c>
      <c r="F2043" s="66">
        <f>5705+752</f>
        <v>6457</v>
      </c>
      <c r="G2043" s="66"/>
      <c r="H2043" s="66"/>
      <c r="I2043" s="66"/>
      <c r="J2043" s="66"/>
      <c r="K2043" s="78"/>
      <c r="L2043" s="66"/>
      <c r="M2043" s="66"/>
      <c r="N2043" s="110">
        <f t="shared" ref="N2043:N2044" si="3349">M2043-F2043</f>
        <v>-6457</v>
      </c>
      <c r="O2043" s="110"/>
      <c r="P2043" s="66"/>
      <c r="Q2043" s="66"/>
      <c r="R2043" s="66"/>
      <c r="S2043" s="66"/>
      <c r="T2043" s="110">
        <f>S2043-Q2043</f>
        <v>0</v>
      </c>
      <c r="U2043" s="59">
        <f t="shared" si="3291"/>
        <v>0</v>
      </c>
      <c r="V2043" s="66"/>
      <c r="W2043" s="66"/>
      <c r="X2043" s="110">
        <f>W2043-M2043</f>
        <v>0</v>
      </c>
      <c r="Y2043" s="110"/>
      <c r="Z2043" s="110"/>
      <c r="AA2043" s="110"/>
      <c r="AB2043" s="46"/>
      <c r="AC2043" s="78"/>
      <c r="AD2043" s="78"/>
      <c r="AE2043" s="100">
        <f t="shared" si="3292"/>
        <v>-1</v>
      </c>
      <c r="AF2043" s="90"/>
      <c r="AG2043" s="109">
        <f t="shared" si="3293"/>
        <v>-6457</v>
      </c>
      <c r="AH2043" s="100">
        <f t="shared" si="3294"/>
        <v>-1</v>
      </c>
      <c r="AI2043" s="100">
        <f t="shared" si="3295"/>
        <v>-1</v>
      </c>
    </row>
    <row r="2044" spans="1:35" s="47" customFormat="1" ht="21" customHeight="1" x14ac:dyDescent="0.3">
      <c r="A2044" s="78"/>
      <c r="B2044" s="106" t="s">
        <v>51</v>
      </c>
      <c r="C2044" s="117" t="s">
        <v>988</v>
      </c>
      <c r="D2044" s="300"/>
      <c r="E2044" s="131" t="s">
        <v>5</v>
      </c>
      <c r="F2044" s="66">
        <f>6465+580+600</f>
        <v>7645</v>
      </c>
      <c r="G2044" s="66"/>
      <c r="H2044" s="66"/>
      <c r="I2044" s="66"/>
      <c r="J2044" s="66"/>
      <c r="K2044" s="78"/>
      <c r="L2044" s="66"/>
      <c r="M2044" s="66"/>
      <c r="N2044" s="110">
        <f t="shared" si="3349"/>
        <v>-7645</v>
      </c>
      <c r="O2044" s="110"/>
      <c r="P2044" s="66"/>
      <c r="Q2044" s="66"/>
      <c r="R2044" s="66"/>
      <c r="S2044" s="66"/>
      <c r="T2044" s="110">
        <f t="shared" ref="T2044" si="3350">S2044-Q2044</f>
        <v>0</v>
      </c>
      <c r="U2044" s="59">
        <f t="shared" si="3291"/>
        <v>0</v>
      </c>
      <c r="V2044" s="66"/>
      <c r="W2044" s="66"/>
      <c r="X2044" s="110">
        <f t="shared" ref="X2044" si="3351">W2044-M2044</f>
        <v>0</v>
      </c>
      <c r="Y2044" s="110"/>
      <c r="Z2044" s="110"/>
      <c r="AA2044" s="110"/>
      <c r="AB2044" s="46"/>
      <c r="AC2044" s="78"/>
      <c r="AD2044" s="78"/>
      <c r="AE2044" s="100">
        <f t="shared" si="3292"/>
        <v>-1</v>
      </c>
      <c r="AF2044" s="90"/>
      <c r="AG2044" s="109">
        <f t="shared" si="3293"/>
        <v>-7645</v>
      </c>
      <c r="AH2044" s="100">
        <f t="shared" si="3294"/>
        <v>-1</v>
      </c>
      <c r="AI2044" s="100">
        <f t="shared" si="3295"/>
        <v>-1</v>
      </c>
    </row>
    <row r="2045" spans="1:35" s="79" customFormat="1" ht="15.75" customHeight="1" x14ac:dyDescent="0.3">
      <c r="A2045" s="90" t="s">
        <v>46</v>
      </c>
      <c r="B2045" s="136" t="s">
        <v>51</v>
      </c>
      <c r="C2045" s="137"/>
      <c r="D2045" s="136"/>
      <c r="E2045" s="138"/>
      <c r="F2045" s="91">
        <f>SUM(F2043:F2044)</f>
        <v>14102</v>
      </c>
      <c r="G2045" s="91"/>
      <c r="H2045" s="91"/>
      <c r="I2045" s="91"/>
      <c r="J2045" s="91" t="s">
        <v>60</v>
      </c>
      <c r="K2045" s="65" t="s">
        <v>436</v>
      </c>
      <c r="L2045" s="91">
        <f>SUM(L2043:L2044)</f>
        <v>0</v>
      </c>
      <c r="M2045" s="91">
        <f>SUM(M2043:M2044)</f>
        <v>0</v>
      </c>
      <c r="N2045" s="91">
        <f>SUM(N2043:N2044)</f>
        <v>-14102</v>
      </c>
      <c r="O2045" s="91"/>
      <c r="P2045" s="91">
        <f>SUM(P2043:P2044)</f>
        <v>0</v>
      </c>
      <c r="Q2045" s="91">
        <f>SUM(Q2043:Q2044)</f>
        <v>0</v>
      </c>
      <c r="R2045" s="91">
        <f>SUM(R2043:R2044)</f>
        <v>0</v>
      </c>
      <c r="S2045" s="91">
        <f>SUM(S2043:S2044)</f>
        <v>0</v>
      </c>
      <c r="T2045" s="91">
        <f>SUM(T2043:T2044)</f>
        <v>0</v>
      </c>
      <c r="U2045" s="59">
        <f t="shared" si="3291"/>
        <v>0</v>
      </c>
      <c r="V2045" s="91">
        <f>SUM(V2043:V2044)</f>
        <v>0</v>
      </c>
      <c r="W2045" s="91">
        <f>SUM(W2043:W2044)</f>
        <v>0</v>
      </c>
      <c r="X2045" s="91">
        <f>SUM(X2043:X2044)</f>
        <v>0</v>
      </c>
      <c r="Y2045" s="136" t="s">
        <v>47</v>
      </c>
      <c r="Z2045" s="136" t="s">
        <v>45</v>
      </c>
      <c r="AA2045" s="136"/>
      <c r="AB2045" s="84"/>
      <c r="AC2045" s="90"/>
      <c r="AD2045" s="90"/>
      <c r="AE2045" s="100">
        <f t="shared" si="3292"/>
        <v>-1</v>
      </c>
      <c r="AF2045" s="90"/>
      <c r="AG2045" s="109">
        <f t="shared" si="3293"/>
        <v>-14102</v>
      </c>
      <c r="AH2045" s="100">
        <f t="shared" si="3294"/>
        <v>-1</v>
      </c>
      <c r="AI2045" s="100">
        <f t="shared" si="3295"/>
        <v>-1</v>
      </c>
    </row>
    <row r="2046" spans="1:35" s="47" customFormat="1" ht="21" customHeight="1" x14ac:dyDescent="0.3">
      <c r="A2046" s="78"/>
      <c r="B2046" s="106" t="s">
        <v>51</v>
      </c>
      <c r="C2046" s="117" t="s">
        <v>381</v>
      </c>
      <c r="D2046" s="299">
        <v>15375918</v>
      </c>
      <c r="E2046" s="131" t="s">
        <v>181</v>
      </c>
      <c r="F2046" s="66">
        <v>898</v>
      </c>
      <c r="G2046" s="66"/>
      <c r="H2046" s="66"/>
      <c r="I2046" s="66"/>
      <c r="J2046" s="66"/>
      <c r="K2046" s="78"/>
      <c r="L2046" s="66"/>
      <c r="M2046" s="66">
        <f>792+144</f>
        <v>936</v>
      </c>
      <c r="N2046" s="110">
        <f t="shared" ref="N2046:N2047" si="3352">M2046-F2046</f>
        <v>38</v>
      </c>
      <c r="O2046" s="110"/>
      <c r="P2046" s="66"/>
      <c r="Q2046" s="66">
        <f>460+314+6+144</f>
        <v>924</v>
      </c>
      <c r="R2046" s="66"/>
      <c r="S2046" s="66">
        <f>780+144</f>
        <v>924</v>
      </c>
      <c r="T2046" s="110">
        <f>S2046-Q2046</f>
        <v>0</v>
      </c>
      <c r="U2046" s="59">
        <f t="shared" si="3291"/>
        <v>8</v>
      </c>
      <c r="V2046" s="66"/>
      <c r="W2046" s="66">
        <v>916</v>
      </c>
      <c r="X2046" s="110">
        <f>W2046-M2046</f>
        <v>-20</v>
      </c>
      <c r="Y2046" s="110"/>
      <c r="Z2046" s="110"/>
      <c r="AA2046" s="110"/>
      <c r="AB2046" s="46"/>
      <c r="AC2046" s="78"/>
      <c r="AD2046" s="78"/>
      <c r="AE2046" s="100">
        <f t="shared" si="3292"/>
        <v>4.2316258351893093E-2</v>
      </c>
      <c r="AF2046" s="90"/>
      <c r="AG2046" s="109">
        <f t="shared" si="3293"/>
        <v>0</v>
      </c>
      <c r="AH2046" s="100">
        <f t="shared" si="3294"/>
        <v>2.8953229398663696E-2</v>
      </c>
      <c r="AI2046" s="100">
        <f t="shared" si="3295"/>
        <v>2.0044543429844099E-2</v>
      </c>
    </row>
    <row r="2047" spans="1:35" s="47" customFormat="1" ht="21" customHeight="1" x14ac:dyDescent="0.3">
      <c r="A2047" s="78"/>
      <c r="B2047" s="106" t="s">
        <v>51</v>
      </c>
      <c r="C2047" s="117" t="s">
        <v>381</v>
      </c>
      <c r="D2047" s="300"/>
      <c r="E2047" s="131" t="s">
        <v>379</v>
      </c>
      <c r="F2047" s="66">
        <v>802</v>
      </c>
      <c r="G2047" s="66"/>
      <c r="H2047" s="66"/>
      <c r="I2047" s="66"/>
      <c r="J2047" s="66"/>
      <c r="K2047" s="78"/>
      <c r="L2047" s="66"/>
      <c r="M2047" s="66">
        <v>823</v>
      </c>
      <c r="N2047" s="110">
        <f t="shared" si="3352"/>
        <v>21</v>
      </c>
      <c r="O2047" s="110"/>
      <c r="P2047" s="66"/>
      <c r="Q2047" s="66">
        <v>823</v>
      </c>
      <c r="R2047" s="66"/>
      <c r="S2047" s="66">
        <v>823</v>
      </c>
      <c r="T2047" s="110">
        <f t="shared" ref="T2047" si="3353">S2047-Q2047</f>
        <v>0</v>
      </c>
      <c r="U2047" s="59">
        <f t="shared" si="3291"/>
        <v>3</v>
      </c>
      <c r="V2047" s="66"/>
      <c r="W2047" s="66">
        <v>820</v>
      </c>
      <c r="X2047" s="110">
        <f t="shared" ref="X2047" si="3354">W2047-M2047</f>
        <v>-3</v>
      </c>
      <c r="Y2047" s="110"/>
      <c r="Z2047" s="110"/>
      <c r="AA2047" s="110"/>
      <c r="AB2047" s="46"/>
      <c r="AC2047" s="78"/>
      <c r="AD2047" s="78"/>
      <c r="AE2047" s="100">
        <f t="shared" si="3292"/>
        <v>2.6184538653366583E-2</v>
      </c>
      <c r="AF2047" s="90"/>
      <c r="AG2047" s="109">
        <f t="shared" si="3293"/>
        <v>0</v>
      </c>
      <c r="AH2047" s="100">
        <f t="shared" si="3294"/>
        <v>2.6184538653366583E-2</v>
      </c>
      <c r="AI2047" s="100">
        <f t="shared" si="3295"/>
        <v>2.2443890274314215E-2</v>
      </c>
    </row>
    <row r="2048" spans="1:35" s="79" customFormat="1" ht="15.75" customHeight="1" x14ac:dyDescent="0.3">
      <c r="A2048" s="90" t="s">
        <v>46</v>
      </c>
      <c r="B2048" s="136" t="s">
        <v>51</v>
      </c>
      <c r="C2048" s="137"/>
      <c r="D2048" s="136"/>
      <c r="E2048" s="138"/>
      <c r="F2048" s="91">
        <f>SUM(F2046:F2047)</f>
        <v>1700</v>
      </c>
      <c r="G2048" s="91"/>
      <c r="H2048" s="91"/>
      <c r="I2048" s="91"/>
      <c r="J2048" s="91" t="s">
        <v>59</v>
      </c>
      <c r="K2048" s="65" t="s">
        <v>377</v>
      </c>
      <c r="L2048" s="91">
        <f>SUM(L2046:L2047)</f>
        <v>0</v>
      </c>
      <c r="M2048" s="91">
        <f>SUM(M2046:M2047)</f>
        <v>1759</v>
      </c>
      <c r="N2048" s="91">
        <f>SUM(N2046:N2047)</f>
        <v>59</v>
      </c>
      <c r="O2048" s="91" t="s">
        <v>504</v>
      </c>
      <c r="P2048" s="91">
        <f>SUM(P2046:P2047)</f>
        <v>0</v>
      </c>
      <c r="Q2048" s="91">
        <f>SUM(Q2046:Q2047)</f>
        <v>1747</v>
      </c>
      <c r="R2048" s="91">
        <f>SUM(R2046:R2047)</f>
        <v>0</v>
      </c>
      <c r="S2048" s="91">
        <f>SUM(S2046:S2047)</f>
        <v>1747</v>
      </c>
      <c r="T2048" s="91">
        <f>SUM(T2046:T2047)</f>
        <v>0</v>
      </c>
      <c r="U2048" s="59">
        <f t="shared" si="3291"/>
        <v>11</v>
      </c>
      <c r="V2048" s="91">
        <f>SUM(V2046:V2047)</f>
        <v>0</v>
      </c>
      <c r="W2048" s="91">
        <f>SUM(W2046:W2047)</f>
        <v>1736</v>
      </c>
      <c r="X2048" s="91">
        <f>SUM(X2046:X2047)</f>
        <v>-23</v>
      </c>
      <c r="Y2048" s="136" t="s">
        <v>47</v>
      </c>
      <c r="Z2048" s="136" t="s">
        <v>45</v>
      </c>
      <c r="AA2048" s="136"/>
      <c r="AB2048" s="84"/>
      <c r="AC2048" s="90"/>
      <c r="AD2048" s="90"/>
      <c r="AE2048" s="100">
        <f t="shared" si="3292"/>
        <v>3.4705882352941177E-2</v>
      </c>
      <c r="AF2048" s="90"/>
      <c r="AG2048" s="109">
        <f t="shared" si="3293"/>
        <v>0</v>
      </c>
      <c r="AH2048" s="100">
        <f t="shared" si="3294"/>
        <v>2.7647058823529413E-2</v>
      </c>
      <c r="AI2048" s="100">
        <f t="shared" si="3295"/>
        <v>2.1176470588235293E-2</v>
      </c>
    </row>
    <row r="2049" spans="1:35" s="47" customFormat="1" ht="21" customHeight="1" x14ac:dyDescent="0.3">
      <c r="A2049" s="78"/>
      <c r="B2049" s="106" t="s">
        <v>51</v>
      </c>
      <c r="C2049" s="117" t="s">
        <v>380</v>
      </c>
      <c r="D2049" s="299">
        <v>15376003</v>
      </c>
      <c r="E2049" s="131" t="s">
        <v>181</v>
      </c>
      <c r="F2049" s="66">
        <v>752</v>
      </c>
      <c r="G2049" s="66"/>
      <c r="H2049" s="66"/>
      <c r="I2049" s="66"/>
      <c r="J2049" s="66"/>
      <c r="K2049" s="78"/>
      <c r="L2049" s="66"/>
      <c r="M2049" s="66">
        <f>602+172</f>
        <v>774</v>
      </c>
      <c r="N2049" s="110">
        <f t="shared" ref="N2049:N2050" si="3355">M2049-F2049</f>
        <v>22</v>
      </c>
      <c r="O2049" s="110"/>
      <c r="P2049" s="66"/>
      <c r="Q2049" s="66">
        <f>602+172</f>
        <v>774</v>
      </c>
      <c r="R2049" s="66"/>
      <c r="S2049" s="66">
        <f>602+172</f>
        <v>774</v>
      </c>
      <c r="T2049" s="110">
        <f>S2049-Q2049</f>
        <v>0</v>
      </c>
      <c r="U2049" s="59">
        <f t="shared" ref="U2049:U2051" si="3356">IF(Q2049&gt;0,S2049-W2049,M2049-W2049)</f>
        <v>3</v>
      </c>
      <c r="V2049" s="66"/>
      <c r="W2049" s="66">
        <f>771</f>
        <v>771</v>
      </c>
      <c r="X2049" s="110">
        <f>W2049-M2049</f>
        <v>-3</v>
      </c>
      <c r="Y2049" s="110"/>
      <c r="Z2049" s="110"/>
      <c r="AA2049" s="110"/>
      <c r="AB2049" s="46"/>
      <c r="AC2049" s="78"/>
      <c r="AD2049" s="78"/>
      <c r="AE2049" s="100">
        <f t="shared" ref="AE2049:AE2051" si="3357">N2049/F2049</f>
        <v>2.9255319148936171E-2</v>
      </c>
      <c r="AF2049" s="90"/>
      <c r="AG2049" s="109">
        <f t="shared" ref="AG2049:AG2051" si="3358">IF(N2049&lt;0,N2049,0)</f>
        <v>0</v>
      </c>
      <c r="AH2049" s="100">
        <f t="shared" ref="AH2049:AH2051" si="3359">(S2049-F2049)/F2049</f>
        <v>2.9255319148936171E-2</v>
      </c>
      <c r="AI2049" s="100">
        <f t="shared" ref="AI2049:AI2051" si="3360">(W2049-F2049)/F2049</f>
        <v>2.5265957446808509E-2</v>
      </c>
    </row>
    <row r="2050" spans="1:35" s="47" customFormat="1" ht="21" customHeight="1" x14ac:dyDescent="0.3">
      <c r="A2050" s="78"/>
      <c r="B2050" s="106" t="s">
        <v>51</v>
      </c>
      <c r="C2050" s="117" t="s">
        <v>380</v>
      </c>
      <c r="D2050" s="300"/>
      <c r="E2050" s="131" t="s">
        <v>379</v>
      </c>
      <c r="F2050" s="66">
        <v>752</v>
      </c>
      <c r="G2050" s="66"/>
      <c r="H2050" s="66"/>
      <c r="I2050" s="66"/>
      <c r="J2050" s="66"/>
      <c r="K2050" s="78"/>
      <c r="L2050" s="66"/>
      <c r="M2050" s="66">
        <v>779</v>
      </c>
      <c r="N2050" s="110">
        <f t="shared" si="3355"/>
        <v>27</v>
      </c>
      <c r="O2050" s="110"/>
      <c r="P2050" s="66"/>
      <c r="Q2050" s="66">
        <v>779</v>
      </c>
      <c r="R2050" s="66"/>
      <c r="S2050" s="66">
        <v>779</v>
      </c>
      <c r="T2050" s="110">
        <f t="shared" ref="T2050" si="3361">S2050-Q2050</f>
        <v>0</v>
      </c>
      <c r="U2050" s="59">
        <f t="shared" si="3356"/>
        <v>0</v>
      </c>
      <c r="V2050" s="66"/>
      <c r="W2050" s="66">
        <f>779</f>
        <v>779</v>
      </c>
      <c r="X2050" s="110">
        <f t="shared" ref="X2050" si="3362">W2050-M2050</f>
        <v>0</v>
      </c>
      <c r="Y2050" s="110"/>
      <c r="Z2050" s="110"/>
      <c r="AA2050" s="110"/>
      <c r="AB2050" s="46"/>
      <c r="AC2050" s="78"/>
      <c r="AD2050" s="78"/>
      <c r="AE2050" s="100">
        <f t="shared" si="3357"/>
        <v>3.5904255319148939E-2</v>
      </c>
      <c r="AF2050" s="90"/>
      <c r="AG2050" s="109">
        <f t="shared" si="3358"/>
        <v>0</v>
      </c>
      <c r="AH2050" s="100">
        <f t="shared" si="3359"/>
        <v>3.5904255319148939E-2</v>
      </c>
      <c r="AI2050" s="100">
        <f t="shared" si="3360"/>
        <v>3.5904255319148939E-2</v>
      </c>
    </row>
    <row r="2051" spans="1:35" s="79" customFormat="1" ht="15.75" customHeight="1" x14ac:dyDescent="0.3">
      <c r="A2051" s="90" t="s">
        <v>46</v>
      </c>
      <c r="B2051" s="136" t="s">
        <v>51</v>
      </c>
      <c r="C2051" s="137"/>
      <c r="D2051" s="136"/>
      <c r="E2051" s="138"/>
      <c r="F2051" s="91">
        <f>SUM(F2049:F2050)</f>
        <v>1504</v>
      </c>
      <c r="G2051" s="91"/>
      <c r="H2051" s="91"/>
      <c r="I2051" s="91"/>
      <c r="J2051" s="91" t="s">
        <v>59</v>
      </c>
      <c r="K2051" s="65" t="s">
        <v>377</v>
      </c>
      <c r="L2051" s="91">
        <f>SUM(L2049:L2050)</f>
        <v>0</v>
      </c>
      <c r="M2051" s="91">
        <f>SUM(M2049:M2050)</f>
        <v>1553</v>
      </c>
      <c r="N2051" s="91">
        <f>SUM(N2049:N2050)</f>
        <v>49</v>
      </c>
      <c r="O2051" s="91" t="s">
        <v>266</v>
      </c>
      <c r="P2051" s="91">
        <f>SUM(P2049:P2050)</f>
        <v>0</v>
      </c>
      <c r="Q2051" s="91">
        <f>SUM(Q2049:Q2050)</f>
        <v>1553</v>
      </c>
      <c r="R2051" s="91">
        <f>SUM(R2049:R2050)</f>
        <v>0</v>
      </c>
      <c r="S2051" s="91">
        <f>SUM(S2049:S2050)</f>
        <v>1553</v>
      </c>
      <c r="T2051" s="91">
        <f>SUM(T2049:T2050)</f>
        <v>0</v>
      </c>
      <c r="U2051" s="59">
        <f t="shared" si="3356"/>
        <v>3</v>
      </c>
      <c r="V2051" s="91">
        <f>SUM(V2049:V2050)</f>
        <v>0</v>
      </c>
      <c r="W2051" s="91">
        <f>SUM(W2049:W2050)</f>
        <v>1550</v>
      </c>
      <c r="X2051" s="91">
        <f>SUM(X2049:X2050)</f>
        <v>-3</v>
      </c>
      <c r="Y2051" s="136" t="s">
        <v>47</v>
      </c>
      <c r="Z2051" s="136" t="s">
        <v>45</v>
      </c>
      <c r="AA2051" s="136"/>
      <c r="AB2051" s="84"/>
      <c r="AC2051" s="90"/>
      <c r="AD2051" s="90"/>
      <c r="AE2051" s="100">
        <f t="shared" si="3357"/>
        <v>3.2579787234042555E-2</v>
      </c>
      <c r="AF2051" s="90"/>
      <c r="AG2051" s="109">
        <f t="shared" si="3358"/>
        <v>0</v>
      </c>
      <c r="AH2051" s="100">
        <f t="shared" si="3359"/>
        <v>3.2579787234042555E-2</v>
      </c>
      <c r="AI2051" s="100">
        <f t="shared" si="3360"/>
        <v>3.0585106382978722E-2</v>
      </c>
    </row>
    <row r="2052" spans="1:35" s="47" customFormat="1" ht="21" customHeight="1" x14ac:dyDescent="0.3">
      <c r="A2052" s="78"/>
      <c r="B2052" s="106" t="s">
        <v>51</v>
      </c>
      <c r="C2052" s="117" t="s">
        <v>378</v>
      </c>
      <c r="D2052" s="299">
        <v>15382100</v>
      </c>
      <c r="E2052" s="131" t="s">
        <v>181</v>
      </c>
      <c r="F2052" s="66">
        <v>1714</v>
      </c>
      <c r="G2052" s="66"/>
      <c r="H2052" s="66"/>
      <c r="I2052" s="66"/>
      <c r="J2052" s="66"/>
      <c r="K2052" s="78"/>
      <c r="L2052" s="66"/>
      <c r="M2052" s="66">
        <f>324+258+1176</f>
        <v>1758</v>
      </c>
      <c r="N2052" s="110">
        <f t="shared" ref="N2052:N2053" si="3363">M2052-F2052</f>
        <v>44</v>
      </c>
      <c r="O2052" s="110"/>
      <c r="P2052" s="66"/>
      <c r="Q2052" s="66">
        <f>324+258+600+246+330</f>
        <v>1758</v>
      </c>
      <c r="R2052" s="66"/>
      <c r="S2052" s="66">
        <f>582+1176</f>
        <v>1758</v>
      </c>
      <c r="T2052" s="110">
        <f>S2052-Q2052</f>
        <v>0</v>
      </c>
      <c r="U2052" s="59">
        <f t="shared" si="3291"/>
        <v>2</v>
      </c>
      <c r="V2052" s="66"/>
      <c r="W2052" s="66">
        <v>1756</v>
      </c>
      <c r="X2052" s="110">
        <f>W2052-M2052</f>
        <v>-2</v>
      </c>
      <c r="Y2052" s="110"/>
      <c r="Z2052" s="110"/>
      <c r="AA2052" s="110"/>
      <c r="AB2052" s="46"/>
      <c r="AC2052" s="78"/>
      <c r="AD2052" s="78"/>
      <c r="AE2052" s="100">
        <f t="shared" si="3292"/>
        <v>2.5670945157526253E-2</v>
      </c>
      <c r="AF2052" s="90"/>
      <c r="AG2052" s="109">
        <f t="shared" si="3293"/>
        <v>0</v>
      </c>
      <c r="AH2052" s="100">
        <f t="shared" si="3294"/>
        <v>2.5670945157526253E-2</v>
      </c>
      <c r="AI2052" s="100">
        <f t="shared" si="3295"/>
        <v>2.4504084014002333E-2</v>
      </c>
    </row>
    <row r="2053" spans="1:35" s="47" customFormat="1" ht="21" customHeight="1" x14ac:dyDescent="0.3">
      <c r="A2053" s="78"/>
      <c r="B2053" s="106" t="s">
        <v>51</v>
      </c>
      <c r="C2053" s="117" t="s">
        <v>378</v>
      </c>
      <c r="D2053" s="300"/>
      <c r="E2053" s="131" t="s">
        <v>379</v>
      </c>
      <c r="F2053" s="66">
        <v>1916</v>
      </c>
      <c r="G2053" s="66"/>
      <c r="H2053" s="66"/>
      <c r="I2053" s="66"/>
      <c r="J2053" s="66"/>
      <c r="K2053" s="78"/>
      <c r="L2053" s="66"/>
      <c r="M2053" s="66">
        <f>342+696+306+300+156+153</f>
        <v>1953</v>
      </c>
      <c r="N2053" s="110">
        <f t="shared" si="3363"/>
        <v>37</v>
      </c>
      <c r="O2053" s="110"/>
      <c r="P2053" s="66"/>
      <c r="Q2053" s="66">
        <f>690+1110+153</f>
        <v>1953</v>
      </c>
      <c r="R2053" s="66"/>
      <c r="S2053" s="66">
        <f>1800+153</f>
        <v>1953</v>
      </c>
      <c r="T2053" s="110">
        <f t="shared" ref="T2053" si="3364">S2053-Q2053</f>
        <v>0</v>
      </c>
      <c r="U2053" s="59">
        <f t="shared" si="3291"/>
        <v>0</v>
      </c>
      <c r="V2053" s="66"/>
      <c r="W2053" s="66">
        <v>1953</v>
      </c>
      <c r="X2053" s="110">
        <f t="shared" ref="X2053" si="3365">W2053-M2053</f>
        <v>0</v>
      </c>
      <c r="Y2053" s="110"/>
      <c r="Z2053" s="110"/>
      <c r="AA2053" s="110"/>
      <c r="AB2053" s="46"/>
      <c r="AC2053" s="78"/>
      <c r="AD2053" s="78"/>
      <c r="AE2053" s="100">
        <f t="shared" si="3292"/>
        <v>1.9311064718162838E-2</v>
      </c>
      <c r="AF2053" s="90"/>
      <c r="AG2053" s="109">
        <f t="shared" si="3293"/>
        <v>0</v>
      </c>
      <c r="AH2053" s="100">
        <f t="shared" si="3294"/>
        <v>1.9311064718162838E-2</v>
      </c>
      <c r="AI2053" s="100">
        <f t="shared" si="3295"/>
        <v>1.9311064718162838E-2</v>
      </c>
    </row>
    <row r="2054" spans="1:35" s="79" customFormat="1" ht="15.75" customHeight="1" x14ac:dyDescent="0.3">
      <c r="A2054" s="90" t="s">
        <v>46</v>
      </c>
      <c r="B2054" s="136" t="s">
        <v>51</v>
      </c>
      <c r="C2054" s="137"/>
      <c r="D2054" s="136"/>
      <c r="E2054" s="138"/>
      <c r="F2054" s="91">
        <f>SUM(F2052:F2053)</f>
        <v>3630</v>
      </c>
      <c r="G2054" s="91"/>
      <c r="H2054" s="91"/>
      <c r="I2054" s="91"/>
      <c r="J2054" s="91" t="s">
        <v>59</v>
      </c>
      <c r="K2054" s="65" t="s">
        <v>377</v>
      </c>
      <c r="L2054" s="91">
        <f>SUM(L2052:L2053)</f>
        <v>0</v>
      </c>
      <c r="M2054" s="91">
        <f>SUM(M2052:M2053)</f>
        <v>3711</v>
      </c>
      <c r="N2054" s="91">
        <f>SUM(N2052:N2053)</f>
        <v>81</v>
      </c>
      <c r="O2054" s="91" t="s">
        <v>175</v>
      </c>
      <c r="P2054" s="91">
        <f>SUM(P2052:P2053)</f>
        <v>0</v>
      </c>
      <c r="Q2054" s="91">
        <f>SUM(Q2052:Q2053)</f>
        <v>3711</v>
      </c>
      <c r="R2054" s="91">
        <f>SUM(R2052:R2053)</f>
        <v>0</v>
      </c>
      <c r="S2054" s="91">
        <f>SUM(S2052:S2053)</f>
        <v>3711</v>
      </c>
      <c r="T2054" s="91">
        <f>SUM(T2052:T2053)</f>
        <v>0</v>
      </c>
      <c r="U2054" s="59">
        <f>IF(Q2054&gt;0,S2054-W2054,M2054-W2054)</f>
        <v>2</v>
      </c>
      <c r="V2054" s="91">
        <f>SUM(V2052:V2053)</f>
        <v>0</v>
      </c>
      <c r="W2054" s="91">
        <f>SUM(W2052:W2053)</f>
        <v>3709</v>
      </c>
      <c r="X2054" s="91">
        <f>SUM(X2052:X2053)</f>
        <v>-2</v>
      </c>
      <c r="Y2054" s="136" t="s">
        <v>47</v>
      </c>
      <c r="Z2054" s="136" t="s">
        <v>45</v>
      </c>
      <c r="AA2054" s="136"/>
      <c r="AB2054" s="84"/>
      <c r="AC2054" s="90"/>
      <c r="AD2054" s="90"/>
      <c r="AE2054" s="100">
        <f t="shared" si="3292"/>
        <v>2.2314049586776859E-2</v>
      </c>
      <c r="AF2054" s="90"/>
      <c r="AG2054" s="109">
        <f t="shared" si="3293"/>
        <v>0</v>
      </c>
      <c r="AH2054" s="100">
        <f t="shared" si="3294"/>
        <v>2.2314049586776859E-2</v>
      </c>
      <c r="AI2054" s="100">
        <f t="shared" si="3295"/>
        <v>2.1763085399449034E-2</v>
      </c>
    </row>
    <row r="2055" spans="1:35" s="47" customFormat="1" ht="21" customHeight="1" x14ac:dyDescent="0.3">
      <c r="A2055" s="78"/>
      <c r="B2055" s="106" t="s">
        <v>51</v>
      </c>
      <c r="C2055" s="117">
        <v>48167</v>
      </c>
      <c r="D2055" s="299">
        <v>15297685</v>
      </c>
      <c r="E2055" s="131" t="s">
        <v>0</v>
      </c>
      <c r="F2055" s="66">
        <v>795</v>
      </c>
      <c r="G2055" s="66"/>
      <c r="H2055" s="66"/>
      <c r="I2055" s="66"/>
      <c r="J2055" s="66"/>
      <c r="K2055" s="78"/>
      <c r="L2055" s="66"/>
      <c r="M2055" s="66"/>
      <c r="N2055" s="110">
        <f t="shared" ref="N2055:N2060" si="3366">M2055-F2055</f>
        <v>-795</v>
      </c>
      <c r="O2055" s="110"/>
      <c r="P2055" s="66"/>
      <c r="Q2055" s="66"/>
      <c r="R2055" s="66"/>
      <c r="S2055" s="66"/>
      <c r="T2055" s="110">
        <f>S2055-Q2055</f>
        <v>0</v>
      </c>
      <c r="U2055" s="59">
        <f t="shared" ref="U2055:U2067" si="3367">IF(Q2055&gt;0,S2055-W2055,M2055-W2055)</f>
        <v>0</v>
      </c>
      <c r="V2055" s="66"/>
      <c r="W2055" s="66"/>
      <c r="X2055" s="110">
        <f>W2055-M2055</f>
        <v>0</v>
      </c>
      <c r="Y2055" s="110"/>
      <c r="Z2055" s="110"/>
      <c r="AA2055" s="110"/>
      <c r="AB2055" s="46"/>
      <c r="AC2055" s="78"/>
      <c r="AD2055" s="78"/>
      <c r="AE2055" s="100">
        <f t="shared" ref="AE2055:AE2067" si="3368">N2055/F2055</f>
        <v>-1</v>
      </c>
      <c r="AF2055" s="90"/>
      <c r="AG2055" s="109">
        <f t="shared" ref="AG2055:AG2067" si="3369">IF(N2055&lt;0,N2055,0)</f>
        <v>-795</v>
      </c>
      <c r="AH2055" s="100">
        <f t="shared" ref="AH2055:AH2067" si="3370">(S2055-F2055)/F2055</f>
        <v>-1</v>
      </c>
      <c r="AI2055" s="100">
        <f t="shared" ref="AI2055:AI2067" si="3371">(W2055-F2055)/F2055</f>
        <v>-1</v>
      </c>
    </row>
    <row r="2056" spans="1:35" s="47" customFormat="1" ht="21" customHeight="1" x14ac:dyDescent="0.3">
      <c r="A2056" s="78"/>
      <c r="B2056" s="106" t="s">
        <v>51</v>
      </c>
      <c r="C2056" s="117">
        <v>48167</v>
      </c>
      <c r="D2056" s="300"/>
      <c r="E2056" s="131" t="s">
        <v>56</v>
      </c>
      <c r="F2056" s="66">
        <v>2595</v>
      </c>
      <c r="G2056" s="66"/>
      <c r="H2056" s="66"/>
      <c r="I2056" s="66"/>
      <c r="J2056" s="66"/>
      <c r="K2056" s="78"/>
      <c r="L2056" s="66"/>
      <c r="M2056" s="66"/>
      <c r="N2056" s="110">
        <f t="shared" si="3366"/>
        <v>-2595</v>
      </c>
      <c r="O2056" s="110"/>
      <c r="P2056" s="66"/>
      <c r="Q2056" s="66"/>
      <c r="R2056" s="66"/>
      <c r="S2056" s="66"/>
      <c r="T2056" s="110">
        <f t="shared" ref="T2056:T2060" si="3372">S2056-Q2056</f>
        <v>0</v>
      </c>
      <c r="U2056" s="59">
        <f t="shared" si="3367"/>
        <v>0</v>
      </c>
      <c r="V2056" s="66"/>
      <c r="W2056" s="66"/>
      <c r="X2056" s="110">
        <f t="shared" ref="X2056:X2060" si="3373">W2056-M2056</f>
        <v>0</v>
      </c>
      <c r="Y2056" s="110"/>
      <c r="Z2056" s="110"/>
      <c r="AA2056" s="110"/>
      <c r="AB2056" s="46"/>
      <c r="AC2056" s="78"/>
      <c r="AD2056" s="78"/>
      <c r="AE2056" s="100">
        <f t="shared" si="3368"/>
        <v>-1</v>
      </c>
      <c r="AF2056" s="90"/>
      <c r="AG2056" s="109">
        <f t="shared" si="3369"/>
        <v>-2595</v>
      </c>
      <c r="AH2056" s="100">
        <f t="shared" si="3370"/>
        <v>-1</v>
      </c>
      <c r="AI2056" s="100">
        <f t="shared" si="3371"/>
        <v>-1</v>
      </c>
    </row>
    <row r="2057" spans="1:35" s="47" customFormat="1" ht="21" customHeight="1" x14ac:dyDescent="0.3">
      <c r="A2057" s="78"/>
      <c r="B2057" s="106" t="s">
        <v>51</v>
      </c>
      <c r="C2057" s="117">
        <v>48167</v>
      </c>
      <c r="D2057" s="300"/>
      <c r="E2057" s="131" t="s">
        <v>880</v>
      </c>
      <c r="F2057" s="66">
        <v>795</v>
      </c>
      <c r="G2057" s="66"/>
      <c r="H2057" s="66"/>
      <c r="I2057" s="66"/>
      <c r="J2057" s="66"/>
      <c r="K2057" s="78"/>
      <c r="L2057" s="66"/>
      <c r="M2057" s="66"/>
      <c r="N2057" s="110">
        <f t="shared" si="3366"/>
        <v>-795</v>
      </c>
      <c r="O2057" s="110"/>
      <c r="P2057" s="66"/>
      <c r="Q2057" s="66"/>
      <c r="R2057" s="66"/>
      <c r="S2057" s="66"/>
      <c r="T2057" s="110">
        <f t="shared" si="3372"/>
        <v>0</v>
      </c>
      <c r="U2057" s="59">
        <f t="shared" si="3367"/>
        <v>0</v>
      </c>
      <c r="V2057" s="66"/>
      <c r="W2057" s="66"/>
      <c r="X2057" s="110">
        <f t="shared" si="3373"/>
        <v>0</v>
      </c>
      <c r="Y2057" s="110"/>
      <c r="Z2057" s="110"/>
      <c r="AA2057" s="110"/>
      <c r="AB2057" s="46"/>
      <c r="AC2057" s="78"/>
      <c r="AD2057" s="78"/>
      <c r="AE2057" s="100">
        <f t="shared" si="3368"/>
        <v>-1</v>
      </c>
      <c r="AF2057" s="90"/>
      <c r="AG2057" s="109">
        <f t="shared" si="3369"/>
        <v>-795</v>
      </c>
      <c r="AH2057" s="100">
        <f t="shared" si="3370"/>
        <v>-1</v>
      </c>
      <c r="AI2057" s="100">
        <f t="shared" si="3371"/>
        <v>-1</v>
      </c>
    </row>
    <row r="2058" spans="1:35" s="47" customFormat="1" ht="21" customHeight="1" x14ac:dyDescent="0.3">
      <c r="A2058" s="78"/>
      <c r="B2058" s="106" t="s">
        <v>51</v>
      </c>
      <c r="C2058" s="117">
        <v>48167</v>
      </c>
      <c r="D2058" s="300"/>
      <c r="E2058" s="131" t="s">
        <v>881</v>
      </c>
      <c r="F2058" s="66">
        <v>795</v>
      </c>
      <c r="G2058" s="66"/>
      <c r="H2058" s="66"/>
      <c r="I2058" s="66"/>
      <c r="J2058" s="66"/>
      <c r="K2058" s="78"/>
      <c r="L2058" s="66"/>
      <c r="M2058" s="66"/>
      <c r="N2058" s="110">
        <f t="shared" si="3366"/>
        <v>-795</v>
      </c>
      <c r="O2058" s="110"/>
      <c r="P2058" s="66"/>
      <c r="Q2058" s="66"/>
      <c r="R2058" s="66"/>
      <c r="S2058" s="66"/>
      <c r="T2058" s="110">
        <f t="shared" si="3372"/>
        <v>0</v>
      </c>
      <c r="U2058" s="59">
        <f t="shared" si="3367"/>
        <v>0</v>
      </c>
      <c r="V2058" s="66"/>
      <c r="W2058" s="66"/>
      <c r="X2058" s="110">
        <f t="shared" si="3373"/>
        <v>0</v>
      </c>
      <c r="Y2058" s="110"/>
      <c r="Z2058" s="110"/>
      <c r="AA2058" s="110"/>
      <c r="AB2058" s="46"/>
      <c r="AC2058" s="78"/>
      <c r="AD2058" s="78"/>
      <c r="AE2058" s="100">
        <f t="shared" si="3368"/>
        <v>-1</v>
      </c>
      <c r="AF2058" s="90"/>
      <c r="AG2058" s="109">
        <f t="shared" si="3369"/>
        <v>-795</v>
      </c>
      <c r="AH2058" s="100">
        <f t="shared" si="3370"/>
        <v>-1</v>
      </c>
      <c r="AI2058" s="100">
        <f t="shared" si="3371"/>
        <v>-1</v>
      </c>
    </row>
    <row r="2059" spans="1:35" s="47" customFormat="1" ht="21" customHeight="1" x14ac:dyDescent="0.3">
      <c r="A2059" s="78"/>
      <c r="B2059" s="106" t="s">
        <v>51</v>
      </c>
      <c r="C2059" s="117">
        <v>48167</v>
      </c>
      <c r="D2059" s="300"/>
      <c r="E2059" s="131" t="s">
        <v>882</v>
      </c>
      <c r="F2059" s="66">
        <v>795</v>
      </c>
      <c r="G2059" s="66"/>
      <c r="H2059" s="66"/>
      <c r="I2059" s="66"/>
      <c r="J2059" s="66"/>
      <c r="K2059" s="78"/>
      <c r="L2059" s="66"/>
      <c r="M2059" s="66"/>
      <c r="N2059" s="110">
        <f t="shared" si="3366"/>
        <v>-795</v>
      </c>
      <c r="O2059" s="110"/>
      <c r="P2059" s="66"/>
      <c r="Q2059" s="66"/>
      <c r="R2059" s="66"/>
      <c r="S2059" s="66"/>
      <c r="T2059" s="110">
        <f t="shared" si="3372"/>
        <v>0</v>
      </c>
      <c r="U2059" s="59">
        <f t="shared" si="3367"/>
        <v>0</v>
      </c>
      <c r="V2059" s="66"/>
      <c r="W2059" s="66"/>
      <c r="X2059" s="110">
        <f t="shared" si="3373"/>
        <v>0</v>
      </c>
      <c r="Y2059" s="110"/>
      <c r="Z2059" s="110"/>
      <c r="AA2059" s="110"/>
      <c r="AB2059" s="46"/>
      <c r="AC2059" s="78"/>
      <c r="AD2059" s="78"/>
      <c r="AE2059" s="100">
        <f t="shared" si="3368"/>
        <v>-1</v>
      </c>
      <c r="AF2059" s="90"/>
      <c r="AG2059" s="109">
        <f t="shared" si="3369"/>
        <v>-795</v>
      </c>
      <c r="AH2059" s="100">
        <f t="shared" si="3370"/>
        <v>-1</v>
      </c>
      <c r="AI2059" s="100">
        <f t="shared" si="3371"/>
        <v>-1</v>
      </c>
    </row>
    <row r="2060" spans="1:35" s="47" customFormat="1" ht="21" customHeight="1" x14ac:dyDescent="0.3">
      <c r="A2060" s="78"/>
      <c r="B2060" s="106" t="s">
        <v>51</v>
      </c>
      <c r="C2060" s="117">
        <v>48167</v>
      </c>
      <c r="D2060" s="300"/>
      <c r="E2060" s="131" t="s">
        <v>883</v>
      </c>
      <c r="F2060" s="66">
        <v>1005</v>
      </c>
      <c r="G2060" s="66"/>
      <c r="H2060" s="66"/>
      <c r="I2060" s="66"/>
      <c r="J2060" s="66"/>
      <c r="K2060" s="78"/>
      <c r="L2060" s="66"/>
      <c r="M2060" s="66"/>
      <c r="N2060" s="110">
        <f t="shared" si="3366"/>
        <v>-1005</v>
      </c>
      <c r="O2060" s="110"/>
      <c r="P2060" s="66"/>
      <c r="Q2060" s="66"/>
      <c r="R2060" s="66"/>
      <c r="S2060" s="66"/>
      <c r="T2060" s="110">
        <f t="shared" si="3372"/>
        <v>0</v>
      </c>
      <c r="U2060" s="59">
        <f t="shared" si="3367"/>
        <v>0</v>
      </c>
      <c r="V2060" s="66"/>
      <c r="W2060" s="66"/>
      <c r="X2060" s="110">
        <f t="shared" si="3373"/>
        <v>0</v>
      </c>
      <c r="Y2060" s="110"/>
      <c r="Z2060" s="110"/>
      <c r="AA2060" s="110"/>
      <c r="AB2060" s="46"/>
      <c r="AC2060" s="78"/>
      <c r="AD2060" s="78"/>
      <c r="AE2060" s="100">
        <f t="shared" si="3368"/>
        <v>-1</v>
      </c>
      <c r="AF2060" s="90"/>
      <c r="AG2060" s="109">
        <f t="shared" si="3369"/>
        <v>-1005</v>
      </c>
      <c r="AH2060" s="100">
        <f t="shared" si="3370"/>
        <v>-1</v>
      </c>
      <c r="AI2060" s="100">
        <f t="shared" si="3371"/>
        <v>-1</v>
      </c>
    </row>
    <row r="2061" spans="1:35" s="79" customFormat="1" ht="15.75" customHeight="1" x14ac:dyDescent="0.3">
      <c r="A2061" s="90" t="s">
        <v>46</v>
      </c>
      <c r="B2061" s="136" t="s">
        <v>51</v>
      </c>
      <c r="C2061" s="137"/>
      <c r="D2061" s="136"/>
      <c r="E2061" s="138"/>
      <c r="F2061" s="91">
        <f>SUM(F2055:F2060)</f>
        <v>6780</v>
      </c>
      <c r="G2061" s="91"/>
      <c r="H2061" s="91"/>
      <c r="I2061" s="91"/>
      <c r="J2061" s="91" t="s">
        <v>59</v>
      </c>
      <c r="K2061" s="65" t="s">
        <v>879</v>
      </c>
      <c r="L2061" s="91">
        <f>SUM(L2055:L2060)</f>
        <v>0</v>
      </c>
      <c r="M2061" s="91">
        <f>SUM(M2055:M2060)</f>
        <v>0</v>
      </c>
      <c r="N2061" s="91">
        <f>SUM(N2055:N2060)</f>
        <v>-6780</v>
      </c>
      <c r="O2061" s="91"/>
      <c r="P2061" s="91">
        <f>SUM(P2055:P2060)</f>
        <v>0</v>
      </c>
      <c r="Q2061" s="91">
        <f>SUM(Q2055:Q2060)</f>
        <v>0</v>
      </c>
      <c r="R2061" s="91">
        <f>SUM(R2055:R2060)</f>
        <v>0</v>
      </c>
      <c r="S2061" s="91">
        <f>SUM(S2055:S2060)</f>
        <v>0</v>
      </c>
      <c r="T2061" s="91">
        <f>SUM(T2055:T2060)</f>
        <v>0</v>
      </c>
      <c r="U2061" s="59">
        <f t="shared" si="3367"/>
        <v>0</v>
      </c>
      <c r="V2061" s="91">
        <f>SUM(V2055:V2060)</f>
        <v>0</v>
      </c>
      <c r="W2061" s="91">
        <f>SUM(W2055:W2060)</f>
        <v>0</v>
      </c>
      <c r="X2061" s="91">
        <f>SUM(X2055:X2060)</f>
        <v>0</v>
      </c>
      <c r="Y2061" s="136"/>
      <c r="Z2061" s="136"/>
      <c r="AA2061" s="136"/>
      <c r="AB2061" s="84"/>
      <c r="AC2061" s="90"/>
      <c r="AD2061" s="90"/>
      <c r="AE2061" s="100">
        <f t="shared" si="3368"/>
        <v>-1</v>
      </c>
      <c r="AF2061" s="90"/>
      <c r="AG2061" s="109">
        <f t="shared" si="3369"/>
        <v>-6780</v>
      </c>
      <c r="AH2061" s="100">
        <f t="shared" si="3370"/>
        <v>-1</v>
      </c>
      <c r="AI2061" s="100">
        <f t="shared" si="3371"/>
        <v>-1</v>
      </c>
    </row>
    <row r="2062" spans="1:35" s="47" customFormat="1" ht="21" customHeight="1" x14ac:dyDescent="0.3">
      <c r="A2062" s="78"/>
      <c r="B2062" s="106" t="s">
        <v>51</v>
      </c>
      <c r="C2062" s="117" t="s">
        <v>409</v>
      </c>
      <c r="D2062" s="299">
        <v>15365759</v>
      </c>
      <c r="E2062" s="131" t="s">
        <v>309</v>
      </c>
      <c r="F2062" s="66">
        <v>1032</v>
      </c>
      <c r="G2062" s="66"/>
      <c r="H2062" s="66"/>
      <c r="I2062" s="66"/>
      <c r="J2062" s="66"/>
      <c r="K2062" s="78"/>
      <c r="L2062" s="66"/>
      <c r="M2062" s="66"/>
      <c r="N2062" s="110">
        <f t="shared" ref="N2062:N2066" si="3374">M2062-F2062</f>
        <v>-1032</v>
      </c>
      <c r="O2062" s="110"/>
      <c r="P2062" s="66"/>
      <c r="Q2062" s="66"/>
      <c r="R2062" s="66"/>
      <c r="S2062" s="66"/>
      <c r="T2062" s="110">
        <f>S2062-Q2062</f>
        <v>0</v>
      </c>
      <c r="U2062" s="59">
        <f t="shared" si="3367"/>
        <v>0</v>
      </c>
      <c r="V2062" s="66"/>
      <c r="W2062" s="66"/>
      <c r="X2062" s="110">
        <f>W2062-M2062</f>
        <v>0</v>
      </c>
      <c r="Y2062" s="110"/>
      <c r="Z2062" s="110"/>
      <c r="AA2062" s="110"/>
      <c r="AB2062" s="46"/>
      <c r="AC2062" s="78"/>
      <c r="AD2062" s="78"/>
      <c r="AE2062" s="100">
        <f t="shared" si="3368"/>
        <v>-1</v>
      </c>
      <c r="AF2062" s="90"/>
      <c r="AG2062" s="109">
        <f t="shared" si="3369"/>
        <v>-1032</v>
      </c>
      <c r="AH2062" s="100">
        <f t="shared" si="3370"/>
        <v>-1</v>
      </c>
      <c r="AI2062" s="100">
        <f t="shared" si="3371"/>
        <v>-1</v>
      </c>
    </row>
    <row r="2063" spans="1:35" s="47" customFormat="1" ht="21" customHeight="1" x14ac:dyDescent="0.3">
      <c r="A2063" s="78"/>
      <c r="B2063" s="106" t="s">
        <v>51</v>
      </c>
      <c r="C2063" s="117" t="s">
        <v>409</v>
      </c>
      <c r="D2063" s="300"/>
      <c r="E2063" s="131" t="s">
        <v>292</v>
      </c>
      <c r="F2063" s="66">
        <v>1032</v>
      </c>
      <c r="G2063" s="66"/>
      <c r="H2063" s="66"/>
      <c r="I2063" s="66"/>
      <c r="J2063" s="66"/>
      <c r="K2063" s="78"/>
      <c r="L2063" s="66"/>
      <c r="M2063" s="66"/>
      <c r="N2063" s="110">
        <f t="shared" si="3374"/>
        <v>-1032</v>
      </c>
      <c r="O2063" s="110"/>
      <c r="P2063" s="66"/>
      <c r="Q2063" s="66"/>
      <c r="R2063" s="66"/>
      <c r="S2063" s="66"/>
      <c r="T2063" s="110">
        <f t="shared" ref="T2063:T2066" si="3375">S2063-Q2063</f>
        <v>0</v>
      </c>
      <c r="U2063" s="59">
        <f t="shared" si="3367"/>
        <v>0</v>
      </c>
      <c r="V2063" s="66"/>
      <c r="W2063" s="66"/>
      <c r="X2063" s="110">
        <f t="shared" ref="X2063:X2066" si="3376">W2063-M2063</f>
        <v>0</v>
      </c>
      <c r="Y2063" s="110"/>
      <c r="Z2063" s="110"/>
      <c r="AA2063" s="110"/>
      <c r="AB2063" s="46"/>
      <c r="AC2063" s="78"/>
      <c r="AD2063" s="78"/>
      <c r="AE2063" s="100">
        <f t="shared" si="3368"/>
        <v>-1</v>
      </c>
      <c r="AF2063" s="90"/>
      <c r="AG2063" s="109">
        <f t="shared" si="3369"/>
        <v>-1032</v>
      </c>
      <c r="AH2063" s="100">
        <f t="shared" si="3370"/>
        <v>-1</v>
      </c>
      <c r="AI2063" s="100">
        <f t="shared" si="3371"/>
        <v>-1</v>
      </c>
    </row>
    <row r="2064" spans="1:35" s="47" customFormat="1" ht="21" customHeight="1" x14ac:dyDescent="0.3">
      <c r="A2064" s="78"/>
      <c r="B2064" s="106" t="s">
        <v>51</v>
      </c>
      <c r="C2064" s="117" t="s">
        <v>409</v>
      </c>
      <c r="D2064" s="300"/>
      <c r="E2064" s="131" t="s">
        <v>233</v>
      </c>
      <c r="F2064" s="66">
        <v>848</v>
      </c>
      <c r="G2064" s="66"/>
      <c r="H2064" s="66"/>
      <c r="I2064" s="66"/>
      <c r="J2064" s="66"/>
      <c r="K2064" s="78"/>
      <c r="L2064" s="66"/>
      <c r="M2064" s="66"/>
      <c r="N2064" s="110">
        <f t="shared" si="3374"/>
        <v>-848</v>
      </c>
      <c r="O2064" s="110"/>
      <c r="P2064" s="66"/>
      <c r="Q2064" s="66"/>
      <c r="R2064" s="66"/>
      <c r="S2064" s="66"/>
      <c r="T2064" s="110">
        <f t="shared" si="3375"/>
        <v>0</v>
      </c>
      <c r="U2064" s="59">
        <f t="shared" si="3367"/>
        <v>0</v>
      </c>
      <c r="V2064" s="66"/>
      <c r="W2064" s="66"/>
      <c r="X2064" s="110">
        <f t="shared" si="3376"/>
        <v>0</v>
      </c>
      <c r="Y2064" s="110"/>
      <c r="Z2064" s="110"/>
      <c r="AA2064" s="110"/>
      <c r="AB2064" s="46"/>
      <c r="AC2064" s="78"/>
      <c r="AD2064" s="78"/>
      <c r="AE2064" s="100">
        <f t="shared" si="3368"/>
        <v>-1</v>
      </c>
      <c r="AF2064" s="90"/>
      <c r="AG2064" s="109">
        <f t="shared" si="3369"/>
        <v>-848</v>
      </c>
      <c r="AH2064" s="100">
        <f t="shared" si="3370"/>
        <v>-1</v>
      </c>
      <c r="AI2064" s="100">
        <f t="shared" si="3371"/>
        <v>-1</v>
      </c>
    </row>
    <row r="2065" spans="1:35" s="47" customFormat="1" ht="21" customHeight="1" x14ac:dyDescent="0.3">
      <c r="A2065" s="78"/>
      <c r="B2065" s="106" t="s">
        <v>51</v>
      </c>
      <c r="C2065" s="117" t="s">
        <v>409</v>
      </c>
      <c r="D2065" s="300"/>
      <c r="E2065" s="131" t="s">
        <v>0</v>
      </c>
      <c r="F2065" s="66">
        <v>920</v>
      </c>
      <c r="G2065" s="66"/>
      <c r="H2065" s="66"/>
      <c r="I2065" s="66"/>
      <c r="J2065" s="66"/>
      <c r="K2065" s="78"/>
      <c r="L2065" s="66"/>
      <c r="M2065" s="66"/>
      <c r="N2065" s="110">
        <f t="shared" si="3374"/>
        <v>-920</v>
      </c>
      <c r="O2065" s="110"/>
      <c r="P2065" s="66"/>
      <c r="Q2065" s="66"/>
      <c r="R2065" s="66"/>
      <c r="S2065" s="66"/>
      <c r="T2065" s="110">
        <f t="shared" si="3375"/>
        <v>0</v>
      </c>
      <c r="U2065" s="59">
        <f t="shared" si="3367"/>
        <v>0</v>
      </c>
      <c r="V2065" s="66"/>
      <c r="W2065" s="66"/>
      <c r="X2065" s="110">
        <f t="shared" si="3376"/>
        <v>0</v>
      </c>
      <c r="Y2065" s="110"/>
      <c r="Z2065" s="110"/>
      <c r="AA2065" s="110"/>
      <c r="AB2065" s="46"/>
      <c r="AC2065" s="78"/>
      <c r="AD2065" s="78"/>
      <c r="AE2065" s="100">
        <f t="shared" si="3368"/>
        <v>-1</v>
      </c>
      <c r="AF2065" s="90"/>
      <c r="AG2065" s="109">
        <f t="shared" si="3369"/>
        <v>-920</v>
      </c>
      <c r="AH2065" s="100">
        <f t="shared" si="3370"/>
        <v>-1</v>
      </c>
      <c r="AI2065" s="100">
        <f t="shared" si="3371"/>
        <v>-1</v>
      </c>
    </row>
    <row r="2066" spans="1:35" s="47" customFormat="1" ht="21" customHeight="1" x14ac:dyDescent="0.3">
      <c r="A2066" s="78"/>
      <c r="B2066" s="106" t="s">
        <v>51</v>
      </c>
      <c r="C2066" s="117" t="s">
        <v>409</v>
      </c>
      <c r="D2066" s="300"/>
      <c r="E2066" s="131" t="s">
        <v>49</v>
      </c>
      <c r="F2066" s="66">
        <v>1952</v>
      </c>
      <c r="G2066" s="66"/>
      <c r="H2066" s="66"/>
      <c r="I2066" s="66"/>
      <c r="J2066" s="66"/>
      <c r="K2066" s="78"/>
      <c r="L2066" s="66"/>
      <c r="M2066" s="66"/>
      <c r="N2066" s="110">
        <f t="shared" si="3374"/>
        <v>-1952</v>
      </c>
      <c r="O2066" s="110"/>
      <c r="P2066" s="66"/>
      <c r="Q2066" s="66"/>
      <c r="R2066" s="66"/>
      <c r="S2066" s="66"/>
      <c r="T2066" s="110">
        <f t="shared" si="3375"/>
        <v>0</v>
      </c>
      <c r="U2066" s="59">
        <f t="shared" si="3367"/>
        <v>0</v>
      </c>
      <c r="V2066" s="66"/>
      <c r="W2066" s="66"/>
      <c r="X2066" s="110">
        <f t="shared" si="3376"/>
        <v>0</v>
      </c>
      <c r="Y2066" s="110"/>
      <c r="Z2066" s="110"/>
      <c r="AA2066" s="110"/>
      <c r="AB2066" s="46"/>
      <c r="AC2066" s="78"/>
      <c r="AD2066" s="78"/>
      <c r="AE2066" s="100">
        <f t="shared" si="3368"/>
        <v>-1</v>
      </c>
      <c r="AF2066" s="90"/>
      <c r="AG2066" s="109">
        <f t="shared" si="3369"/>
        <v>-1952</v>
      </c>
      <c r="AH2066" s="100">
        <f t="shared" si="3370"/>
        <v>-1</v>
      </c>
      <c r="AI2066" s="100">
        <f t="shared" si="3371"/>
        <v>-1</v>
      </c>
    </row>
    <row r="2067" spans="1:35" s="79" customFormat="1" ht="15.75" customHeight="1" x14ac:dyDescent="0.3">
      <c r="A2067" s="90" t="s">
        <v>46</v>
      </c>
      <c r="B2067" s="136" t="s">
        <v>51</v>
      </c>
      <c r="C2067" s="137"/>
      <c r="D2067" s="136"/>
      <c r="E2067" s="138"/>
      <c r="F2067" s="91">
        <f>SUM(F2062:F2066)</f>
        <v>5784</v>
      </c>
      <c r="G2067" s="91"/>
      <c r="H2067" s="91"/>
      <c r="I2067" s="91"/>
      <c r="J2067" s="91"/>
      <c r="K2067" s="65" t="s">
        <v>410</v>
      </c>
      <c r="L2067" s="91">
        <f>SUM(L2062:L2066)</f>
        <v>0</v>
      </c>
      <c r="M2067" s="91">
        <f>SUM(M2062:M2066)</f>
        <v>0</v>
      </c>
      <c r="N2067" s="91">
        <f>SUM(N2062:N2066)</f>
        <v>-5784</v>
      </c>
      <c r="O2067" s="91"/>
      <c r="P2067" s="91">
        <f>SUM(P2062:P2066)</f>
        <v>0</v>
      </c>
      <c r="Q2067" s="91">
        <f>SUM(Q2062:Q2066)</f>
        <v>0</v>
      </c>
      <c r="R2067" s="91">
        <f>SUM(R2062:R2066)</f>
        <v>0</v>
      </c>
      <c r="S2067" s="91">
        <f>SUM(S2062:S2066)</f>
        <v>0</v>
      </c>
      <c r="T2067" s="91">
        <f>SUM(T2062:T2066)</f>
        <v>0</v>
      </c>
      <c r="U2067" s="59">
        <f t="shared" si="3367"/>
        <v>0</v>
      </c>
      <c r="V2067" s="91">
        <f>SUM(V2062:V2066)</f>
        <v>0</v>
      </c>
      <c r="W2067" s="91">
        <f>SUM(W2062:W2066)</f>
        <v>0</v>
      </c>
      <c r="X2067" s="91">
        <f>SUM(X2062:X2066)</f>
        <v>0</v>
      </c>
      <c r="Y2067" s="136" t="s">
        <v>47</v>
      </c>
      <c r="Z2067" s="136" t="s">
        <v>45</v>
      </c>
      <c r="AA2067" s="136"/>
      <c r="AB2067" s="84"/>
      <c r="AC2067" s="90"/>
      <c r="AD2067" s="90"/>
      <c r="AE2067" s="100">
        <f t="shared" si="3368"/>
        <v>-1</v>
      </c>
      <c r="AF2067" s="90"/>
      <c r="AG2067" s="109">
        <f t="shared" si="3369"/>
        <v>-5784</v>
      </c>
      <c r="AH2067" s="100">
        <f t="shared" si="3370"/>
        <v>-1</v>
      </c>
      <c r="AI2067" s="100">
        <f t="shared" si="3371"/>
        <v>-1</v>
      </c>
    </row>
    <row r="2068" spans="1:35" s="47" customFormat="1" ht="21" customHeight="1" x14ac:dyDescent="0.3">
      <c r="A2068" s="78"/>
      <c r="B2068" s="106" t="s">
        <v>51</v>
      </c>
      <c r="C2068" s="117" t="s">
        <v>411</v>
      </c>
      <c r="D2068" s="299">
        <v>15365756</v>
      </c>
      <c r="E2068" s="131" t="s">
        <v>309</v>
      </c>
      <c r="F2068" s="66">
        <v>880</v>
      </c>
      <c r="G2068" s="66"/>
      <c r="H2068" s="66"/>
      <c r="I2068" s="66"/>
      <c r="J2068" s="66"/>
      <c r="K2068" s="78"/>
      <c r="L2068" s="66"/>
      <c r="M2068" s="66">
        <f>736+171</f>
        <v>907</v>
      </c>
      <c r="N2068" s="110">
        <f t="shared" ref="N2068:N2070" si="3377">M2068-F2068</f>
        <v>27</v>
      </c>
      <c r="O2068" s="110"/>
      <c r="P2068" s="66"/>
      <c r="Q2068" s="66">
        <f>882+20</f>
        <v>902</v>
      </c>
      <c r="R2068" s="66"/>
      <c r="S2068" s="66">
        <f>882+20</f>
        <v>902</v>
      </c>
      <c r="T2068" s="110">
        <f>S2068-Q2068</f>
        <v>0</v>
      </c>
      <c r="U2068" s="59">
        <f t="shared" si="3291"/>
        <v>3</v>
      </c>
      <c r="V2068" s="66"/>
      <c r="W2068" s="66">
        <f>879+20</f>
        <v>899</v>
      </c>
      <c r="X2068" s="110">
        <f>W2068-M2068</f>
        <v>-8</v>
      </c>
      <c r="Y2068" s="110"/>
      <c r="Z2068" s="110"/>
      <c r="AA2068" s="110"/>
      <c r="AB2068" s="46"/>
      <c r="AC2068" s="78"/>
      <c r="AD2068" s="78"/>
      <c r="AE2068" s="100">
        <f t="shared" si="3292"/>
        <v>3.0681818181818182E-2</v>
      </c>
      <c r="AF2068" s="90"/>
      <c r="AG2068" s="109">
        <f t="shared" si="3293"/>
        <v>0</v>
      </c>
      <c r="AH2068" s="100">
        <f t="shared" si="3294"/>
        <v>2.5000000000000001E-2</v>
      </c>
      <c r="AI2068" s="100">
        <f t="shared" si="3295"/>
        <v>2.1590909090909091E-2</v>
      </c>
    </row>
    <row r="2069" spans="1:35" s="47" customFormat="1" ht="21" customHeight="1" x14ac:dyDescent="0.3">
      <c r="A2069" s="78"/>
      <c r="B2069" s="106" t="s">
        <v>51</v>
      </c>
      <c r="C2069" s="117" t="s">
        <v>411</v>
      </c>
      <c r="D2069" s="300"/>
      <c r="E2069" s="131" t="s">
        <v>292</v>
      </c>
      <c r="F2069" s="66">
        <v>880</v>
      </c>
      <c r="G2069" s="66"/>
      <c r="H2069" s="66"/>
      <c r="I2069" s="66"/>
      <c r="J2069" s="66"/>
      <c r="K2069" s="78"/>
      <c r="L2069" s="66"/>
      <c r="M2069" s="66">
        <f>200+708</f>
        <v>908</v>
      </c>
      <c r="N2069" s="110">
        <f t="shared" si="3377"/>
        <v>28</v>
      </c>
      <c r="O2069" s="110"/>
      <c r="P2069" s="66"/>
      <c r="Q2069" s="66">
        <v>908</v>
      </c>
      <c r="R2069" s="66"/>
      <c r="S2069" s="66">
        <v>908</v>
      </c>
      <c r="T2069" s="110">
        <f t="shared" ref="T2069:T2072" si="3378">S2069-Q2069</f>
        <v>0</v>
      </c>
      <c r="U2069" s="59">
        <f t="shared" si="3291"/>
        <v>4</v>
      </c>
      <c r="V2069" s="66"/>
      <c r="W2069" s="66">
        <v>904</v>
      </c>
      <c r="X2069" s="110">
        <f t="shared" ref="X2069:X2072" si="3379">W2069-M2069</f>
        <v>-4</v>
      </c>
      <c r="Y2069" s="110"/>
      <c r="Z2069" s="110"/>
      <c r="AA2069" s="110"/>
      <c r="AB2069" s="46"/>
      <c r="AC2069" s="78"/>
      <c r="AD2069" s="78"/>
      <c r="AE2069" s="100">
        <f t="shared" si="3292"/>
        <v>3.1818181818181815E-2</v>
      </c>
      <c r="AF2069" s="90"/>
      <c r="AG2069" s="109">
        <f t="shared" si="3293"/>
        <v>0</v>
      </c>
      <c r="AH2069" s="100">
        <f t="shared" si="3294"/>
        <v>3.1818181818181815E-2</v>
      </c>
      <c r="AI2069" s="100">
        <f t="shared" si="3295"/>
        <v>2.7272727272727271E-2</v>
      </c>
    </row>
    <row r="2070" spans="1:35" s="47" customFormat="1" ht="21" customHeight="1" x14ac:dyDescent="0.3">
      <c r="A2070" s="78"/>
      <c r="B2070" s="106" t="s">
        <v>51</v>
      </c>
      <c r="C2070" s="117" t="s">
        <v>411</v>
      </c>
      <c r="D2070" s="300"/>
      <c r="E2070" s="131" t="s">
        <v>310</v>
      </c>
      <c r="F2070" s="66">
        <v>1360</v>
      </c>
      <c r="G2070" s="66"/>
      <c r="H2070" s="66"/>
      <c r="I2070" s="66"/>
      <c r="J2070" s="66"/>
      <c r="K2070" s="78"/>
      <c r="L2070" s="66"/>
      <c r="M2070" s="66">
        <v>1396</v>
      </c>
      <c r="N2070" s="110">
        <f t="shared" si="3377"/>
        <v>36</v>
      </c>
      <c r="O2070" s="110"/>
      <c r="P2070" s="66"/>
      <c r="Q2070" s="66">
        <v>1396</v>
      </c>
      <c r="R2070" s="66"/>
      <c r="S2070" s="66">
        <v>1396</v>
      </c>
      <c r="T2070" s="110">
        <f t="shared" ref="T2070" si="3380">S2070-Q2070</f>
        <v>0</v>
      </c>
      <c r="U2070" s="59">
        <f t="shared" si="3291"/>
        <v>6</v>
      </c>
      <c r="V2070" s="66"/>
      <c r="W2070" s="66">
        <v>1390</v>
      </c>
      <c r="X2070" s="110">
        <f t="shared" ref="X2070" si="3381">W2070-M2070</f>
        <v>-6</v>
      </c>
      <c r="Y2070" s="110"/>
      <c r="Z2070" s="110"/>
      <c r="AA2070" s="110"/>
      <c r="AB2070" s="46"/>
      <c r="AC2070" s="78"/>
      <c r="AD2070" s="78"/>
      <c r="AE2070" s="100">
        <f t="shared" si="3292"/>
        <v>2.6470588235294117E-2</v>
      </c>
      <c r="AF2070" s="90"/>
      <c r="AG2070" s="109">
        <f t="shared" si="3293"/>
        <v>0</v>
      </c>
      <c r="AH2070" s="100">
        <f t="shared" si="3294"/>
        <v>2.6470588235294117E-2</v>
      </c>
      <c r="AI2070" s="100">
        <f t="shared" si="3295"/>
        <v>2.2058823529411766E-2</v>
      </c>
    </row>
    <row r="2071" spans="1:35" s="47" customFormat="1" ht="21" customHeight="1" x14ac:dyDescent="0.3">
      <c r="A2071" s="78"/>
      <c r="B2071" s="106" t="s">
        <v>51</v>
      </c>
      <c r="C2071" s="117" t="s">
        <v>411</v>
      </c>
      <c r="D2071" s="300"/>
      <c r="E2071" s="131" t="s">
        <v>233</v>
      </c>
      <c r="F2071" s="66">
        <v>2492</v>
      </c>
      <c r="G2071" s="66"/>
      <c r="H2071" s="66"/>
      <c r="I2071" s="66"/>
      <c r="J2071" s="66"/>
      <c r="K2071" s="78"/>
      <c r="L2071" s="66"/>
      <c r="M2071" s="66">
        <f>1120+672+699+53</f>
        <v>2544</v>
      </c>
      <c r="N2071" s="110">
        <f t="shared" ref="N2071:N2072" si="3382">M2071-F2071</f>
        <v>52</v>
      </c>
      <c r="O2071" s="110"/>
      <c r="P2071" s="66"/>
      <c r="Q2071" s="66">
        <f>2491+53</f>
        <v>2544</v>
      </c>
      <c r="R2071" s="66"/>
      <c r="S2071" s="66">
        <f>2491+53</f>
        <v>2544</v>
      </c>
      <c r="T2071" s="110">
        <f t="shared" si="3378"/>
        <v>0</v>
      </c>
      <c r="U2071" s="59">
        <f t="shared" ref="U2071:U2072" si="3383">IF(Q2071&gt;0,S2071-W2071,M2071-W2071)</f>
        <v>10</v>
      </c>
      <c r="V2071" s="66"/>
      <c r="W2071" s="66">
        <f>2481+53</f>
        <v>2534</v>
      </c>
      <c r="X2071" s="110">
        <f t="shared" si="3379"/>
        <v>-10</v>
      </c>
      <c r="Y2071" s="110"/>
      <c r="Z2071" s="110"/>
      <c r="AA2071" s="110"/>
      <c r="AB2071" s="46"/>
      <c r="AC2071" s="78"/>
      <c r="AD2071" s="78"/>
      <c r="AE2071" s="100">
        <f t="shared" ref="AE2071:AE2072" si="3384">N2071/F2071</f>
        <v>2.0866773675762441E-2</v>
      </c>
      <c r="AF2071" s="90"/>
      <c r="AG2071" s="109">
        <f t="shared" ref="AG2071:AG2072" si="3385">IF(N2071&lt;0,N2071,0)</f>
        <v>0</v>
      </c>
      <c r="AH2071" s="100">
        <f t="shared" ref="AH2071:AH2072" si="3386">(S2071-F2071)/F2071</f>
        <v>2.0866773675762441E-2</v>
      </c>
      <c r="AI2071" s="100">
        <f t="shared" ref="AI2071:AI2072" si="3387">(W2071-F2071)/F2071</f>
        <v>1.6853932584269662E-2</v>
      </c>
    </row>
    <row r="2072" spans="1:35" s="47" customFormat="1" ht="21" customHeight="1" x14ac:dyDescent="0.3">
      <c r="A2072" s="78"/>
      <c r="B2072" s="106" t="s">
        <v>51</v>
      </c>
      <c r="C2072" s="117" t="s">
        <v>411</v>
      </c>
      <c r="D2072" s="300"/>
      <c r="E2072" s="131" t="s">
        <v>0</v>
      </c>
      <c r="F2072" s="66">
        <v>2276</v>
      </c>
      <c r="G2072" s="66"/>
      <c r="H2072" s="66"/>
      <c r="I2072" s="66"/>
      <c r="J2072" s="66"/>
      <c r="K2072" s="78"/>
      <c r="L2072" s="66"/>
      <c r="M2072" s="66">
        <f>981+608+357+120+213+47</f>
        <v>2326</v>
      </c>
      <c r="N2072" s="110">
        <f t="shared" si="3382"/>
        <v>50</v>
      </c>
      <c r="O2072" s="110"/>
      <c r="P2072" s="66"/>
      <c r="Q2072" s="66">
        <f>495+608+486+556+181</f>
        <v>2326</v>
      </c>
      <c r="R2072" s="66"/>
      <c r="S2072" s="66">
        <f>2142+182</f>
        <v>2324</v>
      </c>
      <c r="T2072" s="110">
        <f t="shared" si="3378"/>
        <v>-2</v>
      </c>
      <c r="U2072" s="59">
        <f t="shared" si="3383"/>
        <v>4</v>
      </c>
      <c r="V2072" s="66"/>
      <c r="W2072" s="66">
        <v>2320</v>
      </c>
      <c r="X2072" s="110">
        <f t="shared" si="3379"/>
        <v>-6</v>
      </c>
      <c r="Y2072" s="110"/>
      <c r="Z2072" s="110"/>
      <c r="AA2072" s="110"/>
      <c r="AB2072" s="46"/>
      <c r="AC2072" s="78"/>
      <c r="AD2072" s="78"/>
      <c r="AE2072" s="100">
        <f t="shared" si="3384"/>
        <v>2.1968365553602813E-2</v>
      </c>
      <c r="AF2072" s="90"/>
      <c r="AG2072" s="109">
        <f t="shared" si="3385"/>
        <v>0</v>
      </c>
      <c r="AH2072" s="100">
        <f t="shared" si="3386"/>
        <v>2.10896309314587E-2</v>
      </c>
      <c r="AI2072" s="100">
        <f t="shared" si="3387"/>
        <v>1.9332161687170474E-2</v>
      </c>
    </row>
    <row r="2073" spans="1:35" s="47" customFormat="1" ht="21" customHeight="1" x14ac:dyDescent="0.3">
      <c r="A2073" s="78"/>
      <c r="B2073" s="106" t="s">
        <v>51</v>
      </c>
      <c r="C2073" s="117" t="s">
        <v>411</v>
      </c>
      <c r="D2073" s="300"/>
      <c r="E2073" s="131" t="s">
        <v>49</v>
      </c>
      <c r="F2073" s="66">
        <v>3156</v>
      </c>
      <c r="G2073" s="66"/>
      <c r="H2073" s="66"/>
      <c r="I2073" s="66"/>
      <c r="J2073" s="66"/>
      <c r="K2073" s="78"/>
      <c r="L2073" s="66"/>
      <c r="M2073" s="66">
        <f>632+288+480+640+784+405+3</f>
        <v>3232</v>
      </c>
      <c r="N2073" s="110">
        <f t="shared" ref="N2073" si="3388">M2073-F2073</f>
        <v>76</v>
      </c>
      <c r="O2073" s="110"/>
      <c r="P2073" s="66"/>
      <c r="Q2073" s="66">
        <f>920+480+640+1189+3</f>
        <v>3232</v>
      </c>
      <c r="R2073" s="66"/>
      <c r="S2073" s="66">
        <f>816+1406+1007+3</f>
        <v>3232</v>
      </c>
      <c r="T2073" s="110">
        <f t="shared" ref="T2073" si="3389">S2073-Q2073</f>
        <v>0</v>
      </c>
      <c r="U2073" s="59">
        <f t="shared" ref="U2073" si="3390">IF(Q2073&gt;0,S2073-W2073,M2073-W2073)</f>
        <v>0</v>
      </c>
      <c r="V2073" s="66"/>
      <c r="W2073" s="66">
        <v>3232</v>
      </c>
      <c r="X2073" s="110">
        <f t="shared" ref="X2073" si="3391">W2073-M2073</f>
        <v>0</v>
      </c>
      <c r="Y2073" s="110"/>
      <c r="Z2073" s="110"/>
      <c r="AA2073" s="110"/>
      <c r="AB2073" s="46"/>
      <c r="AC2073" s="78"/>
      <c r="AD2073" s="78"/>
      <c r="AE2073" s="100">
        <f t="shared" ref="AE2073" si="3392">N2073/F2073</f>
        <v>2.4081115335868188E-2</v>
      </c>
      <c r="AF2073" s="90"/>
      <c r="AG2073" s="109">
        <f t="shared" ref="AG2073" si="3393">IF(N2073&lt;0,N2073,0)</f>
        <v>0</v>
      </c>
      <c r="AH2073" s="100">
        <f t="shared" ref="AH2073" si="3394">(S2073-F2073)/F2073</f>
        <v>2.4081115335868188E-2</v>
      </c>
      <c r="AI2073" s="100">
        <f t="shared" ref="AI2073" si="3395">(W2073-F2073)/F2073</f>
        <v>2.4081115335868188E-2</v>
      </c>
    </row>
    <row r="2074" spans="1:35" s="79" customFormat="1" ht="15.75" customHeight="1" x14ac:dyDescent="0.3">
      <c r="A2074" s="90" t="s">
        <v>46</v>
      </c>
      <c r="B2074" s="136" t="s">
        <v>51</v>
      </c>
      <c r="C2074" s="137"/>
      <c r="D2074" s="136"/>
      <c r="E2074" s="138"/>
      <c r="F2074" s="91">
        <f>SUM(F2068:F2073)</f>
        <v>11044</v>
      </c>
      <c r="G2074" s="91"/>
      <c r="H2074" s="91"/>
      <c r="I2074" s="91"/>
      <c r="J2074" s="91" t="s">
        <v>59</v>
      </c>
      <c r="K2074" s="65" t="s">
        <v>290</v>
      </c>
      <c r="L2074" s="91">
        <f>SUM(L2068:L2073)</f>
        <v>0</v>
      </c>
      <c r="M2074" s="91">
        <f>SUM(M2068:M2073)</f>
        <v>11313</v>
      </c>
      <c r="N2074" s="91">
        <f>SUM(N2068:N2073)</f>
        <v>269</v>
      </c>
      <c r="O2074" s="91" t="s">
        <v>757</v>
      </c>
      <c r="P2074" s="91">
        <f>SUM(P2068:P2073)</f>
        <v>0</v>
      </c>
      <c r="Q2074" s="91">
        <f>SUM(Q2068:Q2073)</f>
        <v>11308</v>
      </c>
      <c r="R2074" s="91">
        <f>SUM(R2068:R2073)</f>
        <v>0</v>
      </c>
      <c r="S2074" s="91">
        <f>SUM(S2068:S2073)</f>
        <v>11306</v>
      </c>
      <c r="T2074" s="91">
        <f>SUM(T2068:T2073)</f>
        <v>-2</v>
      </c>
      <c r="U2074" s="59">
        <f t="shared" si="3291"/>
        <v>27</v>
      </c>
      <c r="V2074" s="91">
        <f>SUM(V2068:V2073)</f>
        <v>0</v>
      </c>
      <c r="W2074" s="91">
        <f>SUM(W2068:W2073)</f>
        <v>11279</v>
      </c>
      <c r="X2074" s="91">
        <f>SUM(X2068:X2073)</f>
        <v>-34</v>
      </c>
      <c r="Y2074" s="136" t="s">
        <v>47</v>
      </c>
      <c r="Z2074" s="136" t="s">
        <v>45</v>
      </c>
      <c r="AA2074" s="136"/>
      <c r="AB2074" s="84"/>
      <c r="AC2074" s="90"/>
      <c r="AD2074" s="90"/>
      <c r="AE2074" s="100">
        <f t="shared" si="3292"/>
        <v>2.4357116986599057E-2</v>
      </c>
      <c r="AF2074" s="90"/>
      <c r="AG2074" s="109">
        <f t="shared" si="3293"/>
        <v>0</v>
      </c>
      <c r="AH2074" s="100">
        <f t="shared" si="3294"/>
        <v>2.3723288663527707E-2</v>
      </c>
      <c r="AI2074" s="100">
        <f t="shared" si="3295"/>
        <v>2.1278522274538209E-2</v>
      </c>
    </row>
    <row r="2075" spans="1:35" s="47" customFormat="1" ht="21" customHeight="1" x14ac:dyDescent="0.3">
      <c r="A2075" s="78"/>
      <c r="B2075" s="106" t="s">
        <v>51</v>
      </c>
      <c r="C2075" s="117">
        <v>48209</v>
      </c>
      <c r="D2075" s="299">
        <v>15364878</v>
      </c>
      <c r="E2075" s="131" t="s">
        <v>814</v>
      </c>
      <c r="F2075" s="66">
        <v>422</v>
      </c>
      <c r="G2075" s="66"/>
      <c r="H2075" s="66"/>
      <c r="I2075" s="66"/>
      <c r="J2075" s="66"/>
      <c r="K2075" s="78"/>
      <c r="L2075" s="66"/>
      <c r="M2075" s="66"/>
      <c r="N2075" s="110">
        <f t="shared" ref="N2075:N2079" si="3396">M2075-F2075</f>
        <v>-422</v>
      </c>
      <c r="O2075" s="110"/>
      <c r="P2075" s="66"/>
      <c r="Q2075" s="66"/>
      <c r="R2075" s="66"/>
      <c r="S2075" s="66"/>
      <c r="T2075" s="110">
        <f>S2075-Q2075</f>
        <v>0</v>
      </c>
      <c r="U2075" s="59">
        <f t="shared" ref="U2075:U2080" si="3397">IF(Q2075&gt;0,S2075-W2075,M2075-W2075)</f>
        <v>0</v>
      </c>
      <c r="V2075" s="66"/>
      <c r="W2075" s="66"/>
      <c r="X2075" s="110">
        <f>W2075-M2075</f>
        <v>0</v>
      </c>
      <c r="Y2075" s="110"/>
      <c r="Z2075" s="110"/>
      <c r="AA2075" s="110"/>
      <c r="AB2075" s="46"/>
      <c r="AC2075" s="78"/>
      <c r="AD2075" s="78"/>
      <c r="AE2075" s="100">
        <f t="shared" ref="AE2075:AE2080" si="3398">N2075/F2075</f>
        <v>-1</v>
      </c>
      <c r="AF2075" s="90"/>
      <c r="AG2075" s="109">
        <f t="shared" ref="AG2075:AG2080" si="3399">IF(N2075&lt;0,N2075,0)</f>
        <v>-422</v>
      </c>
      <c r="AH2075" s="100">
        <f t="shared" ref="AH2075:AH2080" si="3400">(S2075-F2075)/F2075</f>
        <v>-1</v>
      </c>
      <c r="AI2075" s="100">
        <f t="shared" ref="AI2075:AI2080" si="3401">(W2075-F2075)/F2075</f>
        <v>-1</v>
      </c>
    </row>
    <row r="2076" spans="1:35" s="47" customFormat="1" ht="21" customHeight="1" x14ac:dyDescent="0.3">
      <c r="A2076" s="78"/>
      <c r="B2076" s="106" t="s">
        <v>51</v>
      </c>
      <c r="C2076" s="117">
        <v>48209</v>
      </c>
      <c r="D2076" s="300"/>
      <c r="E2076" s="131" t="s">
        <v>310</v>
      </c>
      <c r="F2076" s="66">
        <v>386</v>
      </c>
      <c r="G2076" s="66"/>
      <c r="H2076" s="66"/>
      <c r="I2076" s="66"/>
      <c r="J2076" s="66"/>
      <c r="K2076" s="78"/>
      <c r="L2076" s="66"/>
      <c r="M2076" s="66"/>
      <c r="N2076" s="110">
        <f t="shared" si="3396"/>
        <v>-386</v>
      </c>
      <c r="O2076" s="110"/>
      <c r="P2076" s="66"/>
      <c r="Q2076" s="66"/>
      <c r="R2076" s="66"/>
      <c r="S2076" s="66"/>
      <c r="T2076" s="110">
        <f t="shared" ref="T2076:T2077" si="3402">S2076-Q2076</f>
        <v>0</v>
      </c>
      <c r="U2076" s="59">
        <f t="shared" si="3397"/>
        <v>0</v>
      </c>
      <c r="V2076" s="66"/>
      <c r="W2076" s="66"/>
      <c r="X2076" s="110">
        <f t="shared" ref="X2076:X2077" si="3403">W2076-M2076</f>
        <v>0</v>
      </c>
      <c r="Y2076" s="110"/>
      <c r="Z2076" s="110"/>
      <c r="AA2076" s="110"/>
      <c r="AB2076" s="46"/>
      <c r="AC2076" s="78"/>
      <c r="AD2076" s="78"/>
      <c r="AE2076" s="100">
        <f t="shared" si="3398"/>
        <v>-1</v>
      </c>
      <c r="AF2076" s="90"/>
      <c r="AG2076" s="109">
        <f t="shared" si="3399"/>
        <v>-386</v>
      </c>
      <c r="AH2076" s="100">
        <f t="shared" si="3400"/>
        <v>-1</v>
      </c>
      <c r="AI2076" s="100">
        <f t="shared" si="3401"/>
        <v>-1</v>
      </c>
    </row>
    <row r="2077" spans="1:35" s="47" customFormat="1" ht="21" customHeight="1" x14ac:dyDescent="0.3">
      <c r="A2077" s="78"/>
      <c r="B2077" s="106" t="s">
        <v>51</v>
      </c>
      <c r="C2077" s="117">
        <v>48209</v>
      </c>
      <c r="D2077" s="300"/>
      <c r="E2077" s="131" t="s">
        <v>49</v>
      </c>
      <c r="F2077" s="66">
        <v>518</v>
      </c>
      <c r="G2077" s="66"/>
      <c r="H2077" s="66"/>
      <c r="I2077" s="66"/>
      <c r="J2077" s="66"/>
      <c r="K2077" s="78"/>
      <c r="L2077" s="66"/>
      <c r="M2077" s="66"/>
      <c r="N2077" s="110">
        <f t="shared" ref="N2077" si="3404">M2077-F2077</f>
        <v>-518</v>
      </c>
      <c r="O2077" s="110"/>
      <c r="P2077" s="66"/>
      <c r="Q2077" s="66"/>
      <c r="R2077" s="66"/>
      <c r="S2077" s="66"/>
      <c r="T2077" s="110">
        <f t="shared" si="3402"/>
        <v>0</v>
      </c>
      <c r="U2077" s="59">
        <f t="shared" ref="U2077" si="3405">IF(Q2077&gt;0,S2077-W2077,M2077-W2077)</f>
        <v>0</v>
      </c>
      <c r="V2077" s="66"/>
      <c r="W2077" s="66"/>
      <c r="X2077" s="110">
        <f t="shared" si="3403"/>
        <v>0</v>
      </c>
      <c r="Y2077" s="110"/>
      <c r="Z2077" s="110"/>
      <c r="AA2077" s="110"/>
      <c r="AB2077" s="46"/>
      <c r="AC2077" s="78"/>
      <c r="AD2077" s="78"/>
      <c r="AE2077" s="100">
        <f t="shared" ref="AE2077" si="3406">N2077/F2077</f>
        <v>-1</v>
      </c>
      <c r="AF2077" s="90"/>
      <c r="AG2077" s="109">
        <f t="shared" ref="AG2077" si="3407">IF(N2077&lt;0,N2077,0)</f>
        <v>-518</v>
      </c>
      <c r="AH2077" s="100">
        <f t="shared" ref="AH2077" si="3408">(S2077-F2077)/F2077</f>
        <v>-1</v>
      </c>
      <c r="AI2077" s="100">
        <f t="shared" ref="AI2077" si="3409">(W2077-F2077)/F2077</f>
        <v>-1</v>
      </c>
    </row>
    <row r="2078" spans="1:35" s="47" customFormat="1" ht="21" customHeight="1" x14ac:dyDescent="0.3">
      <c r="A2078" s="78"/>
      <c r="B2078" s="106" t="s">
        <v>51</v>
      </c>
      <c r="C2078" s="117">
        <v>48209</v>
      </c>
      <c r="D2078" s="300"/>
      <c r="E2078" s="131" t="s">
        <v>815</v>
      </c>
      <c r="F2078" s="66">
        <v>578</v>
      </c>
      <c r="G2078" s="66"/>
      <c r="H2078" s="66"/>
      <c r="I2078" s="66"/>
      <c r="J2078" s="66"/>
      <c r="K2078" s="78"/>
      <c r="L2078" s="66"/>
      <c r="M2078" s="66"/>
      <c r="N2078" s="110">
        <f t="shared" ref="N2078" si="3410">M2078-F2078</f>
        <v>-578</v>
      </c>
      <c r="O2078" s="110"/>
      <c r="P2078" s="66"/>
      <c r="Q2078" s="66"/>
      <c r="R2078" s="66"/>
      <c r="S2078" s="66"/>
      <c r="T2078" s="110">
        <f t="shared" ref="T2078" si="3411">S2078-Q2078</f>
        <v>0</v>
      </c>
      <c r="U2078" s="59">
        <f t="shared" ref="U2078" si="3412">IF(Q2078&gt;0,S2078-W2078,M2078-W2078)</f>
        <v>0</v>
      </c>
      <c r="V2078" s="66"/>
      <c r="W2078" s="66"/>
      <c r="X2078" s="110">
        <f t="shared" ref="X2078" si="3413">W2078-M2078</f>
        <v>0</v>
      </c>
      <c r="Y2078" s="110"/>
      <c r="Z2078" s="110"/>
      <c r="AA2078" s="110"/>
      <c r="AB2078" s="46"/>
      <c r="AC2078" s="78"/>
      <c r="AD2078" s="78"/>
      <c r="AE2078" s="100">
        <f t="shared" ref="AE2078" si="3414">N2078/F2078</f>
        <v>-1</v>
      </c>
      <c r="AF2078" s="90"/>
      <c r="AG2078" s="109">
        <f t="shared" ref="AG2078" si="3415">IF(N2078&lt;0,N2078,0)</f>
        <v>-578</v>
      </c>
      <c r="AH2078" s="100">
        <f t="shared" ref="AH2078" si="3416">(S2078-F2078)/F2078</f>
        <v>-1</v>
      </c>
      <c r="AI2078" s="100">
        <f t="shared" ref="AI2078" si="3417">(W2078-F2078)/F2078</f>
        <v>-1</v>
      </c>
    </row>
    <row r="2079" spans="1:35" s="47" customFormat="1" ht="21" customHeight="1" x14ac:dyDescent="0.3">
      <c r="A2079" s="78"/>
      <c r="B2079" s="106" t="s">
        <v>51</v>
      </c>
      <c r="C2079" s="117">
        <v>48209</v>
      </c>
      <c r="D2079" s="300"/>
      <c r="E2079" s="131" t="s">
        <v>816</v>
      </c>
      <c r="F2079" s="66">
        <v>698</v>
      </c>
      <c r="G2079" s="66"/>
      <c r="H2079" s="66"/>
      <c r="I2079" s="66"/>
      <c r="J2079" s="66"/>
      <c r="K2079" s="78"/>
      <c r="L2079" s="66"/>
      <c r="M2079" s="66"/>
      <c r="N2079" s="110">
        <f t="shared" si="3396"/>
        <v>-698</v>
      </c>
      <c r="O2079" s="110"/>
      <c r="P2079" s="66"/>
      <c r="Q2079" s="66"/>
      <c r="R2079" s="66"/>
      <c r="S2079" s="66"/>
      <c r="T2079" s="110">
        <f t="shared" ref="T2079" si="3418">S2079-Q2079</f>
        <v>0</v>
      </c>
      <c r="U2079" s="59">
        <f t="shared" si="3397"/>
        <v>0</v>
      </c>
      <c r="V2079" s="66"/>
      <c r="W2079" s="66"/>
      <c r="X2079" s="110">
        <f t="shared" ref="X2079" si="3419">W2079-M2079</f>
        <v>0</v>
      </c>
      <c r="Y2079" s="110"/>
      <c r="Z2079" s="110"/>
      <c r="AA2079" s="110"/>
      <c r="AB2079" s="46"/>
      <c r="AC2079" s="78"/>
      <c r="AD2079" s="78"/>
      <c r="AE2079" s="100">
        <f t="shared" si="3398"/>
        <v>-1</v>
      </c>
      <c r="AF2079" s="90"/>
      <c r="AG2079" s="109">
        <f t="shared" si="3399"/>
        <v>-698</v>
      </c>
      <c r="AH2079" s="100">
        <f t="shared" si="3400"/>
        <v>-1</v>
      </c>
      <c r="AI2079" s="100">
        <f t="shared" si="3401"/>
        <v>-1</v>
      </c>
    </row>
    <row r="2080" spans="1:35" s="79" customFormat="1" ht="15.75" customHeight="1" x14ac:dyDescent="0.3">
      <c r="A2080" s="90" t="s">
        <v>46</v>
      </c>
      <c r="B2080" s="136" t="s">
        <v>51</v>
      </c>
      <c r="C2080" s="137"/>
      <c r="D2080" s="136"/>
      <c r="E2080" s="138"/>
      <c r="F2080" s="91">
        <f>SUM(F2075:F2079)</f>
        <v>2602</v>
      </c>
      <c r="G2080" s="91"/>
      <c r="H2080" s="91"/>
      <c r="I2080" s="91"/>
      <c r="J2080" s="91"/>
      <c r="K2080" s="65" t="s">
        <v>617</v>
      </c>
      <c r="L2080" s="91">
        <f>SUM(L2075:L2079)</f>
        <v>0</v>
      </c>
      <c r="M2080" s="91">
        <f>SUM(M2075:M2079)</f>
        <v>0</v>
      </c>
      <c r="N2080" s="91">
        <f>SUM(N2075:N2079)</f>
        <v>-2602</v>
      </c>
      <c r="O2080" s="91"/>
      <c r="P2080" s="91">
        <f>SUM(P2075:P2079)</f>
        <v>0</v>
      </c>
      <c r="Q2080" s="91">
        <f>SUM(Q2075:Q2079)</f>
        <v>0</v>
      </c>
      <c r="R2080" s="91">
        <f>SUM(R2075:R2079)</f>
        <v>0</v>
      </c>
      <c r="S2080" s="91">
        <f>SUM(S2075:S2079)</f>
        <v>0</v>
      </c>
      <c r="T2080" s="91">
        <f>SUM(T2075:T2079)</f>
        <v>0</v>
      </c>
      <c r="U2080" s="59">
        <f t="shared" si="3397"/>
        <v>0</v>
      </c>
      <c r="V2080" s="91">
        <f>SUM(V2075:V2079)</f>
        <v>0</v>
      </c>
      <c r="W2080" s="91">
        <f>SUM(W2075:W2079)</f>
        <v>0</v>
      </c>
      <c r="X2080" s="91">
        <f>SUM(X2075:X2079)</f>
        <v>0</v>
      </c>
      <c r="Y2080" s="136" t="s">
        <v>48</v>
      </c>
      <c r="Z2080" s="136" t="s">
        <v>45</v>
      </c>
      <c r="AA2080" s="136"/>
      <c r="AB2080" s="84"/>
      <c r="AC2080" s="90"/>
      <c r="AD2080" s="90"/>
      <c r="AE2080" s="100">
        <f t="shared" si="3398"/>
        <v>-1</v>
      </c>
      <c r="AF2080" s="90"/>
      <c r="AG2080" s="109">
        <f t="shared" si="3399"/>
        <v>-2602</v>
      </c>
      <c r="AH2080" s="100">
        <f t="shared" si="3400"/>
        <v>-1</v>
      </c>
      <c r="AI2080" s="100">
        <f t="shared" si="3401"/>
        <v>-1</v>
      </c>
    </row>
    <row r="2081" spans="1:35" s="47" customFormat="1" ht="21" customHeight="1" x14ac:dyDescent="0.3">
      <c r="A2081" s="78"/>
      <c r="B2081" s="106" t="s">
        <v>51</v>
      </c>
      <c r="C2081" s="117">
        <v>48164</v>
      </c>
      <c r="D2081" s="299">
        <v>15394945</v>
      </c>
      <c r="E2081" s="131" t="s">
        <v>0</v>
      </c>
      <c r="F2081" s="66">
        <v>1713</v>
      </c>
      <c r="G2081" s="66"/>
      <c r="H2081" s="66"/>
      <c r="I2081" s="66"/>
      <c r="J2081" s="66"/>
      <c r="K2081" s="78"/>
      <c r="L2081" s="66">
        <v>150</v>
      </c>
      <c r="M2081" s="66">
        <f>1030+569+150</f>
        <v>1749</v>
      </c>
      <c r="N2081" s="110">
        <f t="shared" ref="N2081:N2083" si="3420">M2081-F2081</f>
        <v>36</v>
      </c>
      <c r="O2081" s="110"/>
      <c r="P2081" s="66"/>
      <c r="Q2081" s="66">
        <f>1030</f>
        <v>1030</v>
      </c>
      <c r="R2081" s="66"/>
      <c r="S2081" s="66"/>
      <c r="T2081" s="110">
        <f>S2081-Q2081</f>
        <v>-1030</v>
      </c>
      <c r="U2081" s="59">
        <f t="shared" si="3291"/>
        <v>0</v>
      </c>
      <c r="V2081" s="66"/>
      <c r="W2081" s="66"/>
      <c r="X2081" s="110">
        <f>W2081-M2081</f>
        <v>-1749</v>
      </c>
      <c r="Y2081" s="110"/>
      <c r="Z2081" s="110"/>
      <c r="AA2081" s="110"/>
      <c r="AB2081" s="46"/>
      <c r="AC2081" s="78"/>
      <c r="AD2081" s="78"/>
      <c r="AE2081" s="100">
        <f t="shared" si="3292"/>
        <v>2.1015761821366025E-2</v>
      </c>
      <c r="AF2081" s="90"/>
      <c r="AG2081" s="109">
        <f t="shared" si="3293"/>
        <v>0</v>
      </c>
      <c r="AH2081" s="100">
        <f t="shared" si="3294"/>
        <v>-1</v>
      </c>
      <c r="AI2081" s="100">
        <f t="shared" si="3295"/>
        <v>-1</v>
      </c>
    </row>
    <row r="2082" spans="1:35" s="47" customFormat="1" ht="21" customHeight="1" x14ac:dyDescent="0.3">
      <c r="A2082" s="78"/>
      <c r="B2082" s="106" t="s">
        <v>51</v>
      </c>
      <c r="C2082" s="117">
        <v>48164</v>
      </c>
      <c r="D2082" s="300"/>
      <c r="E2082" s="131" t="s">
        <v>876</v>
      </c>
      <c r="F2082" s="66">
        <v>1413</v>
      </c>
      <c r="G2082" s="66"/>
      <c r="H2082" s="66"/>
      <c r="I2082" s="66"/>
      <c r="J2082" s="66"/>
      <c r="K2082" s="78"/>
      <c r="L2082" s="66"/>
      <c r="M2082" s="66">
        <f>1143+310</f>
        <v>1453</v>
      </c>
      <c r="N2082" s="110">
        <f t="shared" ref="N2082" si="3421">M2082-F2082</f>
        <v>40</v>
      </c>
      <c r="O2082" s="110"/>
      <c r="P2082" s="66"/>
      <c r="Q2082" s="66">
        <f>1143+310</f>
        <v>1453</v>
      </c>
      <c r="R2082" s="66"/>
      <c r="S2082" s="66"/>
      <c r="T2082" s="110">
        <f t="shared" ref="T2082" si="3422">S2082-Q2082</f>
        <v>-1453</v>
      </c>
      <c r="U2082" s="59">
        <f t="shared" ref="U2082" si="3423">IF(Q2082&gt;0,S2082-W2082,M2082-W2082)</f>
        <v>0</v>
      </c>
      <c r="V2082" s="66"/>
      <c r="W2082" s="66"/>
      <c r="X2082" s="110">
        <f t="shared" ref="X2082" si="3424">W2082-M2082</f>
        <v>-1453</v>
      </c>
      <c r="Y2082" s="110"/>
      <c r="Z2082" s="110"/>
      <c r="AA2082" s="110"/>
      <c r="AB2082" s="46"/>
      <c r="AC2082" s="78"/>
      <c r="AD2082" s="78"/>
      <c r="AE2082" s="100">
        <f t="shared" ref="AE2082" si="3425">N2082/F2082</f>
        <v>2.8308563340410473E-2</v>
      </c>
      <c r="AF2082" s="90"/>
      <c r="AG2082" s="109">
        <f t="shared" ref="AG2082" si="3426">IF(N2082&lt;0,N2082,0)</f>
        <v>0</v>
      </c>
      <c r="AH2082" s="100">
        <f t="shared" ref="AH2082" si="3427">(S2082-F2082)/F2082</f>
        <v>-1</v>
      </c>
      <c r="AI2082" s="100">
        <f t="shared" ref="AI2082" si="3428">(W2082-F2082)/F2082</f>
        <v>-1</v>
      </c>
    </row>
    <row r="2083" spans="1:35" s="47" customFormat="1" ht="21" customHeight="1" x14ac:dyDescent="0.3">
      <c r="A2083" s="78"/>
      <c r="B2083" s="106" t="s">
        <v>51</v>
      </c>
      <c r="C2083" s="117">
        <v>48164</v>
      </c>
      <c r="D2083" s="300"/>
      <c r="E2083" s="131" t="s">
        <v>877</v>
      </c>
      <c r="F2083" s="66">
        <v>1413</v>
      </c>
      <c r="G2083" s="66"/>
      <c r="H2083" s="66"/>
      <c r="I2083" s="66"/>
      <c r="J2083" s="66"/>
      <c r="K2083" s="78"/>
      <c r="L2083" s="66"/>
      <c r="M2083" s="66">
        <f>1143+310</f>
        <v>1453</v>
      </c>
      <c r="N2083" s="110">
        <f t="shared" si="3420"/>
        <v>40</v>
      </c>
      <c r="O2083" s="110"/>
      <c r="P2083" s="66"/>
      <c r="Q2083" s="66">
        <v>1453</v>
      </c>
      <c r="R2083" s="66"/>
      <c r="S2083" s="66"/>
      <c r="T2083" s="110">
        <f t="shared" ref="T2083" si="3429">S2083-Q2083</f>
        <v>-1453</v>
      </c>
      <c r="U2083" s="59">
        <f t="shared" ref="U2083:U2119" si="3430">IF(Q2083&gt;0,S2083-W2083,M2083-W2083)</f>
        <v>0</v>
      </c>
      <c r="V2083" s="66"/>
      <c r="W2083" s="66"/>
      <c r="X2083" s="110">
        <f t="shared" ref="X2083" si="3431">W2083-M2083</f>
        <v>-1453</v>
      </c>
      <c r="Y2083" s="110"/>
      <c r="Z2083" s="110"/>
      <c r="AA2083" s="110"/>
      <c r="AB2083" s="46"/>
      <c r="AC2083" s="78"/>
      <c r="AD2083" s="78"/>
      <c r="AE2083" s="100">
        <f t="shared" ref="AE2083:AE2119" si="3432">N2083/F2083</f>
        <v>2.8308563340410473E-2</v>
      </c>
      <c r="AF2083" s="90"/>
      <c r="AG2083" s="109">
        <f t="shared" ref="AG2083:AG2119" si="3433">IF(N2083&lt;0,N2083,0)</f>
        <v>0</v>
      </c>
      <c r="AH2083" s="100">
        <f t="shared" ref="AH2083:AH2119" si="3434">(S2083-F2083)/F2083</f>
        <v>-1</v>
      </c>
      <c r="AI2083" s="100">
        <f t="shared" ref="AI2083:AI2119" si="3435">(W2083-F2083)/F2083</f>
        <v>-1</v>
      </c>
    </row>
    <row r="2084" spans="1:35" s="79" customFormat="1" ht="15.75" customHeight="1" x14ac:dyDescent="0.3">
      <c r="A2084" s="90" t="s">
        <v>46</v>
      </c>
      <c r="B2084" s="136" t="s">
        <v>51</v>
      </c>
      <c r="C2084" s="137"/>
      <c r="D2084" s="136"/>
      <c r="E2084" s="138"/>
      <c r="F2084" s="91">
        <f>SUM(F2081:F2083)</f>
        <v>4539</v>
      </c>
      <c r="G2084" s="91"/>
      <c r="H2084" s="91"/>
      <c r="I2084" s="91"/>
      <c r="J2084" s="91" t="s">
        <v>59</v>
      </c>
      <c r="K2084" s="65" t="s">
        <v>410</v>
      </c>
      <c r="L2084" s="91">
        <f>SUM(L2081:L2083)</f>
        <v>150</v>
      </c>
      <c r="M2084" s="91">
        <f>SUM(M2081:M2083)</f>
        <v>4655</v>
      </c>
      <c r="N2084" s="91">
        <f>SUM(N2081:N2083)</f>
        <v>116</v>
      </c>
      <c r="O2084" s="91"/>
      <c r="P2084" s="91">
        <f>SUM(P2081:P2083)</f>
        <v>0</v>
      </c>
      <c r="Q2084" s="91">
        <f>SUM(Q2081:Q2083)</f>
        <v>3936</v>
      </c>
      <c r="R2084" s="91">
        <f>SUM(R2081:R2083)</f>
        <v>0</v>
      </c>
      <c r="S2084" s="91">
        <f>SUM(S2081:S2083)</f>
        <v>0</v>
      </c>
      <c r="T2084" s="91">
        <f>SUM(T2081:T2083)</f>
        <v>-3936</v>
      </c>
      <c r="U2084" s="59">
        <f t="shared" si="3430"/>
        <v>0</v>
      </c>
      <c r="V2084" s="91">
        <f>SUM(V2081:V2083)</f>
        <v>0</v>
      </c>
      <c r="W2084" s="91">
        <f>SUM(W2081:W2083)</f>
        <v>0</v>
      </c>
      <c r="X2084" s="91">
        <f>SUM(X2081:X2083)</f>
        <v>-4655</v>
      </c>
      <c r="Y2084" s="136" t="s">
        <v>47</v>
      </c>
      <c r="Z2084" s="136" t="s">
        <v>45</v>
      </c>
      <c r="AA2084" s="136"/>
      <c r="AB2084" s="84"/>
      <c r="AC2084" s="90"/>
      <c r="AD2084" s="90"/>
      <c r="AE2084" s="100">
        <f t="shared" si="3432"/>
        <v>2.555628993170302E-2</v>
      </c>
      <c r="AF2084" s="90"/>
      <c r="AG2084" s="109">
        <f t="shared" si="3433"/>
        <v>0</v>
      </c>
      <c r="AH2084" s="100">
        <f t="shared" si="3434"/>
        <v>-1</v>
      </c>
      <c r="AI2084" s="100">
        <f t="shared" si="3435"/>
        <v>-1</v>
      </c>
    </row>
    <row r="2085" spans="1:35" s="47" customFormat="1" ht="21" customHeight="1" x14ac:dyDescent="0.3">
      <c r="A2085" s="78"/>
      <c r="B2085" s="106" t="s">
        <v>51</v>
      </c>
      <c r="C2085" s="117" t="s">
        <v>419</v>
      </c>
      <c r="D2085" s="299">
        <v>15367075</v>
      </c>
      <c r="E2085" s="131" t="s">
        <v>420</v>
      </c>
      <c r="F2085" s="66">
        <v>792</v>
      </c>
      <c r="G2085" s="66"/>
      <c r="H2085" s="66"/>
      <c r="I2085" s="66"/>
      <c r="J2085" s="66"/>
      <c r="K2085" s="78"/>
      <c r="L2085" s="66"/>
      <c r="M2085" s="66">
        <f>816</f>
        <v>816</v>
      </c>
      <c r="N2085" s="110">
        <f t="shared" ref="N2085:N2091" si="3436">M2085-F2085</f>
        <v>24</v>
      </c>
      <c r="O2085" s="110"/>
      <c r="P2085" s="66"/>
      <c r="Q2085" s="66">
        <v>816</v>
      </c>
      <c r="R2085" s="66"/>
      <c r="S2085" s="66">
        <v>816</v>
      </c>
      <c r="T2085" s="110">
        <f>S2085-Q2085</f>
        <v>0</v>
      </c>
      <c r="U2085" s="59">
        <f t="shared" ref="U2085:U2092" si="3437">IF(Q2085&gt;0,S2085-W2085,M2085-W2085)</f>
        <v>816</v>
      </c>
      <c r="V2085" s="66"/>
      <c r="W2085" s="66"/>
      <c r="X2085" s="110">
        <f>W2085-M2085</f>
        <v>-816</v>
      </c>
      <c r="Y2085" s="110"/>
      <c r="Z2085" s="110"/>
      <c r="AA2085" s="110"/>
      <c r="AB2085" s="46"/>
      <c r="AC2085" s="78"/>
      <c r="AD2085" s="78"/>
      <c r="AE2085" s="100">
        <f t="shared" ref="AE2085:AE2092" si="3438">N2085/F2085</f>
        <v>3.0303030303030304E-2</v>
      </c>
      <c r="AF2085" s="90"/>
      <c r="AG2085" s="109">
        <f t="shared" ref="AG2085:AG2092" si="3439">IF(N2085&lt;0,N2085,0)</f>
        <v>0</v>
      </c>
      <c r="AH2085" s="100">
        <f t="shared" ref="AH2085:AH2092" si="3440">(S2085-F2085)/F2085</f>
        <v>3.0303030303030304E-2</v>
      </c>
      <c r="AI2085" s="100">
        <f t="shared" ref="AI2085:AI2092" si="3441">(W2085-F2085)/F2085</f>
        <v>-1</v>
      </c>
    </row>
    <row r="2086" spans="1:35" s="47" customFormat="1" ht="21" customHeight="1" x14ac:dyDescent="0.3">
      <c r="A2086" s="78"/>
      <c r="B2086" s="106" t="s">
        <v>51</v>
      </c>
      <c r="C2086" s="117" t="s">
        <v>419</v>
      </c>
      <c r="D2086" s="300"/>
      <c r="E2086" s="131" t="s">
        <v>280</v>
      </c>
      <c r="F2086" s="66">
        <v>4442</v>
      </c>
      <c r="G2086" s="66"/>
      <c r="H2086" s="66"/>
      <c r="I2086" s="66"/>
      <c r="J2086" s="66"/>
      <c r="K2086" s="78"/>
      <c r="L2086" s="66"/>
      <c r="M2086" s="66">
        <f>824+3717</f>
        <v>4541</v>
      </c>
      <c r="N2086" s="110">
        <f t="shared" ref="N2086:N2088" si="3442">M2086-F2086</f>
        <v>99</v>
      </c>
      <c r="O2086" s="110"/>
      <c r="P2086" s="66"/>
      <c r="Q2086" s="66">
        <f>824+1216+800+1666</f>
        <v>4506</v>
      </c>
      <c r="R2086" s="66"/>
      <c r="S2086" s="66">
        <f>1813+1787+640+161</f>
        <v>4401</v>
      </c>
      <c r="T2086" s="110">
        <f t="shared" ref="T2086:T2088" si="3443">S2086-Q2086</f>
        <v>-105</v>
      </c>
      <c r="U2086" s="59">
        <f t="shared" ref="U2086:U2088" si="3444">IF(Q2086&gt;0,S2086-W2086,M2086-W2086)</f>
        <v>3950</v>
      </c>
      <c r="V2086" s="66"/>
      <c r="W2086" s="66">
        <v>451</v>
      </c>
      <c r="X2086" s="110">
        <f t="shared" ref="X2086:X2088" si="3445">W2086-M2086</f>
        <v>-4090</v>
      </c>
      <c r="Y2086" s="110"/>
      <c r="Z2086" s="110"/>
      <c r="AA2086" s="110"/>
      <c r="AB2086" s="46"/>
      <c r="AC2086" s="78"/>
      <c r="AD2086" s="78"/>
      <c r="AE2086" s="100">
        <f t="shared" ref="AE2086:AE2088" si="3446">N2086/F2086</f>
        <v>2.2287257991895543E-2</v>
      </c>
      <c r="AF2086" s="90"/>
      <c r="AG2086" s="109">
        <f t="shared" ref="AG2086:AG2088" si="3447">IF(N2086&lt;0,N2086,0)</f>
        <v>0</v>
      </c>
      <c r="AH2086" s="100">
        <f t="shared" ref="AH2086:AH2088" si="3448">(S2086-F2086)/F2086</f>
        <v>-9.2300765420981548E-3</v>
      </c>
      <c r="AI2086" s="100">
        <f t="shared" ref="AI2086:AI2088" si="3449">(W2086-F2086)/F2086</f>
        <v>-0.89846915803692029</v>
      </c>
    </row>
    <row r="2087" spans="1:35" s="47" customFormat="1" ht="21" customHeight="1" x14ac:dyDescent="0.3">
      <c r="A2087" s="78"/>
      <c r="B2087" s="106" t="s">
        <v>51</v>
      </c>
      <c r="C2087" s="117" t="s">
        <v>419</v>
      </c>
      <c r="D2087" s="300"/>
      <c r="E2087" s="131" t="s">
        <v>309</v>
      </c>
      <c r="F2087" s="66">
        <v>5006</v>
      </c>
      <c r="G2087" s="66"/>
      <c r="H2087" s="66"/>
      <c r="I2087" s="66"/>
      <c r="J2087" s="66"/>
      <c r="K2087" s="78"/>
      <c r="L2087" s="66"/>
      <c r="M2087" s="66">
        <f>1704+3416</f>
        <v>5120</v>
      </c>
      <c r="N2087" s="110">
        <f t="shared" si="3442"/>
        <v>114</v>
      </c>
      <c r="O2087" s="110"/>
      <c r="P2087" s="66"/>
      <c r="Q2087" s="66">
        <f>1704+3416</f>
        <v>5120</v>
      </c>
      <c r="R2087" s="66">
        <v>1503</v>
      </c>
      <c r="S2087" s="66">
        <f>328+87+80+742+1140+1503</f>
        <v>3880</v>
      </c>
      <c r="T2087" s="110">
        <f t="shared" si="3443"/>
        <v>-1240</v>
      </c>
      <c r="U2087" s="59">
        <f t="shared" si="3444"/>
        <v>3480</v>
      </c>
      <c r="V2087" s="66"/>
      <c r="W2087" s="66">
        <f>400</f>
        <v>400</v>
      </c>
      <c r="X2087" s="110">
        <f t="shared" si="3445"/>
        <v>-4720</v>
      </c>
      <c r="Y2087" s="110"/>
      <c r="Z2087" s="110"/>
      <c r="AA2087" s="110"/>
      <c r="AB2087" s="46"/>
      <c r="AC2087" s="78"/>
      <c r="AD2087" s="78"/>
      <c r="AE2087" s="100">
        <f t="shared" si="3446"/>
        <v>2.2772672792648822E-2</v>
      </c>
      <c r="AF2087" s="90"/>
      <c r="AG2087" s="109">
        <f t="shared" si="3447"/>
        <v>0</v>
      </c>
      <c r="AH2087" s="100">
        <f t="shared" si="3448"/>
        <v>-0.22493008389932082</v>
      </c>
      <c r="AI2087" s="100">
        <f t="shared" si="3449"/>
        <v>-0.92009588493807426</v>
      </c>
    </row>
    <row r="2088" spans="1:35" s="47" customFormat="1" ht="21" customHeight="1" x14ac:dyDescent="0.3">
      <c r="A2088" s="78"/>
      <c r="B2088" s="106" t="s">
        <v>51</v>
      </c>
      <c r="C2088" s="117" t="s">
        <v>419</v>
      </c>
      <c r="D2088" s="300"/>
      <c r="E2088" s="131" t="s">
        <v>418</v>
      </c>
      <c r="F2088" s="66">
        <v>2353</v>
      </c>
      <c r="G2088" s="66"/>
      <c r="H2088" s="66"/>
      <c r="I2088" s="66"/>
      <c r="J2088" s="66"/>
      <c r="K2088" s="78"/>
      <c r="L2088" s="66"/>
      <c r="M2088" s="66">
        <f>2416</f>
        <v>2416</v>
      </c>
      <c r="N2088" s="110">
        <f t="shared" si="3442"/>
        <v>63</v>
      </c>
      <c r="O2088" s="110"/>
      <c r="P2088" s="66"/>
      <c r="Q2088" s="66">
        <f>2416</f>
        <v>2416</v>
      </c>
      <c r="R2088" s="66"/>
      <c r="S2088" s="66">
        <v>2416</v>
      </c>
      <c r="T2088" s="110">
        <f t="shared" si="3443"/>
        <v>0</v>
      </c>
      <c r="U2088" s="59">
        <f t="shared" si="3444"/>
        <v>0</v>
      </c>
      <c r="V2088" s="66"/>
      <c r="W2088" s="66">
        <v>2416</v>
      </c>
      <c r="X2088" s="110">
        <f t="shared" si="3445"/>
        <v>0</v>
      </c>
      <c r="Y2088" s="110"/>
      <c r="Z2088" s="110"/>
      <c r="AA2088" s="110"/>
      <c r="AB2088" s="46"/>
      <c r="AC2088" s="78"/>
      <c r="AD2088" s="78"/>
      <c r="AE2088" s="100">
        <f t="shared" si="3446"/>
        <v>2.6774330641733957E-2</v>
      </c>
      <c r="AF2088" s="90"/>
      <c r="AG2088" s="109">
        <f t="shared" si="3447"/>
        <v>0</v>
      </c>
      <c r="AH2088" s="100">
        <f t="shared" si="3448"/>
        <v>2.6774330641733957E-2</v>
      </c>
      <c r="AI2088" s="100">
        <f t="shared" si="3449"/>
        <v>2.6774330641733957E-2</v>
      </c>
    </row>
    <row r="2089" spans="1:35" s="47" customFormat="1" ht="21" customHeight="1" x14ac:dyDescent="0.3">
      <c r="A2089" s="78"/>
      <c r="B2089" s="106" t="s">
        <v>51</v>
      </c>
      <c r="C2089" s="117" t="s">
        <v>419</v>
      </c>
      <c r="D2089" s="300"/>
      <c r="E2089" s="131" t="s">
        <v>228</v>
      </c>
      <c r="F2089" s="66">
        <v>2884</v>
      </c>
      <c r="G2089" s="66"/>
      <c r="H2089" s="66"/>
      <c r="I2089" s="66"/>
      <c r="J2089" s="66"/>
      <c r="K2089" s="78"/>
      <c r="L2089" s="66"/>
      <c r="M2089" s="66">
        <f>1464+808+372+300+3</f>
        <v>2947</v>
      </c>
      <c r="N2089" s="110">
        <f t="shared" si="3436"/>
        <v>63</v>
      </c>
      <c r="O2089" s="110"/>
      <c r="P2089" s="66"/>
      <c r="Q2089" s="66">
        <f>2272+672+3</f>
        <v>2947</v>
      </c>
      <c r="R2089" s="66"/>
      <c r="S2089" s="66">
        <f>2944+3</f>
        <v>2947</v>
      </c>
      <c r="T2089" s="110">
        <f t="shared" ref="T2089:T2091" si="3450">S2089-Q2089</f>
        <v>0</v>
      </c>
      <c r="U2089" s="59">
        <f t="shared" si="3437"/>
        <v>0</v>
      </c>
      <c r="V2089" s="66"/>
      <c r="W2089" s="66">
        <v>2947</v>
      </c>
      <c r="X2089" s="110">
        <f t="shared" ref="X2089:X2091" si="3451">W2089-M2089</f>
        <v>0</v>
      </c>
      <c r="Y2089" s="110"/>
      <c r="Z2089" s="110"/>
      <c r="AA2089" s="110"/>
      <c r="AB2089" s="46"/>
      <c r="AC2089" s="78"/>
      <c r="AD2089" s="78"/>
      <c r="AE2089" s="100">
        <f t="shared" si="3438"/>
        <v>2.1844660194174758E-2</v>
      </c>
      <c r="AF2089" s="90"/>
      <c r="AG2089" s="109">
        <f t="shared" si="3439"/>
        <v>0</v>
      </c>
      <c r="AH2089" s="100">
        <f t="shared" si="3440"/>
        <v>2.1844660194174758E-2</v>
      </c>
      <c r="AI2089" s="100">
        <f t="shared" si="3441"/>
        <v>2.1844660194174758E-2</v>
      </c>
    </row>
    <row r="2090" spans="1:35" s="47" customFormat="1" ht="21" customHeight="1" x14ac:dyDescent="0.3">
      <c r="A2090" s="78"/>
      <c r="B2090" s="106" t="s">
        <v>51</v>
      </c>
      <c r="C2090" s="117" t="s">
        <v>419</v>
      </c>
      <c r="D2090" s="300"/>
      <c r="E2090" s="131" t="s">
        <v>421</v>
      </c>
      <c r="F2090" s="66">
        <v>2976</v>
      </c>
      <c r="G2090" s="66"/>
      <c r="H2090" s="66"/>
      <c r="I2090" s="66"/>
      <c r="J2090" s="66"/>
      <c r="K2090" s="78"/>
      <c r="L2090" s="66"/>
      <c r="M2090" s="66">
        <f>2154+918</f>
        <v>3072</v>
      </c>
      <c r="N2090" s="110">
        <f t="shared" si="3436"/>
        <v>96</v>
      </c>
      <c r="O2090" s="110"/>
      <c r="P2090" s="66"/>
      <c r="Q2090" s="66">
        <v>3072</v>
      </c>
      <c r="R2090" s="66"/>
      <c r="S2090" s="66">
        <v>3072</v>
      </c>
      <c r="T2090" s="110">
        <f t="shared" si="3450"/>
        <v>0</v>
      </c>
      <c r="U2090" s="59">
        <f t="shared" si="3437"/>
        <v>68</v>
      </c>
      <c r="V2090" s="66"/>
      <c r="W2090" s="66">
        <v>3004</v>
      </c>
      <c r="X2090" s="110">
        <f t="shared" si="3451"/>
        <v>-68</v>
      </c>
      <c r="Y2090" s="110"/>
      <c r="Z2090" s="110"/>
      <c r="AA2090" s="110"/>
      <c r="AB2090" s="46"/>
      <c r="AC2090" s="78"/>
      <c r="AD2090" s="78"/>
      <c r="AE2090" s="100">
        <f t="shared" si="3438"/>
        <v>3.2258064516129031E-2</v>
      </c>
      <c r="AF2090" s="90"/>
      <c r="AG2090" s="109">
        <f t="shared" si="3439"/>
        <v>0</v>
      </c>
      <c r="AH2090" s="100">
        <f t="shared" si="3440"/>
        <v>3.2258064516129031E-2</v>
      </c>
      <c r="AI2090" s="100">
        <f t="shared" si="3441"/>
        <v>9.4086021505376347E-3</v>
      </c>
    </row>
    <row r="2091" spans="1:35" s="47" customFormat="1" ht="21" customHeight="1" x14ac:dyDescent="0.3">
      <c r="A2091" s="78"/>
      <c r="B2091" s="106" t="s">
        <v>51</v>
      </c>
      <c r="C2091" s="117" t="s">
        <v>419</v>
      </c>
      <c r="D2091" s="300"/>
      <c r="E2091" s="131" t="s">
        <v>422</v>
      </c>
      <c r="F2091" s="66">
        <v>5319</v>
      </c>
      <c r="G2091" s="66"/>
      <c r="H2091" s="66"/>
      <c r="I2091" s="66"/>
      <c r="J2091" s="66"/>
      <c r="K2091" s="78"/>
      <c r="L2091" s="66">
        <v>68</v>
      </c>
      <c r="M2091" s="66">
        <f>846+3006+1017+564</f>
        <v>5433</v>
      </c>
      <c r="N2091" s="110">
        <f t="shared" si="3436"/>
        <v>114</v>
      </c>
      <c r="O2091" s="110"/>
      <c r="P2091" s="66">
        <v>63</v>
      </c>
      <c r="Q2091" s="66">
        <f>846+1089+1917+1581</f>
        <v>5433</v>
      </c>
      <c r="R2091" s="66"/>
      <c r="S2091" s="66">
        <f>828+805+1171+692+1199+637</f>
        <v>5332</v>
      </c>
      <c r="T2091" s="110">
        <f t="shared" si="3450"/>
        <v>-101</v>
      </c>
      <c r="U2091" s="59">
        <f t="shared" si="3437"/>
        <v>19</v>
      </c>
      <c r="V2091" s="66"/>
      <c r="W2091" s="66">
        <f>798+887+1532+2096</f>
        <v>5313</v>
      </c>
      <c r="X2091" s="110">
        <f t="shared" si="3451"/>
        <v>-120</v>
      </c>
      <c r="Y2091" s="110"/>
      <c r="Z2091" s="110"/>
      <c r="AA2091" s="110"/>
      <c r="AB2091" s="46"/>
      <c r="AC2091" s="78"/>
      <c r="AD2091" s="78"/>
      <c r="AE2091" s="100">
        <f t="shared" si="3438"/>
        <v>2.1432600112803159E-2</v>
      </c>
      <c r="AF2091" s="90"/>
      <c r="AG2091" s="109">
        <f t="shared" si="3439"/>
        <v>0</v>
      </c>
      <c r="AH2091" s="100">
        <f t="shared" si="3440"/>
        <v>2.4440684339161497E-3</v>
      </c>
      <c r="AI2091" s="100">
        <f t="shared" si="3441"/>
        <v>-1.1280315848843769E-3</v>
      </c>
    </row>
    <row r="2092" spans="1:35" s="79" customFormat="1" ht="15.75" customHeight="1" x14ac:dyDescent="0.3">
      <c r="A2092" s="90" t="s">
        <v>46</v>
      </c>
      <c r="B2092" s="136" t="s">
        <v>51</v>
      </c>
      <c r="C2092" s="137"/>
      <c r="D2092" s="136"/>
      <c r="E2092" s="138"/>
      <c r="F2092" s="91">
        <f>SUM(F2085:F2091)</f>
        <v>23772</v>
      </c>
      <c r="G2092" s="91"/>
      <c r="H2092" s="91"/>
      <c r="I2092" s="91"/>
      <c r="J2092" s="91" t="s">
        <v>59</v>
      </c>
      <c r="K2092" s="65" t="s">
        <v>290</v>
      </c>
      <c r="L2092" s="91">
        <f>SUM(L2085:L2091)</f>
        <v>68</v>
      </c>
      <c r="M2092" s="91">
        <f>SUM(M2085:M2091)</f>
        <v>24345</v>
      </c>
      <c r="N2092" s="91">
        <f>SUM(N2085:N2091)</f>
        <v>573</v>
      </c>
      <c r="O2092" s="91" t="s">
        <v>709</v>
      </c>
      <c r="P2092" s="91">
        <f>SUM(P2085:P2091)</f>
        <v>63</v>
      </c>
      <c r="Q2092" s="91">
        <f>SUM(Q2085:Q2091)</f>
        <v>24310</v>
      </c>
      <c r="R2092" s="91">
        <f>SUM(R2085:R2091)</f>
        <v>1503</v>
      </c>
      <c r="S2092" s="91">
        <f>SUM(S2085:S2091)</f>
        <v>22864</v>
      </c>
      <c r="T2092" s="91">
        <f>SUM(T2085:T2091)</f>
        <v>-1446</v>
      </c>
      <c r="U2092" s="59">
        <f t="shared" si="3437"/>
        <v>8333</v>
      </c>
      <c r="V2092" s="91">
        <f>SUM(V2085:V2091)</f>
        <v>0</v>
      </c>
      <c r="W2092" s="91">
        <f>SUM(W2085:W2091)</f>
        <v>14531</v>
      </c>
      <c r="X2092" s="91">
        <f>SUM(X2085:X2091)</f>
        <v>-9814</v>
      </c>
      <c r="Y2092" s="136" t="s">
        <v>57</v>
      </c>
      <c r="Z2092" s="136" t="s">
        <v>45</v>
      </c>
      <c r="AA2092" s="136"/>
      <c r="AB2092" s="84"/>
      <c r="AC2092" s="90"/>
      <c r="AD2092" s="90"/>
      <c r="AE2092" s="100">
        <f t="shared" si="3438"/>
        <v>2.4103987884906614E-2</v>
      </c>
      <c r="AF2092" s="90"/>
      <c r="AG2092" s="109">
        <f t="shared" si="3439"/>
        <v>0</v>
      </c>
      <c r="AH2092" s="100">
        <f t="shared" si="3440"/>
        <v>-3.8196197206797913E-2</v>
      </c>
      <c r="AI2092" s="100">
        <f t="shared" si="3441"/>
        <v>-0.38873464580178363</v>
      </c>
    </row>
    <row r="2093" spans="1:35" s="47" customFormat="1" ht="21" customHeight="1" x14ac:dyDescent="0.3">
      <c r="A2093" s="78"/>
      <c r="B2093" s="106" t="s">
        <v>51</v>
      </c>
      <c r="C2093" s="117" t="s">
        <v>417</v>
      </c>
      <c r="D2093" s="299">
        <v>15367075</v>
      </c>
      <c r="E2093" s="131" t="s">
        <v>309</v>
      </c>
      <c r="F2093" s="66">
        <v>1004</v>
      </c>
      <c r="G2093" s="66"/>
      <c r="H2093" s="66"/>
      <c r="I2093" s="66"/>
      <c r="J2093" s="66"/>
      <c r="K2093" s="78"/>
      <c r="L2093" s="66"/>
      <c r="M2093" s="66">
        <f>744+301</f>
        <v>1045</v>
      </c>
      <c r="N2093" s="110">
        <f t="shared" ref="N2093:N2096" si="3452">M2093-F2093</f>
        <v>41</v>
      </c>
      <c r="O2093" s="110"/>
      <c r="P2093" s="66"/>
      <c r="Q2093" s="66">
        <f>1045</f>
        <v>1045</v>
      </c>
      <c r="R2093" s="66"/>
      <c r="S2093" s="66"/>
      <c r="T2093" s="110">
        <f>S2093-Q2093</f>
        <v>-1045</v>
      </c>
      <c r="U2093" s="59">
        <f t="shared" si="3430"/>
        <v>0</v>
      </c>
      <c r="V2093" s="66"/>
      <c r="W2093" s="66"/>
      <c r="X2093" s="110">
        <f>W2093-M2093</f>
        <v>-1045</v>
      </c>
      <c r="Y2093" s="110"/>
      <c r="Z2093" s="110"/>
      <c r="AA2093" s="110"/>
      <c r="AB2093" s="46"/>
      <c r="AC2093" s="78"/>
      <c r="AD2093" s="78"/>
      <c r="AE2093" s="100">
        <f t="shared" si="3432"/>
        <v>4.0836653386454182E-2</v>
      </c>
      <c r="AF2093" s="90"/>
      <c r="AG2093" s="109">
        <f t="shared" si="3433"/>
        <v>0</v>
      </c>
      <c r="AH2093" s="100">
        <f t="shared" si="3434"/>
        <v>-1</v>
      </c>
      <c r="AI2093" s="100">
        <f t="shared" si="3435"/>
        <v>-1</v>
      </c>
    </row>
    <row r="2094" spans="1:35" s="47" customFormat="1" ht="21" customHeight="1" x14ac:dyDescent="0.3">
      <c r="A2094" s="78"/>
      <c r="B2094" s="106" t="s">
        <v>51</v>
      </c>
      <c r="C2094" s="117" t="s">
        <v>417</v>
      </c>
      <c r="D2094" s="300"/>
      <c r="E2094" s="131" t="s">
        <v>280</v>
      </c>
      <c r="F2094" s="66">
        <v>2693</v>
      </c>
      <c r="G2094" s="66"/>
      <c r="H2094" s="66"/>
      <c r="I2094" s="66"/>
      <c r="J2094" s="66"/>
      <c r="K2094" s="78"/>
      <c r="L2094" s="66"/>
      <c r="M2094" s="66"/>
      <c r="N2094" s="110">
        <f t="shared" si="3452"/>
        <v>-2693</v>
      </c>
      <c r="O2094" s="110"/>
      <c r="P2094" s="66"/>
      <c r="Q2094" s="66"/>
      <c r="R2094" s="66"/>
      <c r="S2094" s="66"/>
      <c r="T2094" s="110">
        <f t="shared" ref="T2094" si="3453">S2094-Q2094</f>
        <v>0</v>
      </c>
      <c r="U2094" s="59">
        <f t="shared" si="3430"/>
        <v>0</v>
      </c>
      <c r="V2094" s="66"/>
      <c r="W2094" s="66"/>
      <c r="X2094" s="110">
        <f t="shared" ref="X2094" si="3454">W2094-M2094</f>
        <v>0</v>
      </c>
      <c r="Y2094" s="110"/>
      <c r="Z2094" s="110"/>
      <c r="AA2094" s="110"/>
      <c r="AB2094" s="46"/>
      <c r="AC2094" s="78"/>
      <c r="AD2094" s="78"/>
      <c r="AE2094" s="100">
        <f t="shared" si="3432"/>
        <v>-1</v>
      </c>
      <c r="AF2094" s="90"/>
      <c r="AG2094" s="109">
        <f t="shared" si="3433"/>
        <v>-2693</v>
      </c>
      <c r="AH2094" s="100">
        <f t="shared" si="3434"/>
        <v>-1</v>
      </c>
      <c r="AI2094" s="100">
        <f t="shared" si="3435"/>
        <v>-1</v>
      </c>
    </row>
    <row r="2095" spans="1:35" s="47" customFormat="1" ht="21" customHeight="1" x14ac:dyDescent="0.3">
      <c r="A2095" s="78"/>
      <c r="B2095" s="106" t="s">
        <v>51</v>
      </c>
      <c r="C2095" s="117" t="s">
        <v>417</v>
      </c>
      <c r="D2095" s="300"/>
      <c r="E2095" s="131" t="s">
        <v>418</v>
      </c>
      <c r="F2095" s="66">
        <v>2670</v>
      </c>
      <c r="G2095" s="66"/>
      <c r="H2095" s="66"/>
      <c r="I2095" s="66"/>
      <c r="J2095" s="66"/>
      <c r="K2095" s="78"/>
      <c r="L2095" s="66"/>
      <c r="M2095" s="66">
        <f>1098+1634</f>
        <v>2732</v>
      </c>
      <c r="N2095" s="110">
        <f t="shared" ref="N2095" si="3455">M2095-F2095</f>
        <v>62</v>
      </c>
      <c r="O2095" s="110"/>
      <c r="P2095" s="66"/>
      <c r="Q2095" s="66">
        <f>1098+1634</f>
        <v>2732</v>
      </c>
      <c r="R2095" s="66"/>
      <c r="S2095" s="66"/>
      <c r="T2095" s="110">
        <f t="shared" ref="T2095" si="3456">S2095-Q2095</f>
        <v>-2732</v>
      </c>
      <c r="U2095" s="59">
        <f t="shared" ref="U2095" si="3457">IF(Q2095&gt;0,S2095-W2095,M2095-W2095)</f>
        <v>0</v>
      </c>
      <c r="V2095" s="66"/>
      <c r="W2095" s="66"/>
      <c r="X2095" s="110">
        <f t="shared" ref="X2095" si="3458">W2095-M2095</f>
        <v>-2732</v>
      </c>
      <c r="Y2095" s="110"/>
      <c r="Z2095" s="110"/>
      <c r="AA2095" s="110"/>
      <c r="AB2095" s="46"/>
      <c r="AC2095" s="78"/>
      <c r="AD2095" s="78"/>
      <c r="AE2095" s="100">
        <f t="shared" ref="AE2095" si="3459">N2095/F2095</f>
        <v>2.3220973782771534E-2</v>
      </c>
      <c r="AF2095" s="90"/>
      <c r="AG2095" s="109">
        <f t="shared" ref="AG2095" si="3460">IF(N2095&lt;0,N2095,0)</f>
        <v>0</v>
      </c>
      <c r="AH2095" s="100">
        <f t="shared" ref="AH2095" si="3461">(S2095-F2095)/F2095</f>
        <v>-1</v>
      </c>
      <c r="AI2095" s="100">
        <f t="shared" ref="AI2095" si="3462">(W2095-F2095)/F2095</f>
        <v>-1</v>
      </c>
    </row>
    <row r="2096" spans="1:35" s="47" customFormat="1" ht="21" customHeight="1" x14ac:dyDescent="0.3">
      <c r="A2096" s="78"/>
      <c r="B2096" s="106" t="s">
        <v>51</v>
      </c>
      <c r="C2096" s="117" t="s">
        <v>417</v>
      </c>
      <c r="D2096" s="300"/>
      <c r="E2096" s="131" t="s">
        <v>49</v>
      </c>
      <c r="F2096" s="66">
        <v>651</v>
      </c>
      <c r="G2096" s="66"/>
      <c r="H2096" s="66"/>
      <c r="I2096" s="66"/>
      <c r="J2096" s="66"/>
      <c r="K2096" s="78"/>
      <c r="L2096" s="66"/>
      <c r="M2096" s="66"/>
      <c r="N2096" s="110">
        <f t="shared" si="3452"/>
        <v>-651</v>
      </c>
      <c r="O2096" s="110"/>
      <c r="P2096" s="66"/>
      <c r="Q2096" s="66"/>
      <c r="R2096" s="66"/>
      <c r="S2096" s="66"/>
      <c r="T2096" s="110">
        <f t="shared" ref="T2096" si="3463">S2096-Q2096</f>
        <v>0</v>
      </c>
      <c r="U2096" s="59">
        <f t="shared" si="3430"/>
        <v>0</v>
      </c>
      <c r="V2096" s="66"/>
      <c r="W2096" s="66"/>
      <c r="X2096" s="110">
        <f t="shared" ref="X2096" si="3464">W2096-M2096</f>
        <v>0</v>
      </c>
      <c r="Y2096" s="110"/>
      <c r="Z2096" s="110"/>
      <c r="AA2096" s="110"/>
      <c r="AB2096" s="46"/>
      <c r="AC2096" s="78"/>
      <c r="AD2096" s="78"/>
      <c r="AE2096" s="100">
        <f t="shared" si="3432"/>
        <v>-1</v>
      </c>
      <c r="AF2096" s="90"/>
      <c r="AG2096" s="109">
        <f t="shared" si="3433"/>
        <v>-651</v>
      </c>
      <c r="AH2096" s="100">
        <f t="shared" si="3434"/>
        <v>-1</v>
      </c>
      <c r="AI2096" s="100">
        <f t="shared" si="3435"/>
        <v>-1</v>
      </c>
    </row>
    <row r="2097" spans="1:35" s="79" customFormat="1" ht="15.75" customHeight="1" x14ac:dyDescent="0.3">
      <c r="A2097" s="90" t="s">
        <v>46</v>
      </c>
      <c r="B2097" s="136" t="s">
        <v>51</v>
      </c>
      <c r="C2097" s="137"/>
      <c r="D2097" s="136"/>
      <c r="E2097" s="138"/>
      <c r="F2097" s="91">
        <f>SUM(F2093:F2096)</f>
        <v>7018</v>
      </c>
      <c r="G2097" s="91"/>
      <c r="H2097" s="91"/>
      <c r="I2097" s="91"/>
      <c r="J2097" s="91" t="s">
        <v>59</v>
      </c>
      <c r="K2097" s="65" t="s">
        <v>416</v>
      </c>
      <c r="L2097" s="91">
        <f>SUM(L2093:L2096)</f>
        <v>0</v>
      </c>
      <c r="M2097" s="91">
        <f>SUM(M2093:M2096)</f>
        <v>3777</v>
      </c>
      <c r="N2097" s="91">
        <f>SUM(N2093:N2096)</f>
        <v>-3241</v>
      </c>
      <c r="O2097" s="91" t="s">
        <v>290</v>
      </c>
      <c r="P2097" s="91">
        <f>SUM(P2093:P2096)</f>
        <v>0</v>
      </c>
      <c r="Q2097" s="91">
        <f>SUM(Q2093:Q2096)</f>
        <v>3777</v>
      </c>
      <c r="R2097" s="91">
        <f>SUM(R2093:R2096)</f>
        <v>0</v>
      </c>
      <c r="S2097" s="91">
        <f>SUM(S2093:S2096)</f>
        <v>0</v>
      </c>
      <c r="T2097" s="91">
        <f>SUM(T2093:T2096)</f>
        <v>-3777</v>
      </c>
      <c r="U2097" s="59">
        <f t="shared" si="3430"/>
        <v>0</v>
      </c>
      <c r="V2097" s="91">
        <f>SUM(V2093:V2096)</f>
        <v>0</v>
      </c>
      <c r="W2097" s="91">
        <f>SUM(W2093:W2096)</f>
        <v>0</v>
      </c>
      <c r="X2097" s="91">
        <f>SUM(X2093:X2096)</f>
        <v>-3777</v>
      </c>
      <c r="Y2097" s="136" t="s">
        <v>57</v>
      </c>
      <c r="Z2097" s="136" t="s">
        <v>45</v>
      </c>
      <c r="AA2097" s="136"/>
      <c r="AB2097" s="84"/>
      <c r="AC2097" s="90"/>
      <c r="AD2097" s="90"/>
      <c r="AE2097" s="100">
        <f t="shared" si="3432"/>
        <v>-0.46181248218865772</v>
      </c>
      <c r="AF2097" s="90"/>
      <c r="AG2097" s="109">
        <f t="shared" si="3433"/>
        <v>-3241</v>
      </c>
      <c r="AH2097" s="100">
        <f t="shared" si="3434"/>
        <v>-1</v>
      </c>
      <c r="AI2097" s="100">
        <f t="shared" si="3435"/>
        <v>-1</v>
      </c>
    </row>
    <row r="2098" spans="1:35" s="47" customFormat="1" ht="21" customHeight="1" x14ac:dyDescent="0.3">
      <c r="A2098" s="78"/>
      <c r="B2098" s="106" t="s">
        <v>51</v>
      </c>
      <c r="C2098" s="117" t="s">
        <v>837</v>
      </c>
      <c r="D2098" s="299">
        <v>15337134</v>
      </c>
      <c r="E2098" s="131" t="s">
        <v>838</v>
      </c>
      <c r="F2098" s="66">
        <v>8000</v>
      </c>
      <c r="G2098" s="66"/>
      <c r="H2098" s="66"/>
      <c r="I2098" s="66"/>
      <c r="J2098" s="66"/>
      <c r="K2098" s="78"/>
      <c r="L2098" s="66"/>
      <c r="M2098" s="66"/>
      <c r="N2098" s="110">
        <f t="shared" ref="N2098:N2100" si="3465">M2098-F2098</f>
        <v>-8000</v>
      </c>
      <c r="O2098" s="110"/>
      <c r="P2098" s="66"/>
      <c r="Q2098" s="66"/>
      <c r="R2098" s="66"/>
      <c r="S2098" s="66"/>
      <c r="T2098" s="110">
        <f>S2098-Q2098</f>
        <v>0</v>
      </c>
      <c r="U2098" s="59">
        <f t="shared" si="3430"/>
        <v>0</v>
      </c>
      <c r="V2098" s="66"/>
      <c r="W2098" s="66"/>
      <c r="X2098" s="110">
        <f>W2098-M2098</f>
        <v>0</v>
      </c>
      <c r="Y2098" s="110"/>
      <c r="Z2098" s="110"/>
      <c r="AA2098" s="110"/>
      <c r="AB2098" s="46"/>
      <c r="AC2098" s="78"/>
      <c r="AD2098" s="78"/>
      <c r="AE2098" s="100">
        <f t="shared" si="3432"/>
        <v>-1</v>
      </c>
      <c r="AF2098" s="90"/>
      <c r="AG2098" s="109">
        <f t="shared" si="3433"/>
        <v>-8000</v>
      </c>
      <c r="AH2098" s="100">
        <f t="shared" si="3434"/>
        <v>-1</v>
      </c>
      <c r="AI2098" s="100">
        <f t="shared" si="3435"/>
        <v>-1</v>
      </c>
    </row>
    <row r="2099" spans="1:35" s="47" customFormat="1" ht="21" customHeight="1" x14ac:dyDescent="0.3">
      <c r="A2099" s="78"/>
      <c r="B2099" s="106" t="s">
        <v>51</v>
      </c>
      <c r="C2099" s="117" t="s">
        <v>837</v>
      </c>
      <c r="D2099" s="300"/>
      <c r="E2099" s="131" t="s">
        <v>839</v>
      </c>
      <c r="F2099" s="66">
        <v>8000</v>
      </c>
      <c r="G2099" s="66"/>
      <c r="H2099" s="66"/>
      <c r="I2099" s="66"/>
      <c r="J2099" s="66"/>
      <c r="K2099" s="78"/>
      <c r="L2099" s="66"/>
      <c r="M2099" s="66"/>
      <c r="N2099" s="110">
        <f t="shared" ref="N2099" si="3466">M2099-F2099</f>
        <v>-8000</v>
      </c>
      <c r="O2099" s="110"/>
      <c r="P2099" s="66"/>
      <c r="Q2099" s="66"/>
      <c r="R2099" s="66"/>
      <c r="S2099" s="66"/>
      <c r="T2099" s="110">
        <f t="shared" ref="T2099" si="3467">S2099-Q2099</f>
        <v>0</v>
      </c>
      <c r="U2099" s="59">
        <f t="shared" ref="U2099" si="3468">IF(Q2099&gt;0,S2099-W2099,M2099-W2099)</f>
        <v>0</v>
      </c>
      <c r="V2099" s="66"/>
      <c r="W2099" s="66"/>
      <c r="X2099" s="110">
        <f t="shared" ref="X2099" si="3469">W2099-M2099</f>
        <v>0</v>
      </c>
      <c r="Y2099" s="110"/>
      <c r="Z2099" s="110"/>
      <c r="AA2099" s="110"/>
      <c r="AB2099" s="46"/>
      <c r="AC2099" s="78"/>
      <c r="AD2099" s="78"/>
      <c r="AE2099" s="100">
        <f t="shared" ref="AE2099" si="3470">N2099/F2099</f>
        <v>-1</v>
      </c>
      <c r="AF2099" s="90"/>
      <c r="AG2099" s="109">
        <f t="shared" ref="AG2099" si="3471">IF(N2099&lt;0,N2099,0)</f>
        <v>-8000</v>
      </c>
      <c r="AH2099" s="100">
        <f t="shared" ref="AH2099" si="3472">(S2099-F2099)/F2099</f>
        <v>-1</v>
      </c>
      <c r="AI2099" s="100">
        <f t="shared" ref="AI2099" si="3473">(W2099-F2099)/F2099</f>
        <v>-1</v>
      </c>
    </row>
    <row r="2100" spans="1:35" s="47" customFormat="1" ht="21" customHeight="1" x14ac:dyDescent="0.3">
      <c r="A2100" s="78"/>
      <c r="B2100" s="106" t="s">
        <v>51</v>
      </c>
      <c r="C2100" s="117" t="s">
        <v>837</v>
      </c>
      <c r="D2100" s="300"/>
      <c r="E2100" s="131" t="s">
        <v>840</v>
      </c>
      <c r="F2100" s="66">
        <v>8000</v>
      </c>
      <c r="G2100" s="66"/>
      <c r="H2100" s="66"/>
      <c r="I2100" s="66"/>
      <c r="J2100" s="66"/>
      <c r="K2100" s="78"/>
      <c r="L2100" s="66"/>
      <c r="M2100" s="66"/>
      <c r="N2100" s="110">
        <f t="shared" si="3465"/>
        <v>-8000</v>
      </c>
      <c r="O2100" s="110"/>
      <c r="P2100" s="66"/>
      <c r="Q2100" s="66"/>
      <c r="R2100" s="66"/>
      <c r="S2100" s="66"/>
      <c r="T2100" s="110">
        <f t="shared" ref="T2100" si="3474">S2100-Q2100</f>
        <v>0</v>
      </c>
      <c r="U2100" s="59">
        <f t="shared" si="3430"/>
        <v>0</v>
      </c>
      <c r="V2100" s="66"/>
      <c r="W2100" s="66"/>
      <c r="X2100" s="110">
        <f t="shared" ref="X2100" si="3475">W2100-M2100</f>
        <v>0</v>
      </c>
      <c r="Y2100" s="110"/>
      <c r="Z2100" s="110"/>
      <c r="AA2100" s="110"/>
      <c r="AB2100" s="46"/>
      <c r="AC2100" s="78"/>
      <c r="AD2100" s="78"/>
      <c r="AE2100" s="100">
        <f t="shared" si="3432"/>
        <v>-1</v>
      </c>
      <c r="AF2100" s="90"/>
      <c r="AG2100" s="109">
        <f t="shared" si="3433"/>
        <v>-8000</v>
      </c>
      <c r="AH2100" s="100">
        <f t="shared" si="3434"/>
        <v>-1</v>
      </c>
      <c r="AI2100" s="100">
        <f t="shared" si="3435"/>
        <v>-1</v>
      </c>
    </row>
    <row r="2101" spans="1:35" s="79" customFormat="1" ht="15.75" customHeight="1" x14ac:dyDescent="0.3">
      <c r="A2101" s="90" t="s">
        <v>46</v>
      </c>
      <c r="B2101" s="136" t="s">
        <v>51</v>
      </c>
      <c r="C2101" s="137"/>
      <c r="D2101" s="136"/>
      <c r="E2101" s="138"/>
      <c r="F2101" s="91">
        <f>SUM(F2098:F2100)</f>
        <v>24000</v>
      </c>
      <c r="G2101" s="91"/>
      <c r="H2101" s="91"/>
      <c r="I2101" s="91"/>
      <c r="J2101" s="91" t="s">
        <v>59</v>
      </c>
      <c r="K2101" s="65" t="s">
        <v>594</v>
      </c>
      <c r="L2101" s="91">
        <f>SUM(L2098:L2100)</f>
        <v>0</v>
      </c>
      <c r="M2101" s="91">
        <f>SUM(M2098:M2100)</f>
        <v>0</v>
      </c>
      <c r="N2101" s="91">
        <f>SUM(N2098:N2100)</f>
        <v>-24000</v>
      </c>
      <c r="O2101" s="91"/>
      <c r="P2101" s="91">
        <f>SUM(P2098:P2100)</f>
        <v>0</v>
      </c>
      <c r="Q2101" s="91">
        <f>SUM(Q2098:Q2100)</f>
        <v>0</v>
      </c>
      <c r="R2101" s="91">
        <f>SUM(R2098:R2100)</f>
        <v>0</v>
      </c>
      <c r="S2101" s="91">
        <f>SUM(S2098:S2100)</f>
        <v>0</v>
      </c>
      <c r="T2101" s="91">
        <f>SUM(T2098:T2100)</f>
        <v>0</v>
      </c>
      <c r="U2101" s="59">
        <f t="shared" si="3430"/>
        <v>0</v>
      </c>
      <c r="V2101" s="91">
        <f>SUM(V2098:V2100)</f>
        <v>0</v>
      </c>
      <c r="W2101" s="91">
        <f>SUM(W2098:W2100)</f>
        <v>0</v>
      </c>
      <c r="X2101" s="91">
        <f>SUM(X2098:X2100)</f>
        <v>0</v>
      </c>
      <c r="Y2101" s="136"/>
      <c r="Z2101" s="136"/>
      <c r="AA2101" s="136"/>
      <c r="AB2101" s="84"/>
      <c r="AC2101" s="90"/>
      <c r="AD2101" s="90"/>
      <c r="AE2101" s="100">
        <f t="shared" si="3432"/>
        <v>-1</v>
      </c>
      <c r="AF2101" s="90"/>
      <c r="AG2101" s="109">
        <f t="shared" si="3433"/>
        <v>-24000</v>
      </c>
      <c r="AH2101" s="100">
        <f t="shared" si="3434"/>
        <v>-1</v>
      </c>
      <c r="AI2101" s="100">
        <f t="shared" si="3435"/>
        <v>-1</v>
      </c>
    </row>
    <row r="2102" spans="1:35" s="47" customFormat="1" ht="21" customHeight="1" x14ac:dyDescent="0.3">
      <c r="A2102" s="78"/>
      <c r="B2102" s="106" t="s">
        <v>51</v>
      </c>
      <c r="C2102" s="117">
        <v>48258</v>
      </c>
      <c r="D2102" s="299">
        <v>15385031</v>
      </c>
      <c r="E2102" s="131" t="s">
        <v>49</v>
      </c>
      <c r="F2102" s="66">
        <v>13127</v>
      </c>
      <c r="G2102" s="66"/>
      <c r="H2102" s="66"/>
      <c r="I2102" s="66"/>
      <c r="J2102" s="66"/>
      <c r="K2102" s="78"/>
      <c r="L2102" s="66"/>
      <c r="M2102" s="66">
        <f>1000+1200+2370+1120+1574+1840+800+3020+280+34+104</f>
        <v>13342</v>
      </c>
      <c r="N2102" s="110">
        <f t="shared" ref="N2102:N2103" si="3476">M2102-F2102</f>
        <v>215</v>
      </c>
      <c r="O2102" s="110"/>
      <c r="P2102" s="66"/>
      <c r="Q2102" s="66"/>
      <c r="R2102" s="66"/>
      <c r="S2102" s="66"/>
      <c r="T2102" s="110">
        <f>S2102-Q2102</f>
        <v>0</v>
      </c>
      <c r="U2102" s="59">
        <f t="shared" si="3430"/>
        <v>137</v>
      </c>
      <c r="V2102" s="66"/>
      <c r="W2102" s="66">
        <f>4570+2694+1840+2240+1444+280+137</f>
        <v>13205</v>
      </c>
      <c r="X2102" s="110">
        <f>W2102-M2102</f>
        <v>-137</v>
      </c>
      <c r="Y2102" s="110"/>
      <c r="Z2102" s="110"/>
      <c r="AA2102" s="110"/>
      <c r="AB2102" s="46"/>
      <c r="AC2102" s="78"/>
      <c r="AD2102" s="78"/>
      <c r="AE2102" s="100">
        <f t="shared" si="3432"/>
        <v>1.6378456616134685E-2</v>
      </c>
      <c r="AF2102" s="90"/>
      <c r="AG2102" s="109">
        <f t="shared" si="3433"/>
        <v>0</v>
      </c>
      <c r="AH2102" s="100">
        <f t="shared" si="3434"/>
        <v>-1</v>
      </c>
      <c r="AI2102" s="100">
        <f t="shared" si="3435"/>
        <v>5.9419517025976996E-3</v>
      </c>
    </row>
    <row r="2103" spans="1:35" s="47" customFormat="1" ht="21" customHeight="1" x14ac:dyDescent="0.3">
      <c r="A2103" s="78"/>
      <c r="B2103" s="106" t="s">
        <v>51</v>
      </c>
      <c r="C2103" s="117">
        <v>48258</v>
      </c>
      <c r="D2103" s="300"/>
      <c r="E2103" s="131" t="s">
        <v>0</v>
      </c>
      <c r="F2103" s="66">
        <v>13151</v>
      </c>
      <c r="G2103" s="66"/>
      <c r="H2103" s="66"/>
      <c r="I2103" s="66"/>
      <c r="J2103" s="66"/>
      <c r="K2103" s="78"/>
      <c r="L2103" s="66"/>
      <c r="M2103" s="66">
        <f>3390+3500+1000+427+800+1200+1200+1430+250</f>
        <v>13197</v>
      </c>
      <c r="N2103" s="110">
        <f t="shared" si="3476"/>
        <v>46</v>
      </c>
      <c r="O2103" s="110"/>
      <c r="P2103" s="66"/>
      <c r="Q2103" s="66"/>
      <c r="R2103" s="66"/>
      <c r="S2103" s="66"/>
      <c r="T2103" s="110">
        <f t="shared" ref="T2103" si="3477">S2103-Q2103</f>
        <v>0</v>
      </c>
      <c r="U2103" s="59">
        <f t="shared" si="3430"/>
        <v>27</v>
      </c>
      <c r="V2103" s="66"/>
      <c r="W2103" s="66">
        <f>1427+2690+1979+2200+2000+1444+1430</f>
        <v>13170</v>
      </c>
      <c r="X2103" s="110">
        <f t="shared" ref="X2103" si="3478">W2103-M2103</f>
        <v>-27</v>
      </c>
      <c r="Y2103" s="110"/>
      <c r="Z2103" s="110"/>
      <c r="AA2103" s="110"/>
      <c r="AB2103" s="46"/>
      <c r="AC2103" s="78"/>
      <c r="AD2103" s="78"/>
      <c r="AE2103" s="100">
        <f t="shared" si="3432"/>
        <v>3.4978328644209565E-3</v>
      </c>
      <c r="AF2103" s="90"/>
      <c r="AG2103" s="109">
        <f t="shared" si="3433"/>
        <v>0</v>
      </c>
      <c r="AH2103" s="100">
        <f t="shared" si="3434"/>
        <v>-1</v>
      </c>
      <c r="AI2103" s="100">
        <f t="shared" si="3435"/>
        <v>1.4447570526956125E-3</v>
      </c>
    </row>
    <row r="2104" spans="1:35" s="79" customFormat="1" ht="15.75" customHeight="1" x14ac:dyDescent="0.3">
      <c r="A2104" s="90" t="s">
        <v>46</v>
      </c>
      <c r="B2104" s="136" t="s">
        <v>51</v>
      </c>
      <c r="C2104" s="137"/>
      <c r="D2104" s="136"/>
      <c r="E2104" s="138"/>
      <c r="F2104" s="91">
        <f>SUM(F2102:F2103)</f>
        <v>26278</v>
      </c>
      <c r="G2104" s="91"/>
      <c r="H2104" s="91"/>
      <c r="I2104" s="91"/>
      <c r="J2104" s="91" t="s">
        <v>59</v>
      </c>
      <c r="K2104" s="65" t="s">
        <v>340</v>
      </c>
      <c r="L2104" s="91">
        <f>SUM(L2102:L2103)</f>
        <v>0</v>
      </c>
      <c r="M2104" s="91">
        <f>SUM(M2102:M2103)</f>
        <v>26539</v>
      </c>
      <c r="N2104" s="91">
        <f>SUM(N2102:N2103)</f>
        <v>261</v>
      </c>
      <c r="O2104" s="91"/>
      <c r="P2104" s="91">
        <f>SUM(P2102:P2103)</f>
        <v>0</v>
      </c>
      <c r="Q2104" s="91">
        <f>SUM(Q2102:Q2103)</f>
        <v>0</v>
      </c>
      <c r="R2104" s="91">
        <f>SUM(R2102:R2103)</f>
        <v>0</v>
      </c>
      <c r="S2104" s="91">
        <f>SUM(S2102:S2103)</f>
        <v>0</v>
      </c>
      <c r="T2104" s="91">
        <f>SUM(T2102:T2103)</f>
        <v>0</v>
      </c>
      <c r="U2104" s="59">
        <f t="shared" si="3430"/>
        <v>164</v>
      </c>
      <c r="V2104" s="91">
        <f>SUM(V2102:V2103)</f>
        <v>0</v>
      </c>
      <c r="W2104" s="91">
        <f>SUM(W2102:W2103)</f>
        <v>26375</v>
      </c>
      <c r="X2104" s="91">
        <f>SUM(X2102:X2103)</f>
        <v>-164</v>
      </c>
      <c r="Y2104" s="136"/>
      <c r="Z2104" s="136"/>
      <c r="AA2104" s="136"/>
      <c r="AB2104" s="84"/>
      <c r="AC2104" s="90"/>
      <c r="AD2104" s="90"/>
      <c r="AE2104" s="100">
        <f t="shared" si="3432"/>
        <v>9.9322627292792454E-3</v>
      </c>
      <c r="AF2104" s="90"/>
      <c r="AG2104" s="109">
        <f t="shared" si="3433"/>
        <v>0</v>
      </c>
      <c r="AH2104" s="100">
        <f t="shared" si="3434"/>
        <v>-1</v>
      </c>
      <c r="AI2104" s="100">
        <f t="shared" si="3435"/>
        <v>3.6913007078164242E-3</v>
      </c>
    </row>
    <row r="2105" spans="1:35" s="47" customFormat="1" ht="21" customHeight="1" x14ac:dyDescent="0.3">
      <c r="A2105" s="78"/>
      <c r="B2105" s="106" t="s">
        <v>51</v>
      </c>
      <c r="C2105" s="117" t="s">
        <v>460</v>
      </c>
      <c r="D2105" s="299">
        <v>15384146</v>
      </c>
      <c r="E2105" s="131" t="s">
        <v>0</v>
      </c>
      <c r="F2105" s="66">
        <v>1085</v>
      </c>
      <c r="G2105" s="66"/>
      <c r="H2105" s="66"/>
      <c r="I2105" s="66"/>
      <c r="J2105" s="66"/>
      <c r="K2105" s="78"/>
      <c r="L2105" s="66"/>
      <c r="M2105" s="66">
        <f>250+848+14</f>
        <v>1112</v>
      </c>
      <c r="N2105" s="110">
        <f t="shared" ref="N2105:N2107" si="3479">M2105-F2105</f>
        <v>27</v>
      </c>
      <c r="O2105" s="110"/>
      <c r="P2105" s="66"/>
      <c r="Q2105" s="66"/>
      <c r="R2105" s="66"/>
      <c r="S2105" s="66"/>
      <c r="T2105" s="110">
        <f>S2105-Q2105</f>
        <v>0</v>
      </c>
      <c r="U2105" s="59">
        <f t="shared" ref="U2105:U2112" si="3480">IF(Q2105&gt;0,S2105-W2105,M2105-W2105)</f>
        <v>1</v>
      </c>
      <c r="V2105" s="66"/>
      <c r="W2105" s="66">
        <v>1111</v>
      </c>
      <c r="X2105" s="110">
        <f>W2105-M2105</f>
        <v>-1</v>
      </c>
      <c r="Y2105" s="110"/>
      <c r="Z2105" s="110"/>
      <c r="AA2105" s="110"/>
      <c r="AB2105" s="46"/>
      <c r="AC2105" s="78"/>
      <c r="AD2105" s="78"/>
      <c r="AE2105" s="100">
        <f t="shared" ref="AE2105:AE2112" si="3481">N2105/F2105</f>
        <v>2.488479262672811E-2</v>
      </c>
      <c r="AF2105" s="90"/>
      <c r="AG2105" s="109">
        <f t="shared" ref="AG2105:AG2112" si="3482">IF(N2105&lt;0,N2105,0)</f>
        <v>0</v>
      </c>
      <c r="AH2105" s="100">
        <f t="shared" ref="AH2105:AH2112" si="3483">(S2105-F2105)/F2105</f>
        <v>-1</v>
      </c>
      <c r="AI2105" s="100">
        <f t="shared" ref="AI2105:AI2112" si="3484">(W2105-F2105)/F2105</f>
        <v>2.3963133640552997E-2</v>
      </c>
    </row>
    <row r="2106" spans="1:35" s="47" customFormat="1" ht="21" customHeight="1" x14ac:dyDescent="0.3">
      <c r="A2106" s="78"/>
      <c r="B2106" s="106" t="s">
        <v>51</v>
      </c>
      <c r="C2106" s="117" t="s">
        <v>460</v>
      </c>
      <c r="D2106" s="300"/>
      <c r="E2106" s="131" t="s">
        <v>49</v>
      </c>
      <c r="F2106" s="66">
        <v>1532</v>
      </c>
      <c r="G2106" s="66"/>
      <c r="H2106" s="66"/>
      <c r="I2106" s="66"/>
      <c r="J2106" s="66"/>
      <c r="K2106" s="78"/>
      <c r="L2106" s="66"/>
      <c r="M2106" s="66">
        <f>918+652</f>
        <v>1570</v>
      </c>
      <c r="N2106" s="110">
        <f t="shared" si="3479"/>
        <v>38</v>
      </c>
      <c r="O2106" s="110"/>
      <c r="P2106" s="66"/>
      <c r="Q2106" s="66"/>
      <c r="R2106" s="66"/>
      <c r="S2106" s="66"/>
      <c r="T2106" s="110">
        <f t="shared" ref="T2106:T2107" si="3485">S2106-Q2106</f>
        <v>0</v>
      </c>
      <c r="U2106" s="59">
        <f t="shared" si="3480"/>
        <v>0</v>
      </c>
      <c r="V2106" s="66"/>
      <c r="W2106" s="66">
        <v>1570</v>
      </c>
      <c r="X2106" s="110">
        <f t="shared" ref="X2106:X2107" si="3486">W2106-M2106</f>
        <v>0</v>
      </c>
      <c r="Y2106" s="110"/>
      <c r="Z2106" s="110"/>
      <c r="AA2106" s="110"/>
      <c r="AB2106" s="46"/>
      <c r="AC2106" s="78"/>
      <c r="AD2106" s="78"/>
      <c r="AE2106" s="100">
        <f t="shared" si="3481"/>
        <v>2.4804177545691905E-2</v>
      </c>
      <c r="AF2106" s="90"/>
      <c r="AG2106" s="109">
        <f t="shared" si="3482"/>
        <v>0</v>
      </c>
      <c r="AH2106" s="100">
        <f t="shared" si="3483"/>
        <v>-1</v>
      </c>
      <c r="AI2106" s="100">
        <f t="shared" si="3484"/>
        <v>2.4804177545691905E-2</v>
      </c>
    </row>
    <row r="2107" spans="1:35" s="47" customFormat="1" ht="21" customHeight="1" x14ac:dyDescent="0.3">
      <c r="A2107" s="78"/>
      <c r="B2107" s="106" t="s">
        <v>51</v>
      </c>
      <c r="C2107" s="117" t="s">
        <v>460</v>
      </c>
      <c r="D2107" s="300"/>
      <c r="E2107" s="131" t="s">
        <v>41</v>
      </c>
      <c r="F2107" s="66">
        <v>728</v>
      </c>
      <c r="G2107" s="66"/>
      <c r="H2107" s="66"/>
      <c r="I2107" s="66"/>
      <c r="J2107" s="66"/>
      <c r="K2107" s="78"/>
      <c r="L2107" s="66"/>
      <c r="M2107" s="66">
        <v>762</v>
      </c>
      <c r="N2107" s="110">
        <f t="shared" si="3479"/>
        <v>34</v>
      </c>
      <c r="O2107" s="110"/>
      <c r="P2107" s="66"/>
      <c r="Q2107" s="66"/>
      <c r="R2107" s="66"/>
      <c r="S2107" s="66"/>
      <c r="T2107" s="110">
        <f t="shared" si="3485"/>
        <v>0</v>
      </c>
      <c r="U2107" s="59">
        <f t="shared" si="3480"/>
        <v>6</v>
      </c>
      <c r="V2107" s="66"/>
      <c r="W2107" s="66">
        <v>756</v>
      </c>
      <c r="X2107" s="110">
        <f t="shared" si="3486"/>
        <v>-6</v>
      </c>
      <c r="Y2107" s="110"/>
      <c r="Z2107" s="110"/>
      <c r="AA2107" s="110"/>
      <c r="AB2107" s="46"/>
      <c r="AC2107" s="78"/>
      <c r="AD2107" s="78"/>
      <c r="AE2107" s="100">
        <f t="shared" si="3481"/>
        <v>4.6703296703296704E-2</v>
      </c>
      <c r="AF2107" s="90"/>
      <c r="AG2107" s="109">
        <f t="shared" si="3482"/>
        <v>0</v>
      </c>
      <c r="AH2107" s="100">
        <f t="shared" si="3483"/>
        <v>-1</v>
      </c>
      <c r="AI2107" s="100">
        <f t="shared" si="3484"/>
        <v>3.8461538461538464E-2</v>
      </c>
    </row>
    <row r="2108" spans="1:35" s="79" customFormat="1" ht="15.75" customHeight="1" x14ac:dyDescent="0.3">
      <c r="A2108" s="90" t="s">
        <v>46</v>
      </c>
      <c r="B2108" s="136" t="s">
        <v>51</v>
      </c>
      <c r="C2108" s="137"/>
      <c r="D2108" s="136"/>
      <c r="E2108" s="138"/>
      <c r="F2108" s="91">
        <f>SUM(F2105:F2107)</f>
        <v>3345</v>
      </c>
      <c r="G2108" s="91"/>
      <c r="H2108" s="91"/>
      <c r="I2108" s="91"/>
      <c r="J2108" s="91" t="s">
        <v>59</v>
      </c>
      <c r="K2108" s="65" t="s">
        <v>290</v>
      </c>
      <c r="L2108" s="91">
        <f>SUM(L2105:L2107)</f>
        <v>0</v>
      </c>
      <c r="M2108" s="91">
        <f>SUM(M2105:M2107)</f>
        <v>3444</v>
      </c>
      <c r="N2108" s="91">
        <f>SUM(N2105:N2107)</f>
        <v>99</v>
      </c>
      <c r="O2108" s="91"/>
      <c r="P2108" s="91">
        <f>SUM(P2105:P2107)</f>
        <v>0</v>
      </c>
      <c r="Q2108" s="91">
        <f>SUM(Q2105:Q2107)</f>
        <v>0</v>
      </c>
      <c r="R2108" s="91">
        <f>SUM(R2105:R2107)</f>
        <v>0</v>
      </c>
      <c r="S2108" s="91">
        <f>SUM(S2105:S2107)</f>
        <v>0</v>
      </c>
      <c r="T2108" s="91">
        <f>SUM(T2105:T2107)</f>
        <v>0</v>
      </c>
      <c r="U2108" s="59">
        <f t="shared" si="3480"/>
        <v>7</v>
      </c>
      <c r="V2108" s="91">
        <f>SUM(V2105:V2107)</f>
        <v>0</v>
      </c>
      <c r="W2108" s="91">
        <f>SUM(W2105:W2107)</f>
        <v>3437</v>
      </c>
      <c r="X2108" s="91">
        <f>SUM(X2105:X2107)</f>
        <v>-7</v>
      </c>
      <c r="Y2108" s="136"/>
      <c r="Z2108" s="136"/>
      <c r="AA2108" s="136"/>
      <c r="AB2108" s="84"/>
      <c r="AC2108" s="90"/>
      <c r="AD2108" s="90"/>
      <c r="AE2108" s="100">
        <f t="shared" si="3481"/>
        <v>2.9596412556053813E-2</v>
      </c>
      <c r="AF2108" s="90"/>
      <c r="AG2108" s="109">
        <f t="shared" si="3482"/>
        <v>0</v>
      </c>
      <c r="AH2108" s="100">
        <f t="shared" si="3483"/>
        <v>-1</v>
      </c>
      <c r="AI2108" s="100">
        <f t="shared" si="3484"/>
        <v>2.7503736920777278E-2</v>
      </c>
    </row>
    <row r="2109" spans="1:35" s="47" customFormat="1" ht="21" customHeight="1" x14ac:dyDescent="0.3">
      <c r="A2109" s="78"/>
      <c r="B2109" s="106" t="s">
        <v>51</v>
      </c>
      <c r="C2109" s="117">
        <v>48179</v>
      </c>
      <c r="D2109" s="299">
        <v>15388277</v>
      </c>
      <c r="E2109" s="131" t="s">
        <v>497</v>
      </c>
      <c r="F2109" s="66">
        <v>1240</v>
      </c>
      <c r="G2109" s="66"/>
      <c r="H2109" s="66"/>
      <c r="I2109" s="66"/>
      <c r="J2109" s="66"/>
      <c r="K2109" s="78"/>
      <c r="L2109" s="66"/>
      <c r="M2109" s="66">
        <v>1255</v>
      </c>
      <c r="N2109" s="110">
        <f t="shared" ref="N2109:N2111" si="3487">M2109-F2109</f>
        <v>15</v>
      </c>
      <c r="O2109" s="110"/>
      <c r="P2109" s="66"/>
      <c r="Q2109" s="66">
        <f>140+472+643</f>
        <v>1255</v>
      </c>
      <c r="R2109" s="66">
        <f>612</f>
        <v>612</v>
      </c>
      <c r="S2109" s="66">
        <f>612</f>
        <v>612</v>
      </c>
      <c r="T2109" s="110">
        <f>S2109-Q2109</f>
        <v>-643</v>
      </c>
      <c r="U2109" s="59">
        <f t="shared" si="3480"/>
        <v>612</v>
      </c>
      <c r="V2109" s="66"/>
      <c r="W2109" s="66"/>
      <c r="X2109" s="110">
        <f>W2109-M2109</f>
        <v>-1255</v>
      </c>
      <c r="Y2109" s="110"/>
      <c r="Z2109" s="110"/>
      <c r="AA2109" s="110"/>
      <c r="AB2109" s="46"/>
      <c r="AC2109" s="78"/>
      <c r="AD2109" s="78"/>
      <c r="AE2109" s="100">
        <f t="shared" si="3481"/>
        <v>1.2096774193548387E-2</v>
      </c>
      <c r="AF2109" s="90"/>
      <c r="AG2109" s="109">
        <f t="shared" si="3482"/>
        <v>0</v>
      </c>
      <c r="AH2109" s="100">
        <f t="shared" si="3483"/>
        <v>-0.50645161290322582</v>
      </c>
      <c r="AI2109" s="100">
        <f t="shared" si="3484"/>
        <v>-1</v>
      </c>
    </row>
    <row r="2110" spans="1:35" s="47" customFormat="1" ht="21" customHeight="1" x14ac:dyDescent="0.3">
      <c r="A2110" s="78"/>
      <c r="B2110" s="106" t="s">
        <v>51</v>
      </c>
      <c r="C2110" s="117">
        <v>48179</v>
      </c>
      <c r="D2110" s="300"/>
      <c r="E2110" s="131" t="s">
        <v>310</v>
      </c>
      <c r="F2110" s="66">
        <v>1984</v>
      </c>
      <c r="G2110" s="66"/>
      <c r="H2110" s="66"/>
      <c r="I2110" s="66"/>
      <c r="J2110" s="66"/>
      <c r="K2110" s="78"/>
      <c r="L2110" s="66"/>
      <c r="M2110" s="66">
        <f>1476+549</f>
        <v>2025</v>
      </c>
      <c r="N2110" s="110">
        <f t="shared" si="3487"/>
        <v>41</v>
      </c>
      <c r="O2110" s="110"/>
      <c r="P2110" s="66"/>
      <c r="Q2110" s="66">
        <f>990+549+486</f>
        <v>2025</v>
      </c>
      <c r="R2110" s="66"/>
      <c r="S2110" s="66">
        <f>500+510+414</f>
        <v>1424</v>
      </c>
      <c r="T2110" s="110">
        <f t="shared" ref="T2110:T2111" si="3488">S2110-Q2110</f>
        <v>-601</v>
      </c>
      <c r="U2110" s="59">
        <f t="shared" si="3480"/>
        <v>1424</v>
      </c>
      <c r="V2110" s="66"/>
      <c r="W2110" s="66"/>
      <c r="X2110" s="110">
        <f t="shared" ref="X2110:X2111" si="3489">W2110-M2110</f>
        <v>-2025</v>
      </c>
      <c r="Y2110" s="110"/>
      <c r="Z2110" s="110"/>
      <c r="AA2110" s="110"/>
      <c r="AB2110" s="46"/>
      <c r="AC2110" s="78"/>
      <c r="AD2110" s="78"/>
      <c r="AE2110" s="100">
        <f t="shared" si="3481"/>
        <v>2.066532258064516E-2</v>
      </c>
      <c r="AF2110" s="90"/>
      <c r="AG2110" s="109">
        <f t="shared" si="3482"/>
        <v>0</v>
      </c>
      <c r="AH2110" s="100">
        <f t="shared" si="3483"/>
        <v>-0.28225806451612906</v>
      </c>
      <c r="AI2110" s="100">
        <f t="shared" si="3484"/>
        <v>-1</v>
      </c>
    </row>
    <row r="2111" spans="1:35" s="47" customFormat="1" ht="21" customHeight="1" x14ac:dyDescent="0.3">
      <c r="A2111" s="78"/>
      <c r="B2111" s="106" t="s">
        <v>51</v>
      </c>
      <c r="C2111" s="117">
        <v>48179</v>
      </c>
      <c r="D2111" s="300"/>
      <c r="E2111" s="131" t="s">
        <v>41</v>
      </c>
      <c r="F2111" s="66">
        <v>955</v>
      </c>
      <c r="G2111" s="66"/>
      <c r="H2111" s="66"/>
      <c r="I2111" s="66"/>
      <c r="J2111" s="66"/>
      <c r="K2111" s="78"/>
      <c r="L2111" s="66"/>
      <c r="M2111" s="66">
        <f>728+258</f>
        <v>986</v>
      </c>
      <c r="N2111" s="110">
        <f t="shared" si="3487"/>
        <v>31</v>
      </c>
      <c r="O2111" s="110"/>
      <c r="P2111" s="66"/>
      <c r="Q2111" s="66">
        <v>986</v>
      </c>
      <c r="R2111" s="66"/>
      <c r="S2111" s="66">
        <v>986</v>
      </c>
      <c r="T2111" s="110">
        <f t="shared" si="3488"/>
        <v>0</v>
      </c>
      <c r="U2111" s="59">
        <f t="shared" si="3480"/>
        <v>986</v>
      </c>
      <c r="V2111" s="66"/>
      <c r="W2111" s="66"/>
      <c r="X2111" s="110">
        <f t="shared" si="3489"/>
        <v>-986</v>
      </c>
      <c r="Y2111" s="110"/>
      <c r="Z2111" s="110"/>
      <c r="AA2111" s="110"/>
      <c r="AB2111" s="46"/>
      <c r="AC2111" s="78"/>
      <c r="AD2111" s="78"/>
      <c r="AE2111" s="100">
        <f t="shared" si="3481"/>
        <v>3.2460732984293195E-2</v>
      </c>
      <c r="AF2111" s="90"/>
      <c r="AG2111" s="109">
        <f t="shared" si="3482"/>
        <v>0</v>
      </c>
      <c r="AH2111" s="100">
        <f t="shared" si="3483"/>
        <v>3.2460732984293195E-2</v>
      </c>
      <c r="AI2111" s="100">
        <f t="shared" si="3484"/>
        <v>-1</v>
      </c>
    </row>
    <row r="2112" spans="1:35" s="79" customFormat="1" ht="15.75" customHeight="1" x14ac:dyDescent="0.3">
      <c r="A2112" s="90" t="s">
        <v>46</v>
      </c>
      <c r="B2112" s="136" t="s">
        <v>51</v>
      </c>
      <c r="C2112" s="137"/>
      <c r="D2112" s="136"/>
      <c r="E2112" s="138"/>
      <c r="F2112" s="91">
        <f>SUM(F2109:F2111)</f>
        <v>4179</v>
      </c>
      <c r="G2112" s="91"/>
      <c r="H2112" s="91"/>
      <c r="I2112" s="91"/>
      <c r="J2112" s="91" t="s">
        <v>59</v>
      </c>
      <c r="K2112" s="65" t="s">
        <v>436</v>
      </c>
      <c r="L2112" s="91">
        <f>SUM(L2109:L2111)</f>
        <v>0</v>
      </c>
      <c r="M2112" s="91">
        <f>SUM(M2109:M2111)</f>
        <v>4266</v>
      </c>
      <c r="N2112" s="91">
        <f>SUM(N2109:N2111)</f>
        <v>87</v>
      </c>
      <c r="O2112" s="91" t="s">
        <v>763</v>
      </c>
      <c r="P2112" s="91">
        <f>SUM(P2109:P2111)</f>
        <v>0</v>
      </c>
      <c r="Q2112" s="91">
        <f>SUM(Q2109:Q2111)</f>
        <v>4266</v>
      </c>
      <c r="R2112" s="91">
        <f>SUM(R2109:R2111)</f>
        <v>612</v>
      </c>
      <c r="S2112" s="91">
        <f>SUM(S2109:S2111)</f>
        <v>3022</v>
      </c>
      <c r="T2112" s="91">
        <f>SUM(T2109:T2111)</f>
        <v>-1244</v>
      </c>
      <c r="U2112" s="59">
        <f t="shared" si="3480"/>
        <v>3022</v>
      </c>
      <c r="V2112" s="91">
        <f>SUM(V2109:V2111)</f>
        <v>0</v>
      </c>
      <c r="W2112" s="91">
        <f>SUM(W2109:W2111)</f>
        <v>0</v>
      </c>
      <c r="X2112" s="91">
        <f>SUM(X2109:X2111)</f>
        <v>-4266</v>
      </c>
      <c r="Y2112" s="136" t="s">
        <v>48</v>
      </c>
      <c r="Z2112" s="136" t="s">
        <v>45</v>
      </c>
      <c r="AA2112" s="136"/>
      <c r="AB2112" s="84"/>
      <c r="AC2112" s="90"/>
      <c r="AD2112" s="90"/>
      <c r="AE2112" s="100">
        <f t="shared" si="3481"/>
        <v>2.0818377602297201E-2</v>
      </c>
      <c r="AF2112" s="90"/>
      <c r="AG2112" s="109">
        <f t="shared" si="3482"/>
        <v>0</v>
      </c>
      <c r="AH2112" s="100">
        <f t="shared" si="3483"/>
        <v>-0.27686049294089493</v>
      </c>
      <c r="AI2112" s="100">
        <f t="shared" si="3484"/>
        <v>-1</v>
      </c>
    </row>
    <row r="2113" spans="1:35" s="47" customFormat="1" ht="21" customHeight="1" x14ac:dyDescent="0.3">
      <c r="A2113" s="78"/>
      <c r="B2113" s="106" t="s">
        <v>51</v>
      </c>
      <c r="C2113" s="117">
        <v>48177</v>
      </c>
      <c r="D2113" s="299">
        <v>15388314</v>
      </c>
      <c r="E2113" s="131" t="s">
        <v>150</v>
      </c>
      <c r="F2113" s="66">
        <v>568</v>
      </c>
      <c r="G2113" s="66"/>
      <c r="H2113" s="66"/>
      <c r="I2113" s="66"/>
      <c r="J2113" s="66"/>
      <c r="K2113" s="78"/>
      <c r="L2113" s="66"/>
      <c r="M2113" s="66">
        <v>584</v>
      </c>
      <c r="N2113" s="110">
        <f t="shared" ref="N2113:N2115" si="3490">M2113-F2113</f>
        <v>16</v>
      </c>
      <c r="O2113" s="110"/>
      <c r="P2113" s="66"/>
      <c r="Q2113" s="66">
        <v>584</v>
      </c>
      <c r="R2113" s="66"/>
      <c r="S2113" s="66">
        <v>583</v>
      </c>
      <c r="T2113" s="110">
        <f>S2113-Q2113</f>
        <v>-1</v>
      </c>
      <c r="U2113" s="59">
        <f t="shared" si="3430"/>
        <v>0</v>
      </c>
      <c r="V2113" s="66"/>
      <c r="W2113" s="66">
        <v>583</v>
      </c>
      <c r="X2113" s="110">
        <f>W2113-M2113</f>
        <v>-1</v>
      </c>
      <c r="Y2113" s="110"/>
      <c r="Z2113" s="110"/>
      <c r="AA2113" s="110"/>
      <c r="AB2113" s="46"/>
      <c r="AC2113" s="78"/>
      <c r="AD2113" s="78"/>
      <c r="AE2113" s="100">
        <f t="shared" si="3432"/>
        <v>2.8169014084507043E-2</v>
      </c>
      <c r="AF2113" s="90"/>
      <c r="AG2113" s="109">
        <f t="shared" si="3433"/>
        <v>0</v>
      </c>
      <c r="AH2113" s="100">
        <f t="shared" si="3434"/>
        <v>2.6408450704225352E-2</v>
      </c>
      <c r="AI2113" s="100">
        <f t="shared" si="3435"/>
        <v>2.6408450704225352E-2</v>
      </c>
    </row>
    <row r="2114" spans="1:35" s="47" customFormat="1" ht="21" customHeight="1" x14ac:dyDescent="0.3">
      <c r="A2114" s="78"/>
      <c r="B2114" s="106" t="s">
        <v>51</v>
      </c>
      <c r="C2114" s="117">
        <v>48177</v>
      </c>
      <c r="D2114" s="300"/>
      <c r="E2114" s="131" t="s">
        <v>309</v>
      </c>
      <c r="F2114" s="66">
        <v>568</v>
      </c>
      <c r="G2114" s="66"/>
      <c r="H2114" s="66"/>
      <c r="I2114" s="66"/>
      <c r="J2114" s="66"/>
      <c r="K2114" s="78"/>
      <c r="L2114" s="66"/>
      <c r="M2114" s="66">
        <f>584</f>
        <v>584</v>
      </c>
      <c r="N2114" s="110">
        <f t="shared" ref="N2114" si="3491">M2114-F2114</f>
        <v>16</v>
      </c>
      <c r="O2114" s="110"/>
      <c r="P2114" s="66"/>
      <c r="Q2114" s="66">
        <f>584</f>
        <v>584</v>
      </c>
      <c r="R2114" s="66"/>
      <c r="S2114" s="66">
        <v>582</v>
      </c>
      <c r="T2114" s="110">
        <f t="shared" ref="T2114" si="3492">S2114-Q2114</f>
        <v>-2</v>
      </c>
      <c r="U2114" s="59">
        <f t="shared" ref="U2114" si="3493">IF(Q2114&gt;0,S2114-W2114,M2114-W2114)</f>
        <v>2</v>
      </c>
      <c r="V2114" s="66"/>
      <c r="W2114" s="66">
        <v>580</v>
      </c>
      <c r="X2114" s="110">
        <f t="shared" ref="X2114" si="3494">W2114-M2114</f>
        <v>-4</v>
      </c>
      <c r="Y2114" s="110"/>
      <c r="Z2114" s="110"/>
      <c r="AA2114" s="110"/>
      <c r="AB2114" s="46"/>
      <c r="AC2114" s="78"/>
      <c r="AD2114" s="78"/>
      <c r="AE2114" s="100">
        <f t="shared" ref="AE2114" si="3495">N2114/F2114</f>
        <v>2.8169014084507043E-2</v>
      </c>
      <c r="AF2114" s="90"/>
      <c r="AG2114" s="109">
        <f t="shared" ref="AG2114" si="3496">IF(N2114&lt;0,N2114,0)</f>
        <v>0</v>
      </c>
      <c r="AH2114" s="100">
        <f t="shared" ref="AH2114" si="3497">(S2114-F2114)/F2114</f>
        <v>2.464788732394366E-2</v>
      </c>
      <c r="AI2114" s="100">
        <f t="shared" ref="AI2114" si="3498">(W2114-F2114)/F2114</f>
        <v>2.1126760563380281E-2</v>
      </c>
    </row>
    <row r="2115" spans="1:35" s="47" customFormat="1" ht="21" customHeight="1" x14ac:dyDescent="0.3">
      <c r="A2115" s="78"/>
      <c r="B2115" s="106" t="s">
        <v>51</v>
      </c>
      <c r="C2115" s="117">
        <v>48177</v>
      </c>
      <c r="D2115" s="300"/>
      <c r="E2115" s="131" t="s">
        <v>0</v>
      </c>
      <c r="F2115" s="66">
        <v>568</v>
      </c>
      <c r="G2115" s="66"/>
      <c r="H2115" s="66"/>
      <c r="I2115" s="66"/>
      <c r="J2115" s="66"/>
      <c r="K2115" s="78"/>
      <c r="L2115" s="66"/>
      <c r="M2115" s="66">
        <v>584</v>
      </c>
      <c r="N2115" s="110">
        <f t="shared" si="3490"/>
        <v>16</v>
      </c>
      <c r="O2115" s="110"/>
      <c r="P2115" s="66"/>
      <c r="Q2115" s="66">
        <f>584</f>
        <v>584</v>
      </c>
      <c r="R2115" s="66"/>
      <c r="S2115" s="66">
        <v>584</v>
      </c>
      <c r="T2115" s="110">
        <f t="shared" ref="T2115" si="3499">S2115-Q2115</f>
        <v>0</v>
      </c>
      <c r="U2115" s="59">
        <f t="shared" si="3430"/>
        <v>4</v>
      </c>
      <c r="V2115" s="66"/>
      <c r="W2115" s="66">
        <v>580</v>
      </c>
      <c r="X2115" s="110">
        <f t="shared" ref="X2115" si="3500">W2115-M2115</f>
        <v>-4</v>
      </c>
      <c r="Y2115" s="110"/>
      <c r="Z2115" s="110"/>
      <c r="AA2115" s="110"/>
      <c r="AB2115" s="46"/>
      <c r="AC2115" s="78"/>
      <c r="AD2115" s="78"/>
      <c r="AE2115" s="100">
        <f t="shared" si="3432"/>
        <v>2.8169014084507043E-2</v>
      </c>
      <c r="AF2115" s="90"/>
      <c r="AG2115" s="109">
        <f t="shared" si="3433"/>
        <v>0</v>
      </c>
      <c r="AH2115" s="100">
        <f t="shared" si="3434"/>
        <v>2.8169014084507043E-2</v>
      </c>
      <c r="AI2115" s="100">
        <f t="shared" si="3435"/>
        <v>2.1126760563380281E-2</v>
      </c>
    </row>
    <row r="2116" spans="1:35" s="79" customFormat="1" ht="15.75" customHeight="1" x14ac:dyDescent="0.3">
      <c r="A2116" s="90" t="s">
        <v>46</v>
      </c>
      <c r="B2116" s="136" t="s">
        <v>51</v>
      </c>
      <c r="C2116" s="137"/>
      <c r="D2116" s="136"/>
      <c r="E2116" s="138"/>
      <c r="F2116" s="91">
        <f>SUM(F2113:F2115)</f>
        <v>1704</v>
      </c>
      <c r="G2116" s="91"/>
      <c r="H2116" s="91"/>
      <c r="I2116" s="91"/>
      <c r="J2116" s="91" t="s">
        <v>59</v>
      </c>
      <c r="K2116" s="65" t="s">
        <v>290</v>
      </c>
      <c r="L2116" s="91">
        <f>SUM(L2113:L2115)</f>
        <v>0</v>
      </c>
      <c r="M2116" s="91">
        <f>SUM(M2113:M2115)</f>
        <v>1752</v>
      </c>
      <c r="N2116" s="91">
        <f>SUM(N2113:N2115)</f>
        <v>48</v>
      </c>
      <c r="O2116" s="91" t="s">
        <v>287</v>
      </c>
      <c r="P2116" s="91">
        <f>SUM(P2113:P2115)</f>
        <v>0</v>
      </c>
      <c r="Q2116" s="91">
        <f>SUM(Q2113:Q2115)</f>
        <v>1752</v>
      </c>
      <c r="R2116" s="91">
        <f>SUM(R2113:R2115)</f>
        <v>0</v>
      </c>
      <c r="S2116" s="91">
        <f>SUM(S2113:S2115)</f>
        <v>1749</v>
      </c>
      <c r="T2116" s="91">
        <f>SUM(T2113:T2115)</f>
        <v>-3</v>
      </c>
      <c r="U2116" s="59">
        <f t="shared" si="3430"/>
        <v>6</v>
      </c>
      <c r="V2116" s="91">
        <f>SUM(V2113:V2115)</f>
        <v>0</v>
      </c>
      <c r="W2116" s="91">
        <f>SUM(W2113:W2115)</f>
        <v>1743</v>
      </c>
      <c r="X2116" s="91">
        <f>SUM(X2113:X2115)</f>
        <v>-9</v>
      </c>
      <c r="Y2116" s="136"/>
      <c r="Z2116" s="136"/>
      <c r="AA2116" s="136"/>
      <c r="AB2116" s="84"/>
      <c r="AC2116" s="90"/>
      <c r="AD2116" s="90"/>
      <c r="AE2116" s="100">
        <f t="shared" si="3432"/>
        <v>2.8169014084507043E-2</v>
      </c>
      <c r="AF2116" s="90"/>
      <c r="AG2116" s="109">
        <f t="shared" si="3433"/>
        <v>0</v>
      </c>
      <c r="AH2116" s="100">
        <f t="shared" si="3434"/>
        <v>2.6408450704225352E-2</v>
      </c>
      <c r="AI2116" s="100">
        <f t="shared" si="3435"/>
        <v>2.2887323943661973E-2</v>
      </c>
    </row>
    <row r="2117" spans="1:35" s="47" customFormat="1" ht="21" customHeight="1" x14ac:dyDescent="0.3">
      <c r="A2117" s="78"/>
      <c r="B2117" s="106" t="s">
        <v>51</v>
      </c>
      <c r="C2117" s="117">
        <v>48175</v>
      </c>
      <c r="D2117" s="299">
        <v>15387015</v>
      </c>
      <c r="E2117" s="131" t="s">
        <v>49</v>
      </c>
      <c r="F2117" s="66">
        <v>504</v>
      </c>
      <c r="G2117" s="66"/>
      <c r="H2117" s="66"/>
      <c r="I2117" s="66"/>
      <c r="J2117" s="66"/>
      <c r="K2117" s="78"/>
      <c r="L2117" s="66"/>
      <c r="M2117" s="66">
        <v>519</v>
      </c>
      <c r="N2117" s="110">
        <f t="shared" ref="N2117:N2118" si="3501">M2117-F2117</f>
        <v>15</v>
      </c>
      <c r="O2117" s="110"/>
      <c r="P2117" s="66"/>
      <c r="Q2117" s="66"/>
      <c r="R2117" s="66"/>
      <c r="S2117" s="66"/>
      <c r="T2117" s="110">
        <f>S2117-Q2117</f>
        <v>0</v>
      </c>
      <c r="U2117" s="59">
        <f t="shared" si="3430"/>
        <v>0</v>
      </c>
      <c r="V2117" s="66"/>
      <c r="W2117" s="66">
        <v>519</v>
      </c>
      <c r="X2117" s="110">
        <f>W2117-M2117</f>
        <v>0</v>
      </c>
      <c r="Y2117" s="110"/>
      <c r="Z2117" s="110"/>
      <c r="AA2117" s="110"/>
      <c r="AB2117" s="46"/>
      <c r="AC2117" s="78"/>
      <c r="AD2117" s="78"/>
      <c r="AE2117" s="100">
        <f t="shared" si="3432"/>
        <v>2.976190476190476E-2</v>
      </c>
      <c r="AF2117" s="90"/>
      <c r="AG2117" s="109">
        <f t="shared" si="3433"/>
        <v>0</v>
      </c>
      <c r="AH2117" s="100">
        <f t="shared" si="3434"/>
        <v>-1</v>
      </c>
      <c r="AI2117" s="100">
        <f t="shared" si="3435"/>
        <v>2.976190476190476E-2</v>
      </c>
    </row>
    <row r="2118" spans="1:35" s="47" customFormat="1" ht="21" customHeight="1" x14ac:dyDescent="0.3">
      <c r="A2118" s="78"/>
      <c r="B2118" s="106" t="s">
        <v>51</v>
      </c>
      <c r="C2118" s="117">
        <v>48175</v>
      </c>
      <c r="D2118" s="300"/>
      <c r="E2118" s="131" t="s">
        <v>0</v>
      </c>
      <c r="F2118" s="66">
        <v>912</v>
      </c>
      <c r="G2118" s="66"/>
      <c r="H2118" s="66"/>
      <c r="I2118" s="66"/>
      <c r="J2118" s="66"/>
      <c r="K2118" s="78"/>
      <c r="L2118" s="66"/>
      <c r="M2118" s="66">
        <v>939</v>
      </c>
      <c r="N2118" s="110">
        <f t="shared" si="3501"/>
        <v>27</v>
      </c>
      <c r="O2118" s="110"/>
      <c r="P2118" s="66"/>
      <c r="Q2118" s="66"/>
      <c r="R2118" s="66"/>
      <c r="S2118" s="66"/>
      <c r="T2118" s="110">
        <f t="shared" ref="T2118" si="3502">S2118-Q2118</f>
        <v>0</v>
      </c>
      <c r="U2118" s="59">
        <f t="shared" si="3430"/>
        <v>0</v>
      </c>
      <c r="V2118" s="66"/>
      <c r="W2118" s="66">
        <v>939</v>
      </c>
      <c r="X2118" s="110">
        <f t="shared" ref="X2118" si="3503">W2118-M2118</f>
        <v>0</v>
      </c>
      <c r="Y2118" s="110"/>
      <c r="Z2118" s="110"/>
      <c r="AA2118" s="110"/>
      <c r="AB2118" s="46"/>
      <c r="AC2118" s="78"/>
      <c r="AD2118" s="78"/>
      <c r="AE2118" s="100">
        <f t="shared" si="3432"/>
        <v>2.9605263157894735E-2</v>
      </c>
      <c r="AF2118" s="90"/>
      <c r="AG2118" s="109">
        <f t="shared" si="3433"/>
        <v>0</v>
      </c>
      <c r="AH2118" s="100">
        <f t="shared" si="3434"/>
        <v>-1</v>
      </c>
      <c r="AI2118" s="100">
        <f t="shared" si="3435"/>
        <v>2.9605263157894735E-2</v>
      </c>
    </row>
    <row r="2119" spans="1:35" s="79" customFormat="1" ht="15.75" customHeight="1" x14ac:dyDescent="0.3">
      <c r="A2119" s="90" t="s">
        <v>46</v>
      </c>
      <c r="B2119" s="136" t="s">
        <v>51</v>
      </c>
      <c r="C2119" s="137"/>
      <c r="D2119" s="136"/>
      <c r="E2119" s="138"/>
      <c r="F2119" s="91">
        <f>SUM(F2117:F2118)</f>
        <v>1416</v>
      </c>
      <c r="G2119" s="91"/>
      <c r="H2119" s="91"/>
      <c r="I2119" s="91"/>
      <c r="J2119" s="91" t="s">
        <v>59</v>
      </c>
      <c r="K2119" s="65" t="s">
        <v>290</v>
      </c>
      <c r="L2119" s="91">
        <f>SUM(L2117:L2118)</f>
        <v>0</v>
      </c>
      <c r="M2119" s="91">
        <f>SUM(M2117:M2118)</f>
        <v>1458</v>
      </c>
      <c r="N2119" s="91">
        <f>SUM(N2117:N2118)</f>
        <v>42</v>
      </c>
      <c r="O2119" s="91"/>
      <c r="P2119" s="91">
        <f>SUM(P2117:P2118)</f>
        <v>0</v>
      </c>
      <c r="Q2119" s="91">
        <f>SUM(Q2117:Q2118)</f>
        <v>0</v>
      </c>
      <c r="R2119" s="91">
        <f>SUM(R2117:R2118)</f>
        <v>0</v>
      </c>
      <c r="S2119" s="91">
        <f>SUM(S2117:S2118)</f>
        <v>0</v>
      </c>
      <c r="T2119" s="91">
        <f>SUM(T2117:T2118)</f>
        <v>0</v>
      </c>
      <c r="U2119" s="59">
        <f t="shared" si="3430"/>
        <v>0</v>
      </c>
      <c r="V2119" s="91">
        <f>SUM(V2117:V2118)</f>
        <v>0</v>
      </c>
      <c r="W2119" s="91">
        <f>SUM(W2117:W2118)</f>
        <v>1458</v>
      </c>
      <c r="X2119" s="91">
        <f>SUM(X2117:X2118)</f>
        <v>0</v>
      </c>
      <c r="Y2119" s="136"/>
      <c r="Z2119" s="136"/>
      <c r="AA2119" s="136"/>
      <c r="AB2119" s="84"/>
      <c r="AC2119" s="90"/>
      <c r="AD2119" s="90"/>
      <c r="AE2119" s="100">
        <f t="shared" si="3432"/>
        <v>2.9661016949152543E-2</v>
      </c>
      <c r="AF2119" s="90"/>
      <c r="AG2119" s="109">
        <f t="shared" si="3433"/>
        <v>0</v>
      </c>
      <c r="AH2119" s="100">
        <f t="shared" si="3434"/>
        <v>-1</v>
      </c>
      <c r="AI2119" s="100">
        <f t="shared" si="3435"/>
        <v>2.9661016949152543E-2</v>
      </c>
    </row>
    <row r="2120" spans="1:35" s="47" customFormat="1" ht="21" customHeight="1" x14ac:dyDescent="0.3">
      <c r="A2120" s="78"/>
      <c r="B2120" s="106" t="s">
        <v>51</v>
      </c>
      <c r="C2120" s="117">
        <v>48176</v>
      </c>
      <c r="D2120" s="299">
        <v>15388593</v>
      </c>
      <c r="E2120" s="131" t="s">
        <v>483</v>
      </c>
      <c r="F2120" s="66">
        <v>2064</v>
      </c>
      <c r="G2120" s="66"/>
      <c r="H2120" s="66"/>
      <c r="I2120" s="66"/>
      <c r="J2120" s="66"/>
      <c r="K2120" s="78"/>
      <c r="L2120" s="66"/>
      <c r="M2120" s="66">
        <f>639+648+807+25</f>
        <v>2119</v>
      </c>
      <c r="N2120" s="110">
        <f t="shared" ref="N2120" si="3504">M2120-F2120</f>
        <v>55</v>
      </c>
      <c r="O2120" s="110"/>
      <c r="P2120" s="66"/>
      <c r="Q2120" s="66">
        <f>2094+25</f>
        <v>2119</v>
      </c>
      <c r="R2120" s="66"/>
      <c r="S2120" s="66">
        <f>1975+113+27</f>
        <v>2115</v>
      </c>
      <c r="T2120" s="110">
        <f>S2120-Q2120</f>
        <v>-4</v>
      </c>
      <c r="U2120" s="59">
        <f t="shared" si="3004"/>
        <v>8</v>
      </c>
      <c r="V2120" s="66"/>
      <c r="W2120" s="66">
        <f>2083+24</f>
        <v>2107</v>
      </c>
      <c r="X2120" s="110">
        <f>W2120-M2120</f>
        <v>-12</v>
      </c>
      <c r="Y2120" s="110"/>
      <c r="Z2120" s="110"/>
      <c r="AA2120" s="110"/>
      <c r="AB2120" s="46"/>
      <c r="AC2120" s="78"/>
      <c r="AD2120" s="78"/>
      <c r="AE2120" s="100">
        <f t="shared" si="3005"/>
        <v>2.6647286821705425E-2</v>
      </c>
      <c r="AF2120" s="90"/>
      <c r="AG2120" s="109">
        <f t="shared" si="3006"/>
        <v>0</v>
      </c>
      <c r="AH2120" s="100">
        <f t="shared" si="3007"/>
        <v>2.4709302325581394E-2</v>
      </c>
      <c r="AI2120" s="100">
        <f t="shared" si="3008"/>
        <v>2.0833333333333332E-2</v>
      </c>
    </row>
    <row r="2121" spans="1:35" s="47" customFormat="1" ht="21" customHeight="1" x14ac:dyDescent="0.3">
      <c r="A2121" s="78"/>
      <c r="B2121" s="106" t="s">
        <v>51</v>
      </c>
      <c r="C2121" s="117">
        <v>48176</v>
      </c>
      <c r="D2121" s="300"/>
      <c r="E2121" s="131" t="s">
        <v>484</v>
      </c>
      <c r="F2121" s="66">
        <v>1968</v>
      </c>
      <c r="G2121" s="66"/>
      <c r="H2121" s="66"/>
      <c r="I2121" s="66"/>
      <c r="J2121" s="66"/>
      <c r="K2121" s="78"/>
      <c r="L2121" s="66"/>
      <c r="M2121" s="66">
        <f>1188+270+552</f>
        <v>2010</v>
      </c>
      <c r="N2121" s="110">
        <f t="shared" ref="N2121" si="3505">M2121-F2121</f>
        <v>42</v>
      </c>
      <c r="O2121" s="110"/>
      <c r="P2121" s="66"/>
      <c r="Q2121" s="66">
        <f>1188+270+552</f>
        <v>2010</v>
      </c>
      <c r="R2121" s="66"/>
      <c r="S2121" s="66">
        <v>2005</v>
      </c>
      <c r="T2121" s="110">
        <f t="shared" ref="T2121" si="3506">S2121-Q2121</f>
        <v>-5</v>
      </c>
      <c r="U2121" s="59">
        <f t="shared" ref="U2121" si="3507">IF(Q2121&gt;0,S2121-W2121,M2121-W2121)</f>
        <v>6</v>
      </c>
      <c r="V2121" s="66"/>
      <c r="W2121" s="66">
        <v>1999</v>
      </c>
      <c r="X2121" s="110">
        <f t="shared" ref="X2121" si="3508">W2121-M2121</f>
        <v>-11</v>
      </c>
      <c r="Y2121" s="110"/>
      <c r="Z2121" s="110"/>
      <c r="AA2121" s="110"/>
      <c r="AB2121" s="46"/>
      <c r="AC2121" s="78"/>
      <c r="AD2121" s="78"/>
      <c r="AE2121" s="100">
        <f t="shared" ref="AE2121" si="3509">N2121/F2121</f>
        <v>2.1341463414634148E-2</v>
      </c>
      <c r="AF2121" s="90"/>
      <c r="AG2121" s="109">
        <f t="shared" ref="AG2121" si="3510">IF(N2121&lt;0,N2121,0)</f>
        <v>0</v>
      </c>
      <c r="AH2121" s="100">
        <f t="shared" ref="AH2121" si="3511">(S2121-F2121)/F2121</f>
        <v>1.8800813008130083E-2</v>
      </c>
      <c r="AI2121" s="100">
        <f t="shared" ref="AI2121" si="3512">(W2121-F2121)/F2121</f>
        <v>1.5752032520325202E-2</v>
      </c>
    </row>
    <row r="2122" spans="1:35" s="79" customFormat="1" ht="15.75" customHeight="1" x14ac:dyDescent="0.3">
      <c r="A2122" s="90" t="s">
        <v>46</v>
      </c>
      <c r="B2122" s="136" t="s">
        <v>51</v>
      </c>
      <c r="C2122" s="137"/>
      <c r="D2122" s="136"/>
      <c r="E2122" s="138"/>
      <c r="F2122" s="91">
        <f>SUM(F2120:F2121)</f>
        <v>4032</v>
      </c>
      <c r="G2122" s="91"/>
      <c r="H2122" s="91"/>
      <c r="I2122" s="91"/>
      <c r="J2122" s="91" t="s">
        <v>59</v>
      </c>
      <c r="K2122" s="65" t="s">
        <v>290</v>
      </c>
      <c r="L2122" s="91">
        <f>SUM(L2120:L2121)</f>
        <v>0</v>
      </c>
      <c r="M2122" s="91">
        <f>SUM(M2120:M2121)</f>
        <v>4129</v>
      </c>
      <c r="N2122" s="91">
        <f>SUM(N2120:N2121)</f>
        <v>97</v>
      </c>
      <c r="O2122" s="91" t="s">
        <v>264</v>
      </c>
      <c r="P2122" s="91">
        <f>SUM(P2120:P2121)</f>
        <v>0</v>
      </c>
      <c r="Q2122" s="91">
        <f>SUM(Q2120:Q2121)</f>
        <v>4129</v>
      </c>
      <c r="R2122" s="91">
        <f>SUM(R2120:R2121)</f>
        <v>0</v>
      </c>
      <c r="S2122" s="91">
        <f>SUM(S2120:S2121)</f>
        <v>4120</v>
      </c>
      <c r="T2122" s="91">
        <f>SUM(T2120:T2121)</f>
        <v>-9</v>
      </c>
      <c r="U2122" s="59">
        <f t="shared" si="3004"/>
        <v>14</v>
      </c>
      <c r="V2122" s="91">
        <f>SUM(V2120:V2121)</f>
        <v>0</v>
      </c>
      <c r="W2122" s="91">
        <f>SUM(W2120:W2121)</f>
        <v>4106</v>
      </c>
      <c r="X2122" s="91">
        <f>SUM(X2120:X2121)</f>
        <v>-23</v>
      </c>
      <c r="Y2122" s="136" t="s">
        <v>47</v>
      </c>
      <c r="Z2122" s="136" t="s">
        <v>45</v>
      </c>
      <c r="AA2122" s="136"/>
      <c r="AB2122" s="84"/>
      <c r="AC2122" s="90"/>
      <c r="AD2122" s="90"/>
      <c r="AE2122" s="100">
        <f t="shared" si="3005"/>
        <v>2.4057539682539684E-2</v>
      </c>
      <c r="AF2122" s="90"/>
      <c r="AG2122" s="109">
        <f t="shared" si="3006"/>
        <v>0</v>
      </c>
      <c r="AH2122" s="100">
        <f t="shared" si="3007"/>
        <v>2.1825396825396824E-2</v>
      </c>
      <c r="AI2122" s="100">
        <f t="shared" si="3008"/>
        <v>1.8353174603174604E-2</v>
      </c>
    </row>
    <row r="2123" spans="1:35" s="47" customFormat="1" ht="21" customHeight="1" x14ac:dyDescent="0.3">
      <c r="A2123" s="78"/>
      <c r="B2123" s="106" t="s">
        <v>51</v>
      </c>
      <c r="C2123" s="117" t="s">
        <v>549</v>
      </c>
      <c r="D2123" s="299">
        <v>15315687</v>
      </c>
      <c r="E2123" s="131" t="s">
        <v>230</v>
      </c>
      <c r="F2123" s="66">
        <v>1431</v>
      </c>
      <c r="G2123" s="66"/>
      <c r="H2123" s="66"/>
      <c r="I2123" s="66"/>
      <c r="J2123" s="66"/>
      <c r="K2123" s="78"/>
      <c r="L2123" s="66"/>
      <c r="M2123" s="66">
        <f>560+568+295+39</f>
        <v>1462</v>
      </c>
      <c r="N2123" s="110">
        <f t="shared" ref="N2123:N2125" si="3513">M2123-F2123</f>
        <v>31</v>
      </c>
      <c r="O2123" s="110"/>
      <c r="P2123" s="66"/>
      <c r="Q2123" s="66">
        <f>560+848+39+15</f>
        <v>1462</v>
      </c>
      <c r="R2123" s="66"/>
      <c r="S2123" s="66">
        <f>544+568+294+56</f>
        <v>1462</v>
      </c>
      <c r="T2123" s="110">
        <f>S2123-Q2123</f>
        <v>0</v>
      </c>
      <c r="U2123" s="59">
        <f t="shared" si="2686"/>
        <v>0</v>
      </c>
      <c r="V2123" s="66"/>
      <c r="W2123" s="66">
        <v>1462</v>
      </c>
      <c r="X2123" s="110">
        <f>W2123-M2123</f>
        <v>0</v>
      </c>
      <c r="Y2123" s="110"/>
      <c r="Z2123" s="110"/>
      <c r="AA2123" s="110"/>
      <c r="AB2123" s="46"/>
      <c r="AC2123" s="78"/>
      <c r="AD2123" s="78"/>
      <c r="AE2123" s="100">
        <f t="shared" si="2687"/>
        <v>2.1663172606568831E-2</v>
      </c>
      <c r="AF2123" s="90"/>
      <c r="AG2123" s="109">
        <f t="shared" si="2688"/>
        <v>0</v>
      </c>
      <c r="AH2123" s="100">
        <f t="shared" si="2689"/>
        <v>2.1663172606568831E-2</v>
      </c>
      <c r="AI2123" s="100">
        <f t="shared" si="2690"/>
        <v>2.1663172606568831E-2</v>
      </c>
    </row>
    <row r="2124" spans="1:35" s="47" customFormat="1" ht="21" customHeight="1" x14ac:dyDescent="0.3">
      <c r="A2124" s="78"/>
      <c r="B2124" s="106" t="s">
        <v>51</v>
      </c>
      <c r="C2124" s="117" t="s">
        <v>549</v>
      </c>
      <c r="D2124" s="300"/>
      <c r="E2124" s="131" t="s">
        <v>0</v>
      </c>
      <c r="F2124" s="66">
        <v>1449</v>
      </c>
      <c r="G2124" s="66"/>
      <c r="H2124" s="66"/>
      <c r="I2124" s="66"/>
      <c r="J2124" s="66"/>
      <c r="K2124" s="78"/>
      <c r="L2124" s="66"/>
      <c r="M2124" s="66">
        <f>332+240+572+332</f>
        <v>1476</v>
      </c>
      <c r="N2124" s="110">
        <f t="shared" ref="N2124" si="3514">M2124-F2124</f>
        <v>27</v>
      </c>
      <c r="O2124" s="110"/>
      <c r="P2124" s="66"/>
      <c r="Q2124" s="66">
        <f>1144+332</f>
        <v>1476</v>
      </c>
      <c r="R2124" s="66"/>
      <c r="S2124" s="66">
        <f>1362+114</f>
        <v>1476</v>
      </c>
      <c r="T2124" s="110">
        <f t="shared" ref="T2124" si="3515">S2124-Q2124</f>
        <v>0</v>
      </c>
      <c r="U2124" s="59">
        <f t="shared" ref="U2124" si="3516">IF(Q2124&gt;0,S2124-W2124,M2124-W2124)</f>
        <v>2</v>
      </c>
      <c r="V2124" s="66"/>
      <c r="W2124" s="66">
        <f>1474</f>
        <v>1474</v>
      </c>
      <c r="X2124" s="110">
        <f t="shared" ref="X2124" si="3517">W2124-M2124</f>
        <v>-2</v>
      </c>
      <c r="Y2124" s="110"/>
      <c r="Z2124" s="110"/>
      <c r="AA2124" s="110"/>
      <c r="AB2124" s="46"/>
      <c r="AC2124" s="78"/>
      <c r="AD2124" s="78"/>
      <c r="AE2124" s="100">
        <f t="shared" ref="AE2124" si="3518">N2124/F2124</f>
        <v>1.8633540372670808E-2</v>
      </c>
      <c r="AF2124" s="90"/>
      <c r="AG2124" s="109">
        <f t="shared" ref="AG2124" si="3519">IF(N2124&lt;0,N2124,0)</f>
        <v>0</v>
      </c>
      <c r="AH2124" s="100">
        <f t="shared" ref="AH2124" si="3520">(S2124-F2124)/F2124</f>
        <v>1.8633540372670808E-2</v>
      </c>
      <c r="AI2124" s="100">
        <f t="shared" ref="AI2124" si="3521">(W2124-F2124)/F2124</f>
        <v>1.725327812284334E-2</v>
      </c>
    </row>
    <row r="2125" spans="1:35" s="47" customFormat="1" ht="21" customHeight="1" x14ac:dyDescent="0.3">
      <c r="A2125" s="78"/>
      <c r="B2125" s="106" t="s">
        <v>51</v>
      </c>
      <c r="C2125" s="117" t="s">
        <v>549</v>
      </c>
      <c r="D2125" s="300"/>
      <c r="E2125" s="131" t="s">
        <v>310</v>
      </c>
      <c r="F2125" s="66">
        <v>825</v>
      </c>
      <c r="G2125" s="66"/>
      <c r="H2125" s="66"/>
      <c r="I2125" s="66"/>
      <c r="J2125" s="66"/>
      <c r="K2125" s="78"/>
      <c r="L2125" s="66"/>
      <c r="M2125" s="66">
        <f>248+576+59</f>
        <v>883</v>
      </c>
      <c r="N2125" s="110">
        <f t="shared" si="3513"/>
        <v>58</v>
      </c>
      <c r="O2125" s="110"/>
      <c r="P2125" s="66"/>
      <c r="Q2125" s="66">
        <f>803+15+59</f>
        <v>877</v>
      </c>
      <c r="R2125" s="66"/>
      <c r="S2125" s="66">
        <f>818+49</f>
        <v>867</v>
      </c>
      <c r="T2125" s="110">
        <f t="shared" ref="T2125" si="3522">S2125-Q2125</f>
        <v>-10</v>
      </c>
      <c r="U2125" s="59">
        <f t="shared" si="2686"/>
        <v>16</v>
      </c>
      <c r="V2125" s="66"/>
      <c r="W2125" s="66">
        <v>851</v>
      </c>
      <c r="X2125" s="110">
        <f t="shared" ref="X2125" si="3523">W2125-M2125</f>
        <v>-32</v>
      </c>
      <c r="Y2125" s="110"/>
      <c r="Z2125" s="110"/>
      <c r="AA2125" s="110"/>
      <c r="AB2125" s="46"/>
      <c r="AC2125" s="78"/>
      <c r="AD2125" s="78"/>
      <c r="AE2125" s="100">
        <f t="shared" si="2687"/>
        <v>7.0303030303030298E-2</v>
      </c>
      <c r="AF2125" s="90"/>
      <c r="AG2125" s="109">
        <f t="shared" si="2688"/>
        <v>0</v>
      </c>
      <c r="AH2125" s="100">
        <f t="shared" si="2689"/>
        <v>5.0909090909090911E-2</v>
      </c>
      <c r="AI2125" s="100">
        <f t="shared" si="2690"/>
        <v>3.1515151515151517E-2</v>
      </c>
    </row>
    <row r="2126" spans="1:35" s="79" customFormat="1" ht="15.75" customHeight="1" x14ac:dyDescent="0.3">
      <c r="A2126" s="90" t="s">
        <v>46</v>
      </c>
      <c r="B2126" s="136" t="s">
        <v>51</v>
      </c>
      <c r="C2126" s="137"/>
      <c r="D2126" s="136"/>
      <c r="E2126" s="138"/>
      <c r="F2126" s="91">
        <f>SUM(F2123:F2125)</f>
        <v>3705</v>
      </c>
      <c r="G2126" s="91"/>
      <c r="H2126" s="91"/>
      <c r="I2126" s="91"/>
      <c r="J2126" s="91" t="s">
        <v>58</v>
      </c>
      <c r="K2126" s="65" t="s">
        <v>436</v>
      </c>
      <c r="L2126" s="91">
        <f>SUM(L2123:L2125)</f>
        <v>0</v>
      </c>
      <c r="M2126" s="91">
        <f>SUM(M2123:M2125)</f>
        <v>3821</v>
      </c>
      <c r="N2126" s="91">
        <f>SUM(N2123:N2125)</f>
        <v>116</v>
      </c>
      <c r="O2126" s="91" t="s">
        <v>531</v>
      </c>
      <c r="P2126" s="91">
        <f>SUM(P2123:P2125)</f>
        <v>0</v>
      </c>
      <c r="Q2126" s="91">
        <f>SUM(Q2123:Q2125)</f>
        <v>3815</v>
      </c>
      <c r="R2126" s="91">
        <f>SUM(R2123:R2125)</f>
        <v>0</v>
      </c>
      <c r="S2126" s="91">
        <f>SUM(S2123:S2125)</f>
        <v>3805</v>
      </c>
      <c r="T2126" s="91">
        <f>SUM(T2123:T2125)</f>
        <v>-10</v>
      </c>
      <c r="U2126" s="59">
        <f t="shared" si="2686"/>
        <v>18</v>
      </c>
      <c r="V2126" s="91">
        <f>SUM(V2123:V2125)</f>
        <v>0</v>
      </c>
      <c r="W2126" s="91">
        <f>SUM(W2123:W2125)</f>
        <v>3787</v>
      </c>
      <c r="X2126" s="91">
        <f>SUM(X2123:X2125)</f>
        <v>-34</v>
      </c>
      <c r="Y2126" s="136" t="s">
        <v>48</v>
      </c>
      <c r="Z2126" s="136" t="s">
        <v>45</v>
      </c>
      <c r="AA2126" s="136"/>
      <c r="AB2126" s="84"/>
      <c r="AC2126" s="90"/>
      <c r="AD2126" s="90"/>
      <c r="AE2126" s="100">
        <f t="shared" si="2687"/>
        <v>3.1309041835357626E-2</v>
      </c>
      <c r="AF2126" s="90"/>
      <c r="AG2126" s="109">
        <f t="shared" si="2688"/>
        <v>0</v>
      </c>
      <c r="AH2126" s="100">
        <f t="shared" si="2689"/>
        <v>2.6990553306342781E-2</v>
      </c>
      <c r="AI2126" s="100">
        <f t="shared" si="2690"/>
        <v>2.2132253711201078E-2</v>
      </c>
    </row>
    <row r="2127" spans="1:35" s="47" customFormat="1" ht="21" customHeight="1" x14ac:dyDescent="0.3">
      <c r="A2127" s="78"/>
      <c r="B2127" s="106" t="s">
        <v>51</v>
      </c>
      <c r="C2127" s="117" t="s">
        <v>550</v>
      </c>
      <c r="D2127" s="237">
        <v>15315687</v>
      </c>
      <c r="E2127" s="131" t="s">
        <v>49</v>
      </c>
      <c r="F2127" s="66">
        <v>2016</v>
      </c>
      <c r="G2127" s="66"/>
      <c r="H2127" s="66"/>
      <c r="I2127" s="66"/>
      <c r="J2127" s="66"/>
      <c r="K2127" s="78"/>
      <c r="L2127" s="66"/>
      <c r="M2127" s="66">
        <v>2080</v>
      </c>
      <c r="N2127" s="110">
        <f t="shared" ref="N2127" si="3524">M2127-F2127</f>
        <v>64</v>
      </c>
      <c r="O2127" s="110"/>
      <c r="P2127" s="66"/>
      <c r="Q2127" s="66">
        <v>2080</v>
      </c>
      <c r="R2127" s="66"/>
      <c r="S2127" s="66">
        <v>2080</v>
      </c>
      <c r="T2127" s="110">
        <f>S2127-Q2127</f>
        <v>0</v>
      </c>
      <c r="U2127" s="59">
        <f t="shared" si="2575"/>
        <v>2080</v>
      </c>
      <c r="V2127" s="66"/>
      <c r="W2127" s="66"/>
      <c r="X2127" s="110">
        <f>W2127-M2127</f>
        <v>-2080</v>
      </c>
      <c r="Y2127" s="110"/>
      <c r="Z2127" s="110"/>
      <c r="AA2127" s="110"/>
      <c r="AB2127" s="46"/>
      <c r="AC2127" s="78"/>
      <c r="AD2127" s="78"/>
      <c r="AE2127" s="100">
        <f t="shared" ref="AE2127:AE2132" si="3525">N2127/F2127</f>
        <v>3.1746031746031744E-2</v>
      </c>
      <c r="AF2127" s="90"/>
      <c r="AG2127" s="109">
        <f t="shared" ref="AG2127:AG2132" si="3526">IF(N2127&lt;0,N2127,0)</f>
        <v>0</v>
      </c>
      <c r="AH2127" s="100">
        <f t="shared" ref="AH2127:AH2132" si="3527">(S2127-F2127)/F2127</f>
        <v>3.1746031746031744E-2</v>
      </c>
      <c r="AI2127" s="100">
        <f t="shared" ref="AI2127:AI2132" si="3528">(W2127-F2127)/F2127</f>
        <v>-1</v>
      </c>
    </row>
    <row r="2128" spans="1:35" s="79" customFormat="1" ht="15.75" customHeight="1" x14ac:dyDescent="0.3">
      <c r="A2128" s="90" t="s">
        <v>46</v>
      </c>
      <c r="B2128" s="136" t="s">
        <v>51</v>
      </c>
      <c r="C2128" s="137"/>
      <c r="D2128" s="136"/>
      <c r="E2128" s="138"/>
      <c r="F2128" s="91">
        <f>SUM(F2127:F2127)</f>
        <v>2016</v>
      </c>
      <c r="G2128" s="91"/>
      <c r="H2128" s="91"/>
      <c r="I2128" s="91"/>
      <c r="J2128" s="91" t="s">
        <v>58</v>
      </c>
      <c r="K2128" s="65" t="s">
        <v>401</v>
      </c>
      <c r="L2128" s="91">
        <f>SUM(L2127:L2127)</f>
        <v>0</v>
      </c>
      <c r="M2128" s="91">
        <f>SUM(M2127:M2127)</f>
        <v>2080</v>
      </c>
      <c r="N2128" s="91">
        <f>SUM(N2127:N2127)</f>
        <v>64</v>
      </c>
      <c r="O2128" s="91" t="s">
        <v>758</v>
      </c>
      <c r="P2128" s="91">
        <f>SUM(P2127:P2127)</f>
        <v>0</v>
      </c>
      <c r="Q2128" s="91">
        <f>SUM(Q2127:Q2127)</f>
        <v>2080</v>
      </c>
      <c r="R2128" s="91">
        <f>SUM(R2127:R2127)</f>
        <v>0</v>
      </c>
      <c r="S2128" s="91">
        <f>SUM(S2127:S2127)</f>
        <v>2080</v>
      </c>
      <c r="T2128" s="91">
        <f>SUM(T2127:T2127)</f>
        <v>0</v>
      </c>
      <c r="U2128" s="59">
        <f t="shared" si="2575"/>
        <v>2080</v>
      </c>
      <c r="V2128" s="91">
        <f>SUM(V2127:V2127)</f>
        <v>0</v>
      </c>
      <c r="W2128" s="91">
        <f>SUM(W2127:W2127)</f>
        <v>0</v>
      </c>
      <c r="X2128" s="91">
        <f>SUM(X2127:X2127)</f>
        <v>-2080</v>
      </c>
      <c r="Y2128" s="136" t="s">
        <v>48</v>
      </c>
      <c r="Z2128" s="136" t="s">
        <v>45</v>
      </c>
      <c r="AA2128" s="136"/>
      <c r="AB2128" s="84"/>
      <c r="AC2128" s="90"/>
      <c r="AD2128" s="90"/>
      <c r="AE2128" s="100">
        <f t="shared" si="3525"/>
        <v>3.1746031746031744E-2</v>
      </c>
      <c r="AF2128" s="90"/>
      <c r="AG2128" s="109">
        <f t="shared" si="3526"/>
        <v>0</v>
      </c>
      <c r="AH2128" s="100">
        <f t="shared" si="3527"/>
        <v>3.1746031746031744E-2</v>
      </c>
      <c r="AI2128" s="100">
        <f t="shared" si="3528"/>
        <v>-1</v>
      </c>
    </row>
    <row r="2129" spans="1:35" s="47" customFormat="1" ht="21" customHeight="1" x14ac:dyDescent="0.3">
      <c r="A2129" s="78"/>
      <c r="B2129" s="106" t="s">
        <v>51</v>
      </c>
      <c r="C2129" s="117">
        <v>48208</v>
      </c>
      <c r="D2129" s="104">
        <v>15364629</v>
      </c>
      <c r="E2129" s="131" t="s">
        <v>49</v>
      </c>
      <c r="F2129" s="66">
        <v>780</v>
      </c>
      <c r="G2129" s="66"/>
      <c r="H2129" s="66"/>
      <c r="I2129" s="66"/>
      <c r="J2129" s="66"/>
      <c r="K2129" s="78"/>
      <c r="L2129" s="66"/>
      <c r="M2129" s="66"/>
      <c r="N2129" s="110">
        <f>M2129-F2129</f>
        <v>-780</v>
      </c>
      <c r="O2129" s="110"/>
      <c r="P2129" s="66"/>
      <c r="Q2129" s="66"/>
      <c r="R2129" s="66"/>
      <c r="S2129" s="66"/>
      <c r="T2129" s="110">
        <f>S2129-Q2129</f>
        <v>0</v>
      </c>
      <c r="U2129" s="59">
        <f t="shared" si="2575"/>
        <v>0</v>
      </c>
      <c r="V2129" s="66"/>
      <c r="W2129" s="66"/>
      <c r="X2129" s="110">
        <f t="shared" ref="X2129" si="3529">W2129-M2129</f>
        <v>0</v>
      </c>
      <c r="Y2129" s="110"/>
      <c r="Z2129" s="110"/>
      <c r="AA2129" s="110"/>
      <c r="AB2129" s="46"/>
      <c r="AC2129" s="78"/>
      <c r="AD2129" s="78"/>
      <c r="AE2129" s="100">
        <f t="shared" si="3525"/>
        <v>-1</v>
      </c>
      <c r="AF2129" s="90"/>
      <c r="AG2129" s="109">
        <f t="shared" si="3526"/>
        <v>-780</v>
      </c>
      <c r="AH2129" s="100">
        <f t="shared" si="3527"/>
        <v>-1</v>
      </c>
      <c r="AI2129" s="100">
        <f t="shared" si="3528"/>
        <v>-1</v>
      </c>
    </row>
    <row r="2130" spans="1:35" s="79" customFormat="1" ht="15.75" customHeight="1" x14ac:dyDescent="0.3">
      <c r="A2130" s="90" t="s">
        <v>46</v>
      </c>
      <c r="B2130" s="136" t="s">
        <v>51</v>
      </c>
      <c r="C2130" s="137"/>
      <c r="D2130" s="136"/>
      <c r="E2130" s="138"/>
      <c r="F2130" s="91">
        <f>SUM(F2129)</f>
        <v>780</v>
      </c>
      <c r="G2130" s="91"/>
      <c r="H2130" s="91"/>
      <c r="I2130" s="91"/>
      <c r="J2130" s="91" t="s">
        <v>59</v>
      </c>
      <c r="K2130" s="65" t="s">
        <v>617</v>
      </c>
      <c r="L2130" s="91">
        <f>SUM(L2129)</f>
        <v>0</v>
      </c>
      <c r="M2130" s="91">
        <f>SUM(M2129)</f>
        <v>0</v>
      </c>
      <c r="N2130" s="91">
        <f>SUM(N2129)</f>
        <v>-780</v>
      </c>
      <c r="O2130" s="91"/>
      <c r="P2130" s="91">
        <f>SUM(P2129)</f>
        <v>0</v>
      </c>
      <c r="Q2130" s="91">
        <f>SUM(Q2129)</f>
        <v>0</v>
      </c>
      <c r="R2130" s="91">
        <f t="shared" ref="R2130:R2134" si="3530">SUM(R2129)</f>
        <v>0</v>
      </c>
      <c r="S2130" s="91">
        <f>SUM(S2129)</f>
        <v>0</v>
      </c>
      <c r="T2130" s="91">
        <f>SUM(T2129)</f>
        <v>0</v>
      </c>
      <c r="U2130" s="59">
        <f t="shared" si="2575"/>
        <v>0</v>
      </c>
      <c r="V2130" s="91">
        <f>SUM(V2129)</f>
        <v>0</v>
      </c>
      <c r="W2130" s="91">
        <f t="shared" ref="W2130:X2130" si="3531">SUM(W2129)</f>
        <v>0</v>
      </c>
      <c r="X2130" s="91">
        <f t="shared" si="3531"/>
        <v>0</v>
      </c>
      <c r="Y2130" s="136" t="s">
        <v>47</v>
      </c>
      <c r="Z2130" s="136" t="s">
        <v>45</v>
      </c>
      <c r="AA2130" s="136"/>
      <c r="AB2130" s="84"/>
      <c r="AC2130" s="90"/>
      <c r="AD2130" s="90"/>
      <c r="AE2130" s="100">
        <f t="shared" si="3525"/>
        <v>-1</v>
      </c>
      <c r="AF2130" s="90"/>
      <c r="AG2130" s="109">
        <f t="shared" si="3526"/>
        <v>-780</v>
      </c>
      <c r="AH2130" s="100">
        <f t="shared" si="3527"/>
        <v>-1</v>
      </c>
      <c r="AI2130" s="100">
        <f t="shared" si="3528"/>
        <v>-1</v>
      </c>
    </row>
    <row r="2131" spans="1:35" s="47" customFormat="1" ht="21" customHeight="1" x14ac:dyDescent="0.3">
      <c r="A2131" s="78"/>
      <c r="B2131" s="106" t="s">
        <v>51</v>
      </c>
      <c r="C2131" s="117">
        <v>48185</v>
      </c>
      <c r="D2131" s="104">
        <v>15382071</v>
      </c>
      <c r="E2131" s="128" t="s">
        <v>394</v>
      </c>
      <c r="F2131" s="66">
        <v>504</v>
      </c>
      <c r="G2131" s="66"/>
      <c r="H2131" s="66"/>
      <c r="I2131" s="66"/>
      <c r="J2131" s="66"/>
      <c r="K2131" s="78"/>
      <c r="L2131" s="66"/>
      <c r="M2131" s="66">
        <f>196+325</f>
        <v>521</v>
      </c>
      <c r="N2131" s="110">
        <f>M2131-F2131</f>
        <v>17</v>
      </c>
      <c r="O2131" s="110"/>
      <c r="P2131" s="66"/>
      <c r="Q2131" s="66">
        <f>196+325</f>
        <v>521</v>
      </c>
      <c r="R2131" s="66"/>
      <c r="S2131" s="66">
        <v>519</v>
      </c>
      <c r="T2131" s="110">
        <f>S2131-Q2131</f>
        <v>-2</v>
      </c>
      <c r="U2131" s="59">
        <f t="shared" si="2575"/>
        <v>0</v>
      </c>
      <c r="V2131" s="66"/>
      <c r="W2131" s="66">
        <v>519</v>
      </c>
      <c r="X2131" s="110">
        <f t="shared" ref="X2131" si="3532">W2131-M2131</f>
        <v>-2</v>
      </c>
      <c r="Y2131" s="110"/>
      <c r="Z2131" s="110"/>
      <c r="AA2131" s="110"/>
      <c r="AB2131" s="46"/>
      <c r="AC2131" s="78"/>
      <c r="AD2131" s="78"/>
      <c r="AE2131" s="100">
        <f t="shared" si="3525"/>
        <v>3.3730158730158728E-2</v>
      </c>
      <c r="AF2131" s="90"/>
      <c r="AG2131" s="109">
        <f t="shared" si="3526"/>
        <v>0</v>
      </c>
      <c r="AH2131" s="100">
        <f t="shared" si="3527"/>
        <v>2.976190476190476E-2</v>
      </c>
      <c r="AI2131" s="100">
        <f t="shared" si="3528"/>
        <v>2.976190476190476E-2</v>
      </c>
    </row>
    <row r="2132" spans="1:35" s="79" customFormat="1" ht="15.75" customHeight="1" x14ac:dyDescent="0.3">
      <c r="A2132" s="90" t="s">
        <v>46</v>
      </c>
      <c r="B2132" s="136" t="s">
        <v>51</v>
      </c>
      <c r="C2132" s="137"/>
      <c r="D2132" s="136"/>
      <c r="E2132" s="138"/>
      <c r="F2132" s="91">
        <f>SUM(F2131)</f>
        <v>504</v>
      </c>
      <c r="G2132" s="91"/>
      <c r="H2132" s="91"/>
      <c r="I2132" s="91"/>
      <c r="J2132" s="91" t="s">
        <v>59</v>
      </c>
      <c r="K2132" s="65" t="s">
        <v>290</v>
      </c>
      <c r="L2132" s="91">
        <f>SUM(L2131)</f>
        <v>0</v>
      </c>
      <c r="M2132" s="91">
        <f>SUM(M2131)</f>
        <v>521</v>
      </c>
      <c r="N2132" s="91">
        <f>SUM(N2131)</f>
        <v>17</v>
      </c>
      <c r="O2132" s="91" t="s">
        <v>758</v>
      </c>
      <c r="P2132" s="91">
        <f>SUM(P2131)</f>
        <v>0</v>
      </c>
      <c r="Q2132" s="91">
        <f>SUM(Q2131)</f>
        <v>521</v>
      </c>
      <c r="R2132" s="91">
        <f t="shared" si="3530"/>
        <v>0</v>
      </c>
      <c r="S2132" s="91">
        <f>SUM(S2131)</f>
        <v>519</v>
      </c>
      <c r="T2132" s="91">
        <f>SUM(T2131)</f>
        <v>-2</v>
      </c>
      <c r="U2132" s="59">
        <f t="shared" si="2575"/>
        <v>0</v>
      </c>
      <c r="V2132" s="91">
        <f>SUM(V2131)</f>
        <v>0</v>
      </c>
      <c r="W2132" s="91">
        <f t="shared" ref="W2132:X2132" si="3533">SUM(W2131)</f>
        <v>519</v>
      </c>
      <c r="X2132" s="91">
        <f t="shared" si="3533"/>
        <v>-2</v>
      </c>
      <c r="Y2132" s="136" t="s">
        <v>47</v>
      </c>
      <c r="Z2132" s="136" t="s">
        <v>45</v>
      </c>
      <c r="AA2132" s="136"/>
      <c r="AB2132" s="84"/>
      <c r="AC2132" s="90"/>
      <c r="AD2132" s="90"/>
      <c r="AE2132" s="100">
        <f t="shared" si="3525"/>
        <v>3.3730158730158728E-2</v>
      </c>
      <c r="AF2132" s="90"/>
      <c r="AG2132" s="109">
        <f t="shared" si="3526"/>
        <v>0</v>
      </c>
      <c r="AH2132" s="100">
        <f t="shared" si="3527"/>
        <v>2.976190476190476E-2</v>
      </c>
      <c r="AI2132" s="100">
        <f t="shared" si="3528"/>
        <v>2.976190476190476E-2</v>
      </c>
    </row>
    <row r="2133" spans="1:35" s="47" customFormat="1" ht="21" customHeight="1" x14ac:dyDescent="0.3">
      <c r="A2133" s="78"/>
      <c r="B2133" s="106" t="s">
        <v>51</v>
      </c>
      <c r="C2133" s="117" t="s">
        <v>606</v>
      </c>
      <c r="D2133" s="104">
        <v>15370923</v>
      </c>
      <c r="E2133" s="128" t="s">
        <v>0</v>
      </c>
      <c r="F2133" s="66">
        <v>1584</v>
      </c>
      <c r="G2133" s="66"/>
      <c r="H2133" s="66"/>
      <c r="I2133" s="66"/>
      <c r="J2133" s="66"/>
      <c r="K2133" s="78"/>
      <c r="L2133" s="66"/>
      <c r="M2133" s="66">
        <f>672+950</f>
        <v>1622</v>
      </c>
      <c r="N2133" s="110">
        <f>M2133-F2133</f>
        <v>38</v>
      </c>
      <c r="O2133" s="110"/>
      <c r="P2133" s="66"/>
      <c r="Q2133" s="66">
        <v>1622</v>
      </c>
      <c r="R2133" s="66"/>
      <c r="S2133" s="66">
        <v>1622</v>
      </c>
      <c r="T2133" s="110">
        <f>S2133-Q2133</f>
        <v>0</v>
      </c>
      <c r="U2133" s="59">
        <f t="shared" si="2575"/>
        <v>3</v>
      </c>
      <c r="V2133" s="66"/>
      <c r="W2133" s="66">
        <v>1619</v>
      </c>
      <c r="X2133" s="110">
        <f t="shared" ref="X2133" si="3534">W2133-M2133</f>
        <v>-3</v>
      </c>
      <c r="Y2133" s="110"/>
      <c r="Z2133" s="110"/>
      <c r="AA2133" s="110"/>
      <c r="AB2133" s="46"/>
      <c r="AC2133" s="78"/>
      <c r="AD2133" s="78"/>
      <c r="AE2133" s="100">
        <f t="shared" ref="AE2133:AE2136" si="3535">N2133/F2133</f>
        <v>2.3989898989898988E-2</v>
      </c>
      <c r="AF2133" s="90"/>
      <c r="AG2133" s="109">
        <f t="shared" ref="AG2133:AG2136" si="3536">IF(N2133&lt;0,N2133,0)</f>
        <v>0</v>
      </c>
      <c r="AH2133" s="100">
        <f t="shared" ref="AH2133:AH2136" si="3537">(S2133-F2133)/F2133</f>
        <v>2.3989898989898988E-2</v>
      </c>
      <c r="AI2133" s="100">
        <f t="shared" ref="AI2133:AI2136" si="3538">(W2133-F2133)/F2133</f>
        <v>2.2095959595959596E-2</v>
      </c>
    </row>
    <row r="2134" spans="1:35" s="79" customFormat="1" ht="15.75" customHeight="1" x14ac:dyDescent="0.3">
      <c r="A2134" s="90" t="s">
        <v>46</v>
      </c>
      <c r="B2134" s="136" t="s">
        <v>51</v>
      </c>
      <c r="C2134" s="137"/>
      <c r="D2134" s="136"/>
      <c r="E2134" s="138"/>
      <c r="F2134" s="91">
        <f>SUM(F2133)</f>
        <v>1584</v>
      </c>
      <c r="G2134" s="91"/>
      <c r="H2134" s="91"/>
      <c r="I2134" s="91"/>
      <c r="J2134" s="91" t="s">
        <v>59</v>
      </c>
      <c r="K2134" s="65" t="s">
        <v>226</v>
      </c>
      <c r="L2134" s="91">
        <f>SUM(L2133)</f>
        <v>0</v>
      </c>
      <c r="M2134" s="91">
        <f>SUM(M2133)</f>
        <v>1622</v>
      </c>
      <c r="N2134" s="91">
        <f>SUM(N2133)</f>
        <v>38</v>
      </c>
      <c r="O2134" s="91" t="s">
        <v>175</v>
      </c>
      <c r="P2134" s="91">
        <f>SUM(P2133)</f>
        <v>0</v>
      </c>
      <c r="Q2134" s="91">
        <f>SUM(Q2133)</f>
        <v>1622</v>
      </c>
      <c r="R2134" s="91">
        <f t="shared" si="3530"/>
        <v>0</v>
      </c>
      <c r="S2134" s="91">
        <f>SUM(S2133)</f>
        <v>1622</v>
      </c>
      <c r="T2134" s="91">
        <f>SUM(T2133)</f>
        <v>0</v>
      </c>
      <c r="U2134" s="59">
        <f t="shared" si="2575"/>
        <v>3</v>
      </c>
      <c r="V2134" s="91">
        <f>SUM(V2133)</f>
        <v>0</v>
      </c>
      <c r="W2134" s="91">
        <f t="shared" ref="W2134:X2134" si="3539">SUM(W2133)</f>
        <v>1619</v>
      </c>
      <c r="X2134" s="91">
        <f t="shared" si="3539"/>
        <v>-3</v>
      </c>
      <c r="Y2134" s="136" t="s">
        <v>47</v>
      </c>
      <c r="Z2134" s="136" t="s">
        <v>45</v>
      </c>
      <c r="AA2134" s="136"/>
      <c r="AB2134" s="84"/>
      <c r="AC2134" s="90"/>
      <c r="AD2134" s="90"/>
      <c r="AE2134" s="100">
        <f t="shared" si="3535"/>
        <v>2.3989898989898988E-2</v>
      </c>
      <c r="AF2134" s="90"/>
      <c r="AG2134" s="109">
        <f t="shared" si="3536"/>
        <v>0</v>
      </c>
      <c r="AH2134" s="100">
        <f t="shared" si="3537"/>
        <v>2.3989898989898988E-2</v>
      </c>
      <c r="AI2134" s="100">
        <f t="shared" si="3538"/>
        <v>2.2095959595959596E-2</v>
      </c>
    </row>
    <row r="2135" spans="1:35" s="47" customFormat="1" ht="21" customHeight="1" x14ac:dyDescent="0.3">
      <c r="A2135" s="78"/>
      <c r="B2135" s="106" t="s">
        <v>51</v>
      </c>
      <c r="C2135" s="117" t="s">
        <v>446</v>
      </c>
      <c r="D2135" s="104">
        <v>15209151</v>
      </c>
      <c r="E2135" s="128" t="s">
        <v>0</v>
      </c>
      <c r="F2135" s="66">
        <v>6660</v>
      </c>
      <c r="G2135" s="66"/>
      <c r="H2135" s="66"/>
      <c r="I2135" s="66"/>
      <c r="J2135" s="66" t="s">
        <v>44</v>
      </c>
      <c r="K2135" s="78"/>
      <c r="L2135" s="66"/>
      <c r="M2135" s="66">
        <f>800+1600+372+248+810+770+720+1413</f>
        <v>6733</v>
      </c>
      <c r="N2135" s="110">
        <f>M2135-F2135</f>
        <v>73</v>
      </c>
      <c r="O2135" s="110"/>
      <c r="P2135" s="66"/>
      <c r="Q2135" s="66"/>
      <c r="R2135" s="66"/>
      <c r="S2135" s="66"/>
      <c r="T2135" s="110">
        <f>S2135-Q2135</f>
        <v>0</v>
      </c>
      <c r="U2135" s="59">
        <f t="shared" ref="U2135:U2136" si="3540">IF(Q2135&gt;0,S2135-W2135,M2135-W2135)</f>
        <v>0</v>
      </c>
      <c r="V2135" s="66"/>
      <c r="W2135" s="66">
        <v>6733</v>
      </c>
      <c r="X2135" s="110">
        <f>W2135-M2135</f>
        <v>0</v>
      </c>
      <c r="Y2135" s="110"/>
      <c r="Z2135" s="110"/>
      <c r="AA2135" s="110"/>
      <c r="AB2135" s="46"/>
      <c r="AC2135" s="78"/>
      <c r="AD2135" s="78"/>
      <c r="AE2135" s="100">
        <f t="shared" si="3535"/>
        <v>1.0960960960960961E-2</v>
      </c>
      <c r="AF2135" s="90"/>
      <c r="AG2135" s="109">
        <f t="shared" si="3536"/>
        <v>0</v>
      </c>
      <c r="AH2135" s="100">
        <f t="shared" si="3537"/>
        <v>-1</v>
      </c>
      <c r="AI2135" s="100">
        <f t="shared" si="3538"/>
        <v>1.0960960960960961E-2</v>
      </c>
    </row>
    <row r="2136" spans="1:35" s="79" customFormat="1" ht="15.75" customHeight="1" x14ac:dyDescent="0.3">
      <c r="A2136" s="90" t="s">
        <v>46</v>
      </c>
      <c r="B2136" s="136" t="s">
        <v>51</v>
      </c>
      <c r="C2136" s="137"/>
      <c r="D2136" s="136"/>
      <c r="E2136" s="138"/>
      <c r="F2136" s="91">
        <f>SUM(F2135)</f>
        <v>6660</v>
      </c>
      <c r="G2136" s="91"/>
      <c r="H2136" s="91"/>
      <c r="I2136" s="91"/>
      <c r="J2136" s="91" t="s">
        <v>59</v>
      </c>
      <c r="K2136" s="65" t="s">
        <v>238</v>
      </c>
      <c r="L2136" s="91">
        <f>SUM(L2135)</f>
        <v>0</v>
      </c>
      <c r="M2136" s="91">
        <f>SUM(M2135)</f>
        <v>6733</v>
      </c>
      <c r="N2136" s="91">
        <f>SUM(N2135)</f>
        <v>73</v>
      </c>
      <c r="O2136" s="91"/>
      <c r="P2136" s="91">
        <f>SUM(P2135)</f>
        <v>0</v>
      </c>
      <c r="Q2136" s="91">
        <f>SUM(Q2135)</f>
        <v>0</v>
      </c>
      <c r="R2136" s="91">
        <f>SUM(R2135)</f>
        <v>0</v>
      </c>
      <c r="S2136" s="91">
        <f t="shared" ref="S2136:S2138" si="3541">SUM(S2135)</f>
        <v>0</v>
      </c>
      <c r="T2136" s="91">
        <f>SUM(T2135)</f>
        <v>0</v>
      </c>
      <c r="U2136" s="59">
        <f t="shared" si="3540"/>
        <v>0</v>
      </c>
      <c r="V2136" s="91">
        <f>SUM(V2135)</f>
        <v>0</v>
      </c>
      <c r="W2136" s="91">
        <f t="shared" ref="W2136:W2138" si="3542">SUM(W2135)</f>
        <v>6733</v>
      </c>
      <c r="X2136" s="91">
        <f t="shared" ref="X2136:X2138" si="3543">SUM(X2135)</f>
        <v>0</v>
      </c>
      <c r="Y2136" s="136"/>
      <c r="Z2136" s="136"/>
      <c r="AA2136" s="136"/>
      <c r="AB2136" s="84"/>
      <c r="AC2136" s="90"/>
      <c r="AD2136" s="90"/>
      <c r="AE2136" s="100">
        <f t="shared" si="3535"/>
        <v>1.0960960960960961E-2</v>
      </c>
      <c r="AF2136" s="90"/>
      <c r="AG2136" s="109">
        <f t="shared" si="3536"/>
        <v>0</v>
      </c>
      <c r="AH2136" s="100">
        <f t="shared" si="3537"/>
        <v>-1</v>
      </c>
      <c r="AI2136" s="100">
        <f t="shared" si="3538"/>
        <v>1.0960960960960961E-2</v>
      </c>
    </row>
    <row r="2137" spans="1:35" s="47" customFormat="1" ht="21" customHeight="1" x14ac:dyDescent="0.3">
      <c r="A2137" s="78"/>
      <c r="B2137" s="106" t="s">
        <v>51</v>
      </c>
      <c r="C2137" s="117">
        <v>48200</v>
      </c>
      <c r="D2137" s="104">
        <v>15286501</v>
      </c>
      <c r="E2137" s="128" t="s">
        <v>49</v>
      </c>
      <c r="F2137" s="66">
        <v>578</v>
      </c>
      <c r="G2137" s="66"/>
      <c r="H2137" s="66"/>
      <c r="I2137" s="66"/>
      <c r="J2137" s="66" t="s">
        <v>44</v>
      </c>
      <c r="K2137" s="78"/>
      <c r="L2137" s="66"/>
      <c r="M2137" s="66">
        <v>613</v>
      </c>
      <c r="N2137" s="110">
        <f>M2137-F2137</f>
        <v>35</v>
      </c>
      <c r="O2137" s="110"/>
      <c r="P2137" s="66"/>
      <c r="Q2137" s="66">
        <v>613</v>
      </c>
      <c r="R2137" s="66"/>
      <c r="S2137" s="66">
        <v>613</v>
      </c>
      <c r="T2137" s="110">
        <f>S2137-Q2137</f>
        <v>0</v>
      </c>
      <c r="U2137" s="59">
        <f t="shared" si="2575"/>
        <v>613</v>
      </c>
      <c r="V2137" s="66"/>
      <c r="W2137" s="66"/>
      <c r="X2137" s="110">
        <f>W2137-M2137</f>
        <v>-613</v>
      </c>
      <c r="Y2137" s="110"/>
      <c r="Z2137" s="110"/>
      <c r="AA2137" s="110"/>
      <c r="AB2137" s="46"/>
      <c r="AC2137" s="78"/>
      <c r="AD2137" s="78"/>
      <c r="AE2137" s="100">
        <f t="shared" ref="AE2137:AE2144" si="3544">N2137/F2137</f>
        <v>6.0553633217993078E-2</v>
      </c>
      <c r="AF2137" s="90"/>
      <c r="AG2137" s="109">
        <f t="shared" ref="AG2137:AG2144" si="3545">IF(N2137&lt;0,N2137,0)</f>
        <v>0</v>
      </c>
      <c r="AH2137" s="100">
        <f t="shared" ref="AH2137:AH2144" si="3546">(S2137-F2137)/F2137</f>
        <v>6.0553633217993078E-2</v>
      </c>
      <c r="AI2137" s="100">
        <f t="shared" ref="AI2137:AI2144" si="3547">(W2137-F2137)/F2137</f>
        <v>-1</v>
      </c>
    </row>
    <row r="2138" spans="1:35" s="79" customFormat="1" ht="15.75" customHeight="1" x14ac:dyDescent="0.3">
      <c r="A2138" s="90" t="s">
        <v>46</v>
      </c>
      <c r="B2138" s="63" t="s">
        <v>51</v>
      </c>
      <c r="C2138" s="101"/>
      <c r="D2138" s="63"/>
      <c r="E2138" s="102"/>
      <c r="F2138" s="91">
        <f>SUM(F2137)</f>
        <v>578</v>
      </c>
      <c r="G2138" s="91"/>
      <c r="H2138" s="91"/>
      <c r="I2138" s="91"/>
      <c r="J2138" s="91" t="s">
        <v>59</v>
      </c>
      <c r="K2138" s="65" t="s">
        <v>340</v>
      </c>
      <c r="L2138" s="91">
        <f>SUM(L2137)</f>
        <v>0</v>
      </c>
      <c r="M2138" s="91">
        <f>SUM(M2137)</f>
        <v>613</v>
      </c>
      <c r="N2138" s="91">
        <f>SUM(N2137)</f>
        <v>35</v>
      </c>
      <c r="O2138" s="91" t="s">
        <v>763</v>
      </c>
      <c r="P2138" s="91">
        <f>SUM(P2137)</f>
        <v>0</v>
      </c>
      <c r="Q2138" s="91">
        <f>SUM(Q2137)</f>
        <v>613</v>
      </c>
      <c r="R2138" s="91">
        <f>SUM(R2137)</f>
        <v>0</v>
      </c>
      <c r="S2138" s="91">
        <f t="shared" si="3541"/>
        <v>613</v>
      </c>
      <c r="T2138" s="91">
        <f>SUM(T2137)</f>
        <v>0</v>
      </c>
      <c r="U2138" s="59">
        <f t="shared" si="2575"/>
        <v>613</v>
      </c>
      <c r="V2138" s="91">
        <f>SUM(V2137)</f>
        <v>0</v>
      </c>
      <c r="W2138" s="91">
        <f t="shared" si="3542"/>
        <v>0</v>
      </c>
      <c r="X2138" s="91">
        <f t="shared" si="3543"/>
        <v>-613</v>
      </c>
      <c r="Y2138" s="63" t="s">
        <v>57</v>
      </c>
      <c r="Z2138" s="63" t="s">
        <v>45</v>
      </c>
      <c r="AA2138" s="63"/>
      <c r="AB2138" s="84"/>
      <c r="AC2138" s="90"/>
      <c r="AD2138" s="90"/>
      <c r="AE2138" s="100">
        <f t="shared" si="3544"/>
        <v>6.0553633217993078E-2</v>
      </c>
      <c r="AF2138" s="90"/>
      <c r="AG2138" s="109">
        <f t="shared" si="3545"/>
        <v>0</v>
      </c>
      <c r="AH2138" s="100">
        <f t="shared" si="3546"/>
        <v>6.0553633217993078E-2</v>
      </c>
      <c r="AI2138" s="100">
        <f t="shared" si="3547"/>
        <v>-1</v>
      </c>
    </row>
    <row r="2139" spans="1:35" s="47" customFormat="1" ht="21" customHeight="1" x14ac:dyDescent="0.3">
      <c r="A2139" s="78"/>
      <c r="B2139" s="106" t="s">
        <v>51</v>
      </c>
      <c r="C2139" s="117" t="s">
        <v>288</v>
      </c>
      <c r="D2139" s="104">
        <v>15062199</v>
      </c>
      <c r="E2139" s="132" t="s">
        <v>0</v>
      </c>
      <c r="F2139" s="66">
        <v>3500</v>
      </c>
      <c r="G2139" s="66"/>
      <c r="H2139" s="66"/>
      <c r="I2139" s="66"/>
      <c r="J2139" s="66"/>
      <c r="K2139" s="78"/>
      <c r="L2139" s="66"/>
      <c r="M2139" s="66">
        <f>714+104+200+320+500+385+120+15</f>
        <v>2358</v>
      </c>
      <c r="N2139" s="110">
        <f>M2139-F2139</f>
        <v>-1142</v>
      </c>
      <c r="O2139" s="110"/>
      <c r="P2139" s="66"/>
      <c r="Q2139" s="66">
        <f>714+104+200+820+385+120+15</f>
        <v>2358</v>
      </c>
      <c r="R2139" s="66"/>
      <c r="S2139" s="66">
        <f>1318+908+132</f>
        <v>2358</v>
      </c>
      <c r="T2139" s="110">
        <f>S2139-Q2139</f>
        <v>0</v>
      </c>
      <c r="U2139" s="59">
        <f t="shared" si="2575"/>
        <v>15</v>
      </c>
      <c r="V2139" s="66"/>
      <c r="W2139" s="66">
        <f>818+1525</f>
        <v>2343</v>
      </c>
      <c r="X2139" s="110">
        <f>W2139-M2139</f>
        <v>-15</v>
      </c>
      <c r="Y2139" s="110"/>
      <c r="Z2139" s="110"/>
      <c r="AA2139" s="110"/>
      <c r="AB2139" s="46"/>
      <c r="AC2139" s="78"/>
      <c r="AD2139" s="78"/>
      <c r="AE2139" s="100">
        <f t="shared" ref="AE2139:AE2142" si="3548">N2139/F2139</f>
        <v>-0.32628571428571429</v>
      </c>
      <c r="AF2139" s="90"/>
      <c r="AG2139" s="109">
        <f t="shared" ref="AG2139:AG2142" si="3549">IF(N2139&lt;0,N2139,0)</f>
        <v>-1142</v>
      </c>
      <c r="AH2139" s="100">
        <f t="shared" ref="AH2139:AH2142" si="3550">(S2139-F2139)/F2139</f>
        <v>-0.32628571428571429</v>
      </c>
      <c r="AI2139" s="100">
        <f t="shared" ref="AI2139:AI2142" si="3551">(W2139-F2139)/F2139</f>
        <v>-0.33057142857142857</v>
      </c>
    </row>
    <row r="2140" spans="1:35" s="79" customFormat="1" ht="15.75" customHeight="1" x14ac:dyDescent="0.3">
      <c r="A2140" s="90" t="s">
        <v>46</v>
      </c>
      <c r="B2140" s="136" t="s">
        <v>51</v>
      </c>
      <c r="C2140" s="137"/>
      <c r="D2140" s="136"/>
      <c r="E2140" s="138"/>
      <c r="F2140" s="91">
        <f>SUM(F2139)</f>
        <v>3500</v>
      </c>
      <c r="G2140" s="91"/>
      <c r="H2140" s="91"/>
      <c r="I2140" s="91"/>
      <c r="J2140" s="91" t="s">
        <v>58</v>
      </c>
      <c r="K2140" s="65" t="s">
        <v>208</v>
      </c>
      <c r="L2140" s="91">
        <f>SUM(L2139)</f>
        <v>0</v>
      </c>
      <c r="M2140" s="91">
        <f>SUM(M2139)</f>
        <v>2358</v>
      </c>
      <c r="N2140" s="91">
        <f>SUM(N2139)</f>
        <v>-1142</v>
      </c>
      <c r="O2140" s="91" t="s">
        <v>162</v>
      </c>
      <c r="P2140" s="91">
        <f>SUM(P2139)</f>
        <v>0</v>
      </c>
      <c r="Q2140" s="91">
        <f>SUM(Q2139)</f>
        <v>2358</v>
      </c>
      <c r="R2140" s="91">
        <f>SUM(R2139)</f>
        <v>0</v>
      </c>
      <c r="S2140" s="91">
        <f t="shared" ref="S2140:S2256" si="3552">SUM(S2139)</f>
        <v>2358</v>
      </c>
      <c r="T2140" s="91">
        <f>SUM(T2139)</f>
        <v>0</v>
      </c>
      <c r="U2140" s="59">
        <f t="shared" si="2575"/>
        <v>15</v>
      </c>
      <c r="V2140" s="91">
        <f>SUM(V2139)</f>
        <v>0</v>
      </c>
      <c r="W2140" s="91">
        <f t="shared" ref="W2140:W2256" si="3553">SUM(W2139)</f>
        <v>2343</v>
      </c>
      <c r="X2140" s="91">
        <f t="shared" ref="X2140:X2256" si="3554">SUM(X2139)</f>
        <v>-15</v>
      </c>
      <c r="Y2140" s="136" t="s">
        <v>47</v>
      </c>
      <c r="Z2140" s="136" t="s">
        <v>45</v>
      </c>
      <c r="AA2140" s="136"/>
      <c r="AB2140" s="84"/>
      <c r="AC2140" s="90"/>
      <c r="AD2140" s="90"/>
      <c r="AE2140" s="100">
        <f t="shared" si="3548"/>
        <v>-0.32628571428571429</v>
      </c>
      <c r="AF2140" s="90"/>
      <c r="AG2140" s="109">
        <f t="shared" si="3549"/>
        <v>-1142</v>
      </c>
      <c r="AH2140" s="100">
        <f t="shared" si="3550"/>
        <v>-0.32628571428571429</v>
      </c>
      <c r="AI2140" s="100">
        <f t="shared" si="3551"/>
        <v>-0.33057142857142857</v>
      </c>
    </row>
    <row r="2141" spans="1:35" s="47" customFormat="1" ht="21" customHeight="1" x14ac:dyDescent="0.3">
      <c r="A2141" s="78"/>
      <c r="B2141" s="106" t="s">
        <v>51</v>
      </c>
      <c r="C2141" s="117" t="s">
        <v>231</v>
      </c>
      <c r="D2141" s="104">
        <v>15062199</v>
      </c>
      <c r="E2141" s="132" t="s">
        <v>0</v>
      </c>
      <c r="F2141" s="66">
        <v>6000</v>
      </c>
      <c r="G2141" s="66"/>
      <c r="H2141" s="66"/>
      <c r="I2141" s="66"/>
      <c r="J2141" s="66"/>
      <c r="K2141" s="78"/>
      <c r="L2141" s="66"/>
      <c r="M2141" s="66">
        <f>600+1323+434+200+714+680+600+672+859+5</f>
        <v>6087</v>
      </c>
      <c r="N2141" s="110">
        <f>M2141-F2141</f>
        <v>87</v>
      </c>
      <c r="O2141" s="110"/>
      <c r="P2141" s="66"/>
      <c r="Q2141" s="66">
        <f>1223+714+700+880+872+400+434+859+5</f>
        <v>6087</v>
      </c>
      <c r="R2141" s="66"/>
      <c r="S2141" s="66">
        <f>1220+1592+652+464+1280+830+49</f>
        <v>6087</v>
      </c>
      <c r="T2141" s="110">
        <f>S2141-Q2141</f>
        <v>0</v>
      </c>
      <c r="U2141" s="59">
        <f t="shared" ref="U2141:U2142" si="3555">IF(Q2141&gt;0,S2141-W2141,M2141-W2141)</f>
        <v>0</v>
      </c>
      <c r="V2141" s="66"/>
      <c r="W2141" s="66">
        <v>6087</v>
      </c>
      <c r="X2141" s="110">
        <f>W2141-M2141</f>
        <v>0</v>
      </c>
      <c r="Y2141" s="110"/>
      <c r="Z2141" s="110"/>
      <c r="AA2141" s="110"/>
      <c r="AB2141" s="46"/>
      <c r="AC2141" s="78"/>
      <c r="AD2141" s="78"/>
      <c r="AE2141" s="100">
        <f t="shared" si="3548"/>
        <v>1.4500000000000001E-2</v>
      </c>
      <c r="AF2141" s="90"/>
      <c r="AG2141" s="109">
        <f t="shared" si="3549"/>
        <v>0</v>
      </c>
      <c r="AH2141" s="100">
        <f t="shared" si="3550"/>
        <v>1.4500000000000001E-2</v>
      </c>
      <c r="AI2141" s="100">
        <f t="shared" si="3551"/>
        <v>1.4500000000000001E-2</v>
      </c>
    </row>
    <row r="2142" spans="1:35" s="79" customFormat="1" ht="15.75" customHeight="1" x14ac:dyDescent="0.3">
      <c r="A2142" s="90" t="s">
        <v>46</v>
      </c>
      <c r="B2142" s="136" t="s">
        <v>51</v>
      </c>
      <c r="C2142" s="137"/>
      <c r="D2142" s="136"/>
      <c r="E2142" s="138"/>
      <c r="F2142" s="91">
        <f>SUM(F2141)</f>
        <v>6000</v>
      </c>
      <c r="G2142" s="91"/>
      <c r="H2142" s="91"/>
      <c r="I2142" s="91"/>
      <c r="J2142" s="91" t="s">
        <v>58</v>
      </c>
      <c r="K2142" s="65" t="s">
        <v>238</v>
      </c>
      <c r="L2142" s="91">
        <f>SUM(L2141)</f>
        <v>0</v>
      </c>
      <c r="M2142" s="91">
        <f>SUM(M2141)</f>
        <v>6087</v>
      </c>
      <c r="N2142" s="91">
        <f>SUM(N2141)</f>
        <v>87</v>
      </c>
      <c r="O2142" s="91" t="s">
        <v>232</v>
      </c>
      <c r="P2142" s="91">
        <f>SUM(P2141)</f>
        <v>0</v>
      </c>
      <c r="Q2142" s="91">
        <f>SUM(Q2141)</f>
        <v>6087</v>
      </c>
      <c r="R2142" s="91">
        <f>SUM(R2141)</f>
        <v>0</v>
      </c>
      <c r="S2142" s="91">
        <f t="shared" si="3552"/>
        <v>6087</v>
      </c>
      <c r="T2142" s="91">
        <f>SUM(T2141)</f>
        <v>0</v>
      </c>
      <c r="U2142" s="59">
        <f t="shared" si="3555"/>
        <v>0</v>
      </c>
      <c r="V2142" s="91">
        <f>SUM(V2141)</f>
        <v>0</v>
      </c>
      <c r="W2142" s="91">
        <f t="shared" si="3553"/>
        <v>6087</v>
      </c>
      <c r="X2142" s="91">
        <f t="shared" si="3554"/>
        <v>0</v>
      </c>
      <c r="Y2142" s="136" t="s">
        <v>47</v>
      </c>
      <c r="Z2142" s="136" t="s">
        <v>45</v>
      </c>
      <c r="AA2142" s="136"/>
      <c r="AB2142" s="84"/>
      <c r="AC2142" s="90"/>
      <c r="AD2142" s="90"/>
      <c r="AE2142" s="100">
        <f t="shared" si="3548"/>
        <v>1.4500000000000001E-2</v>
      </c>
      <c r="AF2142" s="90"/>
      <c r="AG2142" s="109">
        <f t="shared" si="3549"/>
        <v>0</v>
      </c>
      <c r="AH2142" s="100">
        <f t="shared" si="3550"/>
        <v>1.4500000000000001E-2</v>
      </c>
      <c r="AI2142" s="100">
        <f t="shared" si="3551"/>
        <v>1.4500000000000001E-2</v>
      </c>
    </row>
    <row r="2143" spans="1:35" s="47" customFormat="1" ht="21" customHeight="1" x14ac:dyDescent="0.3">
      <c r="A2143" s="78"/>
      <c r="B2143" s="106" t="s">
        <v>51</v>
      </c>
      <c r="C2143" s="117">
        <v>48299</v>
      </c>
      <c r="D2143" s="104">
        <v>15390922</v>
      </c>
      <c r="E2143" s="132" t="s">
        <v>39</v>
      </c>
      <c r="F2143" s="66">
        <v>640</v>
      </c>
      <c r="G2143" s="66"/>
      <c r="H2143" s="66"/>
      <c r="I2143" s="66"/>
      <c r="J2143" s="66"/>
      <c r="K2143" s="78"/>
      <c r="L2143" s="66"/>
      <c r="M2143" s="66">
        <f>664</f>
        <v>664</v>
      </c>
      <c r="N2143" s="110">
        <f>M2143-F2143</f>
        <v>24</v>
      </c>
      <c r="O2143" s="110"/>
      <c r="P2143" s="66"/>
      <c r="Q2143" s="66">
        <f>664</f>
        <v>664</v>
      </c>
      <c r="R2143" s="66"/>
      <c r="S2143" s="66">
        <v>664</v>
      </c>
      <c r="T2143" s="110">
        <f>S2143-Q2143</f>
        <v>0</v>
      </c>
      <c r="U2143" s="59">
        <f t="shared" si="2575"/>
        <v>1</v>
      </c>
      <c r="V2143" s="66"/>
      <c r="W2143" s="66">
        <v>663</v>
      </c>
      <c r="X2143" s="110">
        <f>W2143-M2143</f>
        <v>-1</v>
      </c>
      <c r="Y2143" s="110"/>
      <c r="Z2143" s="110"/>
      <c r="AA2143" s="110"/>
      <c r="AB2143" s="46"/>
      <c r="AC2143" s="78"/>
      <c r="AD2143" s="78"/>
      <c r="AE2143" s="100">
        <f t="shared" si="3544"/>
        <v>3.7499999999999999E-2</v>
      </c>
      <c r="AF2143" s="90"/>
      <c r="AG2143" s="109">
        <f t="shared" si="3545"/>
        <v>0</v>
      </c>
      <c r="AH2143" s="100">
        <f t="shared" si="3546"/>
        <v>3.7499999999999999E-2</v>
      </c>
      <c r="AI2143" s="100">
        <f t="shared" si="3547"/>
        <v>3.5937499999999997E-2</v>
      </c>
    </row>
    <row r="2144" spans="1:35" s="79" customFormat="1" ht="15.75" customHeight="1" x14ac:dyDescent="0.3">
      <c r="A2144" s="90" t="s">
        <v>46</v>
      </c>
      <c r="B2144" s="136" t="s">
        <v>51</v>
      </c>
      <c r="C2144" s="137"/>
      <c r="D2144" s="136"/>
      <c r="E2144" s="138"/>
      <c r="F2144" s="91">
        <f>SUM(F2143)</f>
        <v>640</v>
      </c>
      <c r="G2144" s="91"/>
      <c r="H2144" s="91"/>
      <c r="I2144" s="91"/>
      <c r="J2144" s="91" t="s">
        <v>59</v>
      </c>
      <c r="K2144" s="65" t="s">
        <v>530</v>
      </c>
      <c r="L2144" s="91">
        <f>SUM(L2143)</f>
        <v>0</v>
      </c>
      <c r="M2144" s="91">
        <f>SUM(M2143)</f>
        <v>664</v>
      </c>
      <c r="N2144" s="91">
        <f>SUM(N2143)</f>
        <v>24</v>
      </c>
      <c r="O2144" s="91" t="s">
        <v>666</v>
      </c>
      <c r="P2144" s="91">
        <f>SUM(P2143)</f>
        <v>0</v>
      </c>
      <c r="Q2144" s="91">
        <f>SUM(Q2143)</f>
        <v>664</v>
      </c>
      <c r="R2144" s="91">
        <f>SUM(R2143)</f>
        <v>0</v>
      </c>
      <c r="S2144" s="91">
        <f t="shared" si="3552"/>
        <v>664</v>
      </c>
      <c r="T2144" s="91">
        <f>SUM(T2143)</f>
        <v>0</v>
      </c>
      <c r="U2144" s="59">
        <f t="shared" si="2575"/>
        <v>1</v>
      </c>
      <c r="V2144" s="91">
        <f>SUM(V2143)</f>
        <v>0</v>
      </c>
      <c r="W2144" s="91">
        <f t="shared" si="3553"/>
        <v>663</v>
      </c>
      <c r="X2144" s="91">
        <f t="shared" si="3554"/>
        <v>-1</v>
      </c>
      <c r="Y2144" s="136" t="s">
        <v>47</v>
      </c>
      <c r="Z2144" s="136" t="s">
        <v>45</v>
      </c>
      <c r="AA2144" s="136"/>
      <c r="AB2144" s="84"/>
      <c r="AC2144" s="90"/>
      <c r="AD2144" s="90"/>
      <c r="AE2144" s="100">
        <f t="shared" si="3544"/>
        <v>3.7499999999999999E-2</v>
      </c>
      <c r="AF2144" s="90"/>
      <c r="AG2144" s="109">
        <f t="shared" si="3545"/>
        <v>0</v>
      </c>
      <c r="AH2144" s="100">
        <f t="shared" si="3546"/>
        <v>3.7499999999999999E-2</v>
      </c>
      <c r="AI2144" s="100">
        <f t="shared" si="3547"/>
        <v>3.5937499999999997E-2</v>
      </c>
    </row>
    <row r="2145" spans="1:35" s="47" customFormat="1" ht="21" customHeight="1" x14ac:dyDescent="0.3">
      <c r="A2145" s="78"/>
      <c r="B2145" s="106" t="s">
        <v>51</v>
      </c>
      <c r="C2145" s="117">
        <v>47650</v>
      </c>
      <c r="D2145" s="104">
        <v>15384295</v>
      </c>
      <c r="E2145" s="132" t="s">
        <v>163</v>
      </c>
      <c r="F2145" s="66">
        <v>878</v>
      </c>
      <c r="G2145" s="66"/>
      <c r="H2145" s="66"/>
      <c r="I2145" s="66"/>
      <c r="J2145" s="66"/>
      <c r="K2145" s="78"/>
      <c r="L2145" s="66"/>
      <c r="M2145" s="66">
        <v>917</v>
      </c>
      <c r="N2145" s="110">
        <f>M2145-F2145</f>
        <v>39</v>
      </c>
      <c r="O2145" s="110"/>
      <c r="P2145" s="66"/>
      <c r="Q2145" s="66">
        <v>917</v>
      </c>
      <c r="R2145" s="66"/>
      <c r="S2145" s="66">
        <f>892+18</f>
        <v>910</v>
      </c>
      <c r="T2145" s="110">
        <f>S2145-Q2145</f>
        <v>-7</v>
      </c>
      <c r="U2145" s="59">
        <f t="shared" si="2575"/>
        <v>0</v>
      </c>
      <c r="V2145" s="66"/>
      <c r="W2145" s="66">
        <v>910</v>
      </c>
      <c r="X2145" s="110">
        <f>W2145-M2145</f>
        <v>-7</v>
      </c>
      <c r="Y2145" s="110"/>
      <c r="Z2145" s="110"/>
      <c r="AA2145" s="110"/>
      <c r="AB2145" s="46"/>
      <c r="AC2145" s="78"/>
      <c r="AD2145" s="78"/>
      <c r="AE2145" s="100">
        <f t="shared" ref="AE2145:AE2146" si="3556">N2145/F2145</f>
        <v>4.441913439635535E-2</v>
      </c>
      <c r="AF2145" s="90"/>
      <c r="AG2145" s="109">
        <f t="shared" ref="AG2145:AG2146" si="3557">IF(N2145&lt;0,N2145,0)</f>
        <v>0</v>
      </c>
      <c r="AH2145" s="100">
        <f t="shared" ref="AH2145:AH2146" si="3558">(S2145-F2145)/F2145</f>
        <v>3.644646924829157E-2</v>
      </c>
      <c r="AI2145" s="100">
        <f t="shared" ref="AI2145:AI2146" si="3559">(W2145-F2145)/F2145</f>
        <v>3.644646924829157E-2</v>
      </c>
    </row>
    <row r="2146" spans="1:35" s="79" customFormat="1" ht="15.75" customHeight="1" x14ac:dyDescent="0.3">
      <c r="A2146" s="90" t="s">
        <v>46</v>
      </c>
      <c r="B2146" s="136" t="s">
        <v>51</v>
      </c>
      <c r="C2146" s="137"/>
      <c r="D2146" s="136"/>
      <c r="E2146" s="138"/>
      <c r="F2146" s="91">
        <f>SUM(F2145)</f>
        <v>878</v>
      </c>
      <c r="G2146" s="91"/>
      <c r="H2146" s="91"/>
      <c r="I2146" s="91"/>
      <c r="J2146" s="91" t="s">
        <v>59</v>
      </c>
      <c r="K2146" s="65" t="s">
        <v>238</v>
      </c>
      <c r="L2146" s="91">
        <f>SUM(L2145)</f>
        <v>0</v>
      </c>
      <c r="M2146" s="91">
        <f>SUM(M2145)</f>
        <v>917</v>
      </c>
      <c r="N2146" s="91">
        <f>SUM(N2145)</f>
        <v>39</v>
      </c>
      <c r="O2146" s="91" t="s">
        <v>487</v>
      </c>
      <c r="P2146" s="91">
        <f>SUM(P2145)</f>
        <v>0</v>
      </c>
      <c r="Q2146" s="91">
        <f>SUM(Q2145)</f>
        <v>917</v>
      </c>
      <c r="R2146" s="91">
        <f>SUM(R2145)</f>
        <v>0</v>
      </c>
      <c r="S2146" s="91">
        <f t="shared" si="3552"/>
        <v>910</v>
      </c>
      <c r="T2146" s="91">
        <f>SUM(T2145)</f>
        <v>-7</v>
      </c>
      <c r="U2146" s="59">
        <f t="shared" si="2575"/>
        <v>0</v>
      </c>
      <c r="V2146" s="91">
        <f>SUM(V2145)</f>
        <v>0</v>
      </c>
      <c r="W2146" s="91">
        <f t="shared" si="3553"/>
        <v>910</v>
      </c>
      <c r="X2146" s="91">
        <f t="shared" si="3554"/>
        <v>-7</v>
      </c>
      <c r="Y2146" s="136" t="s">
        <v>47</v>
      </c>
      <c r="Z2146" s="136" t="s">
        <v>45</v>
      </c>
      <c r="AA2146" s="136"/>
      <c r="AB2146" s="84"/>
      <c r="AC2146" s="90"/>
      <c r="AD2146" s="90"/>
      <c r="AE2146" s="100">
        <f t="shared" si="3556"/>
        <v>4.441913439635535E-2</v>
      </c>
      <c r="AF2146" s="90"/>
      <c r="AG2146" s="109">
        <f t="shared" si="3557"/>
        <v>0</v>
      </c>
      <c r="AH2146" s="100">
        <f t="shared" si="3558"/>
        <v>3.644646924829157E-2</v>
      </c>
      <c r="AI2146" s="100">
        <f t="shared" si="3559"/>
        <v>3.644646924829157E-2</v>
      </c>
    </row>
    <row r="2147" spans="1:35" s="47" customFormat="1" ht="18" customHeight="1" x14ac:dyDescent="0.3">
      <c r="A2147" s="78"/>
      <c r="B2147" s="106" t="s">
        <v>51</v>
      </c>
      <c r="C2147" s="117">
        <v>47654</v>
      </c>
      <c r="D2147" s="104">
        <v>15385290</v>
      </c>
      <c r="E2147" s="132" t="s">
        <v>274</v>
      </c>
      <c r="F2147" s="66">
        <v>830</v>
      </c>
      <c r="G2147" s="66"/>
      <c r="H2147" s="66"/>
      <c r="I2147" s="66"/>
      <c r="J2147" s="66"/>
      <c r="K2147" s="78"/>
      <c r="L2147" s="66"/>
      <c r="M2147" s="66">
        <f>850+96</f>
        <v>946</v>
      </c>
      <c r="N2147" s="110">
        <f>M2147-F2147</f>
        <v>116</v>
      </c>
      <c r="O2147" s="110"/>
      <c r="P2147" s="66"/>
      <c r="Q2147" s="66">
        <f>850+96</f>
        <v>946</v>
      </c>
      <c r="R2147" s="66"/>
      <c r="S2147" s="66">
        <f>798+41+10+96</f>
        <v>945</v>
      </c>
      <c r="T2147" s="110">
        <f>S2147-Q2147</f>
        <v>-1</v>
      </c>
      <c r="U2147" s="59">
        <f t="shared" si="2575"/>
        <v>0</v>
      </c>
      <c r="V2147" s="66"/>
      <c r="W2147" s="66">
        <f>849+96</f>
        <v>945</v>
      </c>
      <c r="X2147" s="110">
        <f>W2147-M2147</f>
        <v>-1</v>
      </c>
      <c r="Y2147" s="110"/>
      <c r="Z2147" s="110"/>
      <c r="AA2147" s="110"/>
      <c r="AB2147" s="46"/>
      <c r="AC2147" s="78"/>
      <c r="AD2147" s="78"/>
      <c r="AE2147" s="100">
        <f t="shared" ref="AE2147:AE2148" si="3560">N2147/F2147</f>
        <v>0.13975903614457832</v>
      </c>
      <c r="AF2147" s="90"/>
      <c r="AG2147" s="109">
        <f t="shared" ref="AG2147:AG2148" si="3561">IF(N2147&lt;0,N2147,0)</f>
        <v>0</v>
      </c>
      <c r="AH2147" s="100">
        <f t="shared" ref="AH2147:AH2148" si="3562">(S2147-F2147)/F2147</f>
        <v>0.13855421686746988</v>
      </c>
      <c r="AI2147" s="100">
        <f t="shared" ref="AI2147:AI2148" si="3563">(W2147-F2147)/F2147</f>
        <v>0.13855421686746988</v>
      </c>
    </row>
    <row r="2148" spans="1:35" s="79" customFormat="1" ht="15.75" customHeight="1" x14ac:dyDescent="0.3">
      <c r="A2148" s="90" t="s">
        <v>46</v>
      </c>
      <c r="B2148" s="136" t="s">
        <v>51</v>
      </c>
      <c r="C2148" s="137"/>
      <c r="D2148" s="136"/>
      <c r="E2148" s="138"/>
      <c r="F2148" s="91">
        <f>SUM(F2147)</f>
        <v>830</v>
      </c>
      <c r="G2148" s="91"/>
      <c r="H2148" s="91"/>
      <c r="I2148" s="91"/>
      <c r="J2148" s="91" t="s">
        <v>59</v>
      </c>
      <c r="K2148" s="65" t="s">
        <v>226</v>
      </c>
      <c r="L2148" s="91">
        <f>SUM(L2147)</f>
        <v>0</v>
      </c>
      <c r="M2148" s="91">
        <f>SUM(M2147)</f>
        <v>946</v>
      </c>
      <c r="N2148" s="91">
        <f>SUM(N2147)</f>
        <v>116</v>
      </c>
      <c r="O2148" s="91" t="s">
        <v>540</v>
      </c>
      <c r="P2148" s="91">
        <f>SUM(P2147)</f>
        <v>0</v>
      </c>
      <c r="Q2148" s="91">
        <f>SUM(Q2147)</f>
        <v>946</v>
      </c>
      <c r="R2148" s="91">
        <f>SUM(R2147)</f>
        <v>0</v>
      </c>
      <c r="S2148" s="91">
        <f t="shared" si="3552"/>
        <v>945</v>
      </c>
      <c r="T2148" s="91">
        <f>SUM(T2147)</f>
        <v>-1</v>
      </c>
      <c r="U2148" s="59">
        <f t="shared" si="2575"/>
        <v>0</v>
      </c>
      <c r="V2148" s="91">
        <f>SUM(V2147)</f>
        <v>0</v>
      </c>
      <c r="W2148" s="91">
        <f t="shared" si="3553"/>
        <v>945</v>
      </c>
      <c r="X2148" s="91">
        <f t="shared" si="3554"/>
        <v>-1</v>
      </c>
      <c r="Y2148" s="136" t="s">
        <v>47</v>
      </c>
      <c r="Z2148" s="136" t="s">
        <v>45</v>
      </c>
      <c r="AA2148" s="136"/>
      <c r="AB2148" s="84"/>
      <c r="AC2148" s="90"/>
      <c r="AD2148" s="90"/>
      <c r="AE2148" s="100">
        <f t="shared" si="3560"/>
        <v>0.13975903614457832</v>
      </c>
      <c r="AF2148" s="90"/>
      <c r="AG2148" s="109">
        <f t="shared" si="3561"/>
        <v>0</v>
      </c>
      <c r="AH2148" s="100">
        <f t="shared" si="3562"/>
        <v>0.13855421686746988</v>
      </c>
      <c r="AI2148" s="100">
        <f t="shared" si="3563"/>
        <v>0.13855421686746988</v>
      </c>
    </row>
    <row r="2149" spans="1:35" s="47" customFormat="1" ht="21" customHeight="1" x14ac:dyDescent="0.3">
      <c r="A2149" s="78"/>
      <c r="B2149" s="106" t="s">
        <v>51</v>
      </c>
      <c r="C2149" s="117">
        <v>47975</v>
      </c>
      <c r="D2149" s="104">
        <v>15396687</v>
      </c>
      <c r="E2149" s="132" t="s">
        <v>49</v>
      </c>
      <c r="F2149" s="66">
        <v>4470</v>
      </c>
      <c r="G2149" s="66"/>
      <c r="H2149" s="66"/>
      <c r="I2149" s="66"/>
      <c r="J2149" s="66"/>
      <c r="K2149" s="78"/>
      <c r="L2149" s="66"/>
      <c r="M2149" s="66">
        <f>456+1200+516+468+960+534+360+15</f>
        <v>4509</v>
      </c>
      <c r="N2149" s="110">
        <f>M2149-F2149</f>
        <v>39</v>
      </c>
      <c r="O2149" s="110"/>
      <c r="P2149" s="66"/>
      <c r="Q2149" s="66"/>
      <c r="R2149" s="66"/>
      <c r="S2149" s="66"/>
      <c r="T2149" s="110">
        <f>S2149-Q2149</f>
        <v>0</v>
      </c>
      <c r="U2149" s="59">
        <f t="shared" si="2575"/>
        <v>15</v>
      </c>
      <c r="V2149" s="66"/>
      <c r="W2149" s="66">
        <v>4494</v>
      </c>
      <c r="X2149" s="110">
        <f>W2149-M2149</f>
        <v>-15</v>
      </c>
      <c r="Y2149" s="110"/>
      <c r="Z2149" s="110"/>
      <c r="AA2149" s="110"/>
      <c r="AB2149" s="46"/>
      <c r="AC2149" s="78"/>
      <c r="AD2149" s="78"/>
      <c r="AE2149" s="100">
        <f t="shared" ref="AE2149:AE2162" si="3564">N2149/F2149</f>
        <v>8.7248322147650999E-3</v>
      </c>
      <c r="AF2149" s="90"/>
      <c r="AG2149" s="109">
        <f t="shared" ref="AG2149:AG2162" si="3565">IF(N2149&lt;0,N2149,0)</f>
        <v>0</v>
      </c>
      <c r="AH2149" s="100">
        <f t="shared" ref="AH2149:AH2162" si="3566">(S2149-F2149)/F2149</f>
        <v>-1</v>
      </c>
      <c r="AI2149" s="100">
        <f t="shared" ref="AI2149:AI2162" si="3567">(W2149-F2149)/F2149</f>
        <v>5.3691275167785232E-3</v>
      </c>
    </row>
    <row r="2150" spans="1:35" s="79" customFormat="1" ht="15.75" customHeight="1" x14ac:dyDescent="0.3">
      <c r="A2150" s="90" t="s">
        <v>46</v>
      </c>
      <c r="B2150" s="136" t="s">
        <v>51</v>
      </c>
      <c r="C2150" s="137"/>
      <c r="D2150" s="136"/>
      <c r="E2150" s="138"/>
      <c r="F2150" s="91">
        <f>SUM(F2149)</f>
        <v>4470</v>
      </c>
      <c r="G2150" s="91"/>
      <c r="H2150" s="91"/>
      <c r="I2150" s="91"/>
      <c r="J2150" s="91" t="s">
        <v>59</v>
      </c>
      <c r="K2150" s="65" t="s">
        <v>290</v>
      </c>
      <c r="L2150" s="91">
        <f>SUM(L2149)</f>
        <v>0</v>
      </c>
      <c r="M2150" s="91">
        <f>SUM(M2149)</f>
        <v>4509</v>
      </c>
      <c r="N2150" s="91">
        <f>SUM(N2149)</f>
        <v>39</v>
      </c>
      <c r="O2150" s="91"/>
      <c r="P2150" s="91">
        <f>SUM(P2149)</f>
        <v>0</v>
      </c>
      <c r="Q2150" s="91">
        <f>SUM(Q2149)</f>
        <v>0</v>
      </c>
      <c r="R2150" s="91">
        <f>SUM(R2149)</f>
        <v>0</v>
      </c>
      <c r="S2150" s="91">
        <f t="shared" si="3552"/>
        <v>0</v>
      </c>
      <c r="T2150" s="91">
        <f>SUM(T2149)</f>
        <v>0</v>
      </c>
      <c r="U2150" s="59">
        <f t="shared" si="2575"/>
        <v>15</v>
      </c>
      <c r="V2150" s="91">
        <f>SUM(V2149)</f>
        <v>0</v>
      </c>
      <c r="W2150" s="91">
        <f t="shared" si="3553"/>
        <v>4494</v>
      </c>
      <c r="X2150" s="91">
        <f t="shared" si="3554"/>
        <v>-15</v>
      </c>
      <c r="Y2150" s="136"/>
      <c r="Z2150" s="136"/>
      <c r="AA2150" s="136"/>
      <c r="AB2150" s="84"/>
      <c r="AC2150" s="90"/>
      <c r="AD2150" s="90"/>
      <c r="AE2150" s="100">
        <f t="shared" si="3564"/>
        <v>8.7248322147650999E-3</v>
      </c>
      <c r="AF2150" s="90"/>
      <c r="AG2150" s="109">
        <f t="shared" si="3565"/>
        <v>0</v>
      </c>
      <c r="AH2150" s="100">
        <f t="shared" si="3566"/>
        <v>-1</v>
      </c>
      <c r="AI2150" s="100">
        <f t="shared" si="3567"/>
        <v>5.3691275167785232E-3</v>
      </c>
    </row>
    <row r="2151" spans="1:35" s="47" customFormat="1" ht="21" customHeight="1" x14ac:dyDescent="0.3">
      <c r="A2151" s="78"/>
      <c r="B2151" s="106" t="s">
        <v>51</v>
      </c>
      <c r="C2151" s="117">
        <v>47653</v>
      </c>
      <c r="D2151" s="104">
        <v>15384868</v>
      </c>
      <c r="E2151" s="132" t="s">
        <v>167</v>
      </c>
      <c r="F2151" s="66">
        <v>422</v>
      </c>
      <c r="G2151" s="66"/>
      <c r="H2151" s="66"/>
      <c r="I2151" s="66"/>
      <c r="J2151" s="66"/>
      <c r="K2151" s="78"/>
      <c r="L2151" s="66"/>
      <c r="M2151" s="66">
        <f>450</f>
        <v>450</v>
      </c>
      <c r="N2151" s="110">
        <f>M2151-F2151</f>
        <v>28</v>
      </c>
      <c r="O2151" s="110"/>
      <c r="P2151" s="66"/>
      <c r="Q2151" s="66">
        <v>450</v>
      </c>
      <c r="R2151" s="66"/>
      <c r="S2151" s="66">
        <v>446</v>
      </c>
      <c r="T2151" s="110">
        <f>S2151-Q2151</f>
        <v>-4</v>
      </c>
      <c r="U2151" s="59">
        <f t="shared" si="2575"/>
        <v>1</v>
      </c>
      <c r="V2151" s="66"/>
      <c r="W2151" s="66">
        <v>445</v>
      </c>
      <c r="X2151" s="110">
        <f>W2151-M2151</f>
        <v>-5</v>
      </c>
      <c r="Y2151" s="110"/>
      <c r="Z2151" s="110"/>
      <c r="AA2151" s="110"/>
      <c r="AB2151" s="46"/>
      <c r="AC2151" s="78"/>
      <c r="AD2151" s="78"/>
      <c r="AE2151" s="100">
        <f t="shared" ref="AE2151:AE2154" si="3568">N2151/F2151</f>
        <v>6.6350710900473939E-2</v>
      </c>
      <c r="AF2151" s="90"/>
      <c r="AG2151" s="109">
        <f t="shared" ref="AG2151:AG2154" si="3569">IF(N2151&lt;0,N2151,0)</f>
        <v>0</v>
      </c>
      <c r="AH2151" s="100">
        <f t="shared" ref="AH2151:AH2154" si="3570">(S2151-F2151)/F2151</f>
        <v>5.6872037914691941E-2</v>
      </c>
      <c r="AI2151" s="100">
        <f t="shared" ref="AI2151:AI2154" si="3571">(W2151-F2151)/F2151</f>
        <v>5.4502369668246446E-2</v>
      </c>
    </row>
    <row r="2152" spans="1:35" s="79" customFormat="1" ht="15.75" customHeight="1" x14ac:dyDescent="0.3">
      <c r="A2152" s="90" t="s">
        <v>46</v>
      </c>
      <c r="B2152" s="136" t="s">
        <v>51</v>
      </c>
      <c r="C2152" s="137"/>
      <c r="D2152" s="136"/>
      <c r="E2152" s="138"/>
      <c r="F2152" s="91">
        <f>SUM(F2151)</f>
        <v>422</v>
      </c>
      <c r="G2152" s="91"/>
      <c r="H2152" s="91"/>
      <c r="I2152" s="91"/>
      <c r="J2152" s="91" t="s">
        <v>59</v>
      </c>
      <c r="K2152" s="65" t="s">
        <v>226</v>
      </c>
      <c r="L2152" s="91">
        <f>SUM(L2151)</f>
        <v>0</v>
      </c>
      <c r="M2152" s="91">
        <f>SUM(M2151)</f>
        <v>450</v>
      </c>
      <c r="N2152" s="91">
        <f>SUM(N2151)</f>
        <v>28</v>
      </c>
      <c r="O2152" s="91" t="s">
        <v>403</v>
      </c>
      <c r="P2152" s="91">
        <f>SUM(P2151)</f>
        <v>0</v>
      </c>
      <c r="Q2152" s="91">
        <f>SUM(Q2151)</f>
        <v>450</v>
      </c>
      <c r="R2152" s="91">
        <f>SUM(R2151)</f>
        <v>0</v>
      </c>
      <c r="S2152" s="91">
        <f t="shared" si="3552"/>
        <v>446</v>
      </c>
      <c r="T2152" s="91">
        <f>SUM(T2151)</f>
        <v>-4</v>
      </c>
      <c r="U2152" s="59">
        <f t="shared" si="2575"/>
        <v>1</v>
      </c>
      <c r="V2152" s="91">
        <f>SUM(V2151)</f>
        <v>0</v>
      </c>
      <c r="W2152" s="91">
        <f t="shared" si="3553"/>
        <v>445</v>
      </c>
      <c r="X2152" s="91">
        <f t="shared" si="3554"/>
        <v>-5</v>
      </c>
      <c r="Y2152" s="136" t="s">
        <v>47</v>
      </c>
      <c r="Z2152" s="136" t="s">
        <v>45</v>
      </c>
      <c r="AA2152" s="136"/>
      <c r="AB2152" s="84"/>
      <c r="AC2152" s="90"/>
      <c r="AD2152" s="90"/>
      <c r="AE2152" s="100">
        <f t="shared" si="3568"/>
        <v>6.6350710900473939E-2</v>
      </c>
      <c r="AF2152" s="90"/>
      <c r="AG2152" s="109">
        <f t="shared" si="3569"/>
        <v>0</v>
      </c>
      <c r="AH2152" s="100">
        <f t="shared" si="3570"/>
        <v>5.6872037914691941E-2</v>
      </c>
      <c r="AI2152" s="100">
        <f t="shared" si="3571"/>
        <v>5.4502369668246446E-2</v>
      </c>
    </row>
    <row r="2153" spans="1:35" s="47" customFormat="1" ht="21" customHeight="1" x14ac:dyDescent="0.3">
      <c r="A2153" s="78"/>
      <c r="B2153" s="106" t="s">
        <v>51</v>
      </c>
      <c r="C2153" s="117">
        <v>47977</v>
      </c>
      <c r="D2153" s="104">
        <v>15396689</v>
      </c>
      <c r="E2153" s="132" t="s">
        <v>49</v>
      </c>
      <c r="F2153" s="66">
        <v>2670</v>
      </c>
      <c r="G2153" s="66"/>
      <c r="H2153" s="66"/>
      <c r="I2153" s="66"/>
      <c r="J2153" s="66"/>
      <c r="K2153" s="78"/>
      <c r="L2153" s="66"/>
      <c r="M2153" s="66">
        <f>486+480+480+1272</f>
        <v>2718</v>
      </c>
      <c r="N2153" s="110">
        <f>M2153-F2153</f>
        <v>48</v>
      </c>
      <c r="O2153" s="110"/>
      <c r="P2153" s="66"/>
      <c r="Q2153" s="66"/>
      <c r="R2153" s="66"/>
      <c r="S2153" s="66"/>
      <c r="T2153" s="110">
        <f>S2153-Q2153</f>
        <v>0</v>
      </c>
      <c r="U2153" s="59">
        <f t="shared" si="2575"/>
        <v>0</v>
      </c>
      <c r="V2153" s="66"/>
      <c r="W2153" s="66">
        <v>2718</v>
      </c>
      <c r="X2153" s="110">
        <f>W2153-M2153</f>
        <v>0</v>
      </c>
      <c r="Y2153" s="110"/>
      <c r="Z2153" s="110"/>
      <c r="AA2153" s="110"/>
      <c r="AB2153" s="46"/>
      <c r="AC2153" s="78"/>
      <c r="AD2153" s="78"/>
      <c r="AE2153" s="100">
        <f t="shared" si="3568"/>
        <v>1.7977528089887642E-2</v>
      </c>
      <c r="AF2153" s="90"/>
      <c r="AG2153" s="109">
        <f t="shared" si="3569"/>
        <v>0</v>
      </c>
      <c r="AH2153" s="100">
        <f t="shared" si="3570"/>
        <v>-1</v>
      </c>
      <c r="AI2153" s="100">
        <f t="shared" si="3571"/>
        <v>1.7977528089887642E-2</v>
      </c>
    </row>
    <row r="2154" spans="1:35" s="79" customFormat="1" ht="15.75" customHeight="1" x14ac:dyDescent="0.3">
      <c r="A2154" s="90" t="s">
        <v>46</v>
      </c>
      <c r="B2154" s="136" t="s">
        <v>51</v>
      </c>
      <c r="C2154" s="137"/>
      <c r="D2154" s="136"/>
      <c r="E2154" s="138"/>
      <c r="F2154" s="91">
        <f>SUM(F2153)</f>
        <v>2670</v>
      </c>
      <c r="G2154" s="91"/>
      <c r="H2154" s="91"/>
      <c r="I2154" s="91"/>
      <c r="J2154" s="91" t="s">
        <v>59</v>
      </c>
      <c r="K2154" s="65" t="s">
        <v>290</v>
      </c>
      <c r="L2154" s="91">
        <f>SUM(L2153)</f>
        <v>0</v>
      </c>
      <c r="M2154" s="91">
        <f>SUM(M2153)</f>
        <v>2718</v>
      </c>
      <c r="N2154" s="91">
        <f>SUM(N2153)</f>
        <v>48</v>
      </c>
      <c r="O2154" s="91"/>
      <c r="P2154" s="91">
        <f>SUM(P2153)</f>
        <v>0</v>
      </c>
      <c r="Q2154" s="91">
        <f>SUM(Q2153)</f>
        <v>0</v>
      </c>
      <c r="R2154" s="91">
        <f>SUM(R2153)</f>
        <v>0</v>
      </c>
      <c r="S2154" s="91">
        <f t="shared" si="3552"/>
        <v>0</v>
      </c>
      <c r="T2154" s="91">
        <f>SUM(T2153)</f>
        <v>0</v>
      </c>
      <c r="U2154" s="59">
        <f t="shared" si="2575"/>
        <v>0</v>
      </c>
      <c r="V2154" s="91">
        <f>SUM(V2153)</f>
        <v>0</v>
      </c>
      <c r="W2154" s="91">
        <f t="shared" si="3553"/>
        <v>2718</v>
      </c>
      <c r="X2154" s="91">
        <f t="shared" si="3554"/>
        <v>0</v>
      </c>
      <c r="Y2154" s="136"/>
      <c r="Z2154" s="136"/>
      <c r="AA2154" s="136"/>
      <c r="AB2154" s="84"/>
      <c r="AC2154" s="90"/>
      <c r="AD2154" s="90"/>
      <c r="AE2154" s="100">
        <f t="shared" si="3568"/>
        <v>1.7977528089887642E-2</v>
      </c>
      <c r="AF2154" s="90"/>
      <c r="AG2154" s="109">
        <f t="shared" si="3569"/>
        <v>0</v>
      </c>
      <c r="AH2154" s="100">
        <f t="shared" si="3570"/>
        <v>-1</v>
      </c>
      <c r="AI2154" s="100">
        <f t="shared" si="3571"/>
        <v>1.7977528089887642E-2</v>
      </c>
    </row>
    <row r="2155" spans="1:35" s="47" customFormat="1" ht="21" customHeight="1" x14ac:dyDescent="0.3">
      <c r="A2155" s="78"/>
      <c r="B2155" s="106" t="s">
        <v>51</v>
      </c>
      <c r="C2155" s="117" t="s">
        <v>585</v>
      </c>
      <c r="D2155" s="104">
        <v>15397312</v>
      </c>
      <c r="E2155" s="132" t="s">
        <v>230</v>
      </c>
      <c r="F2155" s="66">
        <v>600</v>
      </c>
      <c r="G2155" s="66"/>
      <c r="H2155" s="66"/>
      <c r="I2155" s="66"/>
      <c r="J2155" s="66"/>
      <c r="K2155" s="78"/>
      <c r="L2155" s="66"/>
      <c r="M2155" s="66">
        <v>632</v>
      </c>
      <c r="N2155" s="110">
        <f>M2155-F2155</f>
        <v>32</v>
      </c>
      <c r="O2155" s="110"/>
      <c r="P2155" s="66"/>
      <c r="Q2155" s="66"/>
      <c r="R2155" s="66"/>
      <c r="S2155" s="66"/>
      <c r="T2155" s="110">
        <f>S2155-Q2155</f>
        <v>0</v>
      </c>
      <c r="U2155" s="59">
        <f t="shared" si="2575"/>
        <v>0</v>
      </c>
      <c r="V2155" s="66"/>
      <c r="W2155" s="66">
        <f>632</f>
        <v>632</v>
      </c>
      <c r="X2155" s="110">
        <f>W2155-M2155</f>
        <v>0</v>
      </c>
      <c r="Y2155" s="110"/>
      <c r="Z2155" s="110"/>
      <c r="AA2155" s="110"/>
      <c r="AB2155" s="46"/>
      <c r="AC2155" s="78"/>
      <c r="AD2155" s="78"/>
      <c r="AE2155" s="100">
        <f t="shared" si="3564"/>
        <v>5.3333333333333337E-2</v>
      </c>
      <c r="AF2155" s="90"/>
      <c r="AG2155" s="109">
        <f t="shared" si="3565"/>
        <v>0</v>
      </c>
      <c r="AH2155" s="100">
        <f t="shared" si="3566"/>
        <v>-1</v>
      </c>
      <c r="AI2155" s="100">
        <f t="shared" si="3567"/>
        <v>5.3333333333333337E-2</v>
      </c>
    </row>
    <row r="2156" spans="1:35" s="79" customFormat="1" ht="15.75" customHeight="1" x14ac:dyDescent="0.3">
      <c r="A2156" s="90" t="s">
        <v>46</v>
      </c>
      <c r="B2156" s="136" t="s">
        <v>51</v>
      </c>
      <c r="C2156" s="137"/>
      <c r="D2156" s="136"/>
      <c r="E2156" s="138"/>
      <c r="F2156" s="91">
        <f>SUM(F2155)</f>
        <v>600</v>
      </c>
      <c r="G2156" s="91"/>
      <c r="H2156" s="91"/>
      <c r="I2156" s="91"/>
      <c r="J2156" s="91" t="s">
        <v>59</v>
      </c>
      <c r="K2156" s="65" t="s">
        <v>479</v>
      </c>
      <c r="L2156" s="91">
        <f>SUM(L2155)</f>
        <v>0</v>
      </c>
      <c r="M2156" s="91">
        <f>SUM(M2155)</f>
        <v>632</v>
      </c>
      <c r="N2156" s="91">
        <f>SUM(N2155)</f>
        <v>32</v>
      </c>
      <c r="O2156" s="91"/>
      <c r="P2156" s="91">
        <f>SUM(P2155)</f>
        <v>0</v>
      </c>
      <c r="Q2156" s="91">
        <f>SUM(Q2155)</f>
        <v>0</v>
      </c>
      <c r="R2156" s="91">
        <f>SUM(R2155)</f>
        <v>0</v>
      </c>
      <c r="S2156" s="91">
        <f t="shared" si="3552"/>
        <v>0</v>
      </c>
      <c r="T2156" s="91">
        <f>SUM(T2155)</f>
        <v>0</v>
      </c>
      <c r="U2156" s="59">
        <f t="shared" si="2575"/>
        <v>0</v>
      </c>
      <c r="V2156" s="91">
        <f>SUM(V2155)</f>
        <v>0</v>
      </c>
      <c r="W2156" s="91">
        <f t="shared" si="3553"/>
        <v>632</v>
      </c>
      <c r="X2156" s="91">
        <f t="shared" si="3554"/>
        <v>0</v>
      </c>
      <c r="Y2156" s="136"/>
      <c r="Z2156" s="136"/>
      <c r="AA2156" s="136"/>
      <c r="AB2156" s="84"/>
      <c r="AC2156" s="90"/>
      <c r="AD2156" s="90"/>
      <c r="AE2156" s="100">
        <f t="shared" si="3564"/>
        <v>5.3333333333333337E-2</v>
      </c>
      <c r="AF2156" s="90"/>
      <c r="AG2156" s="109">
        <f t="shared" si="3565"/>
        <v>0</v>
      </c>
      <c r="AH2156" s="100">
        <f t="shared" si="3566"/>
        <v>-1</v>
      </c>
      <c r="AI2156" s="100">
        <f t="shared" si="3567"/>
        <v>5.3333333333333337E-2</v>
      </c>
    </row>
    <row r="2157" spans="1:35" s="47" customFormat="1" ht="21" customHeight="1" x14ac:dyDescent="0.3">
      <c r="A2157" s="78"/>
      <c r="B2157" s="106" t="s">
        <v>51</v>
      </c>
      <c r="C2157" s="117">
        <v>47774</v>
      </c>
      <c r="D2157" s="104">
        <v>15388023</v>
      </c>
      <c r="E2157" s="132" t="s">
        <v>237</v>
      </c>
      <c r="F2157" s="66">
        <v>513</v>
      </c>
      <c r="G2157" s="66"/>
      <c r="H2157" s="66"/>
      <c r="I2157" s="66"/>
      <c r="J2157" s="66"/>
      <c r="K2157" s="78"/>
      <c r="L2157" s="66"/>
      <c r="M2157" s="66">
        <v>538</v>
      </c>
      <c r="N2157" s="110">
        <f>M2157-F2157</f>
        <v>25</v>
      </c>
      <c r="O2157" s="110"/>
      <c r="P2157" s="66"/>
      <c r="Q2157" s="66">
        <v>538</v>
      </c>
      <c r="R2157" s="66"/>
      <c r="S2157" s="66">
        <f>528+10</f>
        <v>538</v>
      </c>
      <c r="T2157" s="110">
        <f>S2157-Q2157</f>
        <v>0</v>
      </c>
      <c r="U2157" s="59">
        <f t="shared" si="2575"/>
        <v>0</v>
      </c>
      <c r="V2157" s="66"/>
      <c r="W2157" s="66">
        <f>538</f>
        <v>538</v>
      </c>
      <c r="X2157" s="110">
        <f>W2157-M2157</f>
        <v>0</v>
      </c>
      <c r="Y2157" s="110"/>
      <c r="Z2157" s="110"/>
      <c r="AA2157" s="110"/>
      <c r="AB2157" s="46"/>
      <c r="AC2157" s="78"/>
      <c r="AD2157" s="78"/>
      <c r="AE2157" s="100">
        <f t="shared" ref="AE2157:AE2158" si="3572">N2157/F2157</f>
        <v>4.8732943469785572E-2</v>
      </c>
      <c r="AF2157" s="90"/>
      <c r="AG2157" s="109">
        <f t="shared" ref="AG2157:AG2158" si="3573">IF(N2157&lt;0,N2157,0)</f>
        <v>0</v>
      </c>
      <c r="AH2157" s="100">
        <f t="shared" ref="AH2157:AH2158" si="3574">(S2157-F2157)/F2157</f>
        <v>4.8732943469785572E-2</v>
      </c>
      <c r="AI2157" s="100">
        <f t="shared" ref="AI2157:AI2158" si="3575">(W2157-F2157)/F2157</f>
        <v>4.8732943469785572E-2</v>
      </c>
    </row>
    <row r="2158" spans="1:35" s="79" customFormat="1" ht="15.75" customHeight="1" x14ac:dyDescent="0.3">
      <c r="A2158" s="90" t="s">
        <v>46</v>
      </c>
      <c r="B2158" s="136" t="s">
        <v>51</v>
      </c>
      <c r="C2158" s="137"/>
      <c r="D2158" s="136"/>
      <c r="E2158" s="138"/>
      <c r="F2158" s="91">
        <f>SUM(F2157)</f>
        <v>513</v>
      </c>
      <c r="G2158" s="91"/>
      <c r="H2158" s="91"/>
      <c r="I2158" s="91"/>
      <c r="J2158" s="91" t="s">
        <v>59</v>
      </c>
      <c r="K2158" s="65" t="s">
        <v>210</v>
      </c>
      <c r="L2158" s="91">
        <f>SUM(L2157)</f>
        <v>0</v>
      </c>
      <c r="M2158" s="91">
        <f>SUM(M2157)</f>
        <v>538</v>
      </c>
      <c r="N2158" s="91">
        <f>SUM(N2157)</f>
        <v>25</v>
      </c>
      <c r="O2158" s="91" t="s">
        <v>566</v>
      </c>
      <c r="P2158" s="91">
        <f>SUM(P2157)</f>
        <v>0</v>
      </c>
      <c r="Q2158" s="91">
        <f>SUM(Q2157)</f>
        <v>538</v>
      </c>
      <c r="R2158" s="91">
        <f>SUM(R2157)</f>
        <v>0</v>
      </c>
      <c r="S2158" s="91">
        <f t="shared" si="3552"/>
        <v>538</v>
      </c>
      <c r="T2158" s="91">
        <f>SUM(T2157)</f>
        <v>0</v>
      </c>
      <c r="U2158" s="59">
        <f t="shared" si="2575"/>
        <v>0</v>
      </c>
      <c r="V2158" s="91">
        <f>SUM(V2157)</f>
        <v>0</v>
      </c>
      <c r="W2158" s="91">
        <f t="shared" si="3553"/>
        <v>538</v>
      </c>
      <c r="X2158" s="91">
        <f t="shared" si="3554"/>
        <v>0</v>
      </c>
      <c r="Y2158" s="136" t="s">
        <v>47</v>
      </c>
      <c r="Z2158" s="136" t="s">
        <v>45</v>
      </c>
      <c r="AA2158" s="136"/>
      <c r="AB2158" s="84"/>
      <c r="AC2158" s="90"/>
      <c r="AD2158" s="90"/>
      <c r="AE2158" s="100">
        <f t="shared" si="3572"/>
        <v>4.8732943469785572E-2</v>
      </c>
      <c r="AF2158" s="90"/>
      <c r="AG2158" s="109">
        <f t="shared" si="3573"/>
        <v>0</v>
      </c>
      <c r="AH2158" s="100">
        <f t="shared" si="3574"/>
        <v>4.8732943469785572E-2</v>
      </c>
      <c r="AI2158" s="100">
        <f t="shared" si="3575"/>
        <v>4.8732943469785572E-2</v>
      </c>
    </row>
    <row r="2159" spans="1:35" s="47" customFormat="1" ht="21" customHeight="1" x14ac:dyDescent="0.3">
      <c r="A2159" s="78"/>
      <c r="B2159" s="106" t="s">
        <v>51</v>
      </c>
      <c r="C2159" s="117">
        <v>48181</v>
      </c>
      <c r="D2159" s="104">
        <v>15388549</v>
      </c>
      <c r="E2159" s="132" t="s">
        <v>600</v>
      </c>
      <c r="F2159" s="66">
        <v>525</v>
      </c>
      <c r="G2159" s="66"/>
      <c r="H2159" s="66"/>
      <c r="I2159" s="66"/>
      <c r="J2159" s="66"/>
      <c r="K2159" s="78"/>
      <c r="L2159" s="66"/>
      <c r="M2159" s="66">
        <f>360+158+28</f>
        <v>546</v>
      </c>
      <c r="N2159" s="110">
        <f>M2159-F2159</f>
        <v>21</v>
      </c>
      <c r="O2159" s="110"/>
      <c r="P2159" s="66"/>
      <c r="Q2159" s="66">
        <f>518+28</f>
        <v>546</v>
      </c>
      <c r="R2159" s="66"/>
      <c r="S2159" s="66">
        <f>518+28</f>
        <v>546</v>
      </c>
      <c r="T2159" s="110">
        <f>S2159-Q2159</f>
        <v>0</v>
      </c>
      <c r="U2159" s="59">
        <f t="shared" si="2575"/>
        <v>0</v>
      </c>
      <c r="V2159" s="66"/>
      <c r="W2159" s="66">
        <f>518+28</f>
        <v>546</v>
      </c>
      <c r="X2159" s="110">
        <f>W2159-M2159</f>
        <v>0</v>
      </c>
      <c r="Y2159" s="110"/>
      <c r="Z2159" s="110"/>
      <c r="AA2159" s="110"/>
      <c r="AB2159" s="46"/>
      <c r="AC2159" s="78"/>
      <c r="AD2159" s="78"/>
      <c r="AE2159" s="100">
        <f t="shared" si="3564"/>
        <v>0.04</v>
      </c>
      <c r="AF2159" s="90"/>
      <c r="AG2159" s="109">
        <f t="shared" si="3565"/>
        <v>0</v>
      </c>
      <c r="AH2159" s="100">
        <f t="shared" si="3566"/>
        <v>0.04</v>
      </c>
      <c r="AI2159" s="100">
        <f t="shared" si="3567"/>
        <v>0.04</v>
      </c>
    </row>
    <row r="2160" spans="1:35" s="79" customFormat="1" ht="15.75" customHeight="1" x14ac:dyDescent="0.3">
      <c r="A2160" s="90" t="s">
        <v>46</v>
      </c>
      <c r="B2160" s="136" t="s">
        <v>51</v>
      </c>
      <c r="C2160" s="137"/>
      <c r="D2160" s="136"/>
      <c r="E2160" s="138"/>
      <c r="F2160" s="91">
        <f>SUM(F2159)</f>
        <v>525</v>
      </c>
      <c r="G2160" s="91"/>
      <c r="H2160" s="91"/>
      <c r="I2160" s="91"/>
      <c r="J2160" s="91" t="s">
        <v>59</v>
      </c>
      <c r="K2160" s="65" t="s">
        <v>283</v>
      </c>
      <c r="L2160" s="91">
        <f>SUM(L2159)</f>
        <v>0</v>
      </c>
      <c r="M2160" s="91">
        <f>SUM(M2159)</f>
        <v>546</v>
      </c>
      <c r="N2160" s="91">
        <f>SUM(N2159)</f>
        <v>21</v>
      </c>
      <c r="O2160" s="91" t="s">
        <v>808</v>
      </c>
      <c r="P2160" s="91">
        <f>SUM(P2159)</f>
        <v>0</v>
      </c>
      <c r="Q2160" s="91">
        <f>SUM(Q2159)</f>
        <v>546</v>
      </c>
      <c r="R2160" s="91">
        <f>SUM(R2159)</f>
        <v>0</v>
      </c>
      <c r="S2160" s="91">
        <f t="shared" si="3552"/>
        <v>546</v>
      </c>
      <c r="T2160" s="91">
        <f>SUM(T2159)</f>
        <v>0</v>
      </c>
      <c r="U2160" s="59">
        <f t="shared" si="2575"/>
        <v>0</v>
      </c>
      <c r="V2160" s="91">
        <f>SUM(V2159)</f>
        <v>0</v>
      </c>
      <c r="W2160" s="91">
        <f t="shared" si="3553"/>
        <v>546</v>
      </c>
      <c r="X2160" s="91">
        <f t="shared" si="3554"/>
        <v>0</v>
      </c>
      <c r="Y2160" s="136" t="s">
        <v>48</v>
      </c>
      <c r="Z2160" s="136" t="s">
        <v>45</v>
      </c>
      <c r="AA2160" s="136"/>
      <c r="AB2160" s="84"/>
      <c r="AC2160" s="90"/>
      <c r="AD2160" s="90"/>
      <c r="AE2160" s="100">
        <f t="shared" si="3564"/>
        <v>0.04</v>
      </c>
      <c r="AF2160" s="90"/>
      <c r="AG2160" s="109">
        <f t="shared" si="3565"/>
        <v>0</v>
      </c>
      <c r="AH2160" s="100">
        <f t="shared" si="3566"/>
        <v>0.04</v>
      </c>
      <c r="AI2160" s="100">
        <f t="shared" si="3567"/>
        <v>0.04</v>
      </c>
    </row>
    <row r="2161" spans="1:35" s="47" customFormat="1" ht="21" customHeight="1" x14ac:dyDescent="0.3">
      <c r="A2161" s="78"/>
      <c r="B2161" s="106" t="s">
        <v>51</v>
      </c>
      <c r="C2161" s="117" t="s">
        <v>607</v>
      </c>
      <c r="D2161" s="104">
        <v>15370922</v>
      </c>
      <c r="E2161" s="132" t="s">
        <v>0</v>
      </c>
      <c r="F2161" s="66">
        <v>1044</v>
      </c>
      <c r="G2161" s="66"/>
      <c r="H2161" s="66"/>
      <c r="I2161" s="66"/>
      <c r="J2161" s="66"/>
      <c r="K2161" s="78"/>
      <c r="L2161" s="66"/>
      <c r="M2161" s="66">
        <f>900+168</f>
        <v>1068</v>
      </c>
      <c r="N2161" s="110">
        <f>M2161-F2161</f>
        <v>24</v>
      </c>
      <c r="O2161" s="110"/>
      <c r="P2161" s="66"/>
      <c r="Q2161" s="66">
        <v>1060</v>
      </c>
      <c r="R2161" s="66"/>
      <c r="S2161" s="66"/>
      <c r="T2161" s="110">
        <f>S2161-Q2161</f>
        <v>-1060</v>
      </c>
      <c r="U2161" s="59">
        <f t="shared" si="2575"/>
        <v>0</v>
      </c>
      <c r="V2161" s="66"/>
      <c r="W2161" s="66"/>
      <c r="X2161" s="110">
        <f>W2161-M2161</f>
        <v>-1068</v>
      </c>
      <c r="Y2161" s="110"/>
      <c r="Z2161" s="110"/>
      <c r="AA2161" s="110"/>
      <c r="AB2161" s="46"/>
      <c r="AC2161" s="78"/>
      <c r="AD2161" s="78"/>
      <c r="AE2161" s="100">
        <f t="shared" si="3564"/>
        <v>2.2988505747126436E-2</v>
      </c>
      <c r="AF2161" s="90"/>
      <c r="AG2161" s="109">
        <f t="shared" si="3565"/>
        <v>0</v>
      </c>
      <c r="AH2161" s="100">
        <f t="shared" si="3566"/>
        <v>-1</v>
      </c>
      <c r="AI2161" s="100">
        <f t="shared" si="3567"/>
        <v>-1</v>
      </c>
    </row>
    <row r="2162" spans="1:35" s="79" customFormat="1" ht="18.75" customHeight="1" x14ac:dyDescent="0.3">
      <c r="A2162" s="90" t="s">
        <v>46</v>
      </c>
      <c r="B2162" s="136" t="s">
        <v>51</v>
      </c>
      <c r="C2162" s="137"/>
      <c r="D2162" s="136"/>
      <c r="E2162" s="138"/>
      <c r="F2162" s="91">
        <f>SUM(F2161)</f>
        <v>1044</v>
      </c>
      <c r="G2162" s="91"/>
      <c r="H2162" s="91"/>
      <c r="I2162" s="91" t="s">
        <v>59</v>
      </c>
      <c r="J2162" s="91" t="s">
        <v>59</v>
      </c>
      <c r="K2162" s="65" t="s">
        <v>608</v>
      </c>
      <c r="L2162" s="91">
        <f>SUM(L2161)</f>
        <v>0</v>
      </c>
      <c r="M2162" s="91">
        <f>SUM(M2161)</f>
        <v>1068</v>
      </c>
      <c r="N2162" s="91">
        <f>SUM(N2161)</f>
        <v>24</v>
      </c>
      <c r="O2162" s="91" t="s">
        <v>1028</v>
      </c>
      <c r="P2162" s="91">
        <f>SUM(P2161)</f>
        <v>0</v>
      </c>
      <c r="Q2162" s="91">
        <f>SUM(Q2161)</f>
        <v>1060</v>
      </c>
      <c r="R2162" s="91">
        <f>SUM(R2161)</f>
        <v>0</v>
      </c>
      <c r="S2162" s="91">
        <f t="shared" si="3552"/>
        <v>0</v>
      </c>
      <c r="T2162" s="91">
        <f>SUM(T2161)</f>
        <v>-1060</v>
      </c>
      <c r="U2162" s="59">
        <f t="shared" si="2575"/>
        <v>0</v>
      </c>
      <c r="V2162" s="91">
        <f>SUM(V2161)</f>
        <v>0</v>
      </c>
      <c r="W2162" s="91">
        <f t="shared" si="3553"/>
        <v>0</v>
      </c>
      <c r="X2162" s="91">
        <f t="shared" si="3554"/>
        <v>-1068</v>
      </c>
      <c r="Y2162" s="136" t="s">
        <v>47</v>
      </c>
      <c r="Z2162" s="136" t="s">
        <v>45</v>
      </c>
      <c r="AA2162" s="136"/>
      <c r="AB2162" s="84"/>
      <c r="AC2162" s="90"/>
      <c r="AD2162" s="90"/>
      <c r="AE2162" s="100">
        <f t="shared" si="3564"/>
        <v>2.2988505747126436E-2</v>
      </c>
      <c r="AF2162" s="90"/>
      <c r="AG2162" s="109">
        <f t="shared" si="3565"/>
        <v>0</v>
      </c>
      <c r="AH2162" s="100">
        <f t="shared" si="3566"/>
        <v>-1</v>
      </c>
      <c r="AI2162" s="100">
        <f t="shared" si="3567"/>
        <v>-1</v>
      </c>
    </row>
    <row r="2163" spans="1:35" s="47" customFormat="1" ht="21" customHeight="1" x14ac:dyDescent="0.3">
      <c r="A2163" s="78"/>
      <c r="B2163" s="106" t="s">
        <v>51</v>
      </c>
      <c r="C2163" s="117">
        <v>47891</v>
      </c>
      <c r="D2163" s="104">
        <v>15386639</v>
      </c>
      <c r="E2163" s="132" t="s">
        <v>0</v>
      </c>
      <c r="F2163" s="66">
        <v>2140</v>
      </c>
      <c r="G2163" s="66"/>
      <c r="H2163" s="66"/>
      <c r="I2163" s="66"/>
      <c r="J2163" s="66"/>
      <c r="K2163" s="78"/>
      <c r="L2163" s="66"/>
      <c r="M2163" s="66">
        <f>640+906+616</f>
        <v>2162</v>
      </c>
      <c r="N2163" s="110">
        <f>M2163-F2163</f>
        <v>22</v>
      </c>
      <c r="O2163" s="110"/>
      <c r="P2163" s="66"/>
      <c r="Q2163" s="66"/>
      <c r="R2163" s="66"/>
      <c r="S2163" s="66"/>
      <c r="T2163" s="110">
        <f>S2163-Q2163</f>
        <v>0</v>
      </c>
      <c r="U2163" s="59">
        <f t="shared" si="2575"/>
        <v>0</v>
      </c>
      <c r="V2163" s="66"/>
      <c r="W2163" s="66">
        <f>1546+616</f>
        <v>2162</v>
      </c>
      <c r="X2163" s="110">
        <f>W2163-M2163</f>
        <v>0</v>
      </c>
      <c r="Y2163" s="110"/>
      <c r="Z2163" s="110"/>
      <c r="AA2163" s="110"/>
      <c r="AB2163" s="46"/>
      <c r="AC2163" s="78"/>
      <c r="AD2163" s="78"/>
      <c r="AE2163" s="100">
        <f t="shared" ref="AE2163:AE2164" si="3576">N2163/F2163</f>
        <v>1.0280373831775701E-2</v>
      </c>
      <c r="AF2163" s="90"/>
      <c r="AG2163" s="109">
        <f t="shared" ref="AG2163:AG2164" si="3577">IF(N2163&lt;0,N2163,0)</f>
        <v>0</v>
      </c>
      <c r="AH2163" s="100">
        <f t="shared" ref="AH2163:AH2164" si="3578">(S2163-F2163)/F2163</f>
        <v>-1</v>
      </c>
      <c r="AI2163" s="100">
        <f t="shared" ref="AI2163:AI2164" si="3579">(W2163-F2163)/F2163</f>
        <v>1.0280373831775701E-2</v>
      </c>
    </row>
    <row r="2164" spans="1:35" s="79" customFormat="1" ht="15.75" customHeight="1" x14ac:dyDescent="0.3">
      <c r="A2164" s="90" t="s">
        <v>46</v>
      </c>
      <c r="B2164" s="136" t="s">
        <v>51</v>
      </c>
      <c r="C2164" s="137"/>
      <c r="D2164" s="136"/>
      <c r="E2164" s="138"/>
      <c r="F2164" s="91">
        <f>SUM(F2163)</f>
        <v>2140</v>
      </c>
      <c r="G2164" s="91"/>
      <c r="H2164" s="91"/>
      <c r="I2164" s="91"/>
      <c r="J2164" s="91" t="s">
        <v>59</v>
      </c>
      <c r="K2164" s="65" t="s">
        <v>609</v>
      </c>
      <c r="L2164" s="91">
        <f>SUM(L2163)</f>
        <v>0</v>
      </c>
      <c r="M2164" s="91">
        <f>SUM(M2163)</f>
        <v>2162</v>
      </c>
      <c r="N2164" s="91">
        <f>SUM(N2163)</f>
        <v>22</v>
      </c>
      <c r="O2164" s="91"/>
      <c r="P2164" s="91">
        <f>SUM(P2163)</f>
        <v>0</v>
      </c>
      <c r="Q2164" s="91">
        <f>SUM(Q2163)</f>
        <v>0</v>
      </c>
      <c r="R2164" s="91">
        <f>SUM(R2163)</f>
        <v>0</v>
      </c>
      <c r="S2164" s="91">
        <f t="shared" si="3552"/>
        <v>0</v>
      </c>
      <c r="T2164" s="91">
        <f>SUM(T2163)</f>
        <v>0</v>
      </c>
      <c r="U2164" s="59">
        <f t="shared" si="2575"/>
        <v>0</v>
      </c>
      <c r="V2164" s="91">
        <f>SUM(V2163)</f>
        <v>0</v>
      </c>
      <c r="W2164" s="91">
        <f t="shared" si="3553"/>
        <v>2162</v>
      </c>
      <c r="X2164" s="91">
        <f t="shared" si="3554"/>
        <v>0</v>
      </c>
      <c r="Y2164" s="136"/>
      <c r="Z2164" s="136"/>
      <c r="AA2164" s="136"/>
      <c r="AB2164" s="84"/>
      <c r="AC2164" s="90"/>
      <c r="AD2164" s="90"/>
      <c r="AE2164" s="100">
        <f t="shared" si="3576"/>
        <v>1.0280373831775701E-2</v>
      </c>
      <c r="AF2164" s="90"/>
      <c r="AG2164" s="109">
        <f t="shared" si="3577"/>
        <v>0</v>
      </c>
      <c r="AH2164" s="100">
        <f t="shared" si="3578"/>
        <v>-1</v>
      </c>
      <c r="AI2164" s="100">
        <f t="shared" si="3579"/>
        <v>1.0280373831775701E-2</v>
      </c>
    </row>
    <row r="2165" spans="1:35" s="47" customFormat="1" ht="21" customHeight="1" x14ac:dyDescent="0.3">
      <c r="A2165" s="78"/>
      <c r="B2165" s="106" t="s">
        <v>51</v>
      </c>
      <c r="C2165" s="117">
        <v>48240</v>
      </c>
      <c r="D2165" s="104">
        <v>15388782</v>
      </c>
      <c r="E2165" s="132" t="s">
        <v>49</v>
      </c>
      <c r="F2165" s="66">
        <v>5968</v>
      </c>
      <c r="G2165" s="66"/>
      <c r="H2165" s="66"/>
      <c r="I2165" s="66"/>
      <c r="J2165" s="66"/>
      <c r="K2165" s="78"/>
      <c r="L2165" s="66"/>
      <c r="M2165" s="66">
        <f>1200+1200+1200+1296+888+313</f>
        <v>6097</v>
      </c>
      <c r="N2165" s="110">
        <f>M2165-F2165</f>
        <v>129</v>
      </c>
      <c r="O2165" s="110"/>
      <c r="P2165" s="66"/>
      <c r="Q2165" s="66">
        <f>1200+2496+1200+888+312</f>
        <v>6096</v>
      </c>
      <c r="R2165" s="66"/>
      <c r="S2165" s="66">
        <v>5778</v>
      </c>
      <c r="T2165" s="110">
        <f>S2165-Q2165</f>
        <v>-318</v>
      </c>
      <c r="U2165" s="59">
        <f t="shared" si="2575"/>
        <v>2404</v>
      </c>
      <c r="V2165" s="66"/>
      <c r="W2165" s="66">
        <f>1199+2175</f>
        <v>3374</v>
      </c>
      <c r="X2165" s="110">
        <f>W2165-M2165</f>
        <v>-2723</v>
      </c>
      <c r="Y2165" s="110"/>
      <c r="Z2165" s="110"/>
      <c r="AA2165" s="110"/>
      <c r="AB2165" s="46"/>
      <c r="AC2165" s="78"/>
      <c r="AD2165" s="78"/>
      <c r="AE2165" s="100">
        <f t="shared" ref="AE2165:AE2166" si="3580">N2165/F2165</f>
        <v>2.1615281501340483E-2</v>
      </c>
      <c r="AF2165" s="90"/>
      <c r="AG2165" s="109">
        <f t="shared" ref="AG2165:AG2166" si="3581">IF(N2165&lt;0,N2165,0)</f>
        <v>0</v>
      </c>
      <c r="AH2165" s="100">
        <f t="shared" ref="AH2165:AH2166" si="3582">(S2165-F2165)/F2165</f>
        <v>-3.1836461126005362E-2</v>
      </c>
      <c r="AI2165" s="100">
        <f t="shared" ref="AI2165:AI2166" si="3583">(W2165-F2165)/F2165</f>
        <v>-0.43465147453083108</v>
      </c>
    </row>
    <row r="2166" spans="1:35" s="79" customFormat="1" ht="15.75" customHeight="1" x14ac:dyDescent="0.3">
      <c r="A2166" s="90" t="s">
        <v>46</v>
      </c>
      <c r="B2166" s="136" t="s">
        <v>51</v>
      </c>
      <c r="C2166" s="137"/>
      <c r="D2166" s="136"/>
      <c r="E2166" s="138"/>
      <c r="F2166" s="91">
        <f>SUM(F2165)</f>
        <v>5968</v>
      </c>
      <c r="G2166" s="91"/>
      <c r="H2166" s="91"/>
      <c r="I2166" s="91"/>
      <c r="J2166" s="91" t="s">
        <v>59</v>
      </c>
      <c r="K2166" s="65" t="s">
        <v>617</v>
      </c>
      <c r="L2166" s="91">
        <f>SUM(L2165)</f>
        <v>0</v>
      </c>
      <c r="M2166" s="91">
        <f>SUM(M2165)</f>
        <v>6097</v>
      </c>
      <c r="N2166" s="91">
        <f>SUM(N2165)</f>
        <v>129</v>
      </c>
      <c r="O2166" s="91" t="s">
        <v>808</v>
      </c>
      <c r="P2166" s="91">
        <f>SUM(P2165)</f>
        <v>0</v>
      </c>
      <c r="Q2166" s="91">
        <f>SUM(Q2165)</f>
        <v>6096</v>
      </c>
      <c r="R2166" s="91">
        <f>SUM(R2165)</f>
        <v>0</v>
      </c>
      <c r="S2166" s="91">
        <f t="shared" si="3552"/>
        <v>5778</v>
      </c>
      <c r="T2166" s="91">
        <f>SUM(T2165)</f>
        <v>-318</v>
      </c>
      <c r="U2166" s="59">
        <f t="shared" ref="U2166:U2220" si="3584">IF(Q2166&gt;0,S2166-W2166,M2166-W2166)</f>
        <v>2404</v>
      </c>
      <c r="V2166" s="91">
        <f>SUM(V2165)</f>
        <v>0</v>
      </c>
      <c r="W2166" s="91">
        <f t="shared" si="3553"/>
        <v>3374</v>
      </c>
      <c r="X2166" s="91">
        <f t="shared" si="3554"/>
        <v>-2723</v>
      </c>
      <c r="Y2166" s="136" t="s">
        <v>47</v>
      </c>
      <c r="Z2166" s="136" t="s">
        <v>45</v>
      </c>
      <c r="AA2166" s="136"/>
      <c r="AB2166" s="84"/>
      <c r="AC2166" s="90"/>
      <c r="AD2166" s="90"/>
      <c r="AE2166" s="100">
        <f t="shared" si="3580"/>
        <v>2.1615281501340483E-2</v>
      </c>
      <c r="AF2166" s="90"/>
      <c r="AG2166" s="109">
        <f t="shared" si="3581"/>
        <v>0</v>
      </c>
      <c r="AH2166" s="100">
        <f t="shared" si="3582"/>
        <v>-3.1836461126005362E-2</v>
      </c>
      <c r="AI2166" s="100">
        <f t="shared" si="3583"/>
        <v>-0.43465147453083108</v>
      </c>
    </row>
    <row r="2167" spans="1:35" s="47" customFormat="1" ht="21" customHeight="1" x14ac:dyDescent="0.3">
      <c r="A2167" s="78"/>
      <c r="B2167" s="106" t="s">
        <v>51</v>
      </c>
      <c r="C2167" s="117">
        <v>48219</v>
      </c>
      <c r="D2167" s="304">
        <v>15387508</v>
      </c>
      <c r="E2167" s="132" t="s">
        <v>746</v>
      </c>
      <c r="F2167" s="66">
        <v>254</v>
      </c>
      <c r="G2167" s="66"/>
      <c r="H2167" s="66"/>
      <c r="I2167" s="66"/>
      <c r="J2167" s="66"/>
      <c r="K2167" s="78"/>
      <c r="L2167" s="66"/>
      <c r="M2167" s="66"/>
      <c r="N2167" s="110">
        <f>M2167-F2167</f>
        <v>-254</v>
      </c>
      <c r="O2167" s="110"/>
      <c r="P2167" s="66"/>
      <c r="Q2167" s="66"/>
      <c r="R2167" s="66"/>
      <c r="S2167" s="66"/>
      <c r="T2167" s="110">
        <f>S2167-Q2167</f>
        <v>0</v>
      </c>
      <c r="U2167" s="59">
        <f t="shared" si="3584"/>
        <v>0</v>
      </c>
      <c r="V2167" s="66"/>
      <c r="W2167" s="66"/>
      <c r="X2167" s="110">
        <f>W2167-M2167</f>
        <v>0</v>
      </c>
      <c r="Y2167" s="110"/>
      <c r="Z2167" s="110"/>
      <c r="AA2167" s="110"/>
      <c r="AB2167" s="46"/>
      <c r="AC2167" s="78"/>
      <c r="AD2167" s="78"/>
      <c r="AE2167" s="100">
        <f t="shared" ref="AE2167:AE2178" si="3585">N2167/F2167</f>
        <v>-1</v>
      </c>
      <c r="AF2167" s="90"/>
      <c r="AG2167" s="109">
        <f t="shared" ref="AG2167:AG2178" si="3586">IF(N2167&lt;0,N2167,0)</f>
        <v>-254</v>
      </c>
      <c r="AH2167" s="100">
        <f t="shared" ref="AH2167:AH2178" si="3587">(S2167-F2167)/F2167</f>
        <v>-1</v>
      </c>
      <c r="AI2167" s="100">
        <f t="shared" ref="AI2167:AI2178" si="3588">(W2167-F2167)/F2167</f>
        <v>-1</v>
      </c>
    </row>
    <row r="2168" spans="1:35" s="47" customFormat="1" ht="21" customHeight="1" x14ac:dyDescent="0.3">
      <c r="A2168" s="78"/>
      <c r="B2168" s="106" t="s">
        <v>51</v>
      </c>
      <c r="C2168" s="117">
        <v>48219</v>
      </c>
      <c r="D2168" s="306"/>
      <c r="E2168" s="132" t="s">
        <v>813</v>
      </c>
      <c r="F2168" s="66">
        <v>530</v>
      </c>
      <c r="G2168" s="66"/>
      <c r="H2168" s="66"/>
      <c r="I2168" s="66"/>
      <c r="J2168" s="66"/>
      <c r="K2168" s="78"/>
      <c r="L2168" s="66"/>
      <c r="M2168" s="66"/>
      <c r="N2168" s="110">
        <f>M2168-F2168</f>
        <v>-530</v>
      </c>
      <c r="O2168" s="110"/>
      <c r="P2168" s="66"/>
      <c r="Q2168" s="66"/>
      <c r="R2168" s="66"/>
      <c r="S2168" s="66"/>
      <c r="T2168" s="110">
        <f>S2168-Q2168</f>
        <v>0</v>
      </c>
      <c r="U2168" s="59">
        <f t="shared" si="3584"/>
        <v>0</v>
      </c>
      <c r="V2168" s="66"/>
      <c r="W2168" s="66"/>
      <c r="X2168" s="110">
        <f>W2168-M2168</f>
        <v>0</v>
      </c>
      <c r="Y2168" s="110"/>
      <c r="Z2168" s="110"/>
      <c r="AA2168" s="110"/>
      <c r="AB2168" s="46"/>
      <c r="AC2168" s="78"/>
      <c r="AD2168" s="78"/>
      <c r="AE2168" s="100">
        <f t="shared" ref="AE2168:AE2169" si="3589">N2168/F2168</f>
        <v>-1</v>
      </c>
      <c r="AF2168" s="90"/>
      <c r="AG2168" s="109">
        <f t="shared" ref="AG2168:AG2169" si="3590">IF(N2168&lt;0,N2168,0)</f>
        <v>-530</v>
      </c>
      <c r="AH2168" s="100">
        <f t="shared" ref="AH2168:AH2169" si="3591">(S2168-F2168)/F2168</f>
        <v>-1</v>
      </c>
      <c r="AI2168" s="100">
        <f t="shared" ref="AI2168:AI2169" si="3592">(W2168-F2168)/F2168</f>
        <v>-1</v>
      </c>
    </row>
    <row r="2169" spans="1:35" s="79" customFormat="1" ht="15.75" customHeight="1" x14ac:dyDescent="0.3">
      <c r="A2169" s="90" t="s">
        <v>46</v>
      </c>
      <c r="B2169" s="136" t="s">
        <v>51</v>
      </c>
      <c r="C2169" s="137"/>
      <c r="D2169" s="136"/>
      <c r="E2169" s="138"/>
      <c r="F2169" s="91">
        <f>SUM(F2167:F2168)</f>
        <v>784</v>
      </c>
      <c r="G2169" s="91"/>
      <c r="H2169" s="91"/>
      <c r="I2169" s="91"/>
      <c r="J2169" s="91"/>
      <c r="K2169" s="65" t="s">
        <v>416</v>
      </c>
      <c r="L2169" s="91">
        <f>SUM(L2167:L2168)</f>
        <v>0</v>
      </c>
      <c r="M2169" s="91">
        <f t="shared" ref="M2169:X2169" si="3593">SUM(M2167:M2168)</f>
        <v>0</v>
      </c>
      <c r="N2169" s="91">
        <f t="shared" si="3593"/>
        <v>-784</v>
      </c>
      <c r="O2169" s="91"/>
      <c r="P2169" s="91">
        <f t="shared" si="3593"/>
        <v>0</v>
      </c>
      <c r="Q2169" s="91">
        <f t="shared" si="3593"/>
        <v>0</v>
      </c>
      <c r="R2169" s="91">
        <f t="shared" si="3593"/>
        <v>0</v>
      </c>
      <c r="S2169" s="91">
        <f t="shared" si="3593"/>
        <v>0</v>
      </c>
      <c r="T2169" s="91">
        <f t="shared" si="3593"/>
        <v>0</v>
      </c>
      <c r="U2169" s="59">
        <f t="shared" si="3584"/>
        <v>0</v>
      </c>
      <c r="V2169" s="91">
        <f t="shared" si="3593"/>
        <v>0</v>
      </c>
      <c r="W2169" s="91">
        <f t="shared" si="3593"/>
        <v>0</v>
      </c>
      <c r="X2169" s="91">
        <f t="shared" si="3593"/>
        <v>0</v>
      </c>
      <c r="Y2169" s="136"/>
      <c r="Z2169" s="136"/>
      <c r="AA2169" s="136"/>
      <c r="AB2169" s="84"/>
      <c r="AC2169" s="90"/>
      <c r="AD2169" s="90"/>
      <c r="AE2169" s="100">
        <f t="shared" si="3589"/>
        <v>-1</v>
      </c>
      <c r="AF2169" s="90"/>
      <c r="AG2169" s="109">
        <f t="shared" si="3590"/>
        <v>-784</v>
      </c>
      <c r="AH2169" s="100">
        <f t="shared" si="3591"/>
        <v>-1</v>
      </c>
      <c r="AI2169" s="100">
        <f t="shared" si="3592"/>
        <v>-1</v>
      </c>
    </row>
    <row r="2170" spans="1:35" s="47" customFormat="1" ht="21" customHeight="1" x14ac:dyDescent="0.3">
      <c r="A2170" s="78"/>
      <c r="B2170" s="106" t="s">
        <v>51</v>
      </c>
      <c r="C2170" s="117">
        <v>48211</v>
      </c>
      <c r="D2170" s="304">
        <v>15387513</v>
      </c>
      <c r="E2170" s="132" t="s">
        <v>280</v>
      </c>
      <c r="F2170" s="66">
        <v>302</v>
      </c>
      <c r="G2170" s="66"/>
      <c r="H2170" s="66"/>
      <c r="I2170" s="66"/>
      <c r="J2170" s="66"/>
      <c r="K2170" s="78"/>
      <c r="L2170" s="66"/>
      <c r="M2170" s="66"/>
      <c r="N2170" s="110">
        <f>M2170-F2170</f>
        <v>-302</v>
      </c>
      <c r="O2170" s="110"/>
      <c r="P2170" s="66"/>
      <c r="Q2170" s="66"/>
      <c r="R2170" s="66"/>
      <c r="S2170" s="66"/>
      <c r="T2170" s="110">
        <f>S2170-Q2170</f>
        <v>0</v>
      </c>
      <c r="U2170" s="59">
        <f t="shared" si="3584"/>
        <v>0</v>
      </c>
      <c r="V2170" s="66"/>
      <c r="W2170" s="66"/>
      <c r="X2170" s="110">
        <f>W2170-M2170</f>
        <v>0</v>
      </c>
      <c r="Y2170" s="110"/>
      <c r="Z2170" s="110"/>
      <c r="AA2170" s="110"/>
      <c r="AB2170" s="46"/>
      <c r="AC2170" s="78"/>
      <c r="AD2170" s="78"/>
      <c r="AE2170" s="100">
        <f t="shared" si="3585"/>
        <v>-1</v>
      </c>
      <c r="AF2170" s="90"/>
      <c r="AG2170" s="109">
        <f t="shared" si="3586"/>
        <v>-302</v>
      </c>
      <c r="AH2170" s="100">
        <f t="shared" si="3587"/>
        <v>-1</v>
      </c>
      <c r="AI2170" s="100">
        <f t="shared" si="3588"/>
        <v>-1</v>
      </c>
    </row>
    <row r="2171" spans="1:35" s="47" customFormat="1" ht="21" customHeight="1" x14ac:dyDescent="0.3">
      <c r="A2171" s="78"/>
      <c r="B2171" s="106" t="s">
        <v>51</v>
      </c>
      <c r="C2171" s="117">
        <v>48211</v>
      </c>
      <c r="D2171" s="306"/>
      <c r="E2171" s="132" t="s">
        <v>746</v>
      </c>
      <c r="F2171" s="66">
        <v>386</v>
      </c>
      <c r="G2171" s="66"/>
      <c r="H2171" s="66"/>
      <c r="I2171" s="66"/>
      <c r="J2171" s="66"/>
      <c r="K2171" s="78"/>
      <c r="L2171" s="66"/>
      <c r="M2171" s="66">
        <f>397</f>
        <v>397</v>
      </c>
      <c r="N2171" s="110">
        <f>M2171-F2171</f>
        <v>11</v>
      </c>
      <c r="O2171" s="110"/>
      <c r="P2171" s="66"/>
      <c r="Q2171" s="66"/>
      <c r="R2171" s="66"/>
      <c r="S2171" s="66"/>
      <c r="T2171" s="110">
        <f>S2171-Q2171</f>
        <v>0</v>
      </c>
      <c r="U2171" s="59">
        <f t="shared" si="3584"/>
        <v>397</v>
      </c>
      <c r="V2171" s="66"/>
      <c r="W2171" s="66"/>
      <c r="X2171" s="110">
        <f>W2171-M2171</f>
        <v>-397</v>
      </c>
      <c r="Y2171" s="110"/>
      <c r="Z2171" s="110"/>
      <c r="AA2171" s="110"/>
      <c r="AB2171" s="46"/>
      <c r="AC2171" s="78"/>
      <c r="AD2171" s="78"/>
      <c r="AE2171" s="100">
        <f t="shared" ref="AE2171:AE2172" si="3594">N2171/F2171</f>
        <v>2.8497409326424871E-2</v>
      </c>
      <c r="AF2171" s="90"/>
      <c r="AG2171" s="109">
        <f t="shared" ref="AG2171:AG2172" si="3595">IF(N2171&lt;0,N2171,0)</f>
        <v>0</v>
      </c>
      <c r="AH2171" s="100">
        <f t="shared" ref="AH2171:AH2172" si="3596">(S2171-F2171)/F2171</f>
        <v>-1</v>
      </c>
      <c r="AI2171" s="100">
        <f t="shared" ref="AI2171:AI2172" si="3597">(W2171-F2171)/F2171</f>
        <v>-1</v>
      </c>
    </row>
    <row r="2172" spans="1:35" s="79" customFormat="1" ht="15.75" customHeight="1" x14ac:dyDescent="0.3">
      <c r="A2172" s="90" t="s">
        <v>46</v>
      </c>
      <c r="B2172" s="136" t="s">
        <v>51</v>
      </c>
      <c r="C2172" s="137"/>
      <c r="D2172" s="136"/>
      <c r="E2172" s="138"/>
      <c r="F2172" s="91">
        <f>SUM(F2171)</f>
        <v>386</v>
      </c>
      <c r="G2172" s="91"/>
      <c r="H2172" s="91"/>
      <c r="I2172" s="91"/>
      <c r="J2172" s="91"/>
      <c r="K2172" s="65" t="s">
        <v>617</v>
      </c>
      <c r="L2172" s="91">
        <f>SUM(L2171)</f>
        <v>0</v>
      </c>
      <c r="M2172" s="91">
        <f>SUM(M2171)</f>
        <v>397</v>
      </c>
      <c r="N2172" s="91">
        <f>SUM(N2171)</f>
        <v>11</v>
      </c>
      <c r="O2172" s="91"/>
      <c r="P2172" s="91">
        <f>SUM(P2171)</f>
        <v>0</v>
      </c>
      <c r="Q2172" s="91">
        <f>SUM(Q2171)</f>
        <v>0</v>
      </c>
      <c r="R2172" s="91">
        <f>SUM(R2171)</f>
        <v>0</v>
      </c>
      <c r="S2172" s="91">
        <f t="shared" si="3552"/>
        <v>0</v>
      </c>
      <c r="T2172" s="91">
        <f>SUM(T2171)</f>
        <v>0</v>
      </c>
      <c r="U2172" s="59">
        <f t="shared" si="3584"/>
        <v>397</v>
      </c>
      <c r="V2172" s="91">
        <f>SUM(V2171)</f>
        <v>0</v>
      </c>
      <c r="W2172" s="91">
        <f t="shared" si="3553"/>
        <v>0</v>
      </c>
      <c r="X2172" s="91">
        <f t="shared" si="3554"/>
        <v>-397</v>
      </c>
      <c r="Y2172" s="136"/>
      <c r="Z2172" s="136"/>
      <c r="AA2172" s="136"/>
      <c r="AB2172" s="84"/>
      <c r="AC2172" s="90"/>
      <c r="AD2172" s="90"/>
      <c r="AE2172" s="100">
        <f t="shared" si="3594"/>
        <v>2.8497409326424871E-2</v>
      </c>
      <c r="AF2172" s="90"/>
      <c r="AG2172" s="109">
        <f t="shared" si="3595"/>
        <v>0</v>
      </c>
      <c r="AH2172" s="100">
        <f t="shared" si="3596"/>
        <v>-1</v>
      </c>
      <c r="AI2172" s="100">
        <f t="shared" si="3597"/>
        <v>-1</v>
      </c>
    </row>
    <row r="2173" spans="1:35" s="47" customFormat="1" ht="21" customHeight="1" x14ac:dyDescent="0.3">
      <c r="A2173" s="78"/>
      <c r="B2173" s="106" t="s">
        <v>51</v>
      </c>
      <c r="C2173" s="117">
        <v>48183</v>
      </c>
      <c r="D2173" s="104">
        <v>15373595</v>
      </c>
      <c r="E2173" s="132" t="s">
        <v>0</v>
      </c>
      <c r="F2173" s="66">
        <v>480</v>
      </c>
      <c r="G2173" s="66"/>
      <c r="H2173" s="66"/>
      <c r="I2173" s="66"/>
      <c r="J2173" s="66"/>
      <c r="K2173" s="78"/>
      <c r="L2173" s="66"/>
      <c r="M2173" s="66">
        <f>378+121</f>
        <v>499</v>
      </c>
      <c r="N2173" s="110">
        <f>M2173-F2173</f>
        <v>19</v>
      </c>
      <c r="O2173" s="110"/>
      <c r="P2173" s="66"/>
      <c r="Q2173" s="66">
        <f>378+121</f>
        <v>499</v>
      </c>
      <c r="R2173" s="66"/>
      <c r="S2173" s="66">
        <v>499</v>
      </c>
      <c r="T2173" s="110">
        <f>S2173-Q2173</f>
        <v>0</v>
      </c>
      <c r="U2173" s="59">
        <f t="shared" si="3584"/>
        <v>1</v>
      </c>
      <c r="V2173" s="66"/>
      <c r="W2173" s="66">
        <v>498</v>
      </c>
      <c r="X2173" s="110">
        <f>W2173-M2173</f>
        <v>-1</v>
      </c>
      <c r="Y2173" s="110"/>
      <c r="Z2173" s="110"/>
      <c r="AA2173" s="110"/>
      <c r="AB2173" s="46"/>
      <c r="AC2173" s="78"/>
      <c r="AD2173" s="78"/>
      <c r="AE2173" s="100">
        <f t="shared" si="3585"/>
        <v>3.9583333333333331E-2</v>
      </c>
      <c r="AF2173" s="90"/>
      <c r="AG2173" s="109">
        <f t="shared" si="3586"/>
        <v>0</v>
      </c>
      <c r="AH2173" s="100">
        <f t="shared" si="3587"/>
        <v>3.9583333333333331E-2</v>
      </c>
      <c r="AI2173" s="100">
        <f t="shared" si="3588"/>
        <v>3.7499999999999999E-2</v>
      </c>
    </row>
    <row r="2174" spans="1:35" s="79" customFormat="1" ht="15.75" customHeight="1" x14ac:dyDescent="0.3">
      <c r="A2174" s="90" t="s">
        <v>46</v>
      </c>
      <c r="B2174" s="136" t="s">
        <v>51</v>
      </c>
      <c r="C2174" s="137"/>
      <c r="D2174" s="136"/>
      <c r="E2174" s="138"/>
      <c r="F2174" s="91">
        <f>SUM(F2173)</f>
        <v>480</v>
      </c>
      <c r="G2174" s="91"/>
      <c r="H2174" s="91"/>
      <c r="I2174" s="91"/>
      <c r="J2174" s="91" t="s">
        <v>59</v>
      </c>
      <c r="K2174" s="65" t="s">
        <v>272</v>
      </c>
      <c r="L2174" s="91">
        <f>SUM(L2173)</f>
        <v>0</v>
      </c>
      <c r="M2174" s="91">
        <f>SUM(M2173)</f>
        <v>499</v>
      </c>
      <c r="N2174" s="91">
        <f>SUM(N2173)</f>
        <v>19</v>
      </c>
      <c r="O2174" s="91" t="s">
        <v>287</v>
      </c>
      <c r="P2174" s="91">
        <f>SUM(P2173)</f>
        <v>0</v>
      </c>
      <c r="Q2174" s="91">
        <f>SUM(Q2173)</f>
        <v>499</v>
      </c>
      <c r="R2174" s="91">
        <f>SUM(R2173)</f>
        <v>0</v>
      </c>
      <c r="S2174" s="91">
        <f t="shared" si="3552"/>
        <v>499</v>
      </c>
      <c r="T2174" s="91">
        <f>SUM(T2173)</f>
        <v>0</v>
      </c>
      <c r="U2174" s="59">
        <f t="shared" si="3584"/>
        <v>1</v>
      </c>
      <c r="V2174" s="91">
        <f>SUM(V2173)</f>
        <v>0</v>
      </c>
      <c r="W2174" s="91">
        <f t="shared" si="3553"/>
        <v>498</v>
      </c>
      <c r="X2174" s="91">
        <f t="shared" si="3554"/>
        <v>-1</v>
      </c>
      <c r="Y2174" s="136" t="s">
        <v>47</v>
      </c>
      <c r="Z2174" s="136" t="s">
        <v>45</v>
      </c>
      <c r="AA2174" s="136"/>
      <c r="AB2174" s="84"/>
      <c r="AC2174" s="90"/>
      <c r="AD2174" s="90"/>
      <c r="AE2174" s="100">
        <f t="shared" si="3585"/>
        <v>3.9583333333333331E-2</v>
      </c>
      <c r="AF2174" s="90"/>
      <c r="AG2174" s="109">
        <f t="shared" si="3586"/>
        <v>0</v>
      </c>
      <c r="AH2174" s="100">
        <f t="shared" si="3587"/>
        <v>3.9583333333333331E-2</v>
      </c>
      <c r="AI2174" s="100">
        <f t="shared" si="3588"/>
        <v>3.7499999999999999E-2</v>
      </c>
    </row>
    <row r="2175" spans="1:35" s="47" customFormat="1" ht="21" customHeight="1" x14ac:dyDescent="0.3">
      <c r="A2175" s="78"/>
      <c r="B2175" s="106" t="s">
        <v>51</v>
      </c>
      <c r="C2175" s="117">
        <v>47637</v>
      </c>
      <c r="D2175" s="104">
        <v>15382404</v>
      </c>
      <c r="E2175" s="132" t="s">
        <v>56</v>
      </c>
      <c r="F2175" s="66">
        <v>530</v>
      </c>
      <c r="G2175" s="66"/>
      <c r="H2175" s="66"/>
      <c r="I2175" s="66"/>
      <c r="J2175" s="66"/>
      <c r="K2175" s="78"/>
      <c r="L2175" s="66"/>
      <c r="M2175" s="66">
        <f>575</f>
        <v>575</v>
      </c>
      <c r="N2175" s="110">
        <f>M2175-F2175</f>
        <v>45</v>
      </c>
      <c r="O2175" s="110"/>
      <c r="P2175" s="66"/>
      <c r="Q2175" s="66">
        <v>575</v>
      </c>
      <c r="R2175" s="66"/>
      <c r="S2175" s="66">
        <f>365+210</f>
        <v>575</v>
      </c>
      <c r="T2175" s="110">
        <f>S2175-Q2175</f>
        <v>0</v>
      </c>
      <c r="U2175" s="59">
        <f t="shared" si="3584"/>
        <v>4</v>
      </c>
      <c r="V2175" s="66"/>
      <c r="W2175" s="66">
        <v>571</v>
      </c>
      <c r="X2175" s="110">
        <f>W2175-M2175</f>
        <v>-4</v>
      </c>
      <c r="Y2175" s="110"/>
      <c r="Z2175" s="110"/>
      <c r="AA2175" s="110"/>
      <c r="AB2175" s="46"/>
      <c r="AC2175" s="78"/>
      <c r="AD2175" s="78"/>
      <c r="AE2175" s="100">
        <f t="shared" ref="AE2175:AE2176" si="3598">N2175/F2175</f>
        <v>8.4905660377358486E-2</v>
      </c>
      <c r="AF2175" s="90"/>
      <c r="AG2175" s="109">
        <f t="shared" ref="AG2175:AG2176" si="3599">IF(N2175&lt;0,N2175,0)</f>
        <v>0</v>
      </c>
      <c r="AH2175" s="100">
        <f t="shared" ref="AH2175:AH2176" si="3600">(S2175-F2175)/F2175</f>
        <v>8.4905660377358486E-2</v>
      </c>
      <c r="AI2175" s="100">
        <f t="shared" ref="AI2175:AI2176" si="3601">(W2175-F2175)/F2175</f>
        <v>7.7358490566037733E-2</v>
      </c>
    </row>
    <row r="2176" spans="1:35" s="79" customFormat="1" ht="15.75" customHeight="1" x14ac:dyDescent="0.3">
      <c r="A2176" s="90" t="s">
        <v>46</v>
      </c>
      <c r="B2176" s="136" t="s">
        <v>51</v>
      </c>
      <c r="C2176" s="137"/>
      <c r="D2176" s="136"/>
      <c r="E2176" s="138"/>
      <c r="F2176" s="91">
        <f>SUM(F2175)</f>
        <v>530</v>
      </c>
      <c r="G2176" s="91"/>
      <c r="H2176" s="91"/>
      <c r="I2176" s="91"/>
      <c r="J2176" s="91" t="s">
        <v>59</v>
      </c>
      <c r="K2176" s="65" t="s">
        <v>151</v>
      </c>
      <c r="L2176" s="91">
        <f>SUM(L2175)</f>
        <v>0</v>
      </c>
      <c r="M2176" s="91">
        <f>SUM(M2175)</f>
        <v>575</v>
      </c>
      <c r="N2176" s="91">
        <f>SUM(N2175)</f>
        <v>45</v>
      </c>
      <c r="O2176" s="91" t="s">
        <v>191</v>
      </c>
      <c r="P2176" s="91">
        <f>SUM(P2175)</f>
        <v>0</v>
      </c>
      <c r="Q2176" s="91">
        <f>SUM(Q2175)</f>
        <v>575</v>
      </c>
      <c r="R2176" s="91">
        <f>SUM(R2175)</f>
        <v>0</v>
      </c>
      <c r="S2176" s="91">
        <f t="shared" si="3552"/>
        <v>575</v>
      </c>
      <c r="T2176" s="91">
        <f>SUM(T2175)</f>
        <v>0</v>
      </c>
      <c r="U2176" s="59">
        <f t="shared" si="3584"/>
        <v>4</v>
      </c>
      <c r="V2176" s="91">
        <f>SUM(V2175)</f>
        <v>0</v>
      </c>
      <c r="W2176" s="91">
        <f t="shared" si="3553"/>
        <v>571</v>
      </c>
      <c r="X2176" s="91">
        <f t="shared" si="3554"/>
        <v>-4</v>
      </c>
      <c r="Y2176" s="136" t="s">
        <v>57</v>
      </c>
      <c r="Z2176" s="136" t="s">
        <v>45</v>
      </c>
      <c r="AA2176" s="136"/>
      <c r="AB2176" s="84"/>
      <c r="AC2176" s="90"/>
      <c r="AD2176" s="90"/>
      <c r="AE2176" s="100">
        <f t="shared" si="3598"/>
        <v>8.4905660377358486E-2</v>
      </c>
      <c r="AF2176" s="90"/>
      <c r="AG2176" s="109">
        <f t="shared" si="3599"/>
        <v>0</v>
      </c>
      <c r="AH2176" s="100">
        <f t="shared" si="3600"/>
        <v>8.4905660377358486E-2</v>
      </c>
      <c r="AI2176" s="100">
        <f t="shared" si="3601"/>
        <v>7.7358490566037733E-2</v>
      </c>
    </row>
    <row r="2177" spans="1:35" s="47" customFormat="1" ht="21" customHeight="1" x14ac:dyDescent="0.3">
      <c r="A2177" s="78"/>
      <c r="B2177" s="106" t="s">
        <v>51</v>
      </c>
      <c r="C2177" s="117">
        <v>47976</v>
      </c>
      <c r="D2177" s="104">
        <v>15396688</v>
      </c>
      <c r="E2177" s="132" t="s">
        <v>49</v>
      </c>
      <c r="F2177" s="66">
        <v>2430</v>
      </c>
      <c r="G2177" s="66"/>
      <c r="H2177" s="66"/>
      <c r="I2177" s="66"/>
      <c r="J2177" s="66"/>
      <c r="K2177" s="78"/>
      <c r="L2177" s="66"/>
      <c r="M2177" s="66">
        <f>1287+315+342+534</f>
        <v>2478</v>
      </c>
      <c r="N2177" s="110">
        <f>M2177-F2177</f>
        <v>48</v>
      </c>
      <c r="O2177" s="110"/>
      <c r="P2177" s="66"/>
      <c r="Q2177" s="66"/>
      <c r="R2177" s="66"/>
      <c r="S2177" s="66"/>
      <c r="T2177" s="110">
        <f>S2177-Q2177</f>
        <v>0</v>
      </c>
      <c r="U2177" s="59">
        <f t="shared" si="3584"/>
        <v>0</v>
      </c>
      <c r="V2177" s="66"/>
      <c r="W2177" s="66">
        <v>2478</v>
      </c>
      <c r="X2177" s="110">
        <f>W2177-M2177</f>
        <v>0</v>
      </c>
      <c r="Y2177" s="110"/>
      <c r="Z2177" s="110"/>
      <c r="AA2177" s="110"/>
      <c r="AB2177" s="46"/>
      <c r="AC2177" s="78"/>
      <c r="AD2177" s="78"/>
      <c r="AE2177" s="100">
        <f t="shared" si="3585"/>
        <v>1.9753086419753086E-2</v>
      </c>
      <c r="AF2177" s="90"/>
      <c r="AG2177" s="109">
        <f t="shared" si="3586"/>
        <v>0</v>
      </c>
      <c r="AH2177" s="100">
        <f t="shared" si="3587"/>
        <v>-1</v>
      </c>
      <c r="AI2177" s="100">
        <f t="shared" si="3588"/>
        <v>1.9753086419753086E-2</v>
      </c>
    </row>
    <row r="2178" spans="1:35" s="79" customFormat="1" ht="15.75" customHeight="1" x14ac:dyDescent="0.3">
      <c r="A2178" s="90" t="s">
        <v>46</v>
      </c>
      <c r="B2178" s="136" t="s">
        <v>51</v>
      </c>
      <c r="C2178" s="137"/>
      <c r="D2178" s="136"/>
      <c r="E2178" s="138"/>
      <c r="F2178" s="91">
        <f>SUM(F2177)</f>
        <v>2430</v>
      </c>
      <c r="G2178" s="91"/>
      <c r="H2178" s="91"/>
      <c r="I2178" s="91"/>
      <c r="J2178" s="91" t="s">
        <v>59</v>
      </c>
      <c r="K2178" s="65" t="s">
        <v>290</v>
      </c>
      <c r="L2178" s="91">
        <f>SUM(L2177)</f>
        <v>0</v>
      </c>
      <c r="M2178" s="91">
        <f>SUM(M2177)</f>
        <v>2478</v>
      </c>
      <c r="N2178" s="91">
        <f>SUM(N2177)</f>
        <v>48</v>
      </c>
      <c r="O2178" s="91"/>
      <c r="P2178" s="91">
        <f>SUM(P2177)</f>
        <v>0</v>
      </c>
      <c r="Q2178" s="91">
        <f>SUM(Q2177)</f>
        <v>0</v>
      </c>
      <c r="R2178" s="91">
        <f>SUM(R2177)</f>
        <v>0</v>
      </c>
      <c r="S2178" s="91">
        <f t="shared" si="3552"/>
        <v>0</v>
      </c>
      <c r="T2178" s="91">
        <f>SUM(T2177)</f>
        <v>0</v>
      </c>
      <c r="U2178" s="59">
        <f t="shared" si="3584"/>
        <v>0</v>
      </c>
      <c r="V2178" s="91">
        <f>SUM(V2177)</f>
        <v>0</v>
      </c>
      <c r="W2178" s="91">
        <f t="shared" si="3553"/>
        <v>2478</v>
      </c>
      <c r="X2178" s="91">
        <f t="shared" si="3554"/>
        <v>0</v>
      </c>
      <c r="Y2178" s="136"/>
      <c r="Z2178" s="136"/>
      <c r="AA2178" s="136"/>
      <c r="AB2178" s="84"/>
      <c r="AC2178" s="90"/>
      <c r="AD2178" s="90"/>
      <c r="AE2178" s="100">
        <f t="shared" si="3585"/>
        <v>1.9753086419753086E-2</v>
      </c>
      <c r="AF2178" s="90"/>
      <c r="AG2178" s="109">
        <f t="shared" si="3586"/>
        <v>0</v>
      </c>
      <c r="AH2178" s="100">
        <f t="shared" si="3587"/>
        <v>-1</v>
      </c>
      <c r="AI2178" s="100">
        <f t="shared" si="3588"/>
        <v>1.9753086419753086E-2</v>
      </c>
    </row>
    <row r="2179" spans="1:35" s="47" customFormat="1" ht="21" customHeight="1" x14ac:dyDescent="0.3">
      <c r="A2179" s="78"/>
      <c r="B2179" s="106" t="s">
        <v>51</v>
      </c>
      <c r="C2179" s="117">
        <v>48264</v>
      </c>
      <c r="D2179" s="104">
        <v>15369310</v>
      </c>
      <c r="E2179" s="132" t="s">
        <v>0</v>
      </c>
      <c r="F2179" s="66">
        <v>504</v>
      </c>
      <c r="G2179" s="66"/>
      <c r="H2179" s="66"/>
      <c r="I2179" s="66"/>
      <c r="J2179" s="66"/>
      <c r="K2179" s="78"/>
      <c r="L2179" s="66"/>
      <c r="M2179" s="66">
        <f>100+418+6</f>
        <v>524</v>
      </c>
      <c r="N2179" s="110">
        <f>M2179-F2179</f>
        <v>20</v>
      </c>
      <c r="O2179" s="110"/>
      <c r="P2179" s="66"/>
      <c r="Q2179" s="66">
        <f>518+6</f>
        <v>524</v>
      </c>
      <c r="R2179" s="66"/>
      <c r="S2179" s="66">
        <f>518+6</f>
        <v>524</v>
      </c>
      <c r="T2179" s="110">
        <f>S2179-Q2179</f>
        <v>0</v>
      </c>
      <c r="U2179" s="59">
        <f t="shared" si="3584"/>
        <v>0</v>
      </c>
      <c r="V2179" s="66"/>
      <c r="W2179" s="66">
        <v>524</v>
      </c>
      <c r="X2179" s="110">
        <f>W2179-M2179</f>
        <v>0</v>
      </c>
      <c r="Y2179" s="110"/>
      <c r="Z2179" s="110"/>
      <c r="AA2179" s="110"/>
      <c r="AB2179" s="46"/>
      <c r="AC2179" s="78"/>
      <c r="AD2179" s="78"/>
      <c r="AE2179" s="100">
        <f t="shared" ref="AE2179:AE2182" si="3602">N2179/F2179</f>
        <v>3.968253968253968E-2</v>
      </c>
      <c r="AF2179" s="90"/>
      <c r="AG2179" s="109">
        <f t="shared" ref="AG2179:AG2182" si="3603">IF(N2179&lt;0,N2179,0)</f>
        <v>0</v>
      </c>
      <c r="AH2179" s="100">
        <f t="shared" ref="AH2179:AH2182" si="3604">(S2179-F2179)/F2179</f>
        <v>3.968253968253968E-2</v>
      </c>
      <c r="AI2179" s="100">
        <f t="shared" ref="AI2179:AI2182" si="3605">(W2179-F2179)/F2179</f>
        <v>3.968253968253968E-2</v>
      </c>
    </row>
    <row r="2180" spans="1:35" s="79" customFormat="1" ht="15.75" customHeight="1" x14ac:dyDescent="0.3">
      <c r="A2180" s="90" t="s">
        <v>46</v>
      </c>
      <c r="B2180" s="136" t="s">
        <v>51</v>
      </c>
      <c r="C2180" s="137"/>
      <c r="D2180" s="136"/>
      <c r="E2180" s="138"/>
      <c r="F2180" s="91">
        <f>SUM(F2179)</f>
        <v>504</v>
      </c>
      <c r="G2180" s="91"/>
      <c r="H2180" s="91"/>
      <c r="I2180" s="91"/>
      <c r="J2180" s="91" t="s">
        <v>59</v>
      </c>
      <c r="K2180" s="65" t="s">
        <v>238</v>
      </c>
      <c r="L2180" s="91">
        <f>SUM(L2179)</f>
        <v>0</v>
      </c>
      <c r="M2180" s="91">
        <f>SUM(M2179)</f>
        <v>524</v>
      </c>
      <c r="N2180" s="91">
        <f>SUM(N2179)</f>
        <v>20</v>
      </c>
      <c r="O2180" s="91" t="s">
        <v>540</v>
      </c>
      <c r="P2180" s="91">
        <f>SUM(P2179)</f>
        <v>0</v>
      </c>
      <c r="Q2180" s="91">
        <f>SUM(Q2179)</f>
        <v>524</v>
      </c>
      <c r="R2180" s="91">
        <f>SUM(R2179)</f>
        <v>0</v>
      </c>
      <c r="S2180" s="91">
        <f t="shared" si="3552"/>
        <v>524</v>
      </c>
      <c r="T2180" s="91">
        <f>SUM(T2179)</f>
        <v>0</v>
      </c>
      <c r="U2180" s="59">
        <f t="shared" si="3584"/>
        <v>0</v>
      </c>
      <c r="V2180" s="91">
        <f>SUM(V2179)</f>
        <v>0</v>
      </c>
      <c r="W2180" s="91">
        <f t="shared" si="3553"/>
        <v>524</v>
      </c>
      <c r="X2180" s="91">
        <f t="shared" si="3554"/>
        <v>0</v>
      </c>
      <c r="Y2180" s="136" t="s">
        <v>47</v>
      </c>
      <c r="Z2180" s="136" t="s">
        <v>45</v>
      </c>
      <c r="AA2180" s="136"/>
      <c r="AB2180" s="84"/>
      <c r="AC2180" s="90"/>
      <c r="AD2180" s="90"/>
      <c r="AE2180" s="100">
        <f t="shared" si="3602"/>
        <v>3.968253968253968E-2</v>
      </c>
      <c r="AF2180" s="90"/>
      <c r="AG2180" s="109">
        <f t="shared" si="3603"/>
        <v>0</v>
      </c>
      <c r="AH2180" s="100">
        <f t="shared" si="3604"/>
        <v>3.968253968253968E-2</v>
      </c>
      <c r="AI2180" s="100">
        <f t="shared" si="3605"/>
        <v>3.968253968253968E-2</v>
      </c>
    </row>
    <row r="2181" spans="1:35" s="47" customFormat="1" ht="21" customHeight="1" x14ac:dyDescent="0.3">
      <c r="A2181" s="78"/>
      <c r="B2181" s="106" t="s">
        <v>51</v>
      </c>
      <c r="C2181" s="117">
        <v>48335</v>
      </c>
      <c r="D2181" s="104">
        <v>15398492</v>
      </c>
      <c r="E2181" s="132" t="s">
        <v>798</v>
      </c>
      <c r="F2181" s="66">
        <v>810</v>
      </c>
      <c r="G2181" s="66"/>
      <c r="H2181" s="66"/>
      <c r="I2181" s="66"/>
      <c r="J2181" s="66"/>
      <c r="K2181" s="78"/>
      <c r="L2181" s="66"/>
      <c r="M2181" s="66">
        <v>830</v>
      </c>
      <c r="N2181" s="110">
        <f>M2181-F2181</f>
        <v>20</v>
      </c>
      <c r="O2181" s="110"/>
      <c r="P2181" s="66"/>
      <c r="Q2181" s="66">
        <v>830</v>
      </c>
      <c r="R2181" s="66"/>
      <c r="S2181" s="66">
        <f>358+472</f>
        <v>830</v>
      </c>
      <c r="T2181" s="110">
        <f>S2181-Q2181</f>
        <v>0</v>
      </c>
      <c r="U2181" s="59">
        <f t="shared" si="3584"/>
        <v>0</v>
      </c>
      <c r="V2181" s="66"/>
      <c r="W2181" s="66">
        <v>830</v>
      </c>
      <c r="X2181" s="110">
        <f>W2181-M2181</f>
        <v>0</v>
      </c>
      <c r="Y2181" s="110"/>
      <c r="Z2181" s="110"/>
      <c r="AA2181" s="110"/>
      <c r="AB2181" s="46"/>
      <c r="AC2181" s="78"/>
      <c r="AD2181" s="78"/>
      <c r="AE2181" s="100">
        <f t="shared" si="3602"/>
        <v>2.4691358024691357E-2</v>
      </c>
      <c r="AF2181" s="90"/>
      <c r="AG2181" s="109">
        <f t="shared" si="3603"/>
        <v>0</v>
      </c>
      <c r="AH2181" s="100">
        <f t="shared" si="3604"/>
        <v>2.4691358024691357E-2</v>
      </c>
      <c r="AI2181" s="100">
        <f t="shared" si="3605"/>
        <v>2.4691358024691357E-2</v>
      </c>
    </row>
    <row r="2182" spans="1:35" s="79" customFormat="1" ht="15.75" customHeight="1" x14ac:dyDescent="0.3">
      <c r="A2182" s="90" t="s">
        <v>46</v>
      </c>
      <c r="B2182" s="136" t="s">
        <v>51</v>
      </c>
      <c r="C2182" s="137"/>
      <c r="D2182" s="136"/>
      <c r="E2182" s="138"/>
      <c r="F2182" s="91">
        <f>SUM(F2181)</f>
        <v>810</v>
      </c>
      <c r="G2182" s="91"/>
      <c r="H2182" s="91"/>
      <c r="I2182" s="91"/>
      <c r="J2182" s="91" t="s">
        <v>59</v>
      </c>
      <c r="K2182" s="65" t="s">
        <v>210</v>
      </c>
      <c r="L2182" s="91">
        <f>SUM(L2181)</f>
        <v>0</v>
      </c>
      <c r="M2182" s="91">
        <f>SUM(M2181)</f>
        <v>830</v>
      </c>
      <c r="N2182" s="91">
        <f>SUM(N2181)</f>
        <v>20</v>
      </c>
      <c r="O2182" s="91" t="s">
        <v>832</v>
      </c>
      <c r="P2182" s="91">
        <f>SUM(P2181)</f>
        <v>0</v>
      </c>
      <c r="Q2182" s="91">
        <f>SUM(Q2181)</f>
        <v>830</v>
      </c>
      <c r="R2182" s="91">
        <f>SUM(R2181)</f>
        <v>0</v>
      </c>
      <c r="S2182" s="91">
        <f t="shared" si="3552"/>
        <v>830</v>
      </c>
      <c r="T2182" s="91">
        <f>SUM(T2181)</f>
        <v>0</v>
      </c>
      <c r="U2182" s="59">
        <f t="shared" si="3584"/>
        <v>0</v>
      </c>
      <c r="V2182" s="91">
        <f>SUM(V2181)</f>
        <v>0</v>
      </c>
      <c r="W2182" s="91">
        <f t="shared" si="3553"/>
        <v>830</v>
      </c>
      <c r="X2182" s="91">
        <f t="shared" si="3554"/>
        <v>0</v>
      </c>
      <c r="Y2182" s="136" t="s">
        <v>48</v>
      </c>
      <c r="Z2182" s="136" t="s">
        <v>45</v>
      </c>
      <c r="AA2182" s="136"/>
      <c r="AB2182" s="84"/>
      <c r="AC2182" s="90"/>
      <c r="AD2182" s="90"/>
      <c r="AE2182" s="100">
        <f t="shared" si="3602"/>
        <v>2.4691358024691357E-2</v>
      </c>
      <c r="AF2182" s="90"/>
      <c r="AG2182" s="109">
        <f t="shared" si="3603"/>
        <v>0</v>
      </c>
      <c r="AH2182" s="100">
        <f t="shared" si="3604"/>
        <v>2.4691358024691357E-2</v>
      </c>
      <c r="AI2182" s="100">
        <f t="shared" si="3605"/>
        <v>2.4691358024691357E-2</v>
      </c>
    </row>
    <row r="2183" spans="1:35" s="47" customFormat="1" ht="21" customHeight="1" x14ac:dyDescent="0.3">
      <c r="A2183" s="78"/>
      <c r="B2183" s="106" t="s">
        <v>51</v>
      </c>
      <c r="C2183" s="117">
        <v>48239</v>
      </c>
      <c r="D2183" s="104">
        <v>15397108</v>
      </c>
      <c r="E2183" s="132" t="s">
        <v>167</v>
      </c>
      <c r="F2183" s="66">
        <v>508</v>
      </c>
      <c r="G2183" s="66"/>
      <c r="H2183" s="66"/>
      <c r="I2183" s="66"/>
      <c r="J2183" s="66"/>
      <c r="K2183" s="78"/>
      <c r="L2183" s="66"/>
      <c r="M2183" s="66"/>
      <c r="N2183" s="110">
        <f>M2183-F2183</f>
        <v>-508</v>
      </c>
      <c r="O2183" s="110"/>
      <c r="P2183" s="66"/>
      <c r="Q2183" s="66"/>
      <c r="R2183" s="66"/>
      <c r="S2183" s="66"/>
      <c r="T2183" s="110">
        <f>S2183-Q2183</f>
        <v>0</v>
      </c>
      <c r="U2183" s="59">
        <f t="shared" si="3584"/>
        <v>0</v>
      </c>
      <c r="V2183" s="66"/>
      <c r="W2183" s="66"/>
      <c r="X2183" s="110">
        <f>W2183-M2183</f>
        <v>0</v>
      </c>
      <c r="Y2183" s="110"/>
      <c r="Z2183" s="110"/>
      <c r="AA2183" s="110"/>
      <c r="AB2183" s="46"/>
      <c r="AC2183" s="78"/>
      <c r="AD2183" s="78"/>
      <c r="AE2183" s="100">
        <f t="shared" ref="AE2183:AE2188" si="3606">N2183/F2183</f>
        <v>-1</v>
      </c>
      <c r="AF2183" s="90"/>
      <c r="AG2183" s="109">
        <f t="shared" ref="AG2183:AG2188" si="3607">IF(N2183&lt;0,N2183,0)</f>
        <v>-508</v>
      </c>
      <c r="AH2183" s="100">
        <f t="shared" ref="AH2183:AH2188" si="3608">(S2183-F2183)/F2183</f>
        <v>-1</v>
      </c>
      <c r="AI2183" s="100">
        <f t="shared" ref="AI2183:AI2188" si="3609">(W2183-F2183)/F2183</f>
        <v>-1</v>
      </c>
    </row>
    <row r="2184" spans="1:35" s="79" customFormat="1" ht="15.75" customHeight="1" x14ac:dyDescent="0.3">
      <c r="A2184" s="90" t="s">
        <v>46</v>
      </c>
      <c r="B2184" s="136" t="s">
        <v>51</v>
      </c>
      <c r="C2184" s="137"/>
      <c r="D2184" s="136"/>
      <c r="E2184" s="138"/>
      <c r="F2184" s="91">
        <f>SUM(F2183)</f>
        <v>508</v>
      </c>
      <c r="G2184" s="91"/>
      <c r="H2184" s="91"/>
      <c r="I2184" s="91"/>
      <c r="J2184" s="91"/>
      <c r="K2184" s="65" t="s">
        <v>377</v>
      </c>
      <c r="L2184" s="91">
        <f>SUM(L2183)</f>
        <v>0</v>
      </c>
      <c r="M2184" s="91">
        <f>SUM(M2183)</f>
        <v>0</v>
      </c>
      <c r="N2184" s="91">
        <f>SUM(N2183)</f>
        <v>-508</v>
      </c>
      <c r="O2184" s="91"/>
      <c r="P2184" s="91">
        <f>SUM(P2183)</f>
        <v>0</v>
      </c>
      <c r="Q2184" s="91">
        <f>SUM(Q2183)</f>
        <v>0</v>
      </c>
      <c r="R2184" s="91">
        <f>SUM(R2183)</f>
        <v>0</v>
      </c>
      <c r="S2184" s="91">
        <f t="shared" si="3552"/>
        <v>0</v>
      </c>
      <c r="T2184" s="91">
        <f>SUM(T2183)</f>
        <v>0</v>
      </c>
      <c r="U2184" s="59">
        <f t="shared" si="3584"/>
        <v>0</v>
      </c>
      <c r="V2184" s="91">
        <f>SUM(V2183)</f>
        <v>0</v>
      </c>
      <c r="W2184" s="91">
        <f t="shared" si="3553"/>
        <v>0</v>
      </c>
      <c r="X2184" s="91">
        <f t="shared" si="3554"/>
        <v>0</v>
      </c>
      <c r="Y2184" s="136" t="s">
        <v>47</v>
      </c>
      <c r="Z2184" s="136" t="s">
        <v>45</v>
      </c>
      <c r="AA2184" s="136"/>
      <c r="AB2184" s="84"/>
      <c r="AC2184" s="90"/>
      <c r="AD2184" s="90"/>
      <c r="AE2184" s="100">
        <f t="shared" si="3606"/>
        <v>-1</v>
      </c>
      <c r="AF2184" s="90"/>
      <c r="AG2184" s="109">
        <f t="shared" si="3607"/>
        <v>-508</v>
      </c>
      <c r="AH2184" s="100">
        <f t="shared" si="3608"/>
        <v>-1</v>
      </c>
      <c r="AI2184" s="100">
        <f t="shared" si="3609"/>
        <v>-1</v>
      </c>
    </row>
    <row r="2185" spans="1:35" s="47" customFormat="1" ht="21" customHeight="1" x14ac:dyDescent="0.3">
      <c r="A2185" s="78"/>
      <c r="B2185" s="106" t="s">
        <v>51</v>
      </c>
      <c r="C2185" s="117" t="s">
        <v>533</v>
      </c>
      <c r="D2185" s="104">
        <v>15303956</v>
      </c>
      <c r="E2185" s="132" t="s">
        <v>0</v>
      </c>
      <c r="F2185" s="66">
        <v>1520</v>
      </c>
      <c r="G2185" s="66"/>
      <c r="H2185" s="66"/>
      <c r="I2185" s="66"/>
      <c r="J2185" s="66"/>
      <c r="K2185" s="78"/>
      <c r="L2185" s="66">
        <v>8</v>
      </c>
      <c r="M2185" s="66">
        <f>574+972+8</f>
        <v>1554</v>
      </c>
      <c r="N2185" s="110">
        <f>M2185-F2185</f>
        <v>34</v>
      </c>
      <c r="O2185" s="110"/>
      <c r="P2185" s="66">
        <v>8</v>
      </c>
      <c r="Q2185" s="66">
        <f>994+492+60+8</f>
        <v>1554</v>
      </c>
      <c r="R2185" s="66">
        <v>8</v>
      </c>
      <c r="S2185" s="66">
        <f>1546+8</f>
        <v>1554</v>
      </c>
      <c r="T2185" s="110">
        <f>S2185-Q2185</f>
        <v>0</v>
      </c>
      <c r="U2185" s="59">
        <f t="shared" ref="U2185:U2186" si="3610">IF(Q2185&gt;0,S2185-W2185,M2185-W2185)</f>
        <v>18</v>
      </c>
      <c r="V2185" s="66"/>
      <c r="W2185" s="66">
        <f>1364+172</f>
        <v>1536</v>
      </c>
      <c r="X2185" s="110">
        <f>W2185-M2185</f>
        <v>-18</v>
      </c>
      <c r="Y2185" s="110"/>
      <c r="Z2185" s="110"/>
      <c r="AA2185" s="110"/>
      <c r="AB2185" s="46"/>
      <c r="AC2185" s="78"/>
      <c r="AD2185" s="78"/>
      <c r="AE2185" s="100">
        <f t="shared" ref="AE2185:AE2186" si="3611">N2185/F2185</f>
        <v>2.2368421052631579E-2</v>
      </c>
      <c r="AF2185" s="90"/>
      <c r="AG2185" s="109">
        <f t="shared" ref="AG2185:AG2186" si="3612">IF(N2185&lt;0,N2185,0)</f>
        <v>0</v>
      </c>
      <c r="AH2185" s="100">
        <f t="shared" ref="AH2185:AH2186" si="3613">(S2185-F2185)/F2185</f>
        <v>2.2368421052631579E-2</v>
      </c>
      <c r="AI2185" s="100">
        <f t="shared" ref="AI2185:AI2186" si="3614">(W2185-F2185)/F2185</f>
        <v>1.0526315789473684E-2</v>
      </c>
    </row>
    <row r="2186" spans="1:35" s="79" customFormat="1" ht="15.75" customHeight="1" x14ac:dyDescent="0.3">
      <c r="A2186" s="90" t="s">
        <v>46</v>
      </c>
      <c r="B2186" s="136" t="s">
        <v>51</v>
      </c>
      <c r="C2186" s="137"/>
      <c r="D2186" s="136"/>
      <c r="E2186" s="138"/>
      <c r="F2186" s="91">
        <f>SUM(F2185)</f>
        <v>1520</v>
      </c>
      <c r="G2186" s="91"/>
      <c r="H2186" s="91"/>
      <c r="I2186" s="91"/>
      <c r="J2186" s="91" t="s">
        <v>59</v>
      </c>
      <c r="K2186" s="65" t="s">
        <v>226</v>
      </c>
      <c r="L2186" s="91">
        <f>SUM(L2185)</f>
        <v>8</v>
      </c>
      <c r="M2186" s="91">
        <f>SUM(M2185)</f>
        <v>1554</v>
      </c>
      <c r="N2186" s="91">
        <f>SUM(N2185)</f>
        <v>34</v>
      </c>
      <c r="O2186" s="91" t="s">
        <v>479</v>
      </c>
      <c r="P2186" s="91">
        <f>SUM(P2185)</f>
        <v>8</v>
      </c>
      <c r="Q2186" s="91">
        <f>SUM(Q2185)</f>
        <v>1554</v>
      </c>
      <c r="R2186" s="91">
        <f>SUM(R2185)</f>
        <v>8</v>
      </c>
      <c r="S2186" s="91">
        <f t="shared" si="3552"/>
        <v>1554</v>
      </c>
      <c r="T2186" s="91">
        <f>SUM(T2185)</f>
        <v>0</v>
      </c>
      <c r="U2186" s="59">
        <f t="shared" si="3610"/>
        <v>18</v>
      </c>
      <c r="V2186" s="91">
        <f>SUM(V2185)</f>
        <v>0</v>
      </c>
      <c r="W2186" s="91">
        <f t="shared" si="3553"/>
        <v>1536</v>
      </c>
      <c r="X2186" s="91">
        <f t="shared" si="3554"/>
        <v>-18</v>
      </c>
      <c r="Y2186" s="136" t="s">
        <v>48</v>
      </c>
      <c r="Z2186" s="136" t="s">
        <v>45</v>
      </c>
      <c r="AA2186" s="136"/>
      <c r="AB2186" s="84"/>
      <c r="AC2186" s="90"/>
      <c r="AD2186" s="90"/>
      <c r="AE2186" s="100">
        <f t="shared" si="3611"/>
        <v>2.2368421052631579E-2</v>
      </c>
      <c r="AF2186" s="90"/>
      <c r="AG2186" s="109">
        <f t="shared" si="3612"/>
        <v>0</v>
      </c>
      <c r="AH2186" s="100">
        <f t="shared" si="3613"/>
        <v>2.2368421052631579E-2</v>
      </c>
      <c r="AI2186" s="100">
        <f t="shared" si="3614"/>
        <v>1.0526315789473684E-2</v>
      </c>
    </row>
    <row r="2187" spans="1:35" s="47" customFormat="1" ht="21" customHeight="1" x14ac:dyDescent="0.3">
      <c r="A2187" s="78"/>
      <c r="B2187" s="106" t="s">
        <v>51</v>
      </c>
      <c r="C2187" s="117" t="s">
        <v>992</v>
      </c>
      <c r="D2187" s="104">
        <v>15303956</v>
      </c>
      <c r="E2187" s="132" t="s">
        <v>0</v>
      </c>
      <c r="F2187" s="66">
        <v>576</v>
      </c>
      <c r="G2187" s="66"/>
      <c r="H2187" s="66"/>
      <c r="I2187" s="66"/>
      <c r="J2187" s="66"/>
      <c r="K2187" s="78"/>
      <c r="L2187" s="66">
        <f>300+288</f>
        <v>588</v>
      </c>
      <c r="M2187" s="66">
        <f>300+288</f>
        <v>588</v>
      </c>
      <c r="N2187" s="110">
        <f>M2187-F2187</f>
        <v>12</v>
      </c>
      <c r="O2187" s="110"/>
      <c r="P2187" s="66"/>
      <c r="Q2187" s="66"/>
      <c r="R2187" s="66"/>
      <c r="S2187" s="66"/>
      <c r="T2187" s="110">
        <f>S2187-Q2187</f>
        <v>0</v>
      </c>
      <c r="U2187" s="59">
        <f t="shared" si="3584"/>
        <v>588</v>
      </c>
      <c r="V2187" s="66"/>
      <c r="W2187" s="66"/>
      <c r="X2187" s="110">
        <f>W2187-M2187</f>
        <v>-588</v>
      </c>
      <c r="Y2187" s="110"/>
      <c r="Z2187" s="110"/>
      <c r="AA2187" s="110"/>
      <c r="AB2187" s="46"/>
      <c r="AC2187" s="78"/>
      <c r="AD2187" s="78"/>
      <c r="AE2187" s="100">
        <f t="shared" si="3606"/>
        <v>2.0833333333333332E-2</v>
      </c>
      <c r="AF2187" s="90"/>
      <c r="AG2187" s="109">
        <f t="shared" si="3607"/>
        <v>0</v>
      </c>
      <c r="AH2187" s="100">
        <f t="shared" si="3608"/>
        <v>-1</v>
      </c>
      <c r="AI2187" s="100">
        <f t="shared" si="3609"/>
        <v>-1</v>
      </c>
    </row>
    <row r="2188" spans="1:35" s="79" customFormat="1" ht="15.75" customHeight="1" x14ac:dyDescent="0.3">
      <c r="A2188" s="90" t="s">
        <v>46</v>
      </c>
      <c r="B2188" s="136" t="s">
        <v>51</v>
      </c>
      <c r="C2188" s="137"/>
      <c r="D2188" s="136"/>
      <c r="E2188" s="138"/>
      <c r="F2188" s="91">
        <f>SUM(F2187)</f>
        <v>576</v>
      </c>
      <c r="G2188" s="91"/>
      <c r="H2188" s="91"/>
      <c r="I2188" s="91"/>
      <c r="J2188" s="91" t="s">
        <v>59</v>
      </c>
      <c r="K2188" s="65" t="s">
        <v>436</v>
      </c>
      <c r="L2188" s="91">
        <f>SUM(L2187)</f>
        <v>588</v>
      </c>
      <c r="M2188" s="91">
        <f>SUM(M2187)</f>
        <v>588</v>
      </c>
      <c r="N2188" s="91">
        <f>SUM(N2187)</f>
        <v>12</v>
      </c>
      <c r="O2188" s="91"/>
      <c r="P2188" s="91">
        <f>SUM(P2187)</f>
        <v>0</v>
      </c>
      <c r="Q2188" s="91">
        <f>SUM(Q2187)</f>
        <v>0</v>
      </c>
      <c r="R2188" s="91">
        <f>SUM(R2187)</f>
        <v>0</v>
      </c>
      <c r="S2188" s="91">
        <f t="shared" si="3552"/>
        <v>0</v>
      </c>
      <c r="T2188" s="91">
        <f>SUM(T2187)</f>
        <v>0</v>
      </c>
      <c r="U2188" s="59">
        <f t="shared" si="3584"/>
        <v>588</v>
      </c>
      <c r="V2188" s="91">
        <f>SUM(V2187)</f>
        <v>0</v>
      </c>
      <c r="W2188" s="91">
        <f t="shared" si="3553"/>
        <v>0</v>
      </c>
      <c r="X2188" s="91">
        <f t="shared" si="3554"/>
        <v>-588</v>
      </c>
      <c r="Y2188" s="136" t="s">
        <v>48</v>
      </c>
      <c r="Z2188" s="136" t="s">
        <v>45</v>
      </c>
      <c r="AA2188" s="136"/>
      <c r="AB2188" s="84"/>
      <c r="AC2188" s="90"/>
      <c r="AD2188" s="90"/>
      <c r="AE2188" s="100">
        <f t="shared" si="3606"/>
        <v>2.0833333333333332E-2</v>
      </c>
      <c r="AF2188" s="90"/>
      <c r="AG2188" s="109">
        <f t="shared" si="3607"/>
        <v>0</v>
      </c>
      <c r="AH2188" s="100">
        <f t="shared" si="3608"/>
        <v>-1</v>
      </c>
      <c r="AI2188" s="100">
        <f t="shared" si="3609"/>
        <v>-1</v>
      </c>
    </row>
    <row r="2189" spans="1:35" s="47" customFormat="1" ht="21" customHeight="1" x14ac:dyDescent="0.3">
      <c r="A2189" s="78"/>
      <c r="B2189" s="106" t="s">
        <v>51</v>
      </c>
      <c r="C2189" s="117" t="s">
        <v>999</v>
      </c>
      <c r="D2189" s="104">
        <v>15326481</v>
      </c>
      <c r="E2189" s="132" t="s">
        <v>0</v>
      </c>
      <c r="F2189" s="66">
        <v>1716</v>
      </c>
      <c r="G2189" s="66"/>
      <c r="H2189" s="66"/>
      <c r="I2189" s="66"/>
      <c r="J2189" s="66"/>
      <c r="K2189" s="78"/>
      <c r="L2189" s="66"/>
      <c r="M2189" s="66"/>
      <c r="N2189" s="110">
        <f>M2189-F2189</f>
        <v>-1716</v>
      </c>
      <c r="O2189" s="110"/>
      <c r="P2189" s="66"/>
      <c r="Q2189" s="66"/>
      <c r="R2189" s="66"/>
      <c r="S2189" s="66"/>
      <c r="T2189" s="110">
        <f>S2189-Q2189</f>
        <v>0</v>
      </c>
      <c r="U2189" s="59">
        <f t="shared" si="3584"/>
        <v>0</v>
      </c>
      <c r="V2189" s="66"/>
      <c r="W2189" s="66"/>
      <c r="X2189" s="110">
        <f>W2189-M2189</f>
        <v>0</v>
      </c>
      <c r="Y2189" s="110"/>
      <c r="Z2189" s="110"/>
      <c r="AA2189" s="110"/>
      <c r="AB2189" s="46"/>
      <c r="AC2189" s="78"/>
      <c r="AD2189" s="78"/>
      <c r="AE2189" s="100">
        <f t="shared" ref="AE2189:AE2190" si="3615">N2189/F2189</f>
        <v>-1</v>
      </c>
      <c r="AF2189" s="90"/>
      <c r="AG2189" s="109">
        <f t="shared" ref="AG2189:AG2190" si="3616">IF(N2189&lt;0,N2189,0)</f>
        <v>-1716</v>
      </c>
      <c r="AH2189" s="100">
        <f t="shared" ref="AH2189:AH2190" si="3617">(S2189-F2189)/F2189</f>
        <v>-1</v>
      </c>
      <c r="AI2189" s="100">
        <f t="shared" ref="AI2189:AI2190" si="3618">(W2189-F2189)/F2189</f>
        <v>-1</v>
      </c>
    </row>
    <row r="2190" spans="1:35" s="79" customFormat="1" ht="15.75" customHeight="1" x14ac:dyDescent="0.3">
      <c r="A2190" s="90" t="s">
        <v>46</v>
      </c>
      <c r="B2190" s="136" t="s">
        <v>51</v>
      </c>
      <c r="C2190" s="137"/>
      <c r="D2190" s="136"/>
      <c r="E2190" s="138"/>
      <c r="F2190" s="91">
        <f>SUM(F2189)</f>
        <v>1716</v>
      </c>
      <c r="G2190" s="91"/>
      <c r="H2190" s="91"/>
      <c r="I2190" s="91"/>
      <c r="J2190" s="91" t="s">
        <v>60</v>
      </c>
      <c r="K2190" s="65" t="s">
        <v>617</v>
      </c>
      <c r="L2190" s="91">
        <f>SUM(L2189)</f>
        <v>0</v>
      </c>
      <c r="M2190" s="91">
        <f>SUM(M2189)</f>
        <v>0</v>
      </c>
      <c r="N2190" s="91">
        <f>SUM(N2189)</f>
        <v>-1716</v>
      </c>
      <c r="O2190" s="91"/>
      <c r="P2190" s="91">
        <f>SUM(P2189)</f>
        <v>0</v>
      </c>
      <c r="Q2190" s="91">
        <f>SUM(Q2189)</f>
        <v>0</v>
      </c>
      <c r="R2190" s="91">
        <f>SUM(R2189)</f>
        <v>0</v>
      </c>
      <c r="S2190" s="91">
        <f t="shared" si="3552"/>
        <v>0</v>
      </c>
      <c r="T2190" s="91">
        <f>SUM(T2189)</f>
        <v>0</v>
      </c>
      <c r="U2190" s="59">
        <f t="shared" si="3584"/>
        <v>0</v>
      </c>
      <c r="V2190" s="91">
        <f>SUM(V2189)</f>
        <v>0</v>
      </c>
      <c r="W2190" s="91">
        <f t="shared" si="3553"/>
        <v>0</v>
      </c>
      <c r="X2190" s="91">
        <f t="shared" si="3554"/>
        <v>0</v>
      </c>
      <c r="Y2190" s="136"/>
      <c r="Z2190" s="136"/>
      <c r="AA2190" s="136"/>
      <c r="AB2190" s="84"/>
      <c r="AC2190" s="90"/>
      <c r="AD2190" s="90"/>
      <c r="AE2190" s="100">
        <f t="shared" si="3615"/>
        <v>-1</v>
      </c>
      <c r="AF2190" s="90"/>
      <c r="AG2190" s="109">
        <f t="shared" si="3616"/>
        <v>-1716</v>
      </c>
      <c r="AH2190" s="100">
        <f t="shared" si="3617"/>
        <v>-1</v>
      </c>
      <c r="AI2190" s="100">
        <f t="shared" si="3618"/>
        <v>-1</v>
      </c>
    </row>
    <row r="2191" spans="1:35" s="47" customFormat="1" ht="21" customHeight="1" x14ac:dyDescent="0.3">
      <c r="A2191" s="78"/>
      <c r="B2191" s="106" t="s">
        <v>51</v>
      </c>
      <c r="C2191" s="117" t="s">
        <v>289</v>
      </c>
      <c r="D2191" s="104">
        <v>15303953</v>
      </c>
      <c r="E2191" s="132" t="s">
        <v>0</v>
      </c>
      <c r="F2191" s="66">
        <v>1520</v>
      </c>
      <c r="G2191" s="66"/>
      <c r="H2191" s="66"/>
      <c r="I2191" s="66"/>
      <c r="J2191" s="66"/>
      <c r="K2191" s="78"/>
      <c r="L2191" s="66"/>
      <c r="M2191" s="66">
        <f>480+864+218</f>
        <v>1562</v>
      </c>
      <c r="N2191" s="110">
        <f>M2191-F2191</f>
        <v>42</v>
      </c>
      <c r="O2191" s="110"/>
      <c r="P2191" s="66"/>
      <c r="Q2191" s="66">
        <f>480+372+492+218</f>
        <v>1562</v>
      </c>
      <c r="R2191" s="66"/>
      <c r="S2191" s="66">
        <f>475+859+219</f>
        <v>1553</v>
      </c>
      <c r="T2191" s="110">
        <f>S2191-Q2191</f>
        <v>-9</v>
      </c>
      <c r="U2191" s="59">
        <f t="shared" si="3584"/>
        <v>0</v>
      </c>
      <c r="V2191" s="66"/>
      <c r="W2191" s="66">
        <f>846+707</f>
        <v>1553</v>
      </c>
      <c r="X2191" s="110">
        <f>W2191-M2191</f>
        <v>-9</v>
      </c>
      <c r="Y2191" s="110"/>
      <c r="Z2191" s="110"/>
      <c r="AA2191" s="110"/>
      <c r="AB2191" s="46"/>
      <c r="AC2191" s="78"/>
      <c r="AD2191" s="78"/>
      <c r="AE2191" s="100">
        <f t="shared" ref="AE2191:AE2194" si="3619">N2191/F2191</f>
        <v>2.763157894736842E-2</v>
      </c>
      <c r="AF2191" s="90"/>
      <c r="AG2191" s="109">
        <f t="shared" ref="AG2191:AG2194" si="3620">IF(N2191&lt;0,N2191,0)</f>
        <v>0</v>
      </c>
      <c r="AH2191" s="100">
        <f t="shared" ref="AH2191:AH2194" si="3621">(S2191-F2191)/F2191</f>
        <v>2.1710526315789475E-2</v>
      </c>
      <c r="AI2191" s="100">
        <f t="shared" ref="AI2191:AI2194" si="3622">(W2191-F2191)/F2191</f>
        <v>2.1710526315789475E-2</v>
      </c>
    </row>
    <row r="2192" spans="1:35" s="79" customFormat="1" ht="15.75" customHeight="1" x14ac:dyDescent="0.3">
      <c r="A2192" s="90" t="s">
        <v>46</v>
      </c>
      <c r="B2192" s="136" t="s">
        <v>51</v>
      </c>
      <c r="C2192" s="137"/>
      <c r="D2192" s="136"/>
      <c r="E2192" s="138"/>
      <c r="F2192" s="91">
        <f>SUM(F2191)</f>
        <v>1520</v>
      </c>
      <c r="G2192" s="91"/>
      <c r="H2192" s="91"/>
      <c r="I2192" s="91"/>
      <c r="J2192" s="91" t="s">
        <v>59</v>
      </c>
      <c r="K2192" s="65" t="s">
        <v>238</v>
      </c>
      <c r="L2192" s="91">
        <f>SUM(L2191)</f>
        <v>0</v>
      </c>
      <c r="M2192" s="91">
        <f>SUM(M2191)</f>
        <v>1562</v>
      </c>
      <c r="N2192" s="91">
        <f>SUM(N2191)</f>
        <v>42</v>
      </c>
      <c r="O2192" s="91" t="s">
        <v>208</v>
      </c>
      <c r="P2192" s="91">
        <f>SUM(P2191)</f>
        <v>0</v>
      </c>
      <c r="Q2192" s="91">
        <f>SUM(Q2191)</f>
        <v>1562</v>
      </c>
      <c r="R2192" s="91">
        <f>SUM(R2191)</f>
        <v>0</v>
      </c>
      <c r="S2192" s="91">
        <f t="shared" si="3552"/>
        <v>1553</v>
      </c>
      <c r="T2192" s="91">
        <f>SUM(T2191)</f>
        <v>-9</v>
      </c>
      <c r="U2192" s="59">
        <f t="shared" si="3584"/>
        <v>0</v>
      </c>
      <c r="V2192" s="91">
        <f>SUM(V2191)</f>
        <v>0</v>
      </c>
      <c r="W2192" s="91">
        <f t="shared" si="3553"/>
        <v>1553</v>
      </c>
      <c r="X2192" s="91">
        <f t="shared" si="3554"/>
        <v>-9</v>
      </c>
      <c r="Y2192" s="136" t="s">
        <v>48</v>
      </c>
      <c r="Z2192" s="136" t="s">
        <v>45</v>
      </c>
      <c r="AA2192" s="136"/>
      <c r="AB2192" s="84"/>
      <c r="AC2192" s="90"/>
      <c r="AD2192" s="90"/>
      <c r="AE2192" s="100">
        <f t="shared" si="3619"/>
        <v>2.763157894736842E-2</v>
      </c>
      <c r="AF2192" s="90"/>
      <c r="AG2192" s="109">
        <f t="shared" si="3620"/>
        <v>0</v>
      </c>
      <c r="AH2192" s="100">
        <f t="shared" si="3621"/>
        <v>2.1710526315789475E-2</v>
      </c>
      <c r="AI2192" s="100">
        <f t="shared" si="3622"/>
        <v>2.1710526315789475E-2</v>
      </c>
    </row>
    <row r="2193" spans="1:35" s="47" customFormat="1" ht="21" customHeight="1" x14ac:dyDescent="0.3">
      <c r="A2193" s="78"/>
      <c r="B2193" s="106" t="s">
        <v>51</v>
      </c>
      <c r="C2193" s="117" t="s">
        <v>991</v>
      </c>
      <c r="D2193" s="104">
        <v>15303953</v>
      </c>
      <c r="E2193" s="132" t="s">
        <v>0</v>
      </c>
      <c r="F2193" s="66">
        <v>848</v>
      </c>
      <c r="G2193" s="66"/>
      <c r="H2193" s="66"/>
      <c r="I2193" s="66"/>
      <c r="J2193" s="66"/>
      <c r="K2193" s="78"/>
      <c r="L2193" s="66"/>
      <c r="M2193" s="66"/>
      <c r="N2193" s="110">
        <f>M2193-F2193</f>
        <v>-848</v>
      </c>
      <c r="O2193" s="110"/>
      <c r="P2193" s="66"/>
      <c r="Q2193" s="66"/>
      <c r="R2193" s="66"/>
      <c r="S2193" s="66"/>
      <c r="T2193" s="110">
        <f>S2193-Q2193</f>
        <v>0</v>
      </c>
      <c r="U2193" s="59">
        <f t="shared" ref="U2193:U2194" si="3623">IF(Q2193&gt;0,S2193-W2193,M2193-W2193)</f>
        <v>0</v>
      </c>
      <c r="V2193" s="66"/>
      <c r="W2193" s="66"/>
      <c r="X2193" s="110">
        <f>W2193-M2193</f>
        <v>0</v>
      </c>
      <c r="Y2193" s="110"/>
      <c r="Z2193" s="110"/>
      <c r="AA2193" s="110"/>
      <c r="AB2193" s="46"/>
      <c r="AC2193" s="78"/>
      <c r="AD2193" s="78"/>
      <c r="AE2193" s="100">
        <f t="shared" si="3619"/>
        <v>-1</v>
      </c>
      <c r="AF2193" s="90"/>
      <c r="AG2193" s="109">
        <f t="shared" si="3620"/>
        <v>-848</v>
      </c>
      <c r="AH2193" s="100">
        <f t="shared" si="3621"/>
        <v>-1</v>
      </c>
      <c r="AI2193" s="100">
        <f t="shared" si="3622"/>
        <v>-1</v>
      </c>
    </row>
    <row r="2194" spans="1:35" s="79" customFormat="1" ht="15.75" customHeight="1" x14ac:dyDescent="0.3">
      <c r="A2194" s="90" t="s">
        <v>46</v>
      </c>
      <c r="B2194" s="136" t="s">
        <v>51</v>
      </c>
      <c r="C2194" s="137"/>
      <c r="D2194" s="136"/>
      <c r="E2194" s="138"/>
      <c r="F2194" s="91">
        <f>SUM(F2193)</f>
        <v>848</v>
      </c>
      <c r="G2194" s="91"/>
      <c r="H2194" s="91"/>
      <c r="I2194" s="91"/>
      <c r="J2194" s="91" t="s">
        <v>59</v>
      </c>
      <c r="K2194" s="65" t="s">
        <v>436</v>
      </c>
      <c r="L2194" s="91">
        <f>SUM(L2193)</f>
        <v>0</v>
      </c>
      <c r="M2194" s="91">
        <f>SUM(M2193)</f>
        <v>0</v>
      </c>
      <c r="N2194" s="91">
        <f>SUM(N2193)</f>
        <v>-848</v>
      </c>
      <c r="O2194" s="91"/>
      <c r="P2194" s="91">
        <f>SUM(P2193)</f>
        <v>0</v>
      </c>
      <c r="Q2194" s="91">
        <f>SUM(Q2193)</f>
        <v>0</v>
      </c>
      <c r="R2194" s="91">
        <f>SUM(R2193)</f>
        <v>0</v>
      </c>
      <c r="S2194" s="91">
        <f t="shared" si="3552"/>
        <v>0</v>
      </c>
      <c r="T2194" s="91">
        <f>SUM(T2193)</f>
        <v>0</v>
      </c>
      <c r="U2194" s="59">
        <f t="shared" si="3623"/>
        <v>0</v>
      </c>
      <c r="V2194" s="91">
        <f>SUM(V2193)</f>
        <v>0</v>
      </c>
      <c r="W2194" s="91">
        <f t="shared" si="3553"/>
        <v>0</v>
      </c>
      <c r="X2194" s="91">
        <f t="shared" si="3554"/>
        <v>0</v>
      </c>
      <c r="Y2194" s="136" t="s">
        <v>48</v>
      </c>
      <c r="Z2194" s="136" t="s">
        <v>45</v>
      </c>
      <c r="AA2194" s="136"/>
      <c r="AB2194" s="84"/>
      <c r="AC2194" s="90"/>
      <c r="AD2194" s="90"/>
      <c r="AE2194" s="100">
        <f t="shared" si="3619"/>
        <v>-1</v>
      </c>
      <c r="AF2194" s="90"/>
      <c r="AG2194" s="109">
        <f t="shared" si="3620"/>
        <v>-848</v>
      </c>
      <c r="AH2194" s="100">
        <f t="shared" si="3621"/>
        <v>-1</v>
      </c>
      <c r="AI2194" s="100">
        <f t="shared" si="3622"/>
        <v>-1</v>
      </c>
    </row>
    <row r="2195" spans="1:35" s="47" customFormat="1" ht="21" customHeight="1" x14ac:dyDescent="0.3">
      <c r="A2195" s="78"/>
      <c r="B2195" s="106" t="s">
        <v>51</v>
      </c>
      <c r="C2195" s="117">
        <v>48238</v>
      </c>
      <c r="D2195" s="104">
        <v>15397105</v>
      </c>
      <c r="E2195" s="132" t="s">
        <v>228</v>
      </c>
      <c r="F2195" s="66">
        <v>520</v>
      </c>
      <c r="G2195" s="66"/>
      <c r="H2195" s="66"/>
      <c r="I2195" s="66"/>
      <c r="J2195" s="66"/>
      <c r="K2195" s="78"/>
      <c r="L2195" s="66"/>
      <c r="M2195" s="66">
        <f>533</f>
        <v>533</v>
      </c>
      <c r="N2195" s="110">
        <f>M2195-F2195</f>
        <v>13</v>
      </c>
      <c r="O2195" s="110"/>
      <c r="P2195" s="66"/>
      <c r="Q2195" s="66">
        <v>533</v>
      </c>
      <c r="R2195" s="66"/>
      <c r="S2195" s="66"/>
      <c r="T2195" s="110">
        <f>S2195-Q2195</f>
        <v>-533</v>
      </c>
      <c r="U2195" s="59">
        <f t="shared" si="3584"/>
        <v>0</v>
      </c>
      <c r="V2195" s="66"/>
      <c r="W2195" s="66"/>
      <c r="X2195" s="110">
        <f>W2195-M2195</f>
        <v>-533</v>
      </c>
      <c r="Y2195" s="110"/>
      <c r="Z2195" s="110"/>
      <c r="AA2195" s="110"/>
      <c r="AB2195" s="46"/>
      <c r="AC2195" s="78"/>
      <c r="AD2195" s="78"/>
      <c r="AE2195" s="100">
        <f t="shared" ref="AE2195:AE2198" si="3624">N2195/F2195</f>
        <v>2.5000000000000001E-2</v>
      </c>
      <c r="AF2195" s="90"/>
      <c r="AG2195" s="109">
        <f t="shared" ref="AG2195:AG2198" si="3625">IF(N2195&lt;0,N2195,0)</f>
        <v>0</v>
      </c>
      <c r="AH2195" s="100">
        <f t="shared" ref="AH2195:AH2198" si="3626">(S2195-F2195)/F2195</f>
        <v>-1</v>
      </c>
      <c r="AI2195" s="100">
        <f t="shared" ref="AI2195:AI2198" si="3627">(W2195-F2195)/F2195</f>
        <v>-1</v>
      </c>
    </row>
    <row r="2196" spans="1:35" s="79" customFormat="1" ht="15.75" customHeight="1" x14ac:dyDescent="0.3">
      <c r="A2196" s="90" t="s">
        <v>46</v>
      </c>
      <c r="B2196" s="136" t="s">
        <v>51</v>
      </c>
      <c r="C2196" s="137"/>
      <c r="D2196" s="136"/>
      <c r="E2196" s="138"/>
      <c r="F2196" s="91">
        <f>SUM(F2195)</f>
        <v>520</v>
      </c>
      <c r="G2196" s="91"/>
      <c r="H2196" s="91"/>
      <c r="I2196" s="91"/>
      <c r="J2196" s="91" t="s">
        <v>59</v>
      </c>
      <c r="K2196" s="65" t="s">
        <v>377</v>
      </c>
      <c r="L2196" s="91">
        <f>SUM(L2195)</f>
        <v>0</v>
      </c>
      <c r="M2196" s="91">
        <f>SUM(M2195)</f>
        <v>533</v>
      </c>
      <c r="N2196" s="91">
        <f>SUM(N2195)</f>
        <v>13</v>
      </c>
      <c r="O2196" s="91" t="s">
        <v>290</v>
      </c>
      <c r="P2196" s="91">
        <f>SUM(P2195)</f>
        <v>0</v>
      </c>
      <c r="Q2196" s="91">
        <f>SUM(Q2195)</f>
        <v>533</v>
      </c>
      <c r="R2196" s="91">
        <f>SUM(R2195)</f>
        <v>0</v>
      </c>
      <c r="S2196" s="91">
        <f t="shared" si="3552"/>
        <v>0</v>
      </c>
      <c r="T2196" s="91">
        <f>SUM(T2195)</f>
        <v>-533</v>
      </c>
      <c r="U2196" s="59">
        <f t="shared" si="3584"/>
        <v>0</v>
      </c>
      <c r="V2196" s="91">
        <f>SUM(V2195)</f>
        <v>0</v>
      </c>
      <c r="W2196" s="91">
        <f t="shared" si="3553"/>
        <v>0</v>
      </c>
      <c r="X2196" s="91">
        <f t="shared" si="3554"/>
        <v>-533</v>
      </c>
      <c r="Y2196" s="136" t="s">
        <v>47</v>
      </c>
      <c r="Z2196" s="136" t="s">
        <v>45</v>
      </c>
      <c r="AA2196" s="136"/>
      <c r="AB2196" s="84"/>
      <c r="AC2196" s="90"/>
      <c r="AD2196" s="90"/>
      <c r="AE2196" s="100">
        <f t="shared" si="3624"/>
        <v>2.5000000000000001E-2</v>
      </c>
      <c r="AF2196" s="90"/>
      <c r="AG2196" s="109">
        <f t="shared" si="3625"/>
        <v>0</v>
      </c>
      <c r="AH2196" s="100">
        <f t="shared" si="3626"/>
        <v>-1</v>
      </c>
      <c r="AI2196" s="100">
        <f t="shared" si="3627"/>
        <v>-1</v>
      </c>
    </row>
    <row r="2197" spans="1:35" s="47" customFormat="1" ht="21" customHeight="1" x14ac:dyDescent="0.3">
      <c r="A2197" s="78"/>
      <c r="B2197" s="106" t="s">
        <v>51</v>
      </c>
      <c r="C2197" s="117" t="s">
        <v>990</v>
      </c>
      <c r="D2197" s="104">
        <v>15200077</v>
      </c>
      <c r="E2197" s="132" t="s">
        <v>0</v>
      </c>
      <c r="F2197" s="66">
        <v>305</v>
      </c>
      <c r="G2197" s="66"/>
      <c r="H2197" s="66"/>
      <c r="I2197" s="66"/>
      <c r="J2197" s="66"/>
      <c r="K2197" s="78"/>
      <c r="L2197" s="66"/>
      <c r="M2197" s="66"/>
      <c r="N2197" s="110">
        <f>M2197-F2197</f>
        <v>-305</v>
      </c>
      <c r="O2197" s="110"/>
      <c r="P2197" s="66"/>
      <c r="Q2197" s="66"/>
      <c r="R2197" s="66"/>
      <c r="S2197" s="66"/>
      <c r="T2197" s="110">
        <f>S2197-Q2197</f>
        <v>0</v>
      </c>
      <c r="U2197" s="59">
        <f t="shared" ref="U2197:U2198" si="3628">IF(Q2197&gt;0,S2197-W2197,M2197-W2197)</f>
        <v>0</v>
      </c>
      <c r="V2197" s="66"/>
      <c r="W2197" s="66"/>
      <c r="X2197" s="110">
        <f>W2197-M2197</f>
        <v>0</v>
      </c>
      <c r="Y2197" s="110"/>
      <c r="Z2197" s="110"/>
      <c r="AA2197" s="110"/>
      <c r="AB2197" s="46"/>
      <c r="AC2197" s="78"/>
      <c r="AD2197" s="78"/>
      <c r="AE2197" s="100">
        <f t="shared" si="3624"/>
        <v>-1</v>
      </c>
      <c r="AF2197" s="90"/>
      <c r="AG2197" s="109">
        <f t="shared" si="3625"/>
        <v>-305</v>
      </c>
      <c r="AH2197" s="100">
        <f t="shared" si="3626"/>
        <v>-1</v>
      </c>
      <c r="AI2197" s="100">
        <f t="shared" si="3627"/>
        <v>-1</v>
      </c>
    </row>
    <row r="2198" spans="1:35" s="79" customFormat="1" ht="15.75" customHeight="1" x14ac:dyDescent="0.3">
      <c r="A2198" s="90" t="s">
        <v>46</v>
      </c>
      <c r="B2198" s="136" t="s">
        <v>51</v>
      </c>
      <c r="C2198" s="137"/>
      <c r="D2198" s="136"/>
      <c r="E2198" s="138"/>
      <c r="F2198" s="91">
        <f>SUM(F2197)</f>
        <v>305</v>
      </c>
      <c r="G2198" s="91"/>
      <c r="H2198" s="91"/>
      <c r="I2198" s="91"/>
      <c r="J2198" s="91" t="s">
        <v>59</v>
      </c>
      <c r="K2198" s="65" t="s">
        <v>436</v>
      </c>
      <c r="L2198" s="91">
        <f>SUM(L2197)</f>
        <v>0</v>
      </c>
      <c r="M2198" s="91">
        <f>SUM(M2197)</f>
        <v>0</v>
      </c>
      <c r="N2198" s="91">
        <f>SUM(N2197)</f>
        <v>-305</v>
      </c>
      <c r="O2198" s="91"/>
      <c r="P2198" s="91">
        <f>SUM(P2197)</f>
        <v>0</v>
      </c>
      <c r="Q2198" s="91">
        <f>SUM(Q2197)</f>
        <v>0</v>
      </c>
      <c r="R2198" s="91">
        <f>SUM(R2197)</f>
        <v>0</v>
      </c>
      <c r="S2198" s="91">
        <f t="shared" si="3552"/>
        <v>0</v>
      </c>
      <c r="T2198" s="91">
        <f>SUM(T2197)</f>
        <v>0</v>
      </c>
      <c r="U2198" s="59">
        <f t="shared" si="3628"/>
        <v>0</v>
      </c>
      <c r="V2198" s="91">
        <f>SUM(V2197)</f>
        <v>0</v>
      </c>
      <c r="W2198" s="91">
        <f t="shared" si="3553"/>
        <v>0</v>
      </c>
      <c r="X2198" s="91">
        <f t="shared" si="3554"/>
        <v>0</v>
      </c>
      <c r="Y2198" s="136" t="s">
        <v>47</v>
      </c>
      <c r="Z2198" s="136" t="s">
        <v>45</v>
      </c>
      <c r="AA2198" s="136"/>
      <c r="AB2198" s="84"/>
      <c r="AC2198" s="90"/>
      <c r="AD2198" s="90"/>
      <c r="AE2198" s="100">
        <f t="shared" si="3624"/>
        <v>-1</v>
      </c>
      <c r="AF2198" s="90"/>
      <c r="AG2198" s="109">
        <f t="shared" si="3625"/>
        <v>-305</v>
      </c>
      <c r="AH2198" s="100">
        <f t="shared" si="3626"/>
        <v>-1</v>
      </c>
      <c r="AI2198" s="100">
        <f t="shared" si="3627"/>
        <v>-1</v>
      </c>
    </row>
    <row r="2199" spans="1:35" s="47" customFormat="1" ht="21" customHeight="1" x14ac:dyDescent="0.3">
      <c r="A2199" s="78"/>
      <c r="B2199" s="106" t="s">
        <v>51</v>
      </c>
      <c r="C2199" s="117" t="s">
        <v>911</v>
      </c>
      <c r="D2199" s="104">
        <v>15299770</v>
      </c>
      <c r="E2199" s="132" t="s">
        <v>0</v>
      </c>
      <c r="F2199" s="66">
        <v>1612</v>
      </c>
      <c r="G2199" s="66"/>
      <c r="H2199" s="66"/>
      <c r="I2199" s="66"/>
      <c r="J2199" s="66"/>
      <c r="K2199" s="78"/>
      <c r="L2199" s="66"/>
      <c r="M2199" s="66">
        <f>1628</f>
        <v>1628</v>
      </c>
      <c r="N2199" s="110">
        <f>M2199-F2199</f>
        <v>16</v>
      </c>
      <c r="O2199" s="110"/>
      <c r="P2199" s="66"/>
      <c r="Q2199" s="66"/>
      <c r="R2199" s="66"/>
      <c r="S2199" s="66"/>
      <c r="T2199" s="110">
        <f>S2199-Q2199</f>
        <v>0</v>
      </c>
      <c r="U2199" s="59">
        <f t="shared" si="3584"/>
        <v>0</v>
      </c>
      <c r="V2199" s="66">
        <v>1628</v>
      </c>
      <c r="W2199" s="66">
        <v>1628</v>
      </c>
      <c r="X2199" s="110">
        <f>W2199-M2199</f>
        <v>0</v>
      </c>
      <c r="Y2199" s="110"/>
      <c r="Z2199" s="110"/>
      <c r="AA2199" s="110"/>
      <c r="AB2199" s="46"/>
      <c r="AC2199" s="78"/>
      <c r="AD2199" s="78"/>
      <c r="AE2199" s="100">
        <f t="shared" ref="AE2199:AE2254" si="3629">N2199/F2199</f>
        <v>9.9255583126550868E-3</v>
      </c>
      <c r="AF2199" s="90"/>
      <c r="AG2199" s="109">
        <f t="shared" ref="AG2199:AG2254" si="3630">IF(N2199&lt;0,N2199,0)</f>
        <v>0</v>
      </c>
      <c r="AH2199" s="100">
        <f t="shared" ref="AH2199:AH2254" si="3631">(S2199-F2199)/F2199</f>
        <v>-1</v>
      </c>
      <c r="AI2199" s="100">
        <f t="shared" ref="AI2199:AI2254" si="3632">(W2199-F2199)/F2199</f>
        <v>9.9255583126550868E-3</v>
      </c>
    </row>
    <row r="2200" spans="1:35" s="79" customFormat="1" ht="15.75" customHeight="1" x14ac:dyDescent="0.3">
      <c r="A2200" s="90" t="s">
        <v>46</v>
      </c>
      <c r="B2200" s="136" t="s">
        <v>51</v>
      </c>
      <c r="C2200" s="137"/>
      <c r="D2200" s="136"/>
      <c r="E2200" s="138"/>
      <c r="F2200" s="91">
        <f>SUM(F2199)</f>
        <v>1612</v>
      </c>
      <c r="G2200" s="91"/>
      <c r="H2200" s="91"/>
      <c r="I2200" s="91"/>
      <c r="J2200" s="91" t="s">
        <v>59</v>
      </c>
      <c r="K2200" s="65" t="s">
        <v>226</v>
      </c>
      <c r="L2200" s="91">
        <f>SUM(L2199)</f>
        <v>0</v>
      </c>
      <c r="M2200" s="91">
        <f>SUM(M2199)</f>
        <v>1628</v>
      </c>
      <c r="N2200" s="91">
        <f>SUM(N2199)</f>
        <v>16</v>
      </c>
      <c r="O2200" s="91"/>
      <c r="P2200" s="91">
        <f>SUM(P2199)</f>
        <v>0</v>
      </c>
      <c r="Q2200" s="91">
        <f>SUM(Q2199)</f>
        <v>0</v>
      </c>
      <c r="R2200" s="91">
        <f>SUM(R2199)</f>
        <v>0</v>
      </c>
      <c r="S2200" s="91">
        <f t="shared" si="3552"/>
        <v>0</v>
      </c>
      <c r="T2200" s="91">
        <f>SUM(T2199)</f>
        <v>0</v>
      </c>
      <c r="U2200" s="59">
        <f t="shared" si="3584"/>
        <v>0</v>
      </c>
      <c r="V2200" s="91">
        <f>SUM(V2199)</f>
        <v>1628</v>
      </c>
      <c r="W2200" s="91">
        <f t="shared" si="3553"/>
        <v>1628</v>
      </c>
      <c r="X2200" s="91">
        <f t="shared" si="3554"/>
        <v>0</v>
      </c>
      <c r="Y2200" s="136"/>
      <c r="Z2200" s="136"/>
      <c r="AA2200" s="136"/>
      <c r="AB2200" s="84"/>
      <c r="AC2200" s="90"/>
      <c r="AD2200" s="90"/>
      <c r="AE2200" s="100">
        <f t="shared" si="3629"/>
        <v>9.9255583126550868E-3</v>
      </c>
      <c r="AF2200" s="90"/>
      <c r="AG2200" s="109">
        <f t="shared" si="3630"/>
        <v>0</v>
      </c>
      <c r="AH2200" s="100">
        <f t="shared" si="3631"/>
        <v>-1</v>
      </c>
      <c r="AI2200" s="100">
        <f t="shared" si="3632"/>
        <v>9.9255583126550868E-3</v>
      </c>
    </row>
    <row r="2201" spans="1:35" s="47" customFormat="1" ht="21" customHeight="1" x14ac:dyDescent="0.3">
      <c r="A2201" s="78"/>
      <c r="B2201" s="106" t="s">
        <v>51</v>
      </c>
      <c r="C2201" s="117" t="s">
        <v>998</v>
      </c>
      <c r="D2201" s="104">
        <v>15315774</v>
      </c>
      <c r="E2201" s="132" t="s">
        <v>230</v>
      </c>
      <c r="F2201" s="66">
        <v>720</v>
      </c>
      <c r="G2201" s="66"/>
      <c r="H2201" s="66"/>
      <c r="I2201" s="66"/>
      <c r="J2201" s="66"/>
      <c r="K2201" s="78"/>
      <c r="L2201" s="66"/>
      <c r="M2201" s="66"/>
      <c r="N2201" s="110">
        <f>M2201-F2201</f>
        <v>-720</v>
      </c>
      <c r="O2201" s="110"/>
      <c r="P2201" s="66"/>
      <c r="Q2201" s="66"/>
      <c r="R2201" s="66"/>
      <c r="S2201" s="66"/>
      <c r="T2201" s="110">
        <f>S2201-Q2201</f>
        <v>0</v>
      </c>
      <c r="U2201" s="59">
        <f t="shared" si="3584"/>
        <v>0</v>
      </c>
      <c r="V2201" s="66"/>
      <c r="W2201" s="66"/>
      <c r="X2201" s="110">
        <f>W2201-M2201</f>
        <v>0</v>
      </c>
      <c r="Y2201" s="110"/>
      <c r="Z2201" s="110"/>
      <c r="AA2201" s="110"/>
      <c r="AB2201" s="46"/>
      <c r="AC2201" s="78"/>
      <c r="AD2201" s="78"/>
      <c r="AE2201" s="100">
        <f t="shared" ref="AE2201:AE2204" si="3633">N2201/F2201</f>
        <v>-1</v>
      </c>
      <c r="AF2201" s="90"/>
      <c r="AG2201" s="109">
        <f t="shared" ref="AG2201:AG2204" si="3634">IF(N2201&lt;0,N2201,0)</f>
        <v>-720</v>
      </c>
      <c r="AH2201" s="100">
        <f t="shared" ref="AH2201:AH2204" si="3635">(S2201-F2201)/F2201</f>
        <v>-1</v>
      </c>
      <c r="AI2201" s="100">
        <f t="shared" ref="AI2201:AI2204" si="3636">(W2201-F2201)/F2201</f>
        <v>-1</v>
      </c>
    </row>
    <row r="2202" spans="1:35" s="79" customFormat="1" ht="15.75" customHeight="1" x14ac:dyDescent="0.3">
      <c r="A2202" s="90" t="s">
        <v>46</v>
      </c>
      <c r="B2202" s="136" t="s">
        <v>51</v>
      </c>
      <c r="C2202" s="137"/>
      <c r="D2202" s="136"/>
      <c r="E2202" s="138"/>
      <c r="F2202" s="91">
        <f>SUM(F2201)</f>
        <v>720</v>
      </c>
      <c r="G2202" s="91"/>
      <c r="H2202" s="91"/>
      <c r="I2202" s="91"/>
      <c r="J2202" s="91" t="s">
        <v>60</v>
      </c>
      <c r="K2202" s="65" t="s">
        <v>617</v>
      </c>
      <c r="L2202" s="91">
        <f>SUM(L2201)</f>
        <v>0</v>
      </c>
      <c r="M2202" s="91">
        <f>SUM(M2201)</f>
        <v>0</v>
      </c>
      <c r="N2202" s="91">
        <f>SUM(N2201)</f>
        <v>-720</v>
      </c>
      <c r="O2202" s="91"/>
      <c r="P2202" s="91">
        <f>SUM(P2201)</f>
        <v>0</v>
      </c>
      <c r="Q2202" s="91">
        <f>SUM(Q2201)</f>
        <v>0</v>
      </c>
      <c r="R2202" s="91">
        <f>SUM(R2201)</f>
        <v>0</v>
      </c>
      <c r="S2202" s="91">
        <f t="shared" si="3552"/>
        <v>0</v>
      </c>
      <c r="T2202" s="91">
        <f>SUM(T2201)</f>
        <v>0</v>
      </c>
      <c r="U2202" s="59">
        <f t="shared" si="3584"/>
        <v>0</v>
      </c>
      <c r="V2202" s="91">
        <f>SUM(V2201)</f>
        <v>0</v>
      </c>
      <c r="W2202" s="91">
        <f t="shared" si="3553"/>
        <v>0</v>
      </c>
      <c r="X2202" s="91">
        <f t="shared" si="3554"/>
        <v>0</v>
      </c>
      <c r="Y2202" s="136" t="s">
        <v>48</v>
      </c>
      <c r="Z2202" s="136" t="s">
        <v>45</v>
      </c>
      <c r="AA2202" s="136"/>
      <c r="AB2202" s="84"/>
      <c r="AC2202" s="90"/>
      <c r="AD2202" s="90"/>
      <c r="AE2202" s="100">
        <f t="shared" si="3633"/>
        <v>-1</v>
      </c>
      <c r="AF2202" s="90"/>
      <c r="AG2202" s="109">
        <f t="shared" si="3634"/>
        <v>-720</v>
      </c>
      <c r="AH2202" s="100">
        <f t="shared" si="3635"/>
        <v>-1</v>
      </c>
      <c r="AI2202" s="100">
        <f t="shared" si="3636"/>
        <v>-1</v>
      </c>
    </row>
    <row r="2203" spans="1:35" s="47" customFormat="1" ht="21" customHeight="1" x14ac:dyDescent="0.3">
      <c r="A2203" s="78"/>
      <c r="B2203" s="106" t="s">
        <v>51</v>
      </c>
      <c r="C2203" s="117" t="s">
        <v>997</v>
      </c>
      <c r="D2203" s="104">
        <v>15384652</v>
      </c>
      <c r="E2203" s="132" t="s">
        <v>49</v>
      </c>
      <c r="F2203" s="66">
        <v>616</v>
      </c>
      <c r="G2203" s="66"/>
      <c r="H2203" s="66"/>
      <c r="I2203" s="66"/>
      <c r="J2203" s="66"/>
      <c r="K2203" s="78"/>
      <c r="L2203" s="66"/>
      <c r="M2203" s="66"/>
      <c r="N2203" s="110">
        <f>M2203-F2203</f>
        <v>-616</v>
      </c>
      <c r="O2203" s="110"/>
      <c r="P2203" s="66"/>
      <c r="Q2203" s="66"/>
      <c r="R2203" s="66"/>
      <c r="S2203" s="66"/>
      <c r="T2203" s="110">
        <f>S2203-Q2203</f>
        <v>0</v>
      </c>
      <c r="U2203" s="59">
        <f t="shared" si="3584"/>
        <v>0</v>
      </c>
      <c r="V2203" s="66"/>
      <c r="W2203" s="66"/>
      <c r="X2203" s="110">
        <f>W2203-M2203</f>
        <v>0</v>
      </c>
      <c r="Y2203" s="110"/>
      <c r="Z2203" s="110"/>
      <c r="AA2203" s="110"/>
      <c r="AB2203" s="46"/>
      <c r="AC2203" s="78"/>
      <c r="AD2203" s="78"/>
      <c r="AE2203" s="100">
        <f t="shared" si="3633"/>
        <v>-1</v>
      </c>
      <c r="AF2203" s="90"/>
      <c r="AG2203" s="109">
        <f t="shared" si="3634"/>
        <v>-616</v>
      </c>
      <c r="AH2203" s="100">
        <f t="shared" si="3635"/>
        <v>-1</v>
      </c>
      <c r="AI2203" s="100">
        <f t="shared" si="3636"/>
        <v>-1</v>
      </c>
    </row>
    <row r="2204" spans="1:35" s="79" customFormat="1" ht="15.75" customHeight="1" x14ac:dyDescent="0.3">
      <c r="A2204" s="90" t="s">
        <v>46</v>
      </c>
      <c r="B2204" s="136" t="s">
        <v>51</v>
      </c>
      <c r="C2204" s="137"/>
      <c r="D2204" s="136"/>
      <c r="E2204" s="138"/>
      <c r="F2204" s="91">
        <f>SUM(F2203)</f>
        <v>616</v>
      </c>
      <c r="G2204" s="91"/>
      <c r="H2204" s="91"/>
      <c r="I2204" s="91"/>
      <c r="J2204" s="91" t="s">
        <v>60</v>
      </c>
      <c r="K2204" s="65" t="s">
        <v>617</v>
      </c>
      <c r="L2204" s="91">
        <f>SUM(L2203)</f>
        <v>0</v>
      </c>
      <c r="M2204" s="91">
        <f>SUM(M2203)</f>
        <v>0</v>
      </c>
      <c r="N2204" s="91">
        <f>SUM(N2203)</f>
        <v>-616</v>
      </c>
      <c r="O2204" s="91"/>
      <c r="P2204" s="91">
        <f>SUM(P2203)</f>
        <v>0</v>
      </c>
      <c r="Q2204" s="91">
        <f>SUM(Q2203)</f>
        <v>0</v>
      </c>
      <c r="R2204" s="91">
        <f>SUM(R2203)</f>
        <v>0</v>
      </c>
      <c r="S2204" s="91">
        <f t="shared" si="3552"/>
        <v>0</v>
      </c>
      <c r="T2204" s="91">
        <f>SUM(T2203)</f>
        <v>0</v>
      </c>
      <c r="U2204" s="59">
        <f t="shared" si="3584"/>
        <v>0</v>
      </c>
      <c r="V2204" s="91">
        <f>SUM(V2203)</f>
        <v>0</v>
      </c>
      <c r="W2204" s="91">
        <f t="shared" si="3553"/>
        <v>0</v>
      </c>
      <c r="X2204" s="91">
        <f t="shared" si="3554"/>
        <v>0</v>
      </c>
      <c r="Y2204" s="136"/>
      <c r="Z2204" s="136"/>
      <c r="AA2204" s="136"/>
      <c r="AB2204" s="84"/>
      <c r="AC2204" s="90"/>
      <c r="AD2204" s="90"/>
      <c r="AE2204" s="100">
        <f t="shared" si="3633"/>
        <v>-1</v>
      </c>
      <c r="AF2204" s="90"/>
      <c r="AG2204" s="109">
        <f t="shared" si="3634"/>
        <v>-616</v>
      </c>
      <c r="AH2204" s="100">
        <f t="shared" si="3635"/>
        <v>-1</v>
      </c>
      <c r="AI2204" s="100">
        <f t="shared" si="3636"/>
        <v>-1</v>
      </c>
    </row>
    <row r="2205" spans="1:35" s="47" customFormat="1" ht="21" customHeight="1" x14ac:dyDescent="0.3">
      <c r="A2205" s="78"/>
      <c r="B2205" s="106" t="s">
        <v>51</v>
      </c>
      <c r="C2205" s="117" t="s">
        <v>996</v>
      </c>
      <c r="D2205" s="104">
        <v>15370026</v>
      </c>
      <c r="E2205" s="132" t="s">
        <v>0</v>
      </c>
      <c r="F2205" s="66">
        <v>1000</v>
      </c>
      <c r="G2205" s="66"/>
      <c r="H2205" s="66"/>
      <c r="I2205" s="66"/>
      <c r="J2205" s="66"/>
      <c r="K2205" s="78"/>
      <c r="L2205" s="66"/>
      <c r="M2205" s="66"/>
      <c r="N2205" s="110">
        <f>M2205-F2205</f>
        <v>-1000</v>
      </c>
      <c r="O2205" s="110"/>
      <c r="P2205" s="66"/>
      <c r="Q2205" s="66"/>
      <c r="R2205" s="66"/>
      <c r="S2205" s="66"/>
      <c r="T2205" s="110">
        <f>S2205-Q2205</f>
        <v>0</v>
      </c>
      <c r="U2205" s="59">
        <f t="shared" si="3584"/>
        <v>0</v>
      </c>
      <c r="V2205" s="66"/>
      <c r="W2205" s="66"/>
      <c r="X2205" s="110">
        <f>W2205-M2205</f>
        <v>0</v>
      </c>
      <c r="Y2205" s="110"/>
      <c r="Z2205" s="110"/>
      <c r="AA2205" s="110"/>
      <c r="AB2205" s="46"/>
      <c r="AC2205" s="78"/>
      <c r="AD2205" s="78"/>
      <c r="AE2205" s="100">
        <f t="shared" si="3629"/>
        <v>-1</v>
      </c>
      <c r="AF2205" s="90"/>
      <c r="AG2205" s="109">
        <f t="shared" si="3630"/>
        <v>-1000</v>
      </c>
      <c r="AH2205" s="100">
        <f t="shared" si="3631"/>
        <v>-1</v>
      </c>
      <c r="AI2205" s="100">
        <f t="shared" si="3632"/>
        <v>-1</v>
      </c>
    </row>
    <row r="2206" spans="1:35" s="79" customFormat="1" ht="15.75" customHeight="1" x14ac:dyDescent="0.3">
      <c r="A2206" s="90" t="s">
        <v>46</v>
      </c>
      <c r="B2206" s="136" t="s">
        <v>51</v>
      </c>
      <c r="C2206" s="137"/>
      <c r="D2206" s="136"/>
      <c r="E2206" s="138"/>
      <c r="F2206" s="91">
        <f>SUM(F2205)</f>
        <v>1000</v>
      </c>
      <c r="G2206" s="91"/>
      <c r="H2206" s="91"/>
      <c r="I2206" s="91"/>
      <c r="J2206" s="91" t="s">
        <v>58</v>
      </c>
      <c r="K2206" s="65" t="s">
        <v>617</v>
      </c>
      <c r="L2206" s="91">
        <f>SUM(L2205)</f>
        <v>0</v>
      </c>
      <c r="M2206" s="91">
        <f>SUM(M2205)</f>
        <v>0</v>
      </c>
      <c r="N2206" s="91">
        <f>SUM(N2205)</f>
        <v>-1000</v>
      </c>
      <c r="O2206" s="91"/>
      <c r="P2206" s="91">
        <f>SUM(P2205)</f>
        <v>0</v>
      </c>
      <c r="Q2206" s="91">
        <f>SUM(Q2205)</f>
        <v>0</v>
      </c>
      <c r="R2206" s="91">
        <f>SUM(R2205)</f>
        <v>0</v>
      </c>
      <c r="S2206" s="91">
        <f t="shared" si="3552"/>
        <v>0</v>
      </c>
      <c r="T2206" s="91">
        <f>SUM(T2205)</f>
        <v>0</v>
      </c>
      <c r="U2206" s="59">
        <f t="shared" si="3584"/>
        <v>0</v>
      </c>
      <c r="V2206" s="91">
        <f>SUM(V2205)</f>
        <v>0</v>
      </c>
      <c r="W2206" s="91">
        <f t="shared" si="3553"/>
        <v>0</v>
      </c>
      <c r="X2206" s="91">
        <f t="shared" si="3554"/>
        <v>0</v>
      </c>
      <c r="Y2206" s="136" t="s">
        <v>48</v>
      </c>
      <c r="Z2206" s="136" t="s">
        <v>45</v>
      </c>
      <c r="AA2206" s="136"/>
      <c r="AB2206" s="84"/>
      <c r="AC2206" s="90"/>
      <c r="AD2206" s="90"/>
      <c r="AE2206" s="100">
        <f t="shared" si="3629"/>
        <v>-1</v>
      </c>
      <c r="AF2206" s="90"/>
      <c r="AG2206" s="109">
        <f t="shared" si="3630"/>
        <v>-1000</v>
      </c>
      <c r="AH2206" s="100">
        <f t="shared" si="3631"/>
        <v>-1</v>
      </c>
      <c r="AI2206" s="100">
        <f t="shared" si="3632"/>
        <v>-1</v>
      </c>
    </row>
    <row r="2207" spans="1:35" s="47" customFormat="1" ht="21" customHeight="1" x14ac:dyDescent="0.3">
      <c r="A2207" s="78"/>
      <c r="B2207" s="106" t="s">
        <v>51</v>
      </c>
      <c r="C2207" s="117" t="s">
        <v>994</v>
      </c>
      <c r="D2207" s="104">
        <v>15311584</v>
      </c>
      <c r="E2207" s="132" t="s">
        <v>0</v>
      </c>
      <c r="F2207" s="66">
        <v>2265</v>
      </c>
      <c r="G2207" s="66"/>
      <c r="H2207" s="66"/>
      <c r="I2207" s="66"/>
      <c r="J2207" s="66"/>
      <c r="K2207" s="78"/>
      <c r="L2207" s="66"/>
      <c r="M2207" s="66"/>
      <c r="N2207" s="110">
        <f>M2207-F2207</f>
        <v>-2265</v>
      </c>
      <c r="O2207" s="110"/>
      <c r="P2207" s="66"/>
      <c r="Q2207" s="66"/>
      <c r="R2207" s="66"/>
      <c r="S2207" s="66"/>
      <c r="T2207" s="110">
        <f>S2207-Q2207</f>
        <v>0</v>
      </c>
      <c r="U2207" s="59">
        <f t="shared" si="3584"/>
        <v>0</v>
      </c>
      <c r="V2207" s="66"/>
      <c r="W2207" s="66"/>
      <c r="X2207" s="110">
        <f>W2207-M2207</f>
        <v>0</v>
      </c>
      <c r="Y2207" s="110"/>
      <c r="Z2207" s="110"/>
      <c r="AA2207" s="110"/>
      <c r="AB2207" s="46"/>
      <c r="AC2207" s="78"/>
      <c r="AD2207" s="78"/>
      <c r="AE2207" s="100">
        <f t="shared" ref="AE2207:AE2252" si="3637">N2207/F2207</f>
        <v>-1</v>
      </c>
      <c r="AF2207" s="90"/>
      <c r="AG2207" s="109">
        <f t="shared" ref="AG2207:AG2252" si="3638">IF(N2207&lt;0,N2207,0)</f>
        <v>-2265</v>
      </c>
      <c r="AH2207" s="100">
        <f t="shared" ref="AH2207:AH2252" si="3639">(S2207-F2207)/F2207</f>
        <v>-1</v>
      </c>
      <c r="AI2207" s="100">
        <f t="shared" ref="AI2207:AI2252" si="3640">(W2207-F2207)/F2207</f>
        <v>-1</v>
      </c>
    </row>
    <row r="2208" spans="1:35" s="79" customFormat="1" ht="15.75" customHeight="1" x14ac:dyDescent="0.3">
      <c r="A2208" s="90" t="s">
        <v>46</v>
      </c>
      <c r="B2208" s="136" t="s">
        <v>51</v>
      </c>
      <c r="C2208" s="137"/>
      <c r="D2208" s="136"/>
      <c r="E2208" s="138"/>
      <c r="F2208" s="91">
        <f>SUM(F2207)</f>
        <v>2265</v>
      </c>
      <c r="G2208" s="91"/>
      <c r="H2208" s="91"/>
      <c r="I2208" s="91"/>
      <c r="J2208" s="91" t="s">
        <v>59</v>
      </c>
      <c r="K2208" s="65" t="s">
        <v>436</v>
      </c>
      <c r="L2208" s="91">
        <f>SUM(L2207)</f>
        <v>0</v>
      </c>
      <c r="M2208" s="91">
        <f>SUM(M2207)</f>
        <v>0</v>
      </c>
      <c r="N2208" s="91">
        <f>SUM(N2207)</f>
        <v>-2265</v>
      </c>
      <c r="O2208" s="91"/>
      <c r="P2208" s="91">
        <f>SUM(P2207)</f>
        <v>0</v>
      </c>
      <c r="Q2208" s="91">
        <f>SUM(Q2207)</f>
        <v>0</v>
      </c>
      <c r="R2208" s="91">
        <f>SUM(R2207)</f>
        <v>0</v>
      </c>
      <c r="S2208" s="91">
        <f t="shared" si="3552"/>
        <v>0</v>
      </c>
      <c r="T2208" s="91">
        <f>SUM(T2207)</f>
        <v>0</v>
      </c>
      <c r="U2208" s="59">
        <f t="shared" si="3584"/>
        <v>0</v>
      </c>
      <c r="V2208" s="91">
        <f>SUM(V2207)</f>
        <v>0</v>
      </c>
      <c r="W2208" s="91">
        <f t="shared" si="3553"/>
        <v>0</v>
      </c>
      <c r="X2208" s="91">
        <f t="shared" si="3554"/>
        <v>0</v>
      </c>
      <c r="Y2208" s="136" t="s">
        <v>47</v>
      </c>
      <c r="Z2208" s="136" t="s">
        <v>45</v>
      </c>
      <c r="AA2208" s="136"/>
      <c r="AB2208" s="84"/>
      <c r="AC2208" s="90"/>
      <c r="AD2208" s="90"/>
      <c r="AE2208" s="100">
        <f t="shared" si="3637"/>
        <v>-1</v>
      </c>
      <c r="AF2208" s="90"/>
      <c r="AG2208" s="109">
        <f t="shared" si="3638"/>
        <v>-2265</v>
      </c>
      <c r="AH2208" s="100">
        <f t="shared" si="3639"/>
        <v>-1</v>
      </c>
      <c r="AI2208" s="100">
        <f t="shared" si="3640"/>
        <v>-1</v>
      </c>
    </row>
    <row r="2209" spans="1:35" s="47" customFormat="1" ht="21" customHeight="1" x14ac:dyDescent="0.3">
      <c r="A2209" s="78"/>
      <c r="B2209" s="106" t="s">
        <v>51</v>
      </c>
      <c r="C2209" s="117" t="s">
        <v>534</v>
      </c>
      <c r="D2209" s="104">
        <v>15084518</v>
      </c>
      <c r="E2209" s="132" t="s">
        <v>0</v>
      </c>
      <c r="F2209" s="66">
        <v>1500</v>
      </c>
      <c r="G2209" s="66"/>
      <c r="H2209" s="66"/>
      <c r="I2209" s="66"/>
      <c r="J2209" s="66"/>
      <c r="K2209" s="78"/>
      <c r="L2209" s="66"/>
      <c r="M2209" s="66">
        <f>1225+312</f>
        <v>1537</v>
      </c>
      <c r="N2209" s="110">
        <f>M2209-F2209</f>
        <v>37</v>
      </c>
      <c r="O2209" s="110"/>
      <c r="P2209" s="66"/>
      <c r="Q2209" s="66">
        <f>584+641+312</f>
        <v>1537</v>
      </c>
      <c r="R2209" s="66"/>
      <c r="S2209" s="66">
        <f>1232+305</f>
        <v>1537</v>
      </c>
      <c r="T2209" s="110">
        <f>S2209-Q2209</f>
        <v>0</v>
      </c>
      <c r="U2209" s="59">
        <f t="shared" si="3584"/>
        <v>0</v>
      </c>
      <c r="V2209" s="66"/>
      <c r="W2209" s="66">
        <f>1225+312</f>
        <v>1537</v>
      </c>
      <c r="X2209" s="110">
        <f>W2209-M2209</f>
        <v>0</v>
      </c>
      <c r="Y2209" s="110"/>
      <c r="Z2209" s="110"/>
      <c r="AA2209" s="110"/>
      <c r="AB2209" s="46"/>
      <c r="AC2209" s="78"/>
      <c r="AD2209" s="78"/>
      <c r="AE2209" s="100">
        <f t="shared" si="3637"/>
        <v>2.4666666666666667E-2</v>
      </c>
      <c r="AF2209" s="90"/>
      <c r="AG2209" s="109">
        <f t="shared" si="3638"/>
        <v>0</v>
      </c>
      <c r="AH2209" s="100">
        <f t="shared" si="3639"/>
        <v>2.4666666666666667E-2</v>
      </c>
      <c r="AI2209" s="100">
        <f t="shared" si="3640"/>
        <v>2.4666666666666667E-2</v>
      </c>
    </row>
    <row r="2210" spans="1:35" s="79" customFormat="1" ht="15.75" customHeight="1" x14ac:dyDescent="0.3">
      <c r="A2210" s="90" t="s">
        <v>46</v>
      </c>
      <c r="B2210" s="136" t="s">
        <v>51</v>
      </c>
      <c r="C2210" s="137"/>
      <c r="D2210" s="136"/>
      <c r="E2210" s="138"/>
      <c r="F2210" s="91">
        <f>SUM(F2209)</f>
        <v>1500</v>
      </c>
      <c r="G2210" s="91"/>
      <c r="H2210" s="91"/>
      <c r="I2210" s="91"/>
      <c r="J2210" s="91" t="s">
        <v>59</v>
      </c>
      <c r="K2210" s="65" t="s">
        <v>210</v>
      </c>
      <c r="L2210" s="91">
        <f>SUM(L2209)</f>
        <v>0</v>
      </c>
      <c r="M2210" s="91">
        <f>SUM(M2209)</f>
        <v>1537</v>
      </c>
      <c r="N2210" s="91">
        <f>SUM(N2209)</f>
        <v>37</v>
      </c>
      <c r="O2210" s="91"/>
      <c r="P2210" s="91">
        <f>SUM(P2209)</f>
        <v>0</v>
      </c>
      <c r="Q2210" s="91">
        <f>SUM(Q2209)</f>
        <v>1537</v>
      </c>
      <c r="R2210" s="91">
        <f>SUM(R2209)</f>
        <v>0</v>
      </c>
      <c r="S2210" s="91">
        <f t="shared" si="3552"/>
        <v>1537</v>
      </c>
      <c r="T2210" s="91">
        <f>SUM(T2209)</f>
        <v>0</v>
      </c>
      <c r="U2210" s="59">
        <f t="shared" si="3584"/>
        <v>0</v>
      </c>
      <c r="V2210" s="91">
        <f>SUM(V2209)</f>
        <v>0</v>
      </c>
      <c r="W2210" s="91">
        <f t="shared" si="3553"/>
        <v>1537</v>
      </c>
      <c r="X2210" s="91">
        <f t="shared" si="3554"/>
        <v>0</v>
      </c>
      <c r="Y2210" s="136" t="s">
        <v>47</v>
      </c>
      <c r="Z2210" s="136" t="s">
        <v>45</v>
      </c>
      <c r="AA2210" s="136"/>
      <c r="AB2210" s="84"/>
      <c r="AC2210" s="90"/>
      <c r="AD2210" s="90"/>
      <c r="AE2210" s="100">
        <f t="shared" si="3637"/>
        <v>2.4666666666666667E-2</v>
      </c>
      <c r="AF2210" s="90"/>
      <c r="AG2210" s="109">
        <f t="shared" si="3638"/>
        <v>0</v>
      </c>
      <c r="AH2210" s="100">
        <f t="shared" si="3639"/>
        <v>2.4666666666666667E-2</v>
      </c>
      <c r="AI2210" s="100">
        <f t="shared" si="3640"/>
        <v>2.4666666666666667E-2</v>
      </c>
    </row>
    <row r="2211" spans="1:35" s="47" customFormat="1" ht="21" customHeight="1" x14ac:dyDescent="0.3">
      <c r="A2211" s="78"/>
      <c r="B2211" s="106" t="s">
        <v>51</v>
      </c>
      <c r="C2211" s="117" t="s">
        <v>995</v>
      </c>
      <c r="D2211" s="104">
        <v>15084518</v>
      </c>
      <c r="E2211" s="132" t="s">
        <v>0</v>
      </c>
      <c r="F2211" s="66">
        <f>1692+501</f>
        <v>2193</v>
      </c>
      <c r="G2211" s="66"/>
      <c r="H2211" s="66"/>
      <c r="I2211" s="66"/>
      <c r="J2211" s="66"/>
      <c r="K2211" s="78"/>
      <c r="L2211" s="66"/>
      <c r="M2211" s="66"/>
      <c r="N2211" s="110">
        <f>M2211-F2211</f>
        <v>-2193</v>
      </c>
      <c r="O2211" s="110"/>
      <c r="P2211" s="66"/>
      <c r="Q2211" s="66"/>
      <c r="R2211" s="66"/>
      <c r="S2211" s="66"/>
      <c r="T2211" s="110">
        <f>S2211-Q2211</f>
        <v>0</v>
      </c>
      <c r="U2211" s="59">
        <f t="shared" si="3584"/>
        <v>0</v>
      </c>
      <c r="V2211" s="66"/>
      <c r="W2211" s="66"/>
      <c r="X2211" s="110">
        <f>W2211-M2211</f>
        <v>0</v>
      </c>
      <c r="Y2211" s="110"/>
      <c r="Z2211" s="110"/>
      <c r="AA2211" s="110"/>
      <c r="AB2211" s="46"/>
      <c r="AC2211" s="78"/>
      <c r="AD2211" s="78"/>
      <c r="AE2211" s="100">
        <f t="shared" ref="AE2211:AE2239" si="3641">N2211/F2211</f>
        <v>-1</v>
      </c>
      <c r="AF2211" s="90"/>
      <c r="AG2211" s="109">
        <f t="shared" ref="AG2211:AG2239" si="3642">IF(N2211&lt;0,N2211,0)</f>
        <v>-2193</v>
      </c>
      <c r="AH2211" s="100">
        <f t="shared" ref="AH2211:AH2239" si="3643">(S2211-F2211)/F2211</f>
        <v>-1</v>
      </c>
      <c r="AI2211" s="100">
        <f t="shared" ref="AI2211:AI2239" si="3644">(W2211-F2211)/F2211</f>
        <v>-1</v>
      </c>
    </row>
    <row r="2212" spans="1:35" s="79" customFormat="1" ht="15.75" customHeight="1" x14ac:dyDescent="0.3">
      <c r="A2212" s="90" t="s">
        <v>46</v>
      </c>
      <c r="B2212" s="136" t="s">
        <v>51</v>
      </c>
      <c r="C2212" s="137"/>
      <c r="D2212" s="136"/>
      <c r="E2212" s="138"/>
      <c r="F2212" s="91">
        <f>SUM(F2211)</f>
        <v>2193</v>
      </c>
      <c r="G2212" s="91"/>
      <c r="H2212" s="91"/>
      <c r="I2212" s="91"/>
      <c r="J2212" s="91" t="s">
        <v>59</v>
      </c>
      <c r="K2212" s="65" t="s">
        <v>436</v>
      </c>
      <c r="L2212" s="91">
        <f>SUM(L2211)</f>
        <v>0</v>
      </c>
      <c r="M2212" s="91">
        <f>SUM(M2211)</f>
        <v>0</v>
      </c>
      <c r="N2212" s="91">
        <f>SUM(N2211)</f>
        <v>-2193</v>
      </c>
      <c r="O2212" s="91"/>
      <c r="P2212" s="91">
        <f>SUM(P2211)</f>
        <v>0</v>
      </c>
      <c r="Q2212" s="91">
        <f>SUM(Q2211)</f>
        <v>0</v>
      </c>
      <c r="R2212" s="91">
        <f>SUM(R2211)</f>
        <v>0</v>
      </c>
      <c r="S2212" s="91">
        <f t="shared" si="3552"/>
        <v>0</v>
      </c>
      <c r="T2212" s="91">
        <f>SUM(T2211)</f>
        <v>0</v>
      </c>
      <c r="U2212" s="59">
        <f t="shared" si="3584"/>
        <v>0</v>
      </c>
      <c r="V2212" s="91">
        <f>SUM(V2211)</f>
        <v>0</v>
      </c>
      <c r="W2212" s="91">
        <f t="shared" si="3553"/>
        <v>0</v>
      </c>
      <c r="X2212" s="91">
        <f t="shared" si="3554"/>
        <v>0</v>
      </c>
      <c r="Y2212" s="136" t="s">
        <v>47</v>
      </c>
      <c r="Z2212" s="136" t="s">
        <v>45</v>
      </c>
      <c r="AA2212" s="136"/>
      <c r="AB2212" s="84"/>
      <c r="AC2212" s="90"/>
      <c r="AD2212" s="90"/>
      <c r="AE2212" s="100">
        <f t="shared" si="3641"/>
        <v>-1</v>
      </c>
      <c r="AF2212" s="90"/>
      <c r="AG2212" s="109">
        <f t="shared" si="3642"/>
        <v>-2193</v>
      </c>
      <c r="AH2212" s="100">
        <f t="shared" si="3643"/>
        <v>-1</v>
      </c>
      <c r="AI2212" s="100">
        <f t="shared" si="3644"/>
        <v>-1</v>
      </c>
    </row>
    <row r="2213" spans="1:35" s="47" customFormat="1" ht="21" customHeight="1" x14ac:dyDescent="0.3">
      <c r="A2213" s="78"/>
      <c r="B2213" s="106" t="s">
        <v>51</v>
      </c>
      <c r="C2213" s="117" t="s">
        <v>535</v>
      </c>
      <c r="D2213" s="104">
        <v>15206049</v>
      </c>
      <c r="E2213" s="132" t="s">
        <v>0</v>
      </c>
      <c r="F2213" s="66">
        <v>1520</v>
      </c>
      <c r="G2213" s="66"/>
      <c r="H2213" s="66"/>
      <c r="I2213" s="66"/>
      <c r="J2213" s="66"/>
      <c r="K2213" s="78"/>
      <c r="L2213" s="66"/>
      <c r="M2213" s="66">
        <f>1568</f>
        <v>1568</v>
      </c>
      <c r="N2213" s="110">
        <f>M2213-F2213</f>
        <v>48</v>
      </c>
      <c r="O2213" s="110"/>
      <c r="P2213" s="66"/>
      <c r="Q2213" s="66">
        <v>1568</v>
      </c>
      <c r="R2213" s="66"/>
      <c r="S2213" s="66">
        <v>1568</v>
      </c>
      <c r="T2213" s="110">
        <f>S2213-Q2213</f>
        <v>0</v>
      </c>
      <c r="U2213" s="59">
        <f t="shared" ref="U2213:U2216" si="3645">IF(Q2213&gt;0,S2213-W2213,M2213-W2213)</f>
        <v>0</v>
      </c>
      <c r="V2213" s="66"/>
      <c r="W2213" s="66">
        <f>1568</f>
        <v>1568</v>
      </c>
      <c r="X2213" s="110">
        <f>W2213-M2213</f>
        <v>0</v>
      </c>
      <c r="Y2213" s="110"/>
      <c r="Z2213" s="110"/>
      <c r="AA2213" s="110"/>
      <c r="AB2213" s="46"/>
      <c r="AC2213" s="78"/>
      <c r="AD2213" s="78"/>
      <c r="AE2213" s="100">
        <f t="shared" ref="AE2213:AE2216" si="3646">N2213/F2213</f>
        <v>3.1578947368421054E-2</v>
      </c>
      <c r="AF2213" s="90"/>
      <c r="AG2213" s="109">
        <f t="shared" ref="AG2213:AG2216" si="3647">IF(N2213&lt;0,N2213,0)</f>
        <v>0</v>
      </c>
      <c r="AH2213" s="100">
        <f t="shared" ref="AH2213:AH2216" si="3648">(S2213-F2213)/F2213</f>
        <v>3.1578947368421054E-2</v>
      </c>
      <c r="AI2213" s="100">
        <f t="shared" ref="AI2213:AI2216" si="3649">(W2213-F2213)/F2213</f>
        <v>3.1578947368421054E-2</v>
      </c>
    </row>
    <row r="2214" spans="1:35" s="79" customFormat="1" ht="15.75" customHeight="1" x14ac:dyDescent="0.3">
      <c r="A2214" s="90" t="s">
        <v>46</v>
      </c>
      <c r="B2214" s="136" t="s">
        <v>51</v>
      </c>
      <c r="C2214" s="137"/>
      <c r="D2214" s="136"/>
      <c r="E2214" s="138"/>
      <c r="F2214" s="91">
        <f>SUM(F2213)</f>
        <v>1520</v>
      </c>
      <c r="G2214" s="91"/>
      <c r="H2214" s="91"/>
      <c r="I2214" s="91"/>
      <c r="J2214" s="91" t="s">
        <v>59</v>
      </c>
      <c r="K2214" s="65" t="s">
        <v>287</v>
      </c>
      <c r="L2214" s="91">
        <f>SUM(L2213)</f>
        <v>0</v>
      </c>
      <c r="M2214" s="91">
        <f>SUM(M2213)</f>
        <v>1568</v>
      </c>
      <c r="N2214" s="91">
        <f>SUM(N2213)</f>
        <v>48</v>
      </c>
      <c r="O2214" s="91"/>
      <c r="P2214" s="91">
        <f>SUM(P2213)</f>
        <v>0</v>
      </c>
      <c r="Q2214" s="91">
        <f>SUM(Q2213)</f>
        <v>1568</v>
      </c>
      <c r="R2214" s="91">
        <f>SUM(R2213)</f>
        <v>0</v>
      </c>
      <c r="S2214" s="91">
        <f t="shared" si="3552"/>
        <v>1568</v>
      </c>
      <c r="T2214" s="91">
        <f>SUM(T2213)</f>
        <v>0</v>
      </c>
      <c r="U2214" s="59">
        <f t="shared" si="3645"/>
        <v>0</v>
      </c>
      <c r="V2214" s="91">
        <f>SUM(V2213)</f>
        <v>0</v>
      </c>
      <c r="W2214" s="91">
        <f t="shared" si="3553"/>
        <v>1568</v>
      </c>
      <c r="X2214" s="91">
        <f t="shared" si="3554"/>
        <v>0</v>
      </c>
      <c r="Y2214" s="136" t="s">
        <v>47</v>
      </c>
      <c r="Z2214" s="136" t="s">
        <v>45</v>
      </c>
      <c r="AA2214" s="136"/>
      <c r="AB2214" s="84"/>
      <c r="AC2214" s="90"/>
      <c r="AD2214" s="90"/>
      <c r="AE2214" s="100">
        <f t="shared" si="3646"/>
        <v>3.1578947368421054E-2</v>
      </c>
      <c r="AF2214" s="90"/>
      <c r="AG2214" s="109">
        <f t="shared" si="3647"/>
        <v>0</v>
      </c>
      <c r="AH2214" s="100">
        <f t="shared" si="3648"/>
        <v>3.1578947368421054E-2</v>
      </c>
      <c r="AI2214" s="100">
        <f t="shared" si="3649"/>
        <v>3.1578947368421054E-2</v>
      </c>
    </row>
    <row r="2215" spans="1:35" s="47" customFormat="1" ht="21" customHeight="1" x14ac:dyDescent="0.3">
      <c r="A2215" s="78"/>
      <c r="B2215" s="106" t="s">
        <v>51</v>
      </c>
      <c r="C2215" s="117" t="s">
        <v>294</v>
      </c>
      <c r="D2215" s="104">
        <v>15131588</v>
      </c>
      <c r="E2215" s="132" t="s">
        <v>0</v>
      </c>
      <c r="F2215" s="66">
        <v>4000</v>
      </c>
      <c r="G2215" s="66"/>
      <c r="H2215" s="66"/>
      <c r="I2215" s="66"/>
      <c r="J2215" s="66"/>
      <c r="K2215" s="78"/>
      <c r="L2215" s="66"/>
      <c r="M2215" s="66">
        <f>1100+825+1000+1156</f>
        <v>4081</v>
      </c>
      <c r="N2215" s="110">
        <f>M2215-F2215</f>
        <v>81</v>
      </c>
      <c r="O2215" s="110"/>
      <c r="P2215" s="66"/>
      <c r="Q2215" s="66"/>
      <c r="R2215" s="66"/>
      <c r="S2215" s="66"/>
      <c r="T2215" s="110">
        <f>S2215-Q2215</f>
        <v>0</v>
      </c>
      <c r="U2215" s="59">
        <f t="shared" si="3645"/>
        <v>5</v>
      </c>
      <c r="V2215" s="66"/>
      <c r="W2215" s="66">
        <v>4076</v>
      </c>
      <c r="X2215" s="110">
        <f>W2215-M2215</f>
        <v>-5</v>
      </c>
      <c r="Y2215" s="110"/>
      <c r="Z2215" s="110"/>
      <c r="AA2215" s="110"/>
      <c r="AB2215" s="46"/>
      <c r="AC2215" s="78"/>
      <c r="AD2215" s="78"/>
      <c r="AE2215" s="100">
        <f t="shared" si="3646"/>
        <v>2.0250000000000001E-2</v>
      </c>
      <c r="AF2215" s="90"/>
      <c r="AG2215" s="109">
        <f t="shared" si="3647"/>
        <v>0</v>
      </c>
      <c r="AH2215" s="100">
        <f t="shared" si="3648"/>
        <v>-1</v>
      </c>
      <c r="AI2215" s="100">
        <f t="shared" si="3649"/>
        <v>1.9E-2</v>
      </c>
    </row>
    <row r="2216" spans="1:35" s="79" customFormat="1" ht="15.75" customHeight="1" x14ac:dyDescent="0.3">
      <c r="A2216" s="90" t="s">
        <v>46</v>
      </c>
      <c r="B2216" s="136" t="s">
        <v>51</v>
      </c>
      <c r="C2216" s="137"/>
      <c r="D2216" s="136"/>
      <c r="E2216" s="138"/>
      <c r="F2216" s="91">
        <f>SUM(F2215)</f>
        <v>4000</v>
      </c>
      <c r="G2216" s="91"/>
      <c r="H2216" s="91"/>
      <c r="I2216" s="91"/>
      <c r="J2216" s="91" t="s">
        <v>60</v>
      </c>
      <c r="K2216" s="65" t="s">
        <v>170</v>
      </c>
      <c r="L2216" s="91">
        <f>SUM(L2215)</f>
        <v>0</v>
      </c>
      <c r="M2216" s="91">
        <f>SUM(M2215)</f>
        <v>4081</v>
      </c>
      <c r="N2216" s="91">
        <f>SUM(N2215)</f>
        <v>81</v>
      </c>
      <c r="O2216" s="91"/>
      <c r="P2216" s="91">
        <f>SUM(P2215)</f>
        <v>0</v>
      </c>
      <c r="Q2216" s="91">
        <f>SUM(Q2215)</f>
        <v>0</v>
      </c>
      <c r="R2216" s="91">
        <f>SUM(R2215)</f>
        <v>0</v>
      </c>
      <c r="S2216" s="91">
        <f t="shared" si="3552"/>
        <v>0</v>
      </c>
      <c r="T2216" s="91">
        <f>SUM(T2215)</f>
        <v>0</v>
      </c>
      <c r="U2216" s="59">
        <f t="shared" si="3645"/>
        <v>5</v>
      </c>
      <c r="V2216" s="91">
        <f>SUM(V2215)</f>
        <v>0</v>
      </c>
      <c r="W2216" s="91">
        <f t="shared" si="3553"/>
        <v>4076</v>
      </c>
      <c r="X2216" s="91">
        <f t="shared" si="3554"/>
        <v>-5</v>
      </c>
      <c r="Y2216" s="136"/>
      <c r="Z2216" s="136"/>
      <c r="AA2216" s="136"/>
      <c r="AB2216" s="84"/>
      <c r="AC2216" s="90"/>
      <c r="AD2216" s="90"/>
      <c r="AE2216" s="100">
        <f t="shared" si="3646"/>
        <v>2.0250000000000001E-2</v>
      </c>
      <c r="AF2216" s="90"/>
      <c r="AG2216" s="109">
        <f t="shared" si="3647"/>
        <v>0</v>
      </c>
      <c r="AH2216" s="100">
        <f t="shared" si="3648"/>
        <v>-1</v>
      </c>
      <c r="AI2216" s="100">
        <f t="shared" si="3649"/>
        <v>1.9E-2</v>
      </c>
    </row>
    <row r="2217" spans="1:35" s="47" customFormat="1" ht="21" customHeight="1" x14ac:dyDescent="0.3">
      <c r="A2217" s="78"/>
      <c r="B2217" s="106" t="s">
        <v>51</v>
      </c>
      <c r="C2217" s="117" t="s">
        <v>295</v>
      </c>
      <c r="D2217" s="104">
        <v>15131588</v>
      </c>
      <c r="E2217" s="132" t="s">
        <v>0</v>
      </c>
      <c r="F2217" s="66">
        <v>10000</v>
      </c>
      <c r="G2217" s="66"/>
      <c r="H2217" s="66"/>
      <c r="I2217" s="66"/>
      <c r="J2217" s="66"/>
      <c r="K2217" s="78"/>
      <c r="L2217" s="66"/>
      <c r="M2217" s="66">
        <f>627+737+1958+726+990+1200+1200+556+2116</f>
        <v>10110</v>
      </c>
      <c r="N2217" s="110">
        <f>M2217-F2217</f>
        <v>110</v>
      </c>
      <c r="O2217" s="110"/>
      <c r="P2217" s="66"/>
      <c r="Q2217" s="66"/>
      <c r="R2217" s="66"/>
      <c r="S2217" s="66"/>
      <c r="T2217" s="110">
        <f>S2217-Q2217</f>
        <v>0</v>
      </c>
      <c r="U2217" s="59">
        <f t="shared" si="3584"/>
        <v>0</v>
      </c>
      <c r="V2217" s="66"/>
      <c r="W2217" s="66">
        <f>5038+2472+2600</f>
        <v>10110</v>
      </c>
      <c r="X2217" s="110">
        <f>W2217-M2217</f>
        <v>0</v>
      </c>
      <c r="Y2217" s="110"/>
      <c r="Z2217" s="110"/>
      <c r="AA2217" s="110"/>
      <c r="AB2217" s="46"/>
      <c r="AC2217" s="78"/>
      <c r="AD2217" s="78"/>
      <c r="AE2217" s="100">
        <f t="shared" si="3641"/>
        <v>1.0999999999999999E-2</v>
      </c>
      <c r="AF2217" s="90"/>
      <c r="AG2217" s="109">
        <f t="shared" si="3642"/>
        <v>0</v>
      </c>
      <c r="AH2217" s="100">
        <f t="shared" si="3643"/>
        <v>-1</v>
      </c>
      <c r="AI2217" s="100">
        <f t="shared" si="3644"/>
        <v>1.0999999999999999E-2</v>
      </c>
    </row>
    <row r="2218" spans="1:35" s="79" customFormat="1" ht="15.75" customHeight="1" x14ac:dyDescent="0.3">
      <c r="A2218" s="90" t="s">
        <v>46</v>
      </c>
      <c r="B2218" s="136" t="s">
        <v>51</v>
      </c>
      <c r="C2218" s="137"/>
      <c r="D2218" s="136"/>
      <c r="E2218" s="138"/>
      <c r="F2218" s="91">
        <f>SUM(F2217)</f>
        <v>10000</v>
      </c>
      <c r="G2218" s="91"/>
      <c r="H2218" s="91"/>
      <c r="I2218" s="91"/>
      <c r="J2218" s="91" t="s">
        <v>60</v>
      </c>
      <c r="K2218" s="65" t="s">
        <v>175</v>
      </c>
      <c r="L2218" s="91">
        <f>SUM(L2217)</f>
        <v>0</v>
      </c>
      <c r="M2218" s="91">
        <f>SUM(M2217)</f>
        <v>10110</v>
      </c>
      <c r="N2218" s="91">
        <f>SUM(N2217)</f>
        <v>110</v>
      </c>
      <c r="O2218" s="91"/>
      <c r="P2218" s="91">
        <f>SUM(P2217)</f>
        <v>0</v>
      </c>
      <c r="Q2218" s="91">
        <f>SUM(Q2217)</f>
        <v>0</v>
      </c>
      <c r="R2218" s="91">
        <f>SUM(R2217)</f>
        <v>0</v>
      </c>
      <c r="S2218" s="91">
        <f t="shared" si="3552"/>
        <v>0</v>
      </c>
      <c r="T2218" s="91">
        <f>SUM(T2217)</f>
        <v>0</v>
      </c>
      <c r="U2218" s="59">
        <f t="shared" si="3584"/>
        <v>0</v>
      </c>
      <c r="V2218" s="91">
        <f>SUM(V2217)</f>
        <v>0</v>
      </c>
      <c r="W2218" s="91">
        <f t="shared" si="3553"/>
        <v>10110</v>
      </c>
      <c r="X2218" s="91">
        <f t="shared" si="3554"/>
        <v>0</v>
      </c>
      <c r="Y2218" s="136"/>
      <c r="Z2218" s="136"/>
      <c r="AA2218" s="136"/>
      <c r="AB2218" s="84"/>
      <c r="AC2218" s="90"/>
      <c r="AD2218" s="90"/>
      <c r="AE2218" s="100">
        <f t="shared" si="3641"/>
        <v>1.0999999999999999E-2</v>
      </c>
      <c r="AF2218" s="90"/>
      <c r="AG2218" s="109">
        <f t="shared" si="3642"/>
        <v>0</v>
      </c>
      <c r="AH2218" s="100">
        <f t="shared" si="3643"/>
        <v>-1</v>
      </c>
      <c r="AI2218" s="100">
        <f t="shared" si="3644"/>
        <v>1.0999999999999999E-2</v>
      </c>
    </row>
    <row r="2219" spans="1:35" s="47" customFormat="1" ht="21" customHeight="1" x14ac:dyDescent="0.3">
      <c r="A2219" s="78"/>
      <c r="B2219" s="106" t="s">
        <v>51</v>
      </c>
      <c r="C2219" s="117">
        <v>47316</v>
      </c>
      <c r="D2219" s="104">
        <v>15360701</v>
      </c>
      <c r="E2219" s="132" t="s">
        <v>136</v>
      </c>
      <c r="F2219" s="66">
        <v>398</v>
      </c>
      <c r="G2219" s="66"/>
      <c r="H2219" s="66"/>
      <c r="I2219" s="66"/>
      <c r="J2219" s="66"/>
      <c r="K2219" s="78"/>
      <c r="L2219" s="66"/>
      <c r="M2219" s="66">
        <f>421</f>
        <v>421</v>
      </c>
      <c r="N2219" s="110">
        <f>M2219-F2219</f>
        <v>23</v>
      </c>
      <c r="O2219" s="110"/>
      <c r="P2219" s="66"/>
      <c r="Q2219" s="66"/>
      <c r="R2219" s="66"/>
      <c r="S2219" s="66"/>
      <c r="T2219" s="110">
        <f>S2219-Q2219</f>
        <v>0</v>
      </c>
      <c r="U2219" s="59">
        <f t="shared" si="3584"/>
        <v>0</v>
      </c>
      <c r="V2219" s="66"/>
      <c r="W2219" s="66">
        <v>421</v>
      </c>
      <c r="X2219" s="110">
        <f>W2219-M2219</f>
        <v>0</v>
      </c>
      <c r="Y2219" s="110"/>
      <c r="Z2219" s="110"/>
      <c r="AA2219" s="110"/>
      <c r="AB2219" s="46"/>
      <c r="AC2219" s="78"/>
      <c r="AD2219" s="78"/>
      <c r="AE2219" s="100">
        <f t="shared" si="3641"/>
        <v>5.7788944723618091E-2</v>
      </c>
      <c r="AF2219" s="90"/>
      <c r="AG2219" s="109">
        <f t="shared" si="3642"/>
        <v>0</v>
      </c>
      <c r="AH2219" s="100">
        <f t="shared" si="3643"/>
        <v>-1</v>
      </c>
      <c r="AI2219" s="100">
        <f t="shared" si="3644"/>
        <v>5.7788944723618091E-2</v>
      </c>
    </row>
    <row r="2220" spans="1:35" s="79" customFormat="1" ht="15.75" customHeight="1" x14ac:dyDescent="0.3">
      <c r="A2220" s="90" t="s">
        <v>46</v>
      </c>
      <c r="B2220" s="136" t="s">
        <v>51</v>
      </c>
      <c r="C2220" s="137"/>
      <c r="D2220" s="136"/>
      <c r="E2220" s="138"/>
      <c r="F2220" s="91">
        <f>SUM(F2219)</f>
        <v>398</v>
      </c>
      <c r="G2220" s="91"/>
      <c r="H2220" s="91"/>
      <c r="I2220" s="91"/>
      <c r="J2220" s="91" t="s">
        <v>59</v>
      </c>
      <c r="K2220" s="65" t="s">
        <v>151</v>
      </c>
      <c r="L2220" s="91">
        <f>SUM(L2219)</f>
        <v>0</v>
      </c>
      <c r="M2220" s="91">
        <f>SUM(M2219)</f>
        <v>421</v>
      </c>
      <c r="N2220" s="91">
        <f>SUM(N2219)</f>
        <v>23</v>
      </c>
      <c r="O2220" s="91"/>
      <c r="P2220" s="91">
        <f>SUM(P2219)</f>
        <v>0</v>
      </c>
      <c r="Q2220" s="91">
        <f>SUM(Q2219)</f>
        <v>0</v>
      </c>
      <c r="R2220" s="91">
        <f>SUM(R2219)</f>
        <v>0</v>
      </c>
      <c r="S2220" s="91">
        <f t="shared" si="3552"/>
        <v>0</v>
      </c>
      <c r="T2220" s="91">
        <f>SUM(T2219)</f>
        <v>0</v>
      </c>
      <c r="U2220" s="59">
        <f t="shared" si="3584"/>
        <v>0</v>
      </c>
      <c r="V2220" s="91">
        <f>SUM(V2219)</f>
        <v>0</v>
      </c>
      <c r="W2220" s="91">
        <f t="shared" si="3553"/>
        <v>421</v>
      </c>
      <c r="X2220" s="91">
        <f t="shared" si="3554"/>
        <v>0</v>
      </c>
      <c r="Y2220" s="136"/>
      <c r="Z2220" s="136"/>
      <c r="AA2220" s="136"/>
      <c r="AB2220" s="84"/>
      <c r="AC2220" s="90"/>
      <c r="AD2220" s="90"/>
      <c r="AE2220" s="100">
        <f t="shared" si="3641"/>
        <v>5.7788944723618091E-2</v>
      </c>
      <c r="AF2220" s="90"/>
      <c r="AG2220" s="109">
        <f t="shared" si="3642"/>
        <v>0</v>
      </c>
      <c r="AH2220" s="100">
        <f t="shared" si="3643"/>
        <v>-1</v>
      </c>
      <c r="AI2220" s="100">
        <f t="shared" si="3644"/>
        <v>5.7788944723618091E-2</v>
      </c>
    </row>
    <row r="2221" spans="1:35" s="47" customFormat="1" ht="21" customHeight="1" x14ac:dyDescent="0.3">
      <c r="A2221" s="78"/>
      <c r="B2221" s="106" t="s">
        <v>51</v>
      </c>
      <c r="C2221" s="117">
        <v>48692</v>
      </c>
      <c r="D2221" s="104">
        <v>15388356</v>
      </c>
      <c r="E2221" s="132" t="s">
        <v>5</v>
      </c>
      <c r="F2221" s="66">
        <v>504</v>
      </c>
      <c r="G2221" s="66"/>
      <c r="H2221" s="66"/>
      <c r="I2221" s="66"/>
      <c r="J2221" s="66"/>
      <c r="K2221" s="78"/>
      <c r="L2221" s="66"/>
      <c r="M2221" s="66"/>
      <c r="N2221" s="110">
        <f>M2221-F2221</f>
        <v>-504</v>
      </c>
      <c r="O2221" s="110"/>
      <c r="P2221" s="66"/>
      <c r="Q2221" s="66"/>
      <c r="R2221" s="66"/>
      <c r="S2221" s="66"/>
      <c r="T2221" s="110">
        <f>S2221-Q2221</f>
        <v>0</v>
      </c>
      <c r="U2221" s="59">
        <f t="shared" ref="U2221:U2239" si="3650">IF(Q2221&gt;0,S2221-W2221,M2221-W2221)</f>
        <v>0</v>
      </c>
      <c r="V2221" s="66"/>
      <c r="W2221" s="66"/>
      <c r="X2221" s="110">
        <f>W2221-M2221</f>
        <v>0</v>
      </c>
      <c r="Y2221" s="110"/>
      <c r="Z2221" s="110"/>
      <c r="AA2221" s="110"/>
      <c r="AB2221" s="46"/>
      <c r="AC2221" s="78"/>
      <c r="AD2221" s="78"/>
      <c r="AE2221" s="100">
        <f t="shared" si="3641"/>
        <v>-1</v>
      </c>
      <c r="AF2221" s="90"/>
      <c r="AG2221" s="109">
        <f t="shared" si="3642"/>
        <v>-504</v>
      </c>
      <c r="AH2221" s="100">
        <f t="shared" si="3643"/>
        <v>-1</v>
      </c>
      <c r="AI2221" s="100">
        <f t="shared" si="3644"/>
        <v>-1</v>
      </c>
    </row>
    <row r="2222" spans="1:35" s="79" customFormat="1" ht="15.75" customHeight="1" x14ac:dyDescent="0.3">
      <c r="A2222" s="90" t="s">
        <v>46</v>
      </c>
      <c r="B2222" s="136" t="s">
        <v>51</v>
      </c>
      <c r="C2222" s="137"/>
      <c r="D2222" s="136"/>
      <c r="E2222" s="138"/>
      <c r="F2222" s="91">
        <f>SUM(F2221)</f>
        <v>504</v>
      </c>
      <c r="G2222" s="91"/>
      <c r="H2222" s="91"/>
      <c r="I2222" s="91"/>
      <c r="J2222" s="91" t="s">
        <v>59</v>
      </c>
      <c r="K2222" s="65" t="s">
        <v>436</v>
      </c>
      <c r="L2222" s="91">
        <f>SUM(L2221)</f>
        <v>0</v>
      </c>
      <c r="M2222" s="91">
        <f>SUM(M2221)</f>
        <v>0</v>
      </c>
      <c r="N2222" s="91">
        <f>SUM(N2221)</f>
        <v>-504</v>
      </c>
      <c r="O2222" s="91"/>
      <c r="P2222" s="91">
        <f>SUM(P2221)</f>
        <v>0</v>
      </c>
      <c r="Q2222" s="91">
        <f>SUM(Q2221)</f>
        <v>0</v>
      </c>
      <c r="R2222" s="91">
        <f>SUM(R2221)</f>
        <v>0</v>
      </c>
      <c r="S2222" s="91">
        <f t="shared" si="3552"/>
        <v>0</v>
      </c>
      <c r="T2222" s="91">
        <f>SUM(T2221)</f>
        <v>0</v>
      </c>
      <c r="U2222" s="59">
        <f t="shared" si="3650"/>
        <v>0</v>
      </c>
      <c r="V2222" s="91">
        <f>SUM(V2221)</f>
        <v>0</v>
      </c>
      <c r="W2222" s="91">
        <f t="shared" si="3553"/>
        <v>0</v>
      </c>
      <c r="X2222" s="91">
        <f t="shared" si="3554"/>
        <v>0</v>
      </c>
      <c r="Y2222" s="136" t="s">
        <v>47</v>
      </c>
      <c r="Z2222" s="136" t="s">
        <v>45</v>
      </c>
      <c r="AA2222" s="136"/>
      <c r="AB2222" s="84"/>
      <c r="AC2222" s="90"/>
      <c r="AD2222" s="90"/>
      <c r="AE2222" s="100">
        <f t="shared" si="3641"/>
        <v>-1</v>
      </c>
      <c r="AF2222" s="90"/>
      <c r="AG2222" s="109">
        <f t="shared" si="3642"/>
        <v>-504</v>
      </c>
      <c r="AH2222" s="100">
        <f t="shared" si="3643"/>
        <v>-1</v>
      </c>
      <c r="AI2222" s="100">
        <f t="shared" si="3644"/>
        <v>-1</v>
      </c>
    </row>
    <row r="2223" spans="1:35" s="47" customFormat="1" ht="21" customHeight="1" x14ac:dyDescent="0.3">
      <c r="A2223" s="78"/>
      <c r="B2223" s="106" t="s">
        <v>51</v>
      </c>
      <c r="C2223" s="117">
        <v>48624</v>
      </c>
      <c r="D2223" s="104">
        <v>15391423</v>
      </c>
      <c r="E2223" s="132" t="s">
        <v>41</v>
      </c>
      <c r="F2223" s="66">
        <v>564</v>
      </c>
      <c r="G2223" s="66"/>
      <c r="H2223" s="66"/>
      <c r="I2223" s="66"/>
      <c r="J2223" s="66"/>
      <c r="K2223" s="78"/>
      <c r="L2223" s="66"/>
      <c r="M2223" s="66"/>
      <c r="N2223" s="110">
        <f>M2223-F2223</f>
        <v>-564</v>
      </c>
      <c r="O2223" s="110"/>
      <c r="P2223" s="66"/>
      <c r="Q2223" s="66"/>
      <c r="R2223" s="66"/>
      <c r="S2223" s="66"/>
      <c r="T2223" s="110">
        <f>S2223-Q2223</f>
        <v>0</v>
      </c>
      <c r="U2223" s="59">
        <f t="shared" ref="U2223:U2224" si="3651">IF(Q2223&gt;0,S2223-W2223,M2223-W2223)</f>
        <v>0</v>
      </c>
      <c r="V2223" s="66"/>
      <c r="W2223" s="66"/>
      <c r="X2223" s="110">
        <f>W2223-M2223</f>
        <v>0</v>
      </c>
      <c r="Y2223" s="110"/>
      <c r="Z2223" s="110"/>
      <c r="AA2223" s="110"/>
      <c r="AB2223" s="46"/>
      <c r="AC2223" s="78"/>
      <c r="AD2223" s="78"/>
      <c r="AE2223" s="100">
        <f t="shared" ref="AE2223:AE2224" si="3652">N2223/F2223</f>
        <v>-1</v>
      </c>
      <c r="AF2223" s="90"/>
      <c r="AG2223" s="109">
        <f t="shared" ref="AG2223:AG2224" si="3653">IF(N2223&lt;0,N2223,0)</f>
        <v>-564</v>
      </c>
      <c r="AH2223" s="100">
        <f t="shared" ref="AH2223:AH2224" si="3654">(S2223-F2223)/F2223</f>
        <v>-1</v>
      </c>
      <c r="AI2223" s="100">
        <f t="shared" ref="AI2223:AI2224" si="3655">(W2223-F2223)/F2223</f>
        <v>-1</v>
      </c>
    </row>
    <row r="2224" spans="1:35" s="79" customFormat="1" ht="15.75" customHeight="1" x14ac:dyDescent="0.3">
      <c r="A2224" s="90" t="s">
        <v>46</v>
      </c>
      <c r="B2224" s="136" t="s">
        <v>51</v>
      </c>
      <c r="C2224" s="137"/>
      <c r="D2224" s="136"/>
      <c r="E2224" s="138"/>
      <c r="F2224" s="91">
        <f>SUM(F2223)</f>
        <v>564</v>
      </c>
      <c r="G2224" s="91"/>
      <c r="H2224" s="91"/>
      <c r="I2224" s="91"/>
      <c r="J2224" s="91" t="s">
        <v>59</v>
      </c>
      <c r="K2224" s="65" t="s">
        <v>410</v>
      </c>
      <c r="L2224" s="91">
        <f>SUM(L2223)</f>
        <v>0</v>
      </c>
      <c r="M2224" s="91">
        <f>SUM(M2223)</f>
        <v>0</v>
      </c>
      <c r="N2224" s="91">
        <f>SUM(N2223)</f>
        <v>-564</v>
      </c>
      <c r="O2224" s="91"/>
      <c r="P2224" s="91">
        <f>SUM(P2223)</f>
        <v>0</v>
      </c>
      <c r="Q2224" s="91">
        <f>SUM(Q2223)</f>
        <v>0</v>
      </c>
      <c r="R2224" s="91">
        <f>SUM(R2223)</f>
        <v>0</v>
      </c>
      <c r="S2224" s="91">
        <f t="shared" si="3552"/>
        <v>0</v>
      </c>
      <c r="T2224" s="91">
        <f>SUM(T2223)</f>
        <v>0</v>
      </c>
      <c r="U2224" s="59">
        <f t="shared" si="3651"/>
        <v>0</v>
      </c>
      <c r="V2224" s="91">
        <f>SUM(V2223)</f>
        <v>0</v>
      </c>
      <c r="W2224" s="91">
        <f t="shared" si="3553"/>
        <v>0</v>
      </c>
      <c r="X2224" s="91">
        <f t="shared" si="3554"/>
        <v>0</v>
      </c>
      <c r="Y2224" s="136"/>
      <c r="Z2224" s="136"/>
      <c r="AA2224" s="136"/>
      <c r="AB2224" s="84"/>
      <c r="AC2224" s="90"/>
      <c r="AD2224" s="90"/>
      <c r="AE2224" s="100">
        <f t="shared" si="3652"/>
        <v>-1</v>
      </c>
      <c r="AF2224" s="90"/>
      <c r="AG2224" s="109">
        <f t="shared" si="3653"/>
        <v>-564</v>
      </c>
      <c r="AH2224" s="100">
        <f t="shared" si="3654"/>
        <v>-1</v>
      </c>
      <c r="AI2224" s="100">
        <f t="shared" si="3655"/>
        <v>-1</v>
      </c>
    </row>
    <row r="2225" spans="1:35" s="47" customFormat="1" ht="21" customHeight="1" x14ac:dyDescent="0.3">
      <c r="A2225" s="78"/>
      <c r="B2225" s="106" t="s">
        <v>51</v>
      </c>
      <c r="C2225" s="117">
        <v>48187</v>
      </c>
      <c r="D2225" s="104">
        <v>15395066</v>
      </c>
      <c r="E2225" s="132" t="s">
        <v>233</v>
      </c>
      <c r="F2225" s="66">
        <v>504</v>
      </c>
      <c r="G2225" s="66"/>
      <c r="H2225" s="66"/>
      <c r="I2225" s="66"/>
      <c r="J2225" s="66"/>
      <c r="K2225" s="78"/>
      <c r="L2225" s="66"/>
      <c r="M2225" s="66"/>
      <c r="N2225" s="110">
        <f>M2225-F2225</f>
        <v>-504</v>
      </c>
      <c r="O2225" s="110"/>
      <c r="P2225" s="66"/>
      <c r="Q2225" s="66"/>
      <c r="R2225" s="66"/>
      <c r="S2225" s="66"/>
      <c r="T2225" s="110">
        <f>S2225-Q2225</f>
        <v>0</v>
      </c>
      <c r="U2225" s="59">
        <f t="shared" si="3650"/>
        <v>0</v>
      </c>
      <c r="V2225" s="66"/>
      <c r="W2225" s="66"/>
      <c r="X2225" s="110">
        <f>W2225-M2225</f>
        <v>0</v>
      </c>
      <c r="Y2225" s="110"/>
      <c r="Z2225" s="110"/>
      <c r="AA2225" s="110"/>
      <c r="AB2225" s="46"/>
      <c r="AC2225" s="78"/>
      <c r="AD2225" s="78"/>
      <c r="AE2225" s="100">
        <f t="shared" si="3641"/>
        <v>-1</v>
      </c>
      <c r="AF2225" s="90"/>
      <c r="AG2225" s="109">
        <f t="shared" si="3642"/>
        <v>-504</v>
      </c>
      <c r="AH2225" s="100">
        <f t="shared" si="3643"/>
        <v>-1</v>
      </c>
      <c r="AI2225" s="100">
        <f t="shared" si="3644"/>
        <v>-1</v>
      </c>
    </row>
    <row r="2226" spans="1:35" s="79" customFormat="1" ht="15.75" customHeight="1" x14ac:dyDescent="0.3">
      <c r="A2226" s="90" t="s">
        <v>46</v>
      </c>
      <c r="B2226" s="136" t="s">
        <v>51</v>
      </c>
      <c r="C2226" s="137"/>
      <c r="D2226" s="136"/>
      <c r="E2226" s="138"/>
      <c r="F2226" s="91">
        <f>SUM(F2225)</f>
        <v>504</v>
      </c>
      <c r="G2226" s="91"/>
      <c r="H2226" s="91"/>
      <c r="I2226" s="91"/>
      <c r="J2226" s="91" t="s">
        <v>59</v>
      </c>
      <c r="K2226" s="65" t="s">
        <v>572</v>
      </c>
      <c r="L2226" s="91">
        <f>SUM(L2225)</f>
        <v>0</v>
      </c>
      <c r="M2226" s="91">
        <f>SUM(M2225)</f>
        <v>0</v>
      </c>
      <c r="N2226" s="91">
        <f>SUM(N2225)</f>
        <v>-504</v>
      </c>
      <c r="O2226" s="91"/>
      <c r="P2226" s="91">
        <f>SUM(P2225)</f>
        <v>0</v>
      </c>
      <c r="Q2226" s="91">
        <f>SUM(Q2225)</f>
        <v>0</v>
      </c>
      <c r="R2226" s="91">
        <f>SUM(R2225)</f>
        <v>0</v>
      </c>
      <c r="S2226" s="91">
        <f t="shared" si="3552"/>
        <v>0</v>
      </c>
      <c r="T2226" s="91">
        <f>SUM(T2225)</f>
        <v>0</v>
      </c>
      <c r="U2226" s="59">
        <f t="shared" si="3650"/>
        <v>0</v>
      </c>
      <c r="V2226" s="91">
        <f>SUM(V2225)</f>
        <v>0</v>
      </c>
      <c r="W2226" s="91">
        <f t="shared" si="3553"/>
        <v>0</v>
      </c>
      <c r="X2226" s="91">
        <f t="shared" si="3554"/>
        <v>0</v>
      </c>
      <c r="Y2226" s="136" t="s">
        <v>47</v>
      </c>
      <c r="Z2226" s="136" t="s">
        <v>45</v>
      </c>
      <c r="AA2226" s="136"/>
      <c r="AB2226" s="84"/>
      <c r="AC2226" s="90"/>
      <c r="AD2226" s="90"/>
      <c r="AE2226" s="100">
        <f t="shared" si="3641"/>
        <v>-1</v>
      </c>
      <c r="AF2226" s="90"/>
      <c r="AG2226" s="109">
        <f t="shared" si="3642"/>
        <v>-504</v>
      </c>
      <c r="AH2226" s="100">
        <f t="shared" si="3643"/>
        <v>-1</v>
      </c>
      <c r="AI2226" s="100">
        <f t="shared" si="3644"/>
        <v>-1</v>
      </c>
    </row>
    <row r="2227" spans="1:35" s="47" customFormat="1" ht="21" customHeight="1" x14ac:dyDescent="0.3">
      <c r="A2227" s="78"/>
      <c r="B2227" s="106" t="s">
        <v>51</v>
      </c>
      <c r="C2227" s="117">
        <v>48305</v>
      </c>
      <c r="D2227" s="104">
        <v>15395720</v>
      </c>
      <c r="E2227" s="132" t="s">
        <v>878</v>
      </c>
      <c r="F2227" s="66">
        <v>2940</v>
      </c>
      <c r="G2227" s="66"/>
      <c r="H2227" s="66"/>
      <c r="I2227" s="66"/>
      <c r="J2227" s="66"/>
      <c r="K2227" s="78"/>
      <c r="L2227" s="66"/>
      <c r="M2227" s="66"/>
      <c r="N2227" s="110">
        <f>M2227-F2227</f>
        <v>-2940</v>
      </c>
      <c r="O2227" s="110"/>
      <c r="P2227" s="66"/>
      <c r="Q2227" s="66"/>
      <c r="R2227" s="66"/>
      <c r="S2227" s="66"/>
      <c r="T2227" s="110">
        <f>S2227-Q2227</f>
        <v>0</v>
      </c>
      <c r="U2227" s="59">
        <f t="shared" si="3650"/>
        <v>0</v>
      </c>
      <c r="V2227" s="66"/>
      <c r="W2227" s="66"/>
      <c r="X2227" s="110">
        <f>W2227-M2227</f>
        <v>0</v>
      </c>
      <c r="Y2227" s="110"/>
      <c r="Z2227" s="110"/>
      <c r="AA2227" s="110"/>
      <c r="AB2227" s="46"/>
      <c r="AC2227" s="78"/>
      <c r="AD2227" s="78"/>
      <c r="AE2227" s="100">
        <f t="shared" si="3641"/>
        <v>-1</v>
      </c>
      <c r="AF2227" s="90"/>
      <c r="AG2227" s="109">
        <f t="shared" si="3642"/>
        <v>-2940</v>
      </c>
      <c r="AH2227" s="100">
        <f t="shared" si="3643"/>
        <v>-1</v>
      </c>
      <c r="AI2227" s="100">
        <f t="shared" si="3644"/>
        <v>-1</v>
      </c>
    </row>
    <row r="2228" spans="1:35" s="79" customFormat="1" ht="15.75" customHeight="1" x14ac:dyDescent="0.3">
      <c r="A2228" s="90" t="s">
        <v>46</v>
      </c>
      <c r="B2228" s="136" t="s">
        <v>51</v>
      </c>
      <c r="C2228" s="137"/>
      <c r="D2228" s="136"/>
      <c r="E2228" s="138"/>
      <c r="F2228" s="91">
        <f>SUM(F2227)</f>
        <v>2940</v>
      </c>
      <c r="G2228" s="91"/>
      <c r="H2228" s="91"/>
      <c r="I2228" s="91"/>
      <c r="J2228" s="91" t="s">
        <v>59</v>
      </c>
      <c r="K2228" s="65" t="s">
        <v>410</v>
      </c>
      <c r="L2228" s="91">
        <f>SUM(L2227)</f>
        <v>0</v>
      </c>
      <c r="M2228" s="91">
        <f>SUM(M2227)</f>
        <v>0</v>
      </c>
      <c r="N2228" s="91">
        <f>SUM(N2227)</f>
        <v>-2940</v>
      </c>
      <c r="O2228" s="91"/>
      <c r="P2228" s="91">
        <f>SUM(P2227)</f>
        <v>0</v>
      </c>
      <c r="Q2228" s="91">
        <f>SUM(Q2227)</f>
        <v>0</v>
      </c>
      <c r="R2228" s="91">
        <f>SUM(R2227)</f>
        <v>0</v>
      </c>
      <c r="S2228" s="91">
        <f t="shared" si="3552"/>
        <v>0</v>
      </c>
      <c r="T2228" s="91">
        <f>SUM(T2227)</f>
        <v>0</v>
      </c>
      <c r="U2228" s="59">
        <f t="shared" si="3650"/>
        <v>0</v>
      </c>
      <c r="V2228" s="91">
        <f>SUM(V2227)</f>
        <v>0</v>
      </c>
      <c r="W2228" s="91">
        <f t="shared" si="3553"/>
        <v>0</v>
      </c>
      <c r="X2228" s="91">
        <f t="shared" si="3554"/>
        <v>0</v>
      </c>
      <c r="Y2228" s="136" t="s">
        <v>57</v>
      </c>
      <c r="Z2228" s="136" t="s">
        <v>45</v>
      </c>
      <c r="AA2228" s="136"/>
      <c r="AB2228" s="84"/>
      <c r="AC2228" s="90"/>
      <c r="AD2228" s="90"/>
      <c r="AE2228" s="100">
        <f t="shared" si="3641"/>
        <v>-1</v>
      </c>
      <c r="AF2228" s="90"/>
      <c r="AG2228" s="109">
        <f t="shared" si="3642"/>
        <v>-2940</v>
      </c>
      <c r="AH2228" s="100">
        <f t="shared" si="3643"/>
        <v>-1</v>
      </c>
      <c r="AI2228" s="100">
        <f t="shared" si="3644"/>
        <v>-1</v>
      </c>
    </row>
    <row r="2229" spans="1:35" s="47" customFormat="1" ht="21" customHeight="1" x14ac:dyDescent="0.3">
      <c r="A2229" s="78"/>
      <c r="B2229" s="106" t="s">
        <v>51</v>
      </c>
      <c r="C2229" s="117">
        <v>48236</v>
      </c>
      <c r="D2229" s="104">
        <v>15388156</v>
      </c>
      <c r="E2229" s="132" t="s">
        <v>229</v>
      </c>
      <c r="F2229" s="66">
        <v>1394</v>
      </c>
      <c r="G2229" s="66"/>
      <c r="H2229" s="66"/>
      <c r="I2229" s="66"/>
      <c r="J2229" s="66"/>
      <c r="K2229" s="78"/>
      <c r="L2229" s="66"/>
      <c r="M2229" s="66"/>
      <c r="N2229" s="110">
        <f>M2229-F2229</f>
        <v>-1394</v>
      </c>
      <c r="O2229" s="110"/>
      <c r="P2229" s="66"/>
      <c r="Q2229" s="66"/>
      <c r="R2229" s="66"/>
      <c r="S2229" s="66"/>
      <c r="T2229" s="110">
        <f>S2229-Q2229</f>
        <v>0</v>
      </c>
      <c r="U2229" s="59">
        <f t="shared" ref="U2229:U2232" si="3656">IF(Q2229&gt;0,S2229-W2229,M2229-W2229)</f>
        <v>0</v>
      </c>
      <c r="V2229" s="66"/>
      <c r="W2229" s="66"/>
      <c r="X2229" s="110">
        <f>W2229-M2229</f>
        <v>0</v>
      </c>
      <c r="Y2229" s="110"/>
      <c r="Z2229" s="110"/>
      <c r="AA2229" s="110"/>
      <c r="AB2229" s="46"/>
      <c r="AC2229" s="78"/>
      <c r="AD2229" s="78"/>
      <c r="AE2229" s="100">
        <f t="shared" ref="AE2229:AE2232" si="3657">N2229/F2229</f>
        <v>-1</v>
      </c>
      <c r="AF2229" s="90"/>
      <c r="AG2229" s="109">
        <f t="shared" ref="AG2229:AG2232" si="3658">IF(N2229&lt;0,N2229,0)</f>
        <v>-1394</v>
      </c>
      <c r="AH2229" s="100">
        <f t="shared" ref="AH2229:AH2232" si="3659">(S2229-F2229)/F2229</f>
        <v>-1</v>
      </c>
      <c r="AI2229" s="100">
        <f t="shared" ref="AI2229:AI2232" si="3660">(W2229-F2229)/F2229</f>
        <v>-1</v>
      </c>
    </row>
    <row r="2230" spans="1:35" s="79" customFormat="1" ht="15.75" customHeight="1" x14ac:dyDescent="0.3">
      <c r="A2230" s="90" t="s">
        <v>46</v>
      </c>
      <c r="B2230" s="136" t="s">
        <v>51</v>
      </c>
      <c r="C2230" s="137"/>
      <c r="D2230" s="136"/>
      <c r="E2230" s="138"/>
      <c r="F2230" s="91">
        <f>SUM(F2229)</f>
        <v>1394</v>
      </c>
      <c r="G2230" s="91"/>
      <c r="H2230" s="91"/>
      <c r="I2230" s="91"/>
      <c r="J2230" s="91"/>
      <c r="K2230" s="65" t="s">
        <v>508</v>
      </c>
      <c r="L2230" s="91">
        <f>SUM(L2229)</f>
        <v>0</v>
      </c>
      <c r="M2230" s="91">
        <f>SUM(M2229)</f>
        <v>0</v>
      </c>
      <c r="N2230" s="91">
        <f>SUM(N2229)</f>
        <v>-1394</v>
      </c>
      <c r="O2230" s="91"/>
      <c r="P2230" s="91">
        <f>SUM(P2229)</f>
        <v>0</v>
      </c>
      <c r="Q2230" s="91">
        <f>SUM(Q2229)</f>
        <v>0</v>
      </c>
      <c r="R2230" s="91">
        <f>SUM(R2229)</f>
        <v>0</v>
      </c>
      <c r="S2230" s="91">
        <f t="shared" si="3552"/>
        <v>0</v>
      </c>
      <c r="T2230" s="91">
        <f>SUM(T2229)</f>
        <v>0</v>
      </c>
      <c r="U2230" s="59">
        <f t="shared" si="3656"/>
        <v>0</v>
      </c>
      <c r="V2230" s="91">
        <f>SUM(V2229)</f>
        <v>0</v>
      </c>
      <c r="W2230" s="91">
        <f t="shared" si="3553"/>
        <v>0</v>
      </c>
      <c r="X2230" s="91">
        <f t="shared" si="3554"/>
        <v>0</v>
      </c>
      <c r="Y2230" s="136"/>
      <c r="Z2230" s="136"/>
      <c r="AA2230" s="136"/>
      <c r="AB2230" s="84"/>
      <c r="AC2230" s="90"/>
      <c r="AD2230" s="90"/>
      <c r="AE2230" s="100">
        <f t="shared" si="3657"/>
        <v>-1</v>
      </c>
      <c r="AF2230" s="90"/>
      <c r="AG2230" s="109">
        <f t="shared" si="3658"/>
        <v>-1394</v>
      </c>
      <c r="AH2230" s="100">
        <f t="shared" si="3659"/>
        <v>-1</v>
      </c>
      <c r="AI2230" s="100">
        <f t="shared" si="3660"/>
        <v>-1</v>
      </c>
    </row>
    <row r="2231" spans="1:35" s="47" customFormat="1" ht="21" customHeight="1" x14ac:dyDescent="0.3">
      <c r="A2231" s="78"/>
      <c r="B2231" s="106" t="s">
        <v>51</v>
      </c>
      <c r="C2231" s="117" t="s">
        <v>835</v>
      </c>
      <c r="D2231" s="104">
        <v>15191323</v>
      </c>
      <c r="E2231" s="132" t="s">
        <v>0</v>
      </c>
      <c r="F2231" s="66">
        <v>3300</v>
      </c>
      <c r="G2231" s="66"/>
      <c r="H2231" s="66"/>
      <c r="I2231" s="66"/>
      <c r="J2231" s="66"/>
      <c r="K2231" s="78"/>
      <c r="L2231" s="66"/>
      <c r="M2231" s="66">
        <f>1467+675+684+522</f>
        <v>3348</v>
      </c>
      <c r="N2231" s="110">
        <f>M2231-F2231</f>
        <v>48</v>
      </c>
      <c r="O2231" s="110"/>
      <c r="P2231" s="66"/>
      <c r="Q2231" s="66"/>
      <c r="R2231" s="66"/>
      <c r="S2231" s="66"/>
      <c r="T2231" s="110">
        <f>S2231-Q2231</f>
        <v>0</v>
      </c>
      <c r="U2231" s="59">
        <f t="shared" si="3656"/>
        <v>3348</v>
      </c>
      <c r="V2231" s="66"/>
      <c r="W2231" s="66"/>
      <c r="X2231" s="110">
        <f>W2231-M2231</f>
        <v>-3348</v>
      </c>
      <c r="Y2231" s="110"/>
      <c r="Z2231" s="110"/>
      <c r="AA2231" s="110"/>
      <c r="AB2231" s="46"/>
      <c r="AC2231" s="78"/>
      <c r="AD2231" s="78"/>
      <c r="AE2231" s="100">
        <f t="shared" si="3657"/>
        <v>1.4545454545454545E-2</v>
      </c>
      <c r="AF2231" s="90"/>
      <c r="AG2231" s="109">
        <f t="shared" si="3658"/>
        <v>0</v>
      </c>
      <c r="AH2231" s="100">
        <f t="shared" si="3659"/>
        <v>-1</v>
      </c>
      <c r="AI2231" s="100">
        <f t="shared" si="3660"/>
        <v>-1</v>
      </c>
    </row>
    <row r="2232" spans="1:35" s="79" customFormat="1" ht="15.75" customHeight="1" x14ac:dyDescent="0.3">
      <c r="A2232" s="90" t="s">
        <v>46</v>
      </c>
      <c r="B2232" s="136" t="s">
        <v>51</v>
      </c>
      <c r="C2232" s="137"/>
      <c r="D2232" s="136"/>
      <c r="E2232" s="138"/>
      <c r="F2232" s="91">
        <f>SUM(F2231)</f>
        <v>3300</v>
      </c>
      <c r="G2232" s="91"/>
      <c r="H2232" s="91"/>
      <c r="I2232" s="91"/>
      <c r="J2232" s="91" t="s">
        <v>59</v>
      </c>
      <c r="K2232" s="65" t="s">
        <v>377</v>
      </c>
      <c r="L2232" s="91">
        <f>SUM(L2231)</f>
        <v>0</v>
      </c>
      <c r="M2232" s="91">
        <f>SUM(M2231)</f>
        <v>3348</v>
      </c>
      <c r="N2232" s="91">
        <f>SUM(N2231)</f>
        <v>48</v>
      </c>
      <c r="O2232" s="91"/>
      <c r="P2232" s="91">
        <f>SUM(P2231)</f>
        <v>0</v>
      </c>
      <c r="Q2232" s="91">
        <f>SUM(Q2231)</f>
        <v>0</v>
      </c>
      <c r="R2232" s="91">
        <f>SUM(R2231)</f>
        <v>0</v>
      </c>
      <c r="S2232" s="91">
        <f t="shared" si="3552"/>
        <v>0</v>
      </c>
      <c r="T2232" s="91">
        <f>SUM(T2231)</f>
        <v>0</v>
      </c>
      <c r="U2232" s="59">
        <f t="shared" si="3656"/>
        <v>3348</v>
      </c>
      <c r="V2232" s="91">
        <f>SUM(V2231)</f>
        <v>0</v>
      </c>
      <c r="W2232" s="91">
        <f t="shared" si="3553"/>
        <v>0</v>
      </c>
      <c r="X2232" s="91">
        <f t="shared" si="3554"/>
        <v>-3348</v>
      </c>
      <c r="Y2232" s="136"/>
      <c r="Z2232" s="136"/>
      <c r="AA2232" s="136"/>
      <c r="AB2232" s="84"/>
      <c r="AC2232" s="90"/>
      <c r="AD2232" s="90"/>
      <c r="AE2232" s="100">
        <f t="shared" si="3657"/>
        <v>1.4545454545454545E-2</v>
      </c>
      <c r="AF2232" s="90"/>
      <c r="AG2232" s="109">
        <f t="shared" si="3658"/>
        <v>0</v>
      </c>
      <c r="AH2232" s="100">
        <f t="shared" si="3659"/>
        <v>-1</v>
      </c>
      <c r="AI2232" s="100">
        <f t="shared" si="3660"/>
        <v>-1</v>
      </c>
    </row>
    <row r="2233" spans="1:35" s="47" customFormat="1" ht="21" customHeight="1" x14ac:dyDescent="0.3">
      <c r="A2233" s="78"/>
      <c r="B2233" s="106" t="s">
        <v>51</v>
      </c>
      <c r="C2233" s="117" t="s">
        <v>836</v>
      </c>
      <c r="D2233" s="104">
        <v>15191323</v>
      </c>
      <c r="E2233" s="132" t="s">
        <v>0</v>
      </c>
      <c r="F2233" s="66">
        <v>10000</v>
      </c>
      <c r="G2233" s="66"/>
      <c r="H2233" s="66"/>
      <c r="I2233" s="66"/>
      <c r="J2233" s="66"/>
      <c r="K2233" s="78"/>
      <c r="L2233" s="66"/>
      <c r="M2233" s="66"/>
      <c r="N2233" s="110">
        <f>M2233-F2233</f>
        <v>-10000</v>
      </c>
      <c r="O2233" s="110"/>
      <c r="P2233" s="66"/>
      <c r="Q2233" s="66"/>
      <c r="R2233" s="66"/>
      <c r="S2233" s="66"/>
      <c r="T2233" s="110">
        <f>S2233-Q2233</f>
        <v>0</v>
      </c>
      <c r="U2233" s="59">
        <f t="shared" si="3650"/>
        <v>0</v>
      </c>
      <c r="V2233" s="66"/>
      <c r="W2233" s="66"/>
      <c r="X2233" s="110">
        <f>W2233-M2233</f>
        <v>0</v>
      </c>
      <c r="Y2233" s="110"/>
      <c r="Z2233" s="110"/>
      <c r="AA2233" s="110"/>
      <c r="AB2233" s="46"/>
      <c r="AC2233" s="78"/>
      <c r="AD2233" s="78"/>
      <c r="AE2233" s="100">
        <f t="shared" si="3641"/>
        <v>-1</v>
      </c>
      <c r="AF2233" s="90"/>
      <c r="AG2233" s="109">
        <f t="shared" si="3642"/>
        <v>-10000</v>
      </c>
      <c r="AH2233" s="100">
        <f t="shared" si="3643"/>
        <v>-1</v>
      </c>
      <c r="AI2233" s="100">
        <f t="shared" si="3644"/>
        <v>-1</v>
      </c>
    </row>
    <row r="2234" spans="1:35" s="79" customFormat="1" ht="15.75" customHeight="1" x14ac:dyDescent="0.3">
      <c r="A2234" s="90" t="s">
        <v>46</v>
      </c>
      <c r="B2234" s="136" t="s">
        <v>51</v>
      </c>
      <c r="C2234" s="137"/>
      <c r="D2234" s="136"/>
      <c r="E2234" s="138"/>
      <c r="F2234" s="91">
        <f>SUM(F2233)</f>
        <v>10000</v>
      </c>
      <c r="G2234" s="91"/>
      <c r="H2234" s="91"/>
      <c r="I2234" s="91"/>
      <c r="J2234" s="91" t="s">
        <v>59</v>
      </c>
      <c r="K2234" s="65" t="s">
        <v>617</v>
      </c>
      <c r="L2234" s="91">
        <f>SUM(L2233)</f>
        <v>0</v>
      </c>
      <c r="M2234" s="91">
        <f>SUM(M2233)</f>
        <v>0</v>
      </c>
      <c r="N2234" s="91">
        <f>SUM(N2233)</f>
        <v>-10000</v>
      </c>
      <c r="O2234" s="91"/>
      <c r="P2234" s="91">
        <f>SUM(P2233)</f>
        <v>0</v>
      </c>
      <c r="Q2234" s="91">
        <f>SUM(Q2233)</f>
        <v>0</v>
      </c>
      <c r="R2234" s="91">
        <f>SUM(R2233)</f>
        <v>0</v>
      </c>
      <c r="S2234" s="91">
        <f t="shared" si="3552"/>
        <v>0</v>
      </c>
      <c r="T2234" s="91">
        <f>SUM(T2233)</f>
        <v>0</v>
      </c>
      <c r="U2234" s="59">
        <f t="shared" si="3650"/>
        <v>0</v>
      </c>
      <c r="V2234" s="91">
        <f>SUM(V2233)</f>
        <v>0</v>
      </c>
      <c r="W2234" s="91">
        <f t="shared" si="3553"/>
        <v>0</v>
      </c>
      <c r="X2234" s="91">
        <f t="shared" si="3554"/>
        <v>0</v>
      </c>
      <c r="Y2234" s="136"/>
      <c r="Z2234" s="136"/>
      <c r="AA2234" s="136"/>
      <c r="AB2234" s="84"/>
      <c r="AC2234" s="90"/>
      <c r="AD2234" s="90"/>
      <c r="AE2234" s="100">
        <f t="shared" si="3641"/>
        <v>-1</v>
      </c>
      <c r="AF2234" s="90"/>
      <c r="AG2234" s="109">
        <f t="shared" si="3642"/>
        <v>-10000</v>
      </c>
      <c r="AH2234" s="100">
        <f t="shared" si="3643"/>
        <v>-1</v>
      </c>
      <c r="AI2234" s="100">
        <f t="shared" si="3644"/>
        <v>-1</v>
      </c>
    </row>
    <row r="2235" spans="1:35" s="47" customFormat="1" ht="21" customHeight="1" x14ac:dyDescent="0.3">
      <c r="A2235" s="78"/>
      <c r="B2235" s="106" t="s">
        <v>51</v>
      </c>
      <c r="C2235" s="117">
        <v>48163</v>
      </c>
      <c r="D2235" s="304">
        <v>15339894</v>
      </c>
      <c r="E2235" s="132" t="s">
        <v>49</v>
      </c>
      <c r="F2235" s="66">
        <v>1404</v>
      </c>
      <c r="G2235" s="66"/>
      <c r="H2235" s="66"/>
      <c r="I2235" s="66"/>
      <c r="J2235" s="66"/>
      <c r="K2235" s="78"/>
      <c r="L2235" s="66">
        <v>762</v>
      </c>
      <c r="M2235" s="66">
        <f>684+762</f>
        <v>1446</v>
      </c>
      <c r="N2235" s="110">
        <f>M2235-F2235</f>
        <v>42</v>
      </c>
      <c r="O2235" s="110"/>
      <c r="P2235" s="66">
        <v>762</v>
      </c>
      <c r="Q2235" s="66">
        <f>684+762</f>
        <v>1446</v>
      </c>
      <c r="R2235" s="66"/>
      <c r="S2235" s="66"/>
      <c r="T2235" s="110">
        <f>S2235-Q2235</f>
        <v>-1446</v>
      </c>
      <c r="U2235" s="59">
        <f t="shared" si="3650"/>
        <v>0</v>
      </c>
      <c r="V2235" s="66"/>
      <c r="W2235" s="66"/>
      <c r="X2235" s="110">
        <f>W2235-M2235</f>
        <v>-1446</v>
      </c>
      <c r="Y2235" s="110"/>
      <c r="Z2235" s="110"/>
      <c r="AA2235" s="110"/>
      <c r="AB2235" s="46"/>
      <c r="AC2235" s="78"/>
      <c r="AD2235" s="78"/>
      <c r="AE2235" s="100">
        <f t="shared" si="3641"/>
        <v>2.9914529914529916E-2</v>
      </c>
      <c r="AF2235" s="90"/>
      <c r="AG2235" s="109">
        <f t="shared" si="3642"/>
        <v>0</v>
      </c>
      <c r="AH2235" s="100">
        <f t="shared" si="3643"/>
        <v>-1</v>
      </c>
      <c r="AI2235" s="100">
        <f t="shared" si="3644"/>
        <v>-1</v>
      </c>
    </row>
    <row r="2236" spans="1:35" s="47" customFormat="1" ht="21" customHeight="1" x14ac:dyDescent="0.3">
      <c r="A2236" s="78"/>
      <c r="B2236" s="106" t="s">
        <v>51</v>
      </c>
      <c r="C2236" s="117">
        <v>48163</v>
      </c>
      <c r="D2236" s="306"/>
      <c r="E2236" s="132" t="s">
        <v>878</v>
      </c>
      <c r="F2236" s="66">
        <v>1404</v>
      </c>
      <c r="G2236" s="66"/>
      <c r="H2236" s="66"/>
      <c r="I2236" s="66"/>
      <c r="J2236" s="66"/>
      <c r="K2236" s="78"/>
      <c r="L2236" s="66"/>
      <c r="M2236" s="66"/>
      <c r="N2236" s="110">
        <f>M2236-F2236</f>
        <v>-1404</v>
      </c>
      <c r="O2236" s="110"/>
      <c r="P2236" s="66"/>
      <c r="Q2236" s="66"/>
      <c r="R2236" s="66"/>
      <c r="S2236" s="66"/>
      <c r="T2236" s="110">
        <f>S2236-Q2236</f>
        <v>0</v>
      </c>
      <c r="U2236" s="59">
        <f t="shared" ref="U2236:U2238" si="3661">IF(Q2236&gt;0,S2236-W2236,M2236-W2236)</f>
        <v>0</v>
      </c>
      <c r="V2236" s="66"/>
      <c r="W2236" s="66"/>
      <c r="X2236" s="110">
        <f>W2236-M2236</f>
        <v>0</v>
      </c>
      <c r="Y2236" s="110"/>
      <c r="Z2236" s="110"/>
      <c r="AA2236" s="110"/>
      <c r="AB2236" s="46"/>
      <c r="AC2236" s="78"/>
      <c r="AD2236" s="78"/>
      <c r="AE2236" s="100">
        <f t="shared" ref="AE2236:AE2237" si="3662">N2236/F2236</f>
        <v>-1</v>
      </c>
      <c r="AF2236" s="90"/>
      <c r="AG2236" s="109">
        <f t="shared" ref="AG2236:AG2237" si="3663">IF(N2236&lt;0,N2236,0)</f>
        <v>-1404</v>
      </c>
      <c r="AH2236" s="100">
        <f t="shared" ref="AH2236:AH2237" si="3664">(S2236-F2236)/F2236</f>
        <v>-1</v>
      </c>
      <c r="AI2236" s="100">
        <f t="shared" ref="AI2236:AI2237" si="3665">(W2236-F2236)/F2236</f>
        <v>-1</v>
      </c>
    </row>
    <row r="2237" spans="1:35" s="79" customFormat="1" ht="15.75" customHeight="1" x14ac:dyDescent="0.3">
      <c r="A2237" s="90" t="s">
        <v>46</v>
      </c>
      <c r="B2237" s="136" t="s">
        <v>51</v>
      </c>
      <c r="C2237" s="137"/>
      <c r="D2237" s="136"/>
      <c r="E2237" s="138"/>
      <c r="F2237" s="91">
        <f>SUM(F2235:F2236)</f>
        <v>2808</v>
      </c>
      <c r="G2237" s="91"/>
      <c r="H2237" s="91"/>
      <c r="I2237" s="91"/>
      <c r="J2237" s="91" t="s">
        <v>59</v>
      </c>
      <c r="K2237" s="65" t="s">
        <v>410</v>
      </c>
      <c r="L2237" s="91">
        <f>SUM(L2235:L2236)</f>
        <v>762</v>
      </c>
      <c r="M2237" s="91">
        <f t="shared" ref="M2237:X2237" si="3666">SUM(M2235:M2236)</f>
        <v>1446</v>
      </c>
      <c r="N2237" s="91">
        <f t="shared" si="3666"/>
        <v>-1362</v>
      </c>
      <c r="O2237" s="91" t="s">
        <v>1028</v>
      </c>
      <c r="P2237" s="91">
        <f t="shared" si="3666"/>
        <v>762</v>
      </c>
      <c r="Q2237" s="91">
        <f t="shared" si="3666"/>
        <v>1446</v>
      </c>
      <c r="R2237" s="91">
        <f t="shared" si="3666"/>
        <v>0</v>
      </c>
      <c r="S2237" s="91">
        <f t="shared" si="3666"/>
        <v>0</v>
      </c>
      <c r="T2237" s="91">
        <f t="shared" si="3666"/>
        <v>-1446</v>
      </c>
      <c r="U2237" s="59">
        <f t="shared" si="3661"/>
        <v>0</v>
      </c>
      <c r="V2237" s="91">
        <f t="shared" si="3666"/>
        <v>0</v>
      </c>
      <c r="W2237" s="91">
        <f t="shared" si="3666"/>
        <v>0</v>
      </c>
      <c r="X2237" s="91">
        <f t="shared" si="3666"/>
        <v>-1446</v>
      </c>
      <c r="Y2237" s="136" t="s">
        <v>48</v>
      </c>
      <c r="Z2237" s="136" t="s">
        <v>45</v>
      </c>
      <c r="AA2237" s="136"/>
      <c r="AB2237" s="84"/>
      <c r="AC2237" s="90"/>
      <c r="AD2237" s="90"/>
      <c r="AE2237" s="100">
        <f t="shared" si="3662"/>
        <v>-0.48504273504273504</v>
      </c>
      <c r="AF2237" s="90"/>
      <c r="AG2237" s="109">
        <f t="shared" si="3663"/>
        <v>-1362</v>
      </c>
      <c r="AH2237" s="100">
        <f t="shared" si="3664"/>
        <v>-1</v>
      </c>
      <c r="AI2237" s="100">
        <f t="shared" si="3665"/>
        <v>-1</v>
      </c>
    </row>
    <row r="2238" spans="1:35" s="47" customFormat="1" ht="21" customHeight="1" x14ac:dyDescent="0.3">
      <c r="A2238" s="78"/>
      <c r="B2238" s="106" t="s">
        <v>51</v>
      </c>
      <c r="C2238" s="117">
        <v>48126</v>
      </c>
      <c r="D2238" s="104">
        <v>15393661</v>
      </c>
      <c r="E2238" s="132" t="s">
        <v>124</v>
      </c>
      <c r="F2238" s="66">
        <v>324</v>
      </c>
      <c r="G2238" s="66"/>
      <c r="H2238" s="66"/>
      <c r="I2238" s="66"/>
      <c r="J2238" s="66"/>
      <c r="K2238" s="78"/>
      <c r="L2238" s="66"/>
      <c r="M2238" s="66"/>
      <c r="N2238" s="110">
        <f>M2238-F2238</f>
        <v>-324</v>
      </c>
      <c r="O2238" s="110"/>
      <c r="P2238" s="66"/>
      <c r="Q2238" s="66"/>
      <c r="R2238" s="66"/>
      <c r="S2238" s="66"/>
      <c r="T2238" s="110">
        <f>S2238-Q2238</f>
        <v>0</v>
      </c>
      <c r="U2238" s="59">
        <f t="shared" si="3661"/>
        <v>0</v>
      </c>
      <c r="V2238" s="66"/>
      <c r="W2238" s="66"/>
      <c r="X2238" s="110">
        <f>W2238-M2238</f>
        <v>0</v>
      </c>
      <c r="Y2238" s="110"/>
      <c r="Z2238" s="110"/>
      <c r="AA2238" s="110"/>
      <c r="AB2238" s="46"/>
      <c r="AC2238" s="78"/>
      <c r="AD2238" s="78"/>
      <c r="AE2238" s="100">
        <f t="shared" si="3641"/>
        <v>-1</v>
      </c>
      <c r="AF2238" s="90"/>
      <c r="AG2238" s="109">
        <f t="shared" si="3642"/>
        <v>-324</v>
      </c>
      <c r="AH2238" s="100">
        <f t="shared" si="3643"/>
        <v>-1</v>
      </c>
      <c r="AI2238" s="100">
        <f t="shared" si="3644"/>
        <v>-1</v>
      </c>
    </row>
    <row r="2239" spans="1:35" s="79" customFormat="1" ht="15.75" customHeight="1" x14ac:dyDescent="0.3">
      <c r="A2239" s="90" t="s">
        <v>46</v>
      </c>
      <c r="B2239" s="136" t="s">
        <v>51</v>
      </c>
      <c r="C2239" s="137"/>
      <c r="D2239" s="136"/>
      <c r="E2239" s="138"/>
      <c r="F2239" s="91">
        <f>SUM(F2238)</f>
        <v>324</v>
      </c>
      <c r="G2239" s="91"/>
      <c r="H2239" s="91"/>
      <c r="I2239" s="91"/>
      <c r="J2239" s="91"/>
      <c r="K2239" s="65" t="s">
        <v>436</v>
      </c>
      <c r="L2239" s="91">
        <f>SUM(L2238)</f>
        <v>0</v>
      </c>
      <c r="M2239" s="91">
        <f>SUM(M2238)</f>
        <v>0</v>
      </c>
      <c r="N2239" s="91">
        <f>SUM(N2238)</f>
        <v>-324</v>
      </c>
      <c r="O2239" s="91"/>
      <c r="P2239" s="91">
        <f>SUM(P2238)</f>
        <v>0</v>
      </c>
      <c r="Q2239" s="91">
        <f>SUM(Q2238)</f>
        <v>0</v>
      </c>
      <c r="R2239" s="91">
        <f>SUM(R2238)</f>
        <v>0</v>
      </c>
      <c r="S2239" s="91">
        <f t="shared" si="3552"/>
        <v>0</v>
      </c>
      <c r="T2239" s="91">
        <f>SUM(T2238)</f>
        <v>0</v>
      </c>
      <c r="U2239" s="59">
        <f t="shared" si="3650"/>
        <v>0</v>
      </c>
      <c r="V2239" s="91">
        <f>SUM(V2238)</f>
        <v>0</v>
      </c>
      <c r="W2239" s="91">
        <f t="shared" si="3553"/>
        <v>0</v>
      </c>
      <c r="X2239" s="91">
        <f t="shared" si="3554"/>
        <v>0</v>
      </c>
      <c r="Y2239" s="136"/>
      <c r="Z2239" s="136"/>
      <c r="AA2239" s="136"/>
      <c r="AB2239" s="84"/>
      <c r="AC2239" s="90"/>
      <c r="AD2239" s="90"/>
      <c r="AE2239" s="100">
        <f t="shared" si="3641"/>
        <v>-1</v>
      </c>
      <c r="AF2239" s="90"/>
      <c r="AG2239" s="109">
        <f t="shared" si="3642"/>
        <v>-324</v>
      </c>
      <c r="AH2239" s="100">
        <f t="shared" si="3643"/>
        <v>-1</v>
      </c>
      <c r="AI2239" s="100">
        <f t="shared" si="3644"/>
        <v>-1</v>
      </c>
    </row>
    <row r="2240" spans="1:35" s="47" customFormat="1" ht="21" customHeight="1" x14ac:dyDescent="0.3">
      <c r="A2240" s="78"/>
      <c r="B2240" s="106" t="s">
        <v>51</v>
      </c>
      <c r="C2240" s="117">
        <v>47760</v>
      </c>
      <c r="D2240" s="104">
        <v>15388847</v>
      </c>
      <c r="E2240" s="132" t="s">
        <v>0</v>
      </c>
      <c r="F2240" s="66">
        <v>516</v>
      </c>
      <c r="G2240" s="66"/>
      <c r="H2240" s="66"/>
      <c r="I2240" s="66"/>
      <c r="J2240" s="66"/>
      <c r="K2240" s="78"/>
      <c r="L2240" s="66"/>
      <c r="M2240" s="66">
        <v>535</v>
      </c>
      <c r="N2240" s="110">
        <f>M2240-F2240</f>
        <v>19</v>
      </c>
      <c r="O2240" s="110"/>
      <c r="P2240" s="66"/>
      <c r="Q2240" s="66">
        <v>535</v>
      </c>
      <c r="R2240" s="66"/>
      <c r="S2240" s="66">
        <v>535</v>
      </c>
      <c r="T2240" s="110">
        <f>S2240-Q2240</f>
        <v>0</v>
      </c>
      <c r="U2240" s="59">
        <f t="shared" ref="U2240:U2256" si="3667">IF(Q2240&gt;0,S2240-W2240,M2240-W2240)</f>
        <v>3</v>
      </c>
      <c r="V2240" s="66"/>
      <c r="W2240" s="66">
        <v>532</v>
      </c>
      <c r="X2240" s="110">
        <f>W2240-M2240</f>
        <v>-3</v>
      </c>
      <c r="Y2240" s="110"/>
      <c r="Z2240" s="110"/>
      <c r="AA2240" s="110"/>
      <c r="AB2240" s="46"/>
      <c r="AC2240" s="78"/>
      <c r="AD2240" s="78"/>
      <c r="AE2240" s="100">
        <f t="shared" si="3637"/>
        <v>3.6821705426356592E-2</v>
      </c>
      <c r="AF2240" s="90"/>
      <c r="AG2240" s="109">
        <f t="shared" si="3638"/>
        <v>0</v>
      </c>
      <c r="AH2240" s="100">
        <f t="shared" si="3639"/>
        <v>3.6821705426356592E-2</v>
      </c>
      <c r="AI2240" s="100">
        <f t="shared" si="3640"/>
        <v>3.1007751937984496E-2</v>
      </c>
    </row>
    <row r="2241" spans="1:35" s="79" customFormat="1" ht="15.75" customHeight="1" x14ac:dyDescent="0.3">
      <c r="A2241" s="90" t="s">
        <v>46</v>
      </c>
      <c r="B2241" s="136" t="s">
        <v>51</v>
      </c>
      <c r="C2241" s="137"/>
      <c r="D2241" s="136"/>
      <c r="E2241" s="138"/>
      <c r="F2241" s="91">
        <f>SUM(F2240)</f>
        <v>516</v>
      </c>
      <c r="G2241" s="91"/>
      <c r="H2241" s="91"/>
      <c r="I2241" s="91"/>
      <c r="J2241" s="91" t="s">
        <v>59</v>
      </c>
      <c r="K2241" s="65" t="s">
        <v>175</v>
      </c>
      <c r="L2241" s="91">
        <f>SUM(L2240)</f>
        <v>0</v>
      </c>
      <c r="M2241" s="91">
        <f>SUM(M2240)</f>
        <v>535</v>
      </c>
      <c r="N2241" s="91">
        <f>SUM(N2240)</f>
        <v>19</v>
      </c>
      <c r="O2241" s="91" t="s">
        <v>275</v>
      </c>
      <c r="P2241" s="91">
        <f>SUM(P2240)</f>
        <v>0</v>
      </c>
      <c r="Q2241" s="91">
        <f>SUM(Q2240)</f>
        <v>535</v>
      </c>
      <c r="R2241" s="91">
        <f>SUM(R2240)</f>
        <v>0</v>
      </c>
      <c r="S2241" s="91">
        <f t="shared" si="3552"/>
        <v>535</v>
      </c>
      <c r="T2241" s="91">
        <f>SUM(T2240)</f>
        <v>0</v>
      </c>
      <c r="U2241" s="59">
        <f t="shared" si="3667"/>
        <v>3</v>
      </c>
      <c r="V2241" s="91">
        <f>SUM(V2240)</f>
        <v>0</v>
      </c>
      <c r="W2241" s="91">
        <f t="shared" si="3553"/>
        <v>532</v>
      </c>
      <c r="X2241" s="91">
        <f t="shared" si="3554"/>
        <v>-3</v>
      </c>
      <c r="Y2241" s="136" t="s">
        <v>47</v>
      </c>
      <c r="Z2241" s="136" t="s">
        <v>45</v>
      </c>
      <c r="AA2241" s="136"/>
      <c r="AB2241" s="84"/>
      <c r="AC2241" s="90"/>
      <c r="AD2241" s="90"/>
      <c r="AE2241" s="100">
        <f t="shared" si="3637"/>
        <v>3.6821705426356592E-2</v>
      </c>
      <c r="AF2241" s="90"/>
      <c r="AG2241" s="109">
        <f t="shared" si="3638"/>
        <v>0</v>
      </c>
      <c r="AH2241" s="100">
        <f t="shared" si="3639"/>
        <v>3.6821705426356592E-2</v>
      </c>
      <c r="AI2241" s="100">
        <f t="shared" si="3640"/>
        <v>3.1007751937984496E-2</v>
      </c>
    </row>
    <row r="2242" spans="1:35" s="47" customFormat="1" ht="21" customHeight="1" x14ac:dyDescent="0.3">
      <c r="A2242" s="78"/>
      <c r="B2242" s="106" t="s">
        <v>51</v>
      </c>
      <c r="C2242" s="117" t="s">
        <v>993</v>
      </c>
      <c r="D2242" s="104">
        <v>15303954</v>
      </c>
      <c r="E2242" s="132" t="s">
        <v>0</v>
      </c>
      <c r="F2242" s="66">
        <v>1940</v>
      </c>
      <c r="G2242" s="66"/>
      <c r="H2242" s="66"/>
      <c r="I2242" s="66"/>
      <c r="J2242" s="66"/>
      <c r="K2242" s="78"/>
      <c r="L2242" s="66">
        <f>819+1156</f>
        <v>1975</v>
      </c>
      <c r="M2242" s="66">
        <f>819+1156</f>
        <v>1975</v>
      </c>
      <c r="N2242" s="110">
        <f>M2242-F2242</f>
        <v>35</v>
      </c>
      <c r="O2242" s="110"/>
      <c r="P2242" s="66">
        <f>413+790</f>
        <v>1203</v>
      </c>
      <c r="Q2242" s="66">
        <f>413+790</f>
        <v>1203</v>
      </c>
      <c r="R2242" s="66"/>
      <c r="S2242" s="66"/>
      <c r="T2242" s="110">
        <f>S2242-Q2242</f>
        <v>-1203</v>
      </c>
      <c r="U2242" s="59">
        <f t="shared" ref="U2242:U2244" si="3668">IF(Q2242&gt;0,S2242-W2242,M2242-W2242)</f>
        <v>0</v>
      </c>
      <c r="V2242" s="66"/>
      <c r="W2242" s="66"/>
      <c r="X2242" s="110">
        <f>W2242-M2242</f>
        <v>-1975</v>
      </c>
      <c r="Y2242" s="110"/>
      <c r="Z2242" s="110"/>
      <c r="AA2242" s="110"/>
      <c r="AB2242" s="46"/>
      <c r="AC2242" s="78"/>
      <c r="AD2242" s="78"/>
      <c r="AE2242" s="100">
        <f t="shared" ref="AE2242:AE2245" si="3669">N2242/F2242</f>
        <v>1.804123711340206E-2</v>
      </c>
      <c r="AF2242" s="90"/>
      <c r="AG2242" s="109">
        <f t="shared" ref="AG2242:AG2245" si="3670">IF(N2242&lt;0,N2242,0)</f>
        <v>0</v>
      </c>
      <c r="AH2242" s="100">
        <f t="shared" ref="AH2242:AH2245" si="3671">(S2242-F2242)/F2242</f>
        <v>-1</v>
      </c>
      <c r="AI2242" s="100">
        <f t="shared" ref="AI2242:AI2245" si="3672">(W2242-F2242)/F2242</f>
        <v>-1</v>
      </c>
    </row>
    <row r="2243" spans="1:35" s="79" customFormat="1" ht="15.75" customHeight="1" x14ac:dyDescent="0.3">
      <c r="A2243" s="90" t="s">
        <v>46</v>
      </c>
      <c r="B2243" s="136" t="s">
        <v>51</v>
      </c>
      <c r="C2243" s="137"/>
      <c r="D2243" s="136"/>
      <c r="E2243" s="138"/>
      <c r="F2243" s="91">
        <f>SUM(F2242)</f>
        <v>1940</v>
      </c>
      <c r="G2243" s="91"/>
      <c r="H2243" s="91"/>
      <c r="I2243" s="91"/>
      <c r="J2243" s="91" t="s">
        <v>59</v>
      </c>
      <c r="K2243" s="65" t="s">
        <v>436</v>
      </c>
      <c r="L2243" s="91">
        <f>SUM(L2242)</f>
        <v>1975</v>
      </c>
      <c r="M2243" s="91">
        <f>SUM(M2242)</f>
        <v>1975</v>
      </c>
      <c r="N2243" s="91">
        <f>SUM(N2242)</f>
        <v>35</v>
      </c>
      <c r="O2243" s="91" t="s">
        <v>1029</v>
      </c>
      <c r="P2243" s="91">
        <f>SUM(P2242)</f>
        <v>1203</v>
      </c>
      <c r="Q2243" s="91">
        <f>SUM(Q2242)</f>
        <v>1203</v>
      </c>
      <c r="R2243" s="91">
        <f>SUM(R2242)</f>
        <v>0</v>
      </c>
      <c r="S2243" s="91">
        <f t="shared" si="3552"/>
        <v>0</v>
      </c>
      <c r="T2243" s="91">
        <f>SUM(T2242)</f>
        <v>-1203</v>
      </c>
      <c r="U2243" s="59">
        <f t="shared" si="3668"/>
        <v>0</v>
      </c>
      <c r="V2243" s="91">
        <f>SUM(V2242)</f>
        <v>0</v>
      </c>
      <c r="W2243" s="91">
        <f t="shared" si="3553"/>
        <v>0</v>
      </c>
      <c r="X2243" s="91">
        <f t="shared" si="3554"/>
        <v>-1975</v>
      </c>
      <c r="Y2243" s="136" t="s">
        <v>48</v>
      </c>
      <c r="Z2243" s="136" t="s">
        <v>45</v>
      </c>
      <c r="AA2243" s="136"/>
      <c r="AB2243" s="84"/>
      <c r="AC2243" s="90"/>
      <c r="AD2243" s="90"/>
      <c r="AE2243" s="100">
        <f t="shared" si="3669"/>
        <v>1.804123711340206E-2</v>
      </c>
      <c r="AF2243" s="90"/>
      <c r="AG2243" s="109">
        <f t="shared" si="3670"/>
        <v>0</v>
      </c>
      <c r="AH2243" s="100">
        <f t="shared" si="3671"/>
        <v>-1</v>
      </c>
      <c r="AI2243" s="100">
        <f t="shared" si="3672"/>
        <v>-1</v>
      </c>
    </row>
    <row r="2244" spans="1:35" s="47" customFormat="1" ht="21" customHeight="1" x14ac:dyDescent="0.3">
      <c r="A2244" s="78"/>
      <c r="B2244" s="106" t="s">
        <v>51</v>
      </c>
      <c r="C2244" s="117" t="s">
        <v>393</v>
      </c>
      <c r="D2244" s="104">
        <v>15188034</v>
      </c>
      <c r="E2244" s="132" t="s">
        <v>0</v>
      </c>
      <c r="F2244" s="66">
        <v>2000</v>
      </c>
      <c r="G2244" s="66"/>
      <c r="H2244" s="66"/>
      <c r="I2244" s="66"/>
      <c r="J2244" s="66"/>
      <c r="K2244" s="78"/>
      <c r="L2244" s="66"/>
      <c r="M2244" s="66">
        <f>984+1059</f>
        <v>2043</v>
      </c>
      <c r="N2244" s="110">
        <f>M2244-F2244</f>
        <v>43</v>
      </c>
      <c r="O2244" s="110"/>
      <c r="P2244" s="66"/>
      <c r="Q2244" s="66"/>
      <c r="R2244" s="66"/>
      <c r="S2244" s="66"/>
      <c r="T2244" s="110">
        <f>S2244-Q2244</f>
        <v>0</v>
      </c>
      <c r="U2244" s="59">
        <f t="shared" si="3668"/>
        <v>0</v>
      </c>
      <c r="V2244" s="66"/>
      <c r="W2244" s="66">
        <v>2043</v>
      </c>
      <c r="X2244" s="110">
        <f>W2244-M2244</f>
        <v>0</v>
      </c>
      <c r="Y2244" s="110"/>
      <c r="Z2244" s="110"/>
      <c r="AA2244" s="110"/>
      <c r="AB2244" s="46"/>
      <c r="AC2244" s="78"/>
      <c r="AD2244" s="78"/>
      <c r="AE2244" s="100">
        <f t="shared" si="3669"/>
        <v>2.1499999999999998E-2</v>
      </c>
      <c r="AF2244" s="90"/>
      <c r="AG2244" s="109">
        <f t="shared" si="3670"/>
        <v>0</v>
      </c>
      <c r="AH2244" s="100">
        <f t="shared" si="3671"/>
        <v>-1</v>
      </c>
      <c r="AI2244" s="100">
        <f t="shared" si="3672"/>
        <v>2.1499999999999998E-2</v>
      </c>
    </row>
    <row r="2245" spans="1:35" s="79" customFormat="1" ht="15.75" customHeight="1" x14ac:dyDescent="0.3">
      <c r="A2245" s="90" t="s">
        <v>46</v>
      </c>
      <c r="B2245" s="136" t="s">
        <v>51</v>
      </c>
      <c r="C2245" s="137"/>
      <c r="D2245" s="136"/>
      <c r="E2245" s="138"/>
      <c r="F2245" s="91">
        <f>SUM(F2244)</f>
        <v>2000</v>
      </c>
      <c r="G2245" s="91"/>
      <c r="H2245" s="91"/>
      <c r="I2245" s="91"/>
      <c r="J2245" s="91" t="s">
        <v>59</v>
      </c>
      <c r="K2245" s="65" t="s">
        <v>210</v>
      </c>
      <c r="L2245" s="91">
        <f>SUM(L2244)</f>
        <v>0</v>
      </c>
      <c r="M2245" s="91">
        <f>SUM(M2244)</f>
        <v>2043</v>
      </c>
      <c r="N2245" s="91">
        <f>SUM(N2244)</f>
        <v>43</v>
      </c>
      <c r="O2245" s="91"/>
      <c r="P2245" s="91">
        <f>SUM(P2244)</f>
        <v>0</v>
      </c>
      <c r="Q2245" s="91">
        <f>SUM(Q2244)</f>
        <v>0</v>
      </c>
      <c r="R2245" s="91">
        <f>SUM(R2244)</f>
        <v>0</v>
      </c>
      <c r="S2245" s="91">
        <f t="shared" si="3552"/>
        <v>0</v>
      </c>
      <c r="T2245" s="91">
        <f>SUM(T2244)</f>
        <v>0</v>
      </c>
      <c r="U2245" s="59">
        <f>IF(Q2245&gt;0,S2245-W2245,M2245-W2245)</f>
        <v>0</v>
      </c>
      <c r="V2245" s="91">
        <f>SUM(V2244)</f>
        <v>0</v>
      </c>
      <c r="W2245" s="91">
        <f t="shared" si="3553"/>
        <v>2043</v>
      </c>
      <c r="X2245" s="91">
        <f t="shared" si="3554"/>
        <v>0</v>
      </c>
      <c r="Y2245" s="136"/>
      <c r="Z2245" s="136"/>
      <c r="AA2245" s="136"/>
      <c r="AB2245" s="84"/>
      <c r="AC2245" s="90"/>
      <c r="AD2245" s="90"/>
      <c r="AE2245" s="100">
        <f t="shared" si="3669"/>
        <v>2.1499999999999998E-2</v>
      </c>
      <c r="AF2245" s="90"/>
      <c r="AG2245" s="109">
        <f t="shared" si="3670"/>
        <v>0</v>
      </c>
      <c r="AH2245" s="100">
        <f t="shared" si="3671"/>
        <v>-1</v>
      </c>
      <c r="AI2245" s="100">
        <f t="shared" si="3672"/>
        <v>2.1499999999999998E-2</v>
      </c>
    </row>
    <row r="2246" spans="1:35" s="47" customFormat="1" ht="21" customHeight="1" x14ac:dyDescent="0.3">
      <c r="A2246" s="78"/>
      <c r="B2246" s="106" t="s">
        <v>51</v>
      </c>
      <c r="C2246" s="117" t="s">
        <v>1000</v>
      </c>
      <c r="D2246" s="104">
        <v>15188034</v>
      </c>
      <c r="E2246" s="132" t="s">
        <v>0</v>
      </c>
      <c r="F2246" s="66">
        <v>2000</v>
      </c>
      <c r="G2246" s="66"/>
      <c r="H2246" s="66"/>
      <c r="I2246" s="66"/>
      <c r="J2246" s="66"/>
      <c r="K2246" s="78"/>
      <c r="L2246" s="66"/>
      <c r="M2246" s="66"/>
      <c r="N2246" s="110">
        <f>M2246-F2246</f>
        <v>-2000</v>
      </c>
      <c r="O2246" s="110"/>
      <c r="P2246" s="66"/>
      <c r="Q2246" s="66"/>
      <c r="R2246" s="66"/>
      <c r="S2246" s="66"/>
      <c r="T2246" s="110">
        <f>S2246-Q2246</f>
        <v>0</v>
      </c>
      <c r="U2246" s="59">
        <f t="shared" si="3667"/>
        <v>0</v>
      </c>
      <c r="V2246" s="66"/>
      <c r="W2246" s="66"/>
      <c r="X2246" s="110">
        <f>W2246-M2246</f>
        <v>0</v>
      </c>
      <c r="Y2246" s="110"/>
      <c r="Z2246" s="110"/>
      <c r="AA2246" s="110"/>
      <c r="AB2246" s="46"/>
      <c r="AC2246" s="78"/>
      <c r="AD2246" s="78"/>
      <c r="AE2246" s="100">
        <f t="shared" si="3637"/>
        <v>-1</v>
      </c>
      <c r="AF2246" s="90"/>
      <c r="AG2246" s="109">
        <f t="shared" si="3638"/>
        <v>-2000</v>
      </c>
      <c r="AH2246" s="100">
        <f t="shared" si="3639"/>
        <v>-1</v>
      </c>
      <c r="AI2246" s="100">
        <f t="shared" si="3640"/>
        <v>-1</v>
      </c>
    </row>
    <row r="2247" spans="1:35" s="79" customFormat="1" ht="15.75" customHeight="1" x14ac:dyDescent="0.3">
      <c r="A2247" s="90" t="s">
        <v>46</v>
      </c>
      <c r="B2247" s="136" t="s">
        <v>51</v>
      </c>
      <c r="C2247" s="137"/>
      <c r="D2247" s="136"/>
      <c r="E2247" s="138"/>
      <c r="F2247" s="91">
        <f>SUM(F2246)</f>
        <v>2000</v>
      </c>
      <c r="G2247" s="91"/>
      <c r="H2247" s="91"/>
      <c r="I2247" s="91"/>
      <c r="J2247" s="91" t="s">
        <v>59</v>
      </c>
      <c r="K2247" s="65" t="s">
        <v>401</v>
      </c>
      <c r="L2247" s="91">
        <f>SUM(L2246)</f>
        <v>0</v>
      </c>
      <c r="M2247" s="91">
        <f>SUM(M2246)</f>
        <v>0</v>
      </c>
      <c r="N2247" s="91">
        <f>SUM(N2246)</f>
        <v>-2000</v>
      </c>
      <c r="O2247" s="91"/>
      <c r="P2247" s="91">
        <f>SUM(P2246)</f>
        <v>0</v>
      </c>
      <c r="Q2247" s="91">
        <f>SUM(Q2246)</f>
        <v>0</v>
      </c>
      <c r="R2247" s="91">
        <f>SUM(R2246)</f>
        <v>0</v>
      </c>
      <c r="S2247" s="91">
        <f t="shared" si="3552"/>
        <v>0</v>
      </c>
      <c r="T2247" s="91">
        <f>SUM(T2246)</f>
        <v>0</v>
      </c>
      <c r="U2247" s="59">
        <f>IF(Q2247&gt;0,S2247-W2247,M2247-W2247)</f>
        <v>0</v>
      </c>
      <c r="V2247" s="91">
        <f>SUM(V2246)</f>
        <v>0</v>
      </c>
      <c r="W2247" s="91">
        <f t="shared" si="3553"/>
        <v>0</v>
      </c>
      <c r="X2247" s="91">
        <f t="shared" si="3554"/>
        <v>0</v>
      </c>
      <c r="Y2247" s="136"/>
      <c r="Z2247" s="136"/>
      <c r="AA2247" s="136"/>
      <c r="AB2247" s="84"/>
      <c r="AC2247" s="90"/>
      <c r="AD2247" s="90"/>
      <c r="AE2247" s="100">
        <f t="shared" si="3637"/>
        <v>-1</v>
      </c>
      <c r="AF2247" s="90"/>
      <c r="AG2247" s="109">
        <f t="shared" si="3638"/>
        <v>-2000</v>
      </c>
      <c r="AH2247" s="100">
        <f t="shared" si="3639"/>
        <v>-1</v>
      </c>
      <c r="AI2247" s="100">
        <f t="shared" si="3640"/>
        <v>-1</v>
      </c>
    </row>
    <row r="2248" spans="1:35" s="47" customFormat="1" ht="21" customHeight="1" x14ac:dyDescent="0.3">
      <c r="A2248" s="78"/>
      <c r="B2248" s="106" t="s">
        <v>51</v>
      </c>
      <c r="C2248" s="117">
        <v>48303</v>
      </c>
      <c r="D2248" s="304">
        <v>15397914</v>
      </c>
      <c r="E2248" s="132" t="s">
        <v>0</v>
      </c>
      <c r="F2248" s="66">
        <v>990</v>
      </c>
      <c r="G2248" s="66"/>
      <c r="H2248" s="66"/>
      <c r="I2248" s="66"/>
      <c r="J2248" s="66"/>
      <c r="K2248" s="78"/>
      <c r="L2248" s="66"/>
      <c r="M2248" s="66">
        <f>459+279+252+109</f>
        <v>1099</v>
      </c>
      <c r="N2248" s="110">
        <f>M2248-F2248</f>
        <v>109</v>
      </c>
      <c r="O2248" s="110"/>
      <c r="P2248" s="66"/>
      <c r="Q2248" s="66">
        <f>846+243+10</f>
        <v>1099</v>
      </c>
      <c r="R2248" s="66"/>
      <c r="S2248" s="66">
        <f>243+856</f>
        <v>1099</v>
      </c>
      <c r="T2248" s="110">
        <f>S2248-Q2248</f>
        <v>0</v>
      </c>
      <c r="U2248" s="59" t="s">
        <v>100</v>
      </c>
      <c r="V2248" s="66"/>
      <c r="W2248" s="66">
        <v>1018</v>
      </c>
      <c r="X2248" s="110">
        <f>W2248-M2248</f>
        <v>-81</v>
      </c>
      <c r="Y2248" s="110"/>
      <c r="Z2248" s="110"/>
      <c r="AA2248" s="110"/>
      <c r="AB2248" s="46"/>
      <c r="AC2248" s="78"/>
      <c r="AD2248" s="78"/>
      <c r="AE2248" s="100">
        <f t="shared" si="3637"/>
        <v>0.1101010101010101</v>
      </c>
      <c r="AF2248" s="90"/>
      <c r="AG2248" s="109">
        <f t="shared" si="3638"/>
        <v>0</v>
      </c>
      <c r="AH2248" s="100">
        <f t="shared" si="3639"/>
        <v>0.1101010101010101</v>
      </c>
      <c r="AI2248" s="100">
        <f t="shared" si="3640"/>
        <v>2.8282828282828285E-2</v>
      </c>
    </row>
    <row r="2249" spans="1:35" s="47" customFormat="1" ht="21" customHeight="1" x14ac:dyDescent="0.3">
      <c r="A2249" s="78"/>
      <c r="B2249" s="106" t="s">
        <v>51</v>
      </c>
      <c r="C2249" s="117">
        <v>48303</v>
      </c>
      <c r="D2249" s="306"/>
      <c r="E2249" s="132" t="s">
        <v>141</v>
      </c>
      <c r="F2249" s="66">
        <v>990</v>
      </c>
      <c r="G2249" s="66"/>
      <c r="H2249" s="66"/>
      <c r="I2249" s="66"/>
      <c r="J2249" s="66"/>
      <c r="K2249" s="78"/>
      <c r="L2249" s="66"/>
      <c r="M2249" s="66">
        <f>684+354</f>
        <v>1038</v>
      </c>
      <c r="N2249" s="110">
        <f>M2249-F2249</f>
        <v>48</v>
      </c>
      <c r="O2249" s="110"/>
      <c r="P2249" s="66"/>
      <c r="Q2249" s="66">
        <v>1038</v>
      </c>
      <c r="R2249" s="66"/>
      <c r="S2249" s="66">
        <v>1038</v>
      </c>
      <c r="T2249" s="110">
        <f>S2249-Q2249</f>
        <v>0</v>
      </c>
      <c r="U2249" s="59">
        <f t="shared" si="3667"/>
        <v>21</v>
      </c>
      <c r="V2249" s="66"/>
      <c r="W2249" s="66">
        <f>1017</f>
        <v>1017</v>
      </c>
      <c r="X2249" s="110">
        <f>W2249-M2249</f>
        <v>-21</v>
      </c>
      <c r="Y2249" s="110"/>
      <c r="Z2249" s="110"/>
      <c r="AA2249" s="110"/>
      <c r="AB2249" s="46"/>
      <c r="AC2249" s="78"/>
      <c r="AD2249" s="78"/>
      <c r="AE2249" s="100">
        <f t="shared" ref="AE2249:AE2250" si="3673">N2249/F2249</f>
        <v>4.8484848484848485E-2</v>
      </c>
      <c r="AF2249" s="90"/>
      <c r="AG2249" s="109">
        <f t="shared" ref="AG2249:AG2250" si="3674">IF(N2249&lt;0,N2249,0)</f>
        <v>0</v>
      </c>
      <c r="AH2249" s="100">
        <f t="shared" ref="AH2249:AH2250" si="3675">(S2249-F2249)/F2249</f>
        <v>4.8484848484848485E-2</v>
      </c>
      <c r="AI2249" s="100">
        <f t="shared" ref="AI2249:AI2250" si="3676">(W2249-F2249)/F2249</f>
        <v>2.7272727272727271E-2</v>
      </c>
    </row>
    <row r="2250" spans="1:35" s="79" customFormat="1" ht="15.75" customHeight="1" x14ac:dyDescent="0.3">
      <c r="A2250" s="90" t="s">
        <v>46</v>
      </c>
      <c r="B2250" s="136" t="s">
        <v>51</v>
      </c>
      <c r="C2250" s="137"/>
      <c r="D2250" s="136"/>
      <c r="E2250" s="138"/>
      <c r="F2250" s="91">
        <f>SUM(F2248:F2249)</f>
        <v>1980</v>
      </c>
      <c r="G2250" s="91"/>
      <c r="H2250" s="91"/>
      <c r="I2250" s="91"/>
      <c r="J2250" s="91" t="s">
        <v>59</v>
      </c>
      <c r="K2250" s="65" t="s">
        <v>238</v>
      </c>
      <c r="L2250" s="91">
        <f>SUM(L2248:L2249)</f>
        <v>0</v>
      </c>
      <c r="M2250" s="91">
        <f t="shared" ref="M2250:X2250" si="3677">SUM(M2248:M2249)</f>
        <v>2137</v>
      </c>
      <c r="N2250" s="91">
        <f t="shared" si="3677"/>
        <v>157</v>
      </c>
      <c r="O2250" s="91" t="s">
        <v>175</v>
      </c>
      <c r="P2250" s="91">
        <f t="shared" si="3677"/>
        <v>0</v>
      </c>
      <c r="Q2250" s="91">
        <f t="shared" si="3677"/>
        <v>2137</v>
      </c>
      <c r="R2250" s="91">
        <f t="shared" si="3677"/>
        <v>0</v>
      </c>
      <c r="S2250" s="91">
        <f t="shared" si="3677"/>
        <v>2137</v>
      </c>
      <c r="T2250" s="91">
        <f t="shared" si="3677"/>
        <v>0</v>
      </c>
      <c r="U2250" s="59">
        <f t="shared" si="3667"/>
        <v>102</v>
      </c>
      <c r="V2250" s="91">
        <f t="shared" si="3677"/>
        <v>0</v>
      </c>
      <c r="W2250" s="91">
        <f t="shared" si="3677"/>
        <v>2035</v>
      </c>
      <c r="X2250" s="91">
        <f t="shared" si="3677"/>
        <v>-102</v>
      </c>
      <c r="Y2250" s="136" t="s">
        <v>47</v>
      </c>
      <c r="Z2250" s="136" t="s">
        <v>45</v>
      </c>
      <c r="AA2250" s="136"/>
      <c r="AB2250" s="84"/>
      <c r="AC2250" s="90"/>
      <c r="AD2250" s="90"/>
      <c r="AE2250" s="100">
        <f t="shared" si="3673"/>
        <v>7.929292929292929E-2</v>
      </c>
      <c r="AF2250" s="90"/>
      <c r="AG2250" s="109">
        <f t="shared" si="3674"/>
        <v>0</v>
      </c>
      <c r="AH2250" s="100">
        <f t="shared" si="3675"/>
        <v>7.929292929292929E-2</v>
      </c>
      <c r="AI2250" s="100">
        <f t="shared" si="3676"/>
        <v>2.7777777777777776E-2</v>
      </c>
    </row>
    <row r="2251" spans="1:35" s="47" customFormat="1" ht="21" customHeight="1" x14ac:dyDescent="0.3">
      <c r="A2251" s="78"/>
      <c r="B2251" s="106" t="s">
        <v>51</v>
      </c>
      <c r="C2251" s="117">
        <v>47758</v>
      </c>
      <c r="D2251" s="104">
        <v>15388436</v>
      </c>
      <c r="E2251" s="132" t="s">
        <v>56</v>
      </c>
      <c r="F2251" s="66">
        <v>1137</v>
      </c>
      <c r="G2251" s="66"/>
      <c r="H2251" s="66"/>
      <c r="I2251" s="66"/>
      <c r="J2251" s="66"/>
      <c r="K2251" s="78"/>
      <c r="L2251" s="66"/>
      <c r="M2251" s="66">
        <f>324+520+104+91+135</f>
        <v>1174</v>
      </c>
      <c r="N2251" s="110">
        <f>M2251-F2251</f>
        <v>37</v>
      </c>
      <c r="O2251" s="110"/>
      <c r="P2251" s="66"/>
      <c r="Q2251" s="66">
        <f>844+104+91+135</f>
        <v>1174</v>
      </c>
      <c r="R2251" s="66"/>
      <c r="S2251" s="66">
        <f>948+226</f>
        <v>1174</v>
      </c>
      <c r="T2251" s="110">
        <f>S2251-Q2251</f>
        <v>0</v>
      </c>
      <c r="U2251" s="59">
        <f t="shared" si="3667"/>
        <v>17</v>
      </c>
      <c r="V2251" s="66"/>
      <c r="W2251" s="66">
        <v>1157</v>
      </c>
      <c r="X2251" s="110">
        <f>W2251-M2251</f>
        <v>-17</v>
      </c>
      <c r="Y2251" s="110"/>
      <c r="Z2251" s="110"/>
      <c r="AA2251" s="110"/>
      <c r="AB2251" s="46"/>
      <c r="AC2251" s="78"/>
      <c r="AD2251" s="78"/>
      <c r="AE2251" s="100">
        <f t="shared" si="3637"/>
        <v>3.2541776605101144E-2</v>
      </c>
      <c r="AF2251" s="90"/>
      <c r="AG2251" s="109">
        <f t="shared" si="3638"/>
        <v>0</v>
      </c>
      <c r="AH2251" s="100">
        <f t="shared" si="3639"/>
        <v>3.2541776605101144E-2</v>
      </c>
      <c r="AI2251" s="100">
        <f t="shared" si="3640"/>
        <v>1.759014951627089E-2</v>
      </c>
    </row>
    <row r="2252" spans="1:35" s="79" customFormat="1" ht="15.75" customHeight="1" x14ac:dyDescent="0.3">
      <c r="A2252" s="90" t="s">
        <v>46</v>
      </c>
      <c r="B2252" s="136" t="s">
        <v>51</v>
      </c>
      <c r="C2252" s="137"/>
      <c r="D2252" s="136"/>
      <c r="E2252" s="138"/>
      <c r="F2252" s="91">
        <f>SUM(F2251)</f>
        <v>1137</v>
      </c>
      <c r="G2252" s="91"/>
      <c r="H2252" s="91"/>
      <c r="I2252" s="91"/>
      <c r="J2252" s="91" t="s">
        <v>59</v>
      </c>
      <c r="K2252" s="65" t="s">
        <v>290</v>
      </c>
      <c r="L2252" s="91">
        <f>SUM(L2251)</f>
        <v>0</v>
      </c>
      <c r="M2252" s="91">
        <f>SUM(M2251)</f>
        <v>1174</v>
      </c>
      <c r="N2252" s="91">
        <f>SUM(N2251)</f>
        <v>37</v>
      </c>
      <c r="O2252" s="91" t="s">
        <v>758</v>
      </c>
      <c r="P2252" s="91">
        <f>SUM(P2251)</f>
        <v>0</v>
      </c>
      <c r="Q2252" s="91">
        <f>SUM(Q2251)</f>
        <v>1174</v>
      </c>
      <c r="R2252" s="91">
        <f>SUM(R2251)</f>
        <v>0</v>
      </c>
      <c r="S2252" s="91">
        <f t="shared" si="3552"/>
        <v>1174</v>
      </c>
      <c r="T2252" s="91">
        <f>SUM(T2251)</f>
        <v>0</v>
      </c>
      <c r="U2252" s="59">
        <f t="shared" si="3667"/>
        <v>17</v>
      </c>
      <c r="V2252" s="91">
        <f>SUM(V2251)</f>
        <v>0</v>
      </c>
      <c r="W2252" s="91">
        <f t="shared" si="3553"/>
        <v>1157</v>
      </c>
      <c r="X2252" s="91">
        <f t="shared" si="3554"/>
        <v>-17</v>
      </c>
      <c r="Y2252" s="136" t="s">
        <v>48</v>
      </c>
      <c r="Z2252" s="136" t="s">
        <v>45</v>
      </c>
      <c r="AA2252" s="136"/>
      <c r="AB2252" s="84"/>
      <c r="AC2252" s="90"/>
      <c r="AD2252" s="90"/>
      <c r="AE2252" s="100">
        <f t="shared" si="3637"/>
        <v>3.2541776605101144E-2</v>
      </c>
      <c r="AF2252" s="90"/>
      <c r="AG2252" s="109">
        <f t="shared" si="3638"/>
        <v>0</v>
      </c>
      <c r="AH2252" s="100">
        <f t="shared" si="3639"/>
        <v>3.2541776605101144E-2</v>
      </c>
      <c r="AI2252" s="100">
        <f t="shared" si="3640"/>
        <v>1.759014951627089E-2</v>
      </c>
    </row>
    <row r="2253" spans="1:35" s="47" customFormat="1" ht="21" customHeight="1" x14ac:dyDescent="0.3">
      <c r="A2253" s="78"/>
      <c r="B2253" s="106" t="s">
        <v>51</v>
      </c>
      <c r="C2253" s="117">
        <v>48166</v>
      </c>
      <c r="D2253" s="104">
        <v>15395552</v>
      </c>
      <c r="E2253" s="132" t="s">
        <v>0</v>
      </c>
      <c r="F2253" s="66">
        <v>1188</v>
      </c>
      <c r="G2253" s="66"/>
      <c r="H2253" s="66"/>
      <c r="I2253" s="66"/>
      <c r="J2253" s="66"/>
      <c r="K2253" s="78"/>
      <c r="L2253" s="66"/>
      <c r="M2253" s="66"/>
      <c r="N2253" s="110">
        <f>M2253-F2253</f>
        <v>-1188</v>
      </c>
      <c r="O2253" s="110"/>
      <c r="P2253" s="66"/>
      <c r="Q2253" s="66"/>
      <c r="R2253" s="66"/>
      <c r="S2253" s="66"/>
      <c r="T2253" s="110" t="s">
        <v>44</v>
      </c>
      <c r="U2253" s="59">
        <f t="shared" si="3667"/>
        <v>0</v>
      </c>
      <c r="V2253" s="66"/>
      <c r="W2253" s="66"/>
      <c r="X2253" s="110">
        <f>W2253-M2253</f>
        <v>0</v>
      </c>
      <c r="Y2253" s="110"/>
      <c r="Z2253" s="110"/>
      <c r="AA2253" s="110"/>
      <c r="AB2253" s="46"/>
      <c r="AC2253" s="78"/>
      <c r="AD2253" s="78"/>
      <c r="AE2253" s="100">
        <f t="shared" si="3629"/>
        <v>-1</v>
      </c>
      <c r="AF2253" s="90"/>
      <c r="AG2253" s="109">
        <f t="shared" si="3630"/>
        <v>-1188</v>
      </c>
      <c r="AH2253" s="100">
        <f t="shared" si="3631"/>
        <v>-1</v>
      </c>
      <c r="AI2253" s="100">
        <f t="shared" si="3632"/>
        <v>-1</v>
      </c>
    </row>
    <row r="2254" spans="1:35" s="79" customFormat="1" ht="15.75" customHeight="1" x14ac:dyDescent="0.3">
      <c r="A2254" s="90" t="s">
        <v>46</v>
      </c>
      <c r="B2254" s="136" t="s">
        <v>51</v>
      </c>
      <c r="C2254" s="137"/>
      <c r="D2254" s="136"/>
      <c r="E2254" s="138"/>
      <c r="F2254" s="91">
        <f>SUM(F2253)</f>
        <v>1188</v>
      </c>
      <c r="G2254" s="91"/>
      <c r="H2254" s="91"/>
      <c r="I2254" s="91"/>
      <c r="J2254" s="91" t="s">
        <v>59</v>
      </c>
      <c r="K2254" s="65" t="s">
        <v>410</v>
      </c>
      <c r="L2254" s="91">
        <f>SUM(L2253)</f>
        <v>0</v>
      </c>
      <c r="M2254" s="91">
        <f>SUM(M2253)</f>
        <v>0</v>
      </c>
      <c r="N2254" s="91">
        <f>SUM(N2253)</f>
        <v>-1188</v>
      </c>
      <c r="O2254" s="91"/>
      <c r="P2254" s="91">
        <f>SUM(P2253)</f>
        <v>0</v>
      </c>
      <c r="Q2254" s="91">
        <f>SUM(Q2253)</f>
        <v>0</v>
      </c>
      <c r="R2254" s="91">
        <f>SUM(R2253)</f>
        <v>0</v>
      </c>
      <c r="S2254" s="91">
        <f t="shared" si="3552"/>
        <v>0</v>
      </c>
      <c r="T2254" s="91">
        <f>SUM(T2253)</f>
        <v>0</v>
      </c>
      <c r="U2254" s="59">
        <f t="shared" si="3667"/>
        <v>0</v>
      </c>
      <c r="V2254" s="91">
        <f>SUM(V2253)</f>
        <v>0</v>
      </c>
      <c r="W2254" s="91">
        <f t="shared" si="3553"/>
        <v>0</v>
      </c>
      <c r="X2254" s="91">
        <f t="shared" si="3554"/>
        <v>0</v>
      </c>
      <c r="Y2254" s="136" t="s">
        <v>47</v>
      </c>
      <c r="Z2254" s="136" t="s">
        <v>45</v>
      </c>
      <c r="AA2254" s="136"/>
      <c r="AB2254" s="84"/>
      <c r="AC2254" s="90"/>
      <c r="AD2254" s="90"/>
      <c r="AE2254" s="100">
        <f t="shared" si="3629"/>
        <v>-1</v>
      </c>
      <c r="AF2254" s="90"/>
      <c r="AG2254" s="109">
        <f t="shared" si="3630"/>
        <v>-1188</v>
      </c>
      <c r="AH2254" s="100">
        <f t="shared" si="3631"/>
        <v>-1</v>
      </c>
      <c r="AI2254" s="100">
        <f t="shared" si="3632"/>
        <v>-1</v>
      </c>
    </row>
    <row r="2255" spans="1:35" s="47" customFormat="1" ht="21" customHeight="1" x14ac:dyDescent="0.3">
      <c r="A2255" s="78"/>
      <c r="B2255" s="106" t="s">
        <v>51</v>
      </c>
      <c r="C2255" s="117">
        <v>47759</v>
      </c>
      <c r="D2255" s="104">
        <v>15388868</v>
      </c>
      <c r="E2255" s="132" t="s">
        <v>41</v>
      </c>
      <c r="F2255" s="66">
        <v>501</v>
      </c>
      <c r="G2255" s="66"/>
      <c r="H2255" s="66"/>
      <c r="I2255" s="66"/>
      <c r="J2255" s="66"/>
      <c r="K2255" s="78"/>
      <c r="L2255" s="66"/>
      <c r="M2255" s="66">
        <v>537</v>
      </c>
      <c r="N2255" s="110">
        <f>M2255-F2255</f>
        <v>36</v>
      </c>
      <c r="O2255" s="110"/>
      <c r="P2255" s="66"/>
      <c r="Q2255" s="66">
        <v>537</v>
      </c>
      <c r="R2255" s="66"/>
      <c r="S2255" s="66">
        <v>537</v>
      </c>
      <c r="T2255" s="110">
        <f>S2255-Q2255</f>
        <v>0</v>
      </c>
      <c r="U2255" s="59">
        <f t="shared" si="3667"/>
        <v>0</v>
      </c>
      <c r="V2255" s="66"/>
      <c r="W2255" s="66">
        <v>537</v>
      </c>
      <c r="X2255" s="110">
        <f>W2255-M2255</f>
        <v>0</v>
      </c>
      <c r="Y2255" s="110"/>
      <c r="Z2255" s="110"/>
      <c r="AA2255" s="110"/>
      <c r="AB2255" s="46"/>
      <c r="AC2255" s="78"/>
      <c r="AD2255" s="78"/>
      <c r="AE2255" s="100">
        <f t="shared" ref="AE2255:AE2256" si="3678">N2255/F2255</f>
        <v>7.1856287425149698E-2</v>
      </c>
      <c r="AF2255" s="90"/>
      <c r="AG2255" s="109">
        <f t="shared" ref="AG2255:AG2256" si="3679">IF(N2255&lt;0,N2255,0)</f>
        <v>0</v>
      </c>
      <c r="AH2255" s="100">
        <f t="shared" ref="AH2255:AH2256" si="3680">(S2255-F2255)/F2255</f>
        <v>7.1856287425149698E-2</v>
      </c>
      <c r="AI2255" s="100">
        <f t="shared" ref="AI2255:AI2256" si="3681">(W2255-F2255)/F2255</f>
        <v>7.1856287425149698E-2</v>
      </c>
    </row>
    <row r="2256" spans="1:35" s="79" customFormat="1" ht="15.75" customHeight="1" x14ac:dyDescent="0.3">
      <c r="A2256" s="90" t="s">
        <v>46</v>
      </c>
      <c r="B2256" s="136" t="s">
        <v>51</v>
      </c>
      <c r="C2256" s="137"/>
      <c r="D2256" s="136"/>
      <c r="E2256" s="138"/>
      <c r="F2256" s="91">
        <f>SUM(F2255)</f>
        <v>501</v>
      </c>
      <c r="G2256" s="91"/>
      <c r="H2256" s="91"/>
      <c r="I2256" s="91"/>
      <c r="J2256" s="91" t="s">
        <v>59</v>
      </c>
      <c r="K2256" s="65" t="s">
        <v>290</v>
      </c>
      <c r="L2256" s="91">
        <f>SUM(L2255)</f>
        <v>0</v>
      </c>
      <c r="M2256" s="91">
        <f>SUM(M2255)</f>
        <v>537</v>
      </c>
      <c r="N2256" s="91">
        <f>SUM(N2255)</f>
        <v>36</v>
      </c>
      <c r="O2256" s="91" t="s">
        <v>266</v>
      </c>
      <c r="P2256" s="91">
        <f>SUM(P2255)</f>
        <v>0</v>
      </c>
      <c r="Q2256" s="91">
        <f>SUM(Q2255)</f>
        <v>537</v>
      </c>
      <c r="R2256" s="91">
        <f>SUM(R2255)</f>
        <v>0</v>
      </c>
      <c r="S2256" s="91">
        <f t="shared" si="3552"/>
        <v>537</v>
      </c>
      <c r="T2256" s="91">
        <f>SUM(T2255)</f>
        <v>0</v>
      </c>
      <c r="U2256" s="59">
        <f t="shared" si="3667"/>
        <v>0</v>
      </c>
      <c r="V2256" s="91">
        <f>SUM(V2255)</f>
        <v>0</v>
      </c>
      <c r="W2256" s="91">
        <f t="shared" si="3553"/>
        <v>537</v>
      </c>
      <c r="X2256" s="91">
        <f t="shared" si="3554"/>
        <v>0</v>
      </c>
      <c r="Y2256" s="136" t="s">
        <v>47</v>
      </c>
      <c r="Z2256" s="136" t="s">
        <v>45</v>
      </c>
      <c r="AA2256" s="136"/>
      <c r="AB2256" s="84"/>
      <c r="AC2256" s="90"/>
      <c r="AD2256" s="90"/>
      <c r="AE2256" s="100">
        <f t="shared" si="3678"/>
        <v>7.1856287425149698E-2</v>
      </c>
      <c r="AF2256" s="90"/>
      <c r="AG2256" s="109">
        <f t="shared" si="3679"/>
        <v>0</v>
      </c>
      <c r="AH2256" s="100">
        <f t="shared" si="3680"/>
        <v>7.1856287425149698E-2</v>
      </c>
      <c r="AI2256" s="100">
        <f t="shared" si="3681"/>
        <v>7.1856287425149698E-2</v>
      </c>
    </row>
    <row r="2257" spans="1:35" s="56" customFormat="1" ht="21" customHeight="1" x14ac:dyDescent="0.3">
      <c r="A2257" s="73"/>
      <c r="B2257" s="73" t="s">
        <v>37</v>
      </c>
      <c r="C2257" s="73"/>
      <c r="D2257" s="73"/>
      <c r="E2257" s="73"/>
      <c r="F2257" s="93">
        <f>F2138+F2134+F1402+F2148+F2152+F2164+F2160+F2156+F2146+F2150+F2174+F2166+F2158+F2256+F1407+F2172+F2128+F1498+F1171+F2169+F1410+F2176+F2184+F1271+F2180+F2196+F2178+F2190+F2162+F1169+F2144+F1505+F2154+F1267+F1509+F2130+F1543+F1494+F1274+F1173+F2192+F2182+F1523+F1481+F1460+F1637+F2132+F1650+F1414+F2200+F1525+F1192+F2206+F1644+F1647+F1655+F1220+F2210+F1529+F2250+F2252+F1216+F2247+F1661+F2208+F1673+F2254+F1714+F2204+F1677+F2220+F2212+F2140+F1681+F1395+F2202+F1549+F1667+F1374+F1692+F1259+F1724+F1721+F2234+F2218+F2188+F2230+F1710+F1706+F1695+F1688+F1261+F2241+F1417+F2136+F1773+F1731+F1237+F1470+F1511+F1546+F1574+F1653+F1698+F1702+F1737+F1743+F1751+F1760+F1768+F1776+F1782+F1786+F1793+F1840+F2222+F2226+F2228+F2232+F2237+F2239+F2126+F1872+F1843+F1811+F1555+F1552+F1186+F1180+F1372+F1283+F1376+F1378+F1419+F1424+F1851+F1854+F1860+F1863+F1869+F1876+F1880+F1886+F1896+F1899+F1907+F1911+F2122+F2194+F2186+F1936+F1914+F1492+F1490+F1428+F1426+F1390+F1307+F1289+F1285+F1252+F1918+F1923+F1939+F1941+F1944+F1947+F1950+F1954+F1968+F1961+F1958+F1370+F1188+F1964+F2224+F2198+F2142+F1997+F1987+F1984+F1978+F1975+F1973+F1571+F1565+F1562+F1558+F1400+F1355+F2216+F2214+F2027+F2024+F2021+F2018+F2015+F2008+F2002+F2000+F1256+F1384+F1438+F1445+F1447+F1452+F1464+F1466+F1847+F2035+F2042+F2045+F2048+F2051+F2054+F2074+F2243+F2084+F2080+F2101+F2097+F2092+F2067+F2061+F1827+F1627+F1462+F1331+F1293+F1210+F1195+F2104+F2108+F2112+F2116+F2119+F1517+F1520+F1579+F1583+F1587+F1590+F1532+F2011+F1704+F1501+F2245+F1931+F1904+F1806+F1670+F1297+F1301+F1305+F1596</f>
        <v>1613164</v>
      </c>
      <c r="G2257" s="93"/>
      <c r="H2257" s="93"/>
      <c r="I2257" s="93"/>
      <c r="J2257" s="93"/>
      <c r="K2257" s="93"/>
      <c r="L2257" s="93">
        <f t="shared" ref="L2257:X2257" si="3682">L2138+L2134+L1402+L2148+L2152+L2164+L2160+L2156+L2146+L2150+L2174+L2166+L2158+L2256+L1407+L2172+L2128+L1498+L1171+L2169+L1410+L2176+L2184+L1271+L2180+L2196+L2178+L2190+L2162+L1169+L2144+L1505+L2154+L1267+L1509+L2130+L1543+L1494+L1274+L1173+L2192+L2182+L1523+L1481+L1460+L1637+L2132+L1650+L1414+L2200+L1525+L1192+L2206+L1644+L1647+L1655+L1220+L2210+L1529+L2250+L2252+L1216+L2247+L1661+L2208+L1673+L2254+L1714+L2204+L1677+L2220+L2212+L2140+L1681+L1395+L2202+L1549+L1667+L1374+L1692+L1259+L1724+L1721+L2234+L2218+L2188+L2230+L1710+L1706+L1695+L1688+L1261+L2241+L1417+L2136+L1773+L1731+L1237+L1470+L1511+L1546+L1574+L1653+L1698+L1702+L1737+L1743+L1751+L1760+L1768+L1776+L1782+L1786+L1793+L1840+L2222+L2226+L2228+L2232+L2237+L2239+L2126+L1872+L1843+L1811+L1555+L1552+L1186+L1180+L1372+L1283+L1376+L1378+L1419+L1424+L1851+L1854+L1860+L1863+L1869+L1876+L1880+L1886+L1896+L1899+L1907+L1911+L2122+L2194+L2186+L1936+L1914+L1492+L1490+L1428+L1426+L1390+L1307+L1289+L1285+L1252+L1918+L1923+L1939+L1941+L1944+L1947+L1950+L1954+L1968+L1961+L1958+L1370+L1188+L1964+L2224+L2198+L2142+L1997+L1987+L1984+L1978+L1975+L1973+L1571+L1565+L1562+L1558+L1400+L1355+L2216+L2214+L2027+L2024+L2021+L2018+L2015+L2008+L2002+L2000+L1256+L1384+L1438+L1445+L1447+L1452+L1464+L1466+L1847+L2035+L2042+L2045+L2048+L2051+L2054+L2074+L2243+L2084+L2080+L2101+L2097+L2092+L2067+L2061+L1827+L1627+L1462+L1331+L1293+L1210+L1195+L2104+L2108+L2112+L2116+L2119+L1517+L1520+L1579+L1583+L1587+L1590+L1532+L2011+L1704+L1501+L2245+L1931+L1904+L1806+L1670+L1297+L1301+L1305+L1596</f>
        <v>26043</v>
      </c>
      <c r="M2257" s="93">
        <f t="shared" si="3682"/>
        <v>929133</v>
      </c>
      <c r="N2257" s="93">
        <f t="shared" si="3682"/>
        <v>-686050</v>
      </c>
      <c r="O2257" s="93"/>
      <c r="P2257" s="93">
        <f t="shared" si="3682"/>
        <v>14221</v>
      </c>
      <c r="Q2257" s="93">
        <f t="shared" si="3682"/>
        <v>435625</v>
      </c>
      <c r="R2257" s="93">
        <f t="shared" si="3682"/>
        <v>8224</v>
      </c>
      <c r="S2257" s="93">
        <f t="shared" si="3682"/>
        <v>342253</v>
      </c>
      <c r="T2257" s="93">
        <f t="shared" si="3682"/>
        <v>-93372</v>
      </c>
      <c r="U2257" s="93">
        <f t="shared" si="3682"/>
        <v>150104</v>
      </c>
      <c r="V2257" s="93">
        <f t="shared" si="3682"/>
        <v>15653</v>
      </c>
      <c r="W2257" s="93">
        <f t="shared" si="3682"/>
        <v>681207</v>
      </c>
      <c r="X2257" s="93">
        <f t="shared" si="3682"/>
        <v>-247926</v>
      </c>
      <c r="Y2257" s="93"/>
      <c r="Z2257" s="93"/>
      <c r="AA2257" s="93"/>
      <c r="AB2257" s="93"/>
      <c r="AC2257" s="73"/>
      <c r="AD2257" s="73"/>
      <c r="AE2257" s="100">
        <f>N2257/F2257</f>
        <v>-0.42528224036737738</v>
      </c>
      <c r="AF2257" s="90"/>
      <c r="AG2257" s="109">
        <f t="shared" ref="AG2257" si="3683">IF(N2257&lt;0,N2257,0)</f>
        <v>-686050</v>
      </c>
      <c r="AH2257" s="100">
        <f>(S2257-F2257)/F2257</f>
        <v>-0.78783744244230591</v>
      </c>
      <c r="AI2257" s="100">
        <f>(W2257-F2257)/F2257</f>
        <v>-0.57771993424103196</v>
      </c>
    </row>
    <row r="2258" spans="1:35" s="61" customFormat="1" ht="27" customHeight="1" x14ac:dyDescent="0.3">
      <c r="A2258" s="94"/>
      <c r="B2258" s="135" t="s">
        <v>24</v>
      </c>
      <c r="C2258" s="135"/>
      <c r="D2258" s="135"/>
      <c r="E2258" s="134"/>
      <c r="F2258" s="105">
        <f>F2257+F1167+F386+F238+F50+F44+F35+F20+F17+F11</f>
        <v>3133166</v>
      </c>
      <c r="G2258" s="105"/>
      <c r="H2258" s="105"/>
      <c r="I2258" s="105"/>
      <c r="J2258" s="105"/>
      <c r="K2258" s="105"/>
      <c r="L2258" s="105">
        <f>L2257+L1167+L386+L238+L50+L44+L35+L20+L17+L11+L2215+L2170+L2153+L2139</f>
        <v>59025</v>
      </c>
      <c r="M2258" s="105">
        <f>M2257+M1167+M386+M238+M50+M44+M35+M20+M17+M11</f>
        <v>2043097</v>
      </c>
      <c r="N2258" s="105">
        <f>N2257+N1167+N386+N238+N50+N44+N35+N20+N17+N11</f>
        <v>-1097374</v>
      </c>
      <c r="O2258" s="105"/>
      <c r="P2258" s="105">
        <f t="shared" ref="P2258:X2258" si="3684">P2257+P1167+P386+P238+P50+P44+P35+P20+P17+P11</f>
        <v>25301</v>
      </c>
      <c r="Q2258" s="147">
        <f t="shared" si="3684"/>
        <v>1115496</v>
      </c>
      <c r="R2258" s="105">
        <f t="shared" si="3684"/>
        <v>19217</v>
      </c>
      <c r="S2258" s="105">
        <f t="shared" si="3684"/>
        <v>933322</v>
      </c>
      <c r="T2258" s="105">
        <f t="shared" si="3684"/>
        <v>-182174</v>
      </c>
      <c r="U2258" s="105">
        <f t="shared" si="3684"/>
        <v>341677</v>
      </c>
      <c r="V2258" s="105">
        <f t="shared" si="3684"/>
        <v>43847</v>
      </c>
      <c r="W2258" s="105">
        <f t="shared" si="3684"/>
        <v>1505130</v>
      </c>
      <c r="X2258" s="105">
        <f t="shared" si="3684"/>
        <v>-537967</v>
      </c>
      <c r="Y2258" s="58"/>
      <c r="Z2258" s="58"/>
      <c r="AA2258" s="58"/>
      <c r="AB2258" s="58"/>
      <c r="AC2258" s="94"/>
      <c r="AD2258" s="94"/>
      <c r="AE2258" s="100">
        <f t="shared" ref="AE2258" si="3685">N2258/F2258</f>
        <v>-0.3502444492248416</v>
      </c>
      <c r="AF2258" s="90"/>
      <c r="AG2258" s="109">
        <f>IF(N2258&lt;0,N2258,0)</f>
        <v>-1097374</v>
      </c>
      <c r="AH2258" s="100">
        <f t="shared" ref="AH2258" si="3686">(S2258-F2258)/F2258</f>
        <v>-0.70211536828881715</v>
      </c>
      <c r="AI2258" s="100">
        <f t="shared" ref="AI2258" si="3687">(W2258-F2258)/F2258</f>
        <v>-0.51961370702988607</v>
      </c>
    </row>
    <row r="2259" spans="1:35" ht="23.25" customHeight="1" x14ac:dyDescent="0.2">
      <c r="B2259" s="75"/>
      <c r="C2259" s="67"/>
      <c r="D2259" s="75"/>
      <c r="E2259" s="67"/>
      <c r="F2259" s="67"/>
      <c r="G2259" s="70"/>
      <c r="H2259" s="70"/>
      <c r="I2259" s="70"/>
      <c r="J2259" s="70"/>
      <c r="K2259" s="70"/>
      <c r="L2259" s="67"/>
      <c r="M2259" s="67"/>
      <c r="N2259" s="72"/>
      <c r="O2259" s="72"/>
      <c r="P2259" s="67"/>
      <c r="Q2259" s="67"/>
      <c r="R2259" s="67"/>
      <c r="S2259" s="67"/>
    </row>
    <row r="2260" spans="1:35" ht="23.25" customHeight="1" x14ac:dyDescent="0.2">
      <c r="B2260" s="75"/>
      <c r="C2260" s="67"/>
      <c r="D2260" s="75"/>
      <c r="E2260" s="67"/>
      <c r="F2260" s="67"/>
      <c r="G2260" s="70"/>
      <c r="H2260" s="70"/>
      <c r="I2260" s="70"/>
      <c r="J2260" s="70"/>
      <c r="K2260" s="70"/>
      <c r="L2260" s="67"/>
      <c r="M2260" s="67"/>
      <c r="N2260" s="72"/>
      <c r="O2260" s="72"/>
      <c r="P2260" s="67"/>
      <c r="Q2260" s="67"/>
      <c r="R2260" s="67"/>
      <c r="S2260" s="67"/>
    </row>
    <row r="2261" spans="1:35" ht="23.25" customHeight="1" x14ac:dyDescent="0.2">
      <c r="B2261" s="75"/>
      <c r="C2261" s="67"/>
      <c r="D2261" s="75"/>
      <c r="E2261" s="67"/>
      <c r="F2261" s="67"/>
      <c r="G2261" s="70"/>
      <c r="H2261" s="70"/>
      <c r="I2261" s="70"/>
      <c r="J2261" s="70"/>
      <c r="K2261" s="70"/>
      <c r="L2261" s="67"/>
      <c r="M2261" s="67"/>
      <c r="N2261" s="72"/>
      <c r="O2261" s="72"/>
      <c r="P2261" s="67"/>
      <c r="Q2261" s="67"/>
      <c r="R2261" s="67"/>
      <c r="S2261" s="67"/>
    </row>
    <row r="2262" spans="1:35" ht="23.25" customHeight="1" x14ac:dyDescent="0.2">
      <c r="B2262" s="75"/>
      <c r="C2262" s="67"/>
      <c r="D2262" s="75"/>
      <c r="E2262" s="67"/>
      <c r="F2262" s="67"/>
      <c r="G2262" s="70"/>
      <c r="H2262" s="70"/>
      <c r="I2262" s="70"/>
      <c r="J2262" s="70"/>
      <c r="K2262" s="70"/>
      <c r="L2262" s="67"/>
      <c r="M2262" s="67"/>
      <c r="N2262" s="72"/>
      <c r="O2262" s="72"/>
      <c r="P2262" s="67"/>
      <c r="Q2262" s="67"/>
      <c r="R2262" s="67"/>
      <c r="S2262" s="67"/>
      <c r="T2262" s="32"/>
      <c r="U2262" s="32"/>
      <c r="X2262" s="32"/>
      <c r="Y2262" s="32"/>
      <c r="Z2262" s="32"/>
      <c r="AA2262" s="32"/>
      <c r="AB2262" s="32"/>
    </row>
    <row r="2263" spans="1:35" ht="23.25" customHeight="1" x14ac:dyDescent="0.3">
      <c r="B2263" s="75"/>
      <c r="C2263" s="67"/>
      <c r="D2263" s="75"/>
      <c r="E2263" s="67"/>
      <c r="F2263" s="67"/>
      <c r="G2263" s="70"/>
      <c r="H2263" s="70"/>
      <c r="I2263" s="70"/>
      <c r="J2263" s="70"/>
      <c r="K2263" s="70"/>
      <c r="L2263" s="67"/>
      <c r="M2263" s="67"/>
      <c r="N2263" s="72"/>
      <c r="O2263" s="72"/>
      <c r="P2263" s="67"/>
      <c r="Q2263" s="67"/>
      <c r="R2263" s="67"/>
      <c r="S2263" s="67"/>
      <c r="T2263" s="32"/>
      <c r="U2263" s="32" t="s">
        <v>89</v>
      </c>
      <c r="X2263"/>
      <c r="Y2263" s="32" t="s">
        <v>62</v>
      </c>
      <c r="Z2263" s="32"/>
      <c r="AA2263" s="32"/>
      <c r="AB2263" s="32"/>
    </row>
    <row r="2264" spans="1:35" ht="23.25" customHeight="1" x14ac:dyDescent="0.2">
      <c r="B2264" s="75"/>
      <c r="C2264" s="67"/>
      <c r="D2264" s="75"/>
      <c r="E2264" s="67"/>
      <c r="F2264" s="67"/>
      <c r="G2264" s="70"/>
      <c r="H2264" s="70"/>
      <c r="I2264" s="70"/>
      <c r="J2264" s="70"/>
      <c r="K2264" s="70"/>
      <c r="L2264" s="67"/>
      <c r="M2264" s="67"/>
      <c r="N2264" s="72" t="s">
        <v>44</v>
      </c>
      <c r="O2264" s="72"/>
      <c r="P2264" s="67"/>
      <c r="Q2264" s="67"/>
      <c r="R2264" s="67"/>
      <c r="S2264" s="67" t="s">
        <v>100</v>
      </c>
      <c r="T2264" s="32"/>
      <c r="U2264" s="32"/>
      <c r="X2264" s="32" t="s">
        <v>44</v>
      </c>
      <c r="Y2264" s="32"/>
      <c r="Z2264" s="32"/>
      <c r="AA2264" s="32"/>
      <c r="AB2264" s="32"/>
    </row>
    <row r="2265" spans="1:35" ht="23.25" customHeight="1" x14ac:dyDescent="0.2">
      <c r="B2265" s="75"/>
      <c r="C2265" s="67"/>
      <c r="D2265" s="75"/>
      <c r="E2265" s="67"/>
      <c r="F2265" s="67"/>
      <c r="G2265" s="70"/>
      <c r="H2265" s="70"/>
      <c r="I2265" s="70"/>
      <c r="J2265" s="70"/>
      <c r="K2265" s="70"/>
      <c r="L2265" s="67"/>
      <c r="M2265" s="67"/>
      <c r="N2265" s="72"/>
      <c r="O2265" s="72"/>
      <c r="P2265" s="67"/>
      <c r="Q2265" s="67"/>
      <c r="R2265" s="67"/>
      <c r="S2265" s="67"/>
      <c r="T2265" s="32"/>
      <c r="U2265" s="32"/>
      <c r="X2265" s="32"/>
      <c r="Y2265" s="32"/>
      <c r="Z2265" s="32"/>
      <c r="AA2265" s="32"/>
      <c r="AB2265" s="32"/>
    </row>
    <row r="2266" spans="1:35" ht="23.25" customHeight="1" x14ac:dyDescent="0.2">
      <c r="B2266" s="75"/>
      <c r="C2266" s="67"/>
      <c r="D2266" s="75"/>
      <c r="E2266" s="67"/>
      <c r="F2266" s="67"/>
      <c r="G2266" s="70"/>
      <c r="H2266" s="70"/>
      <c r="I2266" s="70"/>
      <c r="J2266" s="70"/>
      <c r="K2266" s="70"/>
      <c r="L2266" s="67"/>
      <c r="M2266" s="67"/>
      <c r="N2266" s="72"/>
      <c r="O2266" s="72"/>
      <c r="P2266" s="67"/>
      <c r="Q2266" s="67"/>
      <c r="R2266" s="67"/>
      <c r="S2266" s="67"/>
      <c r="T2266" s="32"/>
      <c r="U2266" s="32"/>
      <c r="X2266" s="32"/>
      <c r="Y2266" s="32"/>
      <c r="Z2266" s="32"/>
      <c r="AA2266" s="32"/>
      <c r="AB2266" s="32"/>
    </row>
    <row r="2267" spans="1:35" ht="23.25" customHeight="1" x14ac:dyDescent="0.2">
      <c r="B2267" s="75"/>
      <c r="C2267" s="67"/>
      <c r="D2267" s="75"/>
      <c r="E2267" s="67"/>
      <c r="F2267" s="67"/>
      <c r="G2267" s="70"/>
      <c r="H2267" s="70"/>
      <c r="I2267" s="70"/>
      <c r="J2267" s="70"/>
      <c r="K2267" s="70"/>
      <c r="L2267" s="67"/>
      <c r="M2267" s="67"/>
      <c r="N2267" s="72"/>
      <c r="O2267" s="72"/>
      <c r="P2267" s="67"/>
      <c r="Q2267" s="67"/>
      <c r="R2267" s="67"/>
      <c r="S2267" s="67"/>
      <c r="T2267" s="32"/>
      <c r="U2267" s="32"/>
      <c r="X2267" s="32"/>
      <c r="Y2267" s="32"/>
      <c r="Z2267" s="32"/>
      <c r="AA2267" s="32"/>
      <c r="AB2267" s="32"/>
    </row>
    <row r="2268" spans="1:35" ht="23.25" customHeight="1" x14ac:dyDescent="0.2">
      <c r="B2268" s="75"/>
      <c r="C2268" s="67"/>
      <c r="D2268" s="75"/>
      <c r="E2268" s="67"/>
      <c r="F2268" s="67"/>
      <c r="G2268" s="70"/>
      <c r="H2268" s="70"/>
      <c r="I2268" s="70"/>
      <c r="J2268" s="70"/>
      <c r="K2268" s="70" t="s">
        <v>100</v>
      </c>
      <c r="L2268" s="67"/>
      <c r="M2268" s="67"/>
      <c r="N2268" s="72"/>
      <c r="O2268" s="72"/>
      <c r="P2268" s="67"/>
      <c r="Q2268" s="67"/>
      <c r="R2268" s="67"/>
      <c r="S2268" s="67"/>
      <c r="T2268" s="32"/>
      <c r="U2268" s="32"/>
      <c r="X2268" s="32"/>
      <c r="Y2268" s="32"/>
      <c r="Z2268" s="32"/>
      <c r="AA2268" s="32"/>
      <c r="AB2268" s="32"/>
    </row>
    <row r="2269" spans="1:35" ht="23.25" customHeight="1" x14ac:dyDescent="0.2">
      <c r="B2269" s="75"/>
      <c r="C2269" s="67"/>
      <c r="D2269" s="75"/>
      <c r="E2269" s="67"/>
      <c r="F2269" s="67"/>
      <c r="G2269" s="70"/>
      <c r="H2269" s="70"/>
      <c r="I2269" s="70"/>
      <c r="J2269" s="70"/>
      <c r="K2269" s="70"/>
      <c r="L2269" s="67"/>
      <c r="M2269" s="67"/>
      <c r="N2269" s="72"/>
      <c r="O2269" s="72"/>
      <c r="P2269" s="67"/>
      <c r="Q2269" s="67"/>
      <c r="R2269" s="67"/>
      <c r="S2269" s="67"/>
      <c r="T2269" s="32"/>
      <c r="U2269" s="32"/>
      <c r="X2269" s="32"/>
      <c r="Y2269" s="32"/>
      <c r="Z2269" s="32"/>
      <c r="AA2269" s="32"/>
      <c r="AB2269" s="32"/>
    </row>
    <row r="2270" spans="1:35" ht="23.25" customHeight="1" x14ac:dyDescent="0.2">
      <c r="B2270" s="75"/>
      <c r="C2270" s="67"/>
      <c r="D2270" s="75"/>
      <c r="E2270" s="67"/>
      <c r="F2270" s="67"/>
      <c r="G2270" s="70"/>
      <c r="H2270" s="70"/>
      <c r="I2270" s="70"/>
      <c r="J2270" s="70"/>
      <c r="K2270" s="70" t="s">
        <v>44</v>
      </c>
      <c r="L2270" s="67"/>
      <c r="M2270" s="67"/>
      <c r="N2270" s="72"/>
      <c r="O2270" s="72"/>
      <c r="P2270" s="67"/>
      <c r="Q2270" s="67"/>
      <c r="R2270" s="67"/>
      <c r="S2270" s="67"/>
      <c r="T2270" s="32"/>
      <c r="U2270" s="32"/>
      <c r="X2270" s="32"/>
      <c r="Y2270" s="32"/>
      <c r="Z2270" s="32"/>
      <c r="AA2270" s="32"/>
      <c r="AB2270" s="32"/>
    </row>
    <row r="2271" spans="1:35" ht="23.25" customHeight="1" x14ac:dyDescent="0.2">
      <c r="B2271" s="75"/>
      <c r="C2271" s="67"/>
      <c r="D2271" s="75"/>
      <c r="E2271" s="67"/>
      <c r="F2271" s="67"/>
      <c r="G2271" s="70"/>
      <c r="H2271" s="70"/>
      <c r="I2271" s="70"/>
      <c r="J2271" s="70"/>
      <c r="K2271" s="70"/>
      <c r="L2271" s="67"/>
      <c r="M2271" s="67"/>
      <c r="N2271" s="72"/>
      <c r="O2271" s="72"/>
      <c r="P2271" s="67"/>
      <c r="Q2271" s="67"/>
      <c r="R2271" s="67"/>
      <c r="S2271" s="67"/>
      <c r="T2271" s="32"/>
      <c r="U2271" s="32"/>
      <c r="X2271" s="32"/>
      <c r="Y2271" s="32"/>
      <c r="Z2271" s="32"/>
      <c r="AA2271" s="32"/>
      <c r="AB2271" s="32"/>
    </row>
    <row r="2272" spans="1:35" ht="23.25" customHeight="1" x14ac:dyDescent="0.2">
      <c r="B2272" s="75"/>
      <c r="C2272" s="67"/>
      <c r="D2272" s="75"/>
      <c r="E2272" s="67"/>
      <c r="F2272" s="67"/>
      <c r="G2272" s="70"/>
      <c r="H2272" s="70"/>
      <c r="I2272" s="70"/>
      <c r="J2272" s="70"/>
      <c r="K2272" s="70"/>
      <c r="L2272" s="67"/>
      <c r="M2272" s="67"/>
      <c r="N2272" s="72"/>
      <c r="O2272" s="72"/>
      <c r="P2272" s="67"/>
      <c r="Q2272" s="67"/>
      <c r="R2272" s="67"/>
      <c r="S2272" s="67"/>
      <c r="T2272" s="32"/>
      <c r="U2272" s="32"/>
      <c r="X2272" s="32"/>
      <c r="Y2272" s="32"/>
      <c r="Z2272" s="32"/>
      <c r="AA2272" s="32"/>
      <c r="AB2272" s="32"/>
    </row>
    <row r="2273" spans="2:28" ht="23.25" customHeight="1" x14ac:dyDescent="0.2">
      <c r="B2273" s="75"/>
      <c r="C2273" s="67"/>
      <c r="D2273" s="75"/>
      <c r="E2273" s="67"/>
      <c r="F2273" s="67"/>
      <c r="G2273" s="70"/>
      <c r="H2273" s="70"/>
      <c r="I2273" s="70"/>
      <c r="J2273" s="70"/>
      <c r="K2273" s="70"/>
      <c r="L2273" s="67"/>
      <c r="M2273" s="67"/>
      <c r="N2273" s="72"/>
      <c r="O2273" s="72"/>
      <c r="P2273" s="67"/>
      <c r="Q2273" s="67"/>
      <c r="R2273" s="67"/>
      <c r="S2273" s="67"/>
      <c r="T2273" s="32"/>
      <c r="U2273" s="32"/>
      <c r="X2273" s="32"/>
      <c r="Y2273" s="32"/>
      <c r="Z2273" s="32"/>
      <c r="AA2273" s="32"/>
      <c r="AB2273" s="32"/>
    </row>
    <row r="2274" spans="2:28" ht="23.25" customHeight="1" x14ac:dyDescent="0.2">
      <c r="B2274" s="75"/>
      <c r="C2274" s="67"/>
      <c r="D2274" s="75"/>
      <c r="E2274" s="67"/>
      <c r="F2274" s="67"/>
      <c r="G2274" s="70"/>
      <c r="H2274" s="70"/>
      <c r="I2274" s="70"/>
      <c r="J2274" s="70"/>
      <c r="K2274" s="70"/>
      <c r="L2274" s="67"/>
      <c r="M2274" s="67"/>
      <c r="N2274" s="72"/>
      <c r="O2274" s="72"/>
      <c r="P2274" s="67"/>
      <c r="Q2274" s="67"/>
      <c r="R2274" s="67"/>
      <c r="S2274" s="67"/>
      <c r="T2274" s="32"/>
      <c r="U2274" s="32"/>
      <c r="X2274" s="32"/>
      <c r="Y2274" s="32"/>
      <c r="Z2274" s="32"/>
      <c r="AA2274" s="32"/>
      <c r="AB2274" s="32"/>
    </row>
    <row r="2275" spans="2:28" ht="23.25" customHeight="1" x14ac:dyDescent="0.2">
      <c r="B2275" s="75"/>
      <c r="C2275" s="67"/>
      <c r="D2275" s="75"/>
      <c r="E2275" s="67"/>
      <c r="F2275" s="67"/>
      <c r="G2275" s="70"/>
      <c r="H2275" s="70"/>
      <c r="I2275" s="70"/>
      <c r="J2275" s="70"/>
      <c r="K2275" s="70"/>
      <c r="L2275" s="67"/>
      <c r="M2275" s="67"/>
      <c r="N2275" s="72"/>
      <c r="O2275" s="72"/>
      <c r="P2275" s="67"/>
      <c r="Q2275" s="67"/>
      <c r="R2275" s="67"/>
      <c r="S2275" s="67"/>
      <c r="T2275" s="32"/>
      <c r="U2275" s="32"/>
      <c r="X2275" s="32"/>
      <c r="Y2275" s="32"/>
      <c r="Z2275" s="32"/>
      <c r="AA2275" s="32"/>
      <c r="AB2275" s="32"/>
    </row>
    <row r="2276" spans="2:28" ht="23.25" customHeight="1" x14ac:dyDescent="0.2">
      <c r="B2276" s="75"/>
      <c r="C2276" s="67"/>
      <c r="D2276" s="75"/>
      <c r="E2276" s="67"/>
      <c r="F2276" s="67"/>
      <c r="G2276" s="70"/>
      <c r="H2276" s="70"/>
      <c r="I2276" s="70"/>
      <c r="J2276" s="70"/>
      <c r="K2276" s="70"/>
      <c r="L2276" s="67"/>
      <c r="M2276" s="67"/>
      <c r="N2276" s="72"/>
      <c r="O2276" s="72"/>
      <c r="P2276" s="67"/>
      <c r="Q2276" s="67"/>
      <c r="R2276" s="67"/>
      <c r="S2276" s="67"/>
      <c r="T2276" s="32"/>
      <c r="U2276" s="32"/>
      <c r="X2276" s="32"/>
      <c r="Y2276" s="32"/>
      <c r="Z2276" s="32"/>
      <c r="AA2276" s="32"/>
      <c r="AB2276" s="32"/>
    </row>
    <row r="2277" spans="2:28" ht="23.25" customHeight="1" x14ac:dyDescent="0.2">
      <c r="B2277" s="75"/>
      <c r="C2277" s="67"/>
      <c r="D2277" s="75"/>
      <c r="E2277" s="67"/>
      <c r="F2277" s="67"/>
      <c r="G2277" s="70"/>
      <c r="H2277" s="70"/>
      <c r="I2277" s="70"/>
      <c r="J2277" s="70"/>
      <c r="K2277" s="70"/>
      <c r="L2277" s="67"/>
      <c r="M2277" s="67"/>
      <c r="N2277" s="72"/>
      <c r="O2277" s="72"/>
      <c r="P2277" s="67"/>
      <c r="Q2277" s="67"/>
      <c r="R2277" s="67"/>
      <c r="S2277" s="67"/>
      <c r="T2277" s="32"/>
      <c r="U2277" s="32"/>
      <c r="X2277" s="32"/>
      <c r="Y2277" s="32"/>
      <c r="Z2277" s="32"/>
      <c r="AA2277" s="32"/>
      <c r="AB2277" s="32"/>
    </row>
    <row r="2278" spans="2:28" ht="23.25" customHeight="1" x14ac:dyDescent="0.2">
      <c r="B2278" s="75"/>
      <c r="C2278" s="67"/>
      <c r="D2278" s="75"/>
      <c r="E2278" s="67"/>
      <c r="F2278" s="67"/>
      <c r="G2278" s="70"/>
      <c r="H2278" s="70"/>
      <c r="I2278" s="70"/>
      <c r="J2278" s="70"/>
      <c r="K2278" s="70"/>
      <c r="L2278" s="67"/>
      <c r="M2278" s="67"/>
      <c r="N2278" s="72"/>
      <c r="O2278" s="72"/>
      <c r="P2278" s="67"/>
      <c r="Q2278" s="67"/>
      <c r="R2278" s="67"/>
      <c r="S2278" s="67"/>
      <c r="T2278" s="32"/>
      <c r="U2278" s="32"/>
      <c r="X2278" s="32"/>
      <c r="Y2278" s="32"/>
      <c r="Z2278" s="32"/>
      <c r="AA2278" s="32"/>
      <c r="AB2278" s="32"/>
    </row>
    <row r="2279" spans="2:28" ht="23.25" customHeight="1" x14ac:dyDescent="0.2">
      <c r="B2279" s="75"/>
      <c r="C2279" s="67"/>
      <c r="D2279" s="75"/>
      <c r="E2279" s="67"/>
      <c r="F2279" s="67"/>
      <c r="G2279" s="70"/>
      <c r="H2279" s="70"/>
      <c r="I2279" s="70"/>
      <c r="J2279" s="70"/>
      <c r="K2279" s="70"/>
      <c r="L2279" s="67"/>
      <c r="M2279" s="67"/>
      <c r="N2279" s="72"/>
      <c r="O2279" s="72"/>
      <c r="P2279" s="67"/>
      <c r="Q2279" s="67"/>
      <c r="R2279" s="67"/>
      <c r="S2279" s="67"/>
      <c r="T2279" s="32"/>
      <c r="U2279" s="32"/>
      <c r="X2279" s="32"/>
      <c r="Y2279" s="32"/>
      <c r="Z2279" s="32"/>
      <c r="AA2279" s="32"/>
      <c r="AB2279" s="32"/>
    </row>
    <row r="2280" spans="2:28" ht="23.25" customHeight="1" x14ac:dyDescent="0.2">
      <c r="B2280" s="75"/>
      <c r="C2280" s="67"/>
      <c r="D2280" s="75"/>
      <c r="E2280" s="67"/>
      <c r="F2280" s="67"/>
      <c r="G2280" s="70"/>
      <c r="H2280" s="70"/>
      <c r="I2280" s="70"/>
      <c r="J2280" s="70"/>
      <c r="K2280" s="70"/>
      <c r="L2280" s="67"/>
      <c r="M2280" s="67"/>
      <c r="N2280" s="72"/>
      <c r="O2280" s="72"/>
      <c r="P2280" s="67"/>
      <c r="Q2280" s="67"/>
      <c r="R2280" s="67"/>
      <c r="S2280" s="67"/>
      <c r="T2280" s="32"/>
      <c r="U2280" s="32"/>
      <c r="X2280" s="32"/>
      <c r="Y2280" s="32"/>
      <c r="Z2280" s="32"/>
      <c r="AA2280" s="32"/>
      <c r="AB2280" s="32"/>
    </row>
    <row r="2281" spans="2:28" ht="23.25" customHeight="1" x14ac:dyDescent="0.2">
      <c r="B2281" s="75"/>
      <c r="C2281" s="67"/>
      <c r="D2281" s="75"/>
      <c r="E2281" s="67"/>
      <c r="F2281" s="67"/>
      <c r="G2281" s="70"/>
      <c r="H2281" s="70"/>
      <c r="I2281" s="70"/>
      <c r="J2281" s="70"/>
      <c r="K2281" s="70"/>
      <c r="L2281" s="67"/>
      <c r="M2281" s="67"/>
      <c r="N2281" s="72"/>
      <c r="O2281" s="72"/>
      <c r="P2281" s="67"/>
      <c r="Q2281" s="67"/>
      <c r="R2281" s="67"/>
      <c r="S2281" s="67"/>
      <c r="T2281" s="32"/>
      <c r="U2281" s="32"/>
      <c r="X2281" s="32"/>
      <c r="Y2281" s="32"/>
      <c r="Z2281" s="32"/>
      <c r="AA2281" s="32"/>
      <c r="AB2281" s="32"/>
    </row>
    <row r="2282" spans="2:28" ht="23.25" customHeight="1" x14ac:dyDescent="0.2">
      <c r="B2282" s="75"/>
      <c r="C2282" s="67"/>
      <c r="D2282" s="75"/>
      <c r="E2282" s="67"/>
      <c r="F2282" s="67"/>
      <c r="G2282" s="70"/>
      <c r="H2282" s="70"/>
      <c r="I2282" s="70"/>
      <c r="J2282" s="70"/>
      <c r="K2282" s="70"/>
      <c r="L2282" s="67"/>
      <c r="M2282" s="67"/>
      <c r="N2282" s="72"/>
      <c r="O2282" s="72"/>
      <c r="P2282" s="67"/>
      <c r="Q2282" s="67"/>
      <c r="R2282" s="67"/>
      <c r="S2282" s="67"/>
      <c r="T2282" s="32"/>
      <c r="U2282" s="32"/>
      <c r="X2282" s="32"/>
      <c r="Y2282" s="32"/>
      <c r="Z2282" s="32"/>
      <c r="AA2282" s="32"/>
      <c r="AB2282" s="32"/>
    </row>
    <row r="2283" spans="2:28" ht="23.25" customHeight="1" x14ac:dyDescent="0.2">
      <c r="B2283" s="75"/>
      <c r="C2283" s="67"/>
      <c r="D2283" s="75"/>
      <c r="E2283" s="67"/>
      <c r="F2283" s="67"/>
      <c r="G2283" s="70"/>
      <c r="H2283" s="70"/>
      <c r="I2283" s="70"/>
      <c r="J2283" s="70"/>
      <c r="K2283" s="70"/>
      <c r="L2283" s="67"/>
      <c r="M2283" s="67"/>
      <c r="N2283" s="72"/>
      <c r="O2283" s="72"/>
      <c r="P2283" s="67"/>
      <c r="Q2283" s="67"/>
      <c r="R2283" s="67"/>
      <c r="S2283" s="67"/>
      <c r="T2283" s="32"/>
      <c r="U2283" s="32"/>
      <c r="X2283" s="32"/>
      <c r="Y2283" s="32"/>
      <c r="Z2283" s="32"/>
      <c r="AA2283" s="32"/>
      <c r="AB2283" s="32"/>
    </row>
    <row r="2284" spans="2:28" ht="23.25" customHeight="1" x14ac:dyDescent="0.2">
      <c r="B2284" s="75"/>
      <c r="C2284" s="67"/>
      <c r="D2284" s="75"/>
      <c r="E2284" s="67"/>
      <c r="F2284" s="67"/>
      <c r="G2284" s="70"/>
      <c r="H2284" s="70"/>
      <c r="I2284" s="70"/>
      <c r="J2284" s="70"/>
      <c r="K2284" s="70"/>
      <c r="L2284" s="67"/>
      <c r="M2284" s="67"/>
      <c r="N2284" s="72"/>
      <c r="O2284" s="72"/>
      <c r="P2284" s="67"/>
      <c r="Q2284" s="67"/>
      <c r="R2284" s="67"/>
      <c r="S2284" s="67"/>
      <c r="T2284" s="32"/>
      <c r="U2284" s="32"/>
      <c r="X2284" s="32"/>
      <c r="Y2284" s="32"/>
      <c r="Z2284" s="32"/>
      <c r="AA2284" s="32"/>
      <c r="AB2284" s="32"/>
    </row>
    <row r="2285" spans="2:28" ht="23.25" customHeight="1" x14ac:dyDescent="0.2">
      <c r="B2285" s="75"/>
      <c r="C2285" s="67"/>
      <c r="D2285" s="75"/>
      <c r="E2285" s="67"/>
      <c r="F2285" s="67"/>
      <c r="G2285" s="70"/>
      <c r="H2285" s="70"/>
      <c r="I2285" s="70"/>
      <c r="J2285" s="70"/>
      <c r="K2285" s="70"/>
      <c r="L2285" s="67"/>
      <c r="M2285" s="67"/>
      <c r="N2285" s="72"/>
      <c r="O2285" s="72"/>
      <c r="P2285" s="67"/>
      <c r="Q2285" s="67"/>
      <c r="R2285" s="67"/>
      <c r="S2285" s="67"/>
      <c r="T2285" s="32"/>
      <c r="U2285" s="32"/>
      <c r="X2285" s="32"/>
      <c r="Y2285" s="32"/>
      <c r="Z2285" s="32"/>
      <c r="AA2285" s="32"/>
      <c r="AB2285" s="32"/>
    </row>
    <row r="2286" spans="2:28" ht="23.25" customHeight="1" x14ac:dyDescent="0.2">
      <c r="B2286" s="75"/>
      <c r="C2286" s="67"/>
      <c r="D2286" s="75"/>
      <c r="E2286" s="67"/>
      <c r="F2286" s="67"/>
      <c r="G2286" s="70"/>
      <c r="H2286" s="70"/>
      <c r="I2286" s="70"/>
      <c r="J2286" s="70"/>
      <c r="K2286" s="70"/>
      <c r="L2286" s="67"/>
      <c r="M2286" s="67"/>
      <c r="N2286" s="72"/>
      <c r="O2286" s="72"/>
      <c r="P2286" s="67"/>
      <c r="Q2286" s="67"/>
      <c r="R2286" s="67"/>
      <c r="S2286" s="67"/>
      <c r="T2286" s="32"/>
      <c r="U2286" s="32"/>
      <c r="X2286" s="32"/>
      <c r="Y2286" s="32"/>
      <c r="Z2286" s="32"/>
      <c r="AA2286" s="32"/>
      <c r="AB2286" s="32"/>
    </row>
    <row r="2287" spans="2:28" ht="23.25" customHeight="1" x14ac:dyDescent="0.2">
      <c r="B2287" s="75"/>
      <c r="C2287" s="67"/>
      <c r="D2287" s="75"/>
      <c r="E2287" s="67"/>
      <c r="F2287" s="67"/>
      <c r="G2287" s="70"/>
      <c r="H2287" s="70"/>
      <c r="I2287" s="70"/>
      <c r="J2287" s="70"/>
      <c r="K2287" s="70"/>
      <c r="L2287" s="67"/>
      <c r="M2287" s="67"/>
      <c r="N2287" s="72"/>
      <c r="O2287" s="72"/>
      <c r="P2287" s="67"/>
      <c r="Q2287" s="67"/>
      <c r="R2287" s="67"/>
      <c r="S2287" s="67"/>
      <c r="T2287" s="32"/>
      <c r="U2287" s="32"/>
      <c r="X2287" s="32"/>
      <c r="Y2287" s="32"/>
      <c r="Z2287" s="32"/>
      <c r="AA2287" s="32"/>
      <c r="AB2287" s="32"/>
    </row>
    <row r="2288" spans="2:28" ht="23.25" customHeight="1" x14ac:dyDescent="0.2">
      <c r="B2288" s="75"/>
      <c r="C2288" s="67"/>
      <c r="D2288" s="75"/>
      <c r="E2288" s="67"/>
      <c r="F2288" s="67"/>
      <c r="G2288" s="70"/>
      <c r="H2288" s="70"/>
      <c r="I2288" s="70"/>
      <c r="J2288" s="70"/>
      <c r="K2288" s="70"/>
      <c r="L2288" s="67"/>
      <c r="M2288" s="67"/>
      <c r="N2288" s="72"/>
      <c r="O2288" s="72"/>
      <c r="P2288" s="67"/>
      <c r="Q2288" s="67"/>
      <c r="R2288" s="67"/>
      <c r="S2288" s="67"/>
      <c r="T2288" s="32"/>
      <c r="U2288" s="32"/>
      <c r="X2288" s="32"/>
      <c r="Y2288" s="32"/>
      <c r="Z2288" s="32"/>
      <c r="AA2288" s="32"/>
      <c r="AB2288" s="32"/>
    </row>
    <row r="2289" spans="2:28" ht="23.25" customHeight="1" x14ac:dyDescent="0.2">
      <c r="B2289" s="75"/>
      <c r="C2289" s="67"/>
      <c r="D2289" s="75"/>
      <c r="E2289" s="67"/>
      <c r="F2289" s="67"/>
      <c r="G2289" s="70"/>
      <c r="H2289" s="70"/>
      <c r="I2289" s="70"/>
      <c r="J2289" s="70"/>
      <c r="K2289" s="70"/>
      <c r="L2289" s="67"/>
      <c r="M2289" s="67"/>
      <c r="N2289" s="72"/>
      <c r="O2289" s="72"/>
      <c r="P2289" s="67"/>
      <c r="Q2289" s="67"/>
      <c r="R2289" s="67"/>
      <c r="S2289" s="67"/>
      <c r="T2289" s="32"/>
      <c r="U2289" s="32"/>
      <c r="X2289" s="32"/>
      <c r="Y2289" s="32"/>
      <c r="Z2289" s="32"/>
      <c r="AA2289" s="32"/>
      <c r="AB2289" s="32"/>
    </row>
    <row r="2290" spans="2:28" ht="23.25" customHeight="1" x14ac:dyDescent="0.2">
      <c r="B2290" s="75"/>
      <c r="C2290" s="67"/>
      <c r="D2290" s="75"/>
      <c r="E2290" s="67"/>
      <c r="F2290" s="67"/>
      <c r="G2290" s="70"/>
      <c r="H2290" s="70"/>
      <c r="I2290" s="70"/>
      <c r="J2290" s="70"/>
      <c r="K2290" s="70"/>
      <c r="L2290" s="67"/>
      <c r="M2290" s="67"/>
      <c r="N2290" s="72"/>
      <c r="O2290" s="72"/>
      <c r="P2290" s="67"/>
      <c r="Q2290" s="67"/>
      <c r="R2290" s="67"/>
      <c r="S2290" s="67"/>
      <c r="T2290" s="32"/>
      <c r="U2290" s="32"/>
      <c r="X2290" s="32"/>
      <c r="Y2290" s="32"/>
      <c r="Z2290" s="32"/>
      <c r="AA2290" s="32"/>
      <c r="AB2290" s="32"/>
    </row>
    <row r="2291" spans="2:28" ht="23.25" customHeight="1" x14ac:dyDescent="0.2">
      <c r="B2291" s="75"/>
      <c r="C2291" s="67"/>
      <c r="D2291" s="75"/>
      <c r="E2291" s="67"/>
      <c r="F2291" s="67"/>
      <c r="G2291" s="70"/>
      <c r="H2291" s="70"/>
      <c r="I2291" s="70"/>
      <c r="J2291" s="70"/>
      <c r="K2291" s="70"/>
      <c r="L2291" s="67"/>
      <c r="M2291" s="67"/>
      <c r="N2291" s="72"/>
      <c r="O2291" s="72"/>
      <c r="P2291" s="67"/>
      <c r="Q2291" s="67"/>
      <c r="R2291" s="67"/>
      <c r="S2291" s="67"/>
      <c r="T2291" s="32"/>
      <c r="U2291" s="32"/>
      <c r="X2291" s="32"/>
      <c r="Y2291" s="32"/>
      <c r="Z2291" s="32"/>
      <c r="AA2291" s="32"/>
      <c r="AB2291" s="32"/>
    </row>
    <row r="2292" spans="2:28" ht="23.25" customHeight="1" x14ac:dyDescent="0.2">
      <c r="B2292" s="75"/>
      <c r="C2292" s="67"/>
      <c r="D2292" s="75"/>
      <c r="E2292" s="67"/>
      <c r="F2292" s="67"/>
      <c r="G2292" s="70"/>
      <c r="H2292" s="70"/>
      <c r="I2292" s="70"/>
      <c r="J2292" s="70"/>
      <c r="K2292" s="70"/>
      <c r="L2292" s="67"/>
      <c r="M2292" s="67"/>
      <c r="N2292" s="72"/>
      <c r="O2292" s="72"/>
      <c r="P2292" s="67"/>
      <c r="Q2292" s="67"/>
      <c r="R2292" s="67"/>
      <c r="S2292" s="67"/>
      <c r="T2292" s="32"/>
      <c r="U2292" s="32"/>
      <c r="X2292" s="32"/>
      <c r="Y2292" s="32"/>
      <c r="Z2292" s="32"/>
      <c r="AA2292" s="32"/>
      <c r="AB2292" s="32"/>
    </row>
    <row r="2293" spans="2:28" ht="23.25" customHeight="1" x14ac:dyDescent="0.2">
      <c r="B2293" s="75"/>
      <c r="C2293" s="67"/>
      <c r="D2293" s="75"/>
      <c r="E2293" s="67"/>
      <c r="F2293" s="67"/>
      <c r="G2293" s="70"/>
      <c r="H2293" s="70"/>
      <c r="I2293" s="70"/>
      <c r="J2293" s="70"/>
      <c r="K2293" s="70"/>
      <c r="L2293" s="67"/>
      <c r="M2293" s="67"/>
      <c r="N2293" s="72"/>
      <c r="O2293" s="72"/>
      <c r="P2293" s="67"/>
      <c r="Q2293" s="67"/>
      <c r="R2293" s="67"/>
      <c r="S2293" s="67"/>
      <c r="T2293" s="32"/>
      <c r="U2293" s="32"/>
      <c r="X2293" s="32"/>
      <c r="Y2293" s="32"/>
      <c r="Z2293" s="32"/>
      <c r="AA2293" s="32"/>
      <c r="AB2293" s="32"/>
    </row>
    <row r="2294" spans="2:28" ht="23.25" customHeight="1" x14ac:dyDescent="0.2">
      <c r="B2294" s="75"/>
      <c r="C2294" s="67"/>
      <c r="D2294" s="75"/>
      <c r="E2294" s="67"/>
      <c r="F2294" s="67"/>
      <c r="G2294" s="70"/>
      <c r="H2294" s="70"/>
      <c r="I2294" s="70"/>
      <c r="J2294" s="70"/>
      <c r="K2294" s="70"/>
      <c r="L2294" s="67"/>
      <c r="M2294" s="67"/>
      <c r="N2294" s="72"/>
      <c r="O2294" s="72"/>
      <c r="P2294" s="67"/>
      <c r="Q2294" s="67"/>
      <c r="R2294" s="67"/>
      <c r="S2294" s="67"/>
      <c r="T2294" s="32"/>
      <c r="U2294" s="32"/>
      <c r="X2294" s="32"/>
      <c r="Y2294" s="32"/>
      <c r="Z2294" s="32"/>
      <c r="AA2294" s="32"/>
      <c r="AB2294" s="32"/>
    </row>
    <row r="2295" spans="2:28" ht="23.25" customHeight="1" x14ac:dyDescent="0.2">
      <c r="B2295" s="75"/>
      <c r="C2295" s="67"/>
      <c r="D2295" s="75"/>
      <c r="E2295" s="67"/>
      <c r="F2295" s="67"/>
      <c r="G2295" s="70"/>
      <c r="H2295" s="70"/>
      <c r="I2295" s="70"/>
      <c r="J2295" s="70"/>
      <c r="K2295" s="70"/>
      <c r="L2295" s="67"/>
      <c r="M2295" s="67"/>
      <c r="N2295" s="72"/>
      <c r="O2295" s="72"/>
      <c r="P2295" s="67"/>
      <c r="Q2295" s="67"/>
      <c r="R2295" s="67"/>
      <c r="S2295" s="67"/>
      <c r="T2295" s="32"/>
      <c r="U2295" s="32"/>
      <c r="X2295" s="32"/>
      <c r="Y2295" s="32"/>
      <c r="Z2295" s="32"/>
      <c r="AA2295" s="32"/>
      <c r="AB2295" s="32"/>
    </row>
    <row r="2296" spans="2:28" ht="23.25" customHeight="1" x14ac:dyDescent="0.2">
      <c r="B2296" s="75"/>
      <c r="C2296" s="67"/>
      <c r="D2296" s="75"/>
      <c r="E2296" s="67"/>
      <c r="F2296" s="67"/>
      <c r="G2296" s="70"/>
      <c r="H2296" s="70"/>
      <c r="I2296" s="70"/>
      <c r="J2296" s="70"/>
      <c r="K2296" s="70"/>
      <c r="L2296" s="67"/>
      <c r="M2296" s="67"/>
      <c r="N2296" s="72"/>
      <c r="O2296" s="72"/>
      <c r="P2296" s="67"/>
      <c r="Q2296" s="67"/>
      <c r="R2296" s="67"/>
      <c r="S2296" s="67"/>
      <c r="T2296" s="32"/>
      <c r="U2296" s="32"/>
      <c r="X2296" s="32"/>
      <c r="Y2296" s="32"/>
      <c r="Z2296" s="32"/>
      <c r="AA2296" s="32"/>
      <c r="AB2296" s="32"/>
    </row>
    <row r="2297" spans="2:28" ht="23.25" customHeight="1" x14ac:dyDescent="0.2">
      <c r="B2297" s="75"/>
      <c r="C2297" s="67"/>
      <c r="D2297" s="75"/>
      <c r="E2297" s="67"/>
      <c r="F2297" s="67"/>
      <c r="G2297" s="70"/>
      <c r="H2297" s="70"/>
      <c r="I2297" s="70"/>
      <c r="J2297" s="70"/>
      <c r="K2297" s="70"/>
      <c r="L2297" s="67"/>
      <c r="M2297" s="67"/>
      <c r="N2297" s="72"/>
      <c r="O2297" s="72"/>
      <c r="P2297" s="67"/>
      <c r="Q2297" s="67"/>
      <c r="R2297" s="67"/>
      <c r="S2297" s="67"/>
      <c r="T2297" s="32"/>
      <c r="U2297" s="32"/>
      <c r="X2297" s="32"/>
      <c r="Y2297" s="32"/>
      <c r="Z2297" s="32"/>
      <c r="AA2297" s="32"/>
      <c r="AB2297" s="32"/>
    </row>
    <row r="2298" spans="2:28" ht="23.25" customHeight="1" x14ac:dyDescent="0.2">
      <c r="B2298" s="75"/>
      <c r="C2298" s="67"/>
      <c r="D2298" s="75"/>
      <c r="E2298" s="67"/>
      <c r="F2298" s="67"/>
      <c r="G2298" s="70"/>
      <c r="H2298" s="70"/>
      <c r="I2298" s="70"/>
      <c r="J2298" s="70"/>
      <c r="K2298" s="70"/>
      <c r="L2298" s="67"/>
      <c r="M2298" s="67"/>
      <c r="N2298" s="72"/>
      <c r="O2298" s="72"/>
      <c r="P2298" s="67"/>
      <c r="Q2298" s="67"/>
      <c r="R2298" s="67"/>
      <c r="S2298" s="67"/>
      <c r="T2298" s="32"/>
      <c r="U2298" s="32"/>
      <c r="X2298" s="32"/>
      <c r="Y2298" s="32"/>
      <c r="Z2298" s="32"/>
      <c r="AA2298" s="32"/>
      <c r="AB2298" s="32"/>
    </row>
    <row r="2299" spans="2:28" ht="23.25" customHeight="1" x14ac:dyDescent="0.2">
      <c r="B2299" s="75"/>
      <c r="C2299" s="67"/>
      <c r="D2299" s="75"/>
      <c r="E2299" s="67"/>
      <c r="F2299" s="67"/>
      <c r="G2299" s="70"/>
      <c r="H2299" s="70"/>
      <c r="I2299" s="70"/>
      <c r="J2299" s="70"/>
      <c r="K2299" s="70"/>
      <c r="L2299" s="67"/>
      <c r="M2299" s="67"/>
      <c r="N2299" s="72"/>
      <c r="O2299" s="72"/>
      <c r="P2299" s="67"/>
      <c r="Q2299" s="67"/>
      <c r="R2299" s="67"/>
      <c r="S2299" s="67"/>
      <c r="T2299" s="32"/>
      <c r="U2299" s="32"/>
      <c r="X2299" s="32"/>
      <c r="Y2299" s="32"/>
      <c r="Z2299" s="32"/>
      <c r="AA2299" s="32"/>
      <c r="AB2299" s="32"/>
    </row>
    <row r="2300" spans="2:28" ht="23.25" customHeight="1" x14ac:dyDescent="0.2">
      <c r="B2300" s="75"/>
      <c r="C2300" s="67"/>
      <c r="D2300" s="75"/>
      <c r="E2300" s="67"/>
      <c r="F2300" s="67"/>
      <c r="G2300" s="70"/>
      <c r="H2300" s="70"/>
      <c r="I2300" s="70"/>
      <c r="J2300" s="70"/>
      <c r="K2300" s="70"/>
      <c r="L2300" s="67"/>
      <c r="M2300" s="67"/>
      <c r="N2300" s="72"/>
      <c r="O2300" s="72"/>
      <c r="P2300" s="67"/>
      <c r="Q2300" s="67"/>
      <c r="R2300" s="67"/>
      <c r="S2300" s="67"/>
      <c r="T2300" s="32"/>
      <c r="U2300" s="32"/>
      <c r="X2300" s="32"/>
      <c r="Y2300" s="32"/>
      <c r="Z2300" s="32"/>
      <c r="AA2300" s="32"/>
      <c r="AB2300" s="32"/>
    </row>
    <row r="2301" spans="2:28" ht="23.25" customHeight="1" x14ac:dyDescent="0.2">
      <c r="B2301" s="75"/>
      <c r="C2301" s="67"/>
      <c r="D2301" s="75"/>
      <c r="E2301" s="67"/>
      <c r="F2301" s="67"/>
      <c r="G2301" s="70"/>
      <c r="H2301" s="70"/>
      <c r="I2301" s="70"/>
      <c r="J2301" s="70"/>
      <c r="K2301" s="70"/>
      <c r="L2301" s="67"/>
      <c r="M2301" s="67"/>
      <c r="N2301" s="72"/>
      <c r="O2301" s="72"/>
      <c r="P2301" s="67"/>
      <c r="Q2301" s="67"/>
      <c r="R2301" s="67"/>
      <c r="S2301" s="67"/>
      <c r="T2301" s="32"/>
      <c r="U2301" s="32"/>
      <c r="X2301" s="32"/>
      <c r="Y2301" s="32"/>
      <c r="Z2301" s="32"/>
      <c r="AA2301" s="32"/>
      <c r="AB2301" s="32"/>
    </row>
    <row r="2302" spans="2:28" ht="23.25" customHeight="1" x14ac:dyDescent="0.2">
      <c r="B2302" s="75"/>
      <c r="C2302" s="67"/>
      <c r="D2302" s="75"/>
      <c r="E2302" s="67"/>
      <c r="F2302" s="67"/>
      <c r="G2302" s="70"/>
      <c r="H2302" s="70"/>
      <c r="I2302" s="70"/>
      <c r="J2302" s="70"/>
      <c r="K2302" s="70"/>
      <c r="L2302" s="67"/>
      <c r="M2302" s="67"/>
      <c r="N2302" s="72"/>
      <c r="O2302" s="72"/>
      <c r="P2302" s="67"/>
      <c r="Q2302" s="67"/>
      <c r="R2302" s="67"/>
      <c r="S2302" s="67"/>
      <c r="T2302" s="32"/>
      <c r="U2302" s="32"/>
      <c r="X2302" s="32"/>
      <c r="Y2302" s="32"/>
      <c r="Z2302" s="32"/>
      <c r="AA2302" s="32"/>
      <c r="AB2302" s="32"/>
    </row>
    <row r="2303" spans="2:28" ht="23.25" customHeight="1" x14ac:dyDescent="0.2">
      <c r="B2303" s="75"/>
      <c r="C2303" s="67"/>
      <c r="D2303" s="75"/>
      <c r="E2303" s="67"/>
      <c r="F2303" s="67"/>
      <c r="G2303" s="70"/>
      <c r="H2303" s="70"/>
      <c r="I2303" s="70"/>
      <c r="J2303" s="70"/>
      <c r="K2303" s="70"/>
      <c r="L2303" s="67"/>
      <c r="M2303" s="67"/>
      <c r="N2303" s="72"/>
      <c r="O2303" s="72"/>
      <c r="P2303" s="67"/>
      <c r="Q2303" s="67"/>
      <c r="R2303" s="67"/>
      <c r="S2303" s="67"/>
      <c r="T2303" s="32"/>
      <c r="U2303" s="32"/>
      <c r="X2303" s="32"/>
      <c r="Y2303" s="32"/>
      <c r="Z2303" s="32"/>
      <c r="AA2303" s="32"/>
      <c r="AB2303" s="32"/>
    </row>
    <row r="2304" spans="2:28" ht="23.25" customHeight="1" x14ac:dyDescent="0.2">
      <c r="B2304" s="75"/>
      <c r="C2304" s="67"/>
      <c r="D2304" s="75"/>
      <c r="E2304" s="67"/>
      <c r="F2304" s="67"/>
      <c r="G2304" s="70"/>
      <c r="H2304" s="70"/>
      <c r="I2304" s="70"/>
      <c r="J2304" s="70"/>
      <c r="K2304" s="70"/>
      <c r="L2304" s="67"/>
      <c r="M2304" s="67"/>
      <c r="N2304" s="72"/>
      <c r="O2304" s="72"/>
      <c r="P2304" s="67"/>
      <c r="Q2304" s="67"/>
      <c r="R2304" s="67"/>
      <c r="S2304" s="67"/>
      <c r="T2304" s="32"/>
      <c r="U2304" s="32"/>
      <c r="X2304" s="32"/>
      <c r="Y2304" s="32"/>
      <c r="Z2304" s="32"/>
      <c r="AA2304" s="32"/>
      <c r="AB2304" s="32"/>
    </row>
    <row r="2305" spans="2:28" ht="23.25" customHeight="1" x14ac:dyDescent="0.2">
      <c r="B2305" s="75"/>
      <c r="C2305" s="67"/>
      <c r="D2305" s="75"/>
      <c r="E2305" s="67"/>
      <c r="F2305" s="67"/>
      <c r="G2305" s="70"/>
      <c r="H2305" s="70"/>
      <c r="I2305" s="70"/>
      <c r="J2305" s="70"/>
      <c r="K2305" s="70"/>
      <c r="L2305" s="67"/>
      <c r="M2305" s="67"/>
      <c r="N2305" s="72"/>
      <c r="O2305" s="72"/>
      <c r="P2305" s="67"/>
      <c r="Q2305" s="67"/>
      <c r="R2305" s="67"/>
      <c r="S2305" s="67"/>
      <c r="T2305" s="32"/>
      <c r="U2305" s="32"/>
      <c r="X2305" s="32"/>
      <c r="Y2305" s="32"/>
      <c r="Z2305" s="32"/>
      <c r="AA2305" s="32"/>
      <c r="AB2305" s="32"/>
    </row>
    <row r="2306" spans="2:28" ht="23.25" customHeight="1" x14ac:dyDescent="0.2">
      <c r="B2306" s="75"/>
      <c r="C2306" s="67"/>
      <c r="D2306" s="75"/>
      <c r="E2306" s="67"/>
      <c r="F2306" s="67"/>
      <c r="G2306" s="70"/>
      <c r="H2306" s="70"/>
      <c r="I2306" s="70"/>
      <c r="J2306" s="70"/>
      <c r="K2306" s="70"/>
      <c r="L2306" s="67"/>
      <c r="M2306" s="67"/>
      <c r="N2306" s="72"/>
      <c r="O2306" s="72"/>
      <c r="P2306" s="67"/>
      <c r="Q2306" s="67"/>
      <c r="R2306" s="67"/>
      <c r="S2306" s="67"/>
      <c r="T2306" s="32"/>
      <c r="U2306" s="32"/>
      <c r="X2306" s="32"/>
      <c r="Y2306" s="32"/>
      <c r="Z2306" s="32"/>
      <c r="AA2306" s="32"/>
      <c r="AB2306" s="32"/>
    </row>
    <row r="2307" spans="2:28" ht="23.25" customHeight="1" x14ac:dyDescent="0.2">
      <c r="B2307" s="75"/>
      <c r="C2307" s="67"/>
      <c r="D2307" s="75"/>
      <c r="E2307" s="67"/>
      <c r="F2307" s="67"/>
      <c r="G2307" s="70"/>
      <c r="H2307" s="70"/>
      <c r="I2307" s="70"/>
      <c r="J2307" s="70"/>
      <c r="K2307" s="70"/>
      <c r="L2307" s="67"/>
      <c r="M2307" s="67"/>
      <c r="N2307" s="72"/>
      <c r="O2307" s="72"/>
      <c r="P2307" s="67"/>
      <c r="Q2307" s="67"/>
      <c r="R2307" s="67"/>
      <c r="S2307" s="67"/>
      <c r="T2307" s="32"/>
      <c r="U2307" s="32"/>
      <c r="X2307" s="32"/>
      <c r="Y2307" s="32"/>
      <c r="Z2307" s="32"/>
      <c r="AA2307" s="32"/>
      <c r="AB2307" s="32"/>
    </row>
    <row r="2308" spans="2:28" ht="23.25" customHeight="1" x14ac:dyDescent="0.2">
      <c r="B2308" s="75"/>
      <c r="C2308" s="67"/>
      <c r="D2308" s="75"/>
      <c r="E2308" s="67"/>
      <c r="F2308" s="67"/>
      <c r="G2308" s="70"/>
      <c r="H2308" s="70"/>
      <c r="I2308" s="70"/>
      <c r="J2308" s="70"/>
      <c r="K2308" s="70"/>
      <c r="L2308" s="67"/>
      <c r="M2308" s="67"/>
      <c r="N2308" s="72"/>
      <c r="O2308" s="72"/>
      <c r="P2308" s="67"/>
      <c r="Q2308" s="67"/>
      <c r="R2308" s="67"/>
      <c r="S2308" s="67"/>
      <c r="T2308" s="32"/>
      <c r="U2308" s="32"/>
      <c r="X2308" s="32"/>
      <c r="Y2308" s="32"/>
      <c r="Z2308" s="32"/>
      <c r="AA2308" s="32"/>
      <c r="AB2308" s="32"/>
    </row>
    <row r="2309" spans="2:28" ht="23.25" customHeight="1" x14ac:dyDescent="0.2">
      <c r="B2309" s="75"/>
      <c r="C2309" s="67"/>
      <c r="D2309" s="75"/>
      <c r="E2309" s="67"/>
      <c r="F2309" s="67"/>
      <c r="G2309" s="70"/>
      <c r="H2309" s="70"/>
      <c r="I2309" s="70"/>
      <c r="J2309" s="70"/>
      <c r="K2309" s="70"/>
      <c r="L2309" s="67"/>
      <c r="M2309" s="67"/>
      <c r="N2309" s="72"/>
      <c r="O2309" s="72"/>
      <c r="P2309" s="67"/>
      <c r="Q2309" s="67"/>
      <c r="R2309" s="67"/>
      <c r="S2309" s="67"/>
      <c r="T2309" s="32"/>
      <c r="U2309" s="32"/>
      <c r="X2309" s="32"/>
      <c r="Y2309" s="32"/>
      <c r="Z2309" s="32"/>
      <c r="AA2309" s="32"/>
      <c r="AB2309" s="32"/>
    </row>
    <row r="2310" spans="2:28" ht="23.25" customHeight="1" x14ac:dyDescent="0.2">
      <c r="B2310" s="75"/>
      <c r="C2310" s="67"/>
      <c r="D2310" s="75"/>
      <c r="E2310" s="67"/>
      <c r="F2310" s="67"/>
      <c r="G2310" s="70"/>
      <c r="H2310" s="70"/>
      <c r="I2310" s="70"/>
      <c r="J2310" s="70"/>
      <c r="K2310" s="70"/>
      <c r="L2310" s="67"/>
      <c r="M2310" s="67"/>
      <c r="N2310" s="72"/>
      <c r="O2310" s="72"/>
      <c r="P2310" s="67"/>
      <c r="Q2310" s="67"/>
      <c r="R2310" s="67"/>
      <c r="S2310" s="67"/>
      <c r="T2310" s="32"/>
      <c r="U2310" s="32"/>
      <c r="X2310" s="32"/>
      <c r="Y2310" s="32"/>
      <c r="Z2310" s="32"/>
      <c r="AA2310" s="32"/>
      <c r="AB2310" s="32"/>
    </row>
    <row r="2311" spans="2:28" ht="23.25" customHeight="1" x14ac:dyDescent="0.2">
      <c r="B2311" s="75"/>
      <c r="C2311" s="67"/>
      <c r="D2311" s="75"/>
      <c r="E2311" s="67"/>
      <c r="F2311" s="67"/>
      <c r="G2311" s="70"/>
      <c r="H2311" s="70"/>
      <c r="I2311" s="70"/>
      <c r="J2311" s="70"/>
      <c r="K2311" s="70"/>
      <c r="L2311" s="67"/>
      <c r="M2311" s="67"/>
      <c r="N2311" s="72"/>
      <c r="O2311" s="72"/>
      <c r="P2311" s="67"/>
      <c r="Q2311" s="67"/>
      <c r="R2311" s="67"/>
      <c r="S2311" s="67"/>
      <c r="T2311" s="32"/>
      <c r="U2311" s="32"/>
      <c r="X2311" s="32"/>
      <c r="Y2311" s="32"/>
      <c r="Z2311" s="32"/>
      <c r="AA2311" s="32"/>
      <c r="AB2311" s="32"/>
    </row>
    <row r="2312" spans="2:28" ht="23.25" customHeight="1" x14ac:dyDescent="0.2">
      <c r="B2312" s="75"/>
      <c r="C2312" s="67"/>
      <c r="D2312" s="75"/>
      <c r="E2312" s="67"/>
      <c r="F2312" s="67"/>
      <c r="G2312" s="70"/>
      <c r="H2312" s="70"/>
      <c r="I2312" s="70"/>
      <c r="J2312" s="70"/>
      <c r="K2312" s="70"/>
      <c r="L2312" s="67"/>
      <c r="M2312" s="67"/>
      <c r="N2312" s="72"/>
      <c r="O2312" s="72"/>
      <c r="P2312" s="67"/>
      <c r="Q2312" s="67"/>
      <c r="R2312" s="67"/>
      <c r="S2312" s="67"/>
      <c r="T2312" s="32"/>
      <c r="U2312" s="32"/>
      <c r="X2312" s="32"/>
      <c r="Y2312" s="32"/>
      <c r="Z2312" s="32"/>
      <c r="AA2312" s="32"/>
      <c r="AB2312" s="32"/>
    </row>
    <row r="2313" spans="2:28" ht="23.25" customHeight="1" x14ac:dyDescent="0.2">
      <c r="B2313" s="75"/>
      <c r="C2313" s="67"/>
      <c r="D2313" s="75"/>
      <c r="E2313" s="67"/>
      <c r="F2313" s="67"/>
      <c r="G2313" s="70"/>
      <c r="H2313" s="70"/>
      <c r="I2313" s="70"/>
      <c r="J2313" s="70"/>
      <c r="K2313" s="70"/>
      <c r="L2313" s="67"/>
      <c r="M2313" s="67"/>
      <c r="N2313" s="72"/>
      <c r="O2313" s="72"/>
      <c r="P2313" s="67"/>
      <c r="Q2313" s="67"/>
      <c r="R2313" s="67"/>
      <c r="S2313" s="67"/>
      <c r="T2313" s="32"/>
      <c r="U2313" s="32"/>
      <c r="X2313" s="32"/>
      <c r="Y2313" s="32"/>
      <c r="Z2313" s="32"/>
      <c r="AA2313" s="32"/>
      <c r="AB2313" s="32"/>
    </row>
    <row r="2314" spans="2:28" ht="23.25" customHeight="1" x14ac:dyDescent="0.2">
      <c r="B2314" s="75"/>
      <c r="C2314" s="67"/>
      <c r="D2314" s="75"/>
      <c r="E2314" s="67"/>
      <c r="F2314" s="67"/>
      <c r="G2314" s="70"/>
      <c r="H2314" s="70"/>
      <c r="I2314" s="70"/>
      <c r="J2314" s="70"/>
      <c r="K2314" s="70"/>
      <c r="L2314" s="67"/>
      <c r="M2314" s="67"/>
      <c r="N2314" s="72"/>
      <c r="O2314" s="72"/>
      <c r="P2314" s="67"/>
      <c r="Q2314" s="67"/>
      <c r="R2314" s="67"/>
      <c r="S2314" s="67"/>
      <c r="T2314" s="32"/>
      <c r="U2314" s="32"/>
      <c r="X2314" s="32"/>
      <c r="Y2314" s="32"/>
      <c r="Z2314" s="32"/>
      <c r="AA2314" s="32"/>
      <c r="AB2314" s="32"/>
    </row>
    <row r="2315" spans="2:28" ht="23.25" customHeight="1" x14ac:dyDescent="0.2">
      <c r="B2315" s="75"/>
      <c r="C2315" s="67"/>
      <c r="D2315" s="75"/>
      <c r="E2315" s="67"/>
      <c r="F2315" s="67"/>
      <c r="G2315" s="70"/>
      <c r="H2315" s="70"/>
      <c r="I2315" s="70"/>
      <c r="J2315" s="70"/>
      <c r="K2315" s="70"/>
      <c r="L2315" s="67"/>
      <c r="M2315" s="67"/>
      <c r="N2315" s="72"/>
      <c r="O2315" s="72"/>
      <c r="P2315" s="67"/>
      <c r="Q2315" s="67"/>
      <c r="R2315" s="67"/>
      <c r="S2315" s="67"/>
      <c r="T2315" s="32"/>
      <c r="U2315" s="32"/>
      <c r="X2315" s="32"/>
      <c r="Y2315" s="32"/>
      <c r="Z2315" s="32"/>
      <c r="AA2315" s="32"/>
      <c r="AB2315" s="32"/>
    </row>
    <row r="2316" spans="2:28" ht="23.25" customHeight="1" x14ac:dyDescent="0.2">
      <c r="B2316" s="75"/>
      <c r="C2316" s="67"/>
      <c r="D2316" s="75"/>
      <c r="E2316" s="67"/>
      <c r="F2316" s="67"/>
      <c r="G2316" s="70"/>
      <c r="H2316" s="70"/>
      <c r="I2316" s="70"/>
      <c r="J2316" s="70"/>
      <c r="K2316" s="70"/>
      <c r="L2316" s="67"/>
      <c r="M2316" s="67"/>
      <c r="N2316" s="72"/>
      <c r="O2316" s="72"/>
      <c r="P2316" s="67"/>
      <c r="Q2316" s="67"/>
      <c r="R2316" s="67"/>
      <c r="S2316" s="67"/>
      <c r="T2316" s="32"/>
      <c r="U2316" s="32"/>
      <c r="X2316" s="32"/>
      <c r="Y2316" s="32"/>
      <c r="Z2316" s="32"/>
      <c r="AA2316" s="32"/>
      <c r="AB2316" s="32"/>
    </row>
    <row r="2317" spans="2:28" ht="23.25" customHeight="1" x14ac:dyDescent="0.2">
      <c r="B2317" s="75"/>
      <c r="C2317" s="67"/>
      <c r="D2317" s="75"/>
      <c r="E2317" s="67"/>
      <c r="F2317" s="67"/>
      <c r="G2317" s="70"/>
      <c r="H2317" s="70"/>
      <c r="I2317" s="70"/>
      <c r="J2317" s="70"/>
      <c r="K2317" s="70"/>
      <c r="L2317" s="67"/>
      <c r="M2317" s="67"/>
      <c r="N2317" s="72"/>
      <c r="O2317" s="72"/>
      <c r="P2317" s="67"/>
      <c r="Q2317" s="67"/>
      <c r="R2317" s="67"/>
      <c r="S2317" s="67"/>
      <c r="T2317" s="32"/>
      <c r="U2317" s="32"/>
      <c r="X2317" s="32"/>
      <c r="Y2317" s="32"/>
      <c r="Z2317" s="32"/>
      <c r="AA2317" s="32"/>
      <c r="AB2317" s="32"/>
    </row>
    <row r="2318" spans="2:28" ht="23.25" customHeight="1" x14ac:dyDescent="0.2">
      <c r="B2318" s="75"/>
      <c r="C2318" s="67"/>
      <c r="D2318" s="75"/>
      <c r="E2318" s="67"/>
      <c r="F2318" s="67"/>
      <c r="G2318" s="70"/>
      <c r="H2318" s="70"/>
      <c r="I2318" s="70"/>
      <c r="J2318" s="70"/>
      <c r="K2318" s="70"/>
      <c r="L2318" s="67"/>
      <c r="M2318" s="67"/>
      <c r="N2318" s="72"/>
      <c r="O2318" s="72"/>
      <c r="P2318" s="67"/>
      <c r="Q2318" s="67"/>
      <c r="R2318" s="67"/>
      <c r="S2318" s="67"/>
      <c r="T2318" s="32"/>
      <c r="U2318" s="32"/>
      <c r="X2318" s="32"/>
      <c r="Y2318" s="32"/>
      <c r="Z2318" s="32"/>
      <c r="AA2318" s="32"/>
      <c r="AB2318" s="32"/>
    </row>
    <row r="2319" spans="2:28" ht="23.25" customHeight="1" x14ac:dyDescent="0.2">
      <c r="B2319" s="75"/>
      <c r="C2319" s="67"/>
      <c r="D2319" s="75"/>
      <c r="E2319" s="67"/>
      <c r="F2319" s="67"/>
      <c r="G2319" s="70"/>
      <c r="H2319" s="70"/>
      <c r="I2319" s="70"/>
      <c r="J2319" s="70"/>
      <c r="K2319" s="70"/>
      <c r="L2319" s="67"/>
      <c r="M2319" s="67"/>
      <c r="N2319" s="72"/>
      <c r="O2319" s="72"/>
      <c r="P2319" s="67"/>
      <c r="Q2319" s="67"/>
      <c r="R2319" s="67"/>
      <c r="S2319" s="67"/>
      <c r="T2319" s="32"/>
      <c r="U2319" s="32"/>
      <c r="X2319" s="32"/>
      <c r="Y2319" s="32"/>
      <c r="Z2319" s="32"/>
      <c r="AA2319" s="32"/>
      <c r="AB2319" s="32"/>
    </row>
    <row r="2320" spans="2:28" ht="23.25" customHeight="1" x14ac:dyDescent="0.2">
      <c r="B2320" s="75"/>
      <c r="C2320" s="67"/>
      <c r="D2320" s="75"/>
      <c r="E2320" s="67"/>
      <c r="F2320" s="67"/>
      <c r="G2320" s="70"/>
      <c r="H2320" s="70"/>
      <c r="I2320" s="70"/>
      <c r="J2320" s="70"/>
      <c r="K2320" s="70"/>
      <c r="L2320" s="67"/>
      <c r="M2320" s="67"/>
      <c r="N2320" s="72"/>
      <c r="O2320" s="72"/>
      <c r="P2320" s="67"/>
      <c r="Q2320" s="67"/>
      <c r="R2320" s="67"/>
      <c r="S2320" s="67"/>
      <c r="T2320" s="32"/>
      <c r="U2320" s="32"/>
      <c r="X2320" s="32"/>
      <c r="Y2320" s="32"/>
      <c r="Z2320" s="32"/>
      <c r="AA2320" s="32"/>
      <c r="AB2320" s="32"/>
    </row>
    <row r="2321" spans="2:28" ht="23.25" customHeight="1" x14ac:dyDescent="0.2">
      <c r="B2321" s="75"/>
      <c r="C2321" s="67"/>
      <c r="D2321" s="75"/>
      <c r="E2321" s="67"/>
      <c r="F2321" s="67"/>
      <c r="G2321" s="70"/>
      <c r="H2321" s="70"/>
      <c r="I2321" s="70"/>
      <c r="J2321" s="70"/>
      <c r="K2321" s="70"/>
      <c r="L2321" s="67"/>
      <c r="M2321" s="67"/>
      <c r="N2321" s="72"/>
      <c r="O2321" s="72"/>
      <c r="P2321" s="67"/>
      <c r="Q2321" s="67"/>
      <c r="R2321" s="67"/>
      <c r="S2321" s="67"/>
      <c r="T2321" s="32"/>
      <c r="U2321" s="32"/>
      <c r="X2321" s="32"/>
      <c r="Y2321" s="32"/>
      <c r="Z2321" s="32"/>
      <c r="AA2321" s="32"/>
      <c r="AB2321" s="32"/>
    </row>
    <row r="2322" spans="2:28" ht="23.25" customHeight="1" x14ac:dyDescent="0.2">
      <c r="B2322" s="75"/>
      <c r="C2322" s="67"/>
      <c r="D2322" s="75"/>
      <c r="E2322" s="67"/>
      <c r="F2322" s="67"/>
      <c r="G2322" s="70"/>
      <c r="H2322" s="70"/>
      <c r="I2322" s="70"/>
      <c r="J2322" s="70"/>
      <c r="K2322" s="70"/>
      <c r="L2322" s="67"/>
      <c r="M2322" s="67"/>
      <c r="N2322" s="72"/>
      <c r="O2322" s="72"/>
      <c r="P2322" s="67"/>
      <c r="Q2322" s="67"/>
      <c r="R2322" s="67"/>
      <c r="S2322" s="67"/>
      <c r="T2322" s="32"/>
      <c r="U2322" s="32"/>
      <c r="X2322" s="32"/>
      <c r="Y2322" s="32"/>
      <c r="Z2322" s="32"/>
      <c r="AA2322" s="32"/>
      <c r="AB2322" s="32"/>
    </row>
    <row r="2323" spans="2:28" ht="23.25" customHeight="1" x14ac:dyDescent="0.2">
      <c r="B2323" s="75"/>
      <c r="C2323" s="67"/>
      <c r="D2323" s="75"/>
      <c r="E2323" s="67"/>
      <c r="F2323" s="67"/>
      <c r="G2323" s="70"/>
      <c r="H2323" s="70"/>
      <c r="I2323" s="70"/>
      <c r="J2323" s="70"/>
      <c r="K2323" s="70"/>
      <c r="L2323" s="67"/>
      <c r="M2323" s="67"/>
      <c r="N2323" s="72"/>
      <c r="O2323" s="72"/>
      <c r="P2323" s="67"/>
      <c r="Q2323" s="67"/>
      <c r="R2323" s="67"/>
      <c r="S2323" s="67"/>
      <c r="T2323" s="32"/>
      <c r="U2323" s="32"/>
      <c r="X2323" s="32"/>
      <c r="Y2323" s="32"/>
      <c r="Z2323" s="32"/>
      <c r="AA2323" s="32"/>
      <c r="AB2323" s="32"/>
    </row>
    <row r="2324" spans="2:28" ht="23.25" customHeight="1" x14ac:dyDescent="0.2">
      <c r="B2324" s="75"/>
      <c r="C2324" s="67"/>
      <c r="D2324" s="75"/>
      <c r="E2324" s="67"/>
      <c r="F2324" s="67"/>
      <c r="G2324" s="70"/>
      <c r="H2324" s="70"/>
      <c r="I2324" s="70"/>
      <c r="J2324" s="70"/>
      <c r="K2324" s="70"/>
      <c r="L2324" s="67"/>
      <c r="M2324" s="67"/>
      <c r="N2324" s="72"/>
      <c r="O2324" s="72"/>
      <c r="P2324" s="67"/>
      <c r="Q2324" s="67"/>
      <c r="R2324" s="67"/>
      <c r="S2324" s="67"/>
      <c r="T2324" s="32"/>
      <c r="U2324" s="32"/>
      <c r="X2324" s="32"/>
      <c r="Y2324" s="32"/>
      <c r="Z2324" s="32"/>
      <c r="AA2324" s="32"/>
      <c r="AB2324" s="32"/>
    </row>
    <row r="2325" spans="2:28" ht="23.25" customHeight="1" x14ac:dyDescent="0.2">
      <c r="B2325" s="75"/>
      <c r="C2325" s="67"/>
      <c r="D2325" s="75"/>
      <c r="E2325" s="67"/>
      <c r="F2325" s="67"/>
      <c r="G2325" s="70"/>
      <c r="H2325" s="70"/>
      <c r="I2325" s="70"/>
      <c r="J2325" s="70"/>
      <c r="K2325" s="70"/>
      <c r="L2325" s="67"/>
      <c r="M2325" s="67"/>
      <c r="N2325" s="72"/>
      <c r="O2325" s="72"/>
      <c r="P2325" s="67"/>
      <c r="Q2325" s="67"/>
      <c r="R2325" s="67"/>
      <c r="S2325" s="67"/>
      <c r="T2325" s="32"/>
      <c r="U2325" s="32"/>
      <c r="X2325" s="32"/>
      <c r="Y2325" s="32"/>
      <c r="Z2325" s="32"/>
      <c r="AA2325" s="32"/>
      <c r="AB2325" s="32"/>
    </row>
    <row r="2326" spans="2:28" ht="23.25" customHeight="1" x14ac:dyDescent="0.2">
      <c r="B2326" s="75"/>
      <c r="C2326" s="67"/>
      <c r="D2326" s="75"/>
      <c r="E2326" s="67"/>
      <c r="F2326" s="67"/>
      <c r="G2326" s="70"/>
      <c r="H2326" s="70"/>
      <c r="I2326" s="70"/>
      <c r="J2326" s="70"/>
      <c r="K2326" s="70"/>
      <c r="L2326" s="67"/>
      <c r="M2326" s="67"/>
      <c r="N2326" s="72"/>
      <c r="O2326" s="72"/>
      <c r="P2326" s="67"/>
      <c r="Q2326" s="67"/>
      <c r="R2326" s="67"/>
      <c r="S2326" s="67"/>
      <c r="T2326" s="32"/>
      <c r="U2326" s="32"/>
      <c r="X2326" s="32"/>
      <c r="Y2326" s="32"/>
      <c r="Z2326" s="32"/>
      <c r="AA2326" s="32"/>
      <c r="AB2326" s="32"/>
    </row>
    <row r="2327" spans="2:28" ht="23.25" customHeight="1" x14ac:dyDescent="0.2">
      <c r="B2327" s="75"/>
      <c r="C2327" s="67"/>
      <c r="D2327" s="75"/>
      <c r="E2327" s="67"/>
      <c r="F2327" s="67"/>
      <c r="G2327" s="70"/>
      <c r="H2327" s="70"/>
      <c r="I2327" s="70"/>
      <c r="J2327" s="70"/>
      <c r="K2327" s="70"/>
      <c r="L2327" s="67"/>
      <c r="M2327" s="67"/>
      <c r="N2327" s="72"/>
      <c r="O2327" s="72"/>
      <c r="P2327" s="67"/>
      <c r="Q2327" s="67"/>
      <c r="R2327" s="67"/>
      <c r="S2327" s="67"/>
      <c r="T2327" s="32"/>
      <c r="U2327" s="32"/>
      <c r="X2327" s="32"/>
      <c r="Y2327" s="32"/>
      <c r="Z2327" s="32"/>
      <c r="AA2327" s="32"/>
      <c r="AB2327" s="32"/>
    </row>
    <row r="2328" spans="2:28" ht="23.25" customHeight="1" x14ac:dyDescent="0.2">
      <c r="B2328" s="75"/>
      <c r="C2328" s="67"/>
      <c r="D2328" s="75"/>
      <c r="E2328" s="67"/>
      <c r="F2328" s="67"/>
      <c r="G2328" s="70"/>
      <c r="H2328" s="70"/>
      <c r="I2328" s="70"/>
      <c r="J2328" s="70"/>
      <c r="K2328" s="70"/>
      <c r="L2328" s="67"/>
      <c r="M2328" s="67"/>
      <c r="N2328" s="72"/>
      <c r="O2328" s="72"/>
      <c r="P2328" s="67"/>
      <c r="Q2328" s="67"/>
      <c r="R2328" s="67"/>
      <c r="S2328" s="67"/>
      <c r="T2328" s="32"/>
      <c r="U2328" s="32"/>
      <c r="X2328" s="32"/>
      <c r="Y2328" s="32"/>
      <c r="Z2328" s="32"/>
      <c r="AA2328" s="32"/>
      <c r="AB2328" s="32"/>
    </row>
    <row r="2329" spans="2:28" ht="23.25" customHeight="1" x14ac:dyDescent="0.2">
      <c r="B2329" s="75"/>
      <c r="C2329" s="67"/>
      <c r="D2329" s="75"/>
      <c r="E2329" s="67"/>
      <c r="F2329" s="67"/>
      <c r="G2329" s="70"/>
      <c r="H2329" s="70"/>
      <c r="I2329" s="70"/>
      <c r="J2329" s="70"/>
      <c r="K2329" s="70"/>
      <c r="L2329" s="67"/>
      <c r="M2329" s="67"/>
      <c r="N2329" s="72"/>
      <c r="O2329" s="72"/>
      <c r="P2329" s="67"/>
      <c r="Q2329" s="67"/>
      <c r="R2329" s="67"/>
      <c r="S2329" s="67"/>
      <c r="T2329" s="32"/>
      <c r="U2329" s="32"/>
      <c r="X2329" s="32"/>
      <c r="Y2329" s="32"/>
      <c r="Z2329" s="32"/>
      <c r="AA2329" s="32"/>
      <c r="AB2329" s="32"/>
    </row>
    <row r="2330" spans="2:28" ht="23.25" customHeight="1" x14ac:dyDescent="0.2">
      <c r="B2330" s="75"/>
      <c r="C2330" s="67"/>
      <c r="D2330" s="75"/>
      <c r="E2330" s="67"/>
      <c r="F2330" s="67"/>
      <c r="G2330" s="70"/>
      <c r="H2330" s="70"/>
      <c r="I2330" s="70"/>
      <c r="J2330" s="70"/>
      <c r="K2330" s="70"/>
      <c r="L2330" s="67"/>
      <c r="M2330" s="67"/>
      <c r="N2330" s="72"/>
      <c r="O2330" s="72"/>
      <c r="P2330" s="67"/>
      <c r="Q2330" s="67"/>
      <c r="R2330" s="67"/>
      <c r="S2330" s="67"/>
      <c r="T2330" s="32"/>
      <c r="U2330" s="32"/>
      <c r="X2330" s="32"/>
      <c r="Y2330" s="32"/>
      <c r="Z2330" s="32"/>
      <c r="AA2330" s="32"/>
      <c r="AB2330" s="32"/>
    </row>
    <row r="2331" spans="2:28" ht="23.25" customHeight="1" x14ac:dyDescent="0.2">
      <c r="B2331" s="75"/>
      <c r="C2331" s="67"/>
      <c r="D2331" s="75"/>
      <c r="E2331" s="67"/>
      <c r="F2331" s="67"/>
      <c r="G2331" s="70"/>
      <c r="H2331" s="70"/>
      <c r="I2331" s="70"/>
      <c r="J2331" s="70"/>
      <c r="K2331" s="70"/>
      <c r="L2331" s="67"/>
      <c r="M2331" s="67"/>
      <c r="N2331" s="72"/>
      <c r="O2331" s="72"/>
      <c r="P2331" s="67"/>
      <c r="Q2331" s="67"/>
      <c r="R2331" s="67"/>
      <c r="S2331" s="67"/>
      <c r="T2331" s="32"/>
      <c r="U2331" s="32"/>
      <c r="X2331" s="32"/>
      <c r="Y2331" s="32"/>
      <c r="Z2331" s="32"/>
      <c r="AA2331" s="32"/>
      <c r="AB2331" s="32"/>
    </row>
    <row r="2332" spans="2:28" ht="23.25" customHeight="1" x14ac:dyDescent="0.2">
      <c r="B2332" s="75"/>
      <c r="C2332" s="67"/>
      <c r="D2332" s="75"/>
      <c r="E2332" s="67"/>
      <c r="F2332" s="67"/>
      <c r="G2332" s="70"/>
      <c r="H2332" s="70"/>
      <c r="I2332" s="70"/>
      <c r="J2332" s="70"/>
      <c r="K2332" s="70"/>
      <c r="L2332" s="67"/>
      <c r="M2332" s="67"/>
      <c r="N2332" s="72"/>
      <c r="O2332" s="72"/>
      <c r="P2332" s="67"/>
      <c r="Q2332" s="67"/>
      <c r="R2332" s="67"/>
      <c r="S2332" s="67"/>
      <c r="T2332" s="32"/>
      <c r="U2332" s="32"/>
      <c r="X2332" s="32"/>
      <c r="Y2332" s="32"/>
      <c r="Z2332" s="32"/>
      <c r="AA2332" s="32"/>
      <c r="AB2332" s="32"/>
    </row>
    <row r="2333" spans="2:28" ht="23.25" customHeight="1" x14ac:dyDescent="0.2">
      <c r="B2333" s="75"/>
      <c r="C2333" s="67"/>
      <c r="D2333" s="75"/>
      <c r="E2333" s="67"/>
      <c r="F2333" s="67"/>
      <c r="G2333" s="70"/>
      <c r="H2333" s="70"/>
      <c r="I2333" s="70"/>
      <c r="J2333" s="70"/>
      <c r="K2333" s="70"/>
      <c r="L2333" s="67"/>
      <c r="M2333" s="67"/>
      <c r="N2333" s="72"/>
      <c r="O2333" s="72"/>
      <c r="P2333" s="67"/>
      <c r="Q2333" s="67"/>
      <c r="R2333" s="67"/>
      <c r="S2333" s="67"/>
      <c r="T2333" s="32"/>
      <c r="U2333" s="32"/>
      <c r="X2333" s="32"/>
      <c r="Y2333" s="32"/>
      <c r="Z2333" s="32"/>
      <c r="AA2333" s="32"/>
      <c r="AB2333" s="32"/>
    </row>
    <row r="2334" spans="2:28" ht="23.25" customHeight="1" x14ac:dyDescent="0.2">
      <c r="B2334" s="75"/>
      <c r="C2334" s="67"/>
      <c r="D2334" s="75"/>
      <c r="E2334" s="67"/>
      <c r="F2334" s="67"/>
      <c r="G2334" s="70"/>
      <c r="H2334" s="70"/>
      <c r="I2334" s="70"/>
      <c r="J2334" s="70"/>
      <c r="K2334" s="70"/>
      <c r="L2334" s="67"/>
      <c r="M2334" s="67"/>
      <c r="N2334" s="72"/>
      <c r="O2334" s="72"/>
      <c r="P2334" s="67"/>
      <c r="Q2334" s="67"/>
      <c r="R2334" s="67"/>
      <c r="S2334" s="67"/>
      <c r="T2334" s="32"/>
      <c r="U2334" s="32"/>
      <c r="X2334" s="32"/>
      <c r="Y2334" s="32"/>
      <c r="Z2334" s="32"/>
      <c r="AA2334" s="32"/>
      <c r="AB2334" s="32"/>
    </row>
    <row r="2335" spans="2:28" ht="23.25" customHeight="1" x14ac:dyDescent="0.2">
      <c r="B2335" s="75"/>
      <c r="C2335" s="67"/>
      <c r="D2335" s="75"/>
      <c r="E2335" s="67"/>
      <c r="F2335" s="67"/>
      <c r="G2335" s="70"/>
      <c r="H2335" s="70"/>
      <c r="I2335" s="70"/>
      <c r="J2335" s="70"/>
      <c r="K2335" s="70"/>
      <c r="L2335" s="67"/>
      <c r="M2335" s="67"/>
      <c r="N2335" s="72"/>
      <c r="O2335" s="72"/>
      <c r="P2335" s="67"/>
      <c r="Q2335" s="67"/>
      <c r="R2335" s="67"/>
      <c r="S2335" s="67"/>
      <c r="T2335" s="32"/>
      <c r="U2335" s="32"/>
      <c r="X2335" s="32"/>
      <c r="Y2335" s="32"/>
      <c r="Z2335" s="32"/>
      <c r="AA2335" s="32"/>
      <c r="AB2335" s="32"/>
    </row>
    <row r="2336" spans="2:28" ht="23.25" customHeight="1" x14ac:dyDescent="0.2">
      <c r="B2336" s="75"/>
      <c r="C2336" s="67"/>
      <c r="D2336" s="75"/>
      <c r="E2336" s="67"/>
      <c r="F2336" s="67"/>
      <c r="G2336" s="70"/>
      <c r="H2336" s="70"/>
      <c r="I2336" s="70"/>
      <c r="J2336" s="70"/>
      <c r="K2336" s="70"/>
      <c r="L2336" s="67"/>
      <c r="M2336" s="67"/>
      <c r="N2336" s="72"/>
      <c r="O2336" s="72"/>
      <c r="P2336" s="67"/>
      <c r="Q2336" s="67"/>
      <c r="R2336" s="67"/>
      <c r="S2336" s="67"/>
      <c r="T2336" s="32"/>
      <c r="U2336" s="32"/>
      <c r="X2336" s="32"/>
      <c r="Y2336" s="32"/>
      <c r="Z2336" s="32"/>
      <c r="AA2336" s="32"/>
      <c r="AB2336" s="32"/>
    </row>
    <row r="2337" spans="2:28" ht="23.25" customHeight="1" x14ac:dyDescent="0.2">
      <c r="B2337" s="75"/>
      <c r="C2337" s="67"/>
      <c r="D2337" s="75"/>
      <c r="E2337" s="67"/>
      <c r="F2337" s="67"/>
      <c r="G2337" s="70"/>
      <c r="H2337" s="70"/>
      <c r="I2337" s="70"/>
      <c r="J2337" s="70"/>
      <c r="K2337" s="70"/>
      <c r="L2337" s="67"/>
      <c r="M2337" s="67"/>
      <c r="N2337" s="72"/>
      <c r="O2337" s="72"/>
      <c r="P2337" s="67"/>
      <c r="Q2337" s="67"/>
      <c r="R2337" s="67"/>
      <c r="S2337" s="67"/>
      <c r="T2337" s="32"/>
      <c r="U2337" s="32"/>
      <c r="X2337" s="32"/>
      <c r="Y2337" s="32"/>
      <c r="Z2337" s="32"/>
      <c r="AA2337" s="32"/>
      <c r="AB2337" s="32"/>
    </row>
    <row r="2338" spans="2:28" ht="23.25" customHeight="1" x14ac:dyDescent="0.2">
      <c r="B2338" s="75"/>
      <c r="C2338" s="67"/>
      <c r="D2338" s="75"/>
      <c r="E2338" s="67"/>
      <c r="F2338" s="67"/>
      <c r="G2338" s="70"/>
      <c r="H2338" s="70"/>
      <c r="I2338" s="70"/>
      <c r="J2338" s="70"/>
      <c r="K2338" s="70"/>
      <c r="L2338" s="67"/>
      <c r="M2338" s="67"/>
      <c r="N2338" s="72"/>
      <c r="O2338" s="72"/>
      <c r="P2338" s="67"/>
      <c r="Q2338" s="67"/>
      <c r="R2338" s="67"/>
      <c r="S2338" s="67"/>
      <c r="T2338" s="32"/>
      <c r="U2338" s="32"/>
      <c r="X2338" s="32"/>
      <c r="Y2338" s="32"/>
      <c r="Z2338" s="32"/>
      <c r="AA2338" s="32"/>
      <c r="AB2338" s="32"/>
    </row>
    <row r="2339" spans="2:28" ht="23.25" customHeight="1" x14ac:dyDescent="0.2">
      <c r="B2339" s="75"/>
      <c r="C2339" s="67"/>
      <c r="D2339" s="75"/>
      <c r="E2339" s="67"/>
      <c r="F2339" s="67"/>
      <c r="G2339" s="70"/>
      <c r="H2339" s="70"/>
      <c r="I2339" s="70"/>
      <c r="J2339" s="70"/>
      <c r="K2339" s="70"/>
      <c r="L2339" s="67"/>
      <c r="M2339" s="67"/>
      <c r="N2339" s="72"/>
      <c r="O2339" s="72"/>
      <c r="P2339" s="67"/>
      <c r="Q2339" s="67"/>
      <c r="R2339" s="67"/>
      <c r="S2339" s="67"/>
      <c r="T2339" s="32"/>
      <c r="U2339" s="32"/>
      <c r="X2339" s="32"/>
      <c r="Y2339" s="32"/>
      <c r="Z2339" s="32"/>
      <c r="AA2339" s="32"/>
      <c r="AB2339" s="32"/>
    </row>
    <row r="2340" spans="2:28" ht="23.25" customHeight="1" x14ac:dyDescent="0.2">
      <c r="B2340" s="75"/>
      <c r="C2340" s="67"/>
      <c r="D2340" s="75"/>
      <c r="E2340" s="67"/>
      <c r="F2340" s="67"/>
      <c r="G2340" s="70"/>
      <c r="H2340" s="70"/>
      <c r="I2340" s="70"/>
      <c r="J2340" s="70"/>
      <c r="K2340" s="70"/>
      <c r="L2340" s="67"/>
      <c r="M2340" s="67"/>
      <c r="N2340" s="72"/>
      <c r="O2340" s="72"/>
      <c r="P2340" s="67"/>
      <c r="Q2340" s="67"/>
      <c r="R2340" s="67"/>
      <c r="S2340" s="67"/>
      <c r="T2340" s="32"/>
      <c r="U2340" s="32"/>
      <c r="X2340" s="32"/>
      <c r="Y2340" s="32"/>
      <c r="Z2340" s="32"/>
      <c r="AA2340" s="32"/>
      <c r="AB2340" s="32"/>
    </row>
    <row r="2341" spans="2:28" ht="23.25" customHeight="1" x14ac:dyDescent="0.2">
      <c r="B2341" s="75"/>
      <c r="C2341" s="67"/>
      <c r="D2341" s="75"/>
      <c r="E2341" s="67"/>
      <c r="F2341" s="67"/>
      <c r="G2341" s="70"/>
      <c r="H2341" s="70"/>
      <c r="I2341" s="70"/>
      <c r="J2341" s="70"/>
      <c r="K2341" s="70"/>
      <c r="L2341" s="67"/>
      <c r="M2341" s="67"/>
      <c r="N2341" s="72"/>
      <c r="O2341" s="72"/>
      <c r="P2341" s="67"/>
      <c r="Q2341" s="67"/>
      <c r="R2341" s="67"/>
      <c r="S2341" s="67"/>
      <c r="T2341" s="32"/>
      <c r="U2341" s="32"/>
      <c r="X2341" s="32"/>
      <c r="Y2341" s="32"/>
      <c r="Z2341" s="32"/>
      <c r="AA2341" s="32"/>
      <c r="AB2341" s="32"/>
    </row>
    <row r="2342" spans="2:28" ht="23.25" customHeight="1" x14ac:dyDescent="0.2">
      <c r="B2342" s="75"/>
      <c r="C2342" s="67"/>
      <c r="D2342" s="75"/>
      <c r="E2342" s="67"/>
      <c r="F2342" s="67"/>
      <c r="G2342" s="70"/>
      <c r="H2342" s="70"/>
      <c r="I2342" s="70"/>
      <c r="J2342" s="70"/>
      <c r="K2342" s="70"/>
      <c r="L2342" s="67"/>
      <c r="M2342" s="67"/>
      <c r="N2342" s="72"/>
      <c r="O2342" s="72"/>
      <c r="P2342" s="67"/>
      <c r="Q2342" s="67"/>
      <c r="R2342" s="67"/>
      <c r="S2342" s="67"/>
      <c r="T2342" s="32"/>
      <c r="U2342" s="32"/>
      <c r="X2342" s="32"/>
      <c r="Y2342" s="32"/>
      <c r="Z2342" s="32"/>
      <c r="AA2342" s="32"/>
      <c r="AB2342" s="32"/>
    </row>
    <row r="2343" spans="2:28" ht="23.25" customHeight="1" x14ac:dyDescent="0.2">
      <c r="B2343" s="75"/>
      <c r="C2343" s="67"/>
      <c r="D2343" s="75"/>
      <c r="E2343" s="67"/>
      <c r="F2343" s="67"/>
      <c r="G2343" s="70"/>
      <c r="H2343" s="70"/>
      <c r="I2343" s="70"/>
      <c r="J2343" s="70"/>
      <c r="K2343" s="70"/>
      <c r="L2343" s="67"/>
      <c r="M2343" s="67"/>
      <c r="N2343" s="72"/>
      <c r="O2343" s="72"/>
      <c r="P2343" s="67"/>
      <c r="Q2343" s="67"/>
      <c r="R2343" s="67"/>
      <c r="S2343" s="67"/>
      <c r="T2343" s="32"/>
      <c r="U2343" s="32"/>
      <c r="X2343" s="32"/>
      <c r="Y2343" s="32"/>
      <c r="Z2343" s="32"/>
      <c r="AA2343" s="32"/>
      <c r="AB2343" s="32"/>
    </row>
    <row r="2344" spans="2:28" ht="23.25" customHeight="1" x14ac:dyDescent="0.2">
      <c r="B2344" s="75"/>
      <c r="C2344" s="67"/>
      <c r="D2344" s="75"/>
      <c r="E2344" s="67"/>
      <c r="F2344" s="67"/>
      <c r="G2344" s="70"/>
      <c r="H2344" s="70"/>
      <c r="I2344" s="70"/>
      <c r="J2344" s="70"/>
      <c r="K2344" s="70"/>
      <c r="L2344" s="67"/>
      <c r="M2344" s="67"/>
      <c r="N2344" s="72"/>
      <c r="O2344" s="72"/>
      <c r="P2344" s="67"/>
      <c r="Q2344" s="67"/>
      <c r="R2344" s="67"/>
      <c r="S2344" s="67"/>
      <c r="T2344" s="32"/>
      <c r="U2344" s="32"/>
      <c r="X2344" s="32"/>
      <c r="Y2344" s="32"/>
      <c r="Z2344" s="32"/>
      <c r="AA2344" s="32"/>
      <c r="AB2344" s="32"/>
    </row>
    <row r="2345" spans="2:28" ht="23.25" customHeight="1" x14ac:dyDescent="0.2">
      <c r="B2345" s="75"/>
      <c r="C2345" s="67"/>
      <c r="D2345" s="75"/>
      <c r="E2345" s="67"/>
      <c r="F2345" s="67"/>
      <c r="G2345" s="70"/>
      <c r="H2345" s="70"/>
      <c r="I2345" s="70"/>
      <c r="J2345" s="70"/>
      <c r="K2345" s="70"/>
      <c r="L2345" s="67"/>
      <c r="M2345" s="67"/>
      <c r="N2345" s="72"/>
      <c r="O2345" s="72"/>
      <c r="P2345" s="67"/>
      <c r="Q2345" s="67"/>
      <c r="R2345" s="67"/>
      <c r="S2345" s="67"/>
      <c r="T2345" s="32"/>
      <c r="U2345" s="32"/>
      <c r="X2345" s="32"/>
      <c r="Y2345" s="32"/>
      <c r="Z2345" s="32"/>
      <c r="AA2345" s="32"/>
      <c r="AB2345" s="32"/>
    </row>
    <row r="2346" spans="2:28" ht="23.25" customHeight="1" x14ac:dyDescent="0.2">
      <c r="B2346" s="75"/>
      <c r="C2346" s="67"/>
      <c r="D2346" s="75"/>
      <c r="E2346" s="67"/>
      <c r="F2346" s="67"/>
      <c r="G2346" s="70"/>
      <c r="H2346" s="70"/>
      <c r="I2346" s="70"/>
      <c r="J2346" s="70"/>
      <c r="K2346" s="70"/>
      <c r="L2346" s="67"/>
      <c r="M2346" s="67"/>
      <c r="N2346" s="72"/>
      <c r="O2346" s="72"/>
      <c r="P2346" s="67"/>
      <c r="Q2346" s="67"/>
      <c r="R2346" s="67"/>
      <c r="S2346" s="67"/>
      <c r="T2346" s="32"/>
      <c r="U2346" s="32"/>
      <c r="X2346" s="32"/>
      <c r="Y2346" s="32"/>
      <c r="Z2346" s="32"/>
      <c r="AA2346" s="32"/>
      <c r="AB2346" s="32"/>
    </row>
    <row r="2347" spans="2:28" ht="23.25" customHeight="1" x14ac:dyDescent="0.2">
      <c r="B2347" s="75"/>
      <c r="C2347" s="67"/>
      <c r="D2347" s="75"/>
      <c r="E2347" s="67"/>
      <c r="F2347" s="67"/>
      <c r="G2347" s="70"/>
      <c r="H2347" s="70"/>
      <c r="I2347" s="70"/>
      <c r="J2347" s="70"/>
      <c r="K2347" s="70"/>
      <c r="L2347" s="67"/>
      <c r="M2347" s="67"/>
      <c r="N2347" s="72"/>
      <c r="O2347" s="72"/>
      <c r="P2347" s="67"/>
      <c r="Q2347" s="67"/>
      <c r="R2347" s="67"/>
      <c r="S2347" s="67"/>
      <c r="T2347" s="32"/>
      <c r="U2347" s="32"/>
      <c r="X2347" s="32"/>
      <c r="Y2347" s="32"/>
      <c r="Z2347" s="32"/>
      <c r="AA2347" s="32"/>
      <c r="AB2347" s="32"/>
    </row>
    <row r="2348" spans="2:28" ht="23.25" customHeight="1" x14ac:dyDescent="0.2">
      <c r="B2348" s="75"/>
      <c r="C2348" s="67"/>
      <c r="D2348" s="75"/>
      <c r="E2348" s="67"/>
      <c r="F2348" s="67"/>
      <c r="G2348" s="70"/>
      <c r="H2348" s="70"/>
      <c r="I2348" s="70"/>
      <c r="J2348" s="70"/>
      <c r="K2348" s="70"/>
      <c r="L2348" s="67"/>
      <c r="M2348" s="67"/>
      <c r="N2348" s="72"/>
      <c r="O2348" s="72"/>
      <c r="P2348" s="67"/>
      <c r="Q2348" s="67"/>
      <c r="R2348" s="67"/>
      <c r="S2348" s="67"/>
      <c r="T2348" s="32"/>
      <c r="U2348" s="32"/>
      <c r="X2348" s="32"/>
      <c r="Y2348" s="32"/>
      <c r="Z2348" s="32"/>
      <c r="AA2348" s="32"/>
      <c r="AB2348" s="32"/>
    </row>
    <row r="2349" spans="2:28" ht="23.25" customHeight="1" x14ac:dyDescent="0.2">
      <c r="B2349" s="75"/>
      <c r="C2349" s="67"/>
      <c r="D2349" s="75"/>
      <c r="E2349" s="67"/>
      <c r="F2349" s="67"/>
      <c r="G2349" s="70"/>
      <c r="H2349" s="70"/>
      <c r="I2349" s="70"/>
      <c r="J2349" s="70"/>
      <c r="K2349" s="70"/>
      <c r="L2349" s="67"/>
      <c r="M2349" s="67"/>
      <c r="N2349" s="72"/>
      <c r="O2349" s="72"/>
      <c r="P2349" s="67"/>
      <c r="Q2349" s="67"/>
      <c r="R2349" s="67"/>
      <c r="S2349" s="67"/>
      <c r="T2349" s="32"/>
      <c r="U2349" s="32"/>
      <c r="X2349" s="32"/>
      <c r="Y2349" s="32"/>
      <c r="Z2349" s="32"/>
      <c r="AA2349" s="32"/>
      <c r="AB2349" s="32"/>
    </row>
    <row r="2350" spans="2:28" ht="23.25" customHeight="1" x14ac:dyDescent="0.2">
      <c r="B2350" s="75"/>
      <c r="C2350" s="67"/>
      <c r="D2350" s="75"/>
      <c r="E2350" s="67"/>
      <c r="F2350" s="67"/>
      <c r="G2350" s="70"/>
      <c r="H2350" s="70"/>
      <c r="I2350" s="70"/>
      <c r="J2350" s="70"/>
      <c r="K2350" s="70"/>
      <c r="L2350" s="67"/>
      <c r="M2350" s="67"/>
      <c r="N2350" s="72"/>
      <c r="O2350" s="72"/>
      <c r="P2350" s="67"/>
      <c r="Q2350" s="67"/>
      <c r="R2350" s="67"/>
      <c r="S2350" s="67"/>
      <c r="T2350" s="32"/>
      <c r="U2350" s="32"/>
      <c r="X2350" s="32"/>
      <c r="Y2350" s="32"/>
      <c r="Z2350" s="32"/>
      <c r="AA2350" s="32"/>
      <c r="AB2350" s="32"/>
    </row>
    <row r="2351" spans="2:28" ht="23.25" customHeight="1" x14ac:dyDescent="0.2">
      <c r="B2351" s="75"/>
      <c r="C2351" s="67"/>
      <c r="D2351" s="75"/>
      <c r="E2351" s="67"/>
      <c r="F2351" s="67"/>
      <c r="G2351" s="70"/>
      <c r="H2351" s="70"/>
      <c r="I2351" s="70"/>
      <c r="J2351" s="70"/>
      <c r="K2351" s="70"/>
      <c r="L2351" s="67"/>
      <c r="M2351" s="67"/>
      <c r="N2351" s="72"/>
      <c r="O2351" s="72"/>
      <c r="P2351" s="67"/>
      <c r="Q2351" s="67"/>
      <c r="R2351" s="67"/>
      <c r="S2351" s="67"/>
      <c r="T2351" s="32"/>
      <c r="U2351" s="32"/>
      <c r="X2351" s="32"/>
      <c r="Y2351" s="32"/>
      <c r="Z2351" s="32"/>
      <c r="AA2351" s="32"/>
      <c r="AB2351" s="32"/>
    </row>
    <row r="2352" spans="2:28" ht="23.25" customHeight="1" x14ac:dyDescent="0.2">
      <c r="B2352" s="75"/>
      <c r="C2352" s="67"/>
      <c r="D2352" s="75"/>
      <c r="E2352" s="67"/>
      <c r="F2352" s="67"/>
      <c r="G2352" s="70"/>
      <c r="H2352" s="70"/>
      <c r="I2352" s="70"/>
      <c r="J2352" s="70"/>
      <c r="K2352" s="70"/>
      <c r="L2352" s="67"/>
      <c r="M2352" s="67"/>
      <c r="N2352" s="72"/>
      <c r="O2352" s="72"/>
      <c r="P2352" s="67"/>
      <c r="Q2352" s="67"/>
      <c r="R2352" s="67"/>
      <c r="S2352" s="67"/>
      <c r="T2352" s="32"/>
      <c r="U2352" s="32"/>
      <c r="X2352" s="32"/>
      <c r="Y2352" s="32"/>
      <c r="Z2352" s="32"/>
      <c r="AA2352" s="32"/>
      <c r="AB2352" s="32"/>
    </row>
    <row r="2353" spans="2:28" ht="23.25" customHeight="1" x14ac:dyDescent="0.2">
      <c r="B2353" s="75"/>
      <c r="C2353" s="67"/>
      <c r="D2353" s="75"/>
      <c r="E2353" s="67"/>
      <c r="F2353" s="67"/>
      <c r="G2353" s="70"/>
      <c r="H2353" s="70"/>
      <c r="I2353" s="70"/>
      <c r="J2353" s="70"/>
      <c r="K2353" s="70"/>
      <c r="L2353" s="67"/>
      <c r="M2353" s="67"/>
      <c r="N2353" s="72"/>
      <c r="O2353" s="72"/>
      <c r="P2353" s="67"/>
      <c r="Q2353" s="67"/>
      <c r="R2353" s="67"/>
      <c r="S2353" s="67"/>
      <c r="T2353" s="32"/>
      <c r="U2353" s="32"/>
      <c r="X2353" s="32"/>
      <c r="Y2353" s="32"/>
      <c r="Z2353" s="32"/>
      <c r="AA2353" s="32"/>
      <c r="AB2353" s="32"/>
    </row>
    <row r="2354" spans="2:28" ht="23.25" customHeight="1" x14ac:dyDescent="0.2">
      <c r="B2354" s="75"/>
      <c r="C2354" s="67"/>
      <c r="D2354" s="75"/>
      <c r="E2354" s="67"/>
      <c r="F2354" s="67"/>
      <c r="G2354" s="70"/>
      <c r="H2354" s="70"/>
      <c r="I2354" s="70"/>
      <c r="J2354" s="70"/>
      <c r="K2354" s="70"/>
      <c r="L2354" s="67"/>
      <c r="M2354" s="67"/>
      <c r="N2354" s="72"/>
      <c r="O2354" s="72"/>
      <c r="P2354" s="67"/>
      <c r="Q2354" s="67"/>
      <c r="R2354" s="67"/>
      <c r="S2354" s="67"/>
      <c r="T2354" s="32"/>
      <c r="U2354" s="32"/>
      <c r="X2354" s="32"/>
      <c r="Y2354" s="32"/>
      <c r="Z2354" s="32"/>
      <c r="AA2354" s="32"/>
      <c r="AB2354" s="32"/>
    </row>
    <row r="2355" spans="2:28" ht="23.25" customHeight="1" x14ac:dyDescent="0.2">
      <c r="B2355" s="75"/>
      <c r="C2355" s="67"/>
      <c r="D2355" s="75"/>
      <c r="E2355" s="67"/>
      <c r="F2355" s="67"/>
      <c r="G2355" s="70"/>
      <c r="H2355" s="70"/>
      <c r="I2355" s="70"/>
      <c r="J2355" s="70"/>
      <c r="K2355" s="70"/>
      <c r="L2355" s="67"/>
      <c r="M2355" s="67"/>
      <c r="N2355" s="72"/>
      <c r="O2355" s="72"/>
      <c r="P2355" s="67"/>
      <c r="Q2355" s="67"/>
      <c r="R2355" s="67"/>
      <c r="S2355" s="67"/>
      <c r="T2355" s="32"/>
      <c r="U2355" s="32"/>
      <c r="X2355" s="32"/>
      <c r="Y2355" s="32"/>
      <c r="Z2355" s="32"/>
      <c r="AA2355" s="32"/>
      <c r="AB2355" s="32"/>
    </row>
    <row r="2356" spans="2:28" ht="23.25" customHeight="1" x14ac:dyDescent="0.2">
      <c r="B2356" s="75"/>
      <c r="C2356" s="67"/>
      <c r="D2356" s="75"/>
      <c r="E2356" s="67"/>
      <c r="F2356" s="67"/>
      <c r="G2356" s="70"/>
      <c r="H2356" s="70"/>
      <c r="I2356" s="70"/>
      <c r="J2356" s="70"/>
      <c r="K2356" s="70"/>
      <c r="L2356" s="67"/>
      <c r="M2356" s="67"/>
      <c r="N2356" s="72"/>
      <c r="O2356" s="72"/>
      <c r="P2356" s="67"/>
      <c r="Q2356" s="67"/>
      <c r="R2356" s="67"/>
      <c r="S2356" s="67"/>
      <c r="T2356" s="32"/>
      <c r="U2356" s="32"/>
      <c r="X2356" s="32"/>
      <c r="Y2356" s="32"/>
      <c r="Z2356" s="32"/>
      <c r="AA2356" s="32"/>
      <c r="AB2356" s="32"/>
    </row>
    <row r="2357" spans="2:28" ht="23.25" customHeight="1" x14ac:dyDescent="0.2">
      <c r="B2357" s="75"/>
      <c r="C2357" s="67"/>
      <c r="D2357" s="75"/>
      <c r="E2357" s="67"/>
      <c r="F2357" s="67"/>
      <c r="G2357" s="70"/>
      <c r="H2357" s="70"/>
      <c r="I2357" s="70"/>
      <c r="J2357" s="70"/>
      <c r="K2357" s="70"/>
      <c r="L2357" s="67"/>
      <c r="M2357" s="67"/>
      <c r="N2357" s="72"/>
      <c r="O2357" s="72"/>
      <c r="P2357" s="67"/>
      <c r="Q2357" s="67"/>
      <c r="R2357" s="67"/>
      <c r="S2357" s="67"/>
      <c r="T2357" s="32"/>
      <c r="U2357" s="32"/>
      <c r="X2357" s="32"/>
      <c r="Y2357" s="32"/>
      <c r="Z2357" s="32"/>
      <c r="AA2357" s="32"/>
      <c r="AB2357" s="32"/>
    </row>
    <row r="2358" spans="2:28" ht="23.25" customHeight="1" x14ac:dyDescent="0.2">
      <c r="B2358" s="75"/>
      <c r="C2358" s="67"/>
      <c r="D2358" s="75"/>
      <c r="E2358" s="67"/>
      <c r="F2358" s="67"/>
      <c r="G2358" s="70"/>
      <c r="H2358" s="70"/>
      <c r="I2358" s="70"/>
      <c r="J2358" s="70"/>
      <c r="K2358" s="70"/>
      <c r="L2358" s="67"/>
      <c r="M2358" s="67"/>
      <c r="N2358" s="72"/>
      <c r="O2358" s="72"/>
      <c r="P2358" s="67"/>
      <c r="Q2358" s="67"/>
      <c r="R2358" s="67"/>
      <c r="S2358" s="67"/>
      <c r="T2358" s="32"/>
      <c r="U2358" s="32"/>
      <c r="X2358" s="32"/>
      <c r="Y2358" s="32"/>
      <c r="Z2358" s="32"/>
      <c r="AA2358" s="32"/>
      <c r="AB2358" s="32"/>
    </row>
    <row r="2359" spans="2:28" ht="23.25" customHeight="1" x14ac:dyDescent="0.2">
      <c r="B2359" s="75"/>
      <c r="C2359" s="67"/>
      <c r="D2359" s="75"/>
      <c r="E2359" s="67"/>
      <c r="F2359" s="67"/>
      <c r="G2359" s="70"/>
      <c r="H2359" s="70"/>
      <c r="I2359" s="70"/>
      <c r="J2359" s="70"/>
      <c r="K2359" s="70"/>
      <c r="L2359" s="67"/>
      <c r="M2359" s="67"/>
      <c r="N2359" s="72"/>
      <c r="O2359" s="72"/>
      <c r="P2359" s="67"/>
      <c r="Q2359" s="67"/>
      <c r="R2359" s="67"/>
      <c r="S2359" s="67"/>
      <c r="T2359" s="32"/>
      <c r="U2359" s="32"/>
      <c r="X2359" s="32"/>
      <c r="Y2359" s="32"/>
      <c r="Z2359" s="32"/>
      <c r="AA2359" s="32"/>
      <c r="AB2359" s="32"/>
    </row>
    <row r="2360" spans="2:28" ht="23.25" customHeight="1" x14ac:dyDescent="0.2">
      <c r="B2360" s="75"/>
      <c r="C2360" s="67"/>
      <c r="D2360" s="75"/>
      <c r="E2360" s="67"/>
      <c r="F2360" s="67"/>
      <c r="G2360" s="70"/>
      <c r="H2360" s="70"/>
      <c r="I2360" s="70"/>
      <c r="J2360" s="70"/>
      <c r="K2360" s="70"/>
      <c r="L2360" s="67"/>
      <c r="M2360" s="67"/>
      <c r="N2360" s="72"/>
      <c r="O2360" s="72"/>
      <c r="P2360" s="67"/>
      <c r="Q2360" s="67"/>
      <c r="R2360" s="67"/>
      <c r="S2360" s="67"/>
      <c r="T2360" s="32"/>
      <c r="U2360" s="32"/>
      <c r="X2360" s="32"/>
      <c r="Y2360" s="32"/>
      <c r="Z2360" s="32"/>
      <c r="AA2360" s="32"/>
      <c r="AB2360" s="32"/>
    </row>
    <row r="2361" spans="2:28" ht="23.25" customHeight="1" x14ac:dyDescent="0.2">
      <c r="B2361" s="75"/>
      <c r="C2361" s="67"/>
      <c r="D2361" s="75"/>
      <c r="E2361" s="67"/>
      <c r="F2361" s="67"/>
      <c r="G2361" s="70"/>
      <c r="H2361" s="70"/>
      <c r="I2361" s="70"/>
      <c r="J2361" s="70"/>
      <c r="K2361" s="70"/>
      <c r="L2361" s="67"/>
      <c r="M2361" s="67"/>
      <c r="N2361" s="72"/>
      <c r="O2361" s="72"/>
      <c r="P2361" s="67"/>
      <c r="Q2361" s="67"/>
      <c r="R2361" s="67"/>
      <c r="S2361" s="67"/>
      <c r="T2361" s="32"/>
      <c r="U2361" s="32"/>
      <c r="X2361" s="32"/>
      <c r="Y2361" s="32"/>
      <c r="Z2361" s="32"/>
      <c r="AA2361" s="32"/>
      <c r="AB2361" s="32"/>
    </row>
    <row r="2362" spans="2:28" ht="23.25" customHeight="1" x14ac:dyDescent="0.2">
      <c r="B2362" s="75"/>
      <c r="C2362" s="67"/>
      <c r="D2362" s="75"/>
      <c r="E2362" s="67"/>
      <c r="F2362" s="67"/>
      <c r="G2362" s="70"/>
      <c r="H2362" s="70"/>
      <c r="I2362" s="70"/>
      <c r="J2362" s="70"/>
      <c r="K2362" s="70"/>
      <c r="L2362" s="67"/>
      <c r="M2362" s="67"/>
      <c r="N2362" s="72"/>
      <c r="O2362" s="72"/>
      <c r="P2362" s="67"/>
      <c r="Q2362" s="67"/>
      <c r="R2362" s="67"/>
      <c r="S2362" s="67"/>
      <c r="T2362" s="32"/>
      <c r="U2362" s="32"/>
      <c r="X2362" s="32"/>
      <c r="Y2362" s="32"/>
      <c r="Z2362" s="32"/>
      <c r="AA2362" s="32"/>
      <c r="AB2362" s="32"/>
    </row>
    <row r="2363" spans="2:28" ht="23.25" customHeight="1" x14ac:dyDescent="0.2">
      <c r="B2363" s="75"/>
      <c r="C2363" s="67"/>
      <c r="D2363" s="75"/>
      <c r="E2363" s="67"/>
      <c r="F2363" s="67"/>
      <c r="G2363" s="70"/>
      <c r="H2363" s="70"/>
      <c r="I2363" s="70"/>
      <c r="J2363" s="70"/>
      <c r="K2363" s="70"/>
      <c r="L2363" s="67"/>
      <c r="M2363" s="67"/>
      <c r="N2363" s="72"/>
      <c r="O2363" s="72"/>
      <c r="P2363" s="67"/>
      <c r="Q2363" s="67"/>
      <c r="R2363" s="67"/>
      <c r="S2363" s="67"/>
      <c r="T2363" s="32"/>
      <c r="U2363" s="32"/>
      <c r="X2363" s="32"/>
      <c r="Y2363" s="32"/>
      <c r="Z2363" s="32"/>
      <c r="AA2363" s="32"/>
      <c r="AB2363" s="32"/>
    </row>
    <row r="2364" spans="2:28" ht="23.25" customHeight="1" x14ac:dyDescent="0.2">
      <c r="B2364" s="75"/>
      <c r="C2364" s="67"/>
      <c r="D2364" s="75"/>
      <c r="E2364" s="67"/>
      <c r="F2364" s="67"/>
      <c r="G2364" s="70"/>
      <c r="H2364" s="70"/>
      <c r="I2364" s="70"/>
      <c r="J2364" s="70"/>
      <c r="K2364" s="70"/>
      <c r="L2364" s="67"/>
      <c r="M2364" s="67"/>
      <c r="N2364" s="72"/>
      <c r="O2364" s="72"/>
      <c r="P2364" s="67"/>
      <c r="Q2364" s="67"/>
      <c r="R2364" s="67"/>
      <c r="S2364" s="67"/>
      <c r="T2364" s="32"/>
      <c r="U2364" s="32"/>
      <c r="X2364" s="32"/>
      <c r="Y2364" s="32"/>
      <c r="Z2364" s="32"/>
      <c r="AA2364" s="32"/>
      <c r="AB2364" s="32"/>
    </row>
    <row r="2365" spans="2:28" ht="23.25" customHeight="1" x14ac:dyDescent="0.2">
      <c r="B2365" s="75"/>
      <c r="C2365" s="67"/>
      <c r="D2365" s="75"/>
      <c r="E2365" s="67"/>
      <c r="F2365" s="67"/>
      <c r="G2365" s="70"/>
      <c r="H2365" s="70"/>
      <c r="I2365" s="70"/>
      <c r="J2365" s="70"/>
      <c r="K2365" s="70"/>
      <c r="L2365" s="67"/>
      <c r="M2365" s="67"/>
      <c r="N2365" s="72"/>
      <c r="O2365" s="72"/>
      <c r="P2365" s="67"/>
      <c r="Q2365" s="67"/>
      <c r="R2365" s="67"/>
      <c r="S2365" s="67"/>
      <c r="T2365" s="32"/>
      <c r="U2365" s="32"/>
      <c r="X2365" s="32"/>
      <c r="Y2365" s="32"/>
      <c r="Z2365" s="32"/>
      <c r="AA2365" s="32"/>
      <c r="AB2365" s="32"/>
    </row>
    <row r="2366" spans="2:28" ht="23.25" customHeight="1" x14ac:dyDescent="0.2">
      <c r="B2366" s="75"/>
      <c r="C2366" s="67"/>
      <c r="D2366" s="75"/>
      <c r="E2366" s="67"/>
      <c r="F2366" s="67"/>
      <c r="G2366" s="70"/>
      <c r="H2366" s="70"/>
      <c r="I2366" s="70"/>
      <c r="J2366" s="70"/>
      <c r="K2366" s="70"/>
      <c r="L2366" s="67"/>
      <c r="M2366" s="67"/>
      <c r="N2366" s="72"/>
      <c r="O2366" s="72"/>
      <c r="P2366" s="67"/>
      <c r="Q2366" s="67"/>
      <c r="R2366" s="67"/>
      <c r="S2366" s="67"/>
      <c r="T2366" s="32"/>
      <c r="U2366" s="32"/>
      <c r="X2366" s="32"/>
      <c r="Y2366" s="32"/>
      <c r="Z2366" s="32"/>
      <c r="AA2366" s="32"/>
      <c r="AB2366" s="32"/>
    </row>
    <row r="2367" spans="2:28" ht="23.25" customHeight="1" x14ac:dyDescent="0.2">
      <c r="B2367" s="75"/>
      <c r="C2367" s="67"/>
      <c r="D2367" s="75"/>
      <c r="E2367" s="67"/>
      <c r="F2367" s="67"/>
      <c r="G2367" s="70"/>
      <c r="H2367" s="70"/>
      <c r="I2367" s="70"/>
      <c r="J2367" s="70"/>
      <c r="K2367" s="70"/>
      <c r="L2367" s="67"/>
      <c r="M2367" s="67"/>
      <c r="N2367" s="72"/>
      <c r="O2367" s="72"/>
      <c r="P2367" s="67"/>
      <c r="Q2367" s="67"/>
      <c r="R2367" s="67"/>
      <c r="S2367" s="67"/>
      <c r="T2367" s="32"/>
      <c r="U2367" s="32"/>
      <c r="X2367" s="32"/>
      <c r="Y2367" s="32"/>
      <c r="Z2367" s="32"/>
      <c r="AA2367" s="32"/>
      <c r="AB2367" s="32"/>
    </row>
    <row r="2368" spans="2:28" ht="23.25" customHeight="1" x14ac:dyDescent="0.2">
      <c r="B2368" s="75"/>
      <c r="C2368" s="67"/>
      <c r="D2368" s="75"/>
      <c r="E2368" s="67"/>
      <c r="F2368" s="67"/>
      <c r="G2368" s="70"/>
      <c r="H2368" s="70"/>
      <c r="I2368" s="70"/>
      <c r="J2368" s="70"/>
      <c r="K2368" s="70"/>
      <c r="L2368" s="67"/>
      <c r="M2368" s="67"/>
      <c r="N2368" s="72"/>
      <c r="O2368" s="72"/>
      <c r="P2368" s="67"/>
      <c r="Q2368" s="67"/>
      <c r="R2368" s="67"/>
      <c r="S2368" s="67"/>
      <c r="T2368" s="32"/>
      <c r="U2368" s="32"/>
      <c r="X2368" s="32"/>
      <c r="Y2368" s="32"/>
      <c r="Z2368" s="32"/>
      <c r="AA2368" s="32"/>
      <c r="AB2368" s="32"/>
    </row>
    <row r="2369" spans="2:28" ht="23.25" customHeight="1" x14ac:dyDescent="0.2">
      <c r="B2369" s="75"/>
      <c r="C2369" s="67"/>
      <c r="D2369" s="75"/>
      <c r="E2369" s="67"/>
      <c r="F2369" s="67"/>
      <c r="G2369" s="70"/>
      <c r="H2369" s="70"/>
      <c r="I2369" s="70"/>
      <c r="J2369" s="70"/>
      <c r="K2369" s="70"/>
      <c r="L2369" s="67"/>
      <c r="M2369" s="67"/>
      <c r="N2369" s="72"/>
      <c r="O2369" s="72"/>
      <c r="P2369" s="67"/>
      <c r="Q2369" s="67"/>
      <c r="R2369" s="67"/>
      <c r="S2369" s="67"/>
      <c r="T2369" s="32"/>
      <c r="U2369" s="32"/>
      <c r="X2369" s="32"/>
      <c r="Y2369" s="32"/>
      <c r="Z2369" s="32"/>
      <c r="AA2369" s="32"/>
      <c r="AB2369" s="32"/>
    </row>
    <row r="2370" spans="2:28" ht="23.25" customHeight="1" x14ac:dyDescent="0.2">
      <c r="B2370" s="75"/>
      <c r="C2370" s="67"/>
      <c r="D2370" s="75"/>
      <c r="E2370" s="67"/>
      <c r="F2370" s="67"/>
      <c r="G2370" s="70"/>
      <c r="H2370" s="70"/>
      <c r="I2370" s="70"/>
      <c r="J2370" s="70"/>
      <c r="K2370" s="70"/>
      <c r="L2370" s="67"/>
      <c r="M2370" s="67"/>
      <c r="N2370" s="72"/>
      <c r="O2370" s="72"/>
      <c r="P2370" s="67"/>
      <c r="Q2370" s="67"/>
      <c r="R2370" s="67"/>
      <c r="S2370" s="67"/>
      <c r="T2370" s="32"/>
      <c r="U2370" s="32"/>
      <c r="X2370" s="32"/>
      <c r="Y2370" s="32"/>
      <c r="Z2370" s="32"/>
      <c r="AA2370" s="32"/>
      <c r="AB2370" s="32"/>
    </row>
    <row r="2371" spans="2:28" ht="23.25" customHeight="1" x14ac:dyDescent="0.2">
      <c r="B2371" s="75"/>
      <c r="C2371" s="67"/>
      <c r="D2371" s="75"/>
      <c r="E2371" s="67"/>
      <c r="F2371" s="67"/>
      <c r="G2371" s="70"/>
      <c r="H2371" s="70"/>
      <c r="I2371" s="70"/>
      <c r="J2371" s="70"/>
      <c r="K2371" s="70"/>
      <c r="L2371" s="67"/>
      <c r="M2371" s="67"/>
      <c r="N2371" s="72"/>
      <c r="O2371" s="72"/>
      <c r="P2371" s="67"/>
      <c r="Q2371" s="67"/>
      <c r="R2371" s="67"/>
      <c r="S2371" s="67"/>
      <c r="T2371" s="32"/>
      <c r="U2371" s="32"/>
      <c r="X2371" s="32"/>
      <c r="Y2371" s="32"/>
      <c r="Z2371" s="32"/>
      <c r="AA2371" s="32"/>
      <c r="AB2371" s="32"/>
    </row>
    <row r="2372" spans="2:28" ht="23.25" customHeight="1" x14ac:dyDescent="0.2">
      <c r="B2372" s="75"/>
      <c r="C2372" s="67"/>
      <c r="D2372" s="75"/>
      <c r="E2372" s="67"/>
      <c r="F2372" s="67"/>
      <c r="G2372" s="70"/>
      <c r="H2372" s="70"/>
      <c r="I2372" s="70"/>
      <c r="J2372" s="70"/>
      <c r="K2372" s="70"/>
      <c r="L2372" s="67"/>
      <c r="M2372" s="67"/>
      <c r="N2372" s="72"/>
      <c r="O2372" s="72"/>
      <c r="P2372" s="67"/>
      <c r="Q2372" s="67"/>
      <c r="R2372" s="67"/>
      <c r="S2372" s="67"/>
      <c r="T2372" s="32"/>
      <c r="U2372" s="32"/>
      <c r="X2372" s="32"/>
      <c r="Y2372" s="32"/>
      <c r="Z2372" s="32"/>
      <c r="AA2372" s="32"/>
      <c r="AB2372" s="32"/>
    </row>
    <row r="2373" spans="2:28" ht="23.25" customHeight="1" x14ac:dyDescent="0.2">
      <c r="B2373" s="75"/>
      <c r="C2373" s="67"/>
      <c r="D2373" s="75"/>
      <c r="E2373" s="67"/>
      <c r="F2373" s="67"/>
      <c r="G2373" s="70"/>
      <c r="H2373" s="70"/>
      <c r="I2373" s="70"/>
      <c r="J2373" s="70"/>
      <c r="K2373" s="70"/>
      <c r="L2373" s="67"/>
      <c r="M2373" s="67"/>
      <c r="N2373" s="72"/>
      <c r="O2373" s="72"/>
      <c r="P2373" s="67"/>
      <c r="Q2373" s="67"/>
      <c r="R2373" s="67"/>
      <c r="S2373" s="67"/>
      <c r="T2373" s="32"/>
      <c r="U2373" s="32"/>
      <c r="X2373" s="32"/>
      <c r="Y2373" s="32"/>
      <c r="Z2373" s="32"/>
      <c r="AA2373" s="32"/>
      <c r="AB2373" s="32"/>
    </row>
    <row r="2374" spans="2:28" ht="23.25" customHeight="1" x14ac:dyDescent="0.2">
      <c r="B2374" s="75"/>
      <c r="C2374" s="67"/>
      <c r="D2374" s="75"/>
      <c r="E2374" s="67"/>
      <c r="F2374" s="67"/>
      <c r="G2374" s="70"/>
      <c r="H2374" s="70"/>
      <c r="I2374" s="70"/>
      <c r="J2374" s="70"/>
      <c r="K2374" s="70"/>
      <c r="L2374" s="67"/>
      <c r="M2374" s="67"/>
      <c r="N2374" s="72"/>
      <c r="O2374" s="72"/>
      <c r="P2374" s="67"/>
      <c r="Q2374" s="67"/>
      <c r="R2374" s="67"/>
      <c r="S2374" s="67"/>
      <c r="T2374" s="32"/>
      <c r="U2374" s="32"/>
      <c r="X2374" s="32"/>
      <c r="Y2374" s="32"/>
      <c r="Z2374" s="32"/>
      <c r="AA2374" s="32"/>
      <c r="AB2374" s="32"/>
    </row>
    <row r="2375" spans="2:28" ht="23.25" customHeight="1" x14ac:dyDescent="0.2">
      <c r="B2375" s="75"/>
      <c r="C2375" s="67"/>
      <c r="D2375" s="75"/>
      <c r="E2375" s="67"/>
      <c r="F2375" s="67"/>
      <c r="G2375" s="70"/>
      <c r="H2375" s="70"/>
      <c r="I2375" s="70"/>
      <c r="J2375" s="70"/>
      <c r="K2375" s="70"/>
      <c r="L2375" s="67"/>
      <c r="M2375" s="67"/>
      <c r="N2375" s="72"/>
      <c r="O2375" s="72"/>
      <c r="P2375" s="67"/>
      <c r="Q2375" s="67"/>
      <c r="R2375" s="67"/>
      <c r="S2375" s="67"/>
      <c r="T2375" s="32"/>
      <c r="U2375" s="32"/>
      <c r="X2375" s="32"/>
      <c r="Y2375" s="32"/>
      <c r="Z2375" s="32"/>
      <c r="AA2375" s="32"/>
      <c r="AB2375" s="32"/>
    </row>
    <row r="2376" spans="2:28" ht="23.25" customHeight="1" x14ac:dyDescent="0.2">
      <c r="B2376" s="75"/>
      <c r="C2376" s="67"/>
      <c r="D2376" s="75"/>
      <c r="E2376" s="67"/>
      <c r="F2376" s="67"/>
      <c r="G2376" s="70"/>
      <c r="H2376" s="70"/>
      <c r="I2376" s="70"/>
      <c r="J2376" s="70"/>
      <c r="K2376" s="70"/>
      <c r="L2376" s="67"/>
      <c r="M2376" s="67"/>
      <c r="N2376" s="72"/>
      <c r="O2376" s="72"/>
      <c r="P2376" s="67"/>
      <c r="Q2376" s="67"/>
      <c r="R2376" s="67"/>
      <c r="S2376" s="67"/>
      <c r="T2376" s="32"/>
      <c r="U2376" s="32"/>
      <c r="X2376" s="32"/>
      <c r="Y2376" s="32"/>
      <c r="Z2376" s="32"/>
      <c r="AA2376" s="32"/>
      <c r="AB2376" s="32"/>
    </row>
    <row r="2377" spans="2:28" ht="23.25" customHeight="1" x14ac:dyDescent="0.2">
      <c r="B2377" s="75"/>
      <c r="C2377" s="67"/>
      <c r="D2377" s="75"/>
      <c r="E2377" s="67"/>
      <c r="F2377" s="67"/>
      <c r="G2377" s="70"/>
      <c r="H2377" s="70"/>
      <c r="I2377" s="70"/>
      <c r="J2377" s="70"/>
      <c r="K2377" s="70"/>
      <c r="L2377" s="67"/>
      <c r="M2377" s="67"/>
      <c r="N2377" s="72"/>
      <c r="O2377" s="72"/>
      <c r="P2377" s="67"/>
      <c r="Q2377" s="67"/>
      <c r="R2377" s="67"/>
      <c r="S2377" s="67"/>
      <c r="T2377" s="32"/>
      <c r="U2377" s="32"/>
      <c r="X2377" s="32"/>
      <c r="Y2377" s="32"/>
      <c r="Z2377" s="32"/>
      <c r="AA2377" s="32"/>
      <c r="AB2377" s="32"/>
    </row>
    <row r="2378" spans="2:28" ht="23.25" customHeight="1" x14ac:dyDescent="0.2">
      <c r="B2378" s="75"/>
      <c r="C2378" s="67"/>
      <c r="D2378" s="75"/>
      <c r="E2378" s="67"/>
      <c r="F2378" s="67"/>
      <c r="G2378" s="70"/>
      <c r="H2378" s="70"/>
      <c r="I2378" s="70"/>
      <c r="J2378" s="70"/>
      <c r="K2378" s="70"/>
      <c r="L2378" s="67"/>
      <c r="M2378" s="67"/>
      <c r="N2378" s="72"/>
      <c r="O2378" s="72"/>
      <c r="P2378" s="67"/>
      <c r="Q2378" s="67"/>
      <c r="R2378" s="67"/>
      <c r="S2378" s="67"/>
      <c r="T2378" s="32"/>
      <c r="U2378" s="32"/>
      <c r="X2378" s="32"/>
      <c r="Y2378" s="32"/>
      <c r="Z2378" s="32"/>
      <c r="AA2378" s="32"/>
      <c r="AB2378" s="32"/>
    </row>
    <row r="2379" spans="2:28" ht="23.25" customHeight="1" x14ac:dyDescent="0.2">
      <c r="B2379" s="75"/>
      <c r="C2379" s="67"/>
      <c r="D2379" s="75"/>
      <c r="E2379" s="67"/>
      <c r="F2379" s="67"/>
      <c r="G2379" s="70"/>
      <c r="H2379" s="70"/>
      <c r="I2379" s="70"/>
      <c r="J2379" s="70"/>
      <c r="K2379" s="70"/>
      <c r="L2379" s="67"/>
      <c r="M2379" s="67"/>
      <c r="N2379" s="72"/>
      <c r="O2379" s="72"/>
      <c r="P2379" s="67"/>
      <c r="Q2379" s="67"/>
      <c r="R2379" s="67"/>
      <c r="S2379" s="67"/>
      <c r="T2379" s="32"/>
      <c r="U2379" s="32"/>
      <c r="X2379" s="32"/>
      <c r="Y2379" s="32"/>
      <c r="Z2379" s="32"/>
      <c r="AA2379" s="32"/>
      <c r="AB2379" s="32"/>
    </row>
    <row r="2380" spans="2:28" ht="23.25" customHeight="1" x14ac:dyDescent="0.2">
      <c r="B2380" s="75"/>
      <c r="C2380" s="67"/>
      <c r="D2380" s="75"/>
      <c r="E2380" s="67"/>
      <c r="F2380" s="67"/>
      <c r="G2380" s="70"/>
      <c r="H2380" s="70"/>
      <c r="I2380" s="70"/>
      <c r="J2380" s="70"/>
      <c r="K2380" s="70"/>
      <c r="L2380" s="67"/>
      <c r="M2380" s="67"/>
      <c r="N2380" s="72"/>
      <c r="O2380" s="72"/>
      <c r="P2380" s="67"/>
      <c r="Q2380" s="67"/>
      <c r="R2380" s="67"/>
      <c r="S2380" s="67"/>
      <c r="T2380" s="32"/>
      <c r="U2380" s="32"/>
      <c r="X2380" s="32"/>
      <c r="Y2380" s="32"/>
      <c r="Z2380" s="32"/>
      <c r="AA2380" s="32"/>
      <c r="AB2380" s="32"/>
    </row>
    <row r="2381" spans="2:28" ht="23.25" customHeight="1" x14ac:dyDescent="0.2">
      <c r="B2381" s="75"/>
      <c r="C2381" s="67"/>
      <c r="D2381" s="75"/>
      <c r="E2381" s="67"/>
      <c r="F2381" s="67"/>
      <c r="G2381" s="70"/>
      <c r="H2381" s="70"/>
      <c r="I2381" s="70"/>
      <c r="J2381" s="70"/>
      <c r="K2381" s="70"/>
      <c r="L2381" s="67"/>
      <c r="M2381" s="67"/>
      <c r="N2381" s="72"/>
      <c r="O2381" s="72"/>
      <c r="P2381" s="67"/>
      <c r="Q2381" s="67"/>
      <c r="R2381" s="67"/>
      <c r="S2381" s="67"/>
      <c r="T2381" s="32"/>
      <c r="U2381" s="32"/>
      <c r="X2381" s="32"/>
      <c r="Y2381" s="32"/>
      <c r="Z2381" s="32"/>
      <c r="AA2381" s="32"/>
      <c r="AB2381" s="32"/>
    </row>
    <row r="2382" spans="2:28" ht="23.25" customHeight="1" x14ac:dyDescent="0.2">
      <c r="B2382" s="75"/>
      <c r="C2382" s="67"/>
      <c r="D2382" s="75"/>
      <c r="E2382" s="67"/>
      <c r="F2382" s="67"/>
      <c r="G2382" s="70"/>
      <c r="H2382" s="70"/>
      <c r="I2382" s="70"/>
      <c r="J2382" s="70"/>
      <c r="K2382" s="70"/>
      <c r="L2382" s="67"/>
      <c r="M2382" s="67"/>
      <c r="N2382" s="72"/>
      <c r="O2382" s="72"/>
      <c r="P2382" s="67"/>
      <c r="Q2382" s="67"/>
      <c r="R2382" s="67"/>
      <c r="S2382" s="67"/>
      <c r="T2382" s="32"/>
      <c r="U2382" s="32"/>
      <c r="X2382" s="32"/>
      <c r="Y2382" s="32"/>
      <c r="Z2382" s="32"/>
      <c r="AA2382" s="32"/>
      <c r="AB2382" s="32"/>
    </row>
    <row r="2383" spans="2:28" ht="23.25" customHeight="1" x14ac:dyDescent="0.2">
      <c r="B2383" s="75"/>
      <c r="C2383" s="67"/>
      <c r="D2383" s="75"/>
      <c r="E2383" s="67"/>
      <c r="F2383" s="67"/>
      <c r="G2383" s="70"/>
      <c r="H2383" s="70"/>
      <c r="I2383" s="70"/>
      <c r="J2383" s="70"/>
      <c r="K2383" s="70"/>
      <c r="L2383" s="67"/>
      <c r="M2383" s="67"/>
      <c r="N2383" s="72"/>
      <c r="O2383" s="72"/>
      <c r="P2383" s="67"/>
      <c r="Q2383" s="67"/>
      <c r="R2383" s="67"/>
      <c r="S2383" s="67"/>
      <c r="T2383" s="32"/>
      <c r="U2383" s="32"/>
      <c r="X2383" s="32"/>
      <c r="Y2383" s="32"/>
      <c r="Z2383" s="32"/>
      <c r="AA2383" s="32"/>
      <c r="AB2383" s="32"/>
    </row>
    <row r="2384" spans="2:28" ht="23.25" customHeight="1" x14ac:dyDescent="0.2">
      <c r="B2384" s="75"/>
      <c r="C2384" s="67"/>
      <c r="D2384" s="75"/>
      <c r="E2384" s="67"/>
      <c r="F2384" s="67"/>
      <c r="G2384" s="70"/>
      <c r="H2384" s="70"/>
      <c r="I2384" s="70"/>
      <c r="J2384" s="70"/>
      <c r="K2384" s="70"/>
      <c r="L2384" s="67"/>
      <c r="M2384" s="67"/>
      <c r="N2384" s="72"/>
      <c r="O2384" s="72"/>
      <c r="P2384" s="67"/>
      <c r="Q2384" s="67"/>
      <c r="R2384" s="67"/>
      <c r="S2384" s="67"/>
      <c r="T2384" s="32"/>
      <c r="U2384" s="32"/>
      <c r="X2384" s="32"/>
      <c r="Y2384" s="32"/>
      <c r="Z2384" s="32"/>
      <c r="AA2384" s="32"/>
      <c r="AB2384" s="32"/>
    </row>
    <row r="2385" spans="2:28" ht="23.25" customHeight="1" x14ac:dyDescent="0.2">
      <c r="B2385" s="75"/>
      <c r="C2385" s="67"/>
      <c r="D2385" s="75"/>
      <c r="E2385" s="67"/>
      <c r="F2385" s="67"/>
      <c r="G2385" s="70"/>
      <c r="H2385" s="70"/>
      <c r="I2385" s="70"/>
      <c r="J2385" s="70"/>
      <c r="K2385" s="70"/>
      <c r="L2385" s="67"/>
      <c r="M2385" s="67"/>
      <c r="N2385" s="72"/>
      <c r="O2385" s="72"/>
      <c r="P2385" s="67"/>
      <c r="Q2385" s="67"/>
      <c r="R2385" s="67"/>
      <c r="S2385" s="67"/>
      <c r="T2385" s="32"/>
      <c r="U2385" s="32"/>
      <c r="X2385" s="32"/>
      <c r="Y2385" s="32"/>
      <c r="Z2385" s="32"/>
      <c r="AA2385" s="32"/>
      <c r="AB2385" s="32"/>
    </row>
    <row r="2386" spans="2:28" ht="23.25" customHeight="1" x14ac:dyDescent="0.2">
      <c r="B2386" s="75"/>
      <c r="C2386" s="67"/>
      <c r="D2386" s="75"/>
      <c r="E2386" s="67"/>
      <c r="F2386" s="67"/>
      <c r="G2386" s="70"/>
      <c r="H2386" s="70"/>
      <c r="I2386" s="70"/>
      <c r="J2386" s="70"/>
      <c r="K2386" s="70"/>
      <c r="L2386" s="67"/>
      <c r="M2386" s="67"/>
      <c r="N2386" s="72"/>
      <c r="O2386" s="72"/>
      <c r="P2386" s="67"/>
      <c r="Q2386" s="67"/>
      <c r="R2386" s="67"/>
      <c r="S2386" s="67"/>
      <c r="T2386" s="32"/>
      <c r="U2386" s="32"/>
      <c r="X2386" s="32"/>
      <c r="Y2386" s="32"/>
      <c r="Z2386" s="32"/>
      <c r="AA2386" s="32"/>
      <c r="AB2386" s="32"/>
    </row>
    <row r="2387" spans="2:28" ht="23.25" customHeight="1" x14ac:dyDescent="0.2">
      <c r="B2387" s="75"/>
      <c r="C2387" s="67"/>
      <c r="D2387" s="75"/>
      <c r="E2387" s="67"/>
      <c r="F2387" s="67"/>
      <c r="G2387" s="70"/>
      <c r="H2387" s="70"/>
      <c r="I2387" s="70"/>
      <c r="J2387" s="70"/>
      <c r="K2387" s="70"/>
      <c r="L2387" s="67"/>
      <c r="M2387" s="67"/>
      <c r="N2387" s="72"/>
      <c r="O2387" s="72"/>
      <c r="P2387" s="67"/>
      <c r="Q2387" s="67"/>
      <c r="R2387" s="67"/>
      <c r="S2387" s="67"/>
      <c r="T2387" s="32"/>
      <c r="U2387" s="32"/>
      <c r="X2387" s="32"/>
      <c r="Y2387" s="32"/>
      <c r="Z2387" s="32"/>
      <c r="AA2387" s="32"/>
      <c r="AB2387" s="32"/>
    </row>
    <row r="2388" spans="2:28" ht="23.25" customHeight="1" x14ac:dyDescent="0.2">
      <c r="B2388" s="75"/>
      <c r="C2388" s="67"/>
      <c r="D2388" s="75"/>
      <c r="E2388" s="67"/>
      <c r="F2388" s="67"/>
      <c r="G2388" s="70"/>
      <c r="H2388" s="70"/>
      <c r="I2388" s="70"/>
      <c r="J2388" s="70"/>
      <c r="K2388" s="70"/>
      <c r="L2388" s="67"/>
      <c r="M2388" s="67"/>
      <c r="N2388" s="72"/>
      <c r="O2388" s="72"/>
      <c r="P2388" s="67"/>
      <c r="Q2388" s="67"/>
      <c r="R2388" s="67"/>
      <c r="S2388" s="67"/>
      <c r="T2388" s="32"/>
      <c r="U2388" s="32"/>
      <c r="X2388" s="32"/>
      <c r="Y2388" s="32"/>
      <c r="Z2388" s="32"/>
      <c r="AA2388" s="32"/>
      <c r="AB2388" s="32"/>
    </row>
    <row r="2389" spans="2:28" ht="23.25" customHeight="1" x14ac:dyDescent="0.2">
      <c r="B2389" s="75"/>
      <c r="C2389" s="67"/>
      <c r="D2389" s="75"/>
      <c r="E2389" s="67"/>
      <c r="F2389" s="67"/>
      <c r="G2389" s="70"/>
      <c r="H2389" s="70"/>
      <c r="I2389" s="70"/>
      <c r="J2389" s="70"/>
      <c r="K2389" s="70"/>
      <c r="L2389" s="67"/>
      <c r="M2389" s="67"/>
      <c r="N2389" s="72"/>
      <c r="O2389" s="72"/>
      <c r="P2389" s="67"/>
      <c r="Q2389" s="67"/>
      <c r="R2389" s="67"/>
      <c r="S2389" s="67"/>
      <c r="T2389" s="32"/>
      <c r="U2389" s="32"/>
      <c r="X2389" s="32"/>
      <c r="Y2389" s="32"/>
      <c r="Z2389" s="32"/>
      <c r="AA2389" s="32"/>
      <c r="AB2389" s="32"/>
    </row>
    <row r="2390" spans="2:28" ht="23.25" customHeight="1" x14ac:dyDescent="0.2">
      <c r="B2390" s="75"/>
      <c r="C2390" s="67"/>
      <c r="D2390" s="75"/>
      <c r="E2390" s="67"/>
      <c r="F2390" s="67"/>
      <c r="G2390" s="70"/>
      <c r="H2390" s="70"/>
      <c r="I2390" s="70"/>
      <c r="J2390" s="70"/>
      <c r="K2390" s="70"/>
      <c r="L2390" s="67"/>
      <c r="M2390" s="67"/>
      <c r="N2390" s="72"/>
      <c r="O2390" s="72"/>
      <c r="P2390" s="67"/>
      <c r="Q2390" s="67"/>
      <c r="R2390" s="67"/>
      <c r="S2390" s="67"/>
      <c r="T2390" s="32"/>
      <c r="U2390" s="32"/>
      <c r="X2390" s="32"/>
      <c r="Y2390" s="32"/>
      <c r="Z2390" s="32"/>
      <c r="AA2390" s="32"/>
      <c r="AB2390" s="32"/>
    </row>
    <row r="2391" spans="2:28" ht="23.25" customHeight="1" x14ac:dyDescent="0.2">
      <c r="B2391" s="75"/>
      <c r="C2391" s="67"/>
      <c r="D2391" s="75"/>
      <c r="E2391" s="67"/>
      <c r="F2391" s="67"/>
      <c r="G2391" s="70"/>
      <c r="H2391" s="70"/>
      <c r="I2391" s="70"/>
      <c r="J2391" s="70"/>
      <c r="K2391" s="70"/>
      <c r="L2391" s="67"/>
      <c r="M2391" s="67"/>
      <c r="N2391" s="72"/>
      <c r="O2391" s="72"/>
      <c r="P2391" s="67"/>
      <c r="Q2391" s="67"/>
      <c r="R2391" s="67"/>
      <c r="S2391" s="67"/>
      <c r="T2391" s="32"/>
      <c r="U2391" s="32"/>
      <c r="X2391" s="32"/>
      <c r="Y2391" s="32"/>
      <c r="Z2391" s="32"/>
      <c r="AA2391" s="32"/>
      <c r="AB2391" s="32"/>
    </row>
    <row r="2392" spans="2:28" ht="23.25" customHeight="1" x14ac:dyDescent="0.2">
      <c r="B2392" s="75"/>
      <c r="C2392" s="67"/>
      <c r="D2392" s="75"/>
      <c r="E2392" s="67"/>
      <c r="F2392" s="67"/>
      <c r="G2392" s="70"/>
      <c r="H2392" s="70"/>
      <c r="I2392" s="70"/>
      <c r="J2392" s="70"/>
      <c r="K2392" s="70"/>
      <c r="L2392" s="67"/>
      <c r="M2392" s="67"/>
      <c r="N2392" s="72"/>
      <c r="O2392" s="72"/>
      <c r="P2392" s="67"/>
      <c r="Q2392" s="67"/>
      <c r="R2392" s="67"/>
      <c r="S2392" s="67"/>
      <c r="T2392" s="32"/>
      <c r="U2392" s="32"/>
      <c r="X2392" s="32"/>
      <c r="Y2392" s="32"/>
      <c r="Z2392" s="32"/>
      <c r="AA2392" s="32"/>
      <c r="AB2392" s="32"/>
    </row>
    <row r="2393" spans="2:28" ht="23.25" customHeight="1" x14ac:dyDescent="0.2">
      <c r="B2393" s="75"/>
      <c r="C2393" s="67"/>
      <c r="D2393" s="75"/>
      <c r="E2393" s="67"/>
      <c r="F2393" s="67"/>
      <c r="G2393" s="70"/>
      <c r="H2393" s="70"/>
      <c r="I2393" s="70"/>
      <c r="J2393" s="70"/>
      <c r="K2393" s="70"/>
      <c r="L2393" s="67"/>
      <c r="M2393" s="67"/>
      <c r="N2393" s="72"/>
      <c r="O2393" s="72"/>
      <c r="P2393" s="67"/>
      <c r="Q2393" s="67"/>
      <c r="R2393" s="67"/>
      <c r="S2393" s="67"/>
      <c r="T2393" s="32"/>
      <c r="U2393" s="32"/>
      <c r="X2393" s="32"/>
      <c r="Y2393" s="32"/>
      <c r="Z2393" s="32"/>
      <c r="AA2393" s="32"/>
      <c r="AB2393" s="32"/>
    </row>
    <row r="2394" spans="2:28" ht="23.25" customHeight="1" x14ac:dyDescent="0.2">
      <c r="B2394" s="75"/>
      <c r="C2394" s="67"/>
      <c r="D2394" s="75"/>
      <c r="E2394" s="67"/>
      <c r="F2394" s="67"/>
      <c r="G2394" s="70"/>
      <c r="H2394" s="70"/>
      <c r="I2394" s="70"/>
      <c r="J2394" s="70"/>
      <c r="K2394" s="70"/>
      <c r="L2394" s="67"/>
      <c r="M2394" s="67"/>
      <c r="N2394" s="72"/>
      <c r="O2394" s="72"/>
      <c r="P2394" s="67"/>
      <c r="Q2394" s="67"/>
      <c r="R2394" s="67"/>
      <c r="S2394" s="67"/>
      <c r="T2394" s="32"/>
      <c r="U2394" s="32"/>
      <c r="X2394" s="32"/>
      <c r="Y2394" s="32"/>
      <c r="Z2394" s="32"/>
      <c r="AA2394" s="32"/>
      <c r="AB2394" s="32"/>
    </row>
    <row r="2395" spans="2:28" ht="23.25" customHeight="1" x14ac:dyDescent="0.2">
      <c r="B2395" s="75"/>
      <c r="C2395" s="67"/>
      <c r="D2395" s="75"/>
      <c r="E2395" s="67"/>
      <c r="F2395" s="67"/>
      <c r="G2395" s="70"/>
      <c r="H2395" s="70"/>
      <c r="I2395" s="70"/>
      <c r="J2395" s="70"/>
      <c r="K2395" s="70"/>
      <c r="L2395" s="67"/>
      <c r="M2395" s="67"/>
      <c r="N2395" s="72"/>
      <c r="O2395" s="72"/>
      <c r="P2395" s="67"/>
      <c r="Q2395" s="67"/>
      <c r="R2395" s="67"/>
      <c r="S2395" s="67"/>
      <c r="T2395" s="32"/>
      <c r="U2395" s="32"/>
      <c r="X2395" s="32"/>
      <c r="Y2395" s="32"/>
      <c r="Z2395" s="32"/>
      <c r="AA2395" s="32"/>
      <c r="AB2395" s="32"/>
    </row>
    <row r="2396" spans="2:28" ht="23.25" customHeight="1" x14ac:dyDescent="0.2">
      <c r="B2396" s="75"/>
      <c r="C2396" s="67"/>
      <c r="D2396" s="75"/>
      <c r="E2396" s="67"/>
      <c r="F2396" s="67"/>
      <c r="G2396" s="70"/>
      <c r="H2396" s="70"/>
      <c r="I2396" s="70"/>
      <c r="J2396" s="70"/>
      <c r="K2396" s="70"/>
      <c r="L2396" s="67"/>
      <c r="M2396" s="67"/>
      <c r="N2396" s="72"/>
      <c r="O2396" s="72"/>
      <c r="P2396" s="67"/>
      <c r="Q2396" s="67"/>
      <c r="R2396" s="67"/>
      <c r="S2396" s="67"/>
      <c r="T2396" s="32"/>
      <c r="U2396" s="32"/>
      <c r="X2396" s="32"/>
      <c r="Y2396" s="32"/>
      <c r="Z2396" s="32"/>
      <c r="AA2396" s="32"/>
      <c r="AB2396" s="32"/>
    </row>
    <row r="2397" spans="2:28" ht="23.25" customHeight="1" x14ac:dyDescent="0.2">
      <c r="B2397" s="75"/>
      <c r="C2397" s="67"/>
      <c r="D2397" s="75"/>
      <c r="E2397" s="67"/>
      <c r="F2397" s="67"/>
      <c r="G2397" s="70"/>
      <c r="H2397" s="70"/>
      <c r="I2397" s="70"/>
      <c r="J2397" s="70"/>
      <c r="K2397" s="70"/>
      <c r="L2397" s="67"/>
      <c r="M2397" s="67"/>
      <c r="N2397" s="72"/>
      <c r="O2397" s="72"/>
      <c r="P2397" s="67"/>
      <c r="Q2397" s="67"/>
      <c r="R2397" s="67"/>
      <c r="S2397" s="67"/>
      <c r="T2397" s="32"/>
      <c r="U2397" s="32"/>
      <c r="X2397" s="32"/>
      <c r="Y2397" s="32"/>
      <c r="Z2397" s="32"/>
      <c r="AA2397" s="32"/>
      <c r="AB2397" s="32"/>
    </row>
    <row r="2398" spans="2:28" ht="23.25" customHeight="1" x14ac:dyDescent="0.2">
      <c r="B2398" s="75"/>
      <c r="C2398" s="67"/>
      <c r="D2398" s="75"/>
      <c r="E2398" s="67"/>
      <c r="F2398" s="67"/>
      <c r="G2398" s="70"/>
      <c r="H2398" s="70"/>
      <c r="I2398" s="70"/>
      <c r="J2398" s="70"/>
      <c r="K2398" s="70"/>
      <c r="L2398" s="67"/>
      <c r="M2398" s="67"/>
      <c r="N2398" s="72"/>
      <c r="O2398" s="72"/>
      <c r="P2398" s="67"/>
      <c r="Q2398" s="67"/>
      <c r="R2398" s="67"/>
      <c r="S2398" s="67"/>
      <c r="T2398" s="32"/>
      <c r="U2398" s="32"/>
      <c r="X2398" s="32"/>
      <c r="Y2398" s="32"/>
      <c r="Z2398" s="32"/>
      <c r="AA2398" s="32"/>
      <c r="AB2398" s="32"/>
    </row>
    <row r="2399" spans="2:28" ht="23.25" customHeight="1" x14ac:dyDescent="0.2">
      <c r="B2399" s="75"/>
      <c r="C2399" s="67"/>
      <c r="D2399" s="75"/>
      <c r="E2399" s="67"/>
      <c r="F2399" s="67"/>
      <c r="G2399" s="70"/>
      <c r="H2399" s="70"/>
      <c r="I2399" s="70"/>
      <c r="J2399" s="70"/>
      <c r="K2399" s="70"/>
      <c r="L2399" s="67"/>
      <c r="M2399" s="67"/>
      <c r="N2399" s="72"/>
      <c r="O2399" s="72"/>
      <c r="P2399" s="67"/>
      <c r="Q2399" s="67"/>
      <c r="R2399" s="67"/>
      <c r="S2399" s="67"/>
      <c r="T2399" s="32"/>
      <c r="U2399" s="32"/>
      <c r="X2399" s="32"/>
      <c r="Y2399" s="32"/>
      <c r="Z2399" s="32"/>
      <c r="AA2399" s="32"/>
      <c r="AB2399" s="32"/>
    </row>
    <row r="2400" spans="2:28" ht="23.25" customHeight="1" x14ac:dyDescent="0.2">
      <c r="B2400" s="75"/>
      <c r="C2400" s="67"/>
      <c r="D2400" s="75"/>
      <c r="E2400" s="67"/>
      <c r="F2400" s="67"/>
      <c r="G2400" s="70"/>
      <c r="H2400" s="70"/>
      <c r="I2400" s="70"/>
      <c r="J2400" s="70"/>
      <c r="K2400" s="70"/>
      <c r="L2400" s="67"/>
      <c r="M2400" s="67"/>
      <c r="N2400" s="72"/>
      <c r="O2400" s="72"/>
      <c r="P2400" s="67"/>
      <c r="Q2400" s="67"/>
      <c r="R2400" s="67"/>
      <c r="S2400" s="67"/>
      <c r="T2400" s="32"/>
      <c r="U2400" s="32"/>
      <c r="X2400" s="32"/>
      <c r="Y2400" s="32"/>
      <c r="Z2400" s="32"/>
      <c r="AA2400" s="32"/>
      <c r="AB2400" s="32"/>
    </row>
    <row r="2401" spans="2:28" ht="23.25" customHeight="1" x14ac:dyDescent="0.2">
      <c r="B2401" s="75"/>
      <c r="C2401" s="67"/>
      <c r="D2401" s="75"/>
      <c r="E2401" s="67"/>
      <c r="F2401" s="67"/>
      <c r="G2401" s="70"/>
      <c r="H2401" s="70"/>
      <c r="I2401" s="70"/>
      <c r="J2401" s="70"/>
      <c r="K2401" s="70"/>
      <c r="L2401" s="67"/>
      <c r="M2401" s="67"/>
      <c r="N2401" s="72"/>
      <c r="O2401" s="72"/>
      <c r="P2401" s="67"/>
      <c r="Q2401" s="67"/>
      <c r="R2401" s="67"/>
      <c r="S2401" s="67"/>
      <c r="T2401" s="32"/>
      <c r="U2401" s="32"/>
      <c r="X2401" s="32"/>
      <c r="Y2401" s="32"/>
      <c r="Z2401" s="32"/>
      <c r="AA2401" s="32"/>
      <c r="AB2401" s="32"/>
    </row>
    <row r="2402" spans="2:28" ht="23.25" customHeight="1" x14ac:dyDescent="0.2">
      <c r="B2402" s="75"/>
      <c r="C2402" s="67"/>
      <c r="D2402" s="75"/>
      <c r="E2402" s="67"/>
      <c r="F2402" s="67"/>
      <c r="G2402" s="70"/>
      <c r="H2402" s="70"/>
      <c r="I2402" s="70"/>
      <c r="J2402" s="70"/>
      <c r="K2402" s="70"/>
      <c r="L2402" s="67"/>
      <c r="M2402" s="67"/>
      <c r="N2402" s="72"/>
      <c r="O2402" s="72"/>
      <c r="P2402" s="67"/>
      <c r="Q2402" s="67"/>
      <c r="R2402" s="67"/>
      <c r="S2402" s="67"/>
      <c r="T2402" s="32"/>
      <c r="U2402" s="32"/>
      <c r="X2402" s="32"/>
      <c r="Y2402" s="32"/>
      <c r="Z2402" s="32"/>
      <c r="AA2402" s="32"/>
      <c r="AB2402" s="32"/>
    </row>
    <row r="2403" spans="2:28" ht="23.25" customHeight="1" x14ac:dyDescent="0.2">
      <c r="B2403" s="75"/>
      <c r="C2403" s="67"/>
      <c r="D2403" s="75"/>
      <c r="E2403" s="67"/>
      <c r="F2403" s="67"/>
      <c r="G2403" s="70"/>
      <c r="H2403" s="70"/>
      <c r="I2403" s="70"/>
      <c r="J2403" s="70"/>
      <c r="K2403" s="70"/>
      <c r="L2403" s="67"/>
      <c r="M2403" s="67"/>
      <c r="N2403" s="72"/>
      <c r="O2403" s="72"/>
      <c r="P2403" s="67"/>
      <c r="Q2403" s="67"/>
      <c r="R2403" s="67"/>
      <c r="S2403" s="67"/>
      <c r="T2403" s="32"/>
      <c r="U2403" s="32"/>
      <c r="X2403" s="32"/>
      <c r="Y2403" s="32"/>
      <c r="Z2403" s="32"/>
      <c r="AA2403" s="32"/>
      <c r="AB2403" s="32"/>
    </row>
    <row r="2404" spans="2:28" ht="23.25" customHeight="1" x14ac:dyDescent="0.2">
      <c r="B2404" s="75"/>
      <c r="C2404" s="67"/>
      <c r="D2404" s="75"/>
      <c r="E2404" s="67"/>
      <c r="F2404" s="67"/>
      <c r="G2404" s="70"/>
      <c r="H2404" s="70"/>
      <c r="I2404" s="70"/>
      <c r="J2404" s="70"/>
      <c r="K2404" s="70"/>
      <c r="L2404" s="67"/>
      <c r="M2404" s="67"/>
      <c r="N2404" s="72"/>
      <c r="O2404" s="72"/>
      <c r="P2404" s="67"/>
      <c r="Q2404" s="67"/>
      <c r="R2404" s="67"/>
      <c r="S2404" s="67"/>
      <c r="T2404" s="32"/>
      <c r="U2404" s="32"/>
      <c r="X2404" s="32"/>
      <c r="Y2404" s="32"/>
      <c r="Z2404" s="32"/>
      <c r="AA2404" s="32"/>
      <c r="AB2404" s="32"/>
    </row>
    <row r="2405" spans="2:28" ht="23.25" customHeight="1" x14ac:dyDescent="0.2">
      <c r="B2405" s="75"/>
      <c r="C2405" s="67"/>
      <c r="D2405" s="75"/>
      <c r="E2405" s="67"/>
      <c r="F2405" s="67"/>
      <c r="G2405" s="70"/>
      <c r="H2405" s="70"/>
      <c r="I2405" s="70"/>
      <c r="J2405" s="70"/>
      <c r="K2405" s="70"/>
      <c r="L2405" s="67"/>
      <c r="M2405" s="67"/>
      <c r="N2405" s="72"/>
      <c r="O2405" s="72"/>
      <c r="P2405" s="67"/>
      <c r="Q2405" s="67"/>
      <c r="R2405" s="67"/>
      <c r="S2405" s="67"/>
      <c r="T2405" s="32"/>
      <c r="U2405" s="32"/>
      <c r="X2405" s="32"/>
      <c r="Y2405" s="32"/>
      <c r="Z2405" s="32"/>
      <c r="AA2405" s="32"/>
      <c r="AB2405" s="32"/>
    </row>
    <row r="2406" spans="2:28" ht="23.25" customHeight="1" x14ac:dyDescent="0.2">
      <c r="B2406" s="75"/>
      <c r="C2406" s="67"/>
      <c r="D2406" s="75"/>
      <c r="E2406" s="67"/>
      <c r="F2406" s="67"/>
      <c r="G2406" s="70"/>
      <c r="H2406" s="70"/>
      <c r="I2406" s="70"/>
      <c r="J2406" s="70"/>
      <c r="K2406" s="70"/>
      <c r="L2406" s="67"/>
      <c r="M2406" s="67"/>
      <c r="N2406" s="72"/>
      <c r="O2406" s="72"/>
      <c r="P2406" s="67"/>
      <c r="Q2406" s="67"/>
      <c r="R2406" s="67"/>
      <c r="S2406" s="67"/>
      <c r="T2406" s="32"/>
      <c r="U2406" s="32"/>
      <c r="X2406" s="32"/>
      <c r="Y2406" s="32"/>
      <c r="Z2406" s="32"/>
      <c r="AA2406" s="32"/>
      <c r="AB2406" s="32"/>
    </row>
    <row r="2407" spans="2:28" ht="23.25" customHeight="1" x14ac:dyDescent="0.2">
      <c r="B2407" s="75"/>
      <c r="C2407" s="67"/>
      <c r="D2407" s="75"/>
      <c r="E2407" s="67"/>
      <c r="F2407" s="67"/>
      <c r="G2407" s="70"/>
      <c r="H2407" s="70"/>
      <c r="I2407" s="70"/>
      <c r="J2407" s="70"/>
      <c r="K2407" s="70"/>
      <c r="L2407" s="67"/>
      <c r="M2407" s="67"/>
      <c r="N2407" s="72"/>
      <c r="O2407" s="72"/>
      <c r="P2407" s="67"/>
      <c r="Q2407" s="67"/>
      <c r="R2407" s="67"/>
      <c r="S2407" s="67"/>
      <c r="T2407" s="32"/>
      <c r="U2407" s="32"/>
      <c r="X2407" s="32"/>
      <c r="Y2407" s="32"/>
      <c r="Z2407" s="32"/>
      <c r="AA2407" s="32"/>
      <c r="AB2407" s="32"/>
    </row>
    <row r="2408" spans="2:28" ht="23.25" customHeight="1" x14ac:dyDescent="0.2">
      <c r="B2408" s="75"/>
      <c r="C2408" s="67"/>
      <c r="D2408" s="75"/>
      <c r="E2408" s="67"/>
      <c r="F2408" s="67"/>
      <c r="G2408" s="70"/>
      <c r="H2408" s="70"/>
      <c r="I2408" s="70"/>
      <c r="J2408" s="70"/>
      <c r="K2408" s="70"/>
      <c r="L2408" s="67"/>
      <c r="M2408" s="67"/>
      <c r="N2408" s="72"/>
      <c r="O2408" s="72"/>
      <c r="P2408" s="67"/>
      <c r="Q2408" s="67"/>
      <c r="R2408" s="67"/>
      <c r="S2408" s="67"/>
      <c r="T2408" s="32"/>
      <c r="U2408" s="32"/>
      <c r="X2408" s="32"/>
      <c r="Y2408" s="32"/>
      <c r="Z2408" s="32"/>
      <c r="AA2408" s="32"/>
      <c r="AB2408" s="32"/>
    </row>
    <row r="2409" spans="2:28" ht="23.25" customHeight="1" x14ac:dyDescent="0.2">
      <c r="B2409" s="75"/>
      <c r="C2409" s="67"/>
      <c r="D2409" s="75"/>
      <c r="E2409" s="67"/>
      <c r="F2409" s="67"/>
      <c r="G2409" s="70"/>
      <c r="H2409" s="70"/>
      <c r="I2409" s="70"/>
      <c r="J2409" s="70"/>
      <c r="K2409" s="70"/>
      <c r="L2409" s="67"/>
      <c r="M2409" s="67"/>
      <c r="N2409" s="72"/>
      <c r="O2409" s="72"/>
      <c r="P2409" s="67"/>
      <c r="Q2409" s="67"/>
      <c r="R2409" s="67"/>
      <c r="S2409" s="67"/>
      <c r="T2409" s="32"/>
      <c r="U2409" s="32"/>
      <c r="X2409" s="32"/>
      <c r="Y2409" s="32"/>
      <c r="Z2409" s="32"/>
      <c r="AA2409" s="32"/>
      <c r="AB2409" s="32"/>
    </row>
    <row r="2410" spans="2:28" ht="23.25" customHeight="1" x14ac:dyDescent="0.2">
      <c r="B2410" s="75"/>
      <c r="C2410" s="67"/>
      <c r="D2410" s="75"/>
      <c r="E2410" s="67"/>
      <c r="F2410" s="67"/>
      <c r="G2410" s="70"/>
      <c r="H2410" s="70"/>
      <c r="I2410" s="70"/>
      <c r="J2410" s="70"/>
      <c r="K2410" s="70"/>
      <c r="L2410" s="67"/>
      <c r="M2410" s="67"/>
      <c r="N2410" s="72"/>
      <c r="O2410" s="72"/>
      <c r="P2410" s="67"/>
      <c r="Q2410" s="67"/>
      <c r="R2410" s="67"/>
      <c r="S2410" s="67"/>
      <c r="T2410" s="32"/>
      <c r="U2410" s="32"/>
      <c r="X2410" s="32"/>
      <c r="Y2410" s="32"/>
      <c r="Z2410" s="32"/>
      <c r="AA2410" s="32"/>
      <c r="AB2410" s="32"/>
    </row>
    <row r="2411" spans="2:28" ht="23.25" customHeight="1" x14ac:dyDescent="0.2">
      <c r="B2411" s="75"/>
      <c r="C2411" s="67"/>
      <c r="D2411" s="75"/>
      <c r="E2411" s="67"/>
      <c r="F2411" s="67"/>
      <c r="G2411" s="70"/>
      <c r="H2411" s="70"/>
      <c r="I2411" s="70"/>
      <c r="J2411" s="70"/>
      <c r="K2411" s="70"/>
      <c r="L2411" s="67"/>
      <c r="M2411" s="67"/>
      <c r="N2411" s="72"/>
      <c r="O2411" s="72"/>
      <c r="P2411" s="67"/>
      <c r="Q2411" s="67"/>
      <c r="R2411" s="67"/>
      <c r="S2411" s="67"/>
      <c r="T2411" s="32"/>
      <c r="U2411" s="32"/>
      <c r="X2411" s="32"/>
      <c r="Y2411" s="32"/>
      <c r="Z2411" s="32"/>
      <c r="AA2411" s="32"/>
      <c r="AB2411" s="32"/>
    </row>
    <row r="2412" spans="2:28" ht="23.25" customHeight="1" x14ac:dyDescent="0.2">
      <c r="B2412" s="75"/>
      <c r="C2412" s="67"/>
      <c r="D2412" s="75"/>
      <c r="E2412" s="67"/>
      <c r="F2412" s="67"/>
      <c r="G2412" s="70"/>
      <c r="H2412" s="70"/>
      <c r="I2412" s="70"/>
      <c r="J2412" s="70"/>
      <c r="K2412" s="70"/>
      <c r="L2412" s="67"/>
      <c r="M2412" s="67"/>
      <c r="N2412" s="72"/>
      <c r="O2412" s="72"/>
      <c r="P2412" s="67"/>
      <c r="Q2412" s="67"/>
      <c r="R2412" s="67"/>
      <c r="S2412" s="67"/>
      <c r="T2412" s="32"/>
      <c r="U2412" s="32"/>
      <c r="X2412" s="32"/>
      <c r="Y2412" s="32"/>
      <c r="Z2412" s="32"/>
      <c r="AA2412" s="32"/>
      <c r="AB2412" s="32"/>
    </row>
    <row r="2413" spans="2:28" ht="23.25" customHeight="1" x14ac:dyDescent="0.2">
      <c r="B2413" s="75"/>
      <c r="C2413" s="67"/>
      <c r="D2413" s="75"/>
      <c r="E2413" s="67"/>
      <c r="F2413" s="67"/>
      <c r="G2413" s="70"/>
      <c r="H2413" s="70"/>
      <c r="I2413" s="70"/>
      <c r="J2413" s="70"/>
      <c r="K2413" s="70"/>
      <c r="L2413" s="67"/>
      <c r="M2413" s="67"/>
      <c r="N2413" s="72"/>
      <c r="O2413" s="72"/>
      <c r="P2413" s="67"/>
      <c r="Q2413" s="67"/>
      <c r="R2413" s="67"/>
      <c r="S2413" s="67"/>
      <c r="T2413" s="32"/>
      <c r="U2413" s="32"/>
      <c r="X2413" s="32"/>
      <c r="Y2413" s="32"/>
      <c r="Z2413" s="32"/>
      <c r="AA2413" s="32"/>
      <c r="AB2413" s="32"/>
    </row>
    <row r="2414" spans="2:28" ht="23.25" customHeight="1" x14ac:dyDescent="0.2">
      <c r="B2414" s="75"/>
      <c r="C2414" s="67"/>
      <c r="D2414" s="75"/>
      <c r="E2414" s="67"/>
      <c r="F2414" s="67"/>
      <c r="G2414" s="70"/>
      <c r="H2414" s="70"/>
      <c r="I2414" s="70"/>
      <c r="J2414" s="70"/>
      <c r="K2414" s="70"/>
      <c r="L2414" s="67"/>
      <c r="M2414" s="67"/>
      <c r="N2414" s="72"/>
      <c r="O2414" s="72"/>
      <c r="P2414" s="67"/>
      <c r="Q2414" s="67"/>
      <c r="R2414" s="67"/>
      <c r="S2414" s="67"/>
      <c r="T2414" s="32"/>
      <c r="U2414" s="32"/>
      <c r="X2414" s="32"/>
      <c r="Y2414" s="32"/>
      <c r="Z2414" s="32"/>
      <c r="AA2414" s="32"/>
      <c r="AB2414" s="32"/>
    </row>
    <row r="2415" spans="2:28" ht="23.25" customHeight="1" x14ac:dyDescent="0.2">
      <c r="B2415" s="75"/>
      <c r="C2415" s="67"/>
      <c r="D2415" s="75"/>
      <c r="E2415" s="67"/>
      <c r="F2415" s="67"/>
      <c r="G2415" s="70"/>
      <c r="H2415" s="70"/>
      <c r="I2415" s="70"/>
      <c r="J2415" s="70"/>
      <c r="K2415" s="70"/>
      <c r="L2415" s="67"/>
      <c r="M2415" s="67"/>
      <c r="N2415" s="72"/>
      <c r="O2415" s="72"/>
      <c r="P2415" s="67"/>
      <c r="Q2415" s="67"/>
      <c r="R2415" s="67"/>
      <c r="S2415" s="67"/>
      <c r="T2415" s="32"/>
      <c r="U2415" s="32"/>
      <c r="X2415" s="32"/>
      <c r="Y2415" s="32"/>
      <c r="Z2415" s="32"/>
      <c r="AA2415" s="32"/>
      <c r="AB2415" s="32"/>
    </row>
    <row r="2416" spans="2:28" ht="23.25" customHeight="1" x14ac:dyDescent="0.2">
      <c r="B2416" s="75"/>
      <c r="C2416" s="67"/>
      <c r="D2416" s="75"/>
      <c r="E2416" s="67"/>
      <c r="F2416" s="67"/>
      <c r="G2416" s="70"/>
      <c r="H2416" s="70"/>
      <c r="I2416" s="70"/>
      <c r="J2416" s="70"/>
      <c r="K2416" s="70"/>
      <c r="L2416" s="67"/>
      <c r="M2416" s="67"/>
      <c r="N2416" s="72"/>
      <c r="O2416" s="72"/>
      <c r="P2416" s="67"/>
      <c r="Q2416" s="67"/>
      <c r="R2416" s="67"/>
      <c r="S2416" s="67"/>
      <c r="T2416" s="32"/>
      <c r="U2416" s="32"/>
      <c r="X2416" s="32"/>
      <c r="Y2416" s="32"/>
      <c r="Z2416" s="32"/>
      <c r="AA2416" s="32"/>
      <c r="AB2416" s="32"/>
    </row>
    <row r="2417" spans="2:28" ht="23.25" customHeight="1" x14ac:dyDescent="0.2">
      <c r="B2417" s="75"/>
      <c r="C2417" s="67"/>
      <c r="D2417" s="75"/>
      <c r="E2417" s="67"/>
      <c r="F2417" s="67"/>
      <c r="G2417" s="70"/>
      <c r="H2417" s="70"/>
      <c r="I2417" s="70"/>
      <c r="J2417" s="70"/>
      <c r="K2417" s="70"/>
      <c r="L2417" s="67"/>
      <c r="M2417" s="67"/>
      <c r="N2417" s="72"/>
      <c r="O2417" s="72"/>
      <c r="P2417" s="67"/>
      <c r="Q2417" s="67"/>
      <c r="R2417" s="67"/>
      <c r="S2417" s="67"/>
      <c r="T2417" s="32"/>
      <c r="U2417" s="32"/>
      <c r="X2417" s="32"/>
      <c r="Y2417" s="32"/>
      <c r="Z2417" s="32"/>
      <c r="AA2417" s="32"/>
      <c r="AB2417" s="32"/>
    </row>
    <row r="2418" spans="2:28" ht="23.25" customHeight="1" x14ac:dyDescent="0.2">
      <c r="B2418" s="75"/>
      <c r="C2418" s="67"/>
      <c r="D2418" s="75"/>
      <c r="E2418" s="67"/>
      <c r="F2418" s="67"/>
      <c r="G2418" s="70"/>
      <c r="H2418" s="70"/>
      <c r="I2418" s="70"/>
      <c r="J2418" s="70"/>
      <c r="K2418" s="70"/>
      <c r="L2418" s="67"/>
      <c r="M2418" s="67"/>
      <c r="N2418" s="72"/>
      <c r="O2418" s="72"/>
      <c r="P2418" s="67"/>
      <c r="Q2418" s="67"/>
      <c r="R2418" s="67"/>
      <c r="S2418" s="67"/>
      <c r="T2418" s="32"/>
      <c r="U2418" s="32"/>
      <c r="X2418" s="32"/>
      <c r="Y2418" s="32"/>
      <c r="Z2418" s="32"/>
      <c r="AA2418" s="32"/>
      <c r="AB2418" s="32"/>
    </row>
    <row r="2419" spans="2:28" ht="23.25" customHeight="1" x14ac:dyDescent="0.2">
      <c r="B2419" s="75"/>
      <c r="C2419" s="67"/>
      <c r="D2419" s="75"/>
      <c r="E2419" s="67"/>
      <c r="F2419" s="67"/>
      <c r="G2419" s="70"/>
      <c r="H2419" s="70"/>
      <c r="I2419" s="70"/>
      <c r="J2419" s="70"/>
      <c r="K2419" s="70"/>
      <c r="L2419" s="67"/>
      <c r="M2419" s="67"/>
      <c r="N2419" s="72"/>
      <c r="O2419" s="72"/>
      <c r="P2419" s="67"/>
      <c r="Q2419" s="67"/>
      <c r="R2419" s="67"/>
      <c r="S2419" s="67"/>
      <c r="T2419" s="32"/>
      <c r="U2419" s="32"/>
      <c r="X2419" s="32"/>
      <c r="Y2419" s="32"/>
      <c r="Z2419" s="32"/>
      <c r="AA2419" s="32"/>
      <c r="AB2419" s="32"/>
    </row>
    <row r="2420" spans="2:28" ht="23.25" customHeight="1" x14ac:dyDescent="0.2">
      <c r="B2420" s="75"/>
      <c r="C2420" s="67"/>
      <c r="D2420" s="75"/>
      <c r="E2420" s="67"/>
      <c r="F2420" s="67"/>
      <c r="G2420" s="70"/>
      <c r="H2420" s="70"/>
      <c r="I2420" s="70"/>
      <c r="J2420" s="70"/>
      <c r="K2420" s="70"/>
      <c r="L2420" s="67"/>
      <c r="M2420" s="67"/>
      <c r="N2420" s="72"/>
      <c r="O2420" s="72"/>
      <c r="P2420" s="67"/>
      <c r="Q2420" s="67"/>
      <c r="R2420" s="67"/>
      <c r="S2420" s="67"/>
      <c r="T2420" s="32"/>
      <c r="U2420" s="32"/>
      <c r="X2420" s="32"/>
      <c r="Y2420" s="32"/>
      <c r="Z2420" s="32"/>
      <c r="AA2420" s="32"/>
      <c r="AB2420" s="32"/>
    </row>
    <row r="2421" spans="2:28" ht="23.25" customHeight="1" x14ac:dyDescent="0.2">
      <c r="B2421" s="75"/>
      <c r="C2421" s="67"/>
      <c r="D2421" s="75"/>
      <c r="E2421" s="67"/>
      <c r="F2421" s="67"/>
      <c r="G2421" s="70"/>
      <c r="H2421" s="70"/>
      <c r="I2421" s="70"/>
      <c r="J2421" s="70"/>
      <c r="K2421" s="70"/>
      <c r="L2421" s="67"/>
      <c r="M2421" s="67"/>
      <c r="N2421" s="72"/>
      <c r="O2421" s="72"/>
      <c r="P2421" s="67"/>
      <c r="Q2421" s="67"/>
      <c r="R2421" s="67"/>
      <c r="S2421" s="67"/>
      <c r="T2421" s="32"/>
      <c r="U2421" s="32"/>
      <c r="X2421" s="32"/>
      <c r="Y2421" s="32"/>
      <c r="Z2421" s="32"/>
      <c r="AA2421" s="32"/>
      <c r="AB2421" s="32"/>
    </row>
    <row r="2422" spans="2:28" ht="23.25" customHeight="1" x14ac:dyDescent="0.2">
      <c r="B2422" s="75"/>
      <c r="C2422" s="67"/>
      <c r="D2422" s="75"/>
      <c r="E2422" s="67"/>
      <c r="F2422" s="67"/>
      <c r="G2422" s="70"/>
      <c r="H2422" s="70"/>
      <c r="I2422" s="70"/>
      <c r="J2422" s="70"/>
      <c r="K2422" s="70"/>
      <c r="L2422" s="67"/>
      <c r="M2422" s="67"/>
      <c r="N2422" s="72"/>
      <c r="O2422" s="72"/>
      <c r="P2422" s="67"/>
      <c r="Q2422" s="67"/>
      <c r="R2422" s="67"/>
      <c r="S2422" s="67"/>
      <c r="T2422" s="32"/>
      <c r="U2422" s="32"/>
      <c r="X2422" s="32"/>
      <c r="Y2422" s="32"/>
      <c r="Z2422" s="32"/>
      <c r="AA2422" s="32"/>
      <c r="AB2422" s="32"/>
    </row>
    <row r="2423" spans="2:28" ht="23.25" customHeight="1" x14ac:dyDescent="0.2">
      <c r="B2423" s="75"/>
      <c r="C2423" s="67"/>
      <c r="D2423" s="75"/>
      <c r="E2423" s="67"/>
      <c r="F2423" s="67"/>
      <c r="G2423" s="70"/>
      <c r="H2423" s="70"/>
      <c r="I2423" s="70"/>
      <c r="J2423" s="70"/>
      <c r="K2423" s="70"/>
      <c r="L2423" s="67"/>
      <c r="M2423" s="67"/>
      <c r="N2423" s="72"/>
      <c r="O2423" s="72"/>
      <c r="P2423" s="67"/>
      <c r="Q2423" s="67"/>
      <c r="R2423" s="67"/>
      <c r="S2423" s="67"/>
      <c r="T2423" s="32"/>
      <c r="U2423" s="32"/>
      <c r="X2423" s="32"/>
      <c r="Y2423" s="32"/>
      <c r="Z2423" s="32"/>
      <c r="AA2423" s="32"/>
      <c r="AB2423" s="32"/>
    </row>
    <row r="2424" spans="2:28" ht="23.25" customHeight="1" x14ac:dyDescent="0.2">
      <c r="B2424" s="75"/>
      <c r="C2424" s="67"/>
      <c r="D2424" s="75"/>
      <c r="E2424" s="67"/>
      <c r="F2424" s="67"/>
      <c r="G2424" s="70"/>
      <c r="H2424" s="70"/>
      <c r="I2424" s="70"/>
      <c r="J2424" s="70"/>
      <c r="K2424" s="70"/>
      <c r="L2424" s="67"/>
      <c r="M2424" s="67"/>
      <c r="N2424" s="72"/>
      <c r="O2424" s="72"/>
      <c r="P2424" s="67"/>
      <c r="Q2424" s="67"/>
      <c r="R2424" s="67"/>
      <c r="S2424" s="67"/>
      <c r="T2424" s="32"/>
      <c r="U2424" s="32"/>
      <c r="X2424" s="32"/>
      <c r="Y2424" s="32"/>
      <c r="Z2424" s="32"/>
      <c r="AA2424" s="32"/>
      <c r="AB2424" s="32"/>
    </row>
    <row r="2425" spans="2:28" ht="23.25" customHeight="1" x14ac:dyDescent="0.2">
      <c r="B2425" s="75"/>
      <c r="C2425" s="67"/>
      <c r="D2425" s="75"/>
      <c r="E2425" s="67"/>
      <c r="F2425" s="67"/>
      <c r="G2425" s="70"/>
      <c r="H2425" s="70"/>
      <c r="I2425" s="70"/>
      <c r="J2425" s="70"/>
      <c r="K2425" s="70"/>
      <c r="L2425" s="67"/>
      <c r="M2425" s="67"/>
      <c r="N2425" s="72"/>
      <c r="O2425" s="72"/>
      <c r="P2425" s="67"/>
      <c r="Q2425" s="67"/>
      <c r="R2425" s="67"/>
      <c r="S2425" s="67"/>
      <c r="T2425" s="32"/>
      <c r="U2425" s="32"/>
      <c r="X2425" s="32"/>
      <c r="Y2425" s="32"/>
      <c r="Z2425" s="32"/>
      <c r="AA2425" s="32"/>
      <c r="AB2425" s="32"/>
    </row>
    <row r="2426" spans="2:28" ht="23.25" customHeight="1" x14ac:dyDescent="0.2">
      <c r="B2426" s="75"/>
      <c r="C2426" s="67"/>
      <c r="D2426" s="75"/>
      <c r="E2426" s="67"/>
      <c r="F2426" s="67"/>
      <c r="G2426" s="70"/>
      <c r="H2426" s="70"/>
      <c r="I2426" s="70"/>
      <c r="J2426" s="70"/>
      <c r="K2426" s="70"/>
      <c r="L2426" s="67"/>
      <c r="M2426" s="67"/>
      <c r="N2426" s="72"/>
      <c r="O2426" s="72"/>
      <c r="P2426" s="67"/>
      <c r="Q2426" s="67"/>
      <c r="R2426" s="67"/>
      <c r="S2426" s="67"/>
      <c r="T2426" s="32"/>
      <c r="U2426" s="32"/>
      <c r="X2426" s="32"/>
      <c r="Y2426" s="32"/>
      <c r="Z2426" s="32"/>
      <c r="AA2426" s="32"/>
      <c r="AB2426" s="32"/>
    </row>
    <row r="2427" spans="2:28" ht="23.25" customHeight="1" x14ac:dyDescent="0.2">
      <c r="B2427" s="75"/>
      <c r="C2427" s="67"/>
      <c r="D2427" s="75"/>
      <c r="E2427" s="67"/>
      <c r="F2427" s="67"/>
      <c r="G2427" s="70"/>
      <c r="H2427" s="70"/>
      <c r="I2427" s="70"/>
      <c r="J2427" s="70"/>
      <c r="K2427" s="70"/>
      <c r="L2427" s="67"/>
      <c r="M2427" s="67"/>
      <c r="N2427" s="72"/>
      <c r="O2427" s="72"/>
      <c r="P2427" s="67"/>
      <c r="Q2427" s="67"/>
      <c r="R2427" s="67"/>
      <c r="S2427" s="67"/>
      <c r="T2427" s="32"/>
      <c r="U2427" s="32"/>
      <c r="X2427" s="32"/>
      <c r="Y2427" s="32"/>
      <c r="Z2427" s="32"/>
      <c r="AA2427" s="32"/>
      <c r="AB2427" s="32"/>
    </row>
    <row r="2428" spans="2:28" ht="23.25" customHeight="1" x14ac:dyDescent="0.2">
      <c r="B2428" s="75"/>
      <c r="C2428" s="67"/>
      <c r="D2428" s="75"/>
      <c r="E2428" s="67"/>
      <c r="F2428" s="67"/>
      <c r="G2428" s="70"/>
      <c r="H2428" s="70"/>
      <c r="I2428" s="70"/>
      <c r="J2428" s="70"/>
      <c r="K2428" s="70"/>
      <c r="L2428" s="67"/>
      <c r="M2428" s="67"/>
      <c r="N2428" s="72"/>
      <c r="O2428" s="72"/>
      <c r="P2428" s="67"/>
      <c r="Q2428" s="67"/>
      <c r="R2428" s="67"/>
      <c r="S2428" s="67"/>
      <c r="T2428" s="32"/>
      <c r="U2428" s="32"/>
      <c r="X2428" s="32"/>
      <c r="Y2428" s="32"/>
      <c r="Z2428" s="32"/>
      <c r="AA2428" s="32"/>
      <c r="AB2428" s="32"/>
    </row>
    <row r="2429" spans="2:28" ht="23.25" customHeight="1" x14ac:dyDescent="0.2">
      <c r="B2429" s="75"/>
      <c r="C2429" s="67"/>
      <c r="D2429" s="75"/>
      <c r="E2429" s="67"/>
      <c r="F2429" s="67"/>
      <c r="G2429" s="70"/>
      <c r="H2429" s="70"/>
      <c r="I2429" s="70"/>
      <c r="J2429" s="70"/>
      <c r="K2429" s="70"/>
      <c r="L2429" s="67"/>
      <c r="M2429" s="67"/>
      <c r="N2429" s="72"/>
      <c r="O2429" s="72"/>
      <c r="P2429" s="67"/>
      <c r="Q2429" s="67"/>
      <c r="R2429" s="67"/>
      <c r="S2429" s="67"/>
      <c r="T2429" s="32"/>
      <c r="U2429" s="32"/>
      <c r="X2429" s="32"/>
      <c r="Y2429" s="32"/>
      <c r="Z2429" s="32"/>
      <c r="AA2429" s="32"/>
      <c r="AB2429" s="32"/>
    </row>
    <row r="2430" spans="2:28" ht="23.25" customHeight="1" x14ac:dyDescent="0.2">
      <c r="B2430" s="75"/>
      <c r="C2430" s="67"/>
      <c r="D2430" s="75"/>
      <c r="E2430" s="67"/>
      <c r="F2430" s="67"/>
      <c r="G2430" s="70"/>
      <c r="H2430" s="70"/>
      <c r="I2430" s="70"/>
      <c r="J2430" s="70"/>
      <c r="K2430" s="70"/>
      <c r="L2430" s="67"/>
      <c r="M2430" s="67"/>
      <c r="N2430" s="72"/>
      <c r="O2430" s="72"/>
      <c r="P2430" s="67"/>
      <c r="Q2430" s="67"/>
      <c r="R2430" s="67"/>
      <c r="S2430" s="67"/>
      <c r="T2430" s="32"/>
      <c r="U2430" s="32"/>
      <c r="X2430" s="32"/>
      <c r="Y2430" s="32"/>
      <c r="Z2430" s="32"/>
      <c r="AA2430" s="32"/>
      <c r="AB2430" s="32"/>
    </row>
    <row r="2431" spans="2:28" ht="23.25" customHeight="1" x14ac:dyDescent="0.2">
      <c r="B2431" s="75"/>
      <c r="C2431" s="67"/>
      <c r="D2431" s="75"/>
      <c r="E2431" s="67"/>
      <c r="F2431" s="67"/>
      <c r="G2431" s="70"/>
      <c r="H2431" s="70"/>
      <c r="I2431" s="70"/>
      <c r="J2431" s="70"/>
      <c r="K2431" s="70"/>
      <c r="L2431" s="67"/>
      <c r="M2431" s="67"/>
      <c r="N2431" s="72"/>
      <c r="O2431" s="72"/>
      <c r="P2431" s="67"/>
      <c r="Q2431" s="67"/>
      <c r="R2431" s="67"/>
      <c r="S2431" s="67"/>
      <c r="T2431" s="32"/>
      <c r="U2431" s="32"/>
      <c r="X2431" s="32"/>
      <c r="Y2431" s="32"/>
      <c r="Z2431" s="32"/>
      <c r="AA2431" s="32"/>
      <c r="AB2431" s="32"/>
    </row>
    <row r="2432" spans="2:28" ht="23.25" customHeight="1" x14ac:dyDescent="0.2">
      <c r="B2432" s="75"/>
      <c r="C2432" s="67"/>
      <c r="D2432" s="75"/>
      <c r="E2432" s="67"/>
      <c r="F2432" s="67"/>
      <c r="G2432" s="70"/>
      <c r="H2432" s="70"/>
      <c r="I2432" s="70"/>
      <c r="J2432" s="70"/>
      <c r="K2432" s="70"/>
      <c r="L2432" s="67"/>
      <c r="M2432" s="67"/>
      <c r="N2432" s="72"/>
      <c r="O2432" s="72"/>
      <c r="P2432" s="67"/>
      <c r="Q2432" s="67"/>
      <c r="R2432" s="67"/>
      <c r="S2432" s="67"/>
      <c r="T2432" s="32"/>
      <c r="U2432" s="32"/>
      <c r="X2432" s="32"/>
      <c r="Y2432" s="32"/>
      <c r="Z2432" s="32"/>
      <c r="AA2432" s="32"/>
      <c r="AB2432" s="32"/>
    </row>
    <row r="2433" spans="2:28" ht="23.25" customHeight="1" x14ac:dyDescent="0.2">
      <c r="B2433" s="75"/>
      <c r="C2433" s="67"/>
      <c r="D2433" s="75"/>
      <c r="E2433" s="67"/>
      <c r="F2433" s="67"/>
      <c r="G2433" s="70"/>
      <c r="H2433" s="70"/>
      <c r="I2433" s="70"/>
      <c r="J2433" s="70"/>
      <c r="K2433" s="70"/>
      <c r="L2433" s="67"/>
      <c r="M2433" s="67"/>
      <c r="N2433" s="72"/>
      <c r="O2433" s="72"/>
      <c r="P2433" s="67"/>
      <c r="Q2433" s="67"/>
      <c r="R2433" s="67"/>
      <c r="S2433" s="67"/>
      <c r="T2433" s="32"/>
      <c r="U2433" s="32"/>
      <c r="X2433" s="32"/>
      <c r="Y2433" s="32"/>
      <c r="Z2433" s="32"/>
      <c r="AA2433" s="32"/>
      <c r="AB2433" s="32"/>
    </row>
    <row r="2434" spans="2:28" ht="23.25" customHeight="1" x14ac:dyDescent="0.2">
      <c r="B2434" s="75"/>
      <c r="C2434" s="67"/>
      <c r="D2434" s="75"/>
      <c r="E2434" s="67"/>
      <c r="F2434" s="67"/>
      <c r="G2434" s="70"/>
      <c r="H2434" s="70"/>
      <c r="I2434" s="70"/>
      <c r="J2434" s="70"/>
      <c r="K2434" s="70"/>
      <c r="L2434" s="67"/>
      <c r="M2434" s="67"/>
      <c r="N2434" s="72"/>
      <c r="O2434" s="72"/>
      <c r="P2434" s="67"/>
      <c r="Q2434" s="67"/>
      <c r="R2434" s="67"/>
      <c r="S2434" s="67"/>
      <c r="T2434" s="32"/>
      <c r="U2434" s="32"/>
      <c r="X2434" s="32"/>
      <c r="Y2434" s="32"/>
      <c r="Z2434" s="32"/>
      <c r="AA2434" s="32"/>
      <c r="AB2434" s="32"/>
    </row>
    <row r="2435" spans="2:28" ht="23.25" customHeight="1" x14ac:dyDescent="0.2">
      <c r="B2435" s="75"/>
      <c r="C2435" s="67"/>
      <c r="D2435" s="75"/>
      <c r="E2435" s="67"/>
      <c r="F2435" s="67"/>
      <c r="G2435" s="70"/>
      <c r="H2435" s="70"/>
      <c r="I2435" s="70"/>
      <c r="J2435" s="70"/>
      <c r="K2435" s="70"/>
      <c r="L2435" s="67"/>
      <c r="M2435" s="67"/>
      <c r="N2435" s="72"/>
      <c r="O2435" s="72"/>
      <c r="P2435" s="67"/>
      <c r="Q2435" s="67"/>
      <c r="R2435" s="67"/>
      <c r="S2435" s="67"/>
      <c r="T2435" s="32"/>
      <c r="U2435" s="32"/>
      <c r="X2435" s="32"/>
      <c r="Y2435" s="32"/>
      <c r="Z2435" s="32"/>
      <c r="AA2435" s="32"/>
      <c r="AB2435" s="32"/>
    </row>
    <row r="2436" spans="2:28" ht="23.25" customHeight="1" x14ac:dyDescent="0.2">
      <c r="B2436" s="75"/>
      <c r="C2436" s="67"/>
      <c r="D2436" s="75"/>
      <c r="E2436" s="67"/>
      <c r="F2436" s="67"/>
      <c r="G2436" s="70"/>
      <c r="H2436" s="70"/>
      <c r="I2436" s="70"/>
      <c r="J2436" s="70"/>
      <c r="K2436" s="70"/>
      <c r="L2436" s="67"/>
      <c r="M2436" s="67"/>
      <c r="N2436" s="72"/>
      <c r="O2436" s="72"/>
      <c r="P2436" s="67"/>
      <c r="Q2436" s="67"/>
      <c r="R2436" s="67"/>
      <c r="S2436" s="67"/>
      <c r="T2436" s="32"/>
      <c r="U2436" s="32"/>
      <c r="X2436" s="32"/>
      <c r="Y2436" s="32"/>
      <c r="Z2436" s="32"/>
      <c r="AA2436" s="32"/>
      <c r="AB2436" s="32"/>
    </row>
    <row r="2437" spans="2:28" ht="23.25" customHeight="1" x14ac:dyDescent="0.2">
      <c r="B2437" s="75"/>
      <c r="C2437" s="67"/>
      <c r="D2437" s="75"/>
      <c r="E2437" s="67"/>
      <c r="F2437" s="67"/>
      <c r="G2437" s="70"/>
      <c r="H2437" s="70"/>
      <c r="I2437" s="70"/>
      <c r="J2437" s="70"/>
      <c r="K2437" s="70"/>
      <c r="L2437" s="67"/>
      <c r="M2437" s="67"/>
      <c r="N2437" s="72"/>
      <c r="O2437" s="72"/>
      <c r="P2437" s="67"/>
      <c r="Q2437" s="67"/>
      <c r="R2437" s="67"/>
      <c r="S2437" s="67"/>
      <c r="T2437" s="32"/>
      <c r="U2437" s="32"/>
      <c r="X2437" s="32"/>
      <c r="Y2437" s="32"/>
      <c r="Z2437" s="32"/>
      <c r="AA2437" s="32"/>
      <c r="AB2437" s="32"/>
    </row>
    <row r="2438" spans="2:28" ht="23.25" customHeight="1" x14ac:dyDescent="0.2">
      <c r="B2438" s="75"/>
      <c r="C2438" s="67"/>
      <c r="D2438" s="75"/>
      <c r="E2438" s="67"/>
      <c r="F2438" s="67"/>
      <c r="G2438" s="70"/>
      <c r="H2438" s="70"/>
      <c r="I2438" s="70"/>
      <c r="J2438" s="70"/>
      <c r="K2438" s="70"/>
      <c r="L2438" s="67"/>
      <c r="M2438" s="67"/>
      <c r="N2438" s="72"/>
      <c r="O2438" s="72"/>
      <c r="P2438" s="67"/>
      <c r="Q2438" s="67"/>
      <c r="R2438" s="67"/>
      <c r="S2438" s="67"/>
      <c r="T2438" s="32"/>
      <c r="U2438" s="32"/>
      <c r="X2438" s="32"/>
      <c r="Y2438" s="32"/>
      <c r="Z2438" s="32"/>
      <c r="AA2438" s="32"/>
      <c r="AB2438" s="32"/>
    </row>
    <row r="2439" spans="2:28" ht="23.25" customHeight="1" x14ac:dyDescent="0.2">
      <c r="B2439" s="75"/>
      <c r="C2439" s="67"/>
      <c r="D2439" s="75"/>
      <c r="E2439" s="67"/>
      <c r="F2439" s="67"/>
      <c r="G2439" s="70"/>
      <c r="H2439" s="70"/>
      <c r="I2439" s="70"/>
      <c r="J2439" s="70"/>
      <c r="K2439" s="70"/>
      <c r="L2439" s="67"/>
      <c r="M2439" s="67"/>
      <c r="N2439" s="72"/>
      <c r="O2439" s="72"/>
      <c r="P2439" s="67"/>
      <c r="Q2439" s="67"/>
      <c r="R2439" s="67"/>
      <c r="S2439" s="67"/>
      <c r="T2439" s="32"/>
      <c r="U2439" s="32"/>
      <c r="X2439" s="32"/>
      <c r="Y2439" s="32"/>
      <c r="Z2439" s="32"/>
      <c r="AA2439" s="32"/>
      <c r="AB2439" s="32"/>
    </row>
    <row r="2440" spans="2:28" ht="23.25" customHeight="1" x14ac:dyDescent="0.2">
      <c r="B2440" s="75"/>
      <c r="C2440" s="67"/>
      <c r="D2440" s="75"/>
      <c r="E2440" s="67"/>
      <c r="F2440" s="67"/>
      <c r="G2440" s="70"/>
      <c r="H2440" s="70"/>
      <c r="I2440" s="70"/>
      <c r="J2440" s="70"/>
      <c r="K2440" s="70"/>
      <c r="L2440" s="67"/>
      <c r="M2440" s="67"/>
      <c r="N2440" s="72"/>
      <c r="O2440" s="72"/>
      <c r="P2440" s="67"/>
      <c r="Q2440" s="67"/>
      <c r="R2440" s="67"/>
      <c r="S2440" s="67"/>
      <c r="T2440" s="32"/>
      <c r="U2440" s="32"/>
      <c r="X2440" s="32"/>
      <c r="Y2440" s="32"/>
      <c r="Z2440" s="32"/>
      <c r="AA2440" s="32"/>
      <c r="AB2440" s="32"/>
    </row>
    <row r="2441" spans="2:28" ht="23.25" customHeight="1" x14ac:dyDescent="0.2">
      <c r="B2441" s="75"/>
      <c r="C2441" s="67"/>
      <c r="D2441" s="75"/>
      <c r="E2441" s="67"/>
      <c r="F2441" s="67"/>
      <c r="G2441" s="70"/>
      <c r="H2441" s="70"/>
      <c r="I2441" s="70"/>
      <c r="J2441" s="70"/>
      <c r="K2441" s="70"/>
      <c r="L2441" s="67"/>
      <c r="M2441" s="67"/>
      <c r="N2441" s="72"/>
      <c r="O2441" s="72"/>
      <c r="P2441" s="67"/>
      <c r="Q2441" s="67"/>
      <c r="R2441" s="67"/>
      <c r="S2441" s="67"/>
      <c r="T2441" s="32"/>
      <c r="U2441" s="32"/>
      <c r="X2441" s="32"/>
      <c r="Y2441" s="32"/>
      <c r="Z2441" s="32"/>
      <c r="AA2441" s="32"/>
      <c r="AB2441" s="32"/>
    </row>
    <row r="2442" spans="2:28" ht="23.25" customHeight="1" x14ac:dyDescent="0.2">
      <c r="B2442" s="75"/>
      <c r="C2442" s="67"/>
      <c r="D2442" s="75"/>
      <c r="E2442" s="67"/>
      <c r="F2442" s="67"/>
      <c r="G2442" s="70"/>
      <c r="H2442" s="70"/>
      <c r="I2442" s="70"/>
      <c r="J2442" s="70"/>
      <c r="K2442" s="70"/>
      <c r="L2442" s="67"/>
      <c r="M2442" s="67"/>
      <c r="N2442" s="72"/>
      <c r="O2442" s="72"/>
      <c r="P2442" s="67"/>
      <c r="Q2442" s="67"/>
      <c r="R2442" s="67"/>
      <c r="S2442" s="67"/>
      <c r="T2442" s="32"/>
      <c r="U2442" s="32"/>
      <c r="X2442" s="32"/>
      <c r="Y2442" s="32"/>
      <c r="Z2442" s="32"/>
      <c r="AA2442" s="32"/>
      <c r="AB2442" s="32"/>
    </row>
    <row r="2443" spans="2:28" ht="23.25" customHeight="1" x14ac:dyDescent="0.2">
      <c r="B2443" s="75"/>
      <c r="C2443" s="67"/>
      <c r="D2443" s="75"/>
      <c r="E2443" s="67"/>
      <c r="F2443" s="67"/>
      <c r="G2443" s="70"/>
      <c r="H2443" s="70"/>
      <c r="I2443" s="70"/>
      <c r="J2443" s="70"/>
      <c r="K2443" s="70"/>
      <c r="L2443" s="67"/>
      <c r="M2443" s="67"/>
      <c r="N2443" s="72"/>
      <c r="O2443" s="72"/>
      <c r="P2443" s="67"/>
      <c r="Q2443" s="67"/>
      <c r="R2443" s="67"/>
      <c r="S2443" s="67"/>
      <c r="T2443" s="32"/>
      <c r="U2443" s="32"/>
      <c r="X2443" s="32"/>
      <c r="Y2443" s="32"/>
      <c r="Z2443" s="32"/>
      <c r="AA2443" s="32"/>
      <c r="AB2443" s="32"/>
    </row>
    <row r="2444" spans="2:28" ht="23.25" customHeight="1" x14ac:dyDescent="0.2">
      <c r="B2444" s="75"/>
      <c r="C2444" s="67"/>
      <c r="D2444" s="75"/>
      <c r="E2444" s="67"/>
      <c r="F2444" s="67"/>
      <c r="G2444" s="70"/>
      <c r="H2444" s="70"/>
      <c r="I2444" s="70"/>
      <c r="J2444" s="70"/>
      <c r="K2444" s="70"/>
      <c r="L2444" s="67"/>
      <c r="M2444" s="67"/>
      <c r="N2444" s="72"/>
      <c r="O2444" s="72"/>
      <c r="P2444" s="67"/>
      <c r="Q2444" s="67"/>
      <c r="R2444" s="67"/>
      <c r="S2444" s="67"/>
      <c r="T2444" s="32"/>
      <c r="U2444" s="32"/>
      <c r="X2444" s="32"/>
      <c r="Y2444" s="32"/>
      <c r="Z2444" s="32"/>
      <c r="AA2444" s="32"/>
      <c r="AB2444" s="32"/>
    </row>
    <row r="2445" spans="2:28" ht="23.25" customHeight="1" x14ac:dyDescent="0.2">
      <c r="B2445" s="75"/>
      <c r="C2445" s="67"/>
      <c r="D2445" s="75"/>
      <c r="E2445" s="67"/>
      <c r="F2445" s="67"/>
      <c r="G2445" s="70"/>
      <c r="H2445" s="70"/>
      <c r="I2445" s="70"/>
      <c r="J2445" s="70"/>
      <c r="K2445" s="70"/>
      <c r="L2445" s="67"/>
      <c r="M2445" s="67"/>
      <c r="N2445" s="72"/>
      <c r="O2445" s="72"/>
      <c r="P2445" s="67"/>
      <c r="Q2445" s="67"/>
      <c r="R2445" s="67"/>
      <c r="S2445" s="67"/>
      <c r="T2445" s="32"/>
      <c r="U2445" s="32"/>
      <c r="X2445" s="32"/>
      <c r="Y2445" s="32"/>
      <c r="Z2445" s="32"/>
      <c r="AA2445" s="32"/>
      <c r="AB2445" s="32"/>
    </row>
    <row r="2446" spans="2:28" ht="23.25" customHeight="1" x14ac:dyDescent="0.2">
      <c r="B2446" s="75"/>
      <c r="C2446" s="67"/>
      <c r="D2446" s="75"/>
      <c r="E2446" s="67"/>
      <c r="F2446" s="67"/>
      <c r="G2446" s="70"/>
      <c r="H2446" s="70"/>
      <c r="I2446" s="70"/>
      <c r="J2446" s="70"/>
      <c r="K2446" s="70"/>
      <c r="L2446" s="67"/>
      <c r="M2446" s="67"/>
      <c r="N2446" s="72"/>
      <c r="O2446" s="72"/>
      <c r="P2446" s="67"/>
      <c r="Q2446" s="67"/>
      <c r="R2446" s="67"/>
      <c r="S2446" s="67"/>
      <c r="T2446" s="32"/>
      <c r="U2446" s="32"/>
      <c r="X2446" s="32"/>
      <c r="Y2446" s="32"/>
      <c r="Z2446" s="32"/>
      <c r="AA2446" s="32"/>
      <c r="AB2446" s="32"/>
    </row>
    <row r="2447" spans="2:28" ht="23.25" customHeight="1" x14ac:dyDescent="0.2">
      <c r="B2447" s="75"/>
      <c r="C2447" s="67"/>
      <c r="D2447" s="75"/>
      <c r="E2447" s="67"/>
      <c r="F2447" s="67"/>
      <c r="G2447" s="70"/>
      <c r="H2447" s="70"/>
      <c r="I2447" s="70"/>
      <c r="J2447" s="70"/>
      <c r="K2447" s="70"/>
      <c r="L2447" s="67"/>
      <c r="M2447" s="67"/>
      <c r="N2447" s="72"/>
      <c r="O2447" s="72"/>
      <c r="P2447" s="67"/>
      <c r="Q2447" s="67"/>
      <c r="R2447" s="67"/>
      <c r="S2447" s="67"/>
      <c r="T2447" s="32"/>
      <c r="U2447" s="32"/>
      <c r="X2447" s="32"/>
      <c r="Y2447" s="32"/>
      <c r="Z2447" s="32"/>
      <c r="AA2447" s="32"/>
      <c r="AB2447" s="32"/>
    </row>
    <row r="2448" spans="2:28" ht="23.25" customHeight="1" x14ac:dyDescent="0.2">
      <c r="B2448" s="75"/>
      <c r="C2448" s="67"/>
      <c r="D2448" s="75"/>
      <c r="E2448" s="67"/>
      <c r="F2448" s="67"/>
      <c r="G2448" s="70"/>
      <c r="H2448" s="70"/>
      <c r="I2448" s="70"/>
      <c r="J2448" s="70"/>
      <c r="K2448" s="70"/>
      <c r="L2448" s="67"/>
      <c r="M2448" s="67"/>
      <c r="N2448" s="72"/>
      <c r="O2448" s="72"/>
      <c r="P2448" s="67"/>
      <c r="Q2448" s="67"/>
      <c r="R2448" s="67"/>
      <c r="S2448" s="67"/>
      <c r="T2448" s="32"/>
      <c r="U2448" s="32"/>
      <c r="X2448" s="32"/>
      <c r="Y2448" s="32"/>
      <c r="Z2448" s="32"/>
      <c r="AA2448" s="32"/>
      <c r="AB2448" s="32"/>
    </row>
    <row r="2449" spans="2:28" ht="23.25" customHeight="1" x14ac:dyDescent="0.2">
      <c r="B2449" s="75"/>
      <c r="C2449" s="67"/>
      <c r="D2449" s="75"/>
      <c r="E2449" s="67"/>
      <c r="F2449" s="67"/>
      <c r="G2449" s="70"/>
      <c r="H2449" s="70"/>
      <c r="I2449" s="70"/>
      <c r="J2449" s="70"/>
      <c r="K2449" s="70"/>
      <c r="L2449" s="67"/>
      <c r="M2449" s="67"/>
      <c r="N2449" s="72"/>
      <c r="O2449" s="72"/>
      <c r="P2449" s="67"/>
      <c r="Q2449" s="67"/>
      <c r="R2449" s="67"/>
      <c r="S2449" s="67"/>
      <c r="T2449" s="32"/>
      <c r="U2449" s="32"/>
      <c r="X2449" s="32"/>
      <c r="Y2449" s="32"/>
      <c r="Z2449" s="32"/>
      <c r="AA2449" s="32"/>
      <c r="AB2449" s="32"/>
    </row>
    <row r="2450" spans="2:28" ht="23.25" customHeight="1" x14ac:dyDescent="0.2">
      <c r="B2450" s="75"/>
      <c r="C2450" s="67"/>
      <c r="D2450" s="75"/>
      <c r="E2450" s="67"/>
      <c r="F2450" s="67"/>
      <c r="G2450" s="70"/>
      <c r="H2450" s="70"/>
      <c r="I2450" s="70"/>
      <c r="J2450" s="70"/>
      <c r="K2450" s="70"/>
      <c r="L2450" s="67"/>
      <c r="M2450" s="67"/>
      <c r="N2450" s="72"/>
      <c r="O2450" s="72"/>
      <c r="P2450" s="67"/>
      <c r="Q2450" s="67"/>
      <c r="R2450" s="67"/>
      <c r="S2450" s="67"/>
      <c r="T2450" s="32"/>
      <c r="U2450" s="32"/>
      <c r="X2450" s="32"/>
      <c r="Y2450" s="32"/>
      <c r="Z2450" s="32"/>
      <c r="AA2450" s="32"/>
      <c r="AB2450" s="32"/>
    </row>
    <row r="2451" spans="2:28" ht="23.25" customHeight="1" x14ac:dyDescent="0.2">
      <c r="B2451" s="75"/>
      <c r="C2451" s="67"/>
      <c r="D2451" s="75"/>
      <c r="E2451" s="67"/>
      <c r="F2451" s="67"/>
      <c r="G2451" s="70"/>
      <c r="H2451" s="70"/>
      <c r="I2451" s="70"/>
      <c r="J2451" s="70"/>
      <c r="K2451" s="70"/>
      <c r="L2451" s="67"/>
      <c r="M2451" s="67"/>
      <c r="N2451" s="72"/>
      <c r="O2451" s="72"/>
      <c r="P2451" s="67"/>
      <c r="Q2451" s="67"/>
      <c r="R2451" s="67"/>
      <c r="S2451" s="67"/>
      <c r="T2451" s="32"/>
      <c r="U2451" s="32"/>
      <c r="X2451" s="32"/>
      <c r="Y2451" s="32"/>
      <c r="Z2451" s="32"/>
      <c r="AA2451" s="32"/>
      <c r="AB2451" s="32"/>
    </row>
    <row r="2452" spans="2:28" ht="23.25" customHeight="1" x14ac:dyDescent="0.2">
      <c r="B2452" s="75"/>
      <c r="C2452" s="67"/>
      <c r="D2452" s="75"/>
      <c r="E2452" s="67"/>
      <c r="F2452" s="67"/>
      <c r="G2452" s="70"/>
      <c r="H2452" s="70"/>
      <c r="I2452" s="70"/>
      <c r="J2452" s="70"/>
      <c r="K2452" s="70"/>
      <c r="L2452" s="67"/>
      <c r="M2452" s="67"/>
      <c r="N2452" s="72"/>
      <c r="O2452" s="72"/>
      <c r="P2452" s="67"/>
      <c r="Q2452" s="67"/>
      <c r="R2452" s="67"/>
      <c r="S2452" s="67"/>
      <c r="T2452" s="32"/>
      <c r="U2452" s="32"/>
      <c r="X2452" s="32"/>
      <c r="Y2452" s="32"/>
      <c r="Z2452" s="32"/>
      <c r="AA2452" s="32"/>
      <c r="AB2452" s="32"/>
    </row>
    <row r="2453" spans="2:28" ht="23.25" customHeight="1" x14ac:dyDescent="0.2">
      <c r="B2453" s="75"/>
      <c r="C2453" s="67"/>
      <c r="D2453" s="75"/>
      <c r="E2453" s="67"/>
      <c r="F2453" s="67"/>
      <c r="G2453" s="70"/>
      <c r="H2453" s="70"/>
      <c r="I2453" s="70"/>
      <c r="J2453" s="70"/>
      <c r="K2453" s="70"/>
      <c r="L2453" s="67"/>
      <c r="M2453" s="67"/>
      <c r="N2453" s="72"/>
      <c r="O2453" s="72"/>
      <c r="P2453" s="67"/>
      <c r="Q2453" s="67"/>
      <c r="R2453" s="67"/>
      <c r="S2453" s="67"/>
      <c r="T2453" s="32"/>
      <c r="U2453" s="32"/>
      <c r="X2453" s="32"/>
      <c r="Y2453" s="32"/>
      <c r="Z2453" s="32"/>
      <c r="AA2453" s="32"/>
      <c r="AB2453" s="32"/>
    </row>
    <row r="2454" spans="2:28" ht="23.25" customHeight="1" x14ac:dyDescent="0.2">
      <c r="B2454" s="75"/>
      <c r="C2454" s="67"/>
      <c r="D2454" s="75"/>
      <c r="E2454" s="67"/>
      <c r="F2454" s="67"/>
      <c r="G2454" s="70"/>
      <c r="H2454" s="70"/>
      <c r="I2454" s="70"/>
      <c r="J2454" s="70"/>
      <c r="K2454" s="70"/>
      <c r="L2454" s="67"/>
      <c r="M2454" s="67"/>
      <c r="N2454" s="72"/>
      <c r="O2454" s="72"/>
      <c r="P2454" s="67"/>
      <c r="Q2454" s="67"/>
      <c r="R2454" s="67"/>
      <c r="S2454" s="67"/>
      <c r="T2454" s="32"/>
      <c r="U2454" s="32"/>
      <c r="X2454" s="32"/>
      <c r="Y2454" s="32"/>
      <c r="Z2454" s="32"/>
      <c r="AA2454" s="32"/>
      <c r="AB2454" s="32"/>
    </row>
    <row r="2455" spans="2:28" ht="23.25" customHeight="1" x14ac:dyDescent="0.2">
      <c r="B2455" s="75"/>
      <c r="C2455" s="67"/>
      <c r="D2455" s="75"/>
      <c r="E2455" s="67"/>
      <c r="F2455" s="67"/>
      <c r="G2455" s="70"/>
      <c r="H2455" s="70"/>
      <c r="I2455" s="70"/>
      <c r="J2455" s="70"/>
      <c r="K2455" s="70"/>
      <c r="L2455" s="67"/>
      <c r="M2455" s="67"/>
      <c r="N2455" s="72"/>
      <c r="O2455" s="72"/>
      <c r="P2455" s="67"/>
      <c r="Q2455" s="67"/>
      <c r="R2455" s="67"/>
      <c r="S2455" s="67"/>
      <c r="T2455" s="32"/>
      <c r="U2455" s="32"/>
      <c r="X2455" s="32"/>
      <c r="Y2455" s="32"/>
      <c r="Z2455" s="32"/>
      <c r="AA2455" s="32"/>
      <c r="AB2455" s="32"/>
    </row>
    <row r="2456" spans="2:28" ht="23.25" customHeight="1" x14ac:dyDescent="0.2">
      <c r="B2456" s="75"/>
      <c r="C2456" s="67"/>
      <c r="D2456" s="75"/>
      <c r="E2456" s="67"/>
      <c r="F2456" s="67"/>
      <c r="G2456" s="70"/>
      <c r="H2456" s="70"/>
      <c r="I2456" s="70"/>
      <c r="J2456" s="70"/>
      <c r="K2456" s="70"/>
      <c r="L2456" s="67"/>
      <c r="M2456" s="67"/>
      <c r="N2456" s="72"/>
      <c r="O2456" s="72"/>
      <c r="P2456" s="67"/>
      <c r="Q2456" s="67"/>
      <c r="R2456" s="67"/>
      <c r="S2456" s="67"/>
      <c r="T2456" s="32"/>
      <c r="U2456" s="32"/>
      <c r="X2456" s="32"/>
      <c r="Y2456" s="32"/>
      <c r="Z2456" s="32"/>
      <c r="AA2456" s="32"/>
      <c r="AB2456" s="32"/>
    </row>
    <row r="2457" spans="2:28" ht="23.25" customHeight="1" x14ac:dyDescent="0.2">
      <c r="B2457" s="75"/>
      <c r="C2457" s="67"/>
      <c r="D2457" s="75"/>
      <c r="E2457" s="67"/>
      <c r="F2457" s="67"/>
      <c r="G2457" s="70"/>
      <c r="H2457" s="70"/>
      <c r="I2457" s="70"/>
      <c r="J2457" s="70"/>
      <c r="K2457" s="70"/>
      <c r="L2457" s="67"/>
      <c r="M2457" s="67"/>
      <c r="N2457" s="72"/>
      <c r="O2457" s="72"/>
      <c r="P2457" s="67"/>
      <c r="Q2457" s="67"/>
      <c r="R2457" s="67"/>
      <c r="S2457" s="67"/>
      <c r="T2457" s="32"/>
      <c r="U2457" s="32"/>
      <c r="X2457" s="32"/>
      <c r="Y2457" s="32"/>
      <c r="Z2457" s="32"/>
      <c r="AA2457" s="32"/>
      <c r="AB2457" s="32"/>
    </row>
    <row r="2458" spans="2:28" ht="23.25" customHeight="1" x14ac:dyDescent="0.2">
      <c r="B2458" s="75"/>
      <c r="C2458" s="67"/>
      <c r="D2458" s="75"/>
      <c r="E2458" s="67"/>
      <c r="F2458" s="67"/>
      <c r="G2458" s="70"/>
      <c r="H2458" s="70"/>
      <c r="I2458" s="70"/>
      <c r="J2458" s="70"/>
      <c r="K2458" s="70"/>
      <c r="L2458" s="67"/>
      <c r="M2458" s="67"/>
      <c r="N2458" s="72"/>
      <c r="O2458" s="72"/>
      <c r="P2458" s="67"/>
      <c r="Q2458" s="67"/>
      <c r="R2458" s="67"/>
      <c r="S2458" s="67"/>
      <c r="T2458" s="32"/>
      <c r="U2458" s="32"/>
      <c r="X2458" s="32"/>
      <c r="Y2458" s="32"/>
      <c r="Z2458" s="32"/>
      <c r="AA2458" s="32"/>
      <c r="AB2458" s="32"/>
    </row>
    <row r="2459" spans="2:28" ht="23.25" customHeight="1" x14ac:dyDescent="0.2">
      <c r="B2459" s="75"/>
      <c r="C2459" s="67"/>
      <c r="D2459" s="75"/>
      <c r="E2459" s="67"/>
      <c r="F2459" s="67"/>
      <c r="G2459" s="70"/>
      <c r="H2459" s="70"/>
      <c r="I2459" s="70"/>
      <c r="J2459" s="70"/>
      <c r="K2459" s="70"/>
      <c r="L2459" s="67"/>
      <c r="M2459" s="67"/>
      <c r="N2459" s="72"/>
      <c r="O2459" s="72"/>
      <c r="P2459" s="67"/>
      <c r="Q2459" s="67"/>
      <c r="R2459" s="67"/>
      <c r="S2459" s="67"/>
      <c r="T2459" s="32"/>
      <c r="U2459" s="32"/>
      <c r="X2459" s="32"/>
      <c r="Y2459" s="32"/>
      <c r="Z2459" s="32"/>
      <c r="AA2459" s="32"/>
      <c r="AB2459" s="32"/>
    </row>
    <row r="2460" spans="2:28" ht="23.25" customHeight="1" x14ac:dyDescent="0.2">
      <c r="B2460" s="75"/>
      <c r="C2460" s="67"/>
      <c r="D2460" s="75"/>
      <c r="E2460" s="67"/>
      <c r="F2460" s="67"/>
      <c r="G2460" s="70"/>
      <c r="H2460" s="70"/>
      <c r="I2460" s="70"/>
      <c r="J2460" s="70"/>
      <c r="K2460" s="70"/>
      <c r="L2460" s="67"/>
      <c r="M2460" s="67"/>
      <c r="N2460" s="72"/>
      <c r="O2460" s="72"/>
      <c r="P2460" s="67"/>
      <c r="Q2460" s="67"/>
      <c r="R2460" s="67"/>
      <c r="S2460" s="67"/>
      <c r="T2460" s="32"/>
      <c r="U2460" s="32"/>
      <c r="X2460" s="32"/>
      <c r="Y2460" s="32"/>
      <c r="Z2460" s="32"/>
      <c r="AA2460" s="32"/>
      <c r="AB2460" s="32"/>
    </row>
    <row r="2461" spans="2:28" ht="23.25" customHeight="1" x14ac:dyDescent="0.2">
      <c r="B2461" s="75"/>
      <c r="C2461" s="67"/>
      <c r="D2461" s="75"/>
      <c r="E2461" s="67"/>
      <c r="F2461" s="67"/>
      <c r="G2461" s="70"/>
      <c r="H2461" s="70"/>
      <c r="I2461" s="70"/>
      <c r="J2461" s="70"/>
      <c r="K2461" s="70"/>
      <c r="L2461" s="67"/>
      <c r="M2461" s="67"/>
      <c r="N2461" s="72"/>
      <c r="O2461" s="72"/>
      <c r="P2461" s="67"/>
      <c r="Q2461" s="67"/>
      <c r="R2461" s="67"/>
      <c r="S2461" s="67"/>
      <c r="T2461" s="32"/>
      <c r="U2461" s="32"/>
      <c r="X2461" s="32"/>
      <c r="Y2461" s="32"/>
      <c r="Z2461" s="32"/>
      <c r="AA2461" s="32"/>
      <c r="AB2461" s="32"/>
    </row>
    <row r="2462" spans="2:28" ht="23.25" customHeight="1" x14ac:dyDescent="0.2">
      <c r="B2462" s="75"/>
      <c r="C2462" s="67"/>
      <c r="D2462" s="75"/>
      <c r="E2462" s="67"/>
      <c r="F2462" s="67"/>
      <c r="G2462" s="70"/>
      <c r="H2462" s="70"/>
      <c r="I2462" s="70"/>
      <c r="J2462" s="70"/>
      <c r="K2462" s="70"/>
      <c r="L2462" s="67"/>
      <c r="M2462" s="67"/>
      <c r="N2462" s="72"/>
      <c r="O2462" s="72"/>
      <c r="P2462" s="67"/>
      <c r="Q2462" s="67"/>
      <c r="R2462" s="67"/>
      <c r="S2462" s="67"/>
      <c r="T2462" s="32"/>
      <c r="U2462" s="32"/>
      <c r="X2462" s="32"/>
      <c r="Y2462" s="32"/>
      <c r="Z2462" s="32"/>
      <c r="AA2462" s="32"/>
      <c r="AB2462" s="32"/>
    </row>
    <row r="2463" spans="2:28" ht="23.25" customHeight="1" x14ac:dyDescent="0.2">
      <c r="B2463" s="75"/>
      <c r="C2463" s="67"/>
      <c r="D2463" s="75"/>
      <c r="E2463" s="67"/>
      <c r="F2463" s="67"/>
      <c r="G2463" s="70"/>
      <c r="H2463" s="70"/>
      <c r="I2463" s="70"/>
      <c r="J2463" s="70"/>
      <c r="K2463" s="70"/>
      <c r="L2463" s="67"/>
      <c r="M2463" s="67"/>
      <c r="N2463" s="72"/>
      <c r="O2463" s="72"/>
      <c r="P2463" s="67"/>
      <c r="Q2463" s="67"/>
      <c r="R2463" s="67"/>
      <c r="S2463" s="67"/>
      <c r="T2463" s="32"/>
      <c r="U2463" s="32"/>
      <c r="X2463" s="32"/>
      <c r="Y2463" s="32"/>
      <c r="Z2463" s="32"/>
      <c r="AA2463" s="32"/>
      <c r="AB2463" s="32"/>
    </row>
    <row r="2464" spans="2:28" ht="23.25" customHeight="1" x14ac:dyDescent="0.2">
      <c r="B2464" s="75"/>
      <c r="C2464" s="67"/>
      <c r="D2464" s="75"/>
      <c r="E2464" s="67"/>
      <c r="F2464" s="67"/>
      <c r="G2464" s="70"/>
      <c r="H2464" s="70"/>
      <c r="I2464" s="70"/>
      <c r="J2464" s="70"/>
      <c r="K2464" s="70"/>
      <c r="L2464" s="67"/>
      <c r="M2464" s="67"/>
      <c r="N2464" s="72"/>
      <c r="O2464" s="72"/>
      <c r="P2464" s="67"/>
      <c r="Q2464" s="67"/>
      <c r="R2464" s="67"/>
      <c r="S2464" s="67"/>
      <c r="T2464" s="32"/>
      <c r="U2464" s="32"/>
      <c r="X2464" s="32"/>
      <c r="Y2464" s="32"/>
      <c r="Z2464" s="32"/>
      <c r="AA2464" s="32"/>
      <c r="AB2464" s="32"/>
    </row>
    <row r="2465" spans="2:28" ht="23.25" customHeight="1" x14ac:dyDescent="0.2">
      <c r="B2465" s="75"/>
      <c r="C2465" s="67"/>
      <c r="D2465" s="75"/>
      <c r="E2465" s="67"/>
      <c r="F2465" s="67"/>
      <c r="G2465" s="70"/>
      <c r="H2465" s="70"/>
      <c r="I2465" s="70"/>
      <c r="J2465" s="70"/>
      <c r="K2465" s="70"/>
      <c r="L2465" s="67"/>
      <c r="M2465" s="67"/>
      <c r="N2465" s="72"/>
      <c r="O2465" s="72"/>
      <c r="P2465" s="67"/>
      <c r="Q2465" s="67"/>
      <c r="R2465" s="67"/>
      <c r="S2465" s="67"/>
      <c r="T2465" s="32"/>
      <c r="U2465" s="32"/>
      <c r="X2465" s="32"/>
      <c r="Y2465" s="32"/>
      <c r="Z2465" s="32"/>
      <c r="AA2465" s="32"/>
      <c r="AB2465" s="32"/>
    </row>
    <row r="2466" spans="2:28" ht="23.25" customHeight="1" x14ac:dyDescent="0.2">
      <c r="B2466" s="75"/>
      <c r="C2466" s="67"/>
      <c r="D2466" s="75"/>
      <c r="E2466" s="67"/>
      <c r="F2466" s="67"/>
      <c r="G2466" s="70"/>
      <c r="H2466" s="70"/>
      <c r="I2466" s="70"/>
      <c r="J2466" s="70"/>
      <c r="K2466" s="70"/>
      <c r="L2466" s="67"/>
      <c r="M2466" s="67"/>
      <c r="N2466" s="72"/>
      <c r="O2466" s="72"/>
      <c r="P2466" s="67"/>
      <c r="Q2466" s="67"/>
      <c r="R2466" s="67"/>
      <c r="S2466" s="67"/>
      <c r="T2466" s="32"/>
      <c r="U2466" s="32"/>
      <c r="X2466" s="32"/>
      <c r="Y2466" s="32"/>
      <c r="Z2466" s="32"/>
      <c r="AA2466" s="32"/>
      <c r="AB2466" s="32"/>
    </row>
    <row r="2467" spans="2:28" ht="23.25" customHeight="1" x14ac:dyDescent="0.2">
      <c r="B2467" s="75"/>
      <c r="C2467" s="67"/>
      <c r="D2467" s="75"/>
      <c r="E2467" s="67"/>
      <c r="F2467" s="67"/>
      <c r="G2467" s="70"/>
      <c r="H2467" s="70"/>
      <c r="I2467" s="70"/>
      <c r="J2467" s="70"/>
      <c r="K2467" s="70"/>
      <c r="L2467" s="67"/>
      <c r="M2467" s="67"/>
      <c r="N2467" s="72"/>
      <c r="O2467" s="72"/>
      <c r="P2467" s="67"/>
      <c r="Q2467" s="67"/>
      <c r="R2467" s="67"/>
      <c r="S2467" s="67"/>
      <c r="T2467" s="32"/>
      <c r="U2467" s="32"/>
      <c r="X2467" s="32"/>
      <c r="Y2467" s="32"/>
      <c r="Z2467" s="32"/>
      <c r="AA2467" s="32"/>
      <c r="AB2467" s="32"/>
    </row>
    <row r="2468" spans="2:28" ht="23.25" customHeight="1" x14ac:dyDescent="0.2">
      <c r="B2468" s="75"/>
      <c r="C2468" s="67"/>
      <c r="D2468" s="75"/>
      <c r="E2468" s="67"/>
      <c r="F2468" s="67"/>
      <c r="G2468" s="70"/>
      <c r="H2468" s="70"/>
      <c r="I2468" s="70"/>
      <c r="J2468" s="70"/>
      <c r="K2468" s="70"/>
      <c r="L2468" s="67"/>
      <c r="M2468" s="67"/>
      <c r="N2468" s="72"/>
      <c r="O2468" s="72"/>
      <c r="P2468" s="67"/>
      <c r="Q2468" s="67"/>
      <c r="R2468" s="67"/>
      <c r="S2468" s="67"/>
      <c r="T2468" s="32"/>
      <c r="U2468" s="32"/>
      <c r="X2468" s="32"/>
      <c r="Y2468" s="32"/>
      <c r="Z2468" s="32"/>
      <c r="AA2468" s="32"/>
      <c r="AB2468" s="32"/>
    </row>
    <row r="2469" spans="2:28" ht="23.25" customHeight="1" x14ac:dyDescent="0.2">
      <c r="B2469" s="75"/>
      <c r="C2469" s="67"/>
      <c r="D2469" s="75"/>
      <c r="E2469" s="67"/>
      <c r="F2469" s="67"/>
      <c r="G2469" s="70"/>
      <c r="H2469" s="70"/>
      <c r="I2469" s="70"/>
      <c r="J2469" s="70"/>
      <c r="K2469" s="70"/>
      <c r="L2469" s="67"/>
      <c r="M2469" s="67"/>
      <c r="N2469" s="72"/>
      <c r="O2469" s="72"/>
      <c r="P2469" s="67"/>
      <c r="Q2469" s="67"/>
      <c r="R2469" s="67"/>
      <c r="S2469" s="67"/>
      <c r="T2469" s="32"/>
      <c r="U2469" s="32"/>
      <c r="X2469" s="32"/>
      <c r="Y2469" s="32"/>
      <c r="Z2469" s="32"/>
      <c r="AA2469" s="32"/>
      <c r="AB2469" s="32"/>
    </row>
    <row r="2470" spans="2:28" ht="23.25" customHeight="1" x14ac:dyDescent="0.2">
      <c r="B2470" s="75"/>
      <c r="C2470" s="67"/>
      <c r="D2470" s="75"/>
      <c r="E2470" s="67"/>
      <c r="F2470" s="67"/>
      <c r="G2470" s="70"/>
      <c r="H2470" s="70"/>
      <c r="I2470" s="70"/>
      <c r="J2470" s="70"/>
      <c r="K2470" s="70"/>
      <c r="L2470" s="67"/>
      <c r="M2470" s="67"/>
      <c r="N2470" s="72"/>
      <c r="O2470" s="72"/>
      <c r="P2470" s="67"/>
      <c r="Q2470" s="67"/>
      <c r="R2470" s="67"/>
      <c r="S2470" s="67"/>
      <c r="T2470" s="32"/>
      <c r="U2470" s="32"/>
      <c r="X2470" s="32"/>
      <c r="Y2470" s="32"/>
      <c r="Z2470" s="32"/>
      <c r="AA2470" s="32"/>
      <c r="AB2470" s="32"/>
    </row>
    <row r="2471" spans="2:28" ht="23.25" customHeight="1" x14ac:dyDescent="0.2">
      <c r="B2471" s="75"/>
      <c r="C2471" s="67"/>
      <c r="D2471" s="75"/>
      <c r="E2471" s="67"/>
      <c r="F2471" s="67"/>
      <c r="G2471" s="70"/>
      <c r="H2471" s="70"/>
      <c r="I2471" s="70"/>
      <c r="J2471" s="70"/>
      <c r="K2471" s="70"/>
      <c r="L2471" s="67"/>
      <c r="M2471" s="67"/>
      <c r="N2471" s="72"/>
      <c r="O2471" s="72"/>
      <c r="P2471" s="67"/>
      <c r="Q2471" s="67"/>
      <c r="R2471" s="67"/>
      <c r="S2471" s="67"/>
      <c r="T2471" s="32"/>
      <c r="U2471" s="32"/>
      <c r="X2471" s="32"/>
      <c r="Y2471" s="32"/>
      <c r="Z2471" s="32"/>
      <c r="AA2471" s="32"/>
      <c r="AB2471" s="32"/>
    </row>
    <row r="2472" spans="2:28" ht="23.25" customHeight="1" x14ac:dyDescent="0.2">
      <c r="B2472" s="75"/>
      <c r="C2472" s="67"/>
      <c r="D2472" s="75"/>
      <c r="E2472" s="67"/>
      <c r="F2472" s="67"/>
      <c r="G2472" s="70"/>
      <c r="H2472" s="70"/>
      <c r="I2472" s="70"/>
      <c r="J2472" s="70"/>
      <c r="K2472" s="70"/>
      <c r="L2472" s="67"/>
      <c r="M2472" s="67"/>
      <c r="N2472" s="72"/>
      <c r="O2472" s="72"/>
      <c r="P2472" s="67"/>
      <c r="Q2472" s="67"/>
      <c r="R2472" s="67"/>
      <c r="S2472" s="67"/>
      <c r="T2472" s="32"/>
      <c r="U2472" s="32"/>
      <c r="X2472" s="32"/>
      <c r="Y2472" s="32"/>
      <c r="Z2472" s="32"/>
      <c r="AA2472" s="32"/>
      <c r="AB2472" s="32"/>
    </row>
    <row r="2473" spans="2:28" ht="23.25" customHeight="1" x14ac:dyDescent="0.2">
      <c r="B2473" s="75"/>
      <c r="C2473" s="67"/>
      <c r="D2473" s="75"/>
      <c r="E2473" s="67"/>
      <c r="F2473" s="67"/>
      <c r="G2473" s="70"/>
      <c r="H2473" s="70"/>
      <c r="I2473" s="70"/>
      <c r="J2473" s="70"/>
      <c r="K2473" s="70"/>
      <c r="L2473" s="67"/>
      <c r="M2473" s="67"/>
      <c r="N2473" s="72"/>
      <c r="O2473" s="72"/>
      <c r="P2473" s="67"/>
      <c r="Q2473" s="67"/>
      <c r="R2473" s="67"/>
      <c r="S2473" s="67"/>
      <c r="T2473" s="32"/>
      <c r="U2473" s="32"/>
      <c r="X2473" s="32"/>
      <c r="Y2473" s="32"/>
      <c r="Z2473" s="32"/>
      <c r="AA2473" s="32"/>
      <c r="AB2473" s="32"/>
    </row>
    <row r="2474" spans="2:28" ht="23.25" customHeight="1" x14ac:dyDescent="0.2">
      <c r="B2474" s="75"/>
      <c r="C2474" s="67"/>
      <c r="D2474" s="75"/>
      <c r="E2474" s="67"/>
      <c r="F2474" s="67"/>
      <c r="G2474" s="70"/>
      <c r="H2474" s="70"/>
      <c r="I2474" s="70"/>
      <c r="J2474" s="70"/>
      <c r="K2474" s="70"/>
      <c r="L2474" s="67"/>
      <c r="M2474" s="67"/>
      <c r="N2474" s="72"/>
      <c r="O2474" s="72"/>
      <c r="P2474" s="67"/>
      <c r="Q2474" s="67"/>
      <c r="R2474" s="67"/>
      <c r="S2474" s="67"/>
      <c r="T2474" s="32"/>
      <c r="U2474" s="32"/>
      <c r="X2474" s="32"/>
      <c r="Y2474" s="32"/>
      <c r="Z2474" s="32"/>
      <c r="AA2474" s="32"/>
      <c r="AB2474" s="32"/>
    </row>
    <row r="2475" spans="2:28" ht="23.25" customHeight="1" x14ac:dyDescent="0.2">
      <c r="B2475" s="75"/>
      <c r="C2475" s="67"/>
      <c r="D2475" s="75"/>
      <c r="E2475" s="67"/>
      <c r="F2475" s="67"/>
      <c r="G2475" s="70"/>
      <c r="H2475" s="70"/>
      <c r="I2475" s="70"/>
      <c r="J2475" s="70"/>
      <c r="K2475" s="70"/>
      <c r="L2475" s="67"/>
      <c r="M2475" s="67"/>
      <c r="N2475" s="72"/>
      <c r="O2475" s="72"/>
      <c r="P2475" s="67"/>
      <c r="Q2475" s="67"/>
      <c r="R2475" s="67"/>
      <c r="S2475" s="67"/>
      <c r="T2475" s="32"/>
      <c r="U2475" s="32"/>
      <c r="X2475" s="32"/>
      <c r="Y2475" s="32"/>
      <c r="Z2475" s="32"/>
      <c r="AA2475" s="32"/>
      <c r="AB2475" s="32"/>
    </row>
    <row r="2476" spans="2:28" ht="23.25" customHeight="1" x14ac:dyDescent="0.2">
      <c r="B2476" s="75"/>
      <c r="C2476" s="67"/>
      <c r="D2476" s="75"/>
      <c r="E2476" s="67"/>
      <c r="F2476" s="67"/>
      <c r="G2476" s="70"/>
      <c r="H2476" s="70"/>
      <c r="I2476" s="70"/>
      <c r="J2476" s="70"/>
      <c r="K2476" s="70"/>
      <c r="L2476" s="67"/>
      <c r="M2476" s="67"/>
      <c r="N2476" s="72"/>
      <c r="O2476" s="72"/>
      <c r="P2476" s="67"/>
      <c r="Q2476" s="67"/>
      <c r="R2476" s="67"/>
      <c r="S2476" s="67"/>
      <c r="T2476" s="32"/>
      <c r="U2476" s="32"/>
      <c r="X2476" s="32"/>
      <c r="Y2476" s="32"/>
      <c r="Z2476" s="32"/>
      <c r="AA2476" s="32"/>
      <c r="AB2476" s="32"/>
    </row>
    <row r="2477" spans="2:28" ht="23.25" customHeight="1" x14ac:dyDescent="0.2">
      <c r="B2477" s="75"/>
      <c r="C2477" s="67"/>
      <c r="D2477" s="75"/>
      <c r="E2477" s="67"/>
      <c r="F2477" s="67"/>
      <c r="G2477" s="70"/>
      <c r="H2477" s="70"/>
      <c r="I2477" s="70"/>
      <c r="J2477" s="70"/>
      <c r="K2477" s="70"/>
      <c r="L2477" s="67"/>
      <c r="M2477" s="67"/>
      <c r="N2477" s="72"/>
      <c r="O2477" s="72"/>
      <c r="P2477" s="67"/>
      <c r="Q2477" s="67"/>
      <c r="R2477" s="67"/>
      <c r="S2477" s="67"/>
      <c r="T2477" s="32"/>
      <c r="U2477" s="32"/>
      <c r="X2477" s="32"/>
      <c r="Y2477" s="32"/>
      <c r="Z2477" s="32"/>
      <c r="AA2477" s="32"/>
      <c r="AB2477" s="32"/>
    </row>
    <row r="2478" spans="2:28" ht="23.25" customHeight="1" x14ac:dyDescent="0.2">
      <c r="B2478" s="75"/>
      <c r="C2478" s="67"/>
      <c r="D2478" s="75"/>
      <c r="E2478" s="67"/>
      <c r="F2478" s="67"/>
      <c r="G2478" s="70"/>
      <c r="H2478" s="70"/>
      <c r="I2478" s="70"/>
      <c r="J2478" s="70"/>
      <c r="K2478" s="70"/>
      <c r="L2478" s="67"/>
      <c r="M2478" s="67"/>
      <c r="N2478" s="72"/>
      <c r="O2478" s="72"/>
      <c r="P2478" s="67"/>
      <c r="Q2478" s="67"/>
      <c r="R2478" s="67"/>
      <c r="S2478" s="67"/>
      <c r="T2478" s="32"/>
      <c r="U2478" s="32"/>
      <c r="X2478" s="32"/>
      <c r="Y2478" s="32"/>
      <c r="Z2478" s="32"/>
      <c r="AA2478" s="32"/>
      <c r="AB2478" s="32"/>
    </row>
    <row r="2479" spans="2:28" ht="23.25" customHeight="1" x14ac:dyDescent="0.2">
      <c r="B2479" s="75"/>
      <c r="C2479" s="67"/>
      <c r="D2479" s="75"/>
      <c r="E2479" s="67"/>
      <c r="F2479" s="67"/>
      <c r="G2479" s="70"/>
      <c r="H2479" s="70"/>
      <c r="I2479" s="70"/>
      <c r="J2479" s="70"/>
      <c r="K2479" s="70"/>
      <c r="L2479" s="67"/>
      <c r="M2479" s="67"/>
      <c r="N2479" s="72"/>
      <c r="O2479" s="72"/>
      <c r="P2479" s="67"/>
      <c r="Q2479" s="67"/>
      <c r="R2479" s="67"/>
      <c r="S2479" s="67"/>
      <c r="T2479" s="32"/>
      <c r="U2479" s="32"/>
      <c r="X2479" s="32"/>
      <c r="Y2479" s="32"/>
      <c r="Z2479" s="32"/>
      <c r="AA2479" s="32"/>
      <c r="AB2479" s="32"/>
    </row>
    <row r="2480" spans="2:28" ht="23.25" customHeight="1" x14ac:dyDescent="0.2">
      <c r="B2480" s="75"/>
      <c r="C2480" s="67"/>
      <c r="D2480" s="75"/>
      <c r="E2480" s="67"/>
      <c r="F2480" s="67"/>
      <c r="G2480" s="70"/>
      <c r="H2480" s="70"/>
      <c r="I2480" s="70"/>
      <c r="J2480" s="70"/>
      <c r="K2480" s="70"/>
      <c r="L2480" s="67"/>
      <c r="M2480" s="67"/>
      <c r="N2480" s="72"/>
      <c r="O2480" s="72"/>
      <c r="P2480" s="67"/>
      <c r="Q2480" s="67"/>
      <c r="R2480" s="67"/>
      <c r="S2480" s="67"/>
      <c r="T2480" s="32"/>
      <c r="U2480" s="32"/>
      <c r="X2480" s="32"/>
      <c r="Y2480" s="32"/>
      <c r="Z2480" s="32"/>
      <c r="AA2480" s="32"/>
      <c r="AB2480" s="32"/>
    </row>
    <row r="2481" spans="2:28" ht="23.25" customHeight="1" x14ac:dyDescent="0.2">
      <c r="B2481" s="75"/>
      <c r="C2481" s="67"/>
      <c r="D2481" s="75"/>
      <c r="E2481" s="67"/>
      <c r="F2481" s="67"/>
      <c r="G2481" s="70"/>
      <c r="H2481" s="70"/>
      <c r="I2481" s="70"/>
      <c r="J2481" s="70"/>
      <c r="K2481" s="70"/>
      <c r="L2481" s="67"/>
      <c r="M2481" s="67"/>
      <c r="N2481" s="72"/>
      <c r="O2481" s="72"/>
      <c r="P2481" s="67"/>
      <c r="Q2481" s="67"/>
      <c r="R2481" s="67"/>
      <c r="S2481" s="67"/>
      <c r="T2481" s="32"/>
      <c r="U2481" s="32"/>
      <c r="X2481" s="32"/>
      <c r="Y2481" s="32"/>
      <c r="Z2481" s="32"/>
      <c r="AA2481" s="32"/>
      <c r="AB2481" s="32"/>
    </row>
    <row r="2482" spans="2:28" ht="23.25" customHeight="1" x14ac:dyDescent="0.2">
      <c r="B2482" s="75"/>
      <c r="C2482" s="67"/>
      <c r="D2482" s="75"/>
      <c r="E2482" s="67"/>
      <c r="F2482" s="67"/>
      <c r="G2482" s="70"/>
      <c r="H2482" s="70"/>
      <c r="I2482" s="70"/>
      <c r="J2482" s="70"/>
      <c r="K2482" s="70"/>
      <c r="L2482" s="67"/>
      <c r="M2482" s="67"/>
      <c r="N2482" s="72"/>
      <c r="O2482" s="72"/>
      <c r="P2482" s="67"/>
      <c r="Q2482" s="67"/>
      <c r="R2482" s="67"/>
      <c r="S2482" s="67"/>
      <c r="T2482" s="32"/>
      <c r="U2482" s="32"/>
      <c r="X2482" s="32"/>
      <c r="Y2482" s="32"/>
      <c r="Z2482" s="32"/>
      <c r="AA2482" s="32"/>
      <c r="AB2482" s="32"/>
    </row>
    <row r="2483" spans="2:28" ht="23.25" customHeight="1" x14ac:dyDescent="0.2">
      <c r="B2483" s="75"/>
      <c r="C2483" s="67"/>
      <c r="D2483" s="75"/>
      <c r="E2483" s="67"/>
      <c r="F2483" s="67"/>
      <c r="G2483" s="70"/>
      <c r="H2483" s="70"/>
      <c r="I2483" s="70"/>
      <c r="J2483" s="70"/>
      <c r="K2483" s="70"/>
      <c r="L2483" s="67"/>
      <c r="M2483" s="67"/>
      <c r="N2483" s="72"/>
      <c r="O2483" s="72"/>
      <c r="P2483" s="67"/>
      <c r="Q2483" s="67"/>
      <c r="R2483" s="67"/>
      <c r="S2483" s="67"/>
      <c r="T2483" s="32"/>
      <c r="U2483" s="32"/>
      <c r="X2483" s="32"/>
      <c r="Y2483" s="32"/>
      <c r="Z2483" s="32"/>
      <c r="AA2483" s="32"/>
      <c r="AB2483" s="32"/>
    </row>
    <row r="2484" spans="2:28" ht="23.25" customHeight="1" x14ac:dyDescent="0.2">
      <c r="B2484" s="75"/>
      <c r="C2484" s="67"/>
      <c r="D2484" s="75"/>
      <c r="E2484" s="67"/>
      <c r="F2484" s="67"/>
      <c r="G2484" s="70"/>
      <c r="H2484" s="70"/>
      <c r="I2484" s="70"/>
      <c r="J2484" s="70"/>
      <c r="K2484" s="70"/>
      <c r="L2484" s="67"/>
      <c r="M2484" s="67"/>
      <c r="N2484" s="72"/>
      <c r="O2484" s="72"/>
      <c r="P2484" s="67"/>
      <c r="Q2484" s="67"/>
      <c r="R2484" s="67"/>
      <c r="S2484" s="67"/>
      <c r="T2484" s="32"/>
      <c r="U2484" s="32"/>
      <c r="X2484" s="32"/>
      <c r="Y2484" s="32"/>
      <c r="Z2484" s="32"/>
      <c r="AA2484" s="32"/>
      <c r="AB2484" s="32"/>
    </row>
    <row r="2485" spans="2:28" ht="23.25" customHeight="1" x14ac:dyDescent="0.2">
      <c r="B2485" s="75"/>
      <c r="C2485" s="67"/>
      <c r="D2485" s="75"/>
      <c r="E2485" s="67"/>
      <c r="F2485" s="67"/>
      <c r="G2485" s="70"/>
      <c r="H2485" s="70"/>
      <c r="I2485" s="70"/>
      <c r="J2485" s="70"/>
      <c r="K2485" s="70"/>
      <c r="L2485" s="67"/>
      <c r="M2485" s="67"/>
      <c r="N2485" s="72"/>
      <c r="O2485" s="72"/>
      <c r="P2485" s="67"/>
      <c r="Q2485" s="67"/>
      <c r="R2485" s="67"/>
      <c r="S2485" s="67"/>
      <c r="T2485" s="32"/>
      <c r="U2485" s="32"/>
      <c r="X2485" s="32"/>
      <c r="Y2485" s="32"/>
      <c r="Z2485" s="32"/>
      <c r="AA2485" s="32"/>
      <c r="AB2485" s="32"/>
    </row>
    <row r="2486" spans="2:28" ht="23.25" customHeight="1" x14ac:dyDescent="0.2">
      <c r="B2486" s="75"/>
      <c r="C2486" s="67"/>
      <c r="D2486" s="75"/>
      <c r="E2486" s="67"/>
      <c r="F2486" s="67"/>
      <c r="G2486" s="70"/>
      <c r="H2486" s="70"/>
      <c r="I2486" s="70"/>
      <c r="J2486" s="70"/>
      <c r="K2486" s="70"/>
      <c r="L2486" s="67"/>
      <c r="M2486" s="67"/>
      <c r="N2486" s="72"/>
      <c r="O2486" s="72"/>
      <c r="P2486" s="67"/>
      <c r="Q2486" s="67"/>
      <c r="R2486" s="67"/>
      <c r="S2486" s="67"/>
      <c r="T2486" s="32"/>
      <c r="U2486" s="32"/>
      <c r="X2486" s="32"/>
      <c r="Y2486" s="32"/>
      <c r="Z2486" s="32"/>
      <c r="AA2486" s="32"/>
      <c r="AB2486" s="32"/>
    </row>
    <row r="2487" spans="2:28" ht="23.25" customHeight="1" x14ac:dyDescent="0.2">
      <c r="B2487" s="75"/>
      <c r="C2487" s="67"/>
      <c r="D2487" s="75"/>
      <c r="E2487" s="67"/>
      <c r="F2487" s="67"/>
      <c r="G2487" s="70"/>
      <c r="H2487" s="70"/>
      <c r="I2487" s="70"/>
      <c r="J2487" s="70"/>
      <c r="K2487" s="70"/>
      <c r="L2487" s="67"/>
      <c r="M2487" s="67"/>
      <c r="N2487" s="72"/>
      <c r="O2487" s="72"/>
      <c r="P2487" s="67"/>
      <c r="Q2487" s="67"/>
      <c r="R2487" s="67"/>
      <c r="S2487" s="67"/>
      <c r="T2487" s="32"/>
      <c r="U2487" s="32"/>
      <c r="X2487" s="32"/>
      <c r="Y2487" s="32"/>
      <c r="Z2487" s="32"/>
      <c r="AA2487" s="32"/>
      <c r="AB2487" s="32"/>
    </row>
    <row r="2488" spans="2:28" ht="23.25" customHeight="1" x14ac:dyDescent="0.2">
      <c r="B2488" s="75"/>
      <c r="C2488" s="67"/>
      <c r="D2488" s="75"/>
      <c r="E2488" s="67"/>
      <c r="F2488" s="67"/>
      <c r="G2488" s="70"/>
      <c r="H2488" s="70"/>
      <c r="I2488" s="70"/>
      <c r="J2488" s="70"/>
      <c r="K2488" s="70"/>
      <c r="L2488" s="67"/>
      <c r="M2488" s="67"/>
      <c r="N2488" s="72"/>
      <c r="O2488" s="72"/>
      <c r="P2488" s="67"/>
      <c r="Q2488" s="67"/>
      <c r="R2488" s="67"/>
      <c r="S2488" s="67"/>
      <c r="T2488" s="32"/>
      <c r="U2488" s="32"/>
      <c r="X2488" s="32"/>
      <c r="Y2488" s="32"/>
      <c r="Z2488" s="32"/>
      <c r="AA2488" s="32"/>
      <c r="AB2488" s="32"/>
    </row>
    <row r="2489" spans="2:28" ht="23.25" customHeight="1" x14ac:dyDescent="0.2">
      <c r="B2489" s="75"/>
      <c r="C2489" s="67"/>
      <c r="D2489" s="75"/>
      <c r="E2489" s="67"/>
      <c r="F2489" s="67"/>
      <c r="G2489" s="70"/>
      <c r="H2489" s="70"/>
      <c r="I2489" s="70"/>
      <c r="J2489" s="70"/>
      <c r="K2489" s="70"/>
      <c r="L2489" s="67"/>
      <c r="M2489" s="67"/>
      <c r="N2489" s="72"/>
      <c r="O2489" s="72"/>
      <c r="P2489" s="67"/>
      <c r="Q2489" s="67"/>
      <c r="R2489" s="67"/>
      <c r="S2489" s="67"/>
      <c r="T2489" s="32"/>
      <c r="U2489" s="32"/>
      <c r="X2489" s="32"/>
      <c r="Y2489" s="32"/>
      <c r="Z2489" s="32"/>
      <c r="AA2489" s="32"/>
      <c r="AB2489" s="32"/>
    </row>
    <row r="2490" spans="2:28" ht="23.25" customHeight="1" x14ac:dyDescent="0.2">
      <c r="B2490" s="75"/>
      <c r="C2490" s="67"/>
      <c r="D2490" s="75"/>
      <c r="E2490" s="67"/>
      <c r="F2490" s="67"/>
      <c r="G2490" s="70"/>
      <c r="H2490" s="70"/>
      <c r="I2490" s="70"/>
      <c r="J2490" s="70"/>
      <c r="K2490" s="70"/>
      <c r="L2490" s="67"/>
      <c r="M2490" s="67"/>
      <c r="N2490" s="72"/>
      <c r="O2490" s="72"/>
      <c r="P2490" s="67"/>
      <c r="Q2490" s="67"/>
      <c r="R2490" s="67"/>
      <c r="S2490" s="67"/>
      <c r="T2490" s="32"/>
      <c r="U2490" s="32"/>
      <c r="X2490" s="32"/>
      <c r="Y2490" s="32"/>
      <c r="Z2490" s="32"/>
      <c r="AA2490" s="32"/>
      <c r="AB2490" s="32"/>
    </row>
    <row r="2491" spans="2:28" ht="23.25" customHeight="1" x14ac:dyDescent="0.2">
      <c r="B2491" s="75"/>
      <c r="C2491" s="67"/>
      <c r="D2491" s="75"/>
      <c r="E2491" s="67"/>
      <c r="F2491" s="67"/>
      <c r="G2491" s="70"/>
      <c r="H2491" s="70"/>
      <c r="I2491" s="70"/>
      <c r="J2491" s="70"/>
      <c r="K2491" s="70"/>
      <c r="L2491" s="67"/>
      <c r="M2491" s="67"/>
      <c r="N2491" s="72"/>
      <c r="O2491" s="72"/>
      <c r="P2491" s="67"/>
      <c r="Q2491" s="67"/>
      <c r="R2491" s="67"/>
      <c r="S2491" s="67"/>
      <c r="T2491" s="32"/>
      <c r="U2491" s="32"/>
      <c r="X2491" s="32"/>
      <c r="Y2491" s="32"/>
      <c r="Z2491" s="32"/>
      <c r="AA2491" s="32"/>
      <c r="AB2491" s="32"/>
    </row>
    <row r="2492" spans="2:28" ht="23.25" customHeight="1" x14ac:dyDescent="0.2">
      <c r="B2492" s="75"/>
      <c r="C2492" s="67"/>
      <c r="D2492" s="75"/>
      <c r="E2492" s="67"/>
      <c r="F2492" s="67"/>
      <c r="G2492" s="70"/>
      <c r="H2492" s="70"/>
      <c r="I2492" s="70"/>
      <c r="J2492" s="70"/>
      <c r="K2492" s="70"/>
      <c r="L2492" s="67"/>
      <c r="M2492" s="67"/>
      <c r="N2492" s="72"/>
      <c r="O2492" s="72"/>
      <c r="P2492" s="67"/>
      <c r="Q2492" s="67"/>
      <c r="R2492" s="67"/>
      <c r="S2492" s="67"/>
      <c r="T2492" s="32"/>
      <c r="U2492" s="32"/>
      <c r="X2492" s="32"/>
      <c r="Y2492" s="32"/>
      <c r="Z2492" s="32"/>
      <c r="AA2492" s="32"/>
      <c r="AB2492" s="32"/>
    </row>
    <row r="2493" spans="2:28" ht="23.25" customHeight="1" x14ac:dyDescent="0.2">
      <c r="B2493" s="75"/>
      <c r="C2493" s="67"/>
      <c r="D2493" s="75"/>
      <c r="E2493" s="67"/>
      <c r="F2493" s="67"/>
      <c r="G2493" s="70"/>
      <c r="H2493" s="70"/>
      <c r="I2493" s="70"/>
      <c r="J2493" s="70"/>
      <c r="K2493" s="70"/>
      <c r="L2493" s="67"/>
      <c r="M2493" s="67"/>
      <c r="N2493" s="72"/>
      <c r="O2493" s="72"/>
      <c r="P2493" s="67"/>
      <c r="Q2493" s="67"/>
      <c r="R2493" s="67"/>
      <c r="S2493" s="67"/>
      <c r="T2493" s="32"/>
      <c r="U2493" s="32"/>
      <c r="X2493" s="32"/>
      <c r="Y2493" s="32"/>
      <c r="Z2493" s="32"/>
      <c r="AA2493" s="32"/>
      <c r="AB2493" s="32"/>
    </row>
    <row r="2494" spans="2:28" ht="23.25" customHeight="1" x14ac:dyDescent="0.2">
      <c r="B2494" s="75"/>
      <c r="C2494" s="67"/>
      <c r="D2494" s="75"/>
      <c r="E2494" s="67"/>
      <c r="F2494" s="67"/>
      <c r="G2494" s="70"/>
      <c r="H2494" s="70"/>
      <c r="I2494" s="70"/>
      <c r="J2494" s="70"/>
      <c r="K2494" s="70"/>
      <c r="L2494" s="67"/>
      <c r="M2494" s="67"/>
      <c r="N2494" s="72"/>
      <c r="O2494" s="72"/>
      <c r="P2494" s="67"/>
      <c r="Q2494" s="67"/>
      <c r="R2494" s="67"/>
      <c r="S2494" s="67"/>
      <c r="T2494" s="32"/>
      <c r="U2494" s="32"/>
      <c r="X2494" s="32"/>
      <c r="Y2494" s="32"/>
      <c r="Z2494" s="32"/>
      <c r="AA2494" s="32"/>
      <c r="AB2494" s="32"/>
    </row>
    <row r="2495" spans="2:28" ht="23.25" customHeight="1" x14ac:dyDescent="0.2">
      <c r="B2495" s="75"/>
      <c r="C2495" s="67"/>
      <c r="D2495" s="75"/>
      <c r="E2495" s="67"/>
      <c r="F2495" s="67"/>
      <c r="G2495" s="70"/>
      <c r="H2495" s="70"/>
      <c r="I2495" s="70"/>
      <c r="J2495" s="70"/>
      <c r="K2495" s="70"/>
      <c r="L2495" s="67"/>
      <c r="M2495" s="67"/>
      <c r="N2495" s="72"/>
      <c r="O2495" s="72"/>
      <c r="P2495" s="67"/>
      <c r="Q2495" s="67"/>
      <c r="R2495" s="67"/>
      <c r="S2495" s="67"/>
      <c r="T2495" s="32"/>
      <c r="U2495" s="32"/>
      <c r="X2495" s="32"/>
      <c r="Y2495" s="32"/>
      <c r="Z2495" s="32"/>
      <c r="AA2495" s="32"/>
      <c r="AB2495" s="32"/>
    </row>
    <row r="2496" spans="2:28" ht="23.25" customHeight="1" x14ac:dyDescent="0.2">
      <c r="B2496" s="75"/>
      <c r="C2496" s="67"/>
      <c r="D2496" s="75"/>
      <c r="E2496" s="67"/>
      <c r="F2496" s="67"/>
      <c r="G2496" s="70"/>
      <c r="H2496" s="70"/>
      <c r="I2496" s="70"/>
      <c r="J2496" s="70"/>
      <c r="K2496" s="70"/>
      <c r="L2496" s="67"/>
      <c r="M2496" s="67"/>
      <c r="N2496" s="72"/>
      <c r="O2496" s="72"/>
      <c r="P2496" s="67"/>
      <c r="Q2496" s="67"/>
      <c r="R2496" s="67"/>
      <c r="S2496" s="67"/>
      <c r="T2496" s="32"/>
      <c r="U2496" s="32"/>
      <c r="X2496" s="32"/>
      <c r="Y2496" s="32"/>
      <c r="Z2496" s="32"/>
      <c r="AA2496" s="32"/>
      <c r="AB2496" s="32"/>
    </row>
    <row r="2497" spans="2:28" ht="23.25" customHeight="1" x14ac:dyDescent="0.2">
      <c r="B2497" s="75"/>
      <c r="C2497" s="67"/>
      <c r="D2497" s="75"/>
      <c r="E2497" s="67"/>
      <c r="F2497" s="67"/>
      <c r="G2497" s="70"/>
      <c r="H2497" s="70"/>
      <c r="I2497" s="70"/>
      <c r="J2497" s="70"/>
      <c r="K2497" s="70"/>
      <c r="L2497" s="67"/>
      <c r="M2497" s="67"/>
      <c r="N2497" s="72"/>
      <c r="O2497" s="72"/>
      <c r="P2497" s="67"/>
      <c r="Q2497" s="67"/>
      <c r="R2497" s="67"/>
      <c r="S2497" s="67"/>
      <c r="T2497" s="32"/>
      <c r="U2497" s="32"/>
      <c r="X2497" s="32"/>
      <c r="Y2497" s="32"/>
      <c r="Z2497" s="32"/>
      <c r="AA2497" s="32"/>
      <c r="AB2497" s="32"/>
    </row>
    <row r="2498" spans="2:28" ht="23.25" customHeight="1" x14ac:dyDescent="0.2">
      <c r="B2498" s="75"/>
      <c r="C2498" s="67"/>
      <c r="D2498" s="75"/>
      <c r="E2498" s="67"/>
      <c r="F2498" s="67"/>
      <c r="G2498" s="70"/>
      <c r="H2498" s="70"/>
      <c r="I2498" s="70"/>
      <c r="J2498" s="70"/>
      <c r="K2498" s="70"/>
      <c r="L2498" s="67"/>
      <c r="M2498" s="67"/>
      <c r="N2498" s="72"/>
      <c r="O2498" s="72"/>
      <c r="P2498" s="67"/>
      <c r="Q2498" s="67"/>
      <c r="R2498" s="67"/>
      <c r="S2498" s="67"/>
      <c r="T2498" s="32"/>
      <c r="U2498" s="32"/>
      <c r="X2498" s="32"/>
      <c r="Y2498" s="32"/>
      <c r="Z2498" s="32"/>
      <c r="AA2498" s="32"/>
      <c r="AB2498" s="32"/>
    </row>
    <row r="2499" spans="2:28" ht="23.25" customHeight="1" x14ac:dyDescent="0.2">
      <c r="B2499" s="75"/>
      <c r="C2499" s="67"/>
      <c r="D2499" s="75"/>
      <c r="E2499" s="67"/>
      <c r="F2499" s="67"/>
      <c r="G2499" s="70"/>
      <c r="H2499" s="70"/>
      <c r="I2499" s="70"/>
      <c r="J2499" s="70"/>
      <c r="K2499" s="70"/>
      <c r="L2499" s="67"/>
      <c r="M2499" s="67"/>
      <c r="N2499" s="72"/>
      <c r="O2499" s="72"/>
      <c r="P2499" s="67"/>
      <c r="Q2499" s="67"/>
      <c r="R2499" s="67"/>
      <c r="S2499" s="67"/>
      <c r="T2499" s="32"/>
      <c r="U2499" s="32"/>
      <c r="X2499" s="32"/>
      <c r="Y2499" s="32"/>
      <c r="Z2499" s="32"/>
      <c r="AA2499" s="32"/>
      <c r="AB2499" s="32"/>
    </row>
    <row r="2500" spans="2:28" ht="23.25" customHeight="1" x14ac:dyDescent="0.2">
      <c r="B2500" s="75"/>
      <c r="C2500" s="67"/>
      <c r="D2500" s="75"/>
      <c r="E2500" s="67"/>
      <c r="F2500" s="67"/>
      <c r="G2500" s="70"/>
      <c r="H2500" s="70"/>
      <c r="I2500" s="70"/>
      <c r="J2500" s="70"/>
      <c r="K2500" s="70"/>
      <c r="L2500" s="67"/>
      <c r="M2500" s="67"/>
      <c r="N2500" s="72"/>
      <c r="O2500" s="72"/>
      <c r="P2500" s="67"/>
      <c r="Q2500" s="67"/>
      <c r="R2500" s="67"/>
      <c r="S2500" s="67"/>
      <c r="T2500" s="32"/>
      <c r="U2500" s="32"/>
      <c r="X2500" s="32"/>
      <c r="Y2500" s="32"/>
      <c r="Z2500" s="32"/>
      <c r="AA2500" s="32"/>
      <c r="AB2500" s="32"/>
    </row>
    <row r="2501" spans="2:28" ht="23.25" customHeight="1" x14ac:dyDescent="0.2">
      <c r="B2501" s="75"/>
      <c r="C2501" s="67"/>
      <c r="D2501" s="75"/>
      <c r="E2501" s="67"/>
      <c r="F2501" s="67"/>
      <c r="G2501" s="70"/>
      <c r="H2501" s="70"/>
      <c r="I2501" s="70"/>
      <c r="J2501" s="70"/>
      <c r="K2501" s="70"/>
      <c r="L2501" s="67"/>
      <c r="M2501" s="67"/>
      <c r="N2501" s="72"/>
      <c r="O2501" s="72"/>
      <c r="P2501" s="67"/>
      <c r="Q2501" s="67"/>
      <c r="R2501" s="67"/>
      <c r="S2501" s="67"/>
      <c r="T2501" s="32"/>
      <c r="U2501" s="32"/>
      <c r="X2501" s="32"/>
      <c r="Y2501" s="32"/>
      <c r="Z2501" s="32"/>
      <c r="AA2501" s="32"/>
      <c r="AB2501" s="32"/>
    </row>
    <row r="2502" spans="2:28" ht="23.25" customHeight="1" x14ac:dyDescent="0.2">
      <c r="B2502" s="75"/>
      <c r="C2502" s="67"/>
      <c r="D2502" s="75"/>
      <c r="E2502" s="67"/>
      <c r="F2502" s="67"/>
      <c r="G2502" s="70"/>
      <c r="H2502" s="70"/>
      <c r="I2502" s="70"/>
      <c r="J2502" s="70"/>
      <c r="K2502" s="70"/>
      <c r="L2502" s="67"/>
      <c r="M2502" s="67"/>
      <c r="N2502" s="72"/>
      <c r="O2502" s="72"/>
      <c r="P2502" s="67"/>
      <c r="Q2502" s="67"/>
      <c r="R2502" s="67"/>
      <c r="S2502" s="67"/>
      <c r="T2502" s="32"/>
      <c r="U2502" s="32"/>
      <c r="X2502" s="32"/>
      <c r="Y2502" s="32"/>
      <c r="Z2502" s="32"/>
      <c r="AA2502" s="32"/>
      <c r="AB2502" s="32"/>
    </row>
    <row r="2503" spans="2:28" ht="23.25" customHeight="1" x14ac:dyDescent="0.2">
      <c r="B2503" s="75"/>
      <c r="C2503" s="67"/>
      <c r="D2503" s="75"/>
      <c r="E2503" s="67"/>
      <c r="F2503" s="67"/>
      <c r="G2503" s="70"/>
      <c r="H2503" s="70"/>
      <c r="I2503" s="70"/>
      <c r="J2503" s="70"/>
      <c r="K2503" s="70"/>
      <c r="L2503" s="67"/>
      <c r="M2503" s="67"/>
      <c r="N2503" s="72"/>
      <c r="O2503" s="72"/>
      <c r="P2503" s="67"/>
      <c r="Q2503" s="67"/>
      <c r="R2503" s="67"/>
      <c r="S2503" s="67"/>
      <c r="T2503" s="32"/>
      <c r="U2503" s="32"/>
      <c r="X2503" s="32"/>
      <c r="Y2503" s="32"/>
      <c r="Z2503" s="32"/>
      <c r="AA2503" s="32"/>
      <c r="AB2503" s="32"/>
    </row>
    <row r="2504" spans="2:28" ht="23.25" customHeight="1" x14ac:dyDescent="0.2">
      <c r="B2504" s="75"/>
      <c r="C2504" s="67"/>
      <c r="D2504" s="75"/>
      <c r="E2504" s="67"/>
      <c r="F2504" s="67"/>
      <c r="G2504" s="70"/>
      <c r="H2504" s="70"/>
      <c r="I2504" s="70"/>
      <c r="J2504" s="70"/>
      <c r="K2504" s="70"/>
      <c r="L2504" s="67"/>
      <c r="M2504" s="67"/>
      <c r="N2504" s="72"/>
      <c r="O2504" s="72"/>
      <c r="P2504" s="67"/>
      <c r="Q2504" s="67"/>
      <c r="R2504" s="67"/>
      <c r="S2504" s="67"/>
      <c r="T2504" s="32"/>
      <c r="U2504" s="32"/>
      <c r="X2504" s="32"/>
      <c r="Y2504" s="32"/>
      <c r="Z2504" s="32"/>
      <c r="AA2504" s="32"/>
      <c r="AB2504" s="32"/>
    </row>
    <row r="2505" spans="2:28" ht="23.25" customHeight="1" x14ac:dyDescent="0.2">
      <c r="B2505" s="75"/>
      <c r="C2505" s="67"/>
      <c r="D2505" s="75"/>
      <c r="E2505" s="67"/>
      <c r="F2505" s="67"/>
      <c r="G2505" s="70"/>
      <c r="H2505" s="70"/>
      <c r="I2505" s="70"/>
      <c r="J2505" s="70"/>
      <c r="K2505" s="70"/>
      <c r="L2505" s="67"/>
      <c r="M2505" s="67"/>
      <c r="N2505" s="72"/>
      <c r="O2505" s="72"/>
      <c r="P2505" s="67"/>
      <c r="Q2505" s="67"/>
      <c r="R2505" s="67"/>
      <c r="S2505" s="67"/>
      <c r="T2505" s="32"/>
      <c r="U2505" s="32"/>
      <c r="X2505" s="32"/>
      <c r="Y2505" s="32"/>
      <c r="Z2505" s="32"/>
      <c r="AA2505" s="32"/>
      <c r="AB2505" s="32"/>
    </row>
    <row r="2506" spans="2:28" ht="23.25" customHeight="1" x14ac:dyDescent="0.2">
      <c r="B2506" s="75"/>
      <c r="C2506" s="67"/>
      <c r="D2506" s="75"/>
      <c r="E2506" s="67"/>
      <c r="F2506" s="67"/>
      <c r="G2506" s="70"/>
      <c r="H2506" s="70"/>
      <c r="I2506" s="70"/>
      <c r="J2506" s="70"/>
      <c r="K2506" s="70"/>
      <c r="L2506" s="67"/>
      <c r="M2506" s="67"/>
      <c r="N2506" s="72"/>
      <c r="O2506" s="72"/>
      <c r="P2506" s="67"/>
      <c r="Q2506" s="67"/>
      <c r="R2506" s="67"/>
      <c r="S2506" s="67"/>
      <c r="T2506" s="32"/>
      <c r="U2506" s="32"/>
      <c r="X2506" s="32"/>
      <c r="Y2506" s="32"/>
      <c r="Z2506" s="32"/>
      <c r="AA2506" s="32"/>
      <c r="AB2506" s="32"/>
    </row>
    <row r="2507" spans="2:28" ht="23.25" customHeight="1" x14ac:dyDescent="0.2">
      <c r="B2507" s="75"/>
      <c r="C2507" s="67"/>
      <c r="D2507" s="75"/>
      <c r="E2507" s="67"/>
      <c r="F2507" s="67"/>
      <c r="G2507" s="70"/>
      <c r="H2507" s="70"/>
      <c r="I2507" s="70"/>
      <c r="J2507" s="70"/>
      <c r="K2507" s="70"/>
      <c r="L2507" s="67"/>
      <c r="M2507" s="67"/>
      <c r="N2507" s="72"/>
      <c r="O2507" s="72"/>
      <c r="P2507" s="67"/>
      <c r="Q2507" s="67"/>
      <c r="R2507" s="67"/>
      <c r="S2507" s="67"/>
      <c r="T2507" s="32"/>
      <c r="U2507" s="32"/>
      <c r="X2507" s="32"/>
      <c r="Y2507" s="32"/>
      <c r="Z2507" s="32"/>
      <c r="AA2507" s="32"/>
      <c r="AB2507" s="32"/>
    </row>
    <row r="2508" spans="2:28" ht="23.25" customHeight="1" x14ac:dyDescent="0.2">
      <c r="B2508" s="75"/>
      <c r="C2508" s="67"/>
      <c r="D2508" s="75"/>
      <c r="E2508" s="67"/>
      <c r="F2508" s="67"/>
      <c r="G2508" s="70"/>
      <c r="H2508" s="70"/>
      <c r="I2508" s="70"/>
      <c r="J2508" s="70"/>
      <c r="K2508" s="70"/>
      <c r="L2508" s="67"/>
      <c r="M2508" s="67"/>
      <c r="N2508" s="72"/>
      <c r="O2508" s="72"/>
      <c r="P2508" s="67"/>
      <c r="Q2508" s="67"/>
      <c r="R2508" s="67"/>
      <c r="S2508" s="67"/>
      <c r="T2508" s="32"/>
      <c r="U2508" s="32"/>
      <c r="X2508" s="32"/>
      <c r="Y2508" s="32"/>
      <c r="Z2508" s="32"/>
      <c r="AA2508" s="32"/>
      <c r="AB2508" s="32"/>
    </row>
    <row r="2509" spans="2:28" ht="23.25" customHeight="1" x14ac:dyDescent="0.2">
      <c r="B2509" s="75"/>
      <c r="C2509" s="67"/>
      <c r="D2509" s="75"/>
      <c r="E2509" s="67"/>
      <c r="F2509" s="67"/>
      <c r="G2509" s="70"/>
      <c r="H2509" s="70"/>
      <c r="I2509" s="70"/>
      <c r="J2509" s="70"/>
      <c r="K2509" s="70"/>
      <c r="L2509" s="67"/>
      <c r="M2509" s="67"/>
      <c r="N2509" s="72"/>
      <c r="O2509" s="72"/>
      <c r="P2509" s="67"/>
      <c r="Q2509" s="67"/>
      <c r="R2509" s="67"/>
      <c r="S2509" s="67"/>
      <c r="T2509" s="32"/>
      <c r="U2509" s="32"/>
      <c r="X2509" s="32"/>
      <c r="Y2509" s="32"/>
      <c r="Z2509" s="32"/>
      <c r="AA2509" s="32"/>
      <c r="AB2509" s="32"/>
    </row>
    <row r="2510" spans="2:28" ht="23.25" customHeight="1" x14ac:dyDescent="0.2">
      <c r="B2510" s="75"/>
      <c r="C2510" s="67"/>
      <c r="D2510" s="75"/>
      <c r="E2510" s="67"/>
      <c r="F2510" s="67"/>
      <c r="G2510" s="70"/>
      <c r="H2510" s="70"/>
      <c r="I2510" s="70"/>
      <c r="J2510" s="70"/>
      <c r="K2510" s="70"/>
      <c r="L2510" s="67"/>
      <c r="M2510" s="67"/>
      <c r="N2510" s="72"/>
      <c r="O2510" s="72"/>
      <c r="P2510" s="67"/>
      <c r="Q2510" s="67"/>
      <c r="R2510" s="67"/>
      <c r="S2510" s="67"/>
      <c r="T2510" s="32"/>
      <c r="U2510" s="32"/>
      <c r="X2510" s="32"/>
      <c r="Y2510" s="32"/>
      <c r="Z2510" s="32"/>
      <c r="AA2510" s="32"/>
      <c r="AB2510" s="32"/>
    </row>
    <row r="2511" spans="2:28" ht="23.25" customHeight="1" x14ac:dyDescent="0.2">
      <c r="B2511" s="75"/>
      <c r="C2511" s="67"/>
      <c r="D2511" s="75"/>
      <c r="E2511" s="67"/>
      <c r="F2511" s="67"/>
      <c r="G2511" s="70"/>
      <c r="H2511" s="70"/>
      <c r="I2511" s="70"/>
      <c r="J2511" s="70"/>
      <c r="K2511" s="70"/>
      <c r="L2511" s="67"/>
      <c r="M2511" s="67"/>
      <c r="N2511" s="72"/>
      <c r="O2511" s="72"/>
      <c r="P2511" s="67"/>
      <c r="Q2511" s="67"/>
      <c r="R2511" s="67"/>
      <c r="S2511" s="67"/>
      <c r="T2511" s="32"/>
      <c r="U2511" s="32"/>
      <c r="X2511" s="32"/>
      <c r="Y2511" s="32"/>
      <c r="Z2511" s="32"/>
      <c r="AA2511" s="32"/>
      <c r="AB2511" s="32"/>
    </row>
    <row r="2512" spans="2:28" ht="23.25" customHeight="1" x14ac:dyDescent="0.2">
      <c r="B2512" s="75"/>
      <c r="C2512" s="67"/>
      <c r="D2512" s="75"/>
      <c r="E2512" s="67"/>
      <c r="F2512" s="67"/>
      <c r="G2512" s="70"/>
      <c r="H2512" s="70"/>
      <c r="I2512" s="70"/>
      <c r="J2512" s="70"/>
      <c r="K2512" s="70"/>
      <c r="L2512" s="67"/>
      <c r="M2512" s="67"/>
      <c r="N2512" s="72"/>
      <c r="O2512" s="72"/>
      <c r="P2512" s="67"/>
      <c r="Q2512" s="67"/>
      <c r="R2512" s="67"/>
      <c r="S2512" s="67"/>
      <c r="T2512" s="32"/>
      <c r="U2512" s="32"/>
      <c r="X2512" s="32"/>
      <c r="Y2512" s="32"/>
      <c r="Z2512" s="32"/>
      <c r="AA2512" s="32"/>
      <c r="AB2512" s="32"/>
    </row>
    <row r="2513" spans="2:28" ht="23.25" customHeight="1" x14ac:dyDescent="0.2">
      <c r="B2513" s="75"/>
      <c r="C2513" s="67"/>
      <c r="D2513" s="75"/>
      <c r="E2513" s="67"/>
      <c r="F2513" s="67"/>
      <c r="G2513" s="70"/>
      <c r="H2513" s="70"/>
      <c r="I2513" s="70"/>
      <c r="J2513" s="70"/>
      <c r="K2513" s="70"/>
      <c r="L2513" s="67"/>
      <c r="M2513" s="67"/>
      <c r="N2513" s="72"/>
      <c r="O2513" s="72"/>
      <c r="P2513" s="67"/>
      <c r="Q2513" s="67"/>
      <c r="R2513" s="67"/>
      <c r="S2513" s="67"/>
      <c r="T2513" s="32"/>
      <c r="U2513" s="32"/>
      <c r="X2513" s="32"/>
      <c r="Y2513" s="32"/>
      <c r="Z2513" s="32"/>
      <c r="AA2513" s="32"/>
      <c r="AB2513" s="32"/>
    </row>
    <row r="2514" spans="2:28" ht="23.25" customHeight="1" x14ac:dyDescent="0.2">
      <c r="B2514" s="75"/>
      <c r="C2514" s="67"/>
      <c r="D2514" s="75"/>
      <c r="E2514" s="67"/>
      <c r="F2514" s="67"/>
      <c r="G2514" s="70"/>
      <c r="H2514" s="70"/>
      <c r="I2514" s="70"/>
      <c r="J2514" s="70"/>
      <c r="K2514" s="70"/>
      <c r="L2514" s="67"/>
      <c r="M2514" s="67"/>
      <c r="N2514" s="72"/>
      <c r="O2514" s="72"/>
      <c r="P2514" s="67"/>
      <c r="Q2514" s="67"/>
      <c r="R2514" s="67"/>
      <c r="S2514" s="67"/>
      <c r="T2514" s="32"/>
      <c r="U2514" s="32"/>
      <c r="X2514" s="32"/>
      <c r="Y2514" s="32"/>
      <c r="Z2514" s="32"/>
      <c r="AA2514" s="32"/>
      <c r="AB2514" s="32"/>
    </row>
    <row r="2515" spans="2:28" ht="23.25" customHeight="1" x14ac:dyDescent="0.2">
      <c r="B2515" s="75"/>
      <c r="C2515" s="67"/>
      <c r="D2515" s="75"/>
      <c r="E2515" s="67"/>
      <c r="F2515" s="67"/>
      <c r="G2515" s="70"/>
      <c r="H2515" s="70"/>
      <c r="I2515" s="70"/>
      <c r="J2515" s="70"/>
      <c r="K2515" s="70"/>
      <c r="L2515" s="67"/>
      <c r="M2515" s="67"/>
      <c r="N2515" s="72"/>
      <c r="O2515" s="72"/>
      <c r="P2515" s="67"/>
      <c r="Q2515" s="67"/>
      <c r="R2515" s="67"/>
      <c r="S2515" s="67"/>
      <c r="T2515" s="32"/>
      <c r="U2515" s="32"/>
      <c r="X2515" s="32"/>
      <c r="Y2515" s="32"/>
      <c r="Z2515" s="32"/>
      <c r="AA2515" s="32"/>
      <c r="AB2515" s="32"/>
    </row>
    <row r="2516" spans="2:28" ht="23.25" customHeight="1" x14ac:dyDescent="0.2">
      <c r="B2516" s="75"/>
      <c r="C2516" s="67"/>
      <c r="D2516" s="75"/>
      <c r="E2516" s="67"/>
      <c r="F2516" s="67"/>
      <c r="G2516" s="70"/>
      <c r="H2516" s="70"/>
      <c r="I2516" s="70"/>
      <c r="J2516" s="70"/>
      <c r="K2516" s="70"/>
      <c r="L2516" s="67"/>
      <c r="M2516" s="67"/>
      <c r="N2516" s="72"/>
      <c r="O2516" s="72"/>
      <c r="P2516" s="67"/>
      <c r="Q2516" s="67"/>
      <c r="R2516" s="67"/>
      <c r="S2516" s="67"/>
      <c r="T2516" s="32"/>
      <c r="U2516" s="32"/>
      <c r="X2516" s="32"/>
      <c r="Y2516" s="32"/>
      <c r="Z2516" s="32"/>
      <c r="AA2516" s="32"/>
      <c r="AB2516" s="32"/>
    </row>
    <row r="2517" spans="2:28" ht="23.25" customHeight="1" x14ac:dyDescent="0.2">
      <c r="B2517" s="75"/>
      <c r="C2517" s="67"/>
      <c r="D2517" s="75"/>
      <c r="E2517" s="67"/>
      <c r="F2517" s="67"/>
      <c r="G2517" s="70"/>
      <c r="H2517" s="70"/>
      <c r="I2517" s="70"/>
      <c r="J2517" s="70"/>
      <c r="K2517" s="70"/>
      <c r="L2517" s="67"/>
      <c r="M2517" s="67"/>
      <c r="N2517" s="72"/>
      <c r="O2517" s="72"/>
      <c r="P2517" s="67"/>
      <c r="Q2517" s="67"/>
      <c r="R2517" s="67"/>
      <c r="S2517" s="67"/>
      <c r="T2517" s="32"/>
      <c r="U2517" s="32"/>
      <c r="X2517" s="32"/>
      <c r="Y2517" s="32"/>
      <c r="Z2517" s="32"/>
      <c r="AA2517" s="32"/>
      <c r="AB2517" s="32"/>
    </row>
    <row r="2518" spans="2:28" ht="23.25" customHeight="1" x14ac:dyDescent="0.2">
      <c r="B2518" s="75"/>
      <c r="C2518" s="67"/>
      <c r="D2518" s="75"/>
      <c r="E2518" s="67"/>
      <c r="F2518" s="67"/>
      <c r="G2518" s="70"/>
      <c r="H2518" s="70"/>
      <c r="I2518" s="70"/>
      <c r="J2518" s="70"/>
      <c r="K2518" s="70"/>
      <c r="L2518" s="67"/>
      <c r="M2518" s="67"/>
      <c r="N2518" s="72"/>
      <c r="O2518" s="72"/>
      <c r="P2518" s="67"/>
      <c r="Q2518" s="67"/>
      <c r="R2518" s="67"/>
      <c r="S2518" s="67"/>
      <c r="T2518" s="32"/>
      <c r="U2518" s="32"/>
      <c r="X2518" s="32"/>
      <c r="Y2518" s="32"/>
      <c r="Z2518" s="32"/>
      <c r="AA2518" s="32"/>
      <c r="AB2518" s="32"/>
    </row>
    <row r="2519" spans="2:28" ht="23.25" customHeight="1" x14ac:dyDescent="0.2">
      <c r="B2519" s="75"/>
      <c r="C2519" s="67"/>
      <c r="D2519" s="75"/>
      <c r="E2519" s="67"/>
      <c r="F2519" s="67"/>
      <c r="G2519" s="70"/>
      <c r="H2519" s="70"/>
      <c r="I2519" s="70"/>
      <c r="J2519" s="70"/>
      <c r="K2519" s="70"/>
      <c r="L2519" s="67"/>
      <c r="M2519" s="67"/>
      <c r="N2519" s="72"/>
      <c r="O2519" s="72"/>
      <c r="P2519" s="67"/>
      <c r="Q2519" s="67"/>
      <c r="R2519" s="67"/>
      <c r="S2519" s="67"/>
      <c r="T2519" s="32"/>
      <c r="U2519" s="32"/>
      <c r="X2519" s="32"/>
      <c r="Y2519" s="32"/>
      <c r="Z2519" s="32"/>
      <c r="AA2519" s="32"/>
      <c r="AB2519" s="32"/>
    </row>
    <row r="2520" spans="2:28" ht="23.25" customHeight="1" x14ac:dyDescent="0.2">
      <c r="B2520" s="75"/>
      <c r="C2520" s="67"/>
      <c r="D2520" s="75"/>
      <c r="E2520" s="67"/>
      <c r="F2520" s="67"/>
      <c r="G2520" s="70"/>
      <c r="H2520" s="70"/>
      <c r="I2520" s="70"/>
      <c r="J2520" s="70"/>
      <c r="K2520" s="70"/>
      <c r="L2520" s="67"/>
      <c r="M2520" s="67"/>
      <c r="N2520" s="72"/>
      <c r="O2520" s="72"/>
      <c r="P2520" s="67"/>
      <c r="Q2520" s="67"/>
      <c r="R2520" s="67"/>
      <c r="S2520" s="67"/>
      <c r="T2520" s="32"/>
      <c r="U2520" s="32"/>
      <c r="X2520" s="32"/>
      <c r="Y2520" s="32"/>
      <c r="Z2520" s="32"/>
      <c r="AA2520" s="32"/>
      <c r="AB2520" s="32"/>
    </row>
    <row r="2521" spans="2:28" ht="23.25" customHeight="1" x14ac:dyDescent="0.2">
      <c r="B2521" s="75"/>
      <c r="C2521" s="67"/>
      <c r="D2521" s="75"/>
      <c r="E2521" s="67"/>
      <c r="F2521" s="67"/>
      <c r="G2521" s="70"/>
      <c r="H2521" s="70"/>
      <c r="I2521" s="70"/>
      <c r="J2521" s="70"/>
      <c r="K2521" s="70"/>
      <c r="L2521" s="67"/>
      <c r="M2521" s="67"/>
      <c r="N2521" s="72"/>
      <c r="O2521" s="72"/>
      <c r="P2521" s="67"/>
      <c r="Q2521" s="67"/>
      <c r="R2521" s="67"/>
      <c r="S2521" s="67"/>
      <c r="T2521" s="32"/>
      <c r="U2521" s="32"/>
      <c r="X2521" s="32"/>
      <c r="Y2521" s="32"/>
      <c r="Z2521" s="32"/>
      <c r="AA2521" s="32"/>
      <c r="AB2521" s="32"/>
    </row>
    <row r="2522" spans="2:28" ht="23.25" customHeight="1" x14ac:dyDescent="0.2">
      <c r="B2522" s="75"/>
      <c r="C2522" s="67"/>
      <c r="D2522" s="75"/>
      <c r="E2522" s="67"/>
      <c r="F2522" s="67"/>
      <c r="G2522" s="70"/>
      <c r="H2522" s="70"/>
      <c r="I2522" s="70"/>
      <c r="J2522" s="70"/>
      <c r="K2522" s="70"/>
      <c r="L2522" s="67"/>
      <c r="M2522" s="67"/>
      <c r="N2522" s="72"/>
      <c r="O2522" s="72"/>
      <c r="P2522" s="67"/>
      <c r="Q2522" s="67"/>
      <c r="R2522" s="67"/>
      <c r="S2522" s="67"/>
      <c r="T2522" s="32"/>
      <c r="U2522" s="32"/>
      <c r="X2522" s="32"/>
      <c r="Y2522" s="32"/>
      <c r="Z2522" s="32"/>
      <c r="AA2522" s="32"/>
      <c r="AB2522" s="32"/>
    </row>
    <row r="2523" spans="2:28" ht="23.25" customHeight="1" x14ac:dyDescent="0.2">
      <c r="B2523" s="75"/>
      <c r="C2523" s="67"/>
      <c r="D2523" s="75"/>
      <c r="E2523" s="67"/>
      <c r="F2523" s="67"/>
      <c r="G2523" s="70"/>
      <c r="H2523" s="70"/>
      <c r="I2523" s="70"/>
      <c r="J2523" s="70"/>
      <c r="K2523" s="70"/>
      <c r="L2523" s="67"/>
      <c r="M2523" s="67"/>
      <c r="N2523" s="72"/>
      <c r="O2523" s="72"/>
      <c r="P2523" s="67"/>
      <c r="Q2523" s="67"/>
      <c r="R2523" s="67"/>
      <c r="S2523" s="67"/>
      <c r="T2523" s="32"/>
      <c r="U2523" s="32"/>
      <c r="X2523" s="32"/>
      <c r="Y2523" s="32"/>
      <c r="Z2523" s="32"/>
      <c r="AA2523" s="32"/>
      <c r="AB2523" s="32"/>
    </row>
    <row r="2524" spans="2:28" ht="23.25" customHeight="1" x14ac:dyDescent="0.2">
      <c r="B2524" s="75"/>
      <c r="C2524" s="67"/>
      <c r="D2524" s="75"/>
      <c r="E2524" s="67"/>
      <c r="F2524" s="67"/>
      <c r="G2524" s="70"/>
      <c r="H2524" s="70"/>
      <c r="I2524" s="70"/>
      <c r="J2524" s="70"/>
      <c r="K2524" s="70"/>
      <c r="L2524" s="67"/>
      <c r="M2524" s="67"/>
      <c r="N2524" s="72"/>
      <c r="O2524" s="72"/>
      <c r="P2524" s="67"/>
      <c r="Q2524" s="67"/>
      <c r="R2524" s="67"/>
      <c r="S2524" s="67"/>
      <c r="T2524" s="32"/>
      <c r="U2524" s="32"/>
      <c r="X2524" s="32"/>
      <c r="Y2524" s="32"/>
      <c r="Z2524" s="32"/>
      <c r="AA2524" s="32"/>
      <c r="AB2524" s="32"/>
    </row>
    <row r="2525" spans="2:28" ht="23.25" customHeight="1" x14ac:dyDescent="0.2">
      <c r="B2525" s="75"/>
      <c r="C2525" s="67"/>
      <c r="D2525" s="75"/>
      <c r="E2525" s="67"/>
      <c r="F2525" s="67"/>
      <c r="G2525" s="70"/>
      <c r="H2525" s="70"/>
      <c r="I2525" s="70"/>
      <c r="J2525" s="70"/>
      <c r="K2525" s="70"/>
      <c r="L2525" s="67"/>
      <c r="M2525" s="67"/>
      <c r="N2525" s="72"/>
      <c r="O2525" s="72"/>
      <c r="P2525" s="67"/>
      <c r="Q2525" s="67"/>
      <c r="R2525" s="67"/>
      <c r="S2525" s="67"/>
      <c r="T2525" s="32"/>
      <c r="U2525" s="32"/>
      <c r="X2525" s="32"/>
      <c r="Y2525" s="32"/>
      <c r="Z2525" s="32"/>
      <c r="AA2525" s="32"/>
      <c r="AB2525" s="32"/>
    </row>
    <row r="2526" spans="2:28" ht="23.25" customHeight="1" x14ac:dyDescent="0.2">
      <c r="B2526" s="75"/>
      <c r="C2526" s="67"/>
      <c r="D2526" s="75"/>
      <c r="E2526" s="67"/>
      <c r="F2526" s="67"/>
      <c r="G2526" s="70"/>
      <c r="H2526" s="70"/>
      <c r="I2526" s="70"/>
      <c r="J2526" s="70"/>
      <c r="K2526" s="70"/>
      <c r="L2526" s="67"/>
      <c r="M2526" s="67"/>
      <c r="N2526" s="72"/>
      <c r="O2526" s="72"/>
      <c r="P2526" s="67"/>
      <c r="Q2526" s="67"/>
      <c r="R2526" s="67"/>
      <c r="S2526" s="67"/>
      <c r="T2526" s="32"/>
      <c r="U2526" s="32"/>
      <c r="X2526" s="32"/>
      <c r="Y2526" s="32"/>
      <c r="Z2526" s="32"/>
      <c r="AA2526" s="32"/>
      <c r="AB2526" s="32"/>
    </row>
    <row r="2527" spans="2:28" ht="23.25" customHeight="1" x14ac:dyDescent="0.2">
      <c r="B2527" s="75"/>
      <c r="C2527" s="67"/>
      <c r="D2527" s="75"/>
      <c r="E2527" s="67"/>
      <c r="F2527" s="67"/>
      <c r="G2527" s="70"/>
      <c r="H2527" s="70"/>
      <c r="I2527" s="70"/>
      <c r="J2527" s="70"/>
      <c r="K2527" s="70"/>
      <c r="L2527" s="67"/>
      <c r="M2527" s="67"/>
      <c r="N2527" s="72"/>
      <c r="O2527" s="72"/>
      <c r="P2527" s="67"/>
      <c r="Q2527" s="67"/>
      <c r="R2527" s="67"/>
      <c r="S2527" s="67"/>
      <c r="T2527" s="32"/>
      <c r="U2527" s="32"/>
      <c r="X2527" s="32"/>
      <c r="Y2527" s="32"/>
      <c r="Z2527" s="32"/>
      <c r="AA2527" s="32"/>
      <c r="AB2527" s="32"/>
    </row>
    <row r="2528" spans="2:28" ht="23.25" customHeight="1" x14ac:dyDescent="0.2">
      <c r="B2528" s="75"/>
      <c r="C2528" s="67"/>
      <c r="D2528" s="75"/>
      <c r="E2528" s="67"/>
      <c r="F2528" s="67"/>
      <c r="G2528" s="70"/>
      <c r="H2528" s="70"/>
      <c r="I2528" s="70"/>
      <c r="J2528" s="70"/>
      <c r="K2528" s="70"/>
      <c r="L2528" s="67"/>
      <c r="M2528" s="67"/>
      <c r="N2528" s="72"/>
      <c r="O2528" s="72"/>
      <c r="P2528" s="67"/>
      <c r="Q2528" s="67"/>
      <c r="R2528" s="67"/>
      <c r="S2528" s="67"/>
      <c r="T2528" s="32"/>
      <c r="U2528" s="32"/>
      <c r="X2528" s="32"/>
      <c r="Y2528" s="32"/>
      <c r="Z2528" s="32"/>
      <c r="AA2528" s="32"/>
      <c r="AB2528" s="32"/>
    </row>
    <row r="2529" spans="2:28" ht="23.25" customHeight="1" x14ac:dyDescent="0.2">
      <c r="B2529" s="75"/>
      <c r="C2529" s="67"/>
      <c r="D2529" s="75"/>
      <c r="E2529" s="67"/>
      <c r="F2529" s="67"/>
      <c r="G2529" s="70"/>
      <c r="H2529" s="70"/>
      <c r="I2529" s="70"/>
      <c r="J2529" s="70"/>
      <c r="K2529" s="70"/>
      <c r="L2529" s="67"/>
      <c r="M2529" s="67"/>
      <c r="N2529" s="72"/>
      <c r="O2529" s="72"/>
      <c r="P2529" s="67"/>
      <c r="Q2529" s="67"/>
      <c r="R2529" s="67"/>
      <c r="S2529" s="67"/>
      <c r="T2529" s="32"/>
      <c r="U2529" s="32"/>
      <c r="X2529" s="32"/>
      <c r="Y2529" s="32"/>
      <c r="Z2529" s="32"/>
      <c r="AA2529" s="32"/>
      <c r="AB2529" s="32"/>
    </row>
    <row r="2530" spans="2:28" ht="23.25" customHeight="1" x14ac:dyDescent="0.2">
      <c r="B2530" s="75"/>
      <c r="C2530" s="67"/>
      <c r="D2530" s="75"/>
      <c r="E2530" s="67"/>
      <c r="F2530" s="67"/>
      <c r="G2530" s="70"/>
      <c r="H2530" s="70"/>
      <c r="I2530" s="70"/>
      <c r="J2530" s="70"/>
      <c r="K2530" s="70"/>
      <c r="L2530" s="67"/>
      <c r="M2530" s="67"/>
      <c r="N2530" s="72"/>
      <c r="O2530" s="72"/>
      <c r="P2530" s="67"/>
      <c r="Q2530" s="67"/>
      <c r="R2530" s="67"/>
      <c r="S2530" s="67"/>
      <c r="T2530" s="32"/>
      <c r="U2530" s="32"/>
      <c r="X2530" s="32"/>
      <c r="Y2530" s="32"/>
      <c r="Z2530" s="32"/>
      <c r="AA2530" s="32"/>
      <c r="AB2530" s="32"/>
    </row>
    <row r="2531" spans="2:28" ht="23.25" customHeight="1" x14ac:dyDescent="0.2">
      <c r="B2531" s="75"/>
      <c r="C2531" s="67"/>
      <c r="D2531" s="75"/>
      <c r="E2531" s="67"/>
      <c r="F2531" s="67"/>
      <c r="G2531" s="70"/>
      <c r="H2531" s="70"/>
      <c r="I2531" s="70"/>
      <c r="J2531" s="70"/>
      <c r="K2531" s="70"/>
      <c r="L2531" s="67"/>
      <c r="M2531" s="67"/>
      <c r="N2531" s="72"/>
      <c r="O2531" s="72"/>
      <c r="P2531" s="67"/>
      <c r="Q2531" s="67"/>
      <c r="R2531" s="67"/>
      <c r="S2531" s="67"/>
      <c r="T2531" s="32"/>
      <c r="U2531" s="32"/>
      <c r="X2531" s="32"/>
      <c r="Y2531" s="32"/>
      <c r="Z2531" s="32"/>
      <c r="AA2531" s="32"/>
      <c r="AB2531" s="32"/>
    </row>
    <row r="2532" spans="2:28" ht="23.25" customHeight="1" x14ac:dyDescent="0.2">
      <c r="B2532" s="75"/>
      <c r="C2532" s="67"/>
      <c r="D2532" s="75"/>
      <c r="E2532" s="67"/>
      <c r="F2532" s="67"/>
      <c r="G2532" s="70"/>
      <c r="H2532" s="70"/>
      <c r="I2532" s="70"/>
      <c r="J2532" s="70"/>
      <c r="K2532" s="70"/>
      <c r="L2532" s="67"/>
      <c r="M2532" s="67"/>
      <c r="N2532" s="72"/>
      <c r="O2532" s="72"/>
      <c r="P2532" s="67"/>
      <c r="Q2532" s="67"/>
      <c r="R2532" s="67"/>
      <c r="S2532" s="67"/>
      <c r="T2532" s="32"/>
      <c r="U2532" s="32"/>
      <c r="X2532" s="32"/>
      <c r="Y2532" s="32"/>
      <c r="Z2532" s="32"/>
      <c r="AA2532" s="32"/>
      <c r="AB2532" s="32"/>
    </row>
    <row r="2533" spans="2:28" ht="23.25" customHeight="1" x14ac:dyDescent="0.2">
      <c r="B2533" s="75"/>
      <c r="C2533" s="67"/>
      <c r="D2533" s="75"/>
      <c r="E2533" s="67"/>
      <c r="F2533" s="67"/>
      <c r="G2533" s="70"/>
      <c r="H2533" s="70"/>
      <c r="I2533" s="70"/>
      <c r="J2533" s="70"/>
      <c r="K2533" s="70"/>
      <c r="L2533" s="67"/>
      <c r="M2533" s="67"/>
      <c r="N2533" s="72"/>
      <c r="O2533" s="72"/>
      <c r="P2533" s="67"/>
      <c r="Q2533" s="67"/>
      <c r="R2533" s="67"/>
      <c r="S2533" s="67"/>
      <c r="T2533" s="32"/>
      <c r="U2533" s="32"/>
      <c r="X2533" s="32"/>
      <c r="Y2533" s="32"/>
      <c r="Z2533" s="32"/>
      <c r="AA2533" s="32"/>
      <c r="AB2533" s="32"/>
    </row>
    <row r="2534" spans="2:28" ht="23.25" customHeight="1" x14ac:dyDescent="0.2">
      <c r="B2534" s="75"/>
      <c r="C2534" s="67"/>
      <c r="D2534" s="75"/>
      <c r="E2534" s="67"/>
      <c r="F2534" s="67"/>
      <c r="G2534" s="70"/>
      <c r="H2534" s="70"/>
      <c r="I2534" s="70"/>
      <c r="J2534" s="70"/>
      <c r="K2534" s="70"/>
      <c r="L2534" s="67"/>
      <c r="M2534" s="67"/>
      <c r="N2534" s="72"/>
      <c r="O2534" s="72"/>
      <c r="P2534" s="67"/>
      <c r="Q2534" s="67"/>
      <c r="R2534" s="67"/>
      <c r="S2534" s="67"/>
      <c r="T2534" s="32"/>
      <c r="U2534" s="32"/>
      <c r="X2534" s="32"/>
      <c r="Y2534" s="32"/>
      <c r="Z2534" s="32"/>
      <c r="AA2534" s="32"/>
      <c r="AB2534" s="32"/>
    </row>
    <row r="2535" spans="2:28" ht="23.25" customHeight="1" x14ac:dyDescent="0.2">
      <c r="B2535" s="75"/>
      <c r="C2535" s="67"/>
      <c r="D2535" s="75"/>
      <c r="E2535" s="67"/>
      <c r="F2535" s="67"/>
      <c r="G2535" s="70"/>
      <c r="H2535" s="70"/>
      <c r="I2535" s="70"/>
      <c r="J2535" s="70"/>
      <c r="K2535" s="70"/>
      <c r="L2535" s="67"/>
      <c r="M2535" s="67"/>
      <c r="N2535" s="72"/>
      <c r="O2535" s="72"/>
      <c r="P2535" s="67"/>
      <c r="Q2535" s="67"/>
      <c r="R2535" s="67"/>
      <c r="S2535" s="67"/>
      <c r="T2535" s="32"/>
      <c r="U2535" s="32"/>
      <c r="X2535" s="32"/>
      <c r="Y2535" s="32"/>
      <c r="Z2535" s="32"/>
      <c r="AA2535" s="32"/>
      <c r="AB2535" s="32"/>
    </row>
    <row r="2536" spans="2:28" ht="23.25" customHeight="1" x14ac:dyDescent="0.2">
      <c r="B2536" s="75"/>
      <c r="C2536" s="67"/>
      <c r="D2536" s="75"/>
      <c r="E2536" s="67"/>
      <c r="F2536" s="67"/>
      <c r="G2536" s="70"/>
      <c r="H2536" s="70"/>
      <c r="I2536" s="70"/>
      <c r="J2536" s="70"/>
      <c r="K2536" s="70"/>
      <c r="L2536" s="67"/>
      <c r="M2536" s="67"/>
      <c r="N2536" s="72"/>
      <c r="O2536" s="72"/>
      <c r="P2536" s="67"/>
      <c r="Q2536" s="67"/>
      <c r="R2536" s="67"/>
      <c r="S2536" s="67"/>
      <c r="T2536" s="32"/>
      <c r="U2536" s="32"/>
      <c r="X2536" s="32"/>
      <c r="Y2536" s="32"/>
      <c r="Z2536" s="32"/>
      <c r="AA2536" s="32"/>
      <c r="AB2536" s="32"/>
    </row>
    <row r="2537" spans="2:28" ht="23.25" customHeight="1" x14ac:dyDescent="0.2">
      <c r="B2537" s="75"/>
      <c r="C2537" s="67"/>
      <c r="D2537" s="75"/>
      <c r="E2537" s="67"/>
      <c r="F2537" s="67"/>
      <c r="G2537" s="70"/>
      <c r="H2537" s="70"/>
      <c r="I2537" s="70"/>
      <c r="J2537" s="70"/>
      <c r="K2537" s="70"/>
      <c r="L2537" s="67"/>
      <c r="M2537" s="67"/>
      <c r="N2537" s="72"/>
      <c r="O2537" s="72"/>
      <c r="P2537" s="67"/>
      <c r="Q2537" s="67"/>
      <c r="R2537" s="67"/>
      <c r="S2537" s="67"/>
      <c r="T2537" s="32"/>
      <c r="U2537" s="32"/>
      <c r="X2537" s="32"/>
      <c r="Y2537" s="32"/>
      <c r="Z2537" s="32"/>
      <c r="AA2537" s="32"/>
      <c r="AB2537" s="32"/>
    </row>
    <row r="2538" spans="2:28" ht="23.25" customHeight="1" x14ac:dyDescent="0.2">
      <c r="B2538" s="75"/>
      <c r="C2538" s="67"/>
      <c r="D2538" s="75"/>
      <c r="E2538" s="67"/>
      <c r="F2538" s="67"/>
      <c r="G2538" s="70"/>
      <c r="H2538" s="70"/>
      <c r="I2538" s="70"/>
      <c r="J2538" s="70"/>
      <c r="K2538" s="70"/>
      <c r="L2538" s="67"/>
      <c r="M2538" s="67"/>
      <c r="N2538" s="72"/>
      <c r="O2538" s="72"/>
      <c r="P2538" s="67"/>
      <c r="Q2538" s="67"/>
      <c r="R2538" s="67"/>
      <c r="S2538" s="67"/>
      <c r="T2538" s="32"/>
      <c r="U2538" s="32"/>
      <c r="X2538" s="32"/>
      <c r="Y2538" s="32"/>
      <c r="Z2538" s="32"/>
      <c r="AA2538" s="32"/>
      <c r="AB2538" s="32"/>
    </row>
    <row r="2539" spans="2:28" ht="23.25" customHeight="1" x14ac:dyDescent="0.2">
      <c r="B2539" s="75"/>
      <c r="C2539" s="67"/>
      <c r="D2539" s="75"/>
      <c r="E2539" s="67"/>
      <c r="F2539" s="67"/>
      <c r="G2539" s="70"/>
      <c r="H2539" s="70"/>
      <c r="I2539" s="70"/>
      <c r="J2539" s="70"/>
      <c r="K2539" s="70"/>
      <c r="L2539" s="67"/>
      <c r="M2539" s="67"/>
      <c r="N2539" s="72"/>
      <c r="O2539" s="72"/>
      <c r="P2539" s="67"/>
      <c r="Q2539" s="67"/>
      <c r="R2539" s="67"/>
      <c r="S2539" s="67"/>
      <c r="T2539" s="32"/>
      <c r="U2539" s="32"/>
      <c r="X2539" s="32"/>
      <c r="Y2539" s="32"/>
      <c r="Z2539" s="32"/>
      <c r="AA2539" s="32"/>
      <c r="AB2539" s="32"/>
    </row>
    <row r="2540" spans="2:28" ht="23.25" customHeight="1" x14ac:dyDescent="0.2">
      <c r="B2540" s="75"/>
      <c r="C2540" s="67"/>
      <c r="D2540" s="75"/>
      <c r="E2540" s="67"/>
      <c r="F2540" s="67"/>
      <c r="G2540" s="70"/>
      <c r="H2540" s="70"/>
      <c r="I2540" s="70"/>
      <c r="J2540" s="70"/>
      <c r="K2540" s="70"/>
      <c r="L2540" s="67"/>
      <c r="M2540" s="67"/>
      <c r="N2540" s="72"/>
      <c r="O2540" s="72"/>
      <c r="P2540" s="67"/>
      <c r="Q2540" s="67"/>
      <c r="R2540" s="67"/>
      <c r="S2540" s="67"/>
      <c r="T2540" s="32"/>
      <c r="U2540" s="32"/>
      <c r="X2540" s="32"/>
      <c r="Y2540" s="32"/>
      <c r="Z2540" s="32"/>
      <c r="AA2540" s="32"/>
      <c r="AB2540" s="32"/>
    </row>
    <row r="2541" spans="2:28" ht="23.25" customHeight="1" x14ac:dyDescent="0.2">
      <c r="B2541" s="75"/>
      <c r="C2541" s="67"/>
      <c r="D2541" s="75"/>
      <c r="E2541" s="67"/>
      <c r="F2541" s="67"/>
      <c r="G2541" s="70"/>
      <c r="H2541" s="70"/>
      <c r="I2541" s="70"/>
      <c r="J2541" s="70"/>
      <c r="K2541" s="70"/>
      <c r="L2541" s="67"/>
      <c r="M2541" s="67"/>
      <c r="N2541" s="72"/>
      <c r="O2541" s="72"/>
      <c r="P2541" s="67"/>
      <c r="Q2541" s="67"/>
      <c r="R2541" s="67"/>
      <c r="S2541" s="67"/>
      <c r="T2541" s="32"/>
      <c r="U2541" s="32"/>
      <c r="X2541" s="32"/>
      <c r="Y2541" s="32"/>
      <c r="Z2541" s="32"/>
      <c r="AA2541" s="32"/>
      <c r="AB2541" s="32"/>
    </row>
    <row r="2542" spans="2:28" ht="23.25" customHeight="1" x14ac:dyDescent="0.2">
      <c r="B2542" s="75"/>
      <c r="C2542" s="67"/>
      <c r="D2542" s="75"/>
      <c r="E2542" s="67"/>
      <c r="F2542" s="67"/>
      <c r="G2542" s="70"/>
      <c r="H2542" s="70"/>
      <c r="I2542" s="70"/>
      <c r="J2542" s="70"/>
      <c r="K2542" s="70"/>
      <c r="L2542" s="67"/>
      <c r="M2542" s="67"/>
      <c r="N2542" s="72"/>
      <c r="O2542" s="72"/>
      <c r="P2542" s="67"/>
      <c r="Q2542" s="67"/>
      <c r="R2542" s="67"/>
      <c r="S2542" s="67"/>
      <c r="T2542" s="32"/>
      <c r="U2542" s="32"/>
      <c r="X2542" s="32"/>
      <c r="Y2542" s="32"/>
      <c r="Z2542" s="32"/>
      <c r="AA2542" s="32"/>
      <c r="AB2542" s="32"/>
    </row>
    <row r="2543" spans="2:28" ht="23.25" customHeight="1" x14ac:dyDescent="0.2">
      <c r="B2543" s="75"/>
      <c r="C2543" s="67"/>
      <c r="D2543" s="75"/>
      <c r="E2543" s="67"/>
      <c r="F2543" s="67"/>
      <c r="G2543" s="70"/>
      <c r="H2543" s="70"/>
      <c r="I2543" s="70"/>
      <c r="J2543" s="70"/>
      <c r="K2543" s="70"/>
      <c r="L2543" s="67"/>
      <c r="M2543" s="67"/>
      <c r="N2543" s="72"/>
      <c r="O2543" s="72"/>
      <c r="P2543" s="67"/>
      <c r="Q2543" s="67"/>
      <c r="R2543" s="67"/>
      <c r="S2543" s="67"/>
      <c r="T2543" s="32"/>
      <c r="U2543" s="32"/>
      <c r="X2543" s="32"/>
      <c r="Y2543" s="32"/>
      <c r="Z2543" s="32"/>
      <c r="AA2543" s="32"/>
      <c r="AB2543" s="32"/>
    </row>
    <row r="2544" spans="2:28" ht="23.25" customHeight="1" x14ac:dyDescent="0.2">
      <c r="B2544" s="75"/>
      <c r="C2544" s="67"/>
      <c r="D2544" s="75"/>
      <c r="E2544" s="67"/>
      <c r="F2544" s="67"/>
      <c r="G2544" s="70"/>
      <c r="H2544" s="70"/>
      <c r="I2544" s="70"/>
      <c r="J2544" s="70"/>
      <c r="K2544" s="70"/>
      <c r="L2544" s="67"/>
      <c r="M2544" s="67"/>
      <c r="N2544" s="72"/>
      <c r="O2544" s="72"/>
      <c r="P2544" s="67"/>
      <c r="Q2544" s="67"/>
      <c r="R2544" s="67"/>
      <c r="S2544" s="67"/>
      <c r="T2544" s="32"/>
      <c r="U2544" s="32"/>
      <c r="X2544" s="32"/>
      <c r="Y2544" s="32"/>
      <c r="Z2544" s="32"/>
      <c r="AA2544" s="32"/>
      <c r="AB2544" s="32"/>
    </row>
    <row r="2545" spans="2:28" ht="23.25" customHeight="1" x14ac:dyDescent="0.2">
      <c r="B2545" s="75"/>
      <c r="C2545" s="67"/>
      <c r="D2545" s="75"/>
      <c r="E2545" s="67"/>
      <c r="F2545" s="67"/>
      <c r="G2545" s="70"/>
      <c r="H2545" s="70"/>
      <c r="I2545" s="70"/>
      <c r="J2545" s="70"/>
      <c r="K2545" s="70"/>
      <c r="L2545" s="67"/>
      <c r="M2545" s="67"/>
      <c r="N2545" s="72"/>
      <c r="O2545" s="72"/>
      <c r="P2545" s="67"/>
      <c r="Q2545" s="67"/>
      <c r="R2545" s="67"/>
      <c r="S2545" s="67"/>
      <c r="T2545" s="32"/>
      <c r="U2545" s="32"/>
      <c r="X2545" s="32"/>
      <c r="Y2545" s="32"/>
      <c r="Z2545" s="32"/>
      <c r="AA2545" s="32"/>
      <c r="AB2545" s="32"/>
    </row>
    <row r="2546" spans="2:28" ht="23.25" customHeight="1" x14ac:dyDescent="0.2">
      <c r="B2546" s="75"/>
      <c r="C2546" s="67"/>
      <c r="D2546" s="75"/>
      <c r="E2546" s="67"/>
      <c r="F2546" s="67"/>
      <c r="G2546" s="70"/>
      <c r="H2546" s="70"/>
      <c r="I2546" s="70"/>
      <c r="J2546" s="70"/>
      <c r="K2546" s="70"/>
      <c r="L2546" s="67"/>
      <c r="M2546" s="67"/>
      <c r="N2546" s="72"/>
      <c r="O2546" s="72"/>
      <c r="P2546" s="67"/>
      <c r="Q2546" s="67"/>
      <c r="R2546" s="67"/>
      <c r="S2546" s="67"/>
      <c r="T2546" s="32"/>
      <c r="U2546" s="32"/>
      <c r="X2546" s="32"/>
      <c r="Y2546" s="32"/>
      <c r="Z2546" s="32"/>
      <c r="AA2546" s="32"/>
      <c r="AB2546" s="32"/>
    </row>
    <row r="2547" spans="2:28" ht="23.25" customHeight="1" x14ac:dyDescent="0.2">
      <c r="B2547" s="75"/>
      <c r="C2547" s="67"/>
      <c r="D2547" s="75"/>
      <c r="E2547" s="67"/>
      <c r="F2547" s="67"/>
      <c r="G2547" s="70"/>
      <c r="H2547" s="70"/>
      <c r="I2547" s="70"/>
      <c r="J2547" s="70"/>
      <c r="K2547" s="70"/>
      <c r="L2547" s="67"/>
      <c r="M2547" s="67"/>
      <c r="N2547" s="72"/>
      <c r="O2547" s="72"/>
      <c r="P2547" s="67"/>
      <c r="Q2547" s="67"/>
      <c r="R2547" s="67"/>
      <c r="S2547" s="67"/>
      <c r="T2547" s="32"/>
      <c r="U2547" s="32"/>
      <c r="X2547" s="32"/>
      <c r="Y2547" s="32"/>
      <c r="Z2547" s="32"/>
      <c r="AA2547" s="32"/>
      <c r="AB2547" s="32"/>
    </row>
    <row r="2548" spans="2:28" ht="23.25" customHeight="1" x14ac:dyDescent="0.2">
      <c r="B2548" s="75"/>
      <c r="C2548" s="67"/>
      <c r="D2548" s="75"/>
      <c r="E2548" s="67"/>
      <c r="F2548" s="67"/>
      <c r="G2548" s="70"/>
      <c r="H2548" s="70"/>
      <c r="I2548" s="70"/>
      <c r="J2548" s="70"/>
      <c r="K2548" s="70"/>
      <c r="L2548" s="67"/>
      <c r="M2548" s="67"/>
      <c r="N2548" s="72"/>
      <c r="O2548" s="72"/>
      <c r="P2548" s="67"/>
      <c r="Q2548" s="67"/>
      <c r="R2548" s="67"/>
      <c r="S2548" s="67"/>
      <c r="T2548" s="32"/>
      <c r="U2548" s="32"/>
      <c r="X2548" s="32"/>
      <c r="Y2548" s="32"/>
      <c r="Z2548" s="32"/>
      <c r="AA2548" s="32"/>
      <c r="AB2548" s="32"/>
    </row>
    <row r="2549" spans="2:28" ht="23.25" customHeight="1" x14ac:dyDescent="0.2">
      <c r="B2549" s="75"/>
      <c r="C2549" s="67"/>
      <c r="D2549" s="75"/>
      <c r="E2549" s="67"/>
      <c r="F2549" s="67"/>
      <c r="G2549" s="70"/>
      <c r="H2549" s="70"/>
      <c r="I2549" s="70"/>
      <c r="J2549" s="70"/>
      <c r="K2549" s="70"/>
      <c r="L2549" s="67"/>
      <c r="M2549" s="67"/>
      <c r="N2549" s="72"/>
      <c r="O2549" s="72"/>
      <c r="P2549" s="67"/>
      <c r="Q2549" s="67"/>
      <c r="R2549" s="67"/>
      <c r="S2549" s="67"/>
      <c r="T2549" s="32"/>
      <c r="U2549" s="32"/>
      <c r="X2549" s="32"/>
      <c r="Y2549" s="32"/>
      <c r="Z2549" s="32"/>
      <c r="AA2549" s="32"/>
      <c r="AB2549" s="32"/>
    </row>
    <row r="2550" spans="2:28" ht="23.25" customHeight="1" x14ac:dyDescent="0.2">
      <c r="B2550" s="75"/>
      <c r="C2550" s="67"/>
      <c r="D2550" s="75"/>
      <c r="E2550" s="67"/>
      <c r="F2550" s="67"/>
      <c r="G2550" s="70"/>
      <c r="H2550" s="70"/>
      <c r="I2550" s="70"/>
      <c r="J2550" s="70"/>
      <c r="K2550" s="70"/>
      <c r="L2550" s="67"/>
      <c r="M2550" s="67"/>
      <c r="N2550" s="72"/>
      <c r="O2550" s="72"/>
      <c r="P2550" s="67"/>
      <c r="Q2550" s="67"/>
      <c r="R2550" s="67"/>
      <c r="S2550" s="67"/>
      <c r="T2550" s="32"/>
      <c r="U2550" s="32"/>
      <c r="X2550" s="32"/>
      <c r="Y2550" s="32"/>
      <c r="Z2550" s="32"/>
      <c r="AA2550" s="32"/>
      <c r="AB2550" s="32"/>
    </row>
    <row r="2551" spans="2:28" ht="23.25" customHeight="1" x14ac:dyDescent="0.2">
      <c r="B2551" s="75"/>
      <c r="C2551" s="67"/>
      <c r="D2551" s="75"/>
      <c r="E2551" s="67"/>
      <c r="F2551" s="67"/>
      <c r="G2551" s="70"/>
      <c r="H2551" s="70"/>
      <c r="I2551" s="70"/>
      <c r="J2551" s="70"/>
      <c r="K2551" s="70"/>
      <c r="L2551" s="67"/>
      <c r="M2551" s="67"/>
      <c r="N2551" s="72"/>
      <c r="O2551" s="72"/>
      <c r="P2551" s="67"/>
      <c r="Q2551" s="67"/>
      <c r="R2551" s="67"/>
      <c r="S2551" s="67"/>
      <c r="T2551" s="32"/>
      <c r="U2551" s="32"/>
      <c r="X2551" s="32"/>
      <c r="Y2551" s="32"/>
      <c r="Z2551" s="32"/>
      <c r="AA2551" s="32"/>
      <c r="AB2551" s="32"/>
    </row>
    <row r="2552" spans="2:28" ht="23.25" customHeight="1" x14ac:dyDescent="0.2">
      <c r="B2552" s="75"/>
      <c r="C2552" s="67"/>
      <c r="D2552" s="75"/>
      <c r="E2552" s="67"/>
      <c r="F2552" s="67"/>
      <c r="G2552" s="70"/>
      <c r="H2552" s="70"/>
      <c r="I2552" s="70"/>
      <c r="J2552" s="70"/>
      <c r="K2552" s="70"/>
      <c r="L2552" s="67"/>
      <c r="M2552" s="67"/>
      <c r="N2552" s="72"/>
      <c r="O2552" s="72"/>
      <c r="P2552" s="67"/>
      <c r="Q2552" s="67"/>
      <c r="R2552" s="67"/>
      <c r="S2552" s="67"/>
      <c r="T2552" s="32"/>
      <c r="U2552" s="32"/>
      <c r="X2552" s="32"/>
      <c r="Y2552" s="32"/>
      <c r="Z2552" s="32"/>
      <c r="AA2552" s="32"/>
      <c r="AB2552" s="32"/>
    </row>
    <row r="2553" spans="2:28" ht="23.25" customHeight="1" x14ac:dyDescent="0.2">
      <c r="B2553" s="75"/>
      <c r="C2553" s="67"/>
      <c r="D2553" s="75"/>
      <c r="E2553" s="67"/>
      <c r="F2553" s="67"/>
      <c r="G2553" s="70"/>
      <c r="H2553" s="70"/>
      <c r="I2553" s="70"/>
      <c r="J2553" s="70"/>
      <c r="K2553" s="70"/>
      <c r="L2553" s="67"/>
      <c r="M2553" s="67"/>
      <c r="N2553" s="72"/>
      <c r="O2553" s="72"/>
      <c r="P2553" s="67"/>
      <c r="Q2553" s="67"/>
      <c r="R2553" s="67"/>
      <c r="S2553" s="67"/>
      <c r="T2553" s="32"/>
      <c r="U2553" s="32"/>
      <c r="X2553" s="32"/>
      <c r="Y2553" s="32"/>
      <c r="Z2553" s="32"/>
      <c r="AA2553" s="32"/>
      <c r="AB2553" s="32"/>
    </row>
    <row r="2554" spans="2:28" ht="23.25" customHeight="1" x14ac:dyDescent="0.2">
      <c r="B2554" s="75"/>
      <c r="C2554" s="67"/>
      <c r="D2554" s="75"/>
      <c r="E2554" s="67"/>
      <c r="F2554" s="67"/>
      <c r="G2554" s="70"/>
      <c r="H2554" s="70"/>
      <c r="I2554" s="70"/>
      <c r="J2554" s="70"/>
      <c r="K2554" s="70"/>
      <c r="L2554" s="67"/>
      <c r="M2554" s="67"/>
      <c r="N2554" s="72"/>
      <c r="O2554" s="72"/>
      <c r="P2554" s="67"/>
      <c r="Q2554" s="67"/>
      <c r="R2554" s="67"/>
      <c r="S2554" s="67"/>
      <c r="T2554" s="32"/>
      <c r="U2554" s="32"/>
      <c r="X2554" s="32"/>
      <c r="Y2554" s="32"/>
      <c r="Z2554" s="32"/>
      <c r="AA2554" s="32"/>
      <c r="AB2554" s="32"/>
    </row>
    <row r="2555" spans="2:28" ht="23.25" customHeight="1" x14ac:dyDescent="0.2">
      <c r="B2555" s="75"/>
      <c r="C2555" s="67"/>
      <c r="D2555" s="75"/>
      <c r="E2555" s="67"/>
      <c r="F2555" s="67"/>
      <c r="G2555" s="70"/>
      <c r="H2555" s="70"/>
      <c r="I2555" s="70"/>
      <c r="J2555" s="70"/>
      <c r="K2555" s="70"/>
      <c r="L2555" s="67"/>
      <c r="M2555" s="67"/>
      <c r="N2555" s="72"/>
      <c r="O2555" s="72"/>
      <c r="P2555" s="67"/>
      <c r="Q2555" s="67"/>
      <c r="R2555" s="67"/>
      <c r="S2555" s="67"/>
      <c r="T2555" s="32"/>
      <c r="U2555" s="32"/>
      <c r="X2555" s="32"/>
      <c r="Y2555" s="32"/>
      <c r="Z2555" s="32"/>
      <c r="AA2555" s="32"/>
      <c r="AB2555" s="32"/>
    </row>
    <row r="2556" spans="2:28" ht="23.25" customHeight="1" x14ac:dyDescent="0.2">
      <c r="B2556" s="75"/>
      <c r="C2556" s="67"/>
      <c r="D2556" s="75"/>
      <c r="E2556" s="67"/>
      <c r="F2556" s="67"/>
      <c r="G2556" s="70"/>
      <c r="H2556" s="70"/>
      <c r="I2556" s="70"/>
      <c r="J2556" s="70"/>
      <c r="K2556" s="70"/>
      <c r="L2556" s="67"/>
      <c r="M2556" s="67"/>
      <c r="N2556" s="72"/>
      <c r="O2556" s="72"/>
      <c r="P2556" s="67"/>
      <c r="Q2556" s="67"/>
      <c r="R2556" s="67"/>
      <c r="S2556" s="67"/>
      <c r="T2556" s="32"/>
      <c r="U2556" s="32"/>
      <c r="X2556" s="32"/>
      <c r="Y2556" s="32"/>
      <c r="Z2556" s="32"/>
      <c r="AA2556" s="32"/>
      <c r="AB2556" s="32"/>
    </row>
    <row r="2557" spans="2:28" ht="23.25" customHeight="1" x14ac:dyDescent="0.2">
      <c r="B2557" s="75"/>
      <c r="C2557" s="67"/>
      <c r="D2557" s="75"/>
      <c r="E2557" s="67"/>
      <c r="F2557" s="67"/>
      <c r="G2557" s="70"/>
      <c r="H2557" s="70"/>
      <c r="I2557" s="70"/>
      <c r="J2557" s="70"/>
      <c r="K2557" s="70"/>
      <c r="L2557" s="67"/>
      <c r="M2557" s="67"/>
      <c r="N2557" s="72"/>
      <c r="O2557" s="72"/>
      <c r="P2557" s="67"/>
      <c r="Q2557" s="67"/>
      <c r="R2557" s="67"/>
      <c r="S2557" s="67"/>
      <c r="T2557" s="32"/>
      <c r="U2557" s="32"/>
      <c r="X2557" s="32"/>
      <c r="Y2557" s="32"/>
      <c r="Z2557" s="32"/>
      <c r="AA2557" s="32"/>
      <c r="AB2557" s="32"/>
    </row>
    <row r="2558" spans="2:28" ht="23.25" customHeight="1" x14ac:dyDescent="0.2">
      <c r="B2558" s="75"/>
      <c r="C2558" s="67"/>
      <c r="D2558" s="75"/>
      <c r="E2558" s="67"/>
      <c r="F2558" s="67"/>
      <c r="G2558" s="70"/>
      <c r="H2558" s="70"/>
      <c r="I2558" s="70"/>
      <c r="J2558" s="70"/>
      <c r="K2558" s="70"/>
      <c r="L2558" s="67"/>
      <c r="M2558" s="67"/>
      <c r="N2558" s="72"/>
      <c r="O2558" s="72"/>
      <c r="P2558" s="67"/>
      <c r="Q2558" s="67"/>
      <c r="R2558" s="67"/>
      <c r="S2558" s="67"/>
      <c r="T2558" s="32"/>
      <c r="U2558" s="32"/>
      <c r="X2558" s="32"/>
      <c r="Y2558" s="32"/>
      <c r="Z2558" s="32"/>
      <c r="AA2558" s="32"/>
      <c r="AB2558" s="32"/>
    </row>
    <row r="2559" spans="2:28" ht="23.25" customHeight="1" x14ac:dyDescent="0.2">
      <c r="B2559" s="75"/>
      <c r="C2559" s="67"/>
      <c r="D2559" s="75"/>
      <c r="E2559" s="67"/>
      <c r="F2559" s="67"/>
      <c r="G2559" s="70"/>
      <c r="H2559" s="70"/>
      <c r="I2559" s="70"/>
      <c r="J2559" s="70"/>
      <c r="K2559" s="70"/>
      <c r="L2559" s="67"/>
      <c r="M2559" s="67"/>
      <c r="N2559" s="72"/>
      <c r="O2559" s="72"/>
      <c r="P2559" s="67"/>
      <c r="Q2559" s="67"/>
      <c r="R2559" s="67"/>
      <c r="S2559" s="67"/>
      <c r="T2559" s="32"/>
      <c r="U2559" s="32"/>
      <c r="X2559" s="32"/>
      <c r="Y2559" s="32"/>
      <c r="Z2559" s="32"/>
      <c r="AA2559" s="32"/>
      <c r="AB2559" s="32"/>
    </row>
    <row r="2560" spans="2:28" ht="23.25" customHeight="1" x14ac:dyDescent="0.2">
      <c r="B2560" s="75"/>
      <c r="C2560" s="67"/>
      <c r="D2560" s="75"/>
      <c r="E2560" s="67"/>
      <c r="F2560" s="67"/>
      <c r="G2560" s="70"/>
      <c r="H2560" s="70"/>
      <c r="I2560" s="70"/>
      <c r="J2560" s="70"/>
      <c r="K2560" s="70"/>
      <c r="L2560" s="67"/>
      <c r="M2560" s="67"/>
      <c r="N2560" s="72"/>
      <c r="O2560" s="72"/>
      <c r="P2560" s="67"/>
      <c r="Q2560" s="67"/>
      <c r="R2560" s="67"/>
      <c r="S2560" s="67"/>
      <c r="T2560" s="32"/>
      <c r="U2560" s="32"/>
      <c r="X2560" s="32"/>
      <c r="Y2560" s="32"/>
      <c r="Z2560" s="32"/>
      <c r="AA2560" s="32"/>
      <c r="AB2560" s="32"/>
    </row>
    <row r="2561" spans="2:28" ht="23.25" customHeight="1" x14ac:dyDescent="0.2">
      <c r="B2561" s="75"/>
      <c r="C2561" s="67"/>
      <c r="D2561" s="75"/>
      <c r="E2561" s="67"/>
      <c r="F2561" s="67"/>
      <c r="G2561" s="70"/>
      <c r="H2561" s="70"/>
      <c r="I2561" s="70"/>
      <c r="J2561" s="70"/>
      <c r="K2561" s="70"/>
      <c r="L2561" s="67"/>
      <c r="M2561" s="67"/>
      <c r="N2561" s="72"/>
      <c r="O2561" s="72"/>
      <c r="P2561" s="67"/>
      <c r="Q2561" s="67"/>
      <c r="R2561" s="67"/>
      <c r="S2561" s="67"/>
      <c r="T2561" s="32"/>
      <c r="U2561" s="32"/>
      <c r="X2561" s="32"/>
      <c r="Y2561" s="32"/>
      <c r="Z2561" s="32"/>
      <c r="AA2561" s="32"/>
      <c r="AB2561" s="32"/>
    </row>
    <row r="2562" spans="2:28" ht="23.25" customHeight="1" x14ac:dyDescent="0.2">
      <c r="B2562" s="75"/>
      <c r="C2562" s="67"/>
      <c r="D2562" s="75"/>
      <c r="E2562" s="67"/>
      <c r="F2562" s="67"/>
      <c r="G2562" s="70"/>
      <c r="H2562" s="70"/>
      <c r="I2562" s="70"/>
      <c r="J2562" s="70"/>
      <c r="K2562" s="70"/>
      <c r="L2562" s="67"/>
      <c r="M2562" s="67"/>
      <c r="N2562" s="72"/>
      <c r="O2562" s="72"/>
      <c r="P2562" s="67"/>
      <c r="Q2562" s="67"/>
      <c r="R2562" s="67"/>
      <c r="S2562" s="67"/>
      <c r="T2562" s="32"/>
      <c r="U2562" s="32"/>
      <c r="X2562" s="32"/>
      <c r="Y2562" s="32"/>
      <c r="Z2562" s="32"/>
      <c r="AA2562" s="32"/>
      <c r="AB2562" s="32"/>
    </row>
    <row r="2563" spans="2:28" ht="23.25" customHeight="1" x14ac:dyDescent="0.2">
      <c r="B2563" s="75"/>
      <c r="C2563" s="67"/>
      <c r="D2563" s="75"/>
      <c r="E2563" s="67"/>
      <c r="F2563" s="67"/>
      <c r="G2563" s="70"/>
      <c r="H2563" s="70"/>
      <c r="I2563" s="70"/>
      <c r="J2563" s="70"/>
      <c r="K2563" s="70"/>
      <c r="L2563" s="67"/>
      <c r="M2563" s="67"/>
      <c r="N2563" s="72"/>
      <c r="O2563" s="72"/>
      <c r="P2563" s="67"/>
      <c r="Q2563" s="67"/>
      <c r="R2563" s="67"/>
      <c r="S2563" s="67"/>
      <c r="T2563" s="32"/>
      <c r="U2563" s="32"/>
      <c r="X2563" s="32"/>
      <c r="Y2563" s="32"/>
      <c r="Z2563" s="32"/>
      <c r="AA2563" s="32"/>
      <c r="AB2563" s="32"/>
    </row>
    <row r="2564" spans="2:28" ht="23.25" customHeight="1" x14ac:dyDescent="0.2">
      <c r="B2564" s="75"/>
      <c r="C2564" s="67"/>
      <c r="D2564" s="75"/>
      <c r="E2564" s="67"/>
      <c r="F2564" s="67"/>
      <c r="G2564" s="70"/>
      <c r="H2564" s="70"/>
      <c r="I2564" s="70"/>
      <c r="J2564" s="70"/>
      <c r="K2564" s="70"/>
      <c r="L2564" s="67"/>
      <c r="M2564" s="67"/>
      <c r="N2564" s="72"/>
      <c r="O2564" s="72"/>
      <c r="P2564" s="67"/>
      <c r="Q2564" s="67"/>
      <c r="R2564" s="67"/>
      <c r="S2564" s="67"/>
      <c r="T2564" s="32"/>
      <c r="U2564" s="32"/>
      <c r="X2564" s="32"/>
      <c r="Y2564" s="32"/>
      <c r="Z2564" s="32"/>
      <c r="AA2564" s="32"/>
      <c r="AB2564" s="32"/>
    </row>
    <row r="2565" spans="2:28" ht="23.25" customHeight="1" x14ac:dyDescent="0.2">
      <c r="B2565" s="75"/>
      <c r="C2565" s="67"/>
      <c r="D2565" s="75"/>
      <c r="E2565" s="67"/>
      <c r="F2565" s="67"/>
      <c r="G2565" s="70"/>
      <c r="H2565" s="70"/>
      <c r="I2565" s="70"/>
      <c r="J2565" s="70"/>
      <c r="K2565" s="70"/>
      <c r="L2565" s="67"/>
      <c r="M2565" s="67"/>
      <c r="N2565" s="72"/>
      <c r="O2565" s="72"/>
      <c r="P2565" s="67"/>
      <c r="Q2565" s="67"/>
      <c r="R2565" s="67"/>
      <c r="S2565" s="67"/>
      <c r="T2565" s="32"/>
      <c r="U2565" s="32"/>
      <c r="X2565" s="32"/>
      <c r="Y2565" s="32"/>
      <c r="Z2565" s="32"/>
      <c r="AA2565" s="32"/>
      <c r="AB2565" s="32"/>
    </row>
    <row r="2566" spans="2:28" ht="23.25" customHeight="1" x14ac:dyDescent="0.2">
      <c r="B2566" s="75"/>
      <c r="C2566" s="67"/>
      <c r="D2566" s="75"/>
      <c r="E2566" s="67"/>
      <c r="F2566" s="67"/>
      <c r="G2566" s="70"/>
      <c r="H2566" s="70"/>
      <c r="I2566" s="70"/>
      <c r="J2566" s="70"/>
      <c r="K2566" s="70"/>
      <c r="L2566" s="67"/>
      <c r="M2566" s="67"/>
      <c r="N2566" s="72"/>
      <c r="O2566" s="72"/>
      <c r="P2566" s="67"/>
      <c r="Q2566" s="67"/>
      <c r="R2566" s="67"/>
      <c r="S2566" s="67"/>
      <c r="T2566" s="32"/>
      <c r="U2566" s="32"/>
      <c r="X2566" s="32"/>
      <c r="Y2566" s="32"/>
      <c r="Z2566" s="32"/>
      <c r="AA2566" s="32"/>
      <c r="AB2566" s="32"/>
    </row>
    <row r="2567" spans="2:28" ht="23.25" customHeight="1" x14ac:dyDescent="0.2">
      <c r="B2567" s="75"/>
      <c r="C2567" s="67"/>
      <c r="D2567" s="75"/>
      <c r="E2567" s="67"/>
      <c r="F2567" s="67"/>
      <c r="G2567" s="70"/>
      <c r="H2567" s="70"/>
      <c r="I2567" s="70"/>
      <c r="J2567" s="70"/>
      <c r="K2567" s="70"/>
      <c r="L2567" s="67"/>
      <c r="M2567" s="67"/>
      <c r="N2567" s="72"/>
      <c r="O2567" s="72"/>
      <c r="P2567" s="67"/>
      <c r="Q2567" s="67"/>
      <c r="R2567" s="67"/>
      <c r="S2567" s="67"/>
      <c r="T2567" s="32"/>
      <c r="U2567" s="32"/>
      <c r="X2567" s="32"/>
      <c r="Y2567" s="32"/>
      <c r="Z2567" s="32"/>
      <c r="AA2567" s="32"/>
      <c r="AB2567" s="32"/>
    </row>
    <row r="2568" spans="2:28" ht="23.25" customHeight="1" x14ac:dyDescent="0.2">
      <c r="B2568" s="75"/>
      <c r="C2568" s="67"/>
      <c r="D2568" s="75"/>
      <c r="E2568" s="67"/>
      <c r="F2568" s="67"/>
      <c r="G2568" s="70"/>
      <c r="H2568" s="70"/>
      <c r="I2568" s="70"/>
      <c r="J2568" s="70"/>
      <c r="K2568" s="70"/>
      <c r="L2568" s="67"/>
      <c r="M2568" s="67"/>
      <c r="N2568" s="72"/>
      <c r="O2568" s="72"/>
      <c r="P2568" s="67"/>
      <c r="Q2568" s="67"/>
      <c r="R2568" s="67"/>
      <c r="S2568" s="67"/>
      <c r="T2568" s="32"/>
      <c r="U2568" s="32"/>
      <c r="X2568" s="32"/>
      <c r="Y2568" s="32"/>
      <c r="Z2568" s="32"/>
      <c r="AA2568" s="32"/>
      <c r="AB2568" s="32"/>
    </row>
    <row r="2569" spans="2:28" ht="23.25" customHeight="1" x14ac:dyDescent="0.2">
      <c r="B2569" s="75"/>
      <c r="C2569" s="67"/>
      <c r="D2569" s="75"/>
      <c r="E2569" s="67"/>
      <c r="F2569" s="67"/>
      <c r="G2569" s="70"/>
      <c r="H2569" s="70"/>
      <c r="I2569" s="70"/>
      <c r="J2569" s="70"/>
      <c r="K2569" s="70"/>
      <c r="L2569" s="67"/>
      <c r="M2569" s="67"/>
      <c r="N2569" s="72"/>
      <c r="O2569" s="72"/>
      <c r="P2569" s="67"/>
      <c r="Q2569" s="67"/>
      <c r="R2569" s="67"/>
      <c r="S2569" s="67"/>
      <c r="T2569" s="32"/>
      <c r="U2569" s="32"/>
      <c r="X2569" s="32"/>
      <c r="Y2569" s="32"/>
      <c r="Z2569" s="32"/>
      <c r="AA2569" s="32"/>
      <c r="AB2569" s="32"/>
    </row>
    <row r="2570" spans="2:28" ht="23.25" customHeight="1" x14ac:dyDescent="0.2">
      <c r="B2570" s="75"/>
      <c r="C2570" s="67"/>
      <c r="D2570" s="75"/>
      <c r="E2570" s="67"/>
      <c r="F2570" s="67"/>
      <c r="G2570" s="70"/>
      <c r="H2570" s="70"/>
      <c r="I2570" s="70"/>
      <c r="J2570" s="70"/>
      <c r="K2570" s="70"/>
      <c r="L2570" s="67"/>
      <c r="M2570" s="67"/>
      <c r="N2570" s="72"/>
      <c r="O2570" s="72"/>
      <c r="P2570" s="67"/>
      <c r="Q2570" s="67"/>
      <c r="R2570" s="67"/>
      <c r="S2570" s="67"/>
      <c r="T2570" s="32"/>
      <c r="U2570" s="32"/>
      <c r="X2570" s="32"/>
      <c r="Y2570" s="32"/>
      <c r="Z2570" s="32"/>
      <c r="AA2570" s="32"/>
      <c r="AB2570" s="32"/>
    </row>
    <row r="2571" spans="2:28" ht="23.25" customHeight="1" x14ac:dyDescent="0.2">
      <c r="B2571" s="75"/>
      <c r="C2571" s="67"/>
      <c r="D2571" s="75"/>
      <c r="E2571" s="67"/>
      <c r="F2571" s="67"/>
      <c r="G2571" s="70"/>
      <c r="H2571" s="70"/>
      <c r="I2571" s="70"/>
      <c r="J2571" s="70"/>
      <c r="K2571" s="70"/>
      <c r="L2571" s="67"/>
      <c r="M2571" s="67"/>
      <c r="N2571" s="72"/>
      <c r="O2571" s="72"/>
      <c r="P2571" s="67"/>
      <c r="Q2571" s="67"/>
      <c r="R2571" s="67"/>
      <c r="S2571" s="67"/>
      <c r="T2571" s="32"/>
      <c r="U2571" s="32"/>
      <c r="X2571" s="32"/>
      <c r="Y2571" s="32"/>
      <c r="Z2571" s="32"/>
      <c r="AA2571" s="32"/>
      <c r="AB2571" s="32"/>
    </row>
    <row r="2572" spans="2:28" ht="23.25" customHeight="1" x14ac:dyDescent="0.2">
      <c r="B2572" s="75"/>
      <c r="C2572" s="67"/>
      <c r="D2572" s="75"/>
      <c r="E2572" s="67"/>
      <c r="F2572" s="67"/>
      <c r="G2572" s="70"/>
      <c r="H2572" s="70"/>
      <c r="I2572" s="70"/>
      <c r="J2572" s="70"/>
      <c r="K2572" s="70"/>
      <c r="L2572" s="67"/>
      <c r="M2572" s="67"/>
      <c r="N2572" s="72"/>
      <c r="O2572" s="72"/>
      <c r="P2572" s="67"/>
      <c r="Q2572" s="67"/>
      <c r="R2572" s="67"/>
      <c r="S2572" s="67"/>
      <c r="T2572" s="32"/>
      <c r="U2572" s="32"/>
      <c r="X2572" s="32"/>
      <c r="Y2572" s="32"/>
      <c r="Z2572" s="32"/>
      <c r="AA2572" s="32"/>
      <c r="AB2572" s="32"/>
    </row>
    <row r="2573" spans="2:28" ht="23.25" customHeight="1" x14ac:dyDescent="0.2">
      <c r="B2573" s="75"/>
      <c r="C2573" s="67"/>
      <c r="D2573" s="75"/>
      <c r="E2573" s="67"/>
      <c r="F2573" s="67"/>
      <c r="G2573" s="70"/>
      <c r="H2573" s="70"/>
      <c r="I2573" s="70"/>
      <c r="J2573" s="70"/>
      <c r="K2573" s="70"/>
      <c r="L2573" s="67"/>
      <c r="M2573" s="67"/>
      <c r="N2573" s="72"/>
      <c r="O2573" s="72"/>
      <c r="P2573" s="67"/>
      <c r="Q2573" s="67"/>
      <c r="R2573" s="67"/>
      <c r="S2573" s="67"/>
      <c r="T2573" s="32"/>
      <c r="U2573" s="32"/>
      <c r="X2573" s="32"/>
      <c r="Y2573" s="32"/>
      <c r="Z2573" s="32"/>
      <c r="AA2573" s="32"/>
      <c r="AB2573" s="32"/>
    </row>
    <row r="2574" spans="2:28" ht="23.25" customHeight="1" x14ac:dyDescent="0.2">
      <c r="B2574" s="75"/>
      <c r="C2574" s="67"/>
      <c r="D2574" s="75"/>
      <c r="E2574" s="67"/>
      <c r="F2574" s="67"/>
      <c r="G2574" s="70"/>
      <c r="H2574" s="70"/>
      <c r="I2574" s="70"/>
      <c r="J2574" s="70"/>
      <c r="K2574" s="70"/>
      <c r="L2574" s="67"/>
      <c r="M2574" s="67"/>
      <c r="N2574" s="72"/>
      <c r="O2574" s="72"/>
      <c r="P2574" s="67"/>
      <c r="Q2574" s="67"/>
      <c r="R2574" s="67"/>
      <c r="S2574" s="67"/>
      <c r="T2574" s="32"/>
      <c r="U2574" s="32"/>
      <c r="X2574" s="32"/>
      <c r="Y2574" s="32"/>
      <c r="Z2574" s="32"/>
      <c r="AA2574" s="32"/>
      <c r="AB2574" s="32"/>
    </row>
    <row r="2575" spans="2:28" ht="23.25" customHeight="1" x14ac:dyDescent="0.2">
      <c r="B2575" s="75"/>
      <c r="C2575" s="67"/>
      <c r="D2575" s="75"/>
      <c r="E2575" s="67"/>
      <c r="F2575" s="67"/>
      <c r="G2575" s="70"/>
      <c r="H2575" s="70"/>
      <c r="I2575" s="70"/>
      <c r="J2575" s="70"/>
      <c r="K2575" s="70"/>
      <c r="L2575" s="67"/>
      <c r="M2575" s="67"/>
      <c r="N2575" s="72"/>
      <c r="O2575" s="72"/>
      <c r="P2575" s="67"/>
      <c r="Q2575" s="67"/>
      <c r="R2575" s="67"/>
      <c r="S2575" s="67"/>
      <c r="T2575" s="32"/>
      <c r="U2575" s="32"/>
      <c r="X2575" s="32"/>
      <c r="Y2575" s="32"/>
      <c r="Z2575" s="32"/>
      <c r="AA2575" s="32"/>
      <c r="AB2575" s="32"/>
    </row>
    <row r="2576" spans="2:28" ht="23.25" customHeight="1" x14ac:dyDescent="0.2">
      <c r="B2576" s="75"/>
      <c r="C2576" s="67"/>
      <c r="D2576" s="75"/>
      <c r="E2576" s="67"/>
      <c r="F2576" s="67"/>
      <c r="G2576" s="70"/>
      <c r="H2576" s="70"/>
      <c r="I2576" s="70"/>
      <c r="J2576" s="70"/>
      <c r="K2576" s="70"/>
      <c r="L2576" s="67"/>
      <c r="M2576" s="67"/>
      <c r="N2576" s="72"/>
      <c r="O2576" s="72"/>
      <c r="P2576" s="67"/>
      <c r="Q2576" s="67"/>
      <c r="R2576" s="67"/>
      <c r="S2576" s="67"/>
      <c r="T2576" s="32"/>
      <c r="U2576" s="32"/>
      <c r="X2576" s="32"/>
      <c r="Y2576" s="32"/>
      <c r="Z2576" s="32"/>
      <c r="AA2576" s="32"/>
      <c r="AB2576" s="32"/>
    </row>
    <row r="2577" spans="2:28" ht="23.25" customHeight="1" x14ac:dyDescent="0.2">
      <c r="B2577" s="75"/>
      <c r="C2577" s="67"/>
      <c r="D2577" s="75"/>
      <c r="E2577" s="67"/>
      <c r="F2577" s="67"/>
      <c r="G2577" s="70"/>
      <c r="H2577" s="70"/>
      <c r="I2577" s="70"/>
      <c r="J2577" s="70"/>
      <c r="K2577" s="70"/>
      <c r="L2577" s="67"/>
      <c r="M2577" s="67"/>
      <c r="N2577" s="72"/>
      <c r="O2577" s="72"/>
      <c r="P2577" s="67"/>
      <c r="Q2577" s="67"/>
      <c r="R2577" s="67"/>
      <c r="S2577" s="67"/>
      <c r="T2577" s="32"/>
      <c r="U2577" s="32"/>
      <c r="X2577" s="32"/>
      <c r="Y2577" s="32"/>
      <c r="Z2577" s="32"/>
      <c r="AA2577" s="32"/>
      <c r="AB2577" s="32"/>
    </row>
    <row r="2578" spans="2:28" ht="23.25" customHeight="1" x14ac:dyDescent="0.2">
      <c r="B2578" s="75"/>
      <c r="C2578" s="67"/>
      <c r="D2578" s="75"/>
      <c r="E2578" s="67"/>
      <c r="F2578" s="67"/>
      <c r="G2578" s="70"/>
      <c r="H2578" s="70"/>
      <c r="I2578" s="70"/>
      <c r="J2578" s="70"/>
      <c r="K2578" s="70"/>
      <c r="L2578" s="67"/>
      <c r="M2578" s="67"/>
      <c r="N2578" s="72"/>
      <c r="O2578" s="72"/>
      <c r="P2578" s="67"/>
      <c r="Q2578" s="67"/>
      <c r="R2578" s="67"/>
      <c r="S2578" s="67"/>
      <c r="T2578" s="32"/>
      <c r="U2578" s="32"/>
      <c r="X2578" s="32"/>
      <c r="Y2578" s="32"/>
      <c r="Z2578" s="32"/>
      <c r="AA2578" s="32"/>
      <c r="AB2578" s="32"/>
    </row>
    <row r="2579" spans="2:28" ht="23.25" customHeight="1" x14ac:dyDescent="0.2">
      <c r="B2579" s="75"/>
      <c r="C2579" s="67"/>
      <c r="D2579" s="75"/>
      <c r="E2579" s="67"/>
      <c r="F2579" s="67"/>
      <c r="G2579" s="70"/>
      <c r="H2579" s="70"/>
      <c r="I2579" s="70"/>
      <c r="J2579" s="70"/>
      <c r="K2579" s="70"/>
      <c r="L2579" s="67"/>
      <c r="M2579" s="67"/>
      <c r="N2579" s="72"/>
      <c r="O2579" s="72"/>
      <c r="P2579" s="67"/>
      <c r="Q2579" s="67"/>
      <c r="R2579" s="67"/>
      <c r="S2579" s="67"/>
      <c r="T2579" s="32"/>
      <c r="U2579" s="32"/>
      <c r="X2579" s="32"/>
      <c r="Y2579" s="32"/>
      <c r="Z2579" s="32"/>
      <c r="AA2579" s="32"/>
      <c r="AB2579" s="32"/>
    </row>
    <row r="2580" spans="2:28" ht="23.25" customHeight="1" x14ac:dyDescent="0.2">
      <c r="B2580" s="75"/>
      <c r="C2580" s="67"/>
      <c r="D2580" s="75"/>
      <c r="E2580" s="67"/>
      <c r="F2580" s="67"/>
      <c r="G2580" s="70"/>
      <c r="H2580" s="70"/>
      <c r="I2580" s="70"/>
      <c r="J2580" s="70"/>
      <c r="K2580" s="70"/>
      <c r="L2580" s="67"/>
      <c r="M2580" s="67"/>
      <c r="N2580" s="72"/>
      <c r="O2580" s="72"/>
      <c r="P2580" s="67"/>
      <c r="Q2580" s="67"/>
      <c r="R2580" s="67"/>
      <c r="S2580" s="67"/>
      <c r="T2580" s="32"/>
      <c r="U2580" s="32"/>
      <c r="X2580" s="32"/>
      <c r="Y2580" s="32"/>
      <c r="Z2580" s="32"/>
      <c r="AA2580" s="32"/>
      <c r="AB2580" s="32"/>
    </row>
    <row r="2581" spans="2:28" ht="23.25" customHeight="1" x14ac:dyDescent="0.2">
      <c r="B2581" s="75"/>
      <c r="C2581" s="67"/>
      <c r="D2581" s="75"/>
      <c r="E2581" s="67"/>
      <c r="F2581" s="67"/>
      <c r="G2581" s="70"/>
      <c r="H2581" s="70"/>
      <c r="I2581" s="70"/>
      <c r="J2581" s="70"/>
      <c r="K2581" s="70"/>
      <c r="L2581" s="67"/>
      <c r="M2581" s="67"/>
      <c r="N2581" s="72"/>
      <c r="O2581" s="72"/>
      <c r="P2581" s="67"/>
      <c r="Q2581" s="67"/>
      <c r="R2581" s="67"/>
      <c r="S2581" s="67"/>
      <c r="T2581" s="32"/>
      <c r="U2581" s="32"/>
      <c r="X2581" s="32"/>
      <c r="Y2581" s="32"/>
      <c r="Z2581" s="32"/>
      <c r="AA2581" s="32"/>
      <c r="AB2581" s="32"/>
    </row>
    <row r="2582" spans="2:28" ht="23.25" customHeight="1" x14ac:dyDescent="0.2">
      <c r="B2582" s="75"/>
      <c r="C2582" s="67"/>
      <c r="D2582" s="75"/>
      <c r="E2582" s="67"/>
      <c r="F2582" s="67"/>
      <c r="G2582" s="70"/>
      <c r="H2582" s="70"/>
      <c r="I2582" s="70"/>
      <c r="J2582" s="70"/>
      <c r="K2582" s="70"/>
      <c r="L2582" s="67"/>
      <c r="M2582" s="67"/>
      <c r="N2582" s="72"/>
      <c r="O2582" s="72"/>
      <c r="P2582" s="67"/>
      <c r="Q2582" s="67"/>
      <c r="R2582" s="67"/>
      <c r="S2582" s="67"/>
      <c r="T2582" s="32"/>
      <c r="U2582" s="32"/>
      <c r="X2582" s="32"/>
      <c r="Y2582" s="32"/>
      <c r="Z2582" s="32"/>
      <c r="AA2582" s="32"/>
      <c r="AB2582" s="32"/>
    </row>
    <row r="2583" spans="2:28" ht="23.25" customHeight="1" x14ac:dyDescent="0.2">
      <c r="B2583" s="75"/>
      <c r="C2583" s="67"/>
      <c r="D2583" s="75"/>
      <c r="E2583" s="67"/>
      <c r="F2583" s="67"/>
      <c r="G2583" s="70"/>
      <c r="H2583" s="70"/>
      <c r="I2583" s="70"/>
      <c r="J2583" s="70"/>
      <c r="K2583" s="70"/>
      <c r="L2583" s="67"/>
      <c r="M2583" s="67"/>
      <c r="N2583" s="72"/>
      <c r="O2583" s="72"/>
      <c r="P2583" s="67"/>
      <c r="Q2583" s="67"/>
      <c r="R2583" s="67"/>
      <c r="S2583" s="67"/>
      <c r="T2583" s="32"/>
      <c r="U2583" s="32"/>
      <c r="X2583" s="32"/>
      <c r="Y2583" s="32"/>
      <c r="Z2583" s="32"/>
      <c r="AA2583" s="32"/>
      <c r="AB2583" s="32"/>
    </row>
    <row r="2584" spans="2:28" ht="23.25" customHeight="1" x14ac:dyDescent="0.2">
      <c r="B2584" s="75"/>
      <c r="C2584" s="67"/>
      <c r="D2584" s="75"/>
      <c r="E2584" s="67"/>
      <c r="F2584" s="67"/>
      <c r="G2584" s="70"/>
      <c r="H2584" s="70"/>
      <c r="I2584" s="70"/>
      <c r="J2584" s="70"/>
      <c r="K2584" s="70"/>
      <c r="L2584" s="67"/>
      <c r="M2584" s="67"/>
      <c r="N2584" s="72"/>
      <c r="O2584" s="72"/>
      <c r="P2584" s="67"/>
      <c r="Q2584" s="67"/>
      <c r="R2584" s="67"/>
      <c r="S2584" s="67"/>
      <c r="T2584" s="32"/>
      <c r="U2584" s="32"/>
      <c r="X2584" s="32"/>
      <c r="Y2584" s="32"/>
      <c r="Z2584" s="32"/>
      <c r="AA2584" s="32"/>
      <c r="AB2584" s="32"/>
    </row>
    <row r="2585" spans="2:28" ht="23.25" customHeight="1" x14ac:dyDescent="0.2">
      <c r="B2585" s="75"/>
      <c r="C2585" s="67"/>
      <c r="D2585" s="75"/>
      <c r="E2585" s="67"/>
      <c r="F2585" s="67"/>
      <c r="G2585" s="70"/>
      <c r="H2585" s="70"/>
      <c r="I2585" s="70"/>
      <c r="J2585" s="70"/>
      <c r="K2585" s="70"/>
      <c r="L2585" s="67"/>
      <c r="M2585" s="67"/>
      <c r="N2585" s="72"/>
      <c r="O2585" s="72"/>
      <c r="P2585" s="67"/>
      <c r="Q2585" s="67"/>
      <c r="R2585" s="67"/>
      <c r="S2585" s="67"/>
      <c r="T2585" s="32"/>
      <c r="U2585" s="32"/>
      <c r="X2585" s="32"/>
      <c r="Y2585" s="32"/>
      <c r="Z2585" s="32"/>
      <c r="AA2585" s="32"/>
      <c r="AB2585" s="32"/>
    </row>
    <row r="2586" spans="2:28" ht="23.25" customHeight="1" x14ac:dyDescent="0.2">
      <c r="B2586" s="75"/>
      <c r="C2586" s="67"/>
      <c r="D2586" s="75"/>
      <c r="E2586" s="67"/>
      <c r="F2586" s="67"/>
      <c r="G2586" s="70"/>
      <c r="H2586" s="70"/>
      <c r="I2586" s="70"/>
      <c r="J2586" s="70"/>
      <c r="K2586" s="70"/>
      <c r="L2586" s="67"/>
      <c r="M2586" s="67"/>
      <c r="N2586" s="72"/>
      <c r="O2586" s="72"/>
      <c r="P2586" s="67"/>
      <c r="Q2586" s="67"/>
      <c r="R2586" s="67"/>
      <c r="S2586" s="67"/>
      <c r="T2586" s="32"/>
      <c r="U2586" s="32"/>
      <c r="X2586" s="32"/>
      <c r="Y2586" s="32"/>
      <c r="Z2586" s="32"/>
      <c r="AA2586" s="32"/>
      <c r="AB2586" s="32"/>
    </row>
    <row r="2587" spans="2:28" ht="23.25" customHeight="1" x14ac:dyDescent="0.2">
      <c r="B2587" s="75"/>
      <c r="C2587" s="67"/>
      <c r="D2587" s="75"/>
      <c r="E2587" s="67"/>
      <c r="F2587" s="67"/>
      <c r="G2587" s="70"/>
      <c r="H2587" s="70"/>
      <c r="I2587" s="70"/>
      <c r="J2587" s="70"/>
      <c r="K2587" s="70"/>
      <c r="L2587" s="67"/>
      <c r="M2587" s="67"/>
      <c r="N2587" s="72"/>
      <c r="O2587" s="72"/>
      <c r="P2587" s="67"/>
      <c r="Q2587" s="67"/>
      <c r="R2587" s="67"/>
      <c r="S2587" s="67"/>
      <c r="T2587" s="32"/>
      <c r="U2587" s="32"/>
      <c r="X2587" s="32"/>
      <c r="Y2587" s="32"/>
      <c r="Z2587" s="32"/>
      <c r="AA2587" s="32"/>
      <c r="AB2587" s="32"/>
    </row>
    <row r="2588" spans="2:28" ht="23.25" customHeight="1" x14ac:dyDescent="0.2">
      <c r="B2588" s="75"/>
      <c r="C2588" s="67"/>
      <c r="D2588" s="75"/>
      <c r="E2588" s="67"/>
      <c r="F2588" s="67"/>
      <c r="G2588" s="70"/>
      <c r="H2588" s="70"/>
      <c r="I2588" s="70"/>
      <c r="J2588" s="70"/>
      <c r="K2588" s="70"/>
      <c r="L2588" s="67"/>
      <c r="M2588" s="67"/>
      <c r="N2588" s="72"/>
      <c r="O2588" s="72"/>
      <c r="P2588" s="67"/>
      <c r="Q2588" s="67"/>
      <c r="R2588" s="67"/>
      <c r="S2588" s="67"/>
      <c r="T2588" s="32"/>
      <c r="U2588" s="32"/>
      <c r="X2588" s="32"/>
      <c r="Y2588" s="32"/>
      <c r="Z2588" s="32"/>
      <c r="AA2588" s="32"/>
      <c r="AB2588" s="32"/>
    </row>
    <row r="2589" spans="2:28" ht="23.25" customHeight="1" x14ac:dyDescent="0.2">
      <c r="B2589" s="75"/>
      <c r="C2589" s="67"/>
      <c r="D2589" s="75"/>
      <c r="E2589" s="67"/>
      <c r="F2589" s="67"/>
      <c r="G2589" s="70"/>
      <c r="H2589" s="70"/>
      <c r="I2589" s="70"/>
      <c r="J2589" s="70"/>
      <c r="K2589" s="70"/>
      <c r="L2589" s="67"/>
      <c r="M2589" s="67"/>
      <c r="N2589" s="72"/>
      <c r="O2589" s="72"/>
      <c r="P2589" s="67"/>
      <c r="Q2589" s="67"/>
      <c r="R2589" s="67"/>
      <c r="S2589" s="67"/>
      <c r="T2589" s="32"/>
      <c r="U2589" s="32"/>
      <c r="X2589" s="32"/>
      <c r="Y2589" s="32"/>
      <c r="Z2589" s="32"/>
      <c r="AA2589" s="32"/>
      <c r="AB2589" s="32"/>
    </row>
    <row r="2590" spans="2:28" ht="23.25" customHeight="1" x14ac:dyDescent="0.2">
      <c r="B2590" s="75"/>
      <c r="C2590" s="67"/>
      <c r="D2590" s="75"/>
      <c r="E2590" s="67"/>
      <c r="F2590" s="67"/>
      <c r="G2590" s="70"/>
      <c r="H2590" s="70"/>
      <c r="I2590" s="70"/>
      <c r="J2590" s="70"/>
      <c r="K2590" s="70"/>
      <c r="L2590" s="67"/>
      <c r="M2590" s="67"/>
      <c r="N2590" s="72"/>
      <c r="O2590" s="72"/>
      <c r="P2590" s="67"/>
      <c r="Q2590" s="67"/>
      <c r="R2590" s="67"/>
      <c r="S2590" s="67"/>
      <c r="T2590" s="32"/>
      <c r="U2590" s="32"/>
      <c r="X2590" s="32"/>
      <c r="Y2590" s="32"/>
      <c r="Z2590" s="32"/>
      <c r="AA2590" s="32"/>
      <c r="AB2590" s="32"/>
    </row>
    <row r="2591" spans="2:28" ht="23.25" customHeight="1" x14ac:dyDescent="0.2">
      <c r="B2591" s="75"/>
      <c r="C2591" s="67"/>
      <c r="D2591" s="75"/>
      <c r="E2591" s="67"/>
      <c r="F2591" s="67"/>
      <c r="G2591" s="70"/>
      <c r="H2591" s="70"/>
      <c r="I2591" s="70"/>
      <c r="J2591" s="70"/>
      <c r="K2591" s="70"/>
      <c r="L2591" s="67"/>
      <c r="M2591" s="67"/>
      <c r="N2591" s="72"/>
      <c r="O2591" s="72"/>
      <c r="P2591" s="67"/>
      <c r="Q2591" s="67"/>
      <c r="R2591" s="67"/>
      <c r="S2591" s="67"/>
      <c r="T2591" s="32"/>
      <c r="U2591" s="32"/>
      <c r="X2591" s="32"/>
      <c r="Y2591" s="32"/>
      <c r="Z2591" s="32"/>
      <c r="AA2591" s="32"/>
      <c r="AB2591" s="32"/>
    </row>
    <row r="2592" spans="2:28" ht="23.25" customHeight="1" x14ac:dyDescent="0.2">
      <c r="B2592" s="75"/>
      <c r="C2592" s="67"/>
      <c r="D2592" s="75"/>
      <c r="E2592" s="67"/>
      <c r="F2592" s="67"/>
      <c r="G2592" s="70"/>
      <c r="H2592" s="70"/>
      <c r="I2592" s="70"/>
      <c r="J2592" s="70"/>
      <c r="K2592" s="70"/>
      <c r="L2592" s="67"/>
      <c r="M2592" s="67"/>
      <c r="N2592" s="72"/>
      <c r="O2592" s="72"/>
      <c r="P2592" s="67"/>
      <c r="Q2592" s="67"/>
      <c r="R2592" s="67"/>
      <c r="S2592" s="67"/>
      <c r="T2592" s="32"/>
      <c r="U2592" s="32"/>
      <c r="X2592" s="32"/>
      <c r="Y2592" s="32"/>
      <c r="Z2592" s="32"/>
      <c r="AA2592" s="32"/>
      <c r="AB2592" s="32"/>
    </row>
    <row r="2593" spans="2:28" ht="23.25" customHeight="1" x14ac:dyDescent="0.2">
      <c r="B2593" s="75"/>
      <c r="C2593" s="67"/>
      <c r="D2593" s="75"/>
      <c r="E2593" s="67"/>
      <c r="F2593" s="67"/>
      <c r="G2593" s="70"/>
      <c r="H2593" s="70"/>
      <c r="I2593" s="70"/>
      <c r="J2593" s="70"/>
      <c r="K2593" s="70"/>
      <c r="L2593" s="67"/>
      <c r="M2593" s="67"/>
      <c r="N2593" s="72"/>
      <c r="O2593" s="72"/>
      <c r="P2593" s="67"/>
      <c r="Q2593" s="67"/>
      <c r="R2593" s="67"/>
      <c r="S2593" s="67"/>
      <c r="T2593" s="32"/>
      <c r="U2593" s="32"/>
      <c r="X2593" s="32"/>
      <c r="Y2593" s="32"/>
      <c r="Z2593" s="32"/>
      <c r="AA2593" s="32"/>
      <c r="AB2593" s="32"/>
    </row>
    <row r="2594" spans="2:28" ht="23.25" customHeight="1" x14ac:dyDescent="0.2">
      <c r="B2594" s="75"/>
      <c r="C2594" s="67"/>
      <c r="D2594" s="75"/>
      <c r="E2594" s="67"/>
      <c r="F2594" s="67"/>
      <c r="G2594" s="70"/>
      <c r="H2594" s="70"/>
      <c r="I2594" s="70"/>
      <c r="J2594" s="70"/>
      <c r="K2594" s="70"/>
      <c r="L2594" s="67"/>
      <c r="M2594" s="67"/>
      <c r="N2594" s="72"/>
      <c r="O2594" s="72"/>
      <c r="P2594" s="67"/>
      <c r="Q2594" s="67"/>
      <c r="R2594" s="67"/>
      <c r="S2594" s="67"/>
      <c r="T2594" s="32"/>
      <c r="U2594" s="32"/>
      <c r="X2594" s="32"/>
      <c r="Y2594" s="32"/>
      <c r="Z2594" s="32"/>
      <c r="AA2594" s="32"/>
      <c r="AB2594" s="32"/>
    </row>
    <row r="2595" spans="2:28" ht="23.25" customHeight="1" x14ac:dyDescent="0.2">
      <c r="B2595" s="75"/>
      <c r="C2595" s="67"/>
      <c r="D2595" s="75"/>
      <c r="E2595" s="67"/>
      <c r="F2595" s="67"/>
      <c r="G2595" s="70"/>
      <c r="H2595" s="70"/>
      <c r="I2595" s="70"/>
      <c r="J2595" s="70"/>
      <c r="K2595" s="70"/>
      <c r="L2595" s="67"/>
      <c r="M2595" s="67"/>
      <c r="N2595" s="72"/>
      <c r="O2595" s="72"/>
      <c r="P2595" s="67"/>
      <c r="Q2595" s="67"/>
      <c r="R2595" s="67"/>
      <c r="S2595" s="67"/>
      <c r="T2595" s="32"/>
      <c r="U2595" s="32"/>
      <c r="X2595" s="32"/>
      <c r="Y2595" s="32"/>
      <c r="Z2595" s="32"/>
      <c r="AA2595" s="32"/>
      <c r="AB2595" s="32"/>
    </row>
    <row r="2596" spans="2:28" ht="23.25" customHeight="1" x14ac:dyDescent="0.2">
      <c r="B2596" s="75"/>
      <c r="C2596" s="67"/>
      <c r="D2596" s="75"/>
      <c r="E2596" s="67"/>
      <c r="F2596" s="67"/>
      <c r="G2596" s="70"/>
      <c r="H2596" s="70"/>
      <c r="I2596" s="70"/>
      <c r="J2596" s="70"/>
      <c r="K2596" s="70"/>
      <c r="L2596" s="67"/>
      <c r="M2596" s="67"/>
      <c r="N2596" s="72"/>
      <c r="O2596" s="72"/>
      <c r="P2596" s="67"/>
      <c r="Q2596" s="67"/>
      <c r="R2596" s="67"/>
      <c r="S2596" s="67"/>
      <c r="T2596" s="32"/>
      <c r="U2596" s="32"/>
      <c r="X2596" s="32"/>
      <c r="Y2596" s="32"/>
      <c r="Z2596" s="32"/>
      <c r="AA2596" s="32"/>
      <c r="AB2596" s="32"/>
    </row>
    <row r="2597" spans="2:28" ht="23.25" customHeight="1" x14ac:dyDescent="0.2">
      <c r="B2597" s="75"/>
      <c r="C2597" s="67"/>
      <c r="D2597" s="75"/>
      <c r="E2597" s="67"/>
      <c r="F2597" s="67"/>
      <c r="G2597" s="70"/>
      <c r="H2597" s="70"/>
      <c r="I2597" s="70"/>
      <c r="J2597" s="70"/>
      <c r="K2597" s="70"/>
      <c r="L2597" s="67"/>
      <c r="M2597" s="67"/>
      <c r="N2597" s="72"/>
      <c r="O2597" s="72"/>
      <c r="P2597" s="67"/>
      <c r="Q2597" s="67"/>
      <c r="R2597" s="67"/>
      <c r="S2597" s="67"/>
      <c r="T2597" s="32"/>
      <c r="U2597" s="32"/>
      <c r="X2597" s="32"/>
      <c r="Y2597" s="32"/>
      <c r="Z2597" s="32"/>
      <c r="AA2597" s="32"/>
      <c r="AB2597" s="32"/>
    </row>
    <row r="2598" spans="2:28" ht="23.25" customHeight="1" x14ac:dyDescent="0.2">
      <c r="B2598" s="75"/>
      <c r="C2598" s="67"/>
      <c r="D2598" s="75"/>
      <c r="E2598" s="67"/>
      <c r="F2598" s="67"/>
      <c r="G2598" s="70"/>
      <c r="H2598" s="70"/>
      <c r="I2598" s="70"/>
      <c r="J2598" s="70"/>
      <c r="K2598" s="70"/>
      <c r="L2598" s="67"/>
      <c r="M2598" s="67"/>
      <c r="N2598" s="72"/>
      <c r="O2598" s="72"/>
      <c r="P2598" s="67"/>
      <c r="Q2598" s="67"/>
      <c r="R2598" s="67"/>
      <c r="S2598" s="67"/>
      <c r="T2598" s="32"/>
      <c r="U2598" s="32"/>
      <c r="X2598" s="32"/>
      <c r="Y2598" s="32"/>
      <c r="Z2598" s="32"/>
      <c r="AA2598" s="32"/>
      <c r="AB2598" s="32"/>
    </row>
    <row r="2599" spans="2:28" ht="23.25" customHeight="1" x14ac:dyDescent="0.2">
      <c r="B2599" s="75"/>
      <c r="C2599" s="67"/>
      <c r="D2599" s="75"/>
      <c r="E2599" s="67"/>
      <c r="F2599" s="67"/>
      <c r="G2599" s="70"/>
      <c r="H2599" s="70"/>
      <c r="I2599" s="70"/>
      <c r="J2599" s="70"/>
      <c r="K2599" s="70"/>
      <c r="L2599" s="67"/>
      <c r="M2599" s="67"/>
      <c r="N2599" s="72"/>
      <c r="O2599" s="72"/>
      <c r="P2599" s="67"/>
      <c r="Q2599" s="67"/>
      <c r="R2599" s="67"/>
      <c r="S2599" s="67"/>
      <c r="T2599" s="32"/>
      <c r="U2599" s="32"/>
      <c r="X2599" s="32"/>
      <c r="Y2599" s="32"/>
      <c r="Z2599" s="32"/>
      <c r="AA2599" s="32"/>
      <c r="AB2599" s="32"/>
    </row>
    <row r="2600" spans="2:28" ht="23.25" customHeight="1" x14ac:dyDescent="0.2">
      <c r="B2600" s="75"/>
      <c r="C2600" s="67"/>
      <c r="D2600" s="75"/>
      <c r="E2600" s="67"/>
      <c r="F2600" s="67"/>
      <c r="G2600" s="70"/>
      <c r="H2600" s="70"/>
      <c r="I2600" s="70"/>
      <c r="J2600" s="70"/>
      <c r="K2600" s="70"/>
      <c r="L2600" s="67"/>
      <c r="M2600" s="67"/>
      <c r="N2600" s="72"/>
      <c r="O2600" s="72"/>
      <c r="P2600" s="67"/>
      <c r="Q2600" s="67"/>
      <c r="R2600" s="67"/>
      <c r="S2600" s="67"/>
      <c r="T2600" s="32"/>
      <c r="U2600" s="32"/>
      <c r="X2600" s="32"/>
      <c r="Y2600" s="32"/>
      <c r="Z2600" s="32"/>
      <c r="AA2600" s="32"/>
      <c r="AB2600" s="32"/>
    </row>
    <row r="2601" spans="2:28" ht="23.25" customHeight="1" x14ac:dyDescent="0.2">
      <c r="B2601" s="75"/>
      <c r="C2601" s="67"/>
      <c r="D2601" s="75"/>
      <c r="E2601" s="67"/>
      <c r="F2601" s="67"/>
      <c r="G2601" s="70"/>
      <c r="H2601" s="70"/>
      <c r="I2601" s="70"/>
      <c r="J2601" s="70"/>
      <c r="K2601" s="70"/>
      <c r="L2601" s="67"/>
      <c r="M2601" s="67"/>
      <c r="N2601" s="72"/>
      <c r="O2601" s="72"/>
      <c r="P2601" s="67"/>
      <c r="Q2601" s="67"/>
      <c r="R2601" s="67"/>
      <c r="S2601" s="67"/>
      <c r="T2601" s="32"/>
      <c r="U2601" s="32"/>
      <c r="X2601" s="32"/>
      <c r="Y2601" s="32"/>
      <c r="Z2601" s="32"/>
      <c r="AA2601" s="32"/>
      <c r="AB2601" s="32"/>
    </row>
    <row r="2602" spans="2:28" ht="23.25" customHeight="1" x14ac:dyDescent="0.2">
      <c r="B2602" s="75"/>
      <c r="C2602" s="67"/>
      <c r="D2602" s="75"/>
      <c r="E2602" s="67"/>
      <c r="F2602" s="67"/>
      <c r="G2602" s="70"/>
      <c r="H2602" s="70"/>
      <c r="I2602" s="70"/>
      <c r="J2602" s="70"/>
      <c r="K2602" s="70"/>
      <c r="L2602" s="67"/>
      <c r="M2602" s="67"/>
      <c r="N2602" s="72"/>
      <c r="O2602" s="72"/>
      <c r="P2602" s="67"/>
      <c r="Q2602" s="67"/>
      <c r="R2602" s="67"/>
      <c r="S2602" s="67"/>
      <c r="T2602" s="32"/>
      <c r="U2602" s="32"/>
      <c r="X2602" s="32"/>
      <c r="Y2602" s="32"/>
      <c r="Z2602" s="32"/>
      <c r="AA2602" s="32"/>
      <c r="AB2602" s="32"/>
    </row>
    <row r="2603" spans="2:28" ht="23.25" customHeight="1" x14ac:dyDescent="0.2">
      <c r="B2603" s="75"/>
      <c r="C2603" s="67"/>
      <c r="D2603" s="75"/>
      <c r="E2603" s="67"/>
      <c r="F2603" s="67"/>
      <c r="G2603" s="70"/>
      <c r="H2603" s="70"/>
      <c r="I2603" s="70"/>
      <c r="J2603" s="70"/>
      <c r="K2603" s="70"/>
      <c r="L2603" s="67"/>
      <c r="M2603" s="67"/>
      <c r="N2603" s="72"/>
      <c r="O2603" s="72"/>
      <c r="P2603" s="67"/>
      <c r="Q2603" s="67"/>
      <c r="R2603" s="67"/>
      <c r="S2603" s="67"/>
      <c r="T2603" s="32"/>
      <c r="U2603" s="32"/>
      <c r="X2603" s="32"/>
      <c r="Y2603" s="32"/>
      <c r="Z2603" s="32"/>
      <c r="AA2603" s="32"/>
      <c r="AB2603" s="32"/>
    </row>
    <row r="2604" spans="2:28" ht="23.25" customHeight="1" x14ac:dyDescent="0.2">
      <c r="B2604" s="75"/>
      <c r="C2604" s="67"/>
      <c r="D2604" s="75"/>
      <c r="E2604" s="67"/>
      <c r="F2604" s="67"/>
      <c r="G2604" s="70"/>
      <c r="H2604" s="70"/>
      <c r="I2604" s="70"/>
      <c r="J2604" s="70"/>
      <c r="K2604" s="70"/>
      <c r="L2604" s="67"/>
      <c r="M2604" s="67"/>
      <c r="N2604" s="72"/>
      <c r="O2604" s="72"/>
      <c r="P2604" s="67"/>
      <c r="Q2604" s="67"/>
      <c r="R2604" s="67"/>
      <c r="S2604" s="67"/>
      <c r="T2604" s="32"/>
      <c r="U2604" s="32"/>
      <c r="X2604" s="32"/>
      <c r="Y2604" s="32"/>
      <c r="Z2604" s="32"/>
      <c r="AA2604" s="32"/>
      <c r="AB2604" s="32"/>
    </row>
    <row r="2605" spans="2:28" ht="23.25" customHeight="1" x14ac:dyDescent="0.2">
      <c r="B2605" s="75"/>
      <c r="C2605" s="67"/>
      <c r="D2605" s="75"/>
      <c r="E2605" s="67"/>
      <c r="F2605" s="67"/>
      <c r="G2605" s="70"/>
      <c r="H2605" s="70"/>
      <c r="I2605" s="70"/>
      <c r="J2605" s="70"/>
      <c r="K2605" s="70"/>
      <c r="L2605" s="67"/>
      <c r="M2605" s="67"/>
      <c r="N2605" s="72"/>
      <c r="O2605" s="72"/>
      <c r="P2605" s="67"/>
      <c r="Q2605" s="67"/>
      <c r="R2605" s="67"/>
      <c r="S2605" s="67"/>
      <c r="T2605" s="32"/>
      <c r="U2605" s="32"/>
      <c r="X2605" s="32"/>
      <c r="Y2605" s="32"/>
      <c r="Z2605" s="32"/>
      <c r="AA2605" s="32"/>
      <c r="AB2605" s="32"/>
    </row>
    <row r="2606" spans="2:28" ht="23.25" customHeight="1" x14ac:dyDescent="0.2">
      <c r="B2606" s="75"/>
      <c r="C2606" s="67"/>
      <c r="D2606" s="75"/>
      <c r="E2606" s="67"/>
      <c r="F2606" s="67"/>
      <c r="G2606" s="70"/>
      <c r="H2606" s="70"/>
      <c r="I2606" s="70"/>
      <c r="J2606" s="70"/>
      <c r="K2606" s="70"/>
      <c r="L2606" s="67"/>
      <c r="M2606" s="67"/>
      <c r="N2606" s="72"/>
      <c r="O2606" s="72"/>
      <c r="P2606" s="67"/>
      <c r="Q2606" s="67"/>
      <c r="R2606" s="67"/>
      <c r="S2606" s="67"/>
      <c r="T2606" s="32"/>
      <c r="U2606" s="32"/>
      <c r="X2606" s="32"/>
      <c r="Y2606" s="32"/>
      <c r="Z2606" s="32"/>
      <c r="AA2606" s="32"/>
      <c r="AB2606" s="32"/>
    </row>
    <row r="2607" spans="2:28" ht="23.25" customHeight="1" x14ac:dyDescent="0.2">
      <c r="B2607" s="75"/>
      <c r="C2607" s="67"/>
      <c r="D2607" s="75"/>
      <c r="E2607" s="67"/>
      <c r="F2607" s="67"/>
      <c r="G2607" s="70"/>
      <c r="H2607" s="70"/>
      <c r="I2607" s="70"/>
      <c r="J2607" s="70"/>
      <c r="K2607" s="70"/>
      <c r="L2607" s="67"/>
      <c r="M2607" s="67"/>
      <c r="N2607" s="72"/>
      <c r="O2607" s="72"/>
      <c r="P2607" s="67"/>
      <c r="Q2607" s="67"/>
      <c r="R2607" s="67"/>
      <c r="S2607" s="67"/>
      <c r="T2607" s="32"/>
      <c r="U2607" s="32"/>
      <c r="X2607" s="32"/>
      <c r="Y2607" s="32"/>
      <c r="Z2607" s="32"/>
      <c r="AA2607" s="32"/>
      <c r="AB2607" s="32"/>
    </row>
    <row r="2608" spans="2:28" ht="23.25" customHeight="1" x14ac:dyDescent="0.2">
      <c r="B2608" s="75"/>
      <c r="C2608" s="67"/>
      <c r="D2608" s="75"/>
      <c r="E2608" s="67"/>
      <c r="F2608" s="67"/>
      <c r="G2608" s="70"/>
      <c r="H2608" s="70"/>
      <c r="I2608" s="70"/>
      <c r="J2608" s="70"/>
      <c r="K2608" s="70"/>
      <c r="L2608" s="67"/>
      <c r="M2608" s="67"/>
      <c r="N2608" s="72"/>
      <c r="O2608" s="72"/>
      <c r="P2608" s="67"/>
      <c r="Q2608" s="67"/>
      <c r="R2608" s="67"/>
      <c r="S2608" s="67"/>
      <c r="T2608" s="32"/>
      <c r="U2608" s="32"/>
      <c r="X2608" s="32"/>
      <c r="Y2608" s="32"/>
      <c r="Z2608" s="32"/>
      <c r="AA2608" s="32"/>
      <c r="AB2608" s="32"/>
    </row>
    <row r="2609" spans="2:28" ht="23.25" customHeight="1" x14ac:dyDescent="0.2">
      <c r="B2609" s="75"/>
      <c r="C2609" s="67"/>
      <c r="D2609" s="75"/>
      <c r="E2609" s="67"/>
      <c r="F2609" s="67"/>
      <c r="G2609" s="70"/>
      <c r="H2609" s="70"/>
      <c r="I2609" s="70"/>
      <c r="J2609" s="70"/>
      <c r="K2609" s="70"/>
      <c r="L2609" s="67"/>
      <c r="M2609" s="67"/>
      <c r="N2609" s="72"/>
      <c r="O2609" s="72"/>
      <c r="P2609" s="67"/>
      <c r="Q2609" s="67"/>
      <c r="R2609" s="67"/>
      <c r="S2609" s="67"/>
      <c r="T2609" s="32"/>
      <c r="U2609" s="32"/>
      <c r="X2609" s="32"/>
      <c r="Y2609" s="32"/>
      <c r="Z2609" s="32"/>
      <c r="AA2609" s="32"/>
      <c r="AB2609" s="32"/>
    </row>
    <row r="2610" spans="2:28" ht="23.25" customHeight="1" x14ac:dyDescent="0.2">
      <c r="B2610" s="75"/>
      <c r="C2610" s="67"/>
      <c r="D2610" s="75"/>
      <c r="E2610" s="67"/>
      <c r="F2610" s="67"/>
      <c r="G2610" s="70"/>
      <c r="H2610" s="70"/>
      <c r="I2610" s="70"/>
      <c r="J2610" s="70"/>
      <c r="K2610" s="70"/>
      <c r="L2610" s="67"/>
      <c r="M2610" s="67"/>
      <c r="N2610" s="72"/>
      <c r="O2610" s="72"/>
      <c r="P2610" s="67"/>
      <c r="Q2610" s="67"/>
      <c r="R2610" s="67"/>
      <c r="S2610" s="67"/>
      <c r="T2610" s="32"/>
      <c r="U2610" s="32"/>
      <c r="X2610" s="32"/>
      <c r="Y2610" s="32"/>
      <c r="Z2610" s="32"/>
      <c r="AA2610" s="32"/>
      <c r="AB2610" s="32"/>
    </row>
    <row r="2611" spans="2:28" ht="23.25" customHeight="1" x14ac:dyDescent="0.2">
      <c r="B2611" s="75"/>
      <c r="C2611" s="67"/>
      <c r="D2611" s="75"/>
      <c r="E2611" s="67"/>
      <c r="F2611" s="67"/>
      <c r="G2611" s="70"/>
      <c r="H2611" s="70"/>
      <c r="I2611" s="70"/>
      <c r="J2611" s="70"/>
      <c r="K2611" s="70"/>
      <c r="L2611" s="67"/>
      <c r="M2611" s="67"/>
      <c r="N2611" s="72"/>
      <c r="O2611" s="72"/>
      <c r="P2611" s="67"/>
      <c r="Q2611" s="67"/>
      <c r="R2611" s="67"/>
      <c r="S2611" s="67"/>
      <c r="T2611" s="32"/>
      <c r="U2611" s="32"/>
      <c r="X2611" s="32"/>
      <c r="Y2611" s="32"/>
      <c r="Z2611" s="32"/>
      <c r="AA2611" s="32"/>
      <c r="AB2611" s="32"/>
    </row>
    <row r="2612" spans="2:28" ht="23.25" customHeight="1" x14ac:dyDescent="0.2">
      <c r="B2612" s="75"/>
      <c r="C2612" s="67"/>
      <c r="D2612" s="75"/>
      <c r="E2612" s="67"/>
      <c r="F2612" s="67"/>
      <c r="G2612" s="70"/>
      <c r="H2612" s="70"/>
      <c r="I2612" s="70"/>
      <c r="J2612" s="70"/>
      <c r="K2612" s="70"/>
      <c r="L2612" s="67"/>
      <c r="M2612" s="67"/>
      <c r="N2612" s="72"/>
      <c r="O2612" s="72"/>
      <c r="P2612" s="67"/>
      <c r="Q2612" s="67"/>
      <c r="R2612" s="67"/>
      <c r="S2612" s="67"/>
      <c r="T2612" s="32"/>
      <c r="U2612" s="32"/>
      <c r="X2612" s="32"/>
      <c r="Y2612" s="32"/>
      <c r="Z2612" s="32"/>
      <c r="AA2612" s="32"/>
      <c r="AB2612" s="32"/>
    </row>
    <row r="2613" spans="2:28" ht="23.25" customHeight="1" x14ac:dyDescent="0.2">
      <c r="B2613" s="75"/>
      <c r="C2613" s="67"/>
      <c r="D2613" s="75"/>
      <c r="E2613" s="67"/>
      <c r="F2613" s="67"/>
      <c r="G2613" s="70"/>
      <c r="H2613" s="70"/>
      <c r="I2613" s="70"/>
      <c r="J2613" s="70"/>
      <c r="K2613" s="70"/>
      <c r="L2613" s="67"/>
      <c r="M2613" s="67"/>
      <c r="N2613" s="72"/>
      <c r="O2613" s="72"/>
      <c r="P2613" s="67"/>
      <c r="Q2613" s="67"/>
      <c r="R2613" s="67"/>
      <c r="S2613" s="67"/>
      <c r="T2613" s="32"/>
      <c r="U2613" s="32"/>
      <c r="X2613" s="32"/>
      <c r="Y2613" s="32"/>
      <c r="Z2613" s="32"/>
      <c r="AA2613" s="32"/>
      <c r="AB2613" s="32"/>
    </row>
    <row r="2614" spans="2:28" ht="23.25" customHeight="1" x14ac:dyDescent="0.2">
      <c r="B2614" s="75"/>
      <c r="C2614" s="67"/>
      <c r="D2614" s="75"/>
      <c r="E2614" s="67"/>
      <c r="F2614" s="67"/>
      <c r="G2614" s="70"/>
      <c r="H2614" s="70"/>
      <c r="I2614" s="70"/>
      <c r="J2614" s="70"/>
      <c r="K2614" s="70"/>
      <c r="L2614" s="67"/>
      <c r="M2614" s="67"/>
      <c r="N2614" s="72"/>
      <c r="O2614" s="72"/>
      <c r="P2614" s="67"/>
      <c r="Q2614" s="67"/>
      <c r="R2614" s="67"/>
      <c r="S2614" s="67"/>
      <c r="T2614" s="32"/>
      <c r="U2614" s="32"/>
      <c r="X2614" s="32"/>
      <c r="Y2614" s="32"/>
      <c r="Z2614" s="32"/>
      <c r="AA2614" s="32"/>
      <c r="AB2614" s="32"/>
    </row>
    <row r="2615" spans="2:28" ht="23.25" customHeight="1" x14ac:dyDescent="0.2">
      <c r="B2615" s="75"/>
      <c r="C2615" s="67"/>
      <c r="D2615" s="75"/>
      <c r="E2615" s="67"/>
      <c r="F2615" s="67"/>
      <c r="G2615" s="70"/>
      <c r="H2615" s="70"/>
      <c r="I2615" s="70"/>
      <c r="J2615" s="70"/>
      <c r="K2615" s="70"/>
      <c r="L2615" s="67"/>
      <c r="M2615" s="67"/>
      <c r="N2615" s="72"/>
      <c r="O2615" s="72"/>
      <c r="P2615" s="67"/>
      <c r="Q2615" s="67"/>
      <c r="R2615" s="67"/>
      <c r="S2615" s="67"/>
      <c r="T2615" s="32"/>
      <c r="U2615" s="32"/>
      <c r="X2615" s="32"/>
      <c r="Y2615" s="32"/>
      <c r="Z2615" s="32"/>
      <c r="AA2615" s="32"/>
      <c r="AB2615" s="32"/>
    </row>
    <row r="2616" spans="2:28" ht="23.25" customHeight="1" x14ac:dyDescent="0.2">
      <c r="B2616" s="75"/>
      <c r="C2616" s="67"/>
      <c r="D2616" s="75"/>
      <c r="E2616" s="67"/>
      <c r="F2616" s="67"/>
      <c r="G2616" s="70"/>
      <c r="H2616" s="70"/>
      <c r="I2616" s="70"/>
      <c r="J2616" s="70"/>
      <c r="K2616" s="70"/>
      <c r="L2616" s="67"/>
      <c r="M2616" s="67"/>
      <c r="N2616" s="72"/>
      <c r="O2616" s="72"/>
      <c r="P2616" s="67"/>
      <c r="Q2616" s="67"/>
      <c r="R2616" s="67"/>
      <c r="S2616" s="67"/>
      <c r="T2616" s="32"/>
      <c r="U2616" s="32"/>
      <c r="X2616" s="32"/>
      <c r="Y2616" s="32"/>
      <c r="Z2616" s="32"/>
      <c r="AA2616" s="32"/>
      <c r="AB2616" s="32"/>
    </row>
    <row r="2617" spans="2:28" ht="23.25" customHeight="1" x14ac:dyDescent="0.2">
      <c r="B2617" s="75"/>
      <c r="C2617" s="67"/>
      <c r="D2617" s="75"/>
      <c r="E2617" s="67"/>
      <c r="F2617" s="67"/>
      <c r="G2617" s="70"/>
      <c r="H2617" s="70"/>
      <c r="I2617" s="70"/>
      <c r="J2617" s="70"/>
      <c r="K2617" s="70"/>
      <c r="L2617" s="67"/>
      <c r="M2617" s="67"/>
      <c r="N2617" s="72"/>
      <c r="O2617" s="72"/>
      <c r="P2617" s="67"/>
      <c r="Q2617" s="67"/>
      <c r="R2617" s="67"/>
      <c r="S2617" s="67"/>
      <c r="T2617" s="32"/>
      <c r="U2617" s="32"/>
      <c r="X2617" s="32"/>
      <c r="Y2617" s="32"/>
      <c r="Z2617" s="32"/>
      <c r="AA2617" s="32"/>
      <c r="AB2617" s="32"/>
    </row>
    <row r="2618" spans="2:28" ht="23.25" customHeight="1" x14ac:dyDescent="0.2">
      <c r="B2618" s="75"/>
      <c r="C2618" s="67"/>
      <c r="D2618" s="75"/>
      <c r="E2618" s="67"/>
      <c r="F2618" s="67"/>
      <c r="G2618" s="70"/>
      <c r="H2618" s="70"/>
      <c r="I2618" s="70"/>
      <c r="J2618" s="70"/>
      <c r="K2618" s="70"/>
      <c r="L2618" s="67"/>
      <c r="M2618" s="67"/>
      <c r="N2618" s="72"/>
      <c r="O2618" s="72"/>
      <c r="P2618" s="67"/>
      <c r="Q2618" s="67"/>
      <c r="R2618" s="67"/>
      <c r="S2618" s="67"/>
      <c r="T2618" s="32"/>
      <c r="U2618" s="32"/>
      <c r="X2618" s="32"/>
      <c r="Y2618" s="32"/>
      <c r="Z2618" s="32"/>
      <c r="AA2618" s="32"/>
      <c r="AB2618" s="32"/>
    </row>
    <row r="2619" spans="2:28" ht="23.25" customHeight="1" x14ac:dyDescent="0.2">
      <c r="B2619" s="75"/>
      <c r="C2619" s="67"/>
      <c r="D2619" s="75"/>
      <c r="E2619" s="67"/>
      <c r="F2619" s="67"/>
      <c r="G2619" s="70"/>
      <c r="H2619" s="70"/>
      <c r="I2619" s="70"/>
      <c r="J2619" s="70"/>
      <c r="K2619" s="70"/>
      <c r="L2619" s="67"/>
      <c r="M2619" s="67"/>
      <c r="N2619" s="72"/>
      <c r="O2619" s="72"/>
      <c r="P2619" s="67"/>
      <c r="Q2619" s="67"/>
      <c r="R2619" s="67"/>
      <c r="S2619" s="67"/>
      <c r="T2619" s="32"/>
      <c r="U2619" s="32"/>
      <c r="X2619" s="32"/>
      <c r="Y2619" s="32"/>
      <c r="Z2619" s="32"/>
      <c r="AA2619" s="32"/>
      <c r="AB2619" s="32"/>
    </row>
    <row r="2620" spans="2:28" ht="23.25" customHeight="1" x14ac:dyDescent="0.2">
      <c r="B2620" s="75"/>
      <c r="C2620" s="67"/>
      <c r="D2620" s="75"/>
      <c r="E2620" s="67"/>
      <c r="F2620" s="67"/>
      <c r="G2620" s="70"/>
      <c r="H2620" s="70"/>
      <c r="I2620" s="70"/>
      <c r="J2620" s="70"/>
      <c r="K2620" s="70"/>
      <c r="L2620" s="67"/>
      <c r="M2620" s="67"/>
      <c r="N2620" s="72"/>
      <c r="O2620" s="72"/>
      <c r="P2620" s="67"/>
      <c r="Q2620" s="67"/>
      <c r="R2620" s="67"/>
      <c r="S2620" s="67"/>
      <c r="T2620" s="32"/>
      <c r="U2620" s="32"/>
      <c r="X2620" s="32"/>
      <c r="Y2620" s="32"/>
      <c r="Z2620" s="32"/>
      <c r="AA2620" s="32"/>
      <c r="AB2620" s="32"/>
    </row>
    <row r="2621" spans="2:28" ht="23.25" customHeight="1" x14ac:dyDescent="0.2">
      <c r="B2621" s="75"/>
      <c r="C2621" s="67"/>
      <c r="D2621" s="75"/>
      <c r="E2621" s="67"/>
      <c r="F2621" s="67"/>
      <c r="G2621" s="70"/>
      <c r="H2621" s="70"/>
      <c r="I2621" s="70"/>
      <c r="J2621" s="70"/>
      <c r="K2621" s="70"/>
      <c r="L2621" s="67"/>
      <c r="M2621" s="67"/>
      <c r="N2621" s="72"/>
      <c r="O2621" s="72"/>
      <c r="P2621" s="67"/>
      <c r="Q2621" s="67"/>
      <c r="R2621" s="67"/>
      <c r="S2621" s="67"/>
      <c r="T2621" s="32"/>
      <c r="U2621" s="32"/>
      <c r="X2621" s="32"/>
      <c r="Y2621" s="32"/>
      <c r="Z2621" s="32"/>
      <c r="AA2621" s="32"/>
      <c r="AB2621" s="32"/>
    </row>
    <row r="2622" spans="2:28" ht="23.25" customHeight="1" x14ac:dyDescent="0.2">
      <c r="B2622" s="75"/>
      <c r="C2622" s="67"/>
      <c r="D2622" s="75"/>
      <c r="E2622" s="67"/>
      <c r="F2622" s="67"/>
      <c r="G2622" s="70"/>
      <c r="H2622" s="70"/>
      <c r="I2622" s="70"/>
      <c r="J2622" s="70"/>
      <c r="K2622" s="70"/>
      <c r="L2622" s="67"/>
      <c r="M2622" s="67"/>
      <c r="N2622" s="72"/>
      <c r="O2622" s="72"/>
      <c r="P2622" s="67"/>
      <c r="Q2622" s="67"/>
      <c r="R2622" s="67"/>
      <c r="S2622" s="67"/>
      <c r="T2622" s="32"/>
      <c r="U2622" s="32"/>
      <c r="X2622" s="32"/>
      <c r="Y2622" s="32"/>
      <c r="Z2622" s="32"/>
      <c r="AA2622" s="32"/>
      <c r="AB2622" s="32"/>
    </row>
    <row r="2623" spans="2:28" ht="23.25" customHeight="1" x14ac:dyDescent="0.2">
      <c r="B2623" s="75"/>
      <c r="C2623" s="67"/>
      <c r="D2623" s="75"/>
      <c r="E2623" s="67"/>
      <c r="F2623" s="67"/>
      <c r="G2623" s="70"/>
      <c r="H2623" s="70"/>
      <c r="I2623" s="70"/>
      <c r="J2623" s="70"/>
      <c r="K2623" s="70"/>
      <c r="L2623" s="67"/>
      <c r="M2623" s="67"/>
      <c r="N2623" s="72"/>
      <c r="O2623" s="72"/>
      <c r="P2623" s="67"/>
      <c r="Q2623" s="67"/>
      <c r="R2623" s="67"/>
      <c r="S2623" s="67"/>
      <c r="T2623" s="32"/>
      <c r="U2623" s="32"/>
      <c r="X2623" s="32"/>
      <c r="Y2623" s="32"/>
      <c r="Z2623" s="32"/>
      <c r="AA2623" s="32"/>
      <c r="AB2623" s="32"/>
    </row>
    <row r="2624" spans="2:28" ht="23.25" customHeight="1" x14ac:dyDescent="0.2">
      <c r="B2624" s="75"/>
      <c r="C2624" s="67"/>
      <c r="D2624" s="75"/>
      <c r="E2624" s="67"/>
      <c r="F2624" s="67"/>
      <c r="G2624" s="70"/>
      <c r="H2624" s="70"/>
      <c r="I2624" s="70"/>
      <c r="J2624" s="70"/>
      <c r="K2624" s="70"/>
      <c r="L2624" s="67"/>
      <c r="M2624" s="67"/>
      <c r="N2624" s="72"/>
      <c r="O2624" s="72"/>
      <c r="P2624" s="67"/>
      <c r="Q2624" s="67"/>
      <c r="R2624" s="67"/>
      <c r="S2624" s="67"/>
      <c r="T2624" s="32"/>
      <c r="U2624" s="32"/>
      <c r="X2624" s="32"/>
      <c r="Y2624" s="32"/>
      <c r="Z2624" s="32"/>
      <c r="AA2624" s="32"/>
      <c r="AB2624" s="32"/>
    </row>
    <row r="2625" spans="2:28" ht="23.25" customHeight="1" x14ac:dyDescent="0.2">
      <c r="B2625" s="75"/>
      <c r="C2625" s="67"/>
      <c r="D2625" s="75"/>
      <c r="E2625" s="67"/>
      <c r="F2625" s="67"/>
      <c r="G2625" s="70"/>
      <c r="H2625" s="70"/>
      <c r="I2625" s="70"/>
      <c r="J2625" s="70"/>
      <c r="K2625" s="70"/>
      <c r="L2625" s="67"/>
      <c r="M2625" s="67"/>
      <c r="N2625" s="72"/>
      <c r="O2625" s="72"/>
      <c r="P2625" s="67"/>
      <c r="Q2625" s="67"/>
      <c r="R2625" s="67"/>
      <c r="S2625" s="67"/>
      <c r="T2625" s="32"/>
      <c r="U2625" s="32"/>
      <c r="X2625" s="32"/>
      <c r="Y2625" s="32"/>
      <c r="Z2625" s="32"/>
      <c r="AA2625" s="32"/>
      <c r="AB2625" s="32"/>
    </row>
    <row r="2626" spans="2:28" ht="23.25" customHeight="1" x14ac:dyDescent="0.2">
      <c r="B2626" s="75"/>
      <c r="C2626" s="67"/>
      <c r="D2626" s="75"/>
      <c r="E2626" s="67"/>
      <c r="F2626" s="67"/>
      <c r="G2626" s="70"/>
      <c r="H2626" s="70"/>
      <c r="I2626" s="70"/>
      <c r="J2626" s="70"/>
      <c r="K2626" s="70"/>
      <c r="L2626" s="67"/>
      <c r="M2626" s="67"/>
      <c r="N2626" s="72"/>
      <c r="O2626" s="72"/>
      <c r="P2626" s="67"/>
      <c r="Q2626" s="67"/>
      <c r="R2626" s="67"/>
      <c r="S2626" s="67"/>
      <c r="T2626" s="32"/>
      <c r="U2626" s="32"/>
      <c r="X2626" s="32"/>
      <c r="Y2626" s="32"/>
      <c r="Z2626" s="32"/>
      <c r="AA2626" s="32"/>
      <c r="AB2626" s="32"/>
    </row>
    <row r="2627" spans="2:28" ht="23.25" customHeight="1" x14ac:dyDescent="0.2">
      <c r="B2627" s="75"/>
      <c r="C2627" s="67"/>
      <c r="D2627" s="75"/>
      <c r="E2627" s="67"/>
      <c r="F2627" s="67"/>
      <c r="G2627" s="70"/>
      <c r="H2627" s="70"/>
      <c r="I2627" s="70"/>
      <c r="J2627" s="70"/>
      <c r="K2627" s="70"/>
      <c r="L2627" s="67"/>
      <c r="M2627" s="67"/>
      <c r="N2627" s="72"/>
      <c r="O2627" s="72"/>
      <c r="P2627" s="67"/>
      <c r="Q2627" s="67"/>
      <c r="R2627" s="67"/>
      <c r="S2627" s="67"/>
      <c r="T2627" s="32"/>
      <c r="U2627" s="32"/>
      <c r="X2627" s="32"/>
      <c r="Y2627" s="32"/>
      <c r="Z2627" s="32"/>
      <c r="AA2627" s="32"/>
      <c r="AB2627" s="32"/>
    </row>
    <row r="2628" spans="2:28" ht="23.25" customHeight="1" x14ac:dyDescent="0.2">
      <c r="B2628" s="75"/>
      <c r="C2628" s="67"/>
      <c r="D2628" s="75"/>
      <c r="E2628" s="67"/>
      <c r="F2628" s="67"/>
      <c r="G2628" s="70"/>
      <c r="H2628" s="70"/>
      <c r="I2628" s="70"/>
      <c r="J2628" s="70"/>
      <c r="K2628" s="70"/>
      <c r="L2628" s="67"/>
      <c r="M2628" s="67"/>
      <c r="N2628" s="72"/>
      <c r="O2628" s="72"/>
      <c r="P2628" s="67"/>
      <c r="Q2628" s="67"/>
      <c r="R2628" s="67"/>
      <c r="S2628" s="67"/>
      <c r="T2628" s="32"/>
      <c r="U2628" s="32"/>
      <c r="X2628" s="32"/>
      <c r="Y2628" s="32"/>
      <c r="Z2628" s="32"/>
      <c r="AA2628" s="32"/>
      <c r="AB2628" s="32"/>
    </row>
    <row r="2629" spans="2:28" ht="23.25" customHeight="1" x14ac:dyDescent="0.2">
      <c r="B2629" s="75"/>
      <c r="C2629" s="67"/>
      <c r="D2629" s="75"/>
      <c r="E2629" s="67"/>
      <c r="F2629" s="67"/>
      <c r="G2629" s="70"/>
      <c r="H2629" s="70"/>
      <c r="I2629" s="70"/>
      <c r="J2629" s="70"/>
      <c r="K2629" s="70"/>
      <c r="L2629" s="67"/>
      <c r="M2629" s="67"/>
      <c r="N2629" s="72"/>
      <c r="O2629" s="72"/>
      <c r="P2629" s="67"/>
      <c r="Q2629" s="67"/>
      <c r="R2629" s="67"/>
      <c r="S2629" s="67"/>
      <c r="T2629" s="32"/>
      <c r="U2629" s="32"/>
      <c r="X2629" s="32"/>
      <c r="Y2629" s="32"/>
      <c r="Z2629" s="32"/>
      <c r="AA2629" s="32"/>
      <c r="AB2629" s="32"/>
    </row>
    <row r="2630" spans="2:28" ht="23.25" customHeight="1" x14ac:dyDescent="0.2">
      <c r="B2630" s="75"/>
      <c r="C2630" s="67"/>
      <c r="D2630" s="75"/>
      <c r="E2630" s="67"/>
      <c r="F2630" s="67"/>
      <c r="G2630" s="70"/>
      <c r="H2630" s="70"/>
      <c r="I2630" s="70"/>
      <c r="J2630" s="70"/>
      <c r="K2630" s="70"/>
      <c r="L2630" s="67"/>
      <c r="M2630" s="67"/>
      <c r="N2630" s="72"/>
      <c r="O2630" s="72"/>
      <c r="P2630" s="67"/>
      <c r="Q2630" s="67"/>
      <c r="R2630" s="67"/>
      <c r="S2630" s="67"/>
      <c r="T2630" s="32"/>
      <c r="U2630" s="32"/>
      <c r="X2630" s="32"/>
      <c r="Y2630" s="32"/>
      <c r="Z2630" s="32"/>
      <c r="AA2630" s="32"/>
      <c r="AB2630" s="32"/>
    </row>
    <row r="2631" spans="2:28" ht="23.25" customHeight="1" x14ac:dyDescent="0.2">
      <c r="B2631" s="75"/>
      <c r="C2631" s="67"/>
      <c r="D2631" s="75"/>
      <c r="E2631" s="67"/>
      <c r="F2631" s="67"/>
      <c r="G2631" s="70"/>
      <c r="H2631" s="70"/>
      <c r="I2631" s="70"/>
      <c r="J2631" s="70"/>
      <c r="K2631" s="70"/>
      <c r="L2631" s="67"/>
      <c r="M2631" s="67"/>
      <c r="N2631" s="72"/>
      <c r="O2631" s="72"/>
      <c r="P2631" s="67"/>
      <c r="Q2631" s="67"/>
      <c r="R2631" s="67"/>
      <c r="S2631" s="67"/>
      <c r="T2631" s="32"/>
      <c r="U2631" s="32"/>
      <c r="X2631" s="32"/>
      <c r="Y2631" s="32"/>
      <c r="Z2631" s="32"/>
      <c r="AA2631" s="32"/>
      <c r="AB2631" s="32"/>
    </row>
    <row r="2632" spans="2:28" ht="23.25" customHeight="1" x14ac:dyDescent="0.2">
      <c r="B2632" s="75"/>
      <c r="C2632" s="67"/>
      <c r="D2632" s="75"/>
      <c r="E2632" s="67"/>
      <c r="F2632" s="67"/>
      <c r="G2632" s="70"/>
      <c r="H2632" s="70"/>
      <c r="I2632" s="70"/>
      <c r="J2632" s="70"/>
      <c r="K2632" s="70"/>
      <c r="L2632" s="67"/>
      <c r="M2632" s="67"/>
      <c r="N2632" s="72"/>
      <c r="O2632" s="72"/>
      <c r="P2632" s="67"/>
      <c r="Q2632" s="67"/>
      <c r="R2632" s="67"/>
      <c r="S2632" s="67"/>
      <c r="T2632" s="32"/>
      <c r="U2632" s="32"/>
      <c r="X2632" s="32"/>
      <c r="Y2632" s="32"/>
      <c r="Z2632" s="32"/>
      <c r="AA2632" s="32"/>
      <c r="AB2632" s="32"/>
    </row>
    <row r="2633" spans="2:28" ht="23.25" customHeight="1" x14ac:dyDescent="0.2">
      <c r="B2633" s="75"/>
      <c r="C2633" s="67"/>
      <c r="D2633" s="75"/>
      <c r="E2633" s="67"/>
      <c r="F2633" s="67"/>
      <c r="G2633" s="70"/>
      <c r="H2633" s="70"/>
      <c r="I2633" s="70"/>
      <c r="J2633" s="70"/>
      <c r="K2633" s="70"/>
      <c r="L2633" s="67"/>
      <c r="M2633" s="67"/>
      <c r="N2633" s="72"/>
      <c r="O2633" s="72"/>
      <c r="P2633" s="67"/>
      <c r="Q2633" s="67"/>
      <c r="R2633" s="67"/>
      <c r="S2633" s="67"/>
      <c r="T2633" s="32"/>
      <c r="U2633" s="32"/>
      <c r="X2633" s="32"/>
      <c r="Y2633" s="32"/>
      <c r="Z2633" s="32"/>
      <c r="AA2633" s="32"/>
      <c r="AB2633" s="32"/>
    </row>
    <row r="2634" spans="2:28" ht="23.25" customHeight="1" x14ac:dyDescent="0.2">
      <c r="B2634" s="75"/>
      <c r="C2634" s="67"/>
      <c r="D2634" s="75"/>
      <c r="E2634" s="67"/>
      <c r="F2634" s="67"/>
      <c r="G2634" s="70"/>
      <c r="H2634" s="70"/>
      <c r="I2634" s="70"/>
      <c r="J2634" s="70"/>
      <c r="K2634" s="70"/>
      <c r="L2634" s="67"/>
      <c r="M2634" s="67"/>
      <c r="N2634" s="72"/>
      <c r="O2634" s="72"/>
      <c r="P2634" s="67"/>
      <c r="Q2634" s="67"/>
      <c r="R2634" s="67"/>
      <c r="S2634" s="67"/>
      <c r="T2634" s="32"/>
      <c r="U2634" s="32"/>
      <c r="X2634" s="32"/>
      <c r="Y2634" s="32"/>
      <c r="Z2634" s="32"/>
      <c r="AA2634" s="32"/>
      <c r="AB2634" s="32"/>
    </row>
    <row r="2635" spans="2:28" ht="23.25" customHeight="1" x14ac:dyDescent="0.2">
      <c r="B2635" s="75"/>
      <c r="C2635" s="67"/>
      <c r="D2635" s="75"/>
      <c r="E2635" s="67"/>
      <c r="F2635" s="67"/>
      <c r="G2635" s="70"/>
      <c r="H2635" s="70"/>
      <c r="I2635" s="70"/>
      <c r="J2635" s="70"/>
      <c r="K2635" s="70"/>
      <c r="L2635" s="67"/>
      <c r="M2635" s="67"/>
      <c r="N2635" s="72"/>
      <c r="O2635" s="72"/>
      <c r="P2635" s="67"/>
      <c r="Q2635" s="67"/>
      <c r="R2635" s="67"/>
      <c r="S2635" s="67"/>
      <c r="T2635" s="32"/>
      <c r="U2635" s="32"/>
      <c r="X2635" s="32"/>
      <c r="Y2635" s="32"/>
      <c r="Z2635" s="32"/>
      <c r="AA2635" s="32"/>
      <c r="AB2635" s="32"/>
    </row>
    <row r="2636" spans="2:28" ht="23.25" customHeight="1" x14ac:dyDescent="0.2">
      <c r="B2636" s="75"/>
      <c r="C2636" s="67"/>
      <c r="D2636" s="75"/>
      <c r="E2636" s="67"/>
      <c r="F2636" s="67"/>
      <c r="G2636" s="70"/>
      <c r="H2636" s="70"/>
      <c r="I2636" s="70"/>
      <c r="J2636" s="70"/>
      <c r="K2636" s="70"/>
      <c r="L2636" s="67"/>
      <c r="M2636" s="67"/>
      <c r="N2636" s="72"/>
      <c r="O2636" s="72"/>
      <c r="P2636" s="67"/>
      <c r="Q2636" s="67"/>
      <c r="R2636" s="67"/>
      <c r="S2636" s="67"/>
      <c r="T2636" s="32"/>
      <c r="U2636" s="32"/>
      <c r="X2636" s="32"/>
      <c r="Y2636" s="32"/>
      <c r="Z2636" s="32"/>
      <c r="AA2636" s="32"/>
      <c r="AB2636" s="32"/>
    </row>
    <row r="2637" spans="2:28" ht="23.25" customHeight="1" x14ac:dyDescent="0.2">
      <c r="B2637" s="75"/>
      <c r="C2637" s="67"/>
      <c r="D2637" s="75"/>
      <c r="E2637" s="67"/>
      <c r="F2637" s="67"/>
      <c r="G2637" s="70"/>
      <c r="H2637" s="70"/>
      <c r="I2637" s="70"/>
      <c r="J2637" s="70"/>
      <c r="K2637" s="70"/>
      <c r="L2637" s="67"/>
      <c r="M2637" s="67"/>
      <c r="N2637" s="72"/>
      <c r="O2637" s="72"/>
      <c r="P2637" s="67"/>
      <c r="Q2637" s="67"/>
      <c r="R2637" s="67"/>
      <c r="S2637" s="67"/>
      <c r="T2637" s="32"/>
      <c r="U2637" s="32"/>
      <c r="X2637" s="32"/>
      <c r="Y2637" s="32"/>
      <c r="Z2637" s="32"/>
      <c r="AA2637" s="32"/>
      <c r="AB2637" s="32"/>
    </row>
    <row r="2638" spans="2:28" ht="23.25" customHeight="1" x14ac:dyDescent="0.2">
      <c r="B2638" s="75"/>
      <c r="C2638" s="67"/>
      <c r="D2638" s="75"/>
      <c r="E2638" s="67"/>
      <c r="F2638" s="67"/>
      <c r="G2638" s="70"/>
      <c r="H2638" s="70"/>
      <c r="I2638" s="70"/>
      <c r="J2638" s="70"/>
      <c r="K2638" s="70"/>
      <c r="L2638" s="67"/>
      <c r="M2638" s="67"/>
      <c r="N2638" s="72"/>
      <c r="O2638" s="72"/>
      <c r="P2638" s="67"/>
      <c r="Q2638" s="67"/>
      <c r="R2638" s="67"/>
      <c r="S2638" s="67"/>
      <c r="T2638" s="32"/>
      <c r="U2638" s="32"/>
      <c r="X2638" s="32"/>
      <c r="Y2638" s="32"/>
      <c r="Z2638" s="32"/>
      <c r="AA2638" s="32"/>
      <c r="AB2638" s="32"/>
    </row>
    <row r="2639" spans="2:28" ht="23.25" customHeight="1" x14ac:dyDescent="0.2">
      <c r="B2639" s="75"/>
      <c r="C2639" s="67"/>
      <c r="D2639" s="75"/>
      <c r="E2639" s="67"/>
      <c r="F2639" s="67"/>
      <c r="G2639" s="70"/>
      <c r="H2639" s="70"/>
      <c r="I2639" s="70"/>
      <c r="J2639" s="70"/>
      <c r="K2639" s="70"/>
      <c r="L2639" s="67"/>
      <c r="M2639" s="67"/>
      <c r="N2639" s="72"/>
      <c r="O2639" s="72"/>
      <c r="P2639" s="67"/>
      <c r="Q2639" s="67"/>
      <c r="R2639" s="67"/>
      <c r="S2639" s="67"/>
      <c r="T2639" s="32"/>
      <c r="U2639" s="32"/>
      <c r="X2639" s="32"/>
      <c r="Y2639" s="32"/>
      <c r="Z2639" s="32"/>
      <c r="AA2639" s="32"/>
      <c r="AB2639" s="32"/>
    </row>
    <row r="2640" spans="2:28" ht="23.25" customHeight="1" x14ac:dyDescent="0.2">
      <c r="B2640" s="75"/>
      <c r="C2640" s="67"/>
      <c r="D2640" s="75"/>
      <c r="E2640" s="67"/>
      <c r="F2640" s="67"/>
      <c r="G2640" s="70"/>
      <c r="H2640" s="70"/>
      <c r="I2640" s="70"/>
      <c r="J2640" s="70"/>
      <c r="K2640" s="70"/>
      <c r="L2640" s="67"/>
      <c r="M2640" s="67"/>
      <c r="N2640" s="72"/>
      <c r="O2640" s="72"/>
      <c r="P2640" s="67"/>
      <c r="Q2640" s="67"/>
      <c r="R2640" s="67"/>
      <c r="S2640" s="67"/>
      <c r="T2640" s="32"/>
      <c r="U2640" s="32"/>
      <c r="X2640" s="32"/>
      <c r="Y2640" s="32"/>
      <c r="Z2640" s="32"/>
      <c r="AA2640" s="32"/>
      <c r="AB2640" s="32"/>
    </row>
    <row r="2641" spans="2:28" ht="23.25" customHeight="1" x14ac:dyDescent="0.2">
      <c r="B2641" s="75"/>
      <c r="C2641" s="67"/>
      <c r="D2641" s="75"/>
      <c r="E2641" s="67"/>
      <c r="F2641" s="67"/>
      <c r="G2641" s="70"/>
      <c r="H2641" s="70"/>
      <c r="I2641" s="70"/>
      <c r="J2641" s="70"/>
      <c r="K2641" s="70"/>
      <c r="L2641" s="67"/>
      <c r="M2641" s="67"/>
      <c r="N2641" s="72"/>
      <c r="O2641" s="72"/>
      <c r="P2641" s="67"/>
      <c r="Q2641" s="67"/>
      <c r="R2641" s="67"/>
      <c r="S2641" s="67"/>
      <c r="T2641" s="32"/>
      <c r="U2641" s="32"/>
      <c r="X2641" s="32"/>
      <c r="Y2641" s="32"/>
      <c r="Z2641" s="32"/>
      <c r="AA2641" s="32"/>
      <c r="AB2641" s="32"/>
    </row>
    <row r="2642" spans="2:28" ht="23.25" customHeight="1" x14ac:dyDescent="0.2">
      <c r="B2642" s="75"/>
      <c r="C2642" s="67"/>
      <c r="D2642" s="75"/>
      <c r="E2642" s="67"/>
      <c r="F2642" s="67"/>
      <c r="G2642" s="70"/>
      <c r="H2642" s="70"/>
      <c r="I2642" s="70"/>
      <c r="J2642" s="70"/>
      <c r="K2642" s="70"/>
      <c r="L2642" s="67"/>
      <c r="M2642" s="67"/>
      <c r="N2642" s="72"/>
      <c r="O2642" s="72"/>
      <c r="P2642" s="67"/>
      <c r="Q2642" s="67"/>
      <c r="R2642" s="67"/>
      <c r="S2642" s="67"/>
      <c r="T2642" s="32"/>
      <c r="U2642" s="32"/>
      <c r="X2642" s="32"/>
      <c r="Y2642" s="32"/>
      <c r="Z2642" s="32"/>
      <c r="AA2642" s="32"/>
      <c r="AB2642" s="32"/>
    </row>
    <row r="2643" spans="2:28" ht="23.25" customHeight="1" x14ac:dyDescent="0.2">
      <c r="B2643" s="75"/>
      <c r="C2643" s="67"/>
      <c r="D2643" s="75"/>
      <c r="E2643" s="67"/>
      <c r="F2643" s="67"/>
      <c r="G2643" s="70"/>
      <c r="H2643" s="70"/>
      <c r="I2643" s="70"/>
      <c r="J2643" s="70"/>
      <c r="K2643" s="70"/>
      <c r="L2643" s="67"/>
      <c r="M2643" s="67"/>
      <c r="N2643" s="72"/>
      <c r="O2643" s="72"/>
      <c r="P2643" s="67"/>
      <c r="Q2643" s="67"/>
      <c r="R2643" s="67"/>
      <c r="S2643" s="67"/>
      <c r="T2643" s="32"/>
      <c r="U2643" s="32"/>
      <c r="X2643" s="32"/>
      <c r="Y2643" s="32"/>
      <c r="Z2643" s="32"/>
      <c r="AA2643" s="32"/>
      <c r="AB2643" s="32"/>
    </row>
    <row r="2644" spans="2:28" ht="23.25" customHeight="1" x14ac:dyDescent="0.2">
      <c r="B2644" s="75"/>
      <c r="C2644" s="67"/>
      <c r="D2644" s="75"/>
      <c r="E2644" s="67"/>
      <c r="F2644" s="67"/>
      <c r="G2644" s="70"/>
      <c r="H2644" s="70"/>
      <c r="I2644" s="70"/>
      <c r="J2644" s="70"/>
      <c r="K2644" s="70"/>
      <c r="L2644" s="67"/>
      <c r="M2644" s="67"/>
      <c r="N2644" s="72"/>
      <c r="O2644" s="72"/>
      <c r="P2644" s="67"/>
      <c r="Q2644" s="67"/>
      <c r="R2644" s="67"/>
      <c r="S2644" s="67"/>
      <c r="T2644" s="32"/>
      <c r="U2644" s="32"/>
      <c r="X2644" s="32"/>
      <c r="Y2644" s="32"/>
      <c r="Z2644" s="32"/>
      <c r="AA2644" s="32"/>
      <c r="AB2644" s="32"/>
    </row>
    <row r="2645" spans="2:28" ht="23.25" customHeight="1" x14ac:dyDescent="0.2">
      <c r="B2645" s="75"/>
      <c r="C2645" s="67"/>
      <c r="D2645" s="75"/>
      <c r="E2645" s="67"/>
      <c r="F2645" s="67"/>
      <c r="G2645" s="70"/>
      <c r="H2645" s="70"/>
      <c r="I2645" s="70"/>
      <c r="J2645" s="70"/>
      <c r="K2645" s="70"/>
      <c r="L2645" s="67"/>
      <c r="M2645" s="67"/>
      <c r="N2645" s="72"/>
      <c r="O2645" s="72"/>
      <c r="P2645" s="67"/>
      <c r="Q2645" s="67"/>
      <c r="R2645" s="67"/>
      <c r="S2645" s="67"/>
      <c r="T2645" s="32"/>
      <c r="U2645" s="32"/>
      <c r="X2645" s="32"/>
      <c r="Y2645" s="32"/>
      <c r="Z2645" s="32"/>
      <c r="AA2645" s="32"/>
      <c r="AB2645" s="32"/>
    </row>
    <row r="2646" spans="2:28" ht="23.25" customHeight="1" x14ac:dyDescent="0.2">
      <c r="B2646" s="75"/>
      <c r="C2646" s="67"/>
      <c r="D2646" s="75"/>
      <c r="E2646" s="67"/>
      <c r="F2646" s="67"/>
      <c r="G2646" s="70"/>
      <c r="H2646" s="70"/>
      <c r="I2646" s="70"/>
      <c r="J2646" s="70"/>
      <c r="K2646" s="70"/>
      <c r="L2646" s="67"/>
      <c r="M2646" s="67"/>
      <c r="N2646" s="72"/>
      <c r="O2646" s="72"/>
      <c r="P2646" s="67"/>
      <c r="Q2646" s="67"/>
      <c r="R2646" s="67"/>
      <c r="S2646" s="67"/>
      <c r="T2646" s="32"/>
      <c r="U2646" s="32"/>
      <c r="X2646" s="32"/>
      <c r="Y2646" s="32"/>
      <c r="Z2646" s="32"/>
      <c r="AA2646" s="32"/>
      <c r="AB2646" s="32"/>
    </row>
    <row r="2647" spans="2:28" ht="23.25" customHeight="1" x14ac:dyDescent="0.2">
      <c r="B2647" s="75"/>
      <c r="C2647" s="67"/>
      <c r="D2647" s="75"/>
      <c r="E2647" s="67"/>
      <c r="F2647" s="67"/>
      <c r="G2647" s="70"/>
      <c r="H2647" s="70"/>
      <c r="I2647" s="70"/>
      <c r="J2647" s="70"/>
      <c r="K2647" s="70"/>
      <c r="L2647" s="67"/>
      <c r="M2647" s="67"/>
      <c r="N2647" s="72"/>
      <c r="O2647" s="72"/>
      <c r="P2647" s="67"/>
      <c r="Q2647" s="67"/>
      <c r="R2647" s="67"/>
      <c r="S2647" s="67"/>
      <c r="T2647" s="32"/>
      <c r="U2647" s="32"/>
      <c r="X2647" s="32"/>
      <c r="Y2647" s="32"/>
      <c r="Z2647" s="32"/>
      <c r="AA2647" s="32"/>
      <c r="AB2647" s="32"/>
    </row>
    <row r="2648" spans="2:28" ht="23.25" customHeight="1" x14ac:dyDescent="0.2">
      <c r="B2648" s="75"/>
      <c r="C2648" s="67"/>
      <c r="D2648" s="75"/>
      <c r="E2648" s="67"/>
      <c r="F2648" s="67"/>
      <c r="G2648" s="70"/>
      <c r="H2648" s="70"/>
      <c r="I2648" s="70"/>
      <c r="J2648" s="70"/>
      <c r="K2648" s="70"/>
      <c r="L2648" s="67"/>
      <c r="M2648" s="67"/>
      <c r="N2648" s="72"/>
      <c r="O2648" s="72"/>
      <c r="P2648" s="67"/>
      <c r="Q2648" s="67"/>
      <c r="R2648" s="67"/>
      <c r="S2648" s="67"/>
      <c r="T2648" s="32"/>
      <c r="U2648" s="32"/>
      <c r="X2648" s="32"/>
      <c r="Y2648" s="32"/>
      <c r="Z2648" s="32"/>
      <c r="AA2648" s="32"/>
      <c r="AB2648" s="32"/>
    </row>
    <row r="2649" spans="2:28" ht="23.25" customHeight="1" x14ac:dyDescent="0.2">
      <c r="B2649" s="75"/>
      <c r="C2649" s="67"/>
      <c r="D2649" s="75"/>
      <c r="E2649" s="67"/>
      <c r="F2649" s="67"/>
      <c r="G2649" s="70"/>
      <c r="H2649" s="70"/>
      <c r="I2649" s="70"/>
      <c r="J2649" s="70"/>
      <c r="K2649" s="70"/>
      <c r="L2649" s="67"/>
      <c r="M2649" s="67"/>
      <c r="N2649" s="72"/>
      <c r="O2649" s="72"/>
      <c r="P2649" s="67"/>
      <c r="Q2649" s="67"/>
      <c r="R2649" s="67"/>
      <c r="S2649" s="67"/>
      <c r="T2649" s="32"/>
      <c r="U2649" s="32"/>
      <c r="X2649" s="32"/>
      <c r="Y2649" s="32"/>
      <c r="Z2649" s="32"/>
      <c r="AA2649" s="32"/>
      <c r="AB2649" s="32"/>
    </row>
    <row r="2650" spans="2:28" ht="23.25" customHeight="1" x14ac:dyDescent="0.2">
      <c r="B2650" s="75"/>
      <c r="C2650" s="67"/>
      <c r="D2650" s="75"/>
      <c r="E2650" s="67"/>
      <c r="F2650" s="67"/>
      <c r="G2650" s="70"/>
      <c r="H2650" s="70"/>
      <c r="I2650" s="70"/>
      <c r="J2650" s="70"/>
      <c r="K2650" s="70"/>
      <c r="L2650" s="67"/>
      <c r="M2650" s="67"/>
      <c r="N2650" s="72"/>
      <c r="O2650" s="72"/>
      <c r="P2650" s="67"/>
      <c r="Q2650" s="67"/>
      <c r="R2650" s="67"/>
      <c r="S2650" s="67"/>
      <c r="T2650" s="32"/>
      <c r="U2650" s="32"/>
      <c r="X2650" s="32"/>
      <c r="Y2650" s="32"/>
      <c r="Z2650" s="32"/>
      <c r="AA2650" s="32"/>
      <c r="AB2650" s="32"/>
    </row>
    <row r="2651" spans="2:28" ht="23.25" customHeight="1" x14ac:dyDescent="0.2">
      <c r="B2651" s="75"/>
      <c r="C2651" s="67"/>
      <c r="D2651" s="75"/>
      <c r="E2651" s="67"/>
      <c r="F2651" s="67"/>
      <c r="G2651" s="70"/>
      <c r="H2651" s="70"/>
      <c r="I2651" s="70"/>
      <c r="J2651" s="70"/>
      <c r="K2651" s="70"/>
      <c r="L2651" s="67"/>
      <c r="M2651" s="67"/>
      <c r="N2651" s="72"/>
      <c r="O2651" s="72"/>
      <c r="P2651" s="67"/>
      <c r="Q2651" s="67"/>
      <c r="R2651" s="67"/>
      <c r="S2651" s="67"/>
      <c r="T2651" s="32"/>
      <c r="U2651" s="32"/>
      <c r="X2651" s="32"/>
      <c r="Y2651" s="32"/>
      <c r="Z2651" s="32"/>
      <c r="AA2651" s="32"/>
      <c r="AB2651" s="32"/>
    </row>
    <row r="2652" spans="2:28" ht="23.25" customHeight="1" x14ac:dyDescent="0.2">
      <c r="B2652" s="75"/>
      <c r="C2652" s="67"/>
      <c r="D2652" s="75"/>
      <c r="E2652" s="67"/>
      <c r="F2652" s="67"/>
      <c r="G2652" s="70"/>
      <c r="H2652" s="70"/>
      <c r="I2652" s="70"/>
      <c r="J2652" s="70"/>
      <c r="K2652" s="70"/>
      <c r="L2652" s="67"/>
      <c r="M2652" s="67"/>
      <c r="N2652" s="72"/>
      <c r="O2652" s="72"/>
      <c r="P2652" s="67"/>
      <c r="Q2652" s="67"/>
      <c r="R2652" s="67"/>
      <c r="S2652" s="67"/>
      <c r="T2652" s="32"/>
      <c r="U2652" s="32"/>
      <c r="X2652" s="32"/>
      <c r="Y2652" s="32"/>
      <c r="Z2652" s="32"/>
      <c r="AA2652" s="32"/>
      <c r="AB2652" s="32"/>
    </row>
    <row r="2653" spans="2:28" ht="23.25" customHeight="1" x14ac:dyDescent="0.2">
      <c r="B2653" s="75"/>
      <c r="C2653" s="67"/>
      <c r="D2653" s="75"/>
      <c r="E2653" s="67"/>
      <c r="F2653" s="67"/>
      <c r="G2653" s="70"/>
      <c r="H2653" s="70"/>
      <c r="I2653" s="70"/>
      <c r="J2653" s="70"/>
      <c r="K2653" s="70"/>
      <c r="L2653" s="67"/>
      <c r="M2653" s="67"/>
      <c r="N2653" s="72"/>
      <c r="O2653" s="72"/>
      <c r="P2653" s="67"/>
      <c r="Q2653" s="67"/>
      <c r="R2653" s="67"/>
      <c r="S2653" s="67"/>
      <c r="T2653" s="32"/>
      <c r="U2653" s="32"/>
      <c r="X2653" s="32"/>
      <c r="Y2653" s="32"/>
      <c r="Z2653" s="32"/>
      <c r="AA2653" s="32"/>
      <c r="AB2653" s="32"/>
    </row>
    <row r="2654" spans="2:28" ht="23.25" customHeight="1" x14ac:dyDescent="0.2">
      <c r="B2654" s="75"/>
      <c r="C2654" s="67"/>
      <c r="D2654" s="75"/>
      <c r="E2654" s="67"/>
      <c r="F2654" s="67"/>
      <c r="G2654" s="70"/>
      <c r="H2654" s="70"/>
      <c r="I2654" s="70"/>
      <c r="J2654" s="70"/>
      <c r="K2654" s="70"/>
      <c r="L2654" s="67"/>
      <c r="M2654" s="67"/>
      <c r="N2654" s="72"/>
      <c r="O2654" s="72"/>
      <c r="P2654" s="67"/>
      <c r="Q2654" s="67"/>
      <c r="R2654" s="67"/>
      <c r="S2654" s="67"/>
      <c r="T2654" s="32"/>
      <c r="U2654" s="32"/>
      <c r="X2654" s="32"/>
      <c r="Y2654" s="32"/>
      <c r="Z2654" s="32"/>
      <c r="AA2654" s="32"/>
      <c r="AB2654" s="32"/>
    </row>
    <row r="2655" spans="2:28" ht="23.25" customHeight="1" x14ac:dyDescent="0.2">
      <c r="B2655" s="75"/>
      <c r="C2655" s="67"/>
      <c r="D2655" s="75"/>
      <c r="E2655" s="67"/>
      <c r="F2655" s="67"/>
      <c r="G2655" s="70"/>
      <c r="H2655" s="70"/>
      <c r="I2655" s="70"/>
      <c r="J2655" s="70"/>
      <c r="K2655" s="70"/>
      <c r="L2655" s="67"/>
      <c r="M2655" s="67"/>
      <c r="N2655" s="72"/>
      <c r="O2655" s="72"/>
      <c r="P2655" s="67"/>
      <c r="Q2655" s="67"/>
      <c r="R2655" s="67"/>
      <c r="S2655" s="67"/>
      <c r="T2655" s="32"/>
      <c r="U2655" s="32"/>
      <c r="X2655" s="32"/>
      <c r="Y2655" s="32"/>
      <c r="Z2655" s="32"/>
      <c r="AA2655" s="32"/>
      <c r="AB2655" s="32"/>
    </row>
    <row r="2656" spans="2:28" ht="23.25" customHeight="1" x14ac:dyDescent="0.2">
      <c r="B2656" s="75"/>
      <c r="C2656" s="67"/>
      <c r="D2656" s="75"/>
      <c r="E2656" s="67"/>
      <c r="F2656" s="67"/>
      <c r="G2656" s="70"/>
      <c r="H2656" s="70"/>
      <c r="I2656" s="70"/>
      <c r="J2656" s="70"/>
      <c r="K2656" s="70"/>
      <c r="L2656" s="67"/>
      <c r="M2656" s="67"/>
      <c r="N2656" s="72"/>
      <c r="O2656" s="72"/>
      <c r="P2656" s="67"/>
      <c r="Q2656" s="67"/>
      <c r="R2656" s="67"/>
      <c r="S2656" s="67"/>
      <c r="T2656" s="32"/>
      <c r="U2656" s="32"/>
      <c r="X2656" s="32"/>
      <c r="Y2656" s="32"/>
      <c r="Z2656" s="32"/>
      <c r="AA2656" s="32"/>
      <c r="AB2656" s="32"/>
    </row>
    <row r="2657" spans="2:28" ht="23.25" customHeight="1" x14ac:dyDescent="0.2">
      <c r="B2657" s="75"/>
      <c r="C2657" s="67"/>
      <c r="D2657" s="75"/>
      <c r="E2657" s="67"/>
      <c r="F2657" s="67"/>
      <c r="G2657" s="70"/>
      <c r="H2657" s="70"/>
      <c r="I2657" s="70"/>
      <c r="J2657" s="70"/>
      <c r="K2657" s="70"/>
      <c r="L2657" s="67"/>
      <c r="M2657" s="67"/>
      <c r="N2657" s="72"/>
      <c r="O2657" s="72"/>
      <c r="P2657" s="67"/>
      <c r="Q2657" s="67"/>
      <c r="R2657" s="67"/>
      <c r="S2657" s="67"/>
      <c r="T2657" s="32"/>
      <c r="U2657" s="32"/>
      <c r="X2657" s="32"/>
      <c r="Y2657" s="32"/>
      <c r="Z2657" s="32"/>
      <c r="AA2657" s="32"/>
      <c r="AB2657" s="32"/>
    </row>
    <row r="2658" spans="2:28" ht="23.25" customHeight="1" x14ac:dyDescent="0.2">
      <c r="B2658" s="75"/>
      <c r="C2658" s="67"/>
      <c r="D2658" s="75"/>
      <c r="E2658" s="67"/>
      <c r="F2658" s="67"/>
      <c r="G2658" s="70"/>
      <c r="H2658" s="70"/>
      <c r="I2658" s="70"/>
      <c r="J2658" s="70"/>
      <c r="K2658" s="70"/>
      <c r="L2658" s="67"/>
      <c r="M2658" s="67"/>
      <c r="N2658" s="72"/>
      <c r="O2658" s="72"/>
      <c r="P2658" s="67"/>
      <c r="Q2658" s="67"/>
      <c r="R2658" s="67"/>
      <c r="S2658" s="67"/>
      <c r="T2658" s="32"/>
      <c r="U2658" s="32"/>
      <c r="X2658" s="32"/>
      <c r="Y2658" s="32"/>
      <c r="Z2658" s="32"/>
      <c r="AA2658" s="32"/>
      <c r="AB2658" s="32"/>
    </row>
    <row r="2659" spans="2:28" ht="23.25" customHeight="1" x14ac:dyDescent="0.2">
      <c r="B2659" s="75"/>
      <c r="C2659" s="67"/>
      <c r="D2659" s="75"/>
      <c r="E2659" s="67"/>
      <c r="F2659" s="67"/>
      <c r="G2659" s="70"/>
      <c r="H2659" s="70"/>
      <c r="I2659" s="70"/>
      <c r="J2659" s="70"/>
      <c r="K2659" s="70"/>
      <c r="L2659" s="67"/>
      <c r="M2659" s="67"/>
      <c r="N2659" s="72"/>
      <c r="O2659" s="72"/>
      <c r="P2659" s="67"/>
      <c r="Q2659" s="67"/>
      <c r="R2659" s="67"/>
      <c r="S2659" s="67"/>
      <c r="T2659" s="32"/>
      <c r="U2659" s="32"/>
      <c r="X2659" s="32"/>
      <c r="Y2659" s="32"/>
      <c r="Z2659" s="32"/>
      <c r="AA2659" s="32"/>
      <c r="AB2659" s="32"/>
    </row>
    <row r="2660" spans="2:28" ht="23.25" customHeight="1" x14ac:dyDescent="0.2">
      <c r="B2660" s="75"/>
      <c r="C2660" s="67"/>
      <c r="D2660" s="75"/>
      <c r="E2660" s="67"/>
      <c r="F2660" s="67"/>
      <c r="G2660" s="70"/>
      <c r="H2660" s="70"/>
      <c r="I2660" s="70"/>
      <c r="J2660" s="70"/>
      <c r="K2660" s="70"/>
      <c r="L2660" s="67"/>
      <c r="M2660" s="67"/>
      <c r="N2660" s="72"/>
      <c r="O2660" s="72"/>
      <c r="P2660" s="67"/>
      <c r="Q2660" s="67"/>
      <c r="R2660" s="67"/>
      <c r="S2660" s="67"/>
      <c r="T2660" s="32"/>
      <c r="U2660" s="32"/>
      <c r="X2660" s="32"/>
      <c r="Y2660" s="32"/>
      <c r="Z2660" s="32"/>
      <c r="AA2660" s="32"/>
      <c r="AB2660" s="32"/>
    </row>
    <row r="2661" spans="2:28" ht="23.25" customHeight="1" x14ac:dyDescent="0.2">
      <c r="B2661" s="75"/>
      <c r="C2661" s="67"/>
      <c r="D2661" s="75"/>
      <c r="E2661" s="67"/>
      <c r="F2661" s="67"/>
      <c r="G2661" s="70"/>
      <c r="H2661" s="70"/>
      <c r="I2661" s="70"/>
      <c r="J2661" s="70"/>
      <c r="K2661" s="70"/>
      <c r="L2661" s="67"/>
      <c r="M2661" s="67"/>
      <c r="N2661" s="72"/>
      <c r="O2661" s="72"/>
      <c r="P2661" s="67"/>
      <c r="Q2661" s="67"/>
      <c r="R2661" s="67"/>
      <c r="S2661" s="67"/>
      <c r="T2661" s="32"/>
      <c r="U2661" s="32"/>
      <c r="X2661" s="32"/>
      <c r="Y2661" s="32"/>
      <c r="Z2661" s="32"/>
      <c r="AA2661" s="32"/>
      <c r="AB2661" s="32"/>
    </row>
    <row r="2662" spans="2:28" ht="23.25" customHeight="1" x14ac:dyDescent="0.2">
      <c r="B2662" s="75"/>
      <c r="C2662" s="67"/>
      <c r="D2662" s="75"/>
      <c r="E2662" s="67"/>
      <c r="F2662" s="67"/>
      <c r="G2662" s="70"/>
      <c r="H2662" s="70"/>
      <c r="I2662" s="70"/>
      <c r="J2662" s="70"/>
      <c r="K2662" s="70"/>
      <c r="L2662" s="67"/>
      <c r="M2662" s="67"/>
      <c r="N2662" s="72"/>
      <c r="O2662" s="72"/>
      <c r="P2662" s="67"/>
      <c r="Q2662" s="67"/>
      <c r="R2662" s="67"/>
      <c r="S2662" s="67"/>
      <c r="T2662" s="32"/>
      <c r="U2662" s="32"/>
      <c r="X2662" s="32"/>
      <c r="Y2662" s="32"/>
      <c r="Z2662" s="32"/>
      <c r="AA2662" s="32"/>
      <c r="AB2662" s="32"/>
    </row>
    <row r="2663" spans="2:28" ht="23.25" customHeight="1" x14ac:dyDescent="0.2">
      <c r="B2663" s="75"/>
      <c r="C2663" s="67"/>
      <c r="D2663" s="75"/>
      <c r="E2663" s="67"/>
      <c r="F2663" s="67"/>
      <c r="G2663" s="70"/>
      <c r="H2663" s="70"/>
      <c r="I2663" s="70"/>
      <c r="J2663" s="70"/>
      <c r="K2663" s="70"/>
      <c r="L2663" s="67"/>
      <c r="M2663" s="67"/>
      <c r="N2663" s="72"/>
      <c r="O2663" s="72"/>
      <c r="P2663" s="67"/>
      <c r="Q2663" s="67"/>
      <c r="R2663" s="67"/>
      <c r="S2663" s="67"/>
      <c r="T2663" s="32"/>
      <c r="U2663" s="32"/>
      <c r="X2663" s="32"/>
      <c r="Y2663" s="32"/>
      <c r="Z2663" s="32"/>
      <c r="AA2663" s="32"/>
      <c r="AB2663" s="32"/>
    </row>
    <row r="2664" spans="2:28" ht="23.25" customHeight="1" x14ac:dyDescent="0.2">
      <c r="B2664" s="75"/>
      <c r="C2664" s="67"/>
      <c r="D2664" s="75"/>
      <c r="E2664" s="67"/>
      <c r="F2664" s="67"/>
      <c r="G2664" s="70"/>
      <c r="H2664" s="70"/>
      <c r="I2664" s="70"/>
      <c r="J2664" s="70"/>
      <c r="K2664" s="70"/>
      <c r="L2664" s="67"/>
      <c r="M2664" s="67"/>
      <c r="N2664" s="72"/>
      <c r="O2664" s="72"/>
      <c r="P2664" s="67"/>
      <c r="Q2664" s="67"/>
      <c r="R2664" s="67"/>
      <c r="S2664" s="67"/>
      <c r="T2664" s="32"/>
      <c r="U2664" s="32"/>
      <c r="X2664" s="32"/>
      <c r="Y2664" s="32"/>
      <c r="Z2664" s="32"/>
      <c r="AA2664" s="32"/>
      <c r="AB2664" s="32"/>
    </row>
    <row r="2665" spans="2:28" ht="23.25" customHeight="1" x14ac:dyDescent="0.2">
      <c r="B2665" s="75"/>
      <c r="C2665" s="67"/>
      <c r="D2665" s="75"/>
      <c r="E2665" s="67"/>
      <c r="F2665" s="67"/>
      <c r="G2665" s="70"/>
      <c r="H2665" s="70"/>
      <c r="I2665" s="70"/>
      <c r="J2665" s="70"/>
      <c r="K2665" s="70"/>
      <c r="L2665" s="67"/>
      <c r="M2665" s="67"/>
      <c r="N2665" s="72"/>
      <c r="O2665" s="72"/>
      <c r="P2665" s="67"/>
      <c r="Q2665" s="67"/>
      <c r="R2665" s="67"/>
      <c r="S2665" s="67"/>
      <c r="T2665" s="32"/>
      <c r="U2665" s="32"/>
      <c r="X2665" s="32"/>
      <c r="Y2665" s="32"/>
      <c r="Z2665" s="32"/>
      <c r="AA2665" s="32"/>
      <c r="AB2665" s="32"/>
    </row>
    <row r="2666" spans="2:28" ht="23.25" customHeight="1" x14ac:dyDescent="0.2">
      <c r="B2666" s="75"/>
      <c r="C2666" s="67"/>
      <c r="D2666" s="75"/>
      <c r="E2666" s="67"/>
      <c r="F2666" s="67"/>
      <c r="G2666" s="70"/>
      <c r="H2666" s="70"/>
      <c r="I2666" s="70"/>
      <c r="J2666" s="70"/>
      <c r="K2666" s="70"/>
      <c r="L2666" s="67"/>
      <c r="M2666" s="67"/>
      <c r="N2666" s="72"/>
      <c r="O2666" s="72"/>
      <c r="P2666" s="67"/>
      <c r="Q2666" s="67"/>
      <c r="R2666" s="67"/>
      <c r="S2666" s="67"/>
      <c r="T2666" s="32"/>
      <c r="U2666" s="32"/>
      <c r="X2666" s="32"/>
      <c r="Y2666" s="32"/>
      <c r="Z2666" s="32"/>
      <c r="AA2666" s="32"/>
      <c r="AB2666" s="32"/>
    </row>
    <row r="2667" spans="2:28" ht="23.25" customHeight="1" x14ac:dyDescent="0.2">
      <c r="B2667" s="75"/>
      <c r="C2667" s="67"/>
      <c r="D2667" s="75"/>
      <c r="E2667" s="67"/>
      <c r="F2667" s="67"/>
      <c r="G2667" s="70"/>
      <c r="H2667" s="70"/>
      <c r="I2667" s="70"/>
      <c r="J2667" s="70"/>
      <c r="K2667" s="70"/>
      <c r="L2667" s="67"/>
      <c r="M2667" s="67"/>
      <c r="N2667" s="72"/>
      <c r="O2667" s="72"/>
      <c r="P2667" s="67"/>
      <c r="Q2667" s="67"/>
      <c r="R2667" s="67"/>
      <c r="S2667" s="67"/>
      <c r="T2667" s="32"/>
      <c r="U2667" s="32"/>
      <c r="X2667" s="32"/>
      <c r="Y2667" s="32"/>
      <c r="Z2667" s="32"/>
      <c r="AA2667" s="32"/>
      <c r="AB2667" s="32"/>
    </row>
    <row r="2668" spans="2:28" ht="23.25" customHeight="1" x14ac:dyDescent="0.2">
      <c r="B2668" s="75"/>
      <c r="C2668" s="67"/>
      <c r="D2668" s="75"/>
      <c r="E2668" s="67"/>
      <c r="F2668" s="67"/>
      <c r="G2668" s="70"/>
      <c r="H2668" s="70"/>
      <c r="I2668" s="70"/>
      <c r="J2668" s="70"/>
      <c r="K2668" s="70"/>
      <c r="L2668" s="67"/>
      <c r="M2668" s="67"/>
      <c r="N2668" s="72"/>
      <c r="O2668" s="72"/>
      <c r="P2668" s="67"/>
      <c r="Q2668" s="67"/>
      <c r="R2668" s="67"/>
      <c r="S2668" s="67"/>
      <c r="T2668" s="32"/>
      <c r="U2668" s="32"/>
      <c r="X2668" s="32"/>
      <c r="Y2668" s="32"/>
      <c r="Z2668" s="32"/>
      <c r="AA2668" s="32"/>
      <c r="AB2668" s="32"/>
    </row>
    <row r="2669" spans="2:28" ht="23.25" customHeight="1" x14ac:dyDescent="0.2">
      <c r="B2669" s="75"/>
      <c r="C2669" s="67"/>
      <c r="D2669" s="75"/>
      <c r="E2669" s="67"/>
      <c r="F2669" s="67"/>
      <c r="G2669" s="70"/>
      <c r="H2669" s="70"/>
      <c r="I2669" s="70"/>
      <c r="J2669" s="70"/>
      <c r="K2669" s="70"/>
      <c r="L2669" s="67"/>
      <c r="M2669" s="67"/>
      <c r="N2669" s="72"/>
      <c r="O2669" s="72"/>
      <c r="P2669" s="67"/>
      <c r="Q2669" s="67"/>
      <c r="R2669" s="67"/>
      <c r="S2669" s="67"/>
      <c r="T2669" s="32"/>
      <c r="U2669" s="32"/>
      <c r="X2669" s="32"/>
      <c r="Y2669" s="32"/>
      <c r="Z2669" s="32"/>
      <c r="AA2669" s="32"/>
      <c r="AB2669" s="32"/>
    </row>
    <row r="2670" spans="2:28" ht="23.25" customHeight="1" x14ac:dyDescent="0.2">
      <c r="B2670" s="75"/>
      <c r="C2670" s="67"/>
      <c r="D2670" s="75"/>
      <c r="E2670" s="67"/>
      <c r="F2670" s="67"/>
      <c r="G2670" s="70"/>
      <c r="H2670" s="70"/>
      <c r="I2670" s="70"/>
      <c r="J2670" s="70"/>
      <c r="K2670" s="70"/>
      <c r="L2670" s="67"/>
      <c r="M2670" s="67"/>
      <c r="N2670" s="72"/>
      <c r="O2670" s="72"/>
      <c r="P2670" s="67"/>
      <c r="Q2670" s="67"/>
      <c r="R2670" s="67"/>
      <c r="S2670" s="67"/>
      <c r="T2670" s="32"/>
      <c r="U2670" s="32"/>
      <c r="X2670" s="32"/>
      <c r="Y2670" s="32"/>
      <c r="Z2670" s="32"/>
      <c r="AA2670" s="32"/>
      <c r="AB2670" s="32"/>
    </row>
    <row r="2671" spans="2:28" ht="23.25" customHeight="1" x14ac:dyDescent="0.2">
      <c r="B2671" s="75"/>
      <c r="C2671" s="67"/>
      <c r="D2671" s="75"/>
      <c r="E2671" s="67"/>
      <c r="F2671" s="67"/>
      <c r="G2671" s="70"/>
      <c r="H2671" s="70"/>
      <c r="I2671" s="70"/>
      <c r="J2671" s="70"/>
      <c r="K2671" s="70"/>
      <c r="L2671" s="67"/>
      <c r="M2671" s="67"/>
      <c r="N2671" s="72"/>
      <c r="O2671" s="72"/>
      <c r="P2671" s="67"/>
      <c r="Q2671" s="67"/>
      <c r="R2671" s="67"/>
      <c r="S2671" s="67"/>
      <c r="T2671" s="32"/>
      <c r="U2671" s="32"/>
      <c r="X2671" s="32"/>
      <c r="Y2671" s="32"/>
      <c r="Z2671" s="32"/>
      <c r="AA2671" s="32"/>
      <c r="AB2671" s="32"/>
    </row>
    <row r="2672" spans="2:28" ht="23.25" customHeight="1" x14ac:dyDescent="0.2">
      <c r="B2672" s="75"/>
      <c r="C2672" s="67"/>
      <c r="D2672" s="75"/>
      <c r="E2672" s="67"/>
      <c r="F2672" s="67"/>
      <c r="G2672" s="70"/>
      <c r="H2672" s="70"/>
      <c r="I2672" s="70"/>
      <c r="J2672" s="70"/>
      <c r="K2672" s="70"/>
      <c r="L2672" s="67"/>
      <c r="M2672" s="67"/>
      <c r="N2672" s="72"/>
      <c r="O2672" s="72"/>
      <c r="P2672" s="67"/>
      <c r="Q2672" s="67"/>
      <c r="R2672" s="67"/>
      <c r="S2672" s="67"/>
      <c r="T2672" s="32"/>
      <c r="U2672" s="32"/>
      <c r="X2672" s="32"/>
      <c r="Y2672" s="32"/>
      <c r="Z2672" s="32"/>
      <c r="AA2672" s="32"/>
      <c r="AB2672" s="32"/>
    </row>
    <row r="2673" spans="2:28" ht="23.25" customHeight="1" x14ac:dyDescent="0.2">
      <c r="B2673" s="75"/>
      <c r="C2673" s="67"/>
      <c r="D2673" s="75"/>
      <c r="E2673" s="67"/>
      <c r="F2673" s="67"/>
      <c r="G2673" s="70"/>
      <c r="H2673" s="70"/>
      <c r="I2673" s="70"/>
      <c r="J2673" s="70"/>
      <c r="K2673" s="70"/>
      <c r="L2673" s="67"/>
      <c r="M2673" s="67"/>
      <c r="N2673" s="72"/>
      <c r="O2673" s="72"/>
      <c r="P2673" s="67"/>
      <c r="Q2673" s="67"/>
      <c r="R2673" s="67"/>
      <c r="S2673" s="67"/>
      <c r="T2673" s="32"/>
      <c r="U2673" s="32"/>
      <c r="X2673" s="32"/>
      <c r="Y2673" s="32"/>
      <c r="Z2673" s="32"/>
      <c r="AA2673" s="32"/>
      <c r="AB2673" s="32"/>
    </row>
    <row r="2674" spans="2:28" ht="23.25" customHeight="1" x14ac:dyDescent="0.2">
      <c r="B2674" s="75"/>
      <c r="C2674" s="67"/>
      <c r="D2674" s="75"/>
      <c r="E2674" s="67"/>
      <c r="F2674" s="67"/>
      <c r="G2674" s="70"/>
      <c r="H2674" s="70"/>
      <c r="I2674" s="70"/>
      <c r="J2674" s="70"/>
      <c r="K2674" s="70"/>
      <c r="L2674" s="67"/>
      <c r="M2674" s="67"/>
      <c r="N2674" s="72"/>
      <c r="O2674" s="72"/>
      <c r="P2674" s="67"/>
      <c r="Q2674" s="67"/>
      <c r="R2674" s="67"/>
      <c r="S2674" s="67"/>
      <c r="T2674" s="32"/>
      <c r="U2674" s="32"/>
      <c r="X2674" s="32"/>
      <c r="Y2674" s="32"/>
      <c r="Z2674" s="32"/>
      <c r="AA2674" s="32"/>
      <c r="AB2674" s="32"/>
    </row>
    <row r="2675" spans="2:28" ht="23.25" customHeight="1" x14ac:dyDescent="0.2">
      <c r="B2675" s="75"/>
      <c r="C2675" s="67"/>
      <c r="D2675" s="75"/>
      <c r="E2675" s="67"/>
      <c r="F2675" s="67"/>
      <c r="G2675" s="70"/>
      <c r="H2675" s="70"/>
      <c r="I2675" s="70"/>
      <c r="J2675" s="70"/>
      <c r="K2675" s="70"/>
      <c r="L2675" s="67"/>
      <c r="M2675" s="67"/>
      <c r="N2675" s="72"/>
      <c r="O2675" s="72"/>
      <c r="P2675" s="67"/>
      <c r="Q2675" s="67"/>
      <c r="R2675" s="67"/>
      <c r="S2675" s="67"/>
      <c r="T2675" s="32"/>
      <c r="U2675" s="32"/>
      <c r="X2675" s="32"/>
      <c r="Y2675" s="32"/>
      <c r="Z2675" s="32"/>
      <c r="AA2675" s="32"/>
      <c r="AB2675" s="32"/>
    </row>
    <row r="2676" spans="2:28" ht="23.25" customHeight="1" x14ac:dyDescent="0.2">
      <c r="B2676" s="75"/>
      <c r="C2676" s="67"/>
      <c r="D2676" s="75"/>
      <c r="E2676" s="67"/>
      <c r="F2676" s="67"/>
      <c r="G2676" s="70"/>
      <c r="H2676" s="70"/>
      <c r="I2676" s="70"/>
      <c r="J2676" s="70"/>
      <c r="K2676" s="70"/>
      <c r="L2676" s="67"/>
      <c r="M2676" s="67"/>
      <c r="N2676" s="72"/>
      <c r="O2676" s="72"/>
      <c r="P2676" s="67"/>
      <c r="Q2676" s="67"/>
      <c r="R2676" s="67"/>
      <c r="S2676" s="67"/>
      <c r="T2676" s="32"/>
      <c r="U2676" s="32"/>
      <c r="X2676" s="32"/>
      <c r="Y2676" s="32"/>
      <c r="Z2676" s="32"/>
      <c r="AA2676" s="32"/>
      <c r="AB2676" s="32"/>
    </row>
    <row r="2677" spans="2:28" ht="23.25" customHeight="1" x14ac:dyDescent="0.2">
      <c r="B2677" s="75"/>
      <c r="C2677" s="67"/>
      <c r="D2677" s="75"/>
      <c r="E2677" s="67"/>
      <c r="F2677" s="67"/>
      <c r="G2677" s="70"/>
      <c r="H2677" s="70"/>
      <c r="I2677" s="70"/>
      <c r="J2677" s="70"/>
      <c r="K2677" s="70"/>
      <c r="L2677" s="67"/>
      <c r="M2677" s="67"/>
      <c r="N2677" s="72"/>
      <c r="O2677" s="72"/>
      <c r="P2677" s="67"/>
      <c r="Q2677" s="67"/>
      <c r="R2677" s="67"/>
      <c r="S2677" s="67"/>
      <c r="T2677" s="32"/>
      <c r="U2677" s="32"/>
      <c r="X2677" s="32"/>
      <c r="Y2677" s="32"/>
      <c r="Z2677" s="32"/>
      <c r="AA2677" s="32"/>
      <c r="AB2677" s="32"/>
    </row>
    <row r="2678" spans="2:28" ht="23.25" customHeight="1" x14ac:dyDescent="0.2">
      <c r="B2678" s="75"/>
      <c r="C2678" s="67"/>
      <c r="D2678" s="75"/>
      <c r="E2678" s="67"/>
      <c r="F2678" s="67"/>
      <c r="G2678" s="70"/>
      <c r="H2678" s="70"/>
      <c r="I2678" s="70"/>
      <c r="J2678" s="70"/>
      <c r="K2678" s="70"/>
      <c r="L2678" s="67"/>
      <c r="M2678" s="67"/>
      <c r="N2678" s="72"/>
      <c r="O2678" s="72"/>
      <c r="P2678" s="67"/>
      <c r="Q2678" s="67"/>
      <c r="R2678" s="67"/>
      <c r="S2678" s="67"/>
      <c r="T2678" s="32"/>
      <c r="U2678" s="32"/>
      <c r="X2678" s="32"/>
      <c r="Y2678" s="32"/>
      <c r="Z2678" s="32"/>
      <c r="AA2678" s="32"/>
      <c r="AB2678" s="32"/>
    </row>
    <row r="2679" spans="2:28" ht="23.25" customHeight="1" x14ac:dyDescent="0.2">
      <c r="B2679" s="75"/>
      <c r="C2679" s="67"/>
      <c r="D2679" s="75"/>
      <c r="E2679" s="67"/>
      <c r="F2679" s="67"/>
      <c r="G2679" s="70"/>
      <c r="H2679" s="70"/>
      <c r="I2679" s="70"/>
      <c r="J2679" s="70"/>
      <c r="K2679" s="70"/>
      <c r="L2679" s="67"/>
      <c r="M2679" s="67"/>
      <c r="N2679" s="72"/>
      <c r="O2679" s="72"/>
      <c r="P2679" s="67"/>
      <c r="Q2679" s="67"/>
      <c r="R2679" s="67"/>
      <c r="S2679" s="67"/>
      <c r="T2679" s="32"/>
      <c r="U2679" s="32"/>
      <c r="X2679" s="32"/>
      <c r="Y2679" s="32"/>
      <c r="Z2679" s="32"/>
      <c r="AA2679" s="32"/>
      <c r="AB2679" s="32"/>
    </row>
    <row r="2680" spans="2:28" ht="23.25" customHeight="1" x14ac:dyDescent="0.2">
      <c r="B2680" s="75"/>
      <c r="C2680" s="67"/>
      <c r="D2680" s="75"/>
      <c r="E2680" s="67"/>
      <c r="F2680" s="67"/>
      <c r="G2680" s="70"/>
      <c r="H2680" s="70"/>
      <c r="I2680" s="70"/>
      <c r="J2680" s="70"/>
      <c r="K2680" s="70"/>
      <c r="L2680" s="67"/>
      <c r="M2680" s="67"/>
      <c r="N2680" s="72"/>
      <c r="O2680" s="72"/>
      <c r="P2680" s="67"/>
      <c r="Q2680" s="67"/>
      <c r="R2680" s="67"/>
      <c r="S2680" s="67"/>
      <c r="T2680" s="32"/>
      <c r="U2680" s="32"/>
      <c r="X2680" s="32"/>
      <c r="Y2680" s="32"/>
      <c r="Z2680" s="32"/>
      <c r="AA2680" s="32"/>
      <c r="AB2680" s="32"/>
    </row>
    <row r="2681" spans="2:28" ht="23.25" customHeight="1" x14ac:dyDescent="0.2">
      <c r="B2681" s="75"/>
      <c r="C2681" s="67"/>
      <c r="D2681" s="75"/>
      <c r="E2681" s="67"/>
      <c r="F2681" s="67"/>
      <c r="G2681" s="70"/>
      <c r="H2681" s="70"/>
      <c r="I2681" s="70"/>
      <c r="J2681" s="70"/>
      <c r="K2681" s="70"/>
      <c r="L2681" s="67"/>
      <c r="M2681" s="67"/>
      <c r="N2681" s="72"/>
      <c r="O2681" s="72"/>
      <c r="P2681" s="67"/>
      <c r="Q2681" s="67"/>
      <c r="R2681" s="67"/>
      <c r="S2681" s="67"/>
      <c r="T2681" s="32"/>
      <c r="U2681" s="32"/>
      <c r="X2681" s="32"/>
      <c r="Y2681" s="32"/>
      <c r="Z2681" s="32"/>
      <c r="AA2681" s="32"/>
      <c r="AB2681" s="32"/>
    </row>
    <row r="2682" spans="2:28" ht="23.25" customHeight="1" x14ac:dyDescent="0.2">
      <c r="B2682" s="75"/>
      <c r="C2682" s="67"/>
      <c r="D2682" s="75"/>
      <c r="E2682" s="67"/>
      <c r="F2682" s="67"/>
      <c r="G2682" s="70"/>
      <c r="H2682" s="70"/>
      <c r="I2682" s="70"/>
      <c r="J2682" s="70"/>
      <c r="K2682" s="70"/>
      <c r="L2682" s="67"/>
      <c r="M2682" s="67"/>
      <c r="N2682" s="72"/>
      <c r="O2682" s="72"/>
      <c r="P2682" s="67"/>
      <c r="Q2682" s="67"/>
      <c r="R2682" s="67"/>
      <c r="S2682" s="67"/>
      <c r="T2682" s="32"/>
      <c r="U2682" s="32"/>
      <c r="X2682" s="32"/>
      <c r="Y2682" s="32"/>
      <c r="Z2682" s="32"/>
      <c r="AA2682" s="32"/>
      <c r="AB2682" s="32"/>
    </row>
    <row r="2683" spans="2:28" ht="23.25" customHeight="1" x14ac:dyDescent="0.2">
      <c r="B2683" s="75"/>
      <c r="C2683" s="67"/>
      <c r="D2683" s="75"/>
      <c r="E2683" s="67"/>
      <c r="F2683" s="67"/>
      <c r="G2683" s="70"/>
      <c r="H2683" s="70"/>
      <c r="I2683" s="70"/>
      <c r="J2683" s="70"/>
      <c r="K2683" s="70"/>
      <c r="L2683" s="67"/>
      <c r="M2683" s="67"/>
      <c r="N2683" s="72"/>
      <c r="O2683" s="72"/>
      <c r="P2683" s="67"/>
      <c r="Q2683" s="67"/>
      <c r="R2683" s="67"/>
      <c r="S2683" s="67"/>
      <c r="T2683" s="32"/>
      <c r="U2683" s="32"/>
      <c r="X2683" s="32"/>
      <c r="Y2683" s="32"/>
      <c r="Z2683" s="32"/>
      <c r="AA2683" s="32"/>
      <c r="AB2683" s="32"/>
    </row>
    <row r="2684" spans="2:28" ht="23.25" customHeight="1" x14ac:dyDescent="0.2">
      <c r="B2684" s="75"/>
      <c r="C2684" s="67"/>
      <c r="D2684" s="75"/>
      <c r="E2684" s="67"/>
      <c r="F2684" s="67"/>
      <c r="G2684" s="70"/>
      <c r="H2684" s="70"/>
      <c r="I2684" s="70"/>
      <c r="J2684" s="70"/>
      <c r="K2684" s="70"/>
      <c r="L2684" s="67"/>
      <c r="M2684" s="67"/>
      <c r="N2684" s="72"/>
      <c r="O2684" s="72"/>
      <c r="P2684" s="67"/>
      <c r="Q2684" s="67"/>
      <c r="R2684" s="67"/>
      <c r="S2684" s="67"/>
      <c r="T2684" s="32"/>
      <c r="U2684" s="32"/>
      <c r="X2684" s="32"/>
      <c r="Y2684" s="32"/>
      <c r="Z2684" s="32"/>
      <c r="AA2684" s="32"/>
      <c r="AB2684" s="32"/>
    </row>
    <row r="2685" spans="2:28" ht="23.25" customHeight="1" x14ac:dyDescent="0.2">
      <c r="B2685" s="75"/>
      <c r="C2685" s="67"/>
      <c r="D2685" s="75"/>
      <c r="E2685" s="67"/>
      <c r="F2685" s="67"/>
      <c r="G2685" s="70"/>
      <c r="H2685" s="70"/>
      <c r="I2685" s="70"/>
      <c r="J2685" s="70"/>
      <c r="K2685" s="70"/>
      <c r="L2685" s="67"/>
      <c r="M2685" s="67"/>
      <c r="N2685" s="72"/>
      <c r="O2685" s="72"/>
      <c r="P2685" s="67"/>
      <c r="Q2685" s="67"/>
      <c r="R2685" s="67"/>
      <c r="S2685" s="67"/>
      <c r="T2685" s="32"/>
      <c r="U2685" s="32"/>
      <c r="X2685" s="32"/>
      <c r="Y2685" s="32"/>
      <c r="Z2685" s="32"/>
      <c r="AA2685" s="32"/>
      <c r="AB2685" s="32"/>
    </row>
    <row r="2686" spans="2:28" ht="23.25" customHeight="1" x14ac:dyDescent="0.2">
      <c r="B2686" s="75"/>
      <c r="C2686" s="67"/>
      <c r="D2686" s="75"/>
      <c r="E2686" s="67"/>
      <c r="F2686" s="67"/>
      <c r="G2686" s="70"/>
      <c r="H2686" s="70"/>
      <c r="I2686" s="70"/>
      <c r="J2686" s="70"/>
      <c r="K2686" s="70"/>
      <c r="L2686" s="67"/>
      <c r="M2686" s="67"/>
      <c r="N2686" s="72"/>
      <c r="O2686" s="72"/>
      <c r="P2686" s="67"/>
      <c r="Q2686" s="67"/>
      <c r="R2686" s="67"/>
      <c r="S2686" s="67"/>
      <c r="T2686" s="32"/>
      <c r="U2686" s="32"/>
      <c r="X2686" s="32"/>
      <c r="Y2686" s="32"/>
      <c r="Z2686" s="32"/>
      <c r="AA2686" s="32"/>
      <c r="AB2686" s="32"/>
    </row>
    <row r="2687" spans="2:28" ht="23.25" customHeight="1" x14ac:dyDescent="0.2">
      <c r="B2687" s="75"/>
      <c r="C2687" s="67"/>
      <c r="D2687" s="75"/>
      <c r="E2687" s="67"/>
      <c r="F2687" s="67"/>
      <c r="G2687" s="70"/>
      <c r="H2687" s="70"/>
      <c r="I2687" s="70"/>
      <c r="J2687" s="70"/>
      <c r="K2687" s="70"/>
      <c r="L2687" s="67"/>
      <c r="M2687" s="67"/>
      <c r="N2687" s="72"/>
      <c r="O2687" s="72"/>
      <c r="P2687" s="67"/>
      <c r="Q2687" s="67"/>
      <c r="R2687" s="67"/>
      <c r="S2687" s="67"/>
      <c r="T2687" s="32"/>
      <c r="U2687" s="32"/>
      <c r="X2687" s="32"/>
      <c r="Y2687" s="32"/>
      <c r="Z2687" s="32"/>
      <c r="AA2687" s="32"/>
      <c r="AB2687" s="32"/>
    </row>
    <row r="2688" spans="2:28" ht="23.25" customHeight="1" x14ac:dyDescent="0.2">
      <c r="B2688" s="75"/>
      <c r="C2688" s="67"/>
      <c r="D2688" s="75"/>
      <c r="E2688" s="67"/>
      <c r="F2688" s="67"/>
      <c r="G2688" s="70"/>
      <c r="H2688" s="70"/>
      <c r="I2688" s="70"/>
      <c r="J2688" s="70"/>
      <c r="K2688" s="70"/>
      <c r="L2688" s="67"/>
      <c r="M2688" s="67"/>
      <c r="N2688" s="72"/>
      <c r="O2688" s="72"/>
      <c r="P2688" s="67"/>
      <c r="Q2688" s="67"/>
      <c r="R2688" s="67"/>
      <c r="S2688" s="67"/>
      <c r="T2688" s="32"/>
      <c r="U2688" s="32"/>
      <c r="X2688" s="32"/>
      <c r="Y2688" s="32"/>
      <c r="Z2688" s="32"/>
      <c r="AA2688" s="32"/>
      <c r="AB2688" s="32"/>
    </row>
    <row r="2689" spans="2:28" ht="23.25" customHeight="1" x14ac:dyDescent="0.2">
      <c r="B2689" s="75"/>
      <c r="C2689" s="67"/>
      <c r="D2689" s="75"/>
      <c r="E2689" s="67"/>
      <c r="F2689" s="67"/>
      <c r="G2689" s="70"/>
      <c r="H2689" s="70"/>
      <c r="I2689" s="70"/>
      <c r="J2689" s="70"/>
      <c r="K2689" s="70"/>
      <c r="L2689" s="67"/>
      <c r="M2689" s="67"/>
      <c r="N2689" s="72"/>
      <c r="O2689" s="72"/>
      <c r="P2689" s="67"/>
      <c r="Q2689" s="67"/>
      <c r="R2689" s="67"/>
      <c r="S2689" s="67"/>
      <c r="T2689" s="32"/>
      <c r="U2689" s="32"/>
      <c r="X2689" s="32"/>
      <c r="Y2689" s="32"/>
      <c r="Z2689" s="32"/>
      <c r="AA2689" s="32"/>
      <c r="AB2689" s="32"/>
    </row>
    <row r="2690" spans="2:28" ht="23.25" customHeight="1" x14ac:dyDescent="0.2">
      <c r="B2690" s="75"/>
      <c r="C2690" s="67"/>
      <c r="D2690" s="75"/>
      <c r="E2690" s="67"/>
      <c r="F2690" s="67"/>
      <c r="G2690" s="70"/>
      <c r="H2690" s="70"/>
      <c r="I2690" s="70"/>
      <c r="J2690" s="70"/>
      <c r="K2690" s="70"/>
      <c r="L2690" s="67"/>
      <c r="M2690" s="67"/>
      <c r="N2690" s="72"/>
      <c r="O2690" s="72"/>
      <c r="P2690" s="67"/>
      <c r="Q2690" s="67"/>
      <c r="R2690" s="67"/>
      <c r="S2690" s="67"/>
      <c r="T2690" s="32"/>
      <c r="U2690" s="32"/>
      <c r="X2690" s="32"/>
      <c r="Y2690" s="32"/>
      <c r="Z2690" s="32"/>
      <c r="AA2690" s="32"/>
      <c r="AB2690" s="32"/>
    </row>
    <row r="2691" spans="2:28" ht="23.25" customHeight="1" x14ac:dyDescent="0.2">
      <c r="B2691" s="75"/>
      <c r="C2691" s="67"/>
      <c r="D2691" s="75"/>
      <c r="E2691" s="67"/>
      <c r="F2691" s="67"/>
      <c r="G2691" s="70"/>
      <c r="H2691" s="70"/>
      <c r="I2691" s="70"/>
      <c r="J2691" s="70"/>
      <c r="K2691" s="70"/>
      <c r="L2691" s="67"/>
      <c r="M2691" s="67"/>
      <c r="N2691" s="72"/>
      <c r="O2691" s="72"/>
      <c r="P2691" s="67"/>
      <c r="Q2691" s="67"/>
      <c r="R2691" s="67"/>
      <c r="S2691" s="67"/>
      <c r="T2691" s="32"/>
      <c r="U2691" s="32"/>
      <c r="X2691" s="32"/>
      <c r="Y2691" s="32"/>
      <c r="Z2691" s="32"/>
      <c r="AA2691" s="32"/>
      <c r="AB2691" s="32"/>
    </row>
    <row r="2692" spans="2:28" ht="23.25" customHeight="1" x14ac:dyDescent="0.2">
      <c r="B2692" s="75"/>
      <c r="C2692" s="67"/>
      <c r="D2692" s="75"/>
      <c r="E2692" s="67"/>
      <c r="F2692" s="67"/>
      <c r="G2692" s="70"/>
      <c r="H2692" s="70"/>
      <c r="I2692" s="70"/>
      <c r="J2692" s="70"/>
      <c r="K2692" s="70"/>
      <c r="L2692" s="67"/>
      <c r="M2692" s="67"/>
      <c r="N2692" s="72"/>
      <c r="O2692" s="72"/>
      <c r="P2692" s="67"/>
      <c r="Q2692" s="67"/>
      <c r="R2692" s="67"/>
      <c r="S2692" s="67"/>
      <c r="T2692" s="32"/>
      <c r="U2692" s="32"/>
      <c r="X2692" s="32"/>
      <c r="Y2692" s="32"/>
      <c r="Z2692" s="32"/>
      <c r="AA2692" s="32"/>
      <c r="AB2692" s="32"/>
    </row>
    <row r="2693" spans="2:28" ht="23.25" customHeight="1" x14ac:dyDescent="0.2">
      <c r="B2693" s="75"/>
      <c r="C2693" s="67"/>
      <c r="D2693" s="75"/>
      <c r="E2693" s="67"/>
      <c r="F2693" s="67"/>
      <c r="G2693" s="70"/>
      <c r="H2693" s="70"/>
      <c r="I2693" s="70"/>
      <c r="J2693" s="70"/>
      <c r="K2693" s="70"/>
      <c r="L2693" s="67"/>
      <c r="M2693" s="67"/>
      <c r="N2693" s="72"/>
      <c r="O2693" s="72"/>
      <c r="P2693" s="67"/>
      <c r="Q2693" s="67"/>
      <c r="R2693" s="67"/>
      <c r="S2693" s="67"/>
      <c r="T2693" s="32"/>
      <c r="U2693" s="32"/>
      <c r="X2693" s="32"/>
      <c r="Y2693" s="32"/>
      <c r="Z2693" s="32"/>
      <c r="AA2693" s="32"/>
      <c r="AB2693" s="32"/>
    </row>
    <row r="2694" spans="2:28" ht="23.25" customHeight="1" x14ac:dyDescent="0.2">
      <c r="B2694" s="75"/>
      <c r="C2694" s="67"/>
      <c r="D2694" s="75"/>
      <c r="E2694" s="67"/>
      <c r="F2694" s="67"/>
      <c r="G2694" s="70"/>
      <c r="H2694" s="70"/>
      <c r="I2694" s="70"/>
      <c r="J2694" s="70"/>
      <c r="K2694" s="70"/>
      <c r="L2694" s="67"/>
      <c r="M2694" s="67"/>
      <c r="N2694" s="72"/>
      <c r="O2694" s="72"/>
      <c r="P2694" s="67"/>
      <c r="Q2694" s="67"/>
      <c r="R2694" s="67"/>
      <c r="S2694" s="67"/>
      <c r="T2694" s="32"/>
      <c r="U2694" s="32"/>
      <c r="X2694" s="32"/>
      <c r="Y2694" s="32"/>
      <c r="Z2694" s="32"/>
      <c r="AA2694" s="32"/>
      <c r="AB2694" s="32"/>
    </row>
    <row r="2695" spans="2:28" ht="23.25" customHeight="1" x14ac:dyDescent="0.2">
      <c r="B2695" s="75"/>
      <c r="C2695" s="67"/>
      <c r="D2695" s="75"/>
      <c r="E2695" s="67"/>
      <c r="F2695" s="67"/>
      <c r="G2695" s="70"/>
      <c r="H2695" s="70"/>
      <c r="I2695" s="70"/>
      <c r="J2695" s="70"/>
      <c r="K2695" s="70"/>
      <c r="L2695" s="67"/>
      <c r="M2695" s="67"/>
      <c r="N2695" s="72"/>
      <c r="O2695" s="72"/>
      <c r="P2695" s="67"/>
      <c r="Q2695" s="67"/>
      <c r="R2695" s="67"/>
      <c r="S2695" s="67"/>
      <c r="T2695" s="32"/>
      <c r="U2695" s="32"/>
      <c r="X2695" s="32"/>
      <c r="Y2695" s="32"/>
      <c r="Z2695" s="32"/>
      <c r="AA2695" s="32"/>
      <c r="AB2695" s="32"/>
    </row>
    <row r="2696" spans="2:28" ht="23.25" customHeight="1" x14ac:dyDescent="0.2">
      <c r="B2696" s="75"/>
      <c r="C2696" s="67"/>
      <c r="D2696" s="75"/>
      <c r="E2696" s="67"/>
      <c r="F2696" s="67"/>
      <c r="G2696" s="70"/>
      <c r="H2696" s="70"/>
      <c r="I2696" s="70"/>
      <c r="J2696" s="70"/>
      <c r="K2696" s="70"/>
      <c r="L2696" s="67"/>
      <c r="M2696" s="67"/>
      <c r="N2696" s="72"/>
      <c r="O2696" s="72"/>
      <c r="P2696" s="67"/>
      <c r="Q2696" s="67"/>
      <c r="R2696" s="67"/>
      <c r="S2696" s="67"/>
      <c r="T2696" s="32"/>
      <c r="U2696" s="32"/>
      <c r="X2696" s="32"/>
      <c r="Y2696" s="32"/>
      <c r="Z2696" s="32"/>
      <c r="AA2696" s="32"/>
      <c r="AB2696" s="32"/>
    </row>
    <row r="2697" spans="2:28" ht="23.25" customHeight="1" x14ac:dyDescent="0.2">
      <c r="B2697" s="75"/>
      <c r="C2697" s="67"/>
      <c r="D2697" s="75"/>
      <c r="E2697" s="67"/>
      <c r="F2697" s="67"/>
      <c r="G2697" s="70"/>
      <c r="H2697" s="70"/>
      <c r="I2697" s="70"/>
      <c r="J2697" s="70"/>
      <c r="K2697" s="70"/>
      <c r="L2697" s="67"/>
      <c r="M2697" s="67"/>
      <c r="N2697" s="72"/>
      <c r="O2697" s="72"/>
      <c r="P2697" s="67"/>
      <c r="Q2697" s="67"/>
      <c r="R2697" s="67"/>
      <c r="S2697" s="67"/>
      <c r="T2697" s="32"/>
      <c r="U2697" s="32"/>
      <c r="X2697" s="32"/>
      <c r="Y2697" s="32"/>
      <c r="Z2697" s="32"/>
      <c r="AA2697" s="32"/>
      <c r="AB2697" s="32"/>
    </row>
    <row r="2698" spans="2:28" ht="23.25" customHeight="1" x14ac:dyDescent="0.2">
      <c r="B2698" s="75"/>
      <c r="C2698" s="67"/>
      <c r="D2698" s="75"/>
      <c r="E2698" s="67"/>
      <c r="F2698" s="67"/>
      <c r="G2698" s="70"/>
      <c r="H2698" s="70"/>
      <c r="I2698" s="70"/>
      <c r="J2698" s="70"/>
      <c r="K2698" s="70"/>
      <c r="L2698" s="67"/>
      <c r="M2698" s="67"/>
      <c r="N2698" s="72"/>
      <c r="O2698" s="72"/>
      <c r="P2698" s="67"/>
      <c r="Q2698" s="67"/>
      <c r="R2698" s="67"/>
      <c r="S2698" s="67"/>
      <c r="T2698" s="32"/>
      <c r="U2698" s="32"/>
      <c r="X2698" s="32"/>
      <c r="Y2698" s="32"/>
      <c r="Z2698" s="32"/>
      <c r="AA2698" s="32"/>
      <c r="AB2698" s="32"/>
    </row>
    <row r="2699" spans="2:28" ht="23.25" customHeight="1" x14ac:dyDescent="0.2">
      <c r="B2699" s="75"/>
      <c r="C2699" s="67"/>
      <c r="D2699" s="75"/>
      <c r="E2699" s="67"/>
      <c r="F2699" s="67"/>
      <c r="G2699" s="70"/>
      <c r="H2699" s="70"/>
      <c r="I2699" s="70"/>
      <c r="J2699" s="70"/>
      <c r="K2699" s="70"/>
      <c r="L2699" s="67"/>
      <c r="M2699" s="67"/>
      <c r="N2699" s="72"/>
      <c r="O2699" s="72"/>
      <c r="P2699" s="67"/>
      <c r="Q2699" s="67"/>
      <c r="R2699" s="67"/>
      <c r="S2699" s="67"/>
      <c r="T2699" s="32"/>
      <c r="U2699" s="32"/>
      <c r="X2699" s="32"/>
      <c r="Y2699" s="32"/>
      <c r="Z2699" s="32"/>
      <c r="AA2699" s="32"/>
      <c r="AB2699" s="32"/>
    </row>
    <row r="2700" spans="2:28" ht="23.25" customHeight="1" x14ac:dyDescent="0.2">
      <c r="B2700" s="75"/>
      <c r="C2700" s="67"/>
      <c r="D2700" s="75"/>
      <c r="E2700" s="67"/>
      <c r="F2700" s="67"/>
      <c r="G2700" s="70"/>
      <c r="H2700" s="70"/>
      <c r="I2700" s="70"/>
      <c r="J2700" s="70"/>
      <c r="K2700" s="70"/>
      <c r="L2700" s="67"/>
      <c r="M2700" s="67"/>
      <c r="N2700" s="72"/>
      <c r="O2700" s="72"/>
      <c r="P2700" s="67"/>
      <c r="Q2700" s="67"/>
      <c r="R2700" s="67"/>
      <c r="S2700" s="67"/>
      <c r="T2700" s="32"/>
      <c r="U2700" s="32"/>
      <c r="X2700" s="32"/>
      <c r="Y2700" s="32"/>
      <c r="Z2700" s="32"/>
      <c r="AA2700" s="32"/>
      <c r="AB2700" s="32"/>
    </row>
    <row r="2701" spans="2:28" ht="23.25" customHeight="1" x14ac:dyDescent="0.2">
      <c r="B2701" s="75"/>
      <c r="C2701" s="67"/>
      <c r="D2701" s="75"/>
      <c r="E2701" s="67"/>
      <c r="F2701" s="67"/>
      <c r="G2701" s="70"/>
      <c r="H2701" s="70"/>
      <c r="I2701" s="70"/>
      <c r="J2701" s="70"/>
      <c r="K2701" s="70"/>
      <c r="L2701" s="67"/>
      <c r="M2701" s="67"/>
      <c r="N2701" s="72"/>
      <c r="O2701" s="72"/>
      <c r="P2701" s="67"/>
      <c r="Q2701" s="67"/>
      <c r="R2701" s="67"/>
      <c r="S2701" s="67"/>
      <c r="T2701" s="32"/>
      <c r="U2701" s="32"/>
      <c r="X2701" s="32"/>
      <c r="Y2701" s="32"/>
      <c r="Z2701" s="32"/>
      <c r="AA2701" s="32"/>
      <c r="AB2701" s="32"/>
    </row>
    <row r="2702" spans="2:28" ht="23.25" customHeight="1" x14ac:dyDescent="0.2">
      <c r="B2702" s="75"/>
      <c r="C2702" s="67"/>
      <c r="D2702" s="75"/>
      <c r="E2702" s="67"/>
      <c r="F2702" s="67"/>
      <c r="G2702" s="70"/>
      <c r="H2702" s="70"/>
      <c r="I2702" s="70"/>
      <c r="J2702" s="70"/>
      <c r="K2702" s="70"/>
      <c r="L2702" s="67"/>
      <c r="M2702" s="67"/>
      <c r="N2702" s="72"/>
      <c r="O2702" s="72"/>
      <c r="P2702" s="67"/>
      <c r="Q2702" s="67"/>
      <c r="R2702" s="67"/>
      <c r="S2702" s="67"/>
      <c r="T2702" s="32"/>
      <c r="U2702" s="32"/>
      <c r="X2702" s="32"/>
      <c r="Y2702" s="32"/>
      <c r="Z2702" s="32"/>
      <c r="AA2702" s="32"/>
      <c r="AB2702" s="32"/>
    </row>
    <row r="2703" spans="2:28" ht="23.25" customHeight="1" x14ac:dyDescent="0.2">
      <c r="B2703" s="75"/>
      <c r="C2703" s="67"/>
      <c r="D2703" s="75"/>
      <c r="E2703" s="67"/>
      <c r="F2703" s="67"/>
      <c r="G2703" s="70"/>
      <c r="H2703" s="70"/>
      <c r="I2703" s="70"/>
      <c r="J2703" s="70"/>
      <c r="K2703" s="70"/>
      <c r="L2703" s="67"/>
      <c r="M2703" s="67"/>
      <c r="N2703" s="72"/>
      <c r="O2703" s="72"/>
      <c r="P2703" s="67"/>
      <c r="Q2703" s="67"/>
      <c r="R2703" s="67"/>
      <c r="S2703" s="67"/>
      <c r="T2703" s="32"/>
      <c r="U2703" s="32"/>
      <c r="X2703" s="32"/>
      <c r="Y2703" s="32"/>
      <c r="Z2703" s="32"/>
      <c r="AA2703" s="32"/>
      <c r="AB2703" s="32"/>
    </row>
    <row r="2704" spans="2:28" ht="23.25" customHeight="1" x14ac:dyDescent="0.2">
      <c r="B2704" s="75"/>
      <c r="C2704" s="67"/>
      <c r="D2704" s="75"/>
      <c r="E2704" s="67"/>
      <c r="F2704" s="67"/>
      <c r="G2704" s="70"/>
      <c r="H2704" s="70"/>
      <c r="I2704" s="70"/>
      <c r="J2704" s="70"/>
      <c r="K2704" s="70"/>
      <c r="L2704" s="67"/>
      <c r="M2704" s="67"/>
      <c r="N2704" s="72"/>
      <c r="O2704" s="72"/>
      <c r="P2704" s="67"/>
      <c r="Q2704" s="67"/>
      <c r="R2704" s="67"/>
      <c r="S2704" s="67"/>
      <c r="T2704" s="32"/>
      <c r="U2704" s="32"/>
      <c r="X2704" s="32"/>
      <c r="Y2704" s="32"/>
      <c r="Z2704" s="32"/>
      <c r="AA2704" s="32"/>
      <c r="AB2704" s="32"/>
    </row>
    <row r="2705" spans="2:28" ht="23.25" customHeight="1" x14ac:dyDescent="0.2">
      <c r="B2705" s="75"/>
      <c r="C2705" s="67"/>
      <c r="D2705" s="75"/>
      <c r="E2705" s="67"/>
      <c r="F2705" s="67"/>
      <c r="G2705" s="70"/>
      <c r="H2705" s="70"/>
      <c r="I2705" s="70"/>
      <c r="J2705" s="70"/>
      <c r="K2705" s="70"/>
      <c r="L2705" s="67"/>
      <c r="M2705" s="67"/>
      <c r="N2705" s="72"/>
      <c r="O2705" s="72"/>
      <c r="P2705" s="67"/>
      <c r="Q2705" s="67"/>
      <c r="R2705" s="67"/>
      <c r="S2705" s="67"/>
      <c r="T2705" s="32"/>
      <c r="U2705" s="32"/>
      <c r="X2705" s="32"/>
      <c r="Y2705" s="32"/>
      <c r="Z2705" s="32"/>
      <c r="AA2705" s="32"/>
      <c r="AB2705" s="32"/>
    </row>
    <row r="2706" spans="2:28" ht="23.25" customHeight="1" x14ac:dyDescent="0.2">
      <c r="B2706" s="75"/>
      <c r="C2706" s="67"/>
      <c r="D2706" s="75"/>
      <c r="E2706" s="67"/>
      <c r="F2706" s="67"/>
      <c r="G2706" s="70"/>
      <c r="H2706" s="70"/>
      <c r="I2706" s="70"/>
      <c r="J2706" s="70"/>
      <c r="K2706" s="70"/>
      <c r="L2706" s="67"/>
      <c r="M2706" s="67"/>
      <c r="N2706" s="72"/>
      <c r="O2706" s="72"/>
      <c r="P2706" s="67"/>
      <c r="Q2706" s="67"/>
      <c r="R2706" s="67"/>
      <c r="S2706" s="67"/>
      <c r="T2706" s="32"/>
      <c r="U2706" s="32"/>
      <c r="X2706" s="32"/>
      <c r="Y2706" s="32"/>
      <c r="Z2706" s="32"/>
      <c r="AA2706" s="32"/>
      <c r="AB2706" s="32"/>
    </row>
    <row r="2707" spans="2:28" ht="23.25" customHeight="1" x14ac:dyDescent="0.2">
      <c r="B2707" s="75"/>
      <c r="C2707" s="67"/>
      <c r="D2707" s="75"/>
      <c r="E2707" s="67"/>
      <c r="F2707" s="67"/>
      <c r="G2707" s="70"/>
      <c r="H2707" s="70"/>
      <c r="I2707" s="70"/>
      <c r="J2707" s="70"/>
      <c r="K2707" s="70"/>
      <c r="L2707" s="67"/>
      <c r="M2707" s="67"/>
      <c r="N2707" s="72"/>
      <c r="O2707" s="72"/>
      <c r="P2707" s="67"/>
      <c r="Q2707" s="67"/>
      <c r="R2707" s="67"/>
      <c r="S2707" s="67"/>
      <c r="T2707" s="32"/>
      <c r="U2707" s="32"/>
      <c r="X2707" s="32"/>
      <c r="Y2707" s="32"/>
      <c r="Z2707" s="32"/>
      <c r="AA2707" s="32"/>
      <c r="AB2707" s="32"/>
    </row>
    <row r="2708" spans="2:28" ht="23.25" customHeight="1" x14ac:dyDescent="0.2">
      <c r="B2708" s="75"/>
      <c r="C2708" s="67"/>
      <c r="D2708" s="75"/>
      <c r="E2708" s="67"/>
      <c r="F2708" s="67"/>
      <c r="G2708" s="70"/>
      <c r="H2708" s="70"/>
      <c r="I2708" s="70"/>
      <c r="J2708" s="70"/>
      <c r="K2708" s="70"/>
      <c r="L2708" s="67"/>
      <c r="M2708" s="67"/>
      <c r="N2708" s="72"/>
      <c r="O2708" s="72"/>
      <c r="P2708" s="67"/>
      <c r="Q2708" s="67"/>
      <c r="R2708" s="67"/>
      <c r="S2708" s="67"/>
      <c r="T2708" s="32"/>
      <c r="U2708" s="32"/>
      <c r="X2708" s="32"/>
      <c r="Y2708" s="32"/>
      <c r="Z2708" s="32"/>
      <c r="AA2708" s="32"/>
      <c r="AB2708" s="32"/>
    </row>
    <row r="2709" spans="2:28" ht="23.25" customHeight="1" x14ac:dyDescent="0.2">
      <c r="B2709" s="75"/>
      <c r="C2709" s="67"/>
      <c r="D2709" s="75"/>
      <c r="E2709" s="67"/>
      <c r="F2709" s="67"/>
      <c r="G2709" s="70"/>
      <c r="H2709" s="70"/>
      <c r="I2709" s="70"/>
      <c r="J2709" s="70"/>
      <c r="K2709" s="70"/>
      <c r="L2709" s="67"/>
      <c r="M2709" s="67"/>
      <c r="N2709" s="72"/>
      <c r="O2709" s="72"/>
      <c r="P2709" s="67"/>
      <c r="Q2709" s="67"/>
      <c r="R2709" s="67"/>
      <c r="S2709" s="67"/>
      <c r="T2709" s="32"/>
      <c r="U2709" s="32"/>
      <c r="X2709" s="32"/>
      <c r="Y2709" s="32"/>
      <c r="Z2709" s="32"/>
      <c r="AA2709" s="32"/>
      <c r="AB2709" s="32"/>
    </row>
    <row r="2710" spans="2:28" ht="23.25" customHeight="1" x14ac:dyDescent="0.2">
      <c r="B2710" s="75"/>
      <c r="C2710" s="67"/>
      <c r="D2710" s="75"/>
      <c r="E2710" s="67"/>
      <c r="F2710" s="67"/>
      <c r="G2710" s="70"/>
      <c r="H2710" s="70"/>
      <c r="I2710" s="70"/>
      <c r="J2710" s="70"/>
      <c r="K2710" s="70"/>
      <c r="L2710" s="67"/>
      <c r="M2710" s="67"/>
      <c r="N2710" s="72"/>
      <c r="O2710" s="72"/>
      <c r="P2710" s="67"/>
      <c r="Q2710" s="67"/>
      <c r="R2710" s="67"/>
      <c r="S2710" s="67"/>
      <c r="T2710" s="32"/>
      <c r="U2710" s="32"/>
      <c r="X2710" s="32"/>
      <c r="Y2710" s="32"/>
      <c r="Z2710" s="32"/>
      <c r="AA2710" s="32"/>
      <c r="AB2710" s="32"/>
    </row>
    <row r="2711" spans="2:28" ht="23.25" customHeight="1" x14ac:dyDescent="0.2">
      <c r="B2711" s="75"/>
      <c r="C2711" s="67"/>
      <c r="D2711" s="75"/>
      <c r="E2711" s="67"/>
      <c r="F2711" s="67"/>
      <c r="G2711" s="70"/>
      <c r="H2711" s="70"/>
      <c r="I2711" s="70"/>
      <c r="J2711" s="70"/>
      <c r="K2711" s="70"/>
      <c r="L2711" s="67"/>
      <c r="M2711" s="67"/>
      <c r="N2711" s="72"/>
      <c r="O2711" s="72"/>
      <c r="P2711" s="67"/>
      <c r="Q2711" s="67"/>
      <c r="R2711" s="67"/>
      <c r="S2711" s="67"/>
      <c r="T2711" s="32"/>
      <c r="U2711" s="32"/>
      <c r="X2711" s="32"/>
      <c r="Y2711" s="32"/>
      <c r="Z2711" s="32"/>
      <c r="AA2711" s="32"/>
      <c r="AB2711" s="32"/>
    </row>
    <row r="2712" spans="2:28" ht="23.25" customHeight="1" x14ac:dyDescent="0.2">
      <c r="B2712" s="75"/>
      <c r="C2712" s="67"/>
      <c r="D2712" s="75"/>
      <c r="E2712" s="67"/>
      <c r="F2712" s="67"/>
      <c r="G2712" s="70"/>
      <c r="H2712" s="70"/>
      <c r="I2712" s="70"/>
      <c r="J2712" s="70"/>
      <c r="K2712" s="70"/>
      <c r="L2712" s="67"/>
      <c r="M2712" s="67"/>
      <c r="N2712" s="72"/>
      <c r="O2712" s="72"/>
      <c r="P2712" s="67"/>
      <c r="Q2712" s="67"/>
      <c r="R2712" s="67"/>
      <c r="S2712" s="67"/>
      <c r="T2712" s="32"/>
      <c r="U2712" s="32"/>
      <c r="X2712" s="32"/>
      <c r="Y2712" s="32"/>
      <c r="Z2712" s="32"/>
      <c r="AA2712" s="32"/>
      <c r="AB2712" s="32"/>
    </row>
    <row r="2713" spans="2:28" ht="23.25" customHeight="1" x14ac:dyDescent="0.2">
      <c r="B2713" s="75"/>
      <c r="C2713" s="67"/>
      <c r="D2713" s="75"/>
      <c r="E2713" s="67"/>
      <c r="F2713" s="67"/>
      <c r="G2713" s="70"/>
      <c r="H2713" s="70"/>
      <c r="I2713" s="70"/>
      <c r="J2713" s="70"/>
      <c r="K2713" s="70"/>
      <c r="L2713" s="67"/>
      <c r="M2713" s="67"/>
      <c r="N2713" s="72"/>
      <c r="O2713" s="72"/>
      <c r="P2713" s="67"/>
      <c r="Q2713" s="67"/>
      <c r="R2713" s="67"/>
      <c r="S2713" s="67"/>
      <c r="T2713" s="32"/>
      <c r="U2713" s="32"/>
      <c r="X2713" s="32"/>
      <c r="Y2713" s="32"/>
      <c r="Z2713" s="32"/>
      <c r="AA2713" s="32"/>
      <c r="AB2713" s="32"/>
    </row>
    <row r="2714" spans="2:28" ht="23.25" customHeight="1" x14ac:dyDescent="0.2">
      <c r="B2714" s="75"/>
      <c r="C2714" s="67"/>
      <c r="D2714" s="75"/>
      <c r="E2714" s="67"/>
      <c r="F2714" s="67"/>
      <c r="G2714" s="70"/>
      <c r="H2714" s="70"/>
      <c r="I2714" s="70"/>
      <c r="J2714" s="70"/>
      <c r="K2714" s="70"/>
      <c r="L2714" s="67"/>
      <c r="M2714" s="67"/>
      <c r="N2714" s="72"/>
      <c r="O2714" s="72"/>
      <c r="P2714" s="67"/>
      <c r="Q2714" s="67"/>
      <c r="R2714" s="67"/>
      <c r="S2714" s="67"/>
      <c r="T2714" s="32"/>
      <c r="U2714" s="32"/>
      <c r="X2714" s="32"/>
      <c r="Y2714" s="32"/>
      <c r="Z2714" s="32"/>
      <c r="AA2714" s="32"/>
      <c r="AB2714" s="32"/>
    </row>
    <row r="2715" spans="2:28" ht="23.25" customHeight="1" x14ac:dyDescent="0.2">
      <c r="B2715" s="75"/>
      <c r="C2715" s="67"/>
      <c r="D2715" s="75"/>
      <c r="E2715" s="67"/>
      <c r="F2715" s="67"/>
      <c r="G2715" s="70"/>
      <c r="H2715" s="70"/>
      <c r="I2715" s="70"/>
      <c r="J2715" s="70"/>
      <c r="K2715" s="70"/>
      <c r="L2715" s="67"/>
      <c r="M2715" s="67"/>
      <c r="N2715" s="72"/>
      <c r="O2715" s="72"/>
      <c r="P2715" s="67"/>
      <c r="Q2715" s="67"/>
      <c r="R2715" s="67"/>
      <c r="S2715" s="67"/>
      <c r="T2715" s="32"/>
      <c r="U2715" s="32"/>
      <c r="X2715" s="32"/>
      <c r="Y2715" s="32"/>
      <c r="Z2715" s="32"/>
      <c r="AA2715" s="32"/>
      <c r="AB2715" s="32"/>
    </row>
    <row r="2716" spans="2:28" ht="23.25" customHeight="1" x14ac:dyDescent="0.2">
      <c r="B2716" s="75"/>
      <c r="C2716" s="67"/>
      <c r="D2716" s="75"/>
      <c r="E2716" s="67"/>
      <c r="F2716" s="67"/>
      <c r="G2716" s="70"/>
      <c r="H2716" s="70"/>
      <c r="I2716" s="70"/>
      <c r="J2716" s="70"/>
      <c r="K2716" s="70"/>
      <c r="L2716" s="67"/>
      <c r="M2716" s="67"/>
      <c r="N2716" s="72"/>
      <c r="O2716" s="72"/>
      <c r="P2716" s="67"/>
      <c r="Q2716" s="67"/>
      <c r="R2716" s="67"/>
      <c r="S2716" s="67"/>
      <c r="T2716" s="32"/>
      <c r="U2716" s="32"/>
      <c r="X2716" s="32"/>
      <c r="Y2716" s="32"/>
      <c r="Z2716" s="32"/>
      <c r="AA2716" s="32"/>
      <c r="AB2716" s="32"/>
    </row>
    <row r="2717" spans="2:28" ht="23.25" customHeight="1" x14ac:dyDescent="0.2">
      <c r="B2717" s="75"/>
      <c r="C2717" s="67"/>
      <c r="D2717" s="75"/>
      <c r="E2717" s="67"/>
      <c r="F2717" s="67"/>
      <c r="G2717" s="70"/>
      <c r="H2717" s="70"/>
      <c r="I2717" s="70"/>
      <c r="J2717" s="70"/>
      <c r="K2717" s="70"/>
      <c r="L2717" s="67"/>
      <c r="M2717" s="67"/>
      <c r="N2717" s="72"/>
      <c r="O2717" s="72"/>
      <c r="P2717" s="67"/>
      <c r="Q2717" s="67"/>
      <c r="R2717" s="67"/>
      <c r="S2717" s="67"/>
      <c r="T2717" s="32"/>
      <c r="U2717" s="32"/>
      <c r="X2717" s="32"/>
      <c r="Y2717" s="32"/>
      <c r="Z2717" s="32"/>
      <c r="AA2717" s="32"/>
      <c r="AB2717" s="32"/>
    </row>
    <row r="2718" spans="2:28" ht="23.25" customHeight="1" x14ac:dyDescent="0.2">
      <c r="B2718" s="75"/>
      <c r="C2718" s="67"/>
      <c r="D2718" s="75"/>
      <c r="E2718" s="67"/>
      <c r="F2718" s="67"/>
      <c r="G2718" s="70"/>
      <c r="H2718" s="70"/>
      <c r="I2718" s="70"/>
      <c r="J2718" s="70"/>
      <c r="K2718" s="70"/>
      <c r="L2718" s="67"/>
      <c r="M2718" s="67"/>
      <c r="N2718" s="72"/>
      <c r="O2718" s="72"/>
      <c r="P2718" s="67"/>
      <c r="Q2718" s="67"/>
      <c r="R2718" s="67"/>
      <c r="S2718" s="67"/>
      <c r="T2718" s="32"/>
      <c r="U2718" s="32"/>
      <c r="X2718" s="32"/>
      <c r="Y2718" s="32"/>
      <c r="Z2718" s="32"/>
      <c r="AA2718" s="32"/>
      <c r="AB2718" s="32"/>
    </row>
    <row r="2719" spans="2:28" ht="23.25" customHeight="1" x14ac:dyDescent="0.2">
      <c r="B2719" s="75"/>
      <c r="C2719" s="67"/>
      <c r="D2719" s="75"/>
      <c r="E2719" s="67"/>
      <c r="F2719" s="67"/>
      <c r="G2719" s="70"/>
      <c r="H2719" s="70"/>
      <c r="I2719" s="70"/>
      <c r="J2719" s="70"/>
      <c r="K2719" s="70"/>
      <c r="L2719" s="67"/>
      <c r="M2719" s="67"/>
      <c r="N2719" s="72"/>
      <c r="O2719" s="72"/>
      <c r="P2719" s="67"/>
      <c r="Q2719" s="67"/>
      <c r="R2719" s="67"/>
      <c r="S2719" s="67"/>
      <c r="T2719" s="32"/>
      <c r="U2719" s="32"/>
      <c r="X2719" s="32"/>
      <c r="Y2719" s="32"/>
      <c r="Z2719" s="32"/>
      <c r="AA2719" s="32"/>
      <c r="AB2719" s="32"/>
    </row>
    <row r="2720" spans="2:28" ht="23.25" customHeight="1" x14ac:dyDescent="0.2">
      <c r="B2720" s="75"/>
      <c r="C2720" s="67"/>
      <c r="D2720" s="75"/>
      <c r="E2720" s="67"/>
      <c r="F2720" s="67"/>
      <c r="G2720" s="70"/>
      <c r="H2720" s="70"/>
      <c r="I2720" s="70"/>
      <c r="J2720" s="70"/>
      <c r="K2720" s="70"/>
      <c r="L2720" s="67"/>
      <c r="M2720" s="67"/>
      <c r="N2720" s="72"/>
      <c r="O2720" s="72"/>
      <c r="P2720" s="67"/>
      <c r="Q2720" s="67"/>
      <c r="R2720" s="67"/>
      <c r="S2720" s="67"/>
      <c r="T2720" s="32"/>
      <c r="U2720" s="32"/>
      <c r="X2720" s="32"/>
      <c r="Y2720" s="32"/>
      <c r="Z2720" s="32"/>
      <c r="AA2720" s="32"/>
      <c r="AB2720" s="32"/>
    </row>
    <row r="2721" spans="2:28" ht="23.25" customHeight="1" x14ac:dyDescent="0.2">
      <c r="B2721" s="75"/>
      <c r="C2721" s="67"/>
      <c r="D2721" s="75"/>
      <c r="E2721" s="67"/>
      <c r="F2721" s="67"/>
      <c r="G2721" s="70"/>
      <c r="H2721" s="70"/>
      <c r="I2721" s="70"/>
      <c r="J2721" s="70"/>
      <c r="K2721" s="70"/>
      <c r="L2721" s="67"/>
      <c r="M2721" s="67"/>
      <c r="N2721" s="72"/>
      <c r="O2721" s="72"/>
      <c r="P2721" s="67"/>
      <c r="Q2721" s="67"/>
      <c r="R2721" s="67"/>
      <c r="S2721" s="67"/>
      <c r="T2721" s="32"/>
      <c r="U2721" s="32"/>
      <c r="X2721" s="32"/>
      <c r="Y2721" s="32"/>
      <c r="Z2721" s="32"/>
      <c r="AA2721" s="32"/>
      <c r="AB2721" s="32"/>
    </row>
    <row r="2722" spans="2:28" ht="23.25" customHeight="1" x14ac:dyDescent="0.2">
      <c r="B2722" s="75"/>
      <c r="C2722" s="67"/>
      <c r="D2722" s="75"/>
      <c r="E2722" s="67"/>
      <c r="F2722" s="67"/>
      <c r="G2722" s="70"/>
      <c r="H2722" s="70"/>
      <c r="I2722" s="70"/>
      <c r="J2722" s="70"/>
      <c r="K2722" s="70"/>
      <c r="L2722" s="67"/>
      <c r="M2722" s="67"/>
      <c r="N2722" s="72"/>
      <c r="O2722" s="72"/>
      <c r="P2722" s="67"/>
      <c r="Q2722" s="67"/>
      <c r="R2722" s="67"/>
      <c r="S2722" s="67"/>
      <c r="T2722" s="32"/>
      <c r="U2722" s="32"/>
      <c r="X2722" s="32"/>
      <c r="Y2722" s="32"/>
      <c r="Z2722" s="32"/>
      <c r="AA2722" s="32"/>
      <c r="AB2722" s="32"/>
    </row>
    <row r="2723" spans="2:28" ht="23.25" customHeight="1" x14ac:dyDescent="0.2">
      <c r="B2723" s="75"/>
      <c r="C2723" s="67"/>
      <c r="D2723" s="75"/>
      <c r="E2723" s="67"/>
      <c r="F2723" s="67"/>
      <c r="G2723" s="70"/>
      <c r="H2723" s="70"/>
      <c r="I2723" s="70"/>
      <c r="J2723" s="70"/>
      <c r="K2723" s="70"/>
      <c r="L2723" s="67"/>
      <c r="M2723" s="67"/>
      <c r="N2723" s="72"/>
      <c r="O2723" s="72"/>
      <c r="P2723" s="67"/>
      <c r="Q2723" s="67"/>
      <c r="R2723" s="67"/>
      <c r="S2723" s="67"/>
      <c r="T2723" s="32"/>
      <c r="U2723" s="32"/>
      <c r="X2723" s="32"/>
      <c r="Y2723" s="32"/>
      <c r="Z2723" s="32"/>
      <c r="AA2723" s="32"/>
      <c r="AB2723" s="32"/>
    </row>
    <row r="2724" spans="2:28" ht="23.25" customHeight="1" x14ac:dyDescent="0.2">
      <c r="B2724" s="75"/>
      <c r="C2724" s="67"/>
      <c r="D2724" s="75"/>
      <c r="E2724" s="67"/>
      <c r="F2724" s="67"/>
      <c r="G2724" s="70"/>
      <c r="H2724" s="70"/>
      <c r="I2724" s="70"/>
      <c r="J2724" s="70"/>
      <c r="K2724" s="70"/>
      <c r="L2724" s="67"/>
      <c r="M2724" s="67"/>
      <c r="N2724" s="72"/>
      <c r="O2724" s="72"/>
      <c r="P2724" s="67"/>
      <c r="Q2724" s="67"/>
      <c r="R2724" s="67"/>
      <c r="S2724" s="67"/>
      <c r="T2724" s="32"/>
      <c r="U2724" s="32"/>
      <c r="X2724" s="32"/>
      <c r="Y2724" s="32"/>
      <c r="Z2724" s="32"/>
      <c r="AA2724" s="32"/>
      <c r="AB2724" s="32"/>
    </row>
    <row r="2725" spans="2:28" ht="23.25" customHeight="1" x14ac:dyDescent="0.2">
      <c r="B2725" s="75"/>
      <c r="C2725" s="67"/>
      <c r="D2725" s="75"/>
      <c r="E2725" s="67"/>
      <c r="F2725" s="67"/>
      <c r="G2725" s="70"/>
      <c r="H2725" s="70"/>
      <c r="I2725" s="70"/>
      <c r="J2725" s="70"/>
      <c r="K2725" s="70"/>
      <c r="L2725" s="67"/>
      <c r="M2725" s="67"/>
      <c r="N2725" s="72"/>
      <c r="O2725" s="72"/>
      <c r="P2725" s="67"/>
      <c r="Q2725" s="67"/>
      <c r="R2725" s="67"/>
      <c r="S2725" s="67"/>
      <c r="T2725" s="32"/>
      <c r="U2725" s="32"/>
      <c r="X2725" s="32"/>
      <c r="Y2725" s="32"/>
      <c r="Z2725" s="32"/>
      <c r="AA2725" s="32"/>
      <c r="AB2725" s="32"/>
    </row>
    <row r="2726" spans="2:28" ht="23.25" customHeight="1" x14ac:dyDescent="0.2">
      <c r="B2726" s="75"/>
      <c r="C2726" s="67"/>
      <c r="D2726" s="75"/>
      <c r="E2726" s="67"/>
      <c r="F2726" s="67"/>
      <c r="G2726" s="70"/>
      <c r="H2726" s="70"/>
      <c r="I2726" s="70"/>
      <c r="J2726" s="70"/>
      <c r="K2726" s="70"/>
      <c r="L2726" s="67"/>
      <c r="M2726" s="67"/>
      <c r="N2726" s="72"/>
      <c r="O2726" s="72"/>
      <c r="P2726" s="67"/>
      <c r="Q2726" s="67"/>
      <c r="R2726" s="67"/>
      <c r="S2726" s="67"/>
      <c r="T2726" s="32"/>
      <c r="U2726" s="32"/>
      <c r="X2726" s="32"/>
      <c r="Y2726" s="32"/>
      <c r="Z2726" s="32"/>
      <c r="AA2726" s="32"/>
      <c r="AB2726" s="32"/>
    </row>
    <row r="2727" spans="2:28" ht="23.25" customHeight="1" x14ac:dyDescent="0.2">
      <c r="B2727" s="75"/>
      <c r="C2727" s="67"/>
      <c r="D2727" s="75"/>
      <c r="E2727" s="67"/>
      <c r="F2727" s="67"/>
      <c r="G2727" s="70"/>
      <c r="H2727" s="70"/>
      <c r="I2727" s="70"/>
      <c r="J2727" s="70"/>
      <c r="K2727" s="70"/>
      <c r="L2727" s="67"/>
      <c r="M2727" s="67"/>
      <c r="N2727" s="72"/>
      <c r="O2727" s="72"/>
      <c r="P2727" s="67"/>
      <c r="Q2727" s="67"/>
      <c r="R2727" s="67"/>
      <c r="S2727" s="67"/>
      <c r="T2727" s="32"/>
      <c r="U2727" s="32"/>
      <c r="X2727" s="32"/>
      <c r="Y2727" s="32"/>
      <c r="Z2727" s="32"/>
      <c r="AA2727" s="32"/>
      <c r="AB2727" s="32"/>
    </row>
    <row r="2728" spans="2:28" ht="23.25" customHeight="1" x14ac:dyDescent="0.2">
      <c r="B2728" s="75"/>
      <c r="C2728" s="67"/>
      <c r="D2728" s="75"/>
      <c r="E2728" s="67"/>
      <c r="F2728" s="67"/>
      <c r="G2728" s="70"/>
      <c r="H2728" s="70"/>
      <c r="I2728" s="70"/>
      <c r="J2728" s="70"/>
      <c r="K2728" s="70"/>
      <c r="L2728" s="67"/>
      <c r="M2728" s="67"/>
      <c r="N2728" s="72"/>
      <c r="O2728" s="72"/>
      <c r="P2728" s="67"/>
      <c r="Q2728" s="67"/>
      <c r="R2728" s="67"/>
      <c r="S2728" s="67"/>
      <c r="T2728" s="32"/>
      <c r="U2728" s="32"/>
      <c r="X2728" s="32"/>
      <c r="Y2728" s="32"/>
      <c r="Z2728" s="32"/>
      <c r="AA2728" s="32"/>
      <c r="AB2728" s="32"/>
    </row>
    <row r="2729" spans="2:28" ht="23.25" customHeight="1" x14ac:dyDescent="0.2">
      <c r="B2729" s="75"/>
      <c r="C2729" s="67"/>
      <c r="D2729" s="75"/>
      <c r="E2729" s="67"/>
      <c r="F2729" s="67"/>
      <c r="G2729" s="70"/>
      <c r="H2729" s="70"/>
      <c r="I2729" s="70"/>
      <c r="J2729" s="70"/>
      <c r="K2729" s="70"/>
      <c r="L2729" s="67"/>
      <c r="M2729" s="67"/>
      <c r="N2729" s="72"/>
      <c r="O2729" s="72"/>
      <c r="P2729" s="67"/>
      <c r="Q2729" s="67"/>
      <c r="R2729" s="67"/>
      <c r="S2729" s="67"/>
      <c r="T2729" s="32"/>
      <c r="U2729" s="32"/>
      <c r="X2729" s="32"/>
      <c r="Y2729" s="32"/>
      <c r="Z2729" s="32"/>
      <c r="AA2729" s="32"/>
      <c r="AB2729" s="32"/>
    </row>
    <row r="2730" spans="2:28" ht="23.25" customHeight="1" x14ac:dyDescent="0.2">
      <c r="B2730" s="75"/>
      <c r="C2730" s="67"/>
      <c r="D2730" s="75"/>
      <c r="E2730" s="67"/>
      <c r="F2730" s="67"/>
      <c r="G2730" s="70"/>
      <c r="H2730" s="70"/>
      <c r="I2730" s="70"/>
      <c r="J2730" s="70"/>
      <c r="K2730" s="70"/>
      <c r="L2730" s="67"/>
      <c r="M2730" s="67"/>
      <c r="N2730" s="72"/>
      <c r="O2730" s="72"/>
      <c r="P2730" s="67"/>
      <c r="Q2730" s="67"/>
      <c r="R2730" s="67"/>
      <c r="S2730" s="67"/>
      <c r="T2730" s="32"/>
      <c r="U2730" s="32"/>
      <c r="X2730" s="32"/>
      <c r="Y2730" s="32"/>
      <c r="Z2730" s="32"/>
      <c r="AA2730" s="32"/>
      <c r="AB2730" s="32"/>
    </row>
    <row r="2731" spans="2:28" ht="23.25" customHeight="1" x14ac:dyDescent="0.2">
      <c r="B2731" s="75"/>
      <c r="C2731" s="67"/>
      <c r="D2731" s="75"/>
      <c r="E2731" s="67"/>
      <c r="F2731" s="67"/>
      <c r="G2731" s="70"/>
      <c r="H2731" s="70"/>
      <c r="I2731" s="70"/>
      <c r="J2731" s="70"/>
      <c r="K2731" s="70"/>
      <c r="L2731" s="67"/>
      <c r="M2731" s="67"/>
      <c r="N2731" s="72"/>
      <c r="O2731" s="72"/>
      <c r="P2731" s="67"/>
      <c r="Q2731" s="67"/>
      <c r="R2731" s="67"/>
      <c r="S2731" s="67"/>
      <c r="T2731" s="32"/>
      <c r="U2731" s="32"/>
      <c r="X2731" s="32"/>
      <c r="Y2731" s="32"/>
      <c r="Z2731" s="32"/>
      <c r="AA2731" s="32"/>
      <c r="AB2731" s="32"/>
    </row>
    <row r="2732" spans="2:28" ht="23.25" customHeight="1" x14ac:dyDescent="0.2">
      <c r="B2732" s="75"/>
      <c r="C2732" s="67"/>
      <c r="D2732" s="75"/>
      <c r="E2732" s="67"/>
      <c r="F2732" s="67"/>
      <c r="G2732" s="70"/>
      <c r="H2732" s="70"/>
      <c r="I2732" s="70"/>
      <c r="J2732" s="70"/>
      <c r="K2732" s="70"/>
      <c r="L2732" s="67"/>
      <c r="M2732" s="67"/>
      <c r="N2732" s="72"/>
      <c r="O2732" s="72"/>
      <c r="P2732" s="67"/>
      <c r="Q2732" s="67"/>
      <c r="R2732" s="67"/>
      <c r="S2732" s="67"/>
      <c r="T2732" s="32"/>
      <c r="U2732" s="32"/>
      <c r="X2732" s="32"/>
      <c r="Y2732" s="32"/>
      <c r="Z2732" s="32"/>
      <c r="AA2732" s="32"/>
      <c r="AB2732" s="32"/>
    </row>
    <row r="2733" spans="2:28" ht="23.25" customHeight="1" x14ac:dyDescent="0.2">
      <c r="B2733" s="75"/>
      <c r="C2733" s="67"/>
      <c r="D2733" s="75"/>
      <c r="E2733" s="67"/>
      <c r="F2733" s="67"/>
      <c r="G2733" s="70"/>
      <c r="H2733" s="70"/>
      <c r="I2733" s="70"/>
      <c r="J2733" s="70"/>
      <c r="K2733" s="70"/>
      <c r="L2733" s="67"/>
      <c r="M2733" s="67"/>
      <c r="N2733" s="72"/>
      <c r="O2733" s="72"/>
      <c r="P2733" s="67"/>
      <c r="Q2733" s="67"/>
      <c r="R2733" s="67"/>
      <c r="S2733" s="67"/>
      <c r="T2733" s="32"/>
      <c r="U2733" s="32"/>
      <c r="X2733" s="32"/>
      <c r="Y2733" s="32"/>
      <c r="Z2733" s="32"/>
      <c r="AA2733" s="32"/>
      <c r="AB2733" s="32"/>
    </row>
    <row r="2734" spans="2:28" ht="23.25" customHeight="1" x14ac:dyDescent="0.2">
      <c r="B2734" s="75"/>
      <c r="C2734" s="67"/>
      <c r="D2734" s="75"/>
      <c r="E2734" s="67"/>
      <c r="F2734" s="67"/>
      <c r="G2734" s="70"/>
      <c r="H2734" s="70"/>
      <c r="I2734" s="70"/>
      <c r="J2734" s="70"/>
      <c r="K2734" s="70"/>
      <c r="L2734" s="67"/>
      <c r="M2734" s="67"/>
      <c r="N2734" s="72"/>
      <c r="O2734" s="72"/>
      <c r="P2734" s="67"/>
      <c r="Q2734" s="67"/>
      <c r="R2734" s="67"/>
      <c r="S2734" s="67"/>
      <c r="T2734" s="32"/>
      <c r="U2734" s="32"/>
      <c r="X2734" s="32"/>
      <c r="Y2734" s="32"/>
      <c r="Z2734" s="32"/>
      <c r="AA2734" s="32"/>
      <c r="AB2734" s="32"/>
    </row>
    <row r="2735" spans="2:28" ht="23.25" customHeight="1" x14ac:dyDescent="0.2">
      <c r="B2735" s="75"/>
      <c r="C2735" s="67"/>
      <c r="D2735" s="75"/>
      <c r="E2735" s="67"/>
      <c r="F2735" s="67"/>
      <c r="G2735" s="70"/>
      <c r="H2735" s="70"/>
      <c r="I2735" s="70"/>
      <c r="J2735" s="70"/>
      <c r="K2735" s="70"/>
      <c r="L2735" s="67"/>
      <c r="M2735" s="67"/>
      <c r="N2735" s="72"/>
      <c r="O2735" s="72"/>
      <c r="P2735" s="67"/>
      <c r="Q2735" s="67"/>
      <c r="R2735" s="67"/>
      <c r="S2735" s="67"/>
      <c r="T2735" s="32"/>
      <c r="U2735" s="32"/>
      <c r="X2735" s="32"/>
      <c r="Y2735" s="32"/>
      <c r="Z2735" s="32"/>
      <c r="AA2735" s="32"/>
      <c r="AB2735" s="32"/>
    </row>
    <row r="2736" spans="2:28" ht="23.25" customHeight="1" x14ac:dyDescent="0.2">
      <c r="B2736" s="75"/>
      <c r="C2736" s="67"/>
      <c r="D2736" s="75"/>
      <c r="E2736" s="67"/>
      <c r="F2736" s="67"/>
      <c r="G2736" s="70"/>
      <c r="H2736" s="70"/>
      <c r="I2736" s="70"/>
      <c r="J2736" s="70"/>
      <c r="K2736" s="70"/>
      <c r="L2736" s="67"/>
      <c r="M2736" s="67"/>
      <c r="N2736" s="72"/>
      <c r="O2736" s="72"/>
      <c r="P2736" s="67"/>
      <c r="Q2736" s="67"/>
      <c r="R2736" s="67"/>
      <c r="S2736" s="67"/>
      <c r="T2736" s="32"/>
      <c r="U2736" s="32"/>
      <c r="X2736" s="32"/>
      <c r="Y2736" s="32"/>
      <c r="Z2736" s="32"/>
      <c r="AA2736" s="32"/>
      <c r="AB2736" s="32"/>
    </row>
    <row r="2737" spans="2:28" ht="23.25" customHeight="1" x14ac:dyDescent="0.2">
      <c r="B2737" s="75"/>
      <c r="C2737" s="67"/>
      <c r="D2737" s="75"/>
      <c r="E2737" s="67"/>
      <c r="F2737" s="67"/>
      <c r="G2737" s="70"/>
      <c r="H2737" s="70"/>
      <c r="I2737" s="70"/>
      <c r="J2737" s="70"/>
      <c r="K2737" s="70"/>
      <c r="L2737" s="67"/>
      <c r="M2737" s="67"/>
      <c r="N2737" s="72"/>
      <c r="O2737" s="72"/>
      <c r="P2737" s="67"/>
      <c r="Q2737" s="67"/>
      <c r="R2737" s="67"/>
      <c r="S2737" s="67"/>
      <c r="T2737" s="32"/>
      <c r="U2737" s="32"/>
      <c r="X2737" s="32"/>
      <c r="Y2737" s="32"/>
      <c r="Z2737" s="32"/>
      <c r="AA2737" s="32"/>
      <c r="AB2737" s="32"/>
    </row>
    <row r="2738" spans="2:28" ht="23.25" customHeight="1" x14ac:dyDescent="0.2">
      <c r="B2738" s="75"/>
      <c r="C2738" s="67"/>
      <c r="D2738" s="75"/>
      <c r="E2738" s="67"/>
      <c r="F2738" s="67"/>
      <c r="G2738" s="70"/>
      <c r="H2738" s="70"/>
      <c r="I2738" s="70"/>
      <c r="J2738" s="70"/>
      <c r="K2738" s="70"/>
      <c r="L2738" s="67"/>
      <c r="M2738" s="67"/>
      <c r="N2738" s="72"/>
      <c r="O2738" s="72"/>
      <c r="P2738" s="67"/>
      <c r="Q2738" s="67"/>
      <c r="R2738" s="67"/>
      <c r="S2738" s="67"/>
      <c r="T2738" s="32"/>
      <c r="U2738" s="32"/>
      <c r="X2738" s="32"/>
      <c r="Y2738" s="32"/>
      <c r="Z2738" s="32"/>
      <c r="AA2738" s="32"/>
      <c r="AB2738" s="32"/>
    </row>
    <row r="2739" spans="2:28" ht="23.25" customHeight="1" x14ac:dyDescent="0.2">
      <c r="B2739" s="75"/>
      <c r="C2739" s="67"/>
      <c r="D2739" s="75"/>
      <c r="E2739" s="67"/>
      <c r="F2739" s="67"/>
      <c r="G2739" s="70"/>
      <c r="H2739" s="70"/>
      <c r="I2739" s="70"/>
      <c r="J2739" s="70"/>
      <c r="K2739" s="70"/>
      <c r="L2739" s="67"/>
      <c r="M2739" s="67"/>
      <c r="N2739" s="72"/>
      <c r="O2739" s="72"/>
      <c r="P2739" s="67"/>
      <c r="Q2739" s="67"/>
      <c r="R2739" s="67"/>
      <c r="S2739" s="67"/>
      <c r="T2739" s="32"/>
      <c r="U2739" s="32"/>
      <c r="X2739" s="32"/>
      <c r="Y2739" s="32"/>
      <c r="Z2739" s="32"/>
      <c r="AA2739" s="32"/>
      <c r="AB2739" s="32"/>
    </row>
    <row r="2740" spans="2:28" ht="23.25" customHeight="1" x14ac:dyDescent="0.2">
      <c r="B2740" s="75"/>
      <c r="C2740" s="67"/>
      <c r="D2740" s="75"/>
      <c r="E2740" s="67"/>
      <c r="F2740" s="67"/>
      <c r="G2740" s="70"/>
      <c r="H2740" s="70"/>
      <c r="I2740" s="70"/>
      <c r="J2740" s="70"/>
      <c r="K2740" s="70"/>
      <c r="L2740" s="67"/>
      <c r="M2740" s="67"/>
      <c r="N2740" s="72"/>
      <c r="O2740" s="72"/>
      <c r="P2740" s="67"/>
      <c r="Q2740" s="67"/>
      <c r="R2740" s="67"/>
      <c r="S2740" s="67"/>
      <c r="T2740" s="32"/>
      <c r="U2740" s="32"/>
      <c r="X2740" s="32"/>
      <c r="Y2740" s="32"/>
      <c r="Z2740" s="32"/>
      <c r="AA2740" s="32"/>
      <c r="AB2740" s="32"/>
    </row>
    <row r="2741" spans="2:28" ht="23.25" customHeight="1" x14ac:dyDescent="0.2">
      <c r="B2741" s="75"/>
      <c r="C2741" s="67"/>
      <c r="D2741" s="75"/>
      <c r="E2741" s="67"/>
      <c r="F2741" s="67"/>
      <c r="G2741" s="70"/>
      <c r="H2741" s="70"/>
      <c r="I2741" s="70"/>
      <c r="J2741" s="70"/>
      <c r="K2741" s="70"/>
      <c r="L2741" s="67"/>
      <c r="M2741" s="67"/>
      <c r="N2741" s="72"/>
      <c r="O2741" s="72"/>
      <c r="P2741" s="67"/>
      <c r="Q2741" s="67"/>
      <c r="R2741" s="67"/>
      <c r="S2741" s="67"/>
      <c r="T2741" s="32"/>
      <c r="U2741" s="32"/>
      <c r="X2741" s="32"/>
      <c r="Y2741" s="32"/>
      <c r="Z2741" s="32"/>
      <c r="AA2741" s="32"/>
      <c r="AB2741" s="32"/>
    </row>
    <row r="2742" spans="2:28" ht="23.25" customHeight="1" x14ac:dyDescent="0.2">
      <c r="B2742" s="75"/>
      <c r="C2742" s="67"/>
      <c r="D2742" s="75"/>
      <c r="E2742" s="67"/>
      <c r="F2742" s="67"/>
      <c r="G2742" s="70"/>
      <c r="H2742" s="70"/>
      <c r="I2742" s="70"/>
      <c r="J2742" s="70"/>
      <c r="K2742" s="70"/>
      <c r="L2742" s="67"/>
      <c r="M2742" s="67"/>
      <c r="N2742" s="72"/>
      <c r="O2742" s="72"/>
      <c r="P2742" s="67"/>
      <c r="Q2742" s="67"/>
      <c r="R2742" s="67"/>
      <c r="S2742" s="67"/>
      <c r="T2742" s="32"/>
      <c r="U2742" s="32"/>
      <c r="X2742" s="32"/>
      <c r="Y2742" s="32"/>
      <c r="Z2742" s="32"/>
      <c r="AA2742" s="32"/>
      <c r="AB2742" s="32"/>
    </row>
    <row r="2743" spans="2:28" ht="23.25" customHeight="1" x14ac:dyDescent="0.2">
      <c r="B2743" s="75"/>
      <c r="C2743" s="67"/>
      <c r="D2743" s="75"/>
      <c r="E2743" s="67"/>
      <c r="F2743" s="67"/>
      <c r="G2743" s="70"/>
      <c r="H2743" s="70"/>
      <c r="I2743" s="70"/>
      <c r="J2743" s="70"/>
      <c r="K2743" s="70"/>
      <c r="L2743" s="67"/>
      <c r="M2743" s="67"/>
      <c r="N2743" s="72"/>
      <c r="O2743" s="72"/>
      <c r="P2743" s="67"/>
      <c r="Q2743" s="67"/>
      <c r="R2743" s="67"/>
      <c r="S2743" s="67"/>
      <c r="T2743" s="32"/>
      <c r="U2743" s="32"/>
      <c r="X2743" s="32"/>
      <c r="Y2743" s="32"/>
      <c r="Z2743" s="32"/>
      <c r="AA2743" s="32"/>
      <c r="AB2743" s="32"/>
    </row>
    <row r="2744" spans="2:28" ht="23.25" customHeight="1" x14ac:dyDescent="0.2">
      <c r="B2744" s="75"/>
      <c r="C2744" s="67"/>
      <c r="D2744" s="75"/>
      <c r="E2744" s="67"/>
      <c r="F2744" s="67"/>
      <c r="G2744" s="70"/>
      <c r="H2744" s="70"/>
      <c r="I2744" s="70"/>
      <c r="J2744" s="70"/>
      <c r="K2744" s="70"/>
      <c r="L2744" s="67"/>
      <c r="M2744" s="67"/>
      <c r="N2744" s="72"/>
      <c r="O2744" s="72"/>
      <c r="P2744" s="67"/>
      <c r="Q2744" s="67"/>
      <c r="R2744" s="67"/>
      <c r="S2744" s="67"/>
      <c r="T2744" s="32"/>
      <c r="U2744" s="32"/>
      <c r="X2744" s="32"/>
      <c r="Y2744" s="32"/>
      <c r="Z2744" s="32"/>
      <c r="AA2744" s="32"/>
      <c r="AB2744" s="32"/>
    </row>
    <row r="2745" spans="2:28" ht="23.25" customHeight="1" x14ac:dyDescent="0.2">
      <c r="B2745" s="75"/>
      <c r="C2745" s="67"/>
      <c r="D2745" s="75"/>
      <c r="E2745" s="67"/>
      <c r="F2745" s="67"/>
      <c r="G2745" s="70"/>
      <c r="H2745" s="70"/>
      <c r="I2745" s="70"/>
      <c r="J2745" s="70"/>
      <c r="K2745" s="70"/>
      <c r="L2745" s="67"/>
      <c r="M2745" s="67"/>
      <c r="N2745" s="72"/>
      <c r="O2745" s="72"/>
      <c r="P2745" s="67"/>
      <c r="Q2745" s="67"/>
      <c r="R2745" s="67"/>
      <c r="S2745" s="67"/>
      <c r="T2745" s="32"/>
      <c r="U2745" s="32"/>
      <c r="X2745" s="32"/>
      <c r="Y2745" s="32"/>
      <c r="Z2745" s="32"/>
      <c r="AA2745" s="32"/>
      <c r="AB2745" s="32"/>
    </row>
    <row r="2746" spans="2:28" ht="23.25" customHeight="1" x14ac:dyDescent="0.2">
      <c r="B2746" s="75"/>
      <c r="C2746" s="67"/>
      <c r="D2746" s="75"/>
      <c r="E2746" s="67"/>
      <c r="F2746" s="67"/>
      <c r="G2746" s="70"/>
      <c r="H2746" s="70"/>
      <c r="I2746" s="70"/>
      <c r="J2746" s="70"/>
      <c r="K2746" s="70"/>
      <c r="L2746" s="67"/>
      <c r="M2746" s="67"/>
      <c r="N2746" s="72"/>
      <c r="O2746" s="72"/>
      <c r="P2746" s="67"/>
      <c r="Q2746" s="67"/>
      <c r="R2746" s="67"/>
      <c r="S2746" s="67"/>
      <c r="T2746" s="32"/>
      <c r="U2746" s="32"/>
      <c r="X2746" s="32"/>
      <c r="Y2746" s="32"/>
      <c r="Z2746" s="32"/>
      <c r="AA2746" s="32"/>
      <c r="AB2746" s="32"/>
    </row>
    <row r="2747" spans="2:28" ht="23.25" customHeight="1" x14ac:dyDescent="0.2">
      <c r="B2747" s="75"/>
      <c r="C2747" s="67"/>
      <c r="D2747" s="75"/>
      <c r="E2747" s="67"/>
      <c r="F2747" s="67"/>
      <c r="G2747" s="70"/>
      <c r="H2747" s="70"/>
      <c r="I2747" s="70"/>
      <c r="J2747" s="70"/>
      <c r="K2747" s="70"/>
      <c r="L2747" s="67"/>
      <c r="M2747" s="67"/>
      <c r="N2747" s="72"/>
      <c r="O2747" s="72"/>
      <c r="P2747" s="67"/>
      <c r="Q2747" s="67"/>
      <c r="R2747" s="67"/>
      <c r="S2747" s="67"/>
      <c r="T2747" s="32"/>
      <c r="U2747" s="32"/>
      <c r="X2747" s="32"/>
      <c r="Y2747" s="32"/>
      <c r="Z2747" s="32"/>
      <c r="AA2747" s="32"/>
      <c r="AB2747" s="32"/>
    </row>
    <row r="2748" spans="2:28" ht="23.25" customHeight="1" x14ac:dyDescent="0.2">
      <c r="B2748" s="75"/>
      <c r="C2748" s="67"/>
      <c r="D2748" s="75"/>
      <c r="E2748" s="67"/>
      <c r="F2748" s="67"/>
      <c r="G2748" s="70"/>
      <c r="H2748" s="70"/>
      <c r="I2748" s="70"/>
      <c r="J2748" s="70"/>
      <c r="K2748" s="70"/>
      <c r="L2748" s="67"/>
      <c r="M2748" s="67"/>
      <c r="N2748" s="72"/>
      <c r="O2748" s="72"/>
      <c r="P2748" s="67"/>
      <c r="Q2748" s="67"/>
      <c r="R2748" s="67"/>
      <c r="S2748" s="67"/>
      <c r="T2748" s="32"/>
      <c r="U2748" s="32"/>
      <c r="X2748" s="32"/>
      <c r="Y2748" s="32"/>
      <c r="Z2748" s="32"/>
      <c r="AA2748" s="32"/>
      <c r="AB2748" s="32"/>
    </row>
    <row r="2749" spans="2:28" ht="23.25" customHeight="1" x14ac:dyDescent="0.2">
      <c r="B2749" s="75"/>
      <c r="C2749" s="67"/>
      <c r="D2749" s="75"/>
      <c r="E2749" s="67"/>
      <c r="F2749" s="67"/>
      <c r="G2749" s="70"/>
      <c r="H2749" s="70"/>
      <c r="I2749" s="70"/>
      <c r="J2749" s="70"/>
      <c r="K2749" s="70"/>
      <c r="L2749" s="67"/>
      <c r="M2749" s="67"/>
      <c r="N2749" s="72"/>
      <c r="O2749" s="72"/>
      <c r="P2749" s="67"/>
      <c r="Q2749" s="67"/>
      <c r="R2749" s="67"/>
      <c r="S2749" s="67"/>
      <c r="T2749" s="32"/>
      <c r="U2749" s="32"/>
      <c r="X2749" s="32"/>
      <c r="Y2749" s="32"/>
      <c r="Z2749" s="32"/>
      <c r="AA2749" s="32"/>
      <c r="AB2749" s="32"/>
    </row>
    <row r="2750" spans="2:28" ht="23.25" customHeight="1" x14ac:dyDescent="0.2">
      <c r="B2750" s="75"/>
      <c r="C2750" s="67"/>
      <c r="D2750" s="75"/>
      <c r="E2750" s="67"/>
      <c r="F2750" s="67"/>
      <c r="G2750" s="70"/>
      <c r="H2750" s="70"/>
      <c r="I2750" s="70"/>
      <c r="J2750" s="70"/>
      <c r="K2750" s="70"/>
      <c r="L2750" s="67"/>
      <c r="M2750" s="67"/>
      <c r="N2750" s="72"/>
      <c r="O2750" s="72"/>
      <c r="P2750" s="67"/>
      <c r="Q2750" s="67"/>
      <c r="R2750" s="67"/>
      <c r="S2750" s="67"/>
      <c r="T2750" s="32"/>
      <c r="U2750" s="32"/>
      <c r="X2750" s="32"/>
      <c r="Y2750" s="32"/>
      <c r="Z2750" s="32"/>
      <c r="AA2750" s="32"/>
      <c r="AB2750" s="32"/>
    </row>
    <row r="2751" spans="2:28" ht="23.25" customHeight="1" x14ac:dyDescent="0.2">
      <c r="B2751" s="75"/>
      <c r="C2751" s="67"/>
      <c r="D2751" s="75"/>
      <c r="E2751" s="67"/>
      <c r="F2751" s="67"/>
      <c r="G2751" s="70"/>
      <c r="H2751" s="70"/>
      <c r="I2751" s="70"/>
      <c r="J2751" s="70"/>
      <c r="K2751" s="70"/>
      <c r="L2751" s="67"/>
      <c r="M2751" s="67"/>
      <c r="N2751" s="72"/>
      <c r="O2751" s="72"/>
      <c r="P2751" s="67"/>
      <c r="Q2751" s="67"/>
      <c r="R2751" s="67"/>
      <c r="S2751" s="67"/>
      <c r="T2751" s="32"/>
      <c r="U2751" s="32"/>
      <c r="X2751" s="32"/>
      <c r="Y2751" s="32"/>
      <c r="Z2751" s="32"/>
      <c r="AA2751" s="32"/>
      <c r="AB2751" s="32"/>
    </row>
    <row r="2752" spans="2:28" ht="23.25" customHeight="1" x14ac:dyDescent="0.2">
      <c r="B2752" s="75"/>
      <c r="C2752" s="67"/>
      <c r="D2752" s="75"/>
      <c r="E2752" s="67"/>
      <c r="F2752" s="67"/>
      <c r="G2752" s="70"/>
      <c r="H2752" s="70"/>
      <c r="I2752" s="70"/>
      <c r="J2752" s="70"/>
      <c r="K2752" s="70"/>
      <c r="L2752" s="67"/>
      <c r="M2752" s="67"/>
      <c r="N2752" s="72"/>
      <c r="O2752" s="72"/>
      <c r="P2752" s="67"/>
      <c r="Q2752" s="67"/>
      <c r="R2752" s="67"/>
      <c r="S2752" s="67"/>
      <c r="T2752" s="32"/>
      <c r="U2752" s="32"/>
      <c r="X2752" s="32"/>
      <c r="Y2752" s="32"/>
      <c r="Z2752" s="32"/>
      <c r="AA2752" s="32"/>
      <c r="AB2752" s="32"/>
    </row>
    <row r="2753" spans="2:28" ht="23.25" customHeight="1" x14ac:dyDescent="0.2">
      <c r="B2753" s="75"/>
      <c r="C2753" s="67"/>
      <c r="D2753" s="75"/>
      <c r="E2753" s="67"/>
      <c r="F2753" s="67"/>
      <c r="G2753" s="70"/>
      <c r="H2753" s="70"/>
      <c r="I2753" s="70"/>
      <c r="J2753" s="70"/>
      <c r="K2753" s="70"/>
      <c r="L2753" s="67"/>
      <c r="M2753" s="67"/>
      <c r="N2753" s="72"/>
      <c r="O2753" s="72"/>
      <c r="P2753" s="67"/>
      <c r="Q2753" s="67"/>
      <c r="R2753" s="67"/>
      <c r="S2753" s="67"/>
      <c r="T2753" s="32"/>
      <c r="U2753" s="32"/>
      <c r="X2753" s="32"/>
      <c r="Y2753" s="32"/>
      <c r="Z2753" s="32"/>
      <c r="AA2753" s="32"/>
      <c r="AB2753" s="32"/>
    </row>
    <row r="2754" spans="2:28" ht="23.25" customHeight="1" x14ac:dyDescent="0.2">
      <c r="B2754" s="75"/>
      <c r="C2754" s="67"/>
      <c r="D2754" s="75"/>
      <c r="E2754" s="67"/>
      <c r="F2754" s="67"/>
      <c r="G2754" s="70"/>
      <c r="H2754" s="70"/>
      <c r="I2754" s="70"/>
      <c r="J2754" s="70"/>
      <c r="K2754" s="70"/>
      <c r="L2754" s="67"/>
      <c r="M2754" s="67"/>
      <c r="N2754" s="72"/>
      <c r="O2754" s="72"/>
      <c r="P2754" s="67"/>
      <c r="Q2754" s="67"/>
      <c r="R2754" s="67"/>
      <c r="S2754" s="67"/>
      <c r="T2754" s="32"/>
      <c r="U2754" s="32"/>
      <c r="X2754" s="32"/>
      <c r="Y2754" s="32"/>
      <c r="Z2754" s="32"/>
      <c r="AA2754" s="32"/>
      <c r="AB2754" s="32"/>
    </row>
    <row r="2755" spans="2:28" ht="23.25" customHeight="1" x14ac:dyDescent="0.2">
      <c r="B2755" s="75"/>
      <c r="C2755" s="67"/>
      <c r="D2755" s="75"/>
      <c r="E2755" s="67"/>
      <c r="F2755" s="67"/>
      <c r="G2755" s="70"/>
      <c r="H2755" s="70"/>
      <c r="I2755" s="70"/>
      <c r="J2755" s="70"/>
      <c r="K2755" s="70"/>
      <c r="L2755" s="67"/>
      <c r="M2755" s="67"/>
      <c r="N2755" s="72"/>
      <c r="O2755" s="72"/>
      <c r="P2755" s="67"/>
      <c r="Q2755" s="67"/>
      <c r="R2755" s="67"/>
      <c r="S2755" s="67"/>
      <c r="T2755" s="32"/>
      <c r="U2755" s="32"/>
      <c r="X2755" s="32"/>
      <c r="Y2755" s="32"/>
      <c r="Z2755" s="32"/>
      <c r="AA2755" s="32"/>
      <c r="AB2755" s="32"/>
    </row>
    <row r="2756" spans="2:28" ht="23.25" customHeight="1" x14ac:dyDescent="0.2">
      <c r="B2756" s="75"/>
      <c r="C2756" s="67"/>
      <c r="D2756" s="75"/>
      <c r="E2756" s="67"/>
      <c r="F2756" s="67"/>
      <c r="G2756" s="70"/>
      <c r="H2756" s="70"/>
      <c r="I2756" s="70"/>
      <c r="J2756" s="70"/>
      <c r="K2756" s="70"/>
      <c r="L2756" s="67"/>
      <c r="M2756" s="67"/>
      <c r="N2756" s="72"/>
      <c r="O2756" s="72"/>
      <c r="P2756" s="67"/>
      <c r="Q2756" s="67"/>
      <c r="R2756" s="67"/>
      <c r="S2756" s="67"/>
      <c r="T2756" s="32"/>
      <c r="U2756" s="32"/>
      <c r="X2756" s="32"/>
      <c r="Y2756" s="32"/>
      <c r="Z2756" s="32"/>
      <c r="AA2756" s="32"/>
      <c r="AB2756" s="32"/>
    </row>
    <row r="2757" spans="2:28" ht="23.25" customHeight="1" x14ac:dyDescent="0.2">
      <c r="B2757" s="75"/>
      <c r="C2757" s="67"/>
      <c r="D2757" s="75"/>
      <c r="E2757" s="67"/>
      <c r="F2757" s="67"/>
      <c r="G2757" s="70"/>
      <c r="H2757" s="70"/>
      <c r="I2757" s="70"/>
      <c r="J2757" s="70"/>
      <c r="K2757" s="70"/>
      <c r="L2757" s="67"/>
      <c r="M2757" s="67"/>
      <c r="N2757" s="72"/>
      <c r="O2757" s="72"/>
      <c r="P2757" s="67"/>
      <c r="Q2757" s="67"/>
      <c r="R2757" s="67"/>
      <c r="S2757" s="67"/>
      <c r="T2757" s="32"/>
      <c r="U2757" s="32"/>
      <c r="X2757" s="32"/>
      <c r="Y2757" s="32"/>
      <c r="Z2757" s="32"/>
      <c r="AA2757" s="32"/>
      <c r="AB2757" s="32"/>
    </row>
    <row r="2758" spans="2:28" ht="23.25" customHeight="1" x14ac:dyDescent="0.2">
      <c r="B2758" s="75"/>
      <c r="C2758" s="67"/>
      <c r="D2758" s="75"/>
      <c r="E2758" s="67"/>
      <c r="F2758" s="67"/>
      <c r="G2758" s="70"/>
      <c r="H2758" s="70"/>
      <c r="I2758" s="70"/>
      <c r="J2758" s="70"/>
      <c r="K2758" s="70"/>
      <c r="L2758" s="67"/>
      <c r="M2758" s="67"/>
      <c r="N2758" s="72"/>
      <c r="O2758" s="72"/>
      <c r="P2758" s="67"/>
      <c r="Q2758" s="67"/>
      <c r="R2758" s="67"/>
      <c r="S2758" s="67"/>
      <c r="T2758" s="32"/>
      <c r="U2758" s="32"/>
      <c r="X2758" s="32"/>
      <c r="Y2758" s="32"/>
      <c r="Z2758" s="32"/>
      <c r="AA2758" s="32"/>
      <c r="AB2758" s="32"/>
    </row>
    <row r="2759" spans="2:28" ht="23.25" customHeight="1" x14ac:dyDescent="0.2">
      <c r="B2759" s="75"/>
      <c r="C2759" s="67"/>
      <c r="D2759" s="75"/>
      <c r="E2759" s="67"/>
      <c r="F2759" s="67"/>
      <c r="G2759" s="70"/>
      <c r="H2759" s="70"/>
      <c r="I2759" s="70"/>
      <c r="J2759" s="70"/>
      <c r="K2759" s="70"/>
      <c r="L2759" s="67"/>
      <c r="M2759" s="67"/>
      <c r="N2759" s="72"/>
      <c r="O2759" s="72"/>
      <c r="P2759" s="67"/>
      <c r="Q2759" s="67"/>
      <c r="R2759" s="67"/>
      <c r="S2759" s="67"/>
      <c r="T2759" s="32"/>
      <c r="U2759" s="32"/>
      <c r="X2759" s="32"/>
      <c r="Y2759" s="32"/>
      <c r="Z2759" s="32"/>
      <c r="AA2759" s="32"/>
      <c r="AB2759" s="32"/>
    </row>
    <row r="2760" spans="2:28" ht="23.25" customHeight="1" x14ac:dyDescent="0.2">
      <c r="B2760" s="75"/>
      <c r="C2760" s="67"/>
      <c r="D2760" s="75"/>
      <c r="E2760" s="67"/>
      <c r="F2760" s="67"/>
      <c r="G2760" s="70"/>
      <c r="H2760" s="70"/>
      <c r="I2760" s="70"/>
      <c r="J2760" s="70"/>
      <c r="K2760" s="70"/>
      <c r="L2760" s="67"/>
      <c r="M2760" s="67"/>
      <c r="N2760" s="72"/>
      <c r="O2760" s="72"/>
      <c r="P2760" s="67"/>
      <c r="Q2760" s="67"/>
      <c r="R2760" s="67"/>
      <c r="S2760" s="67"/>
      <c r="T2760" s="32"/>
      <c r="U2760" s="32"/>
      <c r="X2760" s="32"/>
      <c r="Y2760" s="32"/>
      <c r="Z2760" s="32"/>
      <c r="AA2760" s="32"/>
      <c r="AB2760" s="32"/>
    </row>
    <row r="2761" spans="2:28" ht="23.25" customHeight="1" x14ac:dyDescent="0.2">
      <c r="B2761" s="75"/>
      <c r="C2761" s="67"/>
      <c r="D2761" s="75"/>
      <c r="E2761" s="67"/>
      <c r="F2761" s="67"/>
      <c r="G2761" s="70"/>
      <c r="H2761" s="70"/>
      <c r="I2761" s="70"/>
      <c r="J2761" s="70"/>
      <c r="K2761" s="70"/>
      <c r="L2761" s="67"/>
      <c r="M2761" s="67"/>
      <c r="N2761" s="72"/>
      <c r="O2761" s="72"/>
      <c r="P2761" s="67"/>
      <c r="Q2761" s="67"/>
      <c r="R2761" s="67"/>
      <c r="S2761" s="67"/>
      <c r="T2761" s="32"/>
      <c r="U2761" s="32"/>
      <c r="X2761" s="32"/>
      <c r="Y2761" s="32"/>
      <c r="Z2761" s="32"/>
      <c r="AA2761" s="32"/>
      <c r="AB2761" s="32"/>
    </row>
    <row r="2762" spans="2:28" ht="23.25" customHeight="1" x14ac:dyDescent="0.2">
      <c r="B2762" s="75"/>
      <c r="C2762" s="67"/>
      <c r="D2762" s="75"/>
      <c r="E2762" s="67"/>
      <c r="F2762" s="67"/>
      <c r="G2762" s="70"/>
      <c r="H2762" s="70"/>
      <c r="I2762" s="70"/>
      <c r="J2762" s="70"/>
      <c r="K2762" s="70"/>
      <c r="L2762" s="67"/>
      <c r="M2762" s="67"/>
      <c r="N2762" s="72"/>
      <c r="O2762" s="72"/>
      <c r="P2762" s="67"/>
      <c r="Q2762" s="67"/>
      <c r="R2762" s="67"/>
      <c r="S2762" s="67"/>
      <c r="T2762" s="32"/>
      <c r="U2762" s="32"/>
      <c r="X2762" s="32"/>
      <c r="Y2762" s="32"/>
      <c r="Z2762" s="32"/>
      <c r="AA2762" s="32"/>
      <c r="AB2762" s="32"/>
    </row>
    <row r="2763" spans="2:28" ht="23.25" customHeight="1" x14ac:dyDescent="0.2">
      <c r="B2763" s="75"/>
      <c r="C2763" s="67"/>
      <c r="D2763" s="75"/>
      <c r="E2763" s="67"/>
      <c r="F2763" s="67"/>
      <c r="G2763" s="70"/>
      <c r="H2763" s="70"/>
      <c r="I2763" s="70"/>
      <c r="J2763" s="70"/>
      <c r="K2763" s="70"/>
      <c r="L2763" s="67"/>
      <c r="M2763" s="67"/>
      <c r="N2763" s="72"/>
      <c r="O2763" s="72"/>
      <c r="P2763" s="67"/>
      <c r="Q2763" s="67"/>
      <c r="R2763" s="67"/>
      <c r="S2763" s="67"/>
      <c r="T2763" s="32"/>
      <c r="U2763" s="32"/>
      <c r="X2763" s="32"/>
      <c r="Y2763" s="32"/>
      <c r="Z2763" s="32"/>
      <c r="AA2763" s="32"/>
      <c r="AB2763" s="32"/>
    </row>
    <row r="2764" spans="2:28" ht="23.25" customHeight="1" x14ac:dyDescent="0.2">
      <c r="B2764" s="75"/>
      <c r="C2764" s="67"/>
      <c r="D2764" s="75"/>
      <c r="E2764" s="67"/>
      <c r="F2764" s="67"/>
      <c r="G2764" s="70"/>
      <c r="H2764" s="70"/>
      <c r="I2764" s="70"/>
      <c r="J2764" s="70"/>
      <c r="K2764" s="70"/>
      <c r="L2764" s="67"/>
      <c r="M2764" s="67"/>
      <c r="N2764" s="72"/>
      <c r="O2764" s="72"/>
      <c r="P2764" s="67"/>
      <c r="Q2764" s="67"/>
      <c r="R2764" s="67"/>
      <c r="S2764" s="67"/>
      <c r="T2764" s="32"/>
      <c r="U2764" s="32"/>
      <c r="X2764" s="32"/>
      <c r="Y2764" s="32"/>
      <c r="Z2764" s="32"/>
      <c r="AA2764" s="32"/>
      <c r="AB2764" s="32"/>
    </row>
    <row r="2765" spans="2:28" ht="23.25" customHeight="1" x14ac:dyDescent="0.2">
      <c r="B2765" s="75"/>
      <c r="C2765" s="67"/>
      <c r="D2765" s="75"/>
      <c r="E2765" s="67"/>
      <c r="F2765" s="67"/>
      <c r="G2765" s="70"/>
      <c r="H2765" s="70"/>
      <c r="I2765" s="70"/>
      <c r="J2765" s="70"/>
      <c r="K2765" s="70"/>
      <c r="L2765" s="67"/>
      <c r="M2765" s="67"/>
      <c r="N2765" s="72"/>
      <c r="O2765" s="72"/>
      <c r="P2765" s="67"/>
      <c r="Q2765" s="67"/>
      <c r="R2765" s="67"/>
      <c r="S2765" s="67"/>
      <c r="T2765" s="32"/>
      <c r="U2765" s="32"/>
      <c r="X2765" s="32"/>
      <c r="Y2765" s="32"/>
      <c r="Z2765" s="32"/>
      <c r="AA2765" s="32"/>
      <c r="AB2765" s="32"/>
    </row>
    <row r="2766" spans="2:28" ht="23.25" customHeight="1" x14ac:dyDescent="0.2">
      <c r="B2766" s="75"/>
      <c r="C2766" s="67"/>
      <c r="D2766" s="75"/>
      <c r="E2766" s="67"/>
      <c r="F2766" s="67"/>
      <c r="G2766" s="70"/>
      <c r="H2766" s="70"/>
      <c r="I2766" s="70"/>
      <c r="J2766" s="70"/>
      <c r="K2766" s="70"/>
      <c r="L2766" s="67"/>
      <c r="M2766" s="67"/>
      <c r="N2766" s="72"/>
      <c r="O2766" s="72"/>
      <c r="P2766" s="67"/>
      <c r="Q2766" s="67"/>
      <c r="R2766" s="67"/>
      <c r="S2766" s="67"/>
      <c r="T2766" s="32"/>
      <c r="U2766" s="32"/>
      <c r="X2766" s="32"/>
      <c r="Y2766" s="32"/>
      <c r="Z2766" s="32"/>
      <c r="AA2766" s="32"/>
      <c r="AB2766" s="32"/>
    </row>
    <row r="2767" spans="2:28" ht="23.25" customHeight="1" x14ac:dyDescent="0.2">
      <c r="B2767" s="75"/>
      <c r="C2767" s="67"/>
      <c r="D2767" s="75"/>
      <c r="E2767" s="67"/>
      <c r="F2767" s="67"/>
      <c r="G2767" s="70"/>
      <c r="H2767" s="70"/>
      <c r="I2767" s="70"/>
      <c r="J2767" s="70"/>
      <c r="K2767" s="70"/>
      <c r="L2767" s="67"/>
      <c r="M2767" s="67"/>
      <c r="N2767" s="72"/>
      <c r="O2767" s="72"/>
      <c r="P2767" s="67"/>
      <c r="Q2767" s="67"/>
      <c r="R2767" s="67"/>
      <c r="S2767" s="67"/>
      <c r="T2767" s="32"/>
      <c r="U2767" s="32"/>
      <c r="X2767" s="32"/>
      <c r="Y2767" s="32"/>
      <c r="Z2767" s="32"/>
      <c r="AA2767" s="32"/>
      <c r="AB2767" s="32"/>
    </row>
    <row r="2768" spans="2:28" ht="23.25" customHeight="1" x14ac:dyDescent="0.2">
      <c r="B2768" s="75"/>
      <c r="C2768" s="67"/>
      <c r="D2768" s="75"/>
      <c r="E2768" s="67"/>
      <c r="F2768" s="67"/>
      <c r="G2768" s="70"/>
      <c r="H2768" s="70"/>
      <c r="I2768" s="70"/>
      <c r="J2768" s="70"/>
      <c r="K2768" s="70"/>
      <c r="L2768" s="67"/>
      <c r="M2768" s="67"/>
      <c r="N2768" s="72"/>
      <c r="O2768" s="72"/>
      <c r="P2768" s="67"/>
      <c r="Q2768" s="67"/>
      <c r="R2768" s="67"/>
      <c r="S2768" s="67"/>
      <c r="T2768" s="32"/>
      <c r="U2768" s="32"/>
      <c r="X2768" s="32"/>
      <c r="Y2768" s="32"/>
      <c r="Z2768" s="32"/>
      <c r="AA2768" s="32"/>
      <c r="AB2768" s="32"/>
    </row>
    <row r="2769" spans="2:28" ht="23.25" customHeight="1" x14ac:dyDescent="0.2">
      <c r="B2769" s="75"/>
      <c r="C2769" s="67"/>
      <c r="D2769" s="75"/>
      <c r="E2769" s="67"/>
      <c r="F2769" s="67"/>
      <c r="G2769" s="70"/>
      <c r="H2769" s="70"/>
      <c r="I2769" s="70"/>
      <c r="J2769" s="70"/>
      <c r="K2769" s="70"/>
      <c r="L2769" s="67"/>
      <c r="M2769" s="67"/>
      <c r="N2769" s="72"/>
      <c r="O2769" s="72"/>
      <c r="P2769" s="67"/>
      <c r="Q2769" s="67"/>
      <c r="R2769" s="67"/>
      <c r="S2769" s="67"/>
      <c r="T2769" s="32"/>
      <c r="U2769" s="32"/>
      <c r="X2769" s="32"/>
      <c r="Y2769" s="32"/>
      <c r="Z2769" s="32"/>
      <c r="AA2769" s="32"/>
      <c r="AB2769" s="32"/>
    </row>
    <row r="2770" spans="2:28" ht="23.25" customHeight="1" x14ac:dyDescent="0.2">
      <c r="B2770" s="75"/>
      <c r="C2770" s="67"/>
      <c r="D2770" s="75"/>
      <c r="E2770" s="67"/>
      <c r="F2770" s="67"/>
      <c r="G2770" s="70"/>
      <c r="H2770" s="70"/>
      <c r="I2770" s="70"/>
      <c r="J2770" s="70"/>
      <c r="K2770" s="70"/>
      <c r="L2770" s="67"/>
      <c r="M2770" s="67"/>
      <c r="N2770" s="72"/>
      <c r="O2770" s="72"/>
      <c r="P2770" s="67"/>
      <c r="Q2770" s="67"/>
      <c r="R2770" s="67"/>
      <c r="S2770" s="67"/>
      <c r="T2770" s="32"/>
      <c r="U2770" s="32"/>
      <c r="X2770" s="32"/>
      <c r="Y2770" s="32"/>
      <c r="Z2770" s="32"/>
      <c r="AA2770" s="32"/>
      <c r="AB2770" s="32"/>
    </row>
    <row r="2771" spans="2:28" ht="23.25" customHeight="1" x14ac:dyDescent="0.2">
      <c r="B2771" s="75"/>
      <c r="C2771" s="67"/>
      <c r="D2771" s="75"/>
      <c r="E2771" s="67"/>
      <c r="F2771" s="67"/>
      <c r="G2771" s="70"/>
      <c r="H2771" s="70"/>
      <c r="I2771" s="70"/>
      <c r="J2771" s="70"/>
      <c r="K2771" s="70"/>
      <c r="L2771" s="67"/>
      <c r="M2771" s="67"/>
      <c r="N2771" s="72"/>
      <c r="O2771" s="72"/>
      <c r="P2771" s="67"/>
      <c r="Q2771" s="67"/>
      <c r="R2771" s="67"/>
      <c r="S2771" s="67"/>
      <c r="T2771" s="32"/>
      <c r="U2771" s="32"/>
      <c r="X2771" s="32"/>
      <c r="Y2771" s="32"/>
      <c r="Z2771" s="32"/>
      <c r="AA2771" s="32"/>
      <c r="AB2771" s="32"/>
    </row>
    <row r="2772" spans="2:28" ht="23.25" customHeight="1" x14ac:dyDescent="0.2">
      <c r="B2772" s="75"/>
      <c r="C2772" s="67"/>
      <c r="D2772" s="75"/>
      <c r="E2772" s="67"/>
      <c r="F2772" s="67"/>
      <c r="G2772" s="70"/>
      <c r="H2772" s="70"/>
      <c r="I2772" s="70"/>
      <c r="J2772" s="70"/>
      <c r="K2772" s="70"/>
      <c r="L2772" s="67"/>
      <c r="M2772" s="67"/>
      <c r="N2772" s="72"/>
      <c r="O2772" s="72"/>
      <c r="P2772" s="67"/>
      <c r="Q2772" s="67"/>
      <c r="R2772" s="67"/>
      <c r="S2772" s="67"/>
      <c r="T2772" s="32"/>
      <c r="U2772" s="32"/>
      <c r="X2772" s="32"/>
      <c r="Y2772" s="32"/>
      <c r="Z2772" s="32"/>
      <c r="AA2772" s="32"/>
      <c r="AB2772" s="32"/>
    </row>
    <row r="2773" spans="2:28" ht="23.25" customHeight="1" x14ac:dyDescent="0.2">
      <c r="B2773" s="75"/>
      <c r="C2773" s="67"/>
      <c r="D2773" s="75"/>
      <c r="E2773" s="67"/>
      <c r="F2773" s="67"/>
      <c r="G2773" s="70"/>
      <c r="H2773" s="70"/>
      <c r="I2773" s="70"/>
      <c r="J2773" s="70"/>
      <c r="K2773" s="70"/>
      <c r="L2773" s="67"/>
      <c r="M2773" s="67"/>
      <c r="N2773" s="72"/>
      <c r="O2773" s="72"/>
      <c r="P2773" s="67"/>
      <c r="Q2773" s="67"/>
      <c r="R2773" s="67"/>
      <c r="S2773" s="67"/>
      <c r="T2773" s="32"/>
      <c r="U2773" s="32"/>
      <c r="X2773" s="32"/>
      <c r="Y2773" s="32"/>
      <c r="Z2773" s="32"/>
      <c r="AA2773" s="32"/>
      <c r="AB2773" s="32"/>
    </row>
    <row r="2774" spans="2:28" ht="23.25" customHeight="1" x14ac:dyDescent="0.2">
      <c r="B2774" s="75"/>
      <c r="C2774" s="67"/>
      <c r="D2774" s="75"/>
      <c r="E2774" s="67"/>
      <c r="F2774" s="67"/>
      <c r="G2774" s="70"/>
      <c r="H2774" s="70"/>
      <c r="I2774" s="70"/>
      <c r="J2774" s="70"/>
      <c r="K2774" s="70"/>
      <c r="L2774" s="67"/>
      <c r="M2774" s="67"/>
      <c r="N2774" s="72"/>
      <c r="O2774" s="72"/>
      <c r="P2774" s="67"/>
      <c r="Q2774" s="67"/>
      <c r="R2774" s="67"/>
      <c r="S2774" s="67"/>
      <c r="T2774" s="32"/>
      <c r="U2774" s="32"/>
      <c r="X2774" s="32"/>
      <c r="Y2774" s="32"/>
      <c r="Z2774" s="32"/>
      <c r="AA2774" s="32"/>
      <c r="AB2774" s="32"/>
    </row>
    <row r="2775" spans="2:28" ht="23.25" customHeight="1" x14ac:dyDescent="0.2">
      <c r="B2775" s="75"/>
      <c r="C2775" s="67"/>
      <c r="D2775" s="75"/>
      <c r="E2775" s="67"/>
      <c r="F2775" s="67"/>
      <c r="G2775" s="70"/>
      <c r="H2775" s="70"/>
      <c r="I2775" s="70"/>
      <c r="J2775" s="70"/>
      <c r="K2775" s="70"/>
      <c r="L2775" s="67"/>
      <c r="M2775" s="67"/>
      <c r="N2775" s="72"/>
      <c r="O2775" s="72"/>
      <c r="P2775" s="67"/>
      <c r="Q2775" s="67"/>
      <c r="R2775" s="67"/>
      <c r="S2775" s="67"/>
      <c r="T2775" s="32"/>
      <c r="U2775" s="32"/>
      <c r="X2775" s="32"/>
      <c r="Y2775" s="32"/>
      <c r="Z2775" s="32"/>
      <c r="AA2775" s="32"/>
      <c r="AB2775" s="32"/>
    </row>
    <row r="2776" spans="2:28" ht="23.25" customHeight="1" x14ac:dyDescent="0.2">
      <c r="B2776" s="75"/>
      <c r="C2776" s="67"/>
      <c r="D2776" s="75"/>
      <c r="E2776" s="67"/>
      <c r="F2776" s="67"/>
      <c r="G2776" s="70"/>
      <c r="H2776" s="70"/>
      <c r="I2776" s="70"/>
      <c r="J2776" s="70"/>
      <c r="K2776" s="70"/>
      <c r="L2776" s="67"/>
      <c r="M2776" s="67"/>
      <c r="N2776" s="72"/>
      <c r="O2776" s="72"/>
      <c r="P2776" s="67"/>
      <c r="Q2776" s="67"/>
      <c r="R2776" s="67"/>
      <c r="S2776" s="67"/>
      <c r="T2776" s="32"/>
      <c r="U2776" s="32"/>
      <c r="X2776" s="32"/>
      <c r="Y2776" s="32"/>
      <c r="Z2776" s="32"/>
      <c r="AA2776" s="32"/>
      <c r="AB2776" s="32"/>
    </row>
    <row r="2777" spans="2:28" ht="23.25" customHeight="1" x14ac:dyDescent="0.2">
      <c r="B2777" s="75"/>
      <c r="C2777" s="67"/>
      <c r="D2777" s="75"/>
      <c r="E2777" s="67"/>
      <c r="F2777" s="67"/>
      <c r="G2777" s="70"/>
      <c r="H2777" s="70"/>
      <c r="I2777" s="70"/>
      <c r="J2777" s="70"/>
      <c r="K2777" s="70"/>
      <c r="L2777" s="67"/>
      <c r="M2777" s="67"/>
      <c r="N2777" s="72"/>
      <c r="O2777" s="72"/>
      <c r="P2777" s="67"/>
      <c r="Q2777" s="67"/>
      <c r="R2777" s="67"/>
      <c r="S2777" s="67"/>
      <c r="T2777" s="32"/>
      <c r="U2777" s="32"/>
      <c r="X2777" s="32"/>
      <c r="Y2777" s="32"/>
      <c r="Z2777" s="32"/>
      <c r="AA2777" s="32"/>
      <c r="AB2777" s="32"/>
    </row>
    <row r="2778" spans="2:28" ht="23.25" customHeight="1" x14ac:dyDescent="0.2">
      <c r="B2778" s="75"/>
      <c r="C2778" s="67"/>
      <c r="D2778" s="75"/>
      <c r="E2778" s="67"/>
      <c r="F2778" s="67"/>
      <c r="G2778" s="70"/>
      <c r="H2778" s="70"/>
      <c r="I2778" s="70"/>
      <c r="J2778" s="70"/>
      <c r="K2778" s="70"/>
      <c r="L2778" s="67"/>
      <c r="M2778" s="67"/>
      <c r="N2778" s="72"/>
      <c r="O2778" s="72"/>
      <c r="P2778" s="67"/>
      <c r="Q2778" s="67"/>
      <c r="R2778" s="67"/>
      <c r="S2778" s="67"/>
      <c r="T2778" s="32"/>
      <c r="U2778" s="32"/>
      <c r="X2778" s="32"/>
      <c r="Y2778" s="32"/>
      <c r="Z2778" s="32"/>
      <c r="AA2778" s="32"/>
      <c r="AB2778" s="32"/>
    </row>
    <row r="2779" spans="2:28" ht="23.25" customHeight="1" x14ac:dyDescent="0.2">
      <c r="B2779" s="75"/>
      <c r="C2779" s="67"/>
      <c r="D2779" s="75"/>
      <c r="E2779" s="67"/>
      <c r="F2779" s="67"/>
      <c r="G2779" s="70"/>
      <c r="H2779" s="70"/>
      <c r="I2779" s="70"/>
      <c r="J2779" s="70"/>
      <c r="K2779" s="70"/>
      <c r="L2779" s="67"/>
      <c r="M2779" s="67"/>
      <c r="N2779" s="72"/>
      <c r="O2779" s="72"/>
      <c r="P2779" s="67"/>
      <c r="Q2779" s="67"/>
      <c r="R2779" s="67"/>
      <c r="S2779" s="67"/>
      <c r="T2779" s="32"/>
      <c r="U2779" s="32"/>
      <c r="X2779" s="32"/>
      <c r="Y2779" s="32"/>
      <c r="Z2779" s="32"/>
      <c r="AA2779" s="32"/>
      <c r="AB2779" s="32"/>
    </row>
    <row r="2780" spans="2:28" ht="23.25" customHeight="1" x14ac:dyDescent="0.2">
      <c r="B2780" s="75"/>
      <c r="C2780" s="67"/>
      <c r="D2780" s="75"/>
      <c r="E2780" s="67"/>
      <c r="F2780" s="67"/>
      <c r="G2780" s="70"/>
      <c r="H2780" s="70"/>
      <c r="I2780" s="70"/>
      <c r="J2780" s="70"/>
      <c r="K2780" s="70"/>
      <c r="L2780" s="67"/>
      <c r="M2780" s="67"/>
      <c r="N2780" s="72"/>
      <c r="O2780" s="72"/>
      <c r="P2780" s="67"/>
      <c r="Q2780" s="67"/>
      <c r="R2780" s="67"/>
      <c r="S2780" s="67"/>
      <c r="T2780" s="32"/>
      <c r="U2780" s="32"/>
      <c r="X2780" s="32"/>
      <c r="Y2780" s="32"/>
      <c r="Z2780" s="32"/>
      <c r="AA2780" s="32"/>
      <c r="AB2780" s="32"/>
    </row>
    <row r="2781" spans="2:28" ht="23.25" customHeight="1" x14ac:dyDescent="0.2">
      <c r="B2781" s="75"/>
      <c r="C2781" s="67"/>
      <c r="D2781" s="75"/>
      <c r="E2781" s="67"/>
      <c r="F2781" s="67"/>
      <c r="G2781" s="70"/>
      <c r="H2781" s="70"/>
      <c r="I2781" s="70"/>
      <c r="J2781" s="70"/>
      <c r="K2781" s="70"/>
      <c r="L2781" s="67"/>
      <c r="M2781" s="67"/>
      <c r="N2781" s="72"/>
      <c r="O2781" s="72"/>
      <c r="P2781" s="67"/>
      <c r="Q2781" s="67"/>
      <c r="R2781" s="67"/>
      <c r="S2781" s="67"/>
      <c r="T2781" s="32"/>
      <c r="U2781" s="32"/>
      <c r="X2781" s="32"/>
      <c r="Y2781" s="32"/>
      <c r="Z2781" s="32"/>
      <c r="AA2781" s="32"/>
      <c r="AB2781" s="32"/>
    </row>
    <row r="2782" spans="2:28" ht="23.25" customHeight="1" x14ac:dyDescent="0.2">
      <c r="B2782" s="75"/>
      <c r="C2782" s="67"/>
      <c r="D2782" s="75"/>
      <c r="E2782" s="67"/>
      <c r="F2782" s="67"/>
      <c r="G2782" s="70"/>
      <c r="H2782" s="70"/>
      <c r="I2782" s="70"/>
      <c r="J2782" s="70"/>
      <c r="K2782" s="70"/>
      <c r="L2782" s="67"/>
      <c r="M2782" s="67"/>
      <c r="N2782" s="72"/>
      <c r="O2782" s="72"/>
      <c r="P2782" s="67"/>
      <c r="Q2782" s="67"/>
      <c r="R2782" s="67"/>
      <c r="S2782" s="67"/>
      <c r="T2782" s="32"/>
      <c r="U2782" s="32"/>
      <c r="X2782" s="32"/>
      <c r="Y2782" s="32"/>
      <c r="Z2782" s="32"/>
      <c r="AA2782" s="32"/>
      <c r="AB2782" s="32"/>
    </row>
    <row r="2783" spans="2:28" ht="23.25" customHeight="1" x14ac:dyDescent="0.2">
      <c r="B2783" s="75"/>
      <c r="C2783" s="67"/>
      <c r="D2783" s="75"/>
      <c r="E2783" s="67"/>
      <c r="F2783" s="67"/>
      <c r="G2783" s="70"/>
      <c r="H2783" s="70"/>
      <c r="I2783" s="70"/>
      <c r="J2783" s="70"/>
      <c r="K2783" s="70"/>
      <c r="L2783" s="67"/>
      <c r="M2783" s="67"/>
      <c r="N2783" s="72"/>
      <c r="O2783" s="72"/>
      <c r="P2783" s="67"/>
      <c r="Q2783" s="67"/>
      <c r="R2783" s="67"/>
      <c r="S2783" s="67"/>
      <c r="T2783" s="32"/>
      <c r="U2783" s="32"/>
      <c r="X2783" s="32"/>
      <c r="Y2783" s="32"/>
      <c r="Z2783" s="32"/>
      <c r="AA2783" s="32"/>
      <c r="AB2783" s="32"/>
    </row>
    <row r="2784" spans="2:28" ht="23.25" customHeight="1" x14ac:dyDescent="0.2">
      <c r="B2784" s="75"/>
      <c r="C2784" s="67"/>
      <c r="D2784" s="75"/>
      <c r="E2784" s="67"/>
      <c r="F2784" s="67"/>
      <c r="G2784" s="70"/>
      <c r="H2784" s="70"/>
      <c r="I2784" s="70"/>
      <c r="J2784" s="70"/>
      <c r="K2784" s="70"/>
      <c r="L2784" s="67"/>
      <c r="M2784" s="67"/>
      <c r="N2784" s="72"/>
      <c r="O2784" s="72"/>
      <c r="P2784" s="67"/>
      <c r="Q2784" s="67"/>
      <c r="R2784" s="67"/>
      <c r="S2784" s="67"/>
      <c r="T2784" s="32"/>
      <c r="U2784" s="32"/>
      <c r="X2784" s="32"/>
      <c r="Y2784" s="32"/>
      <c r="Z2784" s="32"/>
      <c r="AA2784" s="32"/>
      <c r="AB2784" s="32"/>
    </row>
    <row r="2785" spans="2:28" ht="23.25" customHeight="1" x14ac:dyDescent="0.2">
      <c r="B2785" s="75"/>
      <c r="C2785" s="67"/>
      <c r="D2785" s="75"/>
      <c r="E2785" s="67"/>
      <c r="F2785" s="67"/>
      <c r="G2785" s="70"/>
      <c r="H2785" s="70"/>
      <c r="I2785" s="70"/>
      <c r="J2785" s="70"/>
      <c r="K2785" s="70"/>
      <c r="L2785" s="67"/>
      <c r="M2785" s="67"/>
      <c r="N2785" s="72"/>
      <c r="O2785" s="72"/>
      <c r="P2785" s="67"/>
      <c r="Q2785" s="67"/>
      <c r="R2785" s="67"/>
      <c r="S2785" s="67"/>
      <c r="T2785" s="32"/>
      <c r="U2785" s="32"/>
      <c r="X2785" s="32"/>
      <c r="Y2785" s="32"/>
      <c r="Z2785" s="32"/>
      <c r="AA2785" s="32"/>
      <c r="AB2785" s="32"/>
    </row>
    <row r="2786" spans="2:28" ht="23.25" customHeight="1" x14ac:dyDescent="0.2">
      <c r="B2786" s="75"/>
      <c r="C2786" s="67"/>
      <c r="D2786" s="75"/>
      <c r="E2786" s="67"/>
      <c r="F2786" s="67"/>
      <c r="G2786" s="70"/>
      <c r="H2786" s="70"/>
      <c r="I2786" s="70"/>
      <c r="J2786" s="70"/>
      <c r="K2786" s="70"/>
      <c r="L2786" s="67"/>
      <c r="M2786" s="67"/>
      <c r="N2786" s="72"/>
      <c r="O2786" s="72"/>
      <c r="P2786" s="67"/>
      <c r="Q2786" s="67"/>
      <c r="R2786" s="67"/>
      <c r="S2786" s="67"/>
      <c r="T2786" s="32"/>
      <c r="U2786" s="32"/>
      <c r="X2786" s="32"/>
      <c r="Y2786" s="32"/>
      <c r="Z2786" s="32"/>
      <c r="AA2786" s="32"/>
      <c r="AB2786" s="32"/>
    </row>
    <row r="2787" spans="2:28" ht="23.25" customHeight="1" x14ac:dyDescent="0.2">
      <c r="B2787" s="75"/>
      <c r="C2787" s="67"/>
      <c r="D2787" s="75"/>
      <c r="E2787" s="67"/>
      <c r="F2787" s="67"/>
      <c r="G2787" s="70"/>
      <c r="H2787" s="70"/>
      <c r="I2787" s="70"/>
      <c r="J2787" s="70"/>
      <c r="K2787" s="70"/>
      <c r="L2787" s="67"/>
      <c r="M2787" s="67"/>
      <c r="N2787" s="72"/>
      <c r="O2787" s="72"/>
      <c r="P2787" s="67"/>
      <c r="Q2787" s="67"/>
      <c r="R2787" s="67"/>
      <c r="S2787" s="67"/>
      <c r="T2787" s="32"/>
      <c r="U2787" s="32"/>
      <c r="X2787" s="32"/>
      <c r="Y2787" s="32"/>
      <c r="Z2787" s="32"/>
      <c r="AA2787" s="32"/>
      <c r="AB2787" s="32"/>
    </row>
    <row r="2788" spans="2:28" ht="23.25" customHeight="1" x14ac:dyDescent="0.2">
      <c r="B2788" s="75"/>
      <c r="C2788" s="67"/>
      <c r="D2788" s="75"/>
      <c r="E2788" s="67"/>
      <c r="F2788" s="67"/>
      <c r="G2788" s="70"/>
      <c r="H2788" s="70"/>
      <c r="I2788" s="70"/>
      <c r="J2788" s="70"/>
      <c r="K2788" s="70"/>
      <c r="L2788" s="67"/>
      <c r="M2788" s="67"/>
      <c r="N2788" s="72"/>
      <c r="O2788" s="72"/>
      <c r="P2788" s="67"/>
      <c r="Q2788" s="67"/>
      <c r="R2788" s="67"/>
      <c r="S2788" s="67"/>
      <c r="T2788" s="32"/>
      <c r="U2788" s="32"/>
      <c r="X2788" s="32"/>
      <c r="Y2788" s="32"/>
      <c r="Z2788" s="32"/>
      <c r="AA2788" s="32"/>
      <c r="AB2788" s="32"/>
    </row>
    <row r="2789" spans="2:28" ht="23.25" customHeight="1" x14ac:dyDescent="0.2">
      <c r="B2789" s="75"/>
      <c r="C2789" s="67"/>
      <c r="D2789" s="75"/>
      <c r="E2789" s="67"/>
      <c r="F2789" s="67"/>
      <c r="G2789" s="70"/>
      <c r="H2789" s="70"/>
      <c r="I2789" s="70"/>
      <c r="J2789" s="70"/>
      <c r="K2789" s="70"/>
      <c r="L2789" s="67"/>
      <c r="M2789" s="67"/>
      <c r="N2789" s="72"/>
      <c r="O2789" s="72"/>
      <c r="P2789" s="67"/>
      <c r="Q2789" s="67"/>
      <c r="R2789" s="67"/>
      <c r="S2789" s="67"/>
      <c r="T2789" s="32"/>
      <c r="U2789" s="32"/>
      <c r="X2789" s="32"/>
      <c r="Y2789" s="32"/>
      <c r="Z2789" s="32"/>
      <c r="AA2789" s="32"/>
      <c r="AB2789" s="32"/>
    </row>
    <row r="2790" spans="2:28" ht="23.25" customHeight="1" x14ac:dyDescent="0.2">
      <c r="B2790" s="75"/>
      <c r="C2790" s="67"/>
      <c r="D2790" s="75"/>
      <c r="E2790" s="67"/>
      <c r="F2790" s="67"/>
      <c r="G2790" s="70"/>
      <c r="H2790" s="70"/>
      <c r="I2790" s="70"/>
      <c r="J2790" s="70"/>
      <c r="K2790" s="70"/>
      <c r="L2790" s="67"/>
      <c r="M2790" s="67"/>
      <c r="N2790" s="72"/>
      <c r="O2790" s="72"/>
      <c r="P2790" s="67"/>
      <c r="Q2790" s="67"/>
      <c r="R2790" s="67"/>
      <c r="S2790" s="67"/>
      <c r="T2790" s="32"/>
      <c r="U2790" s="32"/>
      <c r="X2790" s="32"/>
      <c r="Y2790" s="32"/>
      <c r="Z2790" s="32"/>
      <c r="AA2790" s="32"/>
      <c r="AB2790" s="32"/>
    </row>
    <row r="2791" spans="2:28" ht="23.25" customHeight="1" x14ac:dyDescent="0.2">
      <c r="B2791" s="75"/>
      <c r="C2791" s="67"/>
      <c r="D2791" s="75"/>
      <c r="E2791" s="67"/>
      <c r="F2791" s="67"/>
      <c r="G2791" s="70"/>
      <c r="H2791" s="70"/>
      <c r="I2791" s="70"/>
      <c r="J2791" s="70"/>
      <c r="K2791" s="70"/>
      <c r="L2791" s="67"/>
      <c r="M2791" s="67"/>
      <c r="N2791" s="72"/>
      <c r="O2791" s="72"/>
      <c r="P2791" s="67"/>
      <c r="Q2791" s="67"/>
      <c r="R2791" s="67"/>
      <c r="S2791" s="67"/>
      <c r="T2791" s="32"/>
      <c r="U2791" s="32"/>
      <c r="X2791" s="32"/>
      <c r="Y2791" s="32"/>
      <c r="Z2791" s="32"/>
      <c r="AA2791" s="32"/>
      <c r="AB2791" s="32"/>
    </row>
    <row r="2792" spans="2:28" ht="23.25" customHeight="1" x14ac:dyDescent="0.2">
      <c r="B2792" s="75"/>
      <c r="C2792" s="67"/>
      <c r="D2792" s="75"/>
      <c r="E2792" s="67"/>
      <c r="F2792" s="67"/>
      <c r="G2792" s="70"/>
      <c r="H2792" s="70"/>
      <c r="I2792" s="70"/>
      <c r="J2792" s="70"/>
      <c r="K2792" s="70"/>
      <c r="L2792" s="67"/>
      <c r="M2792" s="67"/>
      <c r="N2792" s="72"/>
      <c r="O2792" s="72"/>
      <c r="P2792" s="67"/>
      <c r="Q2792" s="67"/>
      <c r="R2792" s="67"/>
      <c r="S2792" s="67"/>
      <c r="T2792" s="32"/>
      <c r="U2792" s="32"/>
      <c r="X2792" s="32"/>
      <c r="Y2792" s="32"/>
      <c r="Z2792" s="32"/>
      <c r="AA2792" s="32"/>
      <c r="AB2792" s="32"/>
    </row>
    <row r="2793" spans="2:28" ht="23.25" customHeight="1" x14ac:dyDescent="0.2">
      <c r="B2793" s="75"/>
      <c r="C2793" s="67"/>
      <c r="D2793" s="75"/>
      <c r="E2793" s="67"/>
      <c r="F2793" s="67"/>
      <c r="G2793" s="70"/>
      <c r="H2793" s="70"/>
      <c r="I2793" s="70"/>
      <c r="J2793" s="70"/>
      <c r="K2793" s="70"/>
      <c r="L2793" s="67"/>
      <c r="M2793" s="67"/>
      <c r="N2793" s="72"/>
      <c r="O2793" s="72"/>
      <c r="P2793" s="67"/>
      <c r="Q2793" s="67"/>
      <c r="R2793" s="67"/>
      <c r="S2793" s="67"/>
      <c r="T2793" s="32"/>
      <c r="U2793" s="32"/>
      <c r="X2793" s="32"/>
      <c r="Y2793" s="32"/>
      <c r="Z2793" s="32"/>
      <c r="AA2793" s="32"/>
      <c r="AB2793" s="32"/>
    </row>
    <row r="2794" spans="2:28" ht="23.25" customHeight="1" x14ac:dyDescent="0.2">
      <c r="B2794" s="75"/>
      <c r="C2794" s="67"/>
      <c r="D2794" s="75"/>
      <c r="E2794" s="67"/>
      <c r="F2794" s="67"/>
      <c r="G2794" s="70"/>
      <c r="H2794" s="70"/>
      <c r="I2794" s="70"/>
      <c r="J2794" s="70"/>
      <c r="K2794" s="70"/>
      <c r="L2794" s="67"/>
      <c r="M2794" s="67"/>
      <c r="N2794" s="72"/>
      <c r="O2794" s="72"/>
      <c r="P2794" s="67"/>
      <c r="Q2794" s="67"/>
      <c r="R2794" s="67"/>
      <c r="S2794" s="67"/>
      <c r="T2794" s="32"/>
      <c r="U2794" s="32"/>
      <c r="X2794" s="32"/>
      <c r="Y2794" s="32"/>
      <c r="Z2794" s="32"/>
      <c r="AA2794" s="32"/>
      <c r="AB2794" s="32"/>
    </row>
    <row r="2795" spans="2:28" ht="23.25" customHeight="1" x14ac:dyDescent="0.2">
      <c r="B2795" s="75"/>
      <c r="C2795" s="67"/>
      <c r="D2795" s="75"/>
      <c r="E2795" s="67"/>
      <c r="F2795" s="67"/>
      <c r="G2795" s="70"/>
      <c r="H2795" s="70"/>
      <c r="I2795" s="70"/>
      <c r="J2795" s="70"/>
      <c r="K2795" s="70"/>
      <c r="L2795" s="67"/>
      <c r="M2795" s="67"/>
      <c r="N2795" s="72"/>
      <c r="O2795" s="72"/>
      <c r="P2795" s="67"/>
      <c r="Q2795" s="67"/>
      <c r="R2795" s="67"/>
      <c r="S2795" s="67"/>
      <c r="T2795" s="32"/>
      <c r="U2795" s="32"/>
      <c r="X2795" s="32"/>
      <c r="Y2795" s="32"/>
      <c r="Z2795" s="32"/>
      <c r="AA2795" s="32"/>
      <c r="AB2795" s="32"/>
    </row>
    <row r="2796" spans="2:28" ht="23.25" customHeight="1" x14ac:dyDescent="0.2">
      <c r="B2796" s="75"/>
      <c r="C2796" s="67"/>
      <c r="D2796" s="75"/>
      <c r="E2796" s="67"/>
      <c r="F2796" s="67"/>
      <c r="G2796" s="70"/>
      <c r="H2796" s="70"/>
      <c r="I2796" s="70"/>
      <c r="J2796" s="70"/>
      <c r="K2796" s="70"/>
      <c r="L2796" s="67"/>
      <c r="M2796" s="67"/>
      <c r="N2796" s="72"/>
      <c r="O2796" s="72"/>
      <c r="P2796" s="67"/>
      <c r="Q2796" s="67"/>
      <c r="R2796" s="67"/>
      <c r="S2796" s="67"/>
      <c r="T2796" s="32"/>
      <c r="U2796" s="32"/>
      <c r="X2796" s="32"/>
      <c r="Y2796" s="32"/>
      <c r="Z2796" s="32"/>
      <c r="AA2796" s="32"/>
      <c r="AB2796" s="32"/>
    </row>
    <row r="2797" spans="2:28" ht="23.25" customHeight="1" x14ac:dyDescent="0.2">
      <c r="B2797" s="75"/>
      <c r="C2797" s="67"/>
      <c r="D2797" s="75"/>
      <c r="E2797" s="67"/>
      <c r="F2797" s="67"/>
      <c r="G2797" s="70"/>
      <c r="H2797" s="70"/>
      <c r="I2797" s="70"/>
      <c r="J2797" s="70"/>
      <c r="K2797" s="70"/>
      <c r="L2797" s="67"/>
      <c r="M2797" s="67"/>
      <c r="N2797" s="72"/>
      <c r="O2797" s="72"/>
      <c r="P2797" s="67"/>
      <c r="Q2797" s="67"/>
      <c r="R2797" s="67"/>
      <c r="S2797" s="67"/>
      <c r="T2797" s="32"/>
      <c r="U2797" s="32"/>
      <c r="X2797" s="32"/>
      <c r="Y2797" s="32"/>
      <c r="Z2797" s="32"/>
      <c r="AA2797" s="32"/>
      <c r="AB2797" s="32"/>
    </row>
    <row r="2798" spans="2:28" ht="23.25" customHeight="1" x14ac:dyDescent="0.2">
      <c r="B2798" s="75"/>
      <c r="C2798" s="67"/>
      <c r="D2798" s="75"/>
      <c r="E2798" s="67"/>
      <c r="F2798" s="67"/>
      <c r="G2798" s="70"/>
      <c r="H2798" s="70"/>
      <c r="I2798" s="70"/>
      <c r="J2798" s="70"/>
      <c r="K2798" s="70"/>
      <c r="L2798" s="67"/>
      <c r="M2798" s="67"/>
      <c r="N2798" s="72"/>
      <c r="O2798" s="72"/>
      <c r="P2798" s="67"/>
      <c r="Q2798" s="67"/>
      <c r="R2798" s="67"/>
      <c r="S2798" s="67"/>
      <c r="T2798" s="32"/>
      <c r="U2798" s="32"/>
      <c r="X2798" s="32"/>
      <c r="Y2798" s="32"/>
      <c r="Z2798" s="32"/>
      <c r="AA2798" s="32"/>
      <c r="AB2798" s="32"/>
    </row>
    <row r="2799" spans="2:28" ht="23.25" customHeight="1" x14ac:dyDescent="0.2">
      <c r="B2799" s="75"/>
      <c r="C2799" s="67"/>
      <c r="D2799" s="75"/>
      <c r="E2799" s="67"/>
      <c r="F2799" s="67"/>
      <c r="G2799" s="70"/>
      <c r="H2799" s="70"/>
      <c r="I2799" s="70"/>
      <c r="J2799" s="70"/>
      <c r="K2799" s="70"/>
      <c r="L2799" s="67"/>
      <c r="M2799" s="67"/>
      <c r="N2799" s="72"/>
      <c r="O2799" s="72"/>
      <c r="P2799" s="67"/>
      <c r="Q2799" s="67"/>
      <c r="R2799" s="67"/>
      <c r="S2799" s="67"/>
      <c r="T2799" s="32"/>
      <c r="U2799" s="32"/>
      <c r="X2799" s="32"/>
      <c r="Y2799" s="32"/>
      <c r="Z2799" s="32"/>
      <c r="AA2799" s="32"/>
      <c r="AB2799" s="32"/>
    </row>
    <row r="2800" spans="2:28" ht="23.25" customHeight="1" x14ac:dyDescent="0.2">
      <c r="B2800" s="75"/>
      <c r="C2800" s="67"/>
      <c r="D2800" s="75"/>
      <c r="E2800" s="67"/>
      <c r="F2800" s="67"/>
      <c r="G2800" s="70"/>
      <c r="H2800" s="70"/>
      <c r="I2800" s="70"/>
      <c r="J2800" s="70"/>
      <c r="K2800" s="70"/>
      <c r="L2800" s="67"/>
      <c r="M2800" s="67"/>
      <c r="N2800" s="72"/>
      <c r="O2800" s="72"/>
      <c r="P2800" s="67"/>
      <c r="Q2800" s="67"/>
      <c r="R2800" s="67"/>
      <c r="S2800" s="67"/>
      <c r="T2800" s="32"/>
      <c r="U2800" s="32"/>
      <c r="X2800" s="32"/>
      <c r="Y2800" s="32"/>
      <c r="Z2800" s="32"/>
      <c r="AA2800" s="32"/>
      <c r="AB2800" s="32"/>
    </row>
    <row r="2801" spans="2:28" ht="23.25" customHeight="1" x14ac:dyDescent="0.2">
      <c r="B2801" s="75"/>
      <c r="C2801" s="67"/>
      <c r="D2801" s="75"/>
      <c r="E2801" s="67"/>
      <c r="F2801" s="67"/>
      <c r="G2801" s="70"/>
      <c r="H2801" s="70"/>
      <c r="I2801" s="70"/>
      <c r="J2801" s="70"/>
      <c r="K2801" s="70"/>
      <c r="L2801" s="67"/>
      <c r="M2801" s="67"/>
      <c r="N2801" s="72"/>
      <c r="O2801" s="72"/>
      <c r="P2801" s="67"/>
      <c r="Q2801" s="67"/>
      <c r="R2801" s="67"/>
      <c r="S2801" s="67"/>
      <c r="T2801" s="32"/>
      <c r="U2801" s="32"/>
      <c r="X2801" s="32"/>
      <c r="Y2801" s="32"/>
      <c r="Z2801" s="32"/>
      <c r="AA2801" s="32"/>
      <c r="AB2801" s="32"/>
    </row>
    <row r="2802" spans="2:28" ht="23.25" customHeight="1" x14ac:dyDescent="0.2">
      <c r="B2802" s="75"/>
      <c r="C2802" s="67"/>
      <c r="D2802" s="75"/>
      <c r="E2802" s="67"/>
      <c r="F2802" s="67"/>
      <c r="G2802" s="70"/>
      <c r="H2802" s="70"/>
      <c r="I2802" s="70"/>
      <c r="J2802" s="70"/>
      <c r="K2802" s="70"/>
      <c r="L2802" s="67"/>
      <c r="M2802" s="67"/>
      <c r="N2802" s="72"/>
      <c r="O2802" s="72"/>
      <c r="P2802" s="67"/>
      <c r="Q2802" s="67"/>
      <c r="R2802" s="67"/>
      <c r="S2802" s="67"/>
      <c r="T2802" s="32"/>
      <c r="U2802" s="32"/>
      <c r="X2802" s="32"/>
      <c r="Y2802" s="32"/>
      <c r="Z2802" s="32"/>
      <c r="AA2802" s="32"/>
      <c r="AB2802" s="32"/>
    </row>
    <row r="2803" spans="2:28" ht="23.25" customHeight="1" x14ac:dyDescent="0.2">
      <c r="B2803" s="75"/>
      <c r="C2803" s="67"/>
      <c r="D2803" s="75"/>
      <c r="E2803" s="67"/>
      <c r="F2803" s="67"/>
      <c r="G2803" s="70"/>
      <c r="H2803" s="70"/>
      <c r="I2803" s="70"/>
      <c r="J2803" s="70"/>
      <c r="K2803" s="70"/>
      <c r="L2803" s="67"/>
      <c r="M2803" s="67"/>
      <c r="N2803" s="72"/>
      <c r="O2803" s="72"/>
      <c r="P2803" s="67"/>
      <c r="Q2803" s="67"/>
      <c r="R2803" s="67"/>
      <c r="S2803" s="67"/>
      <c r="T2803" s="32"/>
      <c r="U2803" s="32"/>
      <c r="X2803" s="32"/>
      <c r="Y2803" s="32"/>
      <c r="Z2803" s="32"/>
      <c r="AA2803" s="32"/>
      <c r="AB2803" s="32"/>
    </row>
    <row r="2804" spans="2:28" ht="23.25" customHeight="1" x14ac:dyDescent="0.2">
      <c r="B2804" s="75"/>
      <c r="C2804" s="67"/>
      <c r="D2804" s="75"/>
      <c r="E2804" s="67"/>
      <c r="F2804" s="67"/>
      <c r="G2804" s="70"/>
      <c r="H2804" s="70"/>
      <c r="I2804" s="70"/>
      <c r="J2804" s="70"/>
      <c r="K2804" s="70"/>
      <c r="L2804" s="67"/>
      <c r="M2804" s="67"/>
      <c r="N2804" s="72"/>
      <c r="O2804" s="72"/>
      <c r="P2804" s="67"/>
      <c r="Q2804" s="67"/>
      <c r="R2804" s="67"/>
      <c r="S2804" s="67"/>
      <c r="T2804" s="32"/>
      <c r="U2804" s="32"/>
      <c r="X2804" s="32"/>
      <c r="Y2804" s="32"/>
      <c r="Z2804" s="32"/>
      <c r="AA2804" s="32"/>
      <c r="AB2804" s="32"/>
    </row>
    <row r="2805" spans="2:28" ht="23.25" customHeight="1" x14ac:dyDescent="0.2">
      <c r="B2805" s="75"/>
      <c r="C2805" s="67"/>
      <c r="D2805" s="75"/>
      <c r="E2805" s="67"/>
      <c r="F2805" s="67"/>
      <c r="G2805" s="70"/>
      <c r="H2805" s="70"/>
      <c r="I2805" s="70"/>
      <c r="J2805" s="70"/>
      <c r="K2805" s="70"/>
      <c r="L2805" s="67"/>
      <c r="M2805" s="67"/>
      <c r="N2805" s="72"/>
      <c r="O2805" s="72"/>
      <c r="P2805" s="67"/>
      <c r="Q2805" s="67"/>
      <c r="R2805" s="67"/>
      <c r="S2805" s="67"/>
      <c r="T2805" s="32"/>
      <c r="U2805" s="32"/>
      <c r="X2805" s="32"/>
      <c r="Y2805" s="32"/>
      <c r="Z2805" s="32"/>
      <c r="AA2805" s="32"/>
      <c r="AB2805" s="32"/>
    </row>
    <row r="2806" spans="2:28" ht="23.25" customHeight="1" x14ac:dyDescent="0.2">
      <c r="B2806" s="75"/>
      <c r="C2806" s="67"/>
      <c r="D2806" s="75"/>
      <c r="E2806" s="67"/>
      <c r="F2806" s="67"/>
      <c r="G2806" s="70"/>
      <c r="H2806" s="70"/>
      <c r="I2806" s="70"/>
      <c r="J2806" s="70"/>
      <c r="K2806" s="70"/>
      <c r="L2806" s="67"/>
      <c r="M2806" s="67"/>
      <c r="N2806" s="72"/>
      <c r="O2806" s="72"/>
      <c r="P2806" s="67"/>
      <c r="Q2806" s="67"/>
      <c r="R2806" s="67"/>
      <c r="S2806" s="67"/>
      <c r="T2806" s="32"/>
      <c r="U2806" s="32"/>
      <c r="X2806" s="32"/>
      <c r="Y2806" s="32"/>
      <c r="Z2806" s="32"/>
      <c r="AA2806" s="32"/>
      <c r="AB2806" s="32"/>
    </row>
    <row r="2807" spans="2:28" ht="23.25" customHeight="1" x14ac:dyDescent="0.2">
      <c r="B2807" s="75"/>
      <c r="C2807" s="67"/>
      <c r="D2807" s="75"/>
      <c r="E2807" s="67"/>
      <c r="F2807" s="67"/>
      <c r="G2807" s="70"/>
      <c r="H2807" s="70"/>
      <c r="I2807" s="70"/>
      <c r="J2807" s="70"/>
      <c r="K2807" s="70"/>
      <c r="L2807" s="67"/>
      <c r="M2807" s="67"/>
      <c r="N2807" s="72"/>
      <c r="O2807" s="72"/>
      <c r="P2807" s="67"/>
      <c r="Q2807" s="67"/>
      <c r="R2807" s="67"/>
      <c r="S2807" s="67"/>
      <c r="T2807" s="32"/>
      <c r="U2807" s="32"/>
      <c r="X2807" s="32"/>
      <c r="Y2807" s="32"/>
      <c r="Z2807" s="32"/>
      <c r="AA2807" s="32"/>
      <c r="AB2807" s="32"/>
    </row>
    <row r="2808" spans="2:28" ht="23.25" customHeight="1" x14ac:dyDescent="0.2">
      <c r="B2808" s="75"/>
      <c r="C2808" s="67"/>
      <c r="D2808" s="75"/>
      <c r="E2808" s="67"/>
      <c r="F2808" s="67"/>
      <c r="G2808" s="70"/>
      <c r="H2808" s="70"/>
      <c r="I2808" s="70"/>
      <c r="J2808" s="70"/>
      <c r="K2808" s="70"/>
      <c r="L2808" s="67"/>
      <c r="M2808" s="67"/>
      <c r="N2808" s="72"/>
      <c r="O2808" s="72"/>
      <c r="P2808" s="67"/>
      <c r="Q2808" s="67"/>
      <c r="R2808" s="67"/>
      <c r="S2808" s="67"/>
      <c r="T2808" s="32"/>
      <c r="U2808" s="32"/>
      <c r="X2808" s="32"/>
      <c r="Y2808" s="32"/>
      <c r="Z2808" s="32"/>
      <c r="AA2808" s="32"/>
      <c r="AB2808" s="32"/>
    </row>
    <row r="2809" spans="2:28" ht="23.25" customHeight="1" x14ac:dyDescent="0.2">
      <c r="B2809" s="75"/>
      <c r="C2809" s="67"/>
      <c r="D2809" s="75"/>
      <c r="E2809" s="67"/>
      <c r="F2809" s="67"/>
      <c r="G2809" s="70"/>
      <c r="H2809" s="70"/>
      <c r="I2809" s="70"/>
      <c r="J2809" s="70"/>
      <c r="K2809" s="70"/>
      <c r="L2809" s="67"/>
      <c r="M2809" s="67"/>
      <c r="N2809" s="72"/>
      <c r="O2809" s="72"/>
      <c r="P2809" s="67"/>
      <c r="Q2809" s="67"/>
      <c r="R2809" s="67"/>
      <c r="S2809" s="67"/>
      <c r="T2809" s="32"/>
      <c r="U2809" s="32"/>
      <c r="X2809" s="32"/>
      <c r="Y2809" s="32"/>
      <c r="Z2809" s="32"/>
      <c r="AA2809" s="32"/>
      <c r="AB2809" s="32"/>
    </row>
    <row r="2810" spans="2:28" ht="23.25" customHeight="1" x14ac:dyDescent="0.2">
      <c r="B2810" s="75"/>
      <c r="C2810" s="67"/>
      <c r="D2810" s="75"/>
      <c r="E2810" s="67"/>
      <c r="F2810" s="67"/>
      <c r="G2810" s="70"/>
      <c r="H2810" s="70"/>
      <c r="I2810" s="70"/>
      <c r="J2810" s="70"/>
      <c r="K2810" s="70"/>
      <c r="L2810" s="67"/>
      <c r="M2810" s="67"/>
      <c r="N2810" s="72"/>
      <c r="O2810" s="72"/>
      <c r="P2810" s="67"/>
      <c r="Q2810" s="67"/>
      <c r="R2810" s="67"/>
      <c r="S2810" s="67"/>
      <c r="T2810" s="32"/>
      <c r="U2810" s="32"/>
      <c r="X2810" s="32"/>
      <c r="Y2810" s="32"/>
      <c r="Z2810" s="32"/>
      <c r="AA2810" s="32"/>
      <c r="AB2810" s="32"/>
    </row>
    <row r="2811" spans="2:28" ht="23.25" customHeight="1" x14ac:dyDescent="0.2">
      <c r="B2811" s="75"/>
      <c r="C2811" s="67"/>
      <c r="D2811" s="75"/>
      <c r="E2811" s="67"/>
      <c r="F2811" s="67"/>
      <c r="G2811" s="70"/>
      <c r="H2811" s="70"/>
      <c r="I2811" s="70"/>
      <c r="J2811" s="70"/>
      <c r="K2811" s="70"/>
      <c r="L2811" s="67"/>
      <c r="M2811" s="67"/>
      <c r="N2811" s="72"/>
      <c r="O2811" s="72"/>
      <c r="P2811" s="67"/>
      <c r="Q2811" s="67"/>
      <c r="R2811" s="67"/>
      <c r="S2811" s="67"/>
      <c r="T2811" s="32"/>
      <c r="U2811" s="32"/>
      <c r="X2811" s="32"/>
      <c r="Y2811" s="32"/>
      <c r="Z2811" s="32"/>
      <c r="AA2811" s="32"/>
      <c r="AB2811" s="32"/>
    </row>
    <row r="2812" spans="2:28" ht="23.25" customHeight="1" x14ac:dyDescent="0.2">
      <c r="B2812" s="75"/>
      <c r="C2812" s="67"/>
      <c r="D2812" s="75"/>
      <c r="E2812" s="67"/>
      <c r="F2812" s="67"/>
      <c r="G2812" s="70"/>
      <c r="H2812" s="70"/>
      <c r="I2812" s="70"/>
      <c r="J2812" s="70"/>
      <c r="K2812" s="70"/>
      <c r="L2812" s="67"/>
      <c r="M2812" s="67"/>
      <c r="N2812" s="72"/>
      <c r="O2812" s="72"/>
      <c r="P2812" s="67"/>
      <c r="Q2812" s="67"/>
      <c r="R2812" s="67"/>
      <c r="S2812" s="67"/>
      <c r="T2812" s="32"/>
      <c r="U2812" s="32"/>
      <c r="X2812" s="32"/>
      <c r="Y2812" s="32"/>
      <c r="Z2812" s="32"/>
      <c r="AA2812" s="32"/>
      <c r="AB2812" s="32"/>
    </row>
    <row r="2813" spans="2:28" ht="23.25" customHeight="1" x14ac:dyDescent="0.2">
      <c r="B2813" s="75"/>
      <c r="C2813" s="67"/>
      <c r="D2813" s="75"/>
      <c r="E2813" s="67"/>
      <c r="F2813" s="67"/>
      <c r="G2813" s="70"/>
      <c r="H2813" s="70"/>
      <c r="I2813" s="70"/>
      <c r="J2813" s="70"/>
      <c r="K2813" s="70"/>
      <c r="L2813" s="67"/>
      <c r="M2813" s="67"/>
      <c r="N2813" s="72"/>
      <c r="O2813" s="72"/>
      <c r="P2813" s="67"/>
      <c r="Q2813" s="67"/>
      <c r="R2813" s="67"/>
      <c r="S2813" s="67"/>
      <c r="T2813" s="32"/>
      <c r="U2813" s="32"/>
      <c r="X2813" s="32"/>
      <c r="Y2813" s="32"/>
      <c r="Z2813" s="32"/>
      <c r="AA2813" s="32"/>
      <c r="AB2813" s="32"/>
    </row>
    <row r="2814" spans="2:28" ht="23.25" customHeight="1" x14ac:dyDescent="0.2">
      <c r="B2814" s="75"/>
      <c r="C2814" s="67"/>
      <c r="D2814" s="75"/>
      <c r="E2814" s="67"/>
      <c r="F2814" s="67"/>
      <c r="G2814" s="70"/>
      <c r="H2814" s="70"/>
      <c r="I2814" s="70"/>
      <c r="J2814" s="70"/>
      <c r="K2814" s="70"/>
      <c r="L2814" s="67"/>
      <c r="M2814" s="67"/>
      <c r="N2814" s="72"/>
      <c r="O2814" s="72"/>
      <c r="P2814" s="67"/>
      <c r="Q2814" s="67"/>
      <c r="R2814" s="67"/>
      <c r="S2814" s="67"/>
      <c r="T2814" s="32"/>
      <c r="U2814" s="32"/>
      <c r="X2814" s="32"/>
      <c r="Y2814" s="32"/>
      <c r="Z2814" s="32"/>
      <c r="AA2814" s="32"/>
      <c r="AB2814" s="32"/>
    </row>
    <row r="2815" spans="2:28" ht="23.25" customHeight="1" x14ac:dyDescent="0.2">
      <c r="B2815" s="75"/>
      <c r="C2815" s="67"/>
      <c r="D2815" s="75"/>
      <c r="E2815" s="67"/>
      <c r="F2815" s="67"/>
      <c r="G2815" s="70"/>
      <c r="H2815" s="70"/>
      <c r="I2815" s="70"/>
      <c r="J2815" s="70"/>
      <c r="K2815" s="70"/>
      <c r="L2815" s="67"/>
      <c r="M2815" s="67"/>
      <c r="N2815" s="72"/>
      <c r="O2815" s="72"/>
      <c r="P2815" s="67"/>
      <c r="Q2815" s="67"/>
      <c r="R2815" s="67"/>
      <c r="S2815" s="67"/>
      <c r="T2815" s="32"/>
      <c r="U2815" s="32"/>
      <c r="X2815" s="32"/>
      <c r="Y2815" s="32"/>
      <c r="Z2815" s="32"/>
      <c r="AA2815" s="32"/>
      <c r="AB2815" s="32"/>
    </row>
    <row r="2816" spans="2:28" ht="23.25" customHeight="1" x14ac:dyDescent="0.2">
      <c r="B2816" s="75"/>
      <c r="C2816" s="67"/>
      <c r="D2816" s="75"/>
      <c r="E2816" s="67"/>
      <c r="F2816" s="67"/>
      <c r="G2816" s="70"/>
      <c r="H2816" s="70"/>
      <c r="I2816" s="70"/>
      <c r="J2816" s="70"/>
      <c r="K2816" s="70"/>
      <c r="L2816" s="67"/>
      <c r="M2816" s="67"/>
      <c r="N2816" s="72"/>
      <c r="O2816" s="72"/>
      <c r="P2816" s="67"/>
      <c r="Q2816" s="67"/>
      <c r="R2816" s="67"/>
      <c r="S2816" s="67"/>
      <c r="T2816" s="32"/>
      <c r="U2816" s="32"/>
      <c r="X2816" s="32"/>
      <c r="Y2816" s="32"/>
      <c r="Z2816" s="32"/>
      <c r="AA2816" s="32"/>
      <c r="AB2816" s="32"/>
    </row>
    <row r="2817" spans="2:28" ht="23.25" customHeight="1" x14ac:dyDescent="0.2">
      <c r="B2817" s="75"/>
      <c r="C2817" s="67"/>
      <c r="D2817" s="75"/>
      <c r="E2817" s="67"/>
      <c r="F2817" s="67"/>
      <c r="G2817" s="70"/>
      <c r="H2817" s="70"/>
      <c r="I2817" s="70"/>
      <c r="J2817" s="70"/>
      <c r="K2817" s="70"/>
      <c r="L2817" s="67"/>
      <c r="M2817" s="67"/>
      <c r="N2817" s="72"/>
      <c r="O2817" s="72"/>
      <c r="P2817" s="67"/>
      <c r="Q2817" s="67"/>
      <c r="R2817" s="67"/>
      <c r="S2817" s="67"/>
      <c r="T2817" s="32"/>
      <c r="U2817" s="32"/>
      <c r="X2817" s="32"/>
      <c r="Y2817" s="32"/>
      <c r="Z2817" s="32"/>
      <c r="AA2817" s="32"/>
      <c r="AB2817" s="32"/>
    </row>
    <row r="2818" spans="2:28" ht="23.25" customHeight="1" x14ac:dyDescent="0.2">
      <c r="B2818" s="75"/>
      <c r="C2818" s="67"/>
      <c r="D2818" s="75"/>
      <c r="E2818" s="67"/>
      <c r="F2818" s="67"/>
      <c r="G2818" s="70"/>
      <c r="H2818" s="70"/>
      <c r="I2818" s="70"/>
      <c r="J2818" s="70"/>
      <c r="K2818" s="70"/>
      <c r="L2818" s="67"/>
      <c r="M2818" s="67"/>
      <c r="N2818" s="72"/>
      <c r="O2818" s="72"/>
      <c r="P2818" s="67"/>
      <c r="Q2818" s="67"/>
      <c r="R2818" s="67"/>
      <c r="S2818" s="67"/>
      <c r="T2818" s="32"/>
      <c r="U2818" s="32"/>
      <c r="X2818" s="32"/>
      <c r="Y2818" s="32"/>
      <c r="Z2818" s="32"/>
      <c r="AA2818" s="32"/>
      <c r="AB2818" s="32"/>
    </row>
    <row r="2819" spans="2:28" ht="23.25" customHeight="1" x14ac:dyDescent="0.2">
      <c r="B2819" s="75"/>
      <c r="C2819" s="67"/>
      <c r="D2819" s="75"/>
      <c r="E2819" s="67"/>
      <c r="F2819" s="67"/>
      <c r="G2819" s="70"/>
      <c r="H2819" s="70"/>
      <c r="I2819" s="70"/>
      <c r="J2819" s="70"/>
      <c r="K2819" s="70"/>
      <c r="L2819" s="67"/>
      <c r="M2819" s="67"/>
      <c r="N2819" s="72"/>
      <c r="O2819" s="72"/>
      <c r="P2819" s="67"/>
      <c r="Q2819" s="67"/>
      <c r="R2819" s="67"/>
      <c r="S2819" s="67"/>
      <c r="T2819" s="32"/>
      <c r="U2819" s="32"/>
      <c r="X2819" s="32"/>
      <c r="Y2819" s="32"/>
      <c r="Z2819" s="32"/>
      <c r="AA2819" s="32"/>
      <c r="AB2819" s="32"/>
    </row>
    <row r="2820" spans="2:28" ht="23.25" customHeight="1" x14ac:dyDescent="0.2">
      <c r="B2820" s="75"/>
      <c r="C2820" s="67"/>
      <c r="D2820" s="75"/>
      <c r="E2820" s="67"/>
      <c r="F2820" s="67"/>
      <c r="G2820" s="70"/>
      <c r="H2820" s="70"/>
      <c r="I2820" s="70"/>
      <c r="J2820" s="70"/>
      <c r="K2820" s="70"/>
      <c r="L2820" s="67"/>
      <c r="M2820" s="67"/>
      <c r="N2820" s="72"/>
      <c r="O2820" s="72"/>
      <c r="P2820" s="67"/>
      <c r="Q2820" s="67"/>
      <c r="R2820" s="67"/>
      <c r="S2820" s="67"/>
      <c r="T2820" s="32"/>
      <c r="U2820" s="32"/>
      <c r="X2820" s="32"/>
      <c r="Y2820" s="32"/>
      <c r="Z2820" s="32"/>
      <c r="AA2820" s="32"/>
      <c r="AB2820" s="32"/>
    </row>
    <row r="2821" spans="2:28" ht="23.25" customHeight="1" x14ac:dyDescent="0.2">
      <c r="B2821" s="75"/>
      <c r="C2821" s="67"/>
      <c r="D2821" s="75"/>
      <c r="E2821" s="67"/>
      <c r="F2821" s="67"/>
      <c r="G2821" s="70"/>
      <c r="H2821" s="70"/>
      <c r="I2821" s="70"/>
      <c r="J2821" s="70"/>
      <c r="K2821" s="70"/>
      <c r="L2821" s="67"/>
      <c r="M2821" s="67"/>
      <c r="N2821" s="72"/>
      <c r="O2821" s="72"/>
      <c r="P2821" s="67"/>
      <c r="Q2821" s="67"/>
      <c r="R2821" s="67"/>
      <c r="S2821" s="67"/>
      <c r="T2821" s="32"/>
      <c r="U2821" s="32"/>
      <c r="X2821" s="32"/>
      <c r="Y2821" s="32"/>
      <c r="Z2821" s="32"/>
      <c r="AA2821" s="32"/>
      <c r="AB2821" s="32"/>
    </row>
    <row r="2822" spans="2:28" ht="23.25" customHeight="1" x14ac:dyDescent="0.2">
      <c r="B2822" s="75"/>
      <c r="C2822" s="67"/>
      <c r="D2822" s="75"/>
      <c r="E2822" s="67"/>
      <c r="F2822" s="67"/>
      <c r="G2822" s="70"/>
      <c r="H2822" s="70"/>
      <c r="I2822" s="70"/>
      <c r="J2822" s="70"/>
      <c r="K2822" s="70"/>
      <c r="L2822" s="67"/>
      <c r="M2822" s="67"/>
      <c r="N2822" s="72"/>
      <c r="O2822" s="72"/>
      <c r="P2822" s="67"/>
      <c r="Q2822" s="67"/>
      <c r="R2822" s="67"/>
      <c r="S2822" s="67"/>
      <c r="T2822" s="32"/>
      <c r="U2822" s="32"/>
      <c r="X2822" s="32"/>
      <c r="Y2822" s="32"/>
      <c r="Z2822" s="32"/>
      <c r="AA2822" s="32"/>
      <c r="AB2822" s="32"/>
    </row>
    <row r="2823" spans="2:28" ht="23.25" customHeight="1" x14ac:dyDescent="0.2">
      <c r="B2823" s="75"/>
      <c r="C2823" s="67"/>
      <c r="D2823" s="75"/>
      <c r="E2823" s="67"/>
      <c r="F2823" s="67"/>
      <c r="G2823" s="70"/>
      <c r="H2823" s="70"/>
      <c r="I2823" s="70"/>
      <c r="J2823" s="70"/>
      <c r="K2823" s="70"/>
      <c r="L2823" s="67"/>
      <c r="M2823" s="67"/>
      <c r="N2823" s="72"/>
      <c r="O2823" s="72"/>
      <c r="P2823" s="67"/>
      <c r="Q2823" s="67"/>
      <c r="R2823" s="67"/>
      <c r="S2823" s="67"/>
      <c r="T2823" s="32"/>
      <c r="U2823" s="32"/>
      <c r="X2823" s="32"/>
      <c r="Y2823" s="32"/>
      <c r="Z2823" s="32"/>
      <c r="AA2823" s="32"/>
      <c r="AB2823" s="32"/>
    </row>
    <row r="2824" spans="2:28" ht="23.25" customHeight="1" x14ac:dyDescent="0.2">
      <c r="B2824" s="75"/>
      <c r="C2824" s="67"/>
      <c r="D2824" s="75"/>
      <c r="E2824" s="67"/>
      <c r="F2824" s="67"/>
      <c r="G2824" s="70"/>
      <c r="H2824" s="70"/>
      <c r="I2824" s="70"/>
      <c r="J2824" s="70"/>
      <c r="K2824" s="70"/>
      <c r="L2824" s="67"/>
      <c r="M2824" s="67"/>
      <c r="N2824" s="72"/>
      <c r="O2824" s="72"/>
      <c r="P2824" s="67"/>
      <c r="Q2824" s="67"/>
      <c r="R2824" s="67"/>
      <c r="S2824" s="67"/>
      <c r="T2824" s="32"/>
      <c r="U2824" s="32"/>
      <c r="X2824" s="32"/>
      <c r="Y2824" s="32"/>
      <c r="Z2824" s="32"/>
      <c r="AA2824" s="32"/>
      <c r="AB2824" s="32"/>
    </row>
    <row r="2825" spans="2:28" ht="23.25" customHeight="1" x14ac:dyDescent="0.2">
      <c r="B2825" s="75"/>
      <c r="C2825" s="67"/>
      <c r="D2825" s="75"/>
      <c r="E2825" s="67"/>
      <c r="F2825" s="67"/>
      <c r="G2825" s="70"/>
      <c r="H2825" s="70"/>
      <c r="I2825" s="70"/>
      <c r="J2825" s="70"/>
      <c r="K2825" s="70"/>
      <c r="L2825" s="67"/>
      <c r="M2825" s="67"/>
      <c r="N2825" s="72"/>
      <c r="O2825" s="72"/>
      <c r="P2825" s="67"/>
      <c r="Q2825" s="67"/>
      <c r="R2825" s="67"/>
      <c r="S2825" s="67"/>
      <c r="T2825" s="32"/>
      <c r="U2825" s="32"/>
      <c r="X2825" s="32"/>
      <c r="Y2825" s="32"/>
      <c r="Z2825" s="32"/>
      <c r="AA2825" s="32"/>
      <c r="AB2825" s="32"/>
    </row>
    <row r="2826" spans="2:28" ht="23.25" customHeight="1" x14ac:dyDescent="0.2">
      <c r="B2826" s="75"/>
      <c r="C2826" s="67"/>
      <c r="D2826" s="75"/>
      <c r="E2826" s="67"/>
      <c r="F2826" s="67"/>
      <c r="G2826" s="70"/>
      <c r="H2826" s="70"/>
      <c r="I2826" s="70"/>
      <c r="J2826" s="70"/>
      <c r="K2826" s="70"/>
      <c r="L2826" s="67"/>
      <c r="M2826" s="67"/>
      <c r="N2826" s="72"/>
      <c r="O2826" s="72"/>
      <c r="P2826" s="67"/>
      <c r="Q2826" s="67"/>
      <c r="R2826" s="67"/>
      <c r="S2826" s="67"/>
      <c r="T2826" s="32"/>
      <c r="U2826" s="32"/>
      <c r="X2826" s="32"/>
      <c r="Y2826" s="32"/>
      <c r="Z2826" s="32"/>
      <c r="AA2826" s="32"/>
      <c r="AB2826" s="32"/>
    </row>
    <row r="2827" spans="2:28" ht="23.25" customHeight="1" x14ac:dyDescent="0.2">
      <c r="B2827" s="75"/>
      <c r="C2827" s="67"/>
      <c r="D2827" s="75"/>
      <c r="E2827" s="67"/>
      <c r="F2827" s="67"/>
      <c r="G2827" s="70"/>
      <c r="H2827" s="70"/>
      <c r="I2827" s="70"/>
      <c r="J2827" s="70"/>
      <c r="K2827" s="70"/>
      <c r="L2827" s="67"/>
      <c r="M2827" s="67"/>
      <c r="N2827" s="72"/>
      <c r="O2827" s="72"/>
      <c r="P2827" s="67"/>
      <c r="Q2827" s="67"/>
      <c r="R2827" s="67"/>
      <c r="S2827" s="67"/>
      <c r="T2827" s="32"/>
      <c r="U2827" s="32"/>
      <c r="X2827" s="32"/>
      <c r="Y2827" s="32"/>
      <c r="Z2827" s="32"/>
      <c r="AA2827" s="32"/>
      <c r="AB2827" s="32"/>
    </row>
    <row r="2828" spans="2:28" ht="23.25" customHeight="1" x14ac:dyDescent="0.2">
      <c r="B2828" s="75"/>
      <c r="C2828" s="67"/>
      <c r="D2828" s="75"/>
      <c r="E2828" s="67"/>
      <c r="F2828" s="67"/>
      <c r="G2828" s="70"/>
      <c r="H2828" s="70"/>
      <c r="I2828" s="70"/>
      <c r="J2828" s="70"/>
      <c r="K2828" s="70"/>
      <c r="L2828" s="67"/>
      <c r="M2828" s="67"/>
      <c r="N2828" s="72"/>
      <c r="O2828" s="72"/>
      <c r="P2828" s="67"/>
      <c r="Q2828" s="67"/>
      <c r="R2828" s="67"/>
      <c r="S2828" s="67"/>
      <c r="T2828" s="32"/>
      <c r="U2828" s="32"/>
      <c r="X2828" s="32"/>
      <c r="Y2828" s="32"/>
      <c r="Z2828" s="32"/>
      <c r="AA2828" s="32"/>
      <c r="AB2828" s="32"/>
    </row>
    <row r="2829" spans="2:28" ht="23.25" customHeight="1" x14ac:dyDescent="0.2">
      <c r="B2829" s="75"/>
      <c r="C2829" s="67"/>
      <c r="D2829" s="75"/>
      <c r="E2829" s="67"/>
      <c r="F2829" s="67"/>
      <c r="G2829" s="70"/>
      <c r="H2829" s="70"/>
      <c r="I2829" s="70"/>
      <c r="J2829" s="70"/>
      <c r="K2829" s="70"/>
      <c r="L2829" s="67"/>
      <c r="M2829" s="67"/>
      <c r="N2829" s="72"/>
      <c r="O2829" s="72"/>
      <c r="P2829" s="67"/>
      <c r="Q2829" s="67"/>
      <c r="R2829" s="67"/>
      <c r="S2829" s="67"/>
      <c r="T2829" s="32"/>
      <c r="U2829" s="32"/>
      <c r="X2829" s="32"/>
      <c r="Y2829" s="32"/>
      <c r="Z2829" s="32"/>
      <c r="AA2829" s="32"/>
      <c r="AB2829" s="32"/>
    </row>
    <row r="2830" spans="2:28" ht="23.25" customHeight="1" x14ac:dyDescent="0.2">
      <c r="B2830" s="75"/>
      <c r="C2830" s="67"/>
      <c r="D2830" s="75"/>
      <c r="E2830" s="67"/>
      <c r="F2830" s="67"/>
      <c r="G2830" s="70"/>
      <c r="H2830" s="70"/>
      <c r="I2830" s="70"/>
      <c r="J2830" s="70"/>
      <c r="K2830" s="70"/>
      <c r="L2830" s="67"/>
      <c r="M2830" s="67"/>
      <c r="N2830" s="72"/>
      <c r="O2830" s="72"/>
      <c r="P2830" s="67"/>
      <c r="Q2830" s="67"/>
      <c r="R2830" s="67"/>
      <c r="S2830" s="67"/>
      <c r="T2830" s="32"/>
      <c r="U2830" s="32"/>
      <c r="X2830" s="32"/>
      <c r="Y2830" s="32"/>
      <c r="Z2830" s="32"/>
      <c r="AA2830" s="32"/>
      <c r="AB2830" s="32"/>
    </row>
    <row r="2831" spans="2:28" ht="23.25" customHeight="1" x14ac:dyDescent="0.2">
      <c r="B2831" s="75"/>
      <c r="C2831" s="67"/>
      <c r="D2831" s="75"/>
      <c r="E2831" s="67"/>
      <c r="F2831" s="67"/>
      <c r="G2831" s="70"/>
      <c r="H2831" s="70"/>
      <c r="I2831" s="70"/>
      <c r="J2831" s="70"/>
      <c r="K2831" s="70"/>
      <c r="L2831" s="67"/>
      <c r="M2831" s="67"/>
      <c r="N2831" s="72"/>
      <c r="O2831" s="72"/>
      <c r="P2831" s="67"/>
      <c r="Q2831" s="67"/>
      <c r="R2831" s="67"/>
      <c r="S2831" s="67"/>
      <c r="T2831" s="32"/>
      <c r="U2831" s="32"/>
      <c r="X2831" s="32"/>
      <c r="Y2831" s="32"/>
      <c r="Z2831" s="32"/>
      <c r="AA2831" s="32"/>
      <c r="AB2831" s="32"/>
    </row>
    <row r="2832" spans="2:28" ht="23.25" customHeight="1" x14ac:dyDescent="0.2">
      <c r="B2832" s="75"/>
      <c r="C2832" s="67"/>
      <c r="D2832" s="75"/>
      <c r="E2832" s="67"/>
      <c r="F2832" s="67"/>
      <c r="G2832" s="70"/>
      <c r="H2832" s="70"/>
      <c r="I2832" s="70"/>
      <c r="J2832" s="70"/>
      <c r="K2832" s="70"/>
      <c r="L2832" s="67"/>
      <c r="M2832" s="67"/>
      <c r="N2832" s="72"/>
      <c r="O2832" s="72"/>
      <c r="P2832" s="67"/>
      <c r="Q2832" s="67"/>
      <c r="R2832" s="67"/>
      <c r="S2832" s="67"/>
      <c r="T2832" s="32"/>
      <c r="U2832" s="32"/>
      <c r="X2832" s="32"/>
      <c r="Y2832" s="32"/>
      <c r="Z2832" s="32"/>
      <c r="AA2832" s="32"/>
      <c r="AB2832" s="32"/>
    </row>
    <row r="2833" spans="2:28" ht="23.25" customHeight="1" x14ac:dyDescent="0.2">
      <c r="B2833" s="75"/>
      <c r="C2833" s="67"/>
      <c r="D2833" s="75"/>
      <c r="E2833" s="67"/>
      <c r="F2833" s="67"/>
      <c r="G2833" s="70"/>
      <c r="H2833" s="70"/>
      <c r="I2833" s="70"/>
      <c r="J2833" s="70"/>
      <c r="K2833" s="70"/>
      <c r="L2833" s="67"/>
      <c r="M2833" s="67"/>
      <c r="N2833" s="72"/>
      <c r="O2833" s="72"/>
      <c r="P2833" s="67"/>
      <c r="Q2833" s="67"/>
      <c r="R2833" s="67"/>
      <c r="S2833" s="67"/>
      <c r="T2833" s="32"/>
      <c r="U2833" s="32"/>
      <c r="X2833" s="32"/>
      <c r="Y2833" s="32"/>
      <c r="Z2833" s="32"/>
      <c r="AA2833" s="32"/>
      <c r="AB2833" s="32"/>
    </row>
    <row r="2834" spans="2:28" ht="23.25" customHeight="1" x14ac:dyDescent="0.2">
      <c r="B2834" s="75"/>
      <c r="C2834" s="67"/>
      <c r="D2834" s="75"/>
      <c r="E2834" s="67"/>
      <c r="F2834" s="67"/>
      <c r="G2834" s="70"/>
      <c r="H2834" s="70"/>
      <c r="I2834" s="70"/>
      <c r="J2834" s="70"/>
      <c r="K2834" s="70"/>
      <c r="L2834" s="67"/>
      <c r="M2834" s="67"/>
      <c r="N2834" s="72"/>
      <c r="O2834" s="72"/>
      <c r="P2834" s="67"/>
      <c r="Q2834" s="67"/>
      <c r="R2834" s="67"/>
      <c r="S2834" s="67"/>
      <c r="T2834" s="32"/>
      <c r="U2834" s="32"/>
      <c r="X2834" s="32"/>
      <c r="Y2834" s="32"/>
      <c r="Z2834" s="32"/>
      <c r="AA2834" s="32"/>
      <c r="AB2834" s="32"/>
    </row>
    <row r="2835" spans="2:28" ht="23.25" customHeight="1" x14ac:dyDescent="0.2">
      <c r="B2835" s="75"/>
      <c r="C2835" s="67"/>
      <c r="D2835" s="75"/>
      <c r="E2835" s="67"/>
      <c r="F2835" s="67"/>
      <c r="G2835" s="70"/>
      <c r="H2835" s="70"/>
      <c r="I2835" s="70"/>
      <c r="J2835" s="70"/>
      <c r="K2835" s="70"/>
      <c r="L2835" s="67"/>
      <c r="M2835" s="67"/>
      <c r="N2835" s="72"/>
      <c r="O2835" s="72"/>
      <c r="P2835" s="67"/>
      <c r="Q2835" s="67"/>
      <c r="R2835" s="67"/>
      <c r="S2835" s="67"/>
      <c r="T2835" s="32"/>
      <c r="U2835" s="32"/>
      <c r="X2835" s="32"/>
      <c r="Y2835" s="32"/>
      <c r="Z2835" s="32"/>
      <c r="AA2835" s="32"/>
      <c r="AB2835" s="32"/>
    </row>
    <row r="2836" spans="2:28" ht="23.25" customHeight="1" x14ac:dyDescent="0.2">
      <c r="B2836" s="75"/>
      <c r="C2836" s="67"/>
      <c r="D2836" s="75"/>
      <c r="E2836" s="67"/>
      <c r="F2836" s="67"/>
      <c r="G2836" s="70"/>
      <c r="H2836" s="70"/>
      <c r="I2836" s="70"/>
      <c r="J2836" s="70"/>
      <c r="K2836" s="70"/>
      <c r="L2836" s="67"/>
      <c r="M2836" s="67"/>
      <c r="N2836" s="72"/>
      <c r="O2836" s="72"/>
      <c r="P2836" s="67"/>
      <c r="Q2836" s="67"/>
      <c r="R2836" s="67"/>
      <c r="S2836" s="67"/>
      <c r="T2836" s="32"/>
      <c r="U2836" s="32"/>
      <c r="X2836" s="32"/>
      <c r="Y2836" s="32"/>
      <c r="Z2836" s="32"/>
      <c r="AA2836" s="32"/>
      <c r="AB2836" s="32"/>
    </row>
    <row r="2837" spans="2:28" ht="23.25" customHeight="1" x14ac:dyDescent="0.2">
      <c r="B2837" s="75"/>
      <c r="C2837" s="67"/>
      <c r="D2837" s="75"/>
      <c r="E2837" s="67"/>
      <c r="F2837" s="67"/>
      <c r="G2837" s="70"/>
      <c r="H2837" s="70"/>
      <c r="I2837" s="70"/>
      <c r="J2837" s="70"/>
      <c r="K2837" s="70"/>
      <c r="L2837" s="67"/>
      <c r="M2837" s="67"/>
      <c r="N2837" s="72"/>
      <c r="O2837" s="72"/>
      <c r="P2837" s="67"/>
      <c r="Q2837" s="67"/>
      <c r="R2837" s="67"/>
      <c r="S2837" s="67"/>
      <c r="T2837" s="32"/>
      <c r="U2837" s="32"/>
      <c r="X2837" s="32"/>
      <c r="Y2837" s="32"/>
      <c r="Z2837" s="32"/>
      <c r="AA2837" s="32"/>
      <c r="AB2837" s="32"/>
    </row>
    <row r="2838" spans="2:28" ht="23.25" customHeight="1" x14ac:dyDescent="0.2">
      <c r="B2838" s="75"/>
      <c r="C2838" s="67"/>
      <c r="D2838" s="75"/>
      <c r="E2838" s="67"/>
      <c r="F2838" s="67"/>
      <c r="G2838" s="70"/>
      <c r="H2838" s="70"/>
      <c r="I2838" s="70"/>
      <c r="J2838" s="70"/>
      <c r="K2838" s="70"/>
      <c r="L2838" s="67"/>
      <c r="M2838" s="67"/>
      <c r="N2838" s="72"/>
      <c r="O2838" s="72"/>
      <c r="P2838" s="67"/>
      <c r="Q2838" s="67"/>
      <c r="R2838" s="67"/>
      <c r="S2838" s="67"/>
      <c r="T2838" s="32"/>
      <c r="U2838" s="32"/>
      <c r="X2838" s="32"/>
      <c r="Y2838" s="32"/>
      <c r="Z2838" s="32"/>
      <c r="AA2838" s="32"/>
      <c r="AB2838" s="32"/>
    </row>
    <row r="2839" spans="2:28" ht="23.25" customHeight="1" x14ac:dyDescent="0.2">
      <c r="B2839" s="75"/>
      <c r="C2839" s="67"/>
      <c r="D2839" s="75"/>
      <c r="E2839" s="67"/>
      <c r="F2839" s="67"/>
      <c r="G2839" s="70"/>
      <c r="H2839" s="70"/>
      <c r="I2839" s="70"/>
      <c r="J2839" s="70"/>
      <c r="K2839" s="70"/>
      <c r="L2839" s="67"/>
      <c r="M2839" s="67"/>
      <c r="N2839" s="72"/>
      <c r="O2839" s="72"/>
      <c r="P2839" s="67"/>
      <c r="Q2839" s="67"/>
      <c r="R2839" s="67"/>
      <c r="S2839" s="67"/>
      <c r="T2839" s="32"/>
      <c r="U2839" s="32"/>
      <c r="X2839" s="32"/>
      <c r="Y2839" s="32"/>
      <c r="Z2839" s="32"/>
      <c r="AA2839" s="32"/>
      <c r="AB2839" s="32"/>
    </row>
    <row r="2840" spans="2:28" ht="23.25" customHeight="1" x14ac:dyDescent="0.2">
      <c r="B2840" s="75"/>
      <c r="C2840" s="67"/>
      <c r="D2840" s="75"/>
      <c r="E2840" s="67"/>
      <c r="F2840" s="67"/>
      <c r="G2840" s="70"/>
      <c r="H2840" s="70"/>
      <c r="I2840" s="70"/>
      <c r="J2840" s="70"/>
      <c r="K2840" s="70"/>
      <c r="L2840" s="67"/>
      <c r="M2840" s="67"/>
      <c r="N2840" s="72"/>
      <c r="O2840" s="72"/>
      <c r="P2840" s="67"/>
      <c r="Q2840" s="67"/>
      <c r="R2840" s="67"/>
      <c r="S2840" s="67"/>
      <c r="T2840" s="32"/>
      <c r="U2840" s="32"/>
      <c r="X2840" s="32"/>
      <c r="Y2840" s="32"/>
      <c r="Z2840" s="32"/>
      <c r="AA2840" s="32"/>
      <c r="AB2840" s="32"/>
    </row>
    <row r="2841" spans="2:28" ht="23.25" customHeight="1" x14ac:dyDescent="0.2">
      <c r="B2841" s="75"/>
      <c r="C2841" s="67"/>
      <c r="D2841" s="75"/>
      <c r="E2841" s="67"/>
      <c r="F2841" s="67"/>
      <c r="G2841" s="70"/>
      <c r="H2841" s="70"/>
      <c r="I2841" s="70"/>
      <c r="J2841" s="70"/>
      <c r="K2841" s="70"/>
      <c r="L2841" s="67"/>
      <c r="M2841" s="67"/>
      <c r="N2841" s="72"/>
      <c r="O2841" s="72"/>
      <c r="P2841" s="67"/>
      <c r="Q2841" s="67"/>
      <c r="R2841" s="67"/>
      <c r="S2841" s="67"/>
      <c r="T2841" s="32"/>
      <c r="U2841" s="32"/>
      <c r="X2841" s="32"/>
      <c r="Y2841" s="32"/>
      <c r="Z2841" s="32"/>
      <c r="AA2841" s="32"/>
      <c r="AB2841" s="32"/>
    </row>
    <row r="2842" spans="2:28" ht="23.25" customHeight="1" x14ac:dyDescent="0.2">
      <c r="B2842" s="75"/>
      <c r="C2842" s="67"/>
      <c r="D2842" s="75"/>
      <c r="E2842" s="67"/>
      <c r="F2842" s="67"/>
      <c r="G2842" s="70"/>
      <c r="H2842" s="70"/>
      <c r="I2842" s="70"/>
      <c r="J2842" s="70"/>
      <c r="K2842" s="70"/>
      <c r="L2842" s="67"/>
      <c r="M2842" s="67"/>
      <c r="N2842" s="72"/>
      <c r="O2842" s="72"/>
      <c r="P2842" s="67"/>
      <c r="Q2842" s="67"/>
      <c r="R2842" s="67"/>
      <c r="S2842" s="67"/>
      <c r="T2842" s="32"/>
      <c r="U2842" s="32"/>
      <c r="X2842" s="32"/>
      <c r="Y2842" s="32"/>
      <c r="Z2842" s="32"/>
      <c r="AA2842" s="32"/>
      <c r="AB2842" s="32"/>
    </row>
    <row r="2843" spans="2:28" ht="23.25" customHeight="1" x14ac:dyDescent="0.2">
      <c r="B2843" s="75"/>
      <c r="C2843" s="67"/>
      <c r="D2843" s="75"/>
      <c r="E2843" s="67"/>
      <c r="F2843" s="67"/>
      <c r="G2843" s="70"/>
      <c r="H2843" s="70"/>
      <c r="I2843" s="70"/>
      <c r="J2843" s="70"/>
      <c r="K2843" s="70"/>
      <c r="L2843" s="67"/>
      <c r="M2843" s="67"/>
      <c r="N2843" s="72"/>
      <c r="O2843" s="72"/>
      <c r="P2843" s="67"/>
      <c r="Q2843" s="67"/>
      <c r="R2843" s="67"/>
      <c r="S2843" s="67"/>
      <c r="T2843" s="32"/>
      <c r="U2843" s="32"/>
      <c r="X2843" s="32"/>
      <c r="Y2843" s="32"/>
      <c r="Z2843" s="32"/>
      <c r="AA2843" s="32"/>
      <c r="AB2843" s="32"/>
    </row>
    <row r="2844" spans="2:28" ht="23.25" customHeight="1" x14ac:dyDescent="0.2">
      <c r="B2844" s="75"/>
      <c r="C2844" s="67"/>
      <c r="D2844" s="75"/>
      <c r="E2844" s="67"/>
      <c r="F2844" s="67"/>
      <c r="G2844" s="70"/>
      <c r="H2844" s="70"/>
      <c r="I2844" s="70"/>
      <c r="J2844" s="70"/>
      <c r="K2844" s="70"/>
      <c r="L2844" s="67"/>
      <c r="M2844" s="67"/>
      <c r="N2844" s="72"/>
      <c r="O2844" s="72"/>
      <c r="P2844" s="67"/>
      <c r="Q2844" s="67"/>
      <c r="R2844" s="67"/>
      <c r="S2844" s="67"/>
      <c r="T2844" s="32"/>
      <c r="U2844" s="32"/>
      <c r="X2844" s="32"/>
      <c r="Y2844" s="32"/>
      <c r="Z2844" s="32"/>
      <c r="AA2844" s="32"/>
      <c r="AB2844" s="32"/>
    </row>
    <row r="2845" spans="2:28" ht="23.25" customHeight="1" x14ac:dyDescent="0.2">
      <c r="B2845" s="75"/>
      <c r="C2845" s="67"/>
      <c r="D2845" s="75"/>
      <c r="E2845" s="67"/>
      <c r="F2845" s="67"/>
      <c r="G2845" s="70"/>
      <c r="H2845" s="70"/>
      <c r="I2845" s="70"/>
      <c r="J2845" s="70"/>
      <c r="K2845" s="70"/>
      <c r="L2845" s="67"/>
      <c r="M2845" s="67"/>
      <c r="N2845" s="72"/>
      <c r="O2845" s="72"/>
      <c r="P2845" s="67"/>
      <c r="Q2845" s="67"/>
      <c r="R2845" s="67"/>
      <c r="S2845" s="67"/>
      <c r="T2845" s="32"/>
      <c r="U2845" s="32"/>
      <c r="X2845" s="32"/>
      <c r="Y2845" s="32"/>
      <c r="Z2845" s="32"/>
      <c r="AA2845" s="32"/>
      <c r="AB2845" s="32"/>
    </row>
    <row r="2846" spans="2:28" ht="23.25" customHeight="1" x14ac:dyDescent="0.2">
      <c r="B2846" s="75"/>
      <c r="C2846" s="67"/>
      <c r="D2846" s="75"/>
      <c r="E2846" s="67"/>
      <c r="F2846" s="67"/>
      <c r="G2846" s="70"/>
      <c r="H2846" s="70"/>
      <c r="I2846" s="70"/>
      <c r="J2846" s="70"/>
      <c r="K2846" s="70"/>
      <c r="L2846" s="67"/>
      <c r="M2846" s="67"/>
      <c r="N2846" s="72"/>
      <c r="O2846" s="72"/>
      <c r="P2846" s="67"/>
      <c r="Q2846" s="67"/>
      <c r="R2846" s="67"/>
      <c r="S2846" s="67"/>
      <c r="T2846" s="32"/>
      <c r="U2846" s="32"/>
      <c r="X2846" s="32"/>
      <c r="Y2846" s="32"/>
      <c r="Z2846" s="32"/>
      <c r="AA2846" s="32"/>
      <c r="AB2846" s="32"/>
    </row>
    <row r="2847" spans="2:28" ht="23.25" customHeight="1" x14ac:dyDescent="0.2">
      <c r="B2847" s="75"/>
      <c r="C2847" s="67"/>
      <c r="D2847" s="75"/>
      <c r="E2847" s="67"/>
      <c r="F2847" s="67"/>
      <c r="G2847" s="70"/>
      <c r="H2847" s="70"/>
      <c r="I2847" s="70"/>
      <c r="J2847" s="70"/>
      <c r="K2847" s="70"/>
      <c r="L2847" s="67"/>
      <c r="M2847" s="67"/>
      <c r="N2847" s="72"/>
      <c r="O2847" s="72"/>
      <c r="P2847" s="67"/>
      <c r="Q2847" s="67"/>
      <c r="R2847" s="67"/>
      <c r="S2847" s="67"/>
      <c r="T2847" s="32"/>
      <c r="U2847" s="32"/>
      <c r="X2847" s="32"/>
      <c r="Y2847" s="32"/>
      <c r="Z2847" s="32"/>
      <c r="AA2847" s="32"/>
      <c r="AB2847" s="32"/>
    </row>
    <row r="2848" spans="2:28" ht="23.25" customHeight="1" x14ac:dyDescent="0.2">
      <c r="B2848" s="75"/>
      <c r="C2848" s="67"/>
      <c r="D2848" s="75"/>
      <c r="E2848" s="67"/>
      <c r="F2848" s="67"/>
      <c r="G2848" s="70"/>
      <c r="H2848" s="70"/>
      <c r="I2848" s="70"/>
      <c r="J2848" s="70"/>
      <c r="K2848" s="70"/>
      <c r="L2848" s="67"/>
      <c r="M2848" s="67"/>
      <c r="N2848" s="72"/>
      <c r="O2848" s="72"/>
      <c r="P2848" s="67"/>
      <c r="Q2848" s="67"/>
      <c r="R2848" s="67"/>
      <c r="S2848" s="67"/>
      <c r="T2848" s="32"/>
      <c r="U2848" s="32"/>
      <c r="X2848" s="32"/>
      <c r="Y2848" s="32"/>
      <c r="Z2848" s="32"/>
      <c r="AA2848" s="32"/>
      <c r="AB2848" s="32"/>
    </row>
    <row r="2849" spans="2:28" ht="23.25" customHeight="1" x14ac:dyDescent="0.2">
      <c r="B2849" s="75"/>
      <c r="C2849" s="67"/>
      <c r="D2849" s="75"/>
      <c r="E2849" s="67"/>
      <c r="F2849" s="67"/>
      <c r="G2849" s="70"/>
      <c r="H2849" s="70"/>
      <c r="I2849" s="70"/>
      <c r="J2849" s="70"/>
      <c r="K2849" s="70"/>
      <c r="L2849" s="67"/>
      <c r="M2849" s="67"/>
      <c r="N2849" s="72"/>
      <c r="O2849" s="72"/>
      <c r="P2849" s="67"/>
      <c r="Q2849" s="67"/>
      <c r="R2849" s="67"/>
      <c r="S2849" s="67"/>
      <c r="T2849" s="32"/>
      <c r="U2849" s="32"/>
      <c r="X2849" s="32"/>
      <c r="Y2849" s="32"/>
      <c r="Z2849" s="32"/>
      <c r="AA2849" s="32"/>
      <c r="AB2849" s="32"/>
    </row>
    <row r="2850" spans="2:28" ht="23.25" customHeight="1" x14ac:dyDescent="0.2">
      <c r="B2850" s="75"/>
      <c r="C2850" s="67"/>
      <c r="D2850" s="75"/>
      <c r="E2850" s="67"/>
      <c r="F2850" s="67"/>
      <c r="G2850" s="70"/>
      <c r="H2850" s="70"/>
      <c r="I2850" s="70"/>
      <c r="J2850" s="70"/>
      <c r="K2850" s="70"/>
      <c r="L2850" s="67"/>
      <c r="M2850" s="67"/>
      <c r="N2850" s="72"/>
      <c r="O2850" s="72"/>
      <c r="P2850" s="67"/>
      <c r="Q2850" s="67"/>
      <c r="R2850" s="67"/>
      <c r="S2850" s="67"/>
      <c r="T2850" s="32"/>
      <c r="U2850" s="32"/>
      <c r="X2850" s="32"/>
      <c r="Y2850" s="32"/>
      <c r="Z2850" s="32"/>
      <c r="AA2850" s="32"/>
      <c r="AB2850" s="32"/>
    </row>
    <row r="2851" spans="2:28" ht="23.25" customHeight="1" x14ac:dyDescent="0.2">
      <c r="B2851" s="75"/>
      <c r="C2851" s="67"/>
      <c r="D2851" s="75"/>
      <c r="E2851" s="67"/>
      <c r="F2851" s="67"/>
      <c r="G2851" s="70"/>
      <c r="H2851" s="70"/>
      <c r="I2851" s="70"/>
      <c r="J2851" s="70"/>
      <c r="K2851" s="70"/>
      <c r="L2851" s="67"/>
      <c r="M2851" s="67"/>
      <c r="N2851" s="72"/>
      <c r="O2851" s="72"/>
      <c r="P2851" s="67"/>
      <c r="Q2851" s="67"/>
      <c r="R2851" s="67"/>
      <c r="S2851" s="67"/>
      <c r="T2851" s="32"/>
      <c r="U2851" s="32"/>
      <c r="X2851" s="32"/>
      <c r="Y2851" s="32"/>
      <c r="Z2851" s="32"/>
      <c r="AA2851" s="32"/>
      <c r="AB2851" s="32"/>
    </row>
    <row r="2852" spans="2:28" ht="23.25" customHeight="1" x14ac:dyDescent="0.2">
      <c r="B2852" s="75"/>
      <c r="C2852" s="67"/>
      <c r="D2852" s="75"/>
      <c r="E2852" s="67"/>
      <c r="F2852" s="67"/>
      <c r="G2852" s="70"/>
      <c r="H2852" s="70"/>
      <c r="I2852" s="70"/>
      <c r="J2852" s="70"/>
      <c r="K2852" s="70"/>
      <c r="L2852" s="67"/>
      <c r="M2852" s="67"/>
      <c r="N2852" s="72"/>
      <c r="O2852" s="72"/>
      <c r="P2852" s="67"/>
      <c r="Q2852" s="67"/>
      <c r="R2852" s="67"/>
      <c r="S2852" s="67"/>
      <c r="T2852" s="32"/>
      <c r="U2852" s="32"/>
      <c r="X2852" s="32"/>
      <c r="Y2852" s="32"/>
      <c r="Z2852" s="32"/>
      <c r="AA2852" s="32"/>
      <c r="AB2852" s="32"/>
    </row>
    <row r="2853" spans="2:28" ht="23.25" customHeight="1" x14ac:dyDescent="0.2">
      <c r="B2853" s="75"/>
      <c r="C2853" s="67"/>
      <c r="D2853" s="75"/>
      <c r="E2853" s="67"/>
      <c r="F2853" s="67"/>
      <c r="G2853" s="70"/>
      <c r="H2853" s="70"/>
      <c r="I2853" s="70"/>
      <c r="J2853" s="70"/>
      <c r="K2853" s="70"/>
      <c r="L2853" s="67"/>
      <c r="M2853" s="67"/>
      <c r="N2853" s="72"/>
      <c r="O2853" s="72"/>
      <c r="P2853" s="67"/>
      <c r="Q2853" s="67"/>
      <c r="R2853" s="67"/>
      <c r="S2853" s="67"/>
      <c r="T2853" s="32"/>
      <c r="U2853" s="32"/>
      <c r="X2853" s="32"/>
      <c r="Y2853" s="32"/>
      <c r="Z2853" s="32"/>
      <c r="AA2853" s="32"/>
      <c r="AB2853" s="32"/>
    </row>
    <row r="2854" spans="2:28" ht="23.25" customHeight="1" x14ac:dyDescent="0.2">
      <c r="B2854" s="75"/>
      <c r="C2854" s="67"/>
      <c r="D2854" s="75"/>
      <c r="E2854" s="67"/>
      <c r="F2854" s="67"/>
      <c r="G2854" s="70"/>
      <c r="H2854" s="70"/>
      <c r="I2854" s="70"/>
      <c r="J2854" s="70"/>
      <c r="K2854" s="70"/>
      <c r="L2854" s="67"/>
      <c r="M2854" s="67"/>
      <c r="N2854" s="72"/>
      <c r="O2854" s="72"/>
      <c r="P2854" s="67"/>
      <c r="Q2854" s="67"/>
      <c r="R2854" s="67"/>
      <c r="S2854" s="67"/>
      <c r="T2854" s="32"/>
      <c r="U2854" s="32"/>
      <c r="X2854" s="32"/>
      <c r="Y2854" s="32"/>
      <c r="Z2854" s="32"/>
      <c r="AA2854" s="32"/>
      <c r="AB2854" s="32"/>
    </row>
    <row r="2855" spans="2:28" ht="23.25" customHeight="1" x14ac:dyDescent="0.2">
      <c r="B2855" s="75"/>
      <c r="C2855" s="67"/>
      <c r="D2855" s="75"/>
      <c r="E2855" s="67"/>
      <c r="F2855" s="67"/>
      <c r="G2855" s="70"/>
      <c r="H2855" s="70"/>
      <c r="I2855" s="70"/>
      <c r="J2855" s="70"/>
      <c r="K2855" s="70"/>
      <c r="L2855" s="67"/>
      <c r="M2855" s="67"/>
      <c r="N2855" s="72"/>
      <c r="O2855" s="72"/>
      <c r="P2855" s="67"/>
      <c r="Q2855" s="67"/>
      <c r="R2855" s="67"/>
      <c r="S2855" s="67"/>
      <c r="T2855" s="32"/>
      <c r="U2855" s="32"/>
      <c r="X2855" s="32"/>
      <c r="Y2855" s="32"/>
      <c r="Z2855" s="32"/>
      <c r="AA2855" s="32"/>
      <c r="AB2855" s="32"/>
    </row>
    <row r="2856" spans="2:28" ht="23.25" customHeight="1" x14ac:dyDescent="0.2">
      <c r="B2856" s="75"/>
      <c r="C2856" s="67"/>
      <c r="D2856" s="75"/>
      <c r="E2856" s="67"/>
      <c r="F2856" s="67"/>
      <c r="G2856" s="70"/>
      <c r="H2856" s="70"/>
      <c r="I2856" s="70"/>
      <c r="J2856" s="70"/>
      <c r="K2856" s="70"/>
      <c r="L2856" s="67"/>
      <c r="M2856" s="67"/>
      <c r="N2856" s="72"/>
      <c r="O2856" s="72"/>
      <c r="P2856" s="67"/>
      <c r="Q2856" s="67"/>
      <c r="R2856" s="67"/>
      <c r="S2856" s="67"/>
      <c r="T2856" s="32"/>
      <c r="U2856" s="32"/>
      <c r="X2856" s="32"/>
      <c r="Y2856" s="32"/>
      <c r="Z2856" s="32"/>
      <c r="AA2856" s="32"/>
      <c r="AB2856" s="32"/>
    </row>
    <row r="2857" spans="2:28" ht="23.25" customHeight="1" x14ac:dyDescent="0.2">
      <c r="B2857" s="75"/>
      <c r="C2857" s="67"/>
      <c r="D2857" s="75"/>
      <c r="E2857" s="67"/>
      <c r="F2857" s="67"/>
      <c r="G2857" s="70"/>
      <c r="H2857" s="70"/>
      <c r="I2857" s="70"/>
      <c r="J2857" s="70"/>
      <c r="K2857" s="70"/>
      <c r="L2857" s="67"/>
      <c r="M2857" s="67"/>
      <c r="N2857" s="72"/>
      <c r="O2857" s="72"/>
      <c r="P2857" s="67"/>
      <c r="Q2857" s="67"/>
      <c r="R2857" s="67"/>
      <c r="S2857" s="67"/>
      <c r="T2857" s="32"/>
      <c r="U2857" s="32"/>
      <c r="X2857" s="32"/>
      <c r="Y2857" s="32"/>
      <c r="Z2857" s="32"/>
      <c r="AA2857" s="32"/>
      <c r="AB2857" s="32"/>
    </row>
    <row r="2858" spans="2:28" ht="23.25" customHeight="1" x14ac:dyDescent="0.2">
      <c r="B2858" s="75"/>
      <c r="C2858" s="67"/>
      <c r="D2858" s="75"/>
      <c r="E2858" s="67"/>
      <c r="F2858" s="67"/>
      <c r="G2858" s="70"/>
      <c r="H2858" s="70"/>
      <c r="I2858" s="70"/>
      <c r="J2858" s="70"/>
      <c r="K2858" s="70"/>
      <c r="L2858" s="67"/>
      <c r="M2858" s="67"/>
      <c r="N2858" s="72"/>
      <c r="O2858" s="72"/>
      <c r="P2858" s="67"/>
      <c r="Q2858" s="67"/>
      <c r="R2858" s="67"/>
      <c r="S2858" s="67"/>
      <c r="T2858" s="32"/>
      <c r="U2858" s="32"/>
      <c r="X2858" s="32"/>
      <c r="Y2858" s="32"/>
      <c r="Z2858" s="32"/>
      <c r="AA2858" s="32"/>
      <c r="AB2858" s="32"/>
    </row>
    <row r="2859" spans="2:28" ht="23.25" customHeight="1" x14ac:dyDescent="0.2">
      <c r="B2859" s="75"/>
      <c r="C2859" s="67"/>
      <c r="D2859" s="75"/>
      <c r="E2859" s="67"/>
      <c r="F2859" s="67"/>
      <c r="G2859" s="70"/>
      <c r="H2859" s="70"/>
      <c r="I2859" s="70"/>
      <c r="J2859" s="70"/>
      <c r="K2859" s="70"/>
      <c r="L2859" s="67"/>
      <c r="M2859" s="67"/>
      <c r="N2859" s="72"/>
      <c r="O2859" s="72"/>
      <c r="P2859" s="67"/>
      <c r="Q2859" s="67"/>
      <c r="R2859" s="67"/>
      <c r="S2859" s="67"/>
      <c r="T2859" s="32"/>
      <c r="U2859" s="32"/>
      <c r="X2859" s="32"/>
      <c r="Y2859" s="32"/>
      <c r="Z2859" s="32"/>
      <c r="AA2859" s="32"/>
      <c r="AB2859" s="32"/>
    </row>
    <row r="2860" spans="2:28" ht="23.25" customHeight="1" x14ac:dyDescent="0.2">
      <c r="B2860" s="75"/>
      <c r="C2860" s="67"/>
      <c r="D2860" s="75"/>
      <c r="E2860" s="67"/>
      <c r="F2860" s="67"/>
      <c r="G2860" s="70"/>
      <c r="H2860" s="70"/>
      <c r="I2860" s="70"/>
      <c r="J2860" s="70"/>
      <c r="K2860" s="70"/>
      <c r="L2860" s="67"/>
      <c r="M2860" s="67"/>
      <c r="N2860" s="72"/>
      <c r="O2860" s="72"/>
      <c r="P2860" s="67"/>
      <c r="Q2860" s="67"/>
      <c r="R2860" s="67"/>
      <c r="S2860" s="67"/>
      <c r="T2860" s="32"/>
      <c r="U2860" s="32"/>
      <c r="X2860" s="32"/>
      <c r="Y2860" s="32"/>
      <c r="Z2860" s="32"/>
      <c r="AA2860" s="32"/>
      <c r="AB2860" s="32"/>
    </row>
    <row r="2861" spans="2:28" ht="23.25" customHeight="1" x14ac:dyDescent="0.2">
      <c r="B2861" s="75"/>
      <c r="C2861" s="67"/>
      <c r="D2861" s="75"/>
      <c r="E2861" s="67"/>
      <c r="F2861" s="67"/>
      <c r="G2861" s="70"/>
      <c r="H2861" s="70"/>
      <c r="I2861" s="70"/>
      <c r="J2861" s="70"/>
      <c r="K2861" s="70"/>
      <c r="L2861" s="67"/>
      <c r="M2861" s="67"/>
      <c r="N2861" s="72"/>
      <c r="O2861" s="72"/>
      <c r="P2861" s="67"/>
      <c r="Q2861" s="67"/>
      <c r="R2861" s="67"/>
      <c r="S2861" s="67"/>
      <c r="T2861" s="32"/>
      <c r="U2861" s="32"/>
      <c r="X2861" s="32"/>
      <c r="Y2861" s="32"/>
      <c r="Z2861" s="32"/>
      <c r="AA2861" s="32"/>
      <c r="AB2861" s="32"/>
    </row>
    <row r="2862" spans="2:28" ht="23.25" customHeight="1" x14ac:dyDescent="0.2">
      <c r="B2862" s="75"/>
      <c r="C2862" s="67"/>
      <c r="D2862" s="75"/>
      <c r="E2862" s="67"/>
      <c r="F2862" s="67"/>
      <c r="G2862" s="70"/>
      <c r="H2862" s="70"/>
      <c r="I2862" s="70"/>
      <c r="J2862" s="70"/>
      <c r="K2862" s="70"/>
      <c r="L2862" s="67"/>
      <c r="M2862" s="67"/>
      <c r="N2862" s="72"/>
      <c r="O2862" s="72"/>
      <c r="P2862" s="67"/>
      <c r="Q2862" s="67"/>
      <c r="R2862" s="67"/>
      <c r="S2862" s="67"/>
      <c r="T2862" s="32"/>
      <c r="U2862" s="32"/>
      <c r="X2862" s="32"/>
      <c r="Y2862" s="32"/>
      <c r="Z2862" s="32"/>
      <c r="AA2862" s="32"/>
      <c r="AB2862" s="32"/>
    </row>
    <row r="2863" spans="2:28" ht="23.25" customHeight="1" x14ac:dyDescent="0.2">
      <c r="B2863" s="75"/>
      <c r="C2863" s="67"/>
      <c r="D2863" s="75"/>
      <c r="E2863" s="67"/>
      <c r="F2863" s="67"/>
      <c r="G2863" s="70"/>
      <c r="H2863" s="70"/>
      <c r="I2863" s="70"/>
      <c r="J2863" s="70"/>
      <c r="K2863" s="70"/>
      <c r="L2863" s="67"/>
      <c r="M2863" s="67"/>
      <c r="N2863" s="72"/>
      <c r="O2863" s="72"/>
      <c r="P2863" s="67"/>
      <c r="Q2863" s="67"/>
      <c r="R2863" s="67"/>
      <c r="S2863" s="67"/>
      <c r="T2863" s="32"/>
      <c r="U2863" s="32"/>
      <c r="X2863" s="32"/>
      <c r="Y2863" s="32"/>
      <c r="Z2863" s="32"/>
      <c r="AA2863" s="32"/>
      <c r="AB2863" s="32"/>
    </row>
    <row r="2864" spans="2:28" ht="23.25" customHeight="1" x14ac:dyDescent="0.2">
      <c r="B2864" s="75"/>
      <c r="C2864" s="67"/>
      <c r="D2864" s="75"/>
      <c r="E2864" s="67"/>
      <c r="F2864" s="67"/>
      <c r="G2864" s="70"/>
      <c r="H2864" s="70"/>
      <c r="I2864" s="70"/>
      <c r="J2864" s="70"/>
      <c r="K2864" s="70"/>
      <c r="L2864" s="67"/>
      <c r="M2864" s="67"/>
      <c r="N2864" s="72"/>
      <c r="O2864" s="72"/>
      <c r="P2864" s="67"/>
      <c r="Q2864" s="67"/>
      <c r="R2864" s="67"/>
      <c r="S2864" s="67"/>
      <c r="T2864" s="32"/>
      <c r="U2864" s="32"/>
      <c r="X2864" s="32"/>
      <c r="Y2864" s="32"/>
      <c r="Z2864" s="32"/>
      <c r="AA2864" s="32"/>
      <c r="AB2864" s="32"/>
    </row>
    <row r="2865" spans="2:28" ht="23.25" customHeight="1" x14ac:dyDescent="0.2">
      <c r="B2865" s="75"/>
      <c r="C2865" s="67"/>
      <c r="D2865" s="75"/>
      <c r="E2865" s="67"/>
      <c r="F2865" s="67"/>
      <c r="G2865" s="70"/>
      <c r="H2865" s="70"/>
      <c r="I2865" s="70"/>
      <c r="J2865" s="70"/>
      <c r="K2865" s="70"/>
      <c r="L2865" s="67"/>
      <c r="M2865" s="67"/>
      <c r="N2865" s="72"/>
      <c r="O2865" s="72"/>
      <c r="P2865" s="67"/>
      <c r="Q2865" s="67"/>
      <c r="R2865" s="67"/>
      <c r="S2865" s="67"/>
      <c r="T2865" s="32"/>
      <c r="U2865" s="32"/>
      <c r="X2865" s="32"/>
      <c r="Y2865" s="32"/>
      <c r="Z2865" s="32"/>
      <c r="AA2865" s="32"/>
      <c r="AB2865" s="32"/>
    </row>
    <row r="2866" spans="2:28" ht="23.25" customHeight="1" x14ac:dyDescent="0.2">
      <c r="B2866" s="75"/>
      <c r="C2866" s="67"/>
      <c r="D2866" s="75"/>
      <c r="E2866" s="67"/>
      <c r="F2866" s="67"/>
      <c r="G2866" s="70"/>
      <c r="H2866" s="70"/>
      <c r="I2866" s="70"/>
      <c r="J2866" s="70"/>
      <c r="K2866" s="70"/>
      <c r="L2866" s="67"/>
      <c r="M2866" s="67"/>
      <c r="N2866" s="72"/>
      <c r="O2866" s="72"/>
      <c r="P2866" s="67"/>
      <c r="Q2866" s="67"/>
      <c r="R2866" s="67"/>
      <c r="S2866" s="67"/>
      <c r="T2866" s="32"/>
      <c r="U2866" s="32"/>
      <c r="X2866" s="32"/>
      <c r="Y2866" s="32"/>
      <c r="Z2866" s="32"/>
      <c r="AA2866" s="32"/>
      <c r="AB2866" s="32"/>
    </row>
    <row r="2867" spans="2:28" ht="23.25" customHeight="1" x14ac:dyDescent="0.2">
      <c r="B2867" s="75"/>
      <c r="C2867" s="67"/>
      <c r="D2867" s="75"/>
      <c r="E2867" s="67"/>
      <c r="F2867" s="67"/>
      <c r="G2867" s="70"/>
      <c r="H2867" s="70"/>
      <c r="I2867" s="70"/>
      <c r="J2867" s="70"/>
      <c r="K2867" s="70"/>
      <c r="L2867" s="67"/>
      <c r="M2867" s="67"/>
      <c r="N2867" s="72"/>
      <c r="O2867" s="72"/>
      <c r="P2867" s="67"/>
      <c r="Q2867" s="67"/>
      <c r="R2867" s="67"/>
      <c r="S2867" s="67"/>
      <c r="T2867" s="32"/>
      <c r="U2867" s="32"/>
      <c r="X2867" s="32"/>
      <c r="Y2867" s="32"/>
      <c r="Z2867" s="32"/>
      <c r="AA2867" s="32"/>
      <c r="AB2867" s="32"/>
    </row>
    <row r="2868" spans="2:28" ht="23.25" customHeight="1" x14ac:dyDescent="0.2">
      <c r="B2868" s="75"/>
      <c r="C2868" s="67"/>
      <c r="D2868" s="75"/>
      <c r="E2868" s="67"/>
      <c r="F2868" s="67"/>
      <c r="G2868" s="70"/>
      <c r="H2868" s="70"/>
      <c r="I2868" s="70"/>
      <c r="J2868" s="70"/>
      <c r="K2868" s="70"/>
      <c r="L2868" s="67"/>
      <c r="M2868" s="67"/>
      <c r="N2868" s="72"/>
      <c r="O2868" s="72"/>
      <c r="P2868" s="67"/>
      <c r="Q2868" s="67"/>
      <c r="R2868" s="67"/>
      <c r="S2868" s="67"/>
      <c r="T2868" s="32"/>
      <c r="U2868" s="32"/>
      <c r="X2868" s="32"/>
      <c r="Y2868" s="32"/>
      <c r="Z2868" s="32"/>
      <c r="AA2868" s="32"/>
      <c r="AB2868" s="32"/>
    </row>
    <row r="2869" spans="2:28" ht="23.25" customHeight="1" x14ac:dyDescent="0.2">
      <c r="B2869" s="75"/>
      <c r="C2869" s="67"/>
      <c r="D2869" s="75"/>
      <c r="E2869" s="67"/>
      <c r="F2869" s="67"/>
      <c r="G2869" s="70"/>
      <c r="H2869" s="70"/>
      <c r="I2869" s="70"/>
      <c r="J2869" s="70"/>
      <c r="K2869" s="70"/>
      <c r="L2869" s="67"/>
      <c r="M2869" s="67"/>
      <c r="N2869" s="72"/>
      <c r="O2869" s="72"/>
      <c r="P2869" s="67"/>
      <c r="Q2869" s="67"/>
      <c r="R2869" s="67"/>
      <c r="S2869" s="67"/>
      <c r="T2869" s="32"/>
      <c r="U2869" s="32"/>
      <c r="X2869" s="32"/>
      <c r="Y2869" s="32"/>
      <c r="Z2869" s="32"/>
      <c r="AA2869" s="32"/>
      <c r="AB2869" s="32"/>
    </row>
    <row r="2870" spans="2:28" ht="23.25" customHeight="1" x14ac:dyDescent="0.2">
      <c r="B2870" s="75"/>
      <c r="C2870" s="67"/>
      <c r="D2870" s="75"/>
      <c r="E2870" s="67"/>
      <c r="F2870" s="67"/>
      <c r="G2870" s="70"/>
      <c r="H2870" s="70"/>
      <c r="I2870" s="70"/>
      <c r="J2870" s="70"/>
      <c r="K2870" s="70"/>
      <c r="L2870" s="67"/>
      <c r="M2870" s="67"/>
      <c r="N2870" s="72"/>
      <c r="O2870" s="72"/>
      <c r="P2870" s="67"/>
      <c r="Q2870" s="67"/>
      <c r="R2870" s="67"/>
      <c r="S2870" s="67"/>
      <c r="T2870" s="32"/>
      <c r="U2870" s="32"/>
      <c r="X2870" s="32"/>
      <c r="Y2870" s="32"/>
      <c r="Z2870" s="32"/>
      <c r="AA2870" s="32"/>
      <c r="AB2870" s="32"/>
    </row>
    <row r="2871" spans="2:28" ht="23.25" customHeight="1" x14ac:dyDescent="0.2">
      <c r="B2871" s="75"/>
      <c r="C2871" s="67"/>
      <c r="D2871" s="75"/>
      <c r="E2871" s="67"/>
      <c r="F2871" s="67"/>
      <c r="G2871" s="70"/>
      <c r="H2871" s="70"/>
      <c r="I2871" s="70"/>
      <c r="J2871" s="70"/>
      <c r="K2871" s="70"/>
      <c r="L2871" s="67"/>
      <c r="M2871" s="67"/>
      <c r="N2871" s="72"/>
      <c r="O2871" s="72"/>
      <c r="P2871" s="67"/>
      <c r="Q2871" s="67"/>
      <c r="R2871" s="67"/>
      <c r="S2871" s="67"/>
      <c r="T2871" s="32"/>
      <c r="U2871" s="32"/>
      <c r="X2871" s="32"/>
      <c r="Y2871" s="32"/>
      <c r="Z2871" s="32"/>
      <c r="AA2871" s="32"/>
      <c r="AB2871" s="32"/>
    </row>
    <row r="2872" spans="2:28" ht="23.25" customHeight="1" x14ac:dyDescent="0.2">
      <c r="B2872" s="75"/>
      <c r="C2872" s="67"/>
      <c r="D2872" s="75"/>
      <c r="E2872" s="67"/>
      <c r="F2872" s="67"/>
      <c r="G2872" s="70"/>
      <c r="H2872" s="70"/>
      <c r="I2872" s="70"/>
      <c r="J2872" s="70"/>
      <c r="K2872" s="70"/>
      <c r="L2872" s="67"/>
      <c r="M2872" s="67"/>
      <c r="N2872" s="72"/>
      <c r="O2872" s="72"/>
      <c r="P2872" s="67"/>
      <c r="Q2872" s="67"/>
      <c r="R2872" s="67"/>
      <c r="S2872" s="67"/>
      <c r="T2872" s="32"/>
      <c r="U2872" s="32"/>
      <c r="X2872" s="32"/>
      <c r="Y2872" s="32"/>
      <c r="Z2872" s="32"/>
      <c r="AA2872" s="32"/>
      <c r="AB2872" s="32"/>
    </row>
    <row r="2873" spans="2:28" ht="23.25" customHeight="1" x14ac:dyDescent="0.2">
      <c r="B2873" s="75"/>
      <c r="C2873" s="67"/>
      <c r="D2873" s="75"/>
      <c r="E2873" s="67"/>
      <c r="F2873" s="67"/>
      <c r="G2873" s="70"/>
      <c r="H2873" s="70"/>
      <c r="I2873" s="70"/>
      <c r="J2873" s="70"/>
      <c r="K2873" s="70"/>
      <c r="L2873" s="67"/>
      <c r="M2873" s="67"/>
      <c r="N2873" s="72"/>
      <c r="O2873" s="72"/>
      <c r="P2873" s="67"/>
      <c r="Q2873" s="67"/>
      <c r="R2873" s="67"/>
      <c r="S2873" s="67"/>
      <c r="T2873" s="32"/>
      <c r="U2873" s="32"/>
      <c r="X2873" s="32"/>
      <c r="Y2873" s="32"/>
      <c r="Z2873" s="32"/>
      <c r="AA2873" s="32"/>
      <c r="AB2873" s="32"/>
    </row>
    <row r="2874" spans="2:28" ht="23.25" customHeight="1" x14ac:dyDescent="0.2">
      <c r="B2874" s="75"/>
      <c r="C2874" s="67"/>
      <c r="D2874" s="75"/>
      <c r="E2874" s="67"/>
      <c r="F2874" s="67"/>
      <c r="G2874" s="70"/>
      <c r="H2874" s="70"/>
      <c r="I2874" s="70"/>
      <c r="J2874" s="70"/>
      <c r="K2874" s="70"/>
      <c r="L2874" s="67"/>
      <c r="M2874" s="67"/>
      <c r="N2874" s="72"/>
      <c r="O2874" s="72"/>
      <c r="P2874" s="67"/>
      <c r="Q2874" s="67"/>
      <c r="R2874" s="67"/>
      <c r="S2874" s="67"/>
      <c r="T2874" s="32"/>
      <c r="U2874" s="32"/>
      <c r="X2874" s="32"/>
      <c r="Y2874" s="32"/>
      <c r="Z2874" s="32"/>
      <c r="AA2874" s="32"/>
      <c r="AB2874" s="32"/>
    </row>
    <row r="2875" spans="2:28" ht="23.25" customHeight="1" x14ac:dyDescent="0.2">
      <c r="B2875" s="75"/>
      <c r="C2875" s="67"/>
      <c r="D2875" s="75"/>
      <c r="E2875" s="67"/>
      <c r="F2875" s="67"/>
      <c r="G2875" s="70"/>
      <c r="H2875" s="70"/>
      <c r="I2875" s="70"/>
      <c r="J2875" s="70"/>
      <c r="K2875" s="70"/>
      <c r="L2875" s="67"/>
      <c r="M2875" s="67"/>
      <c r="N2875" s="72"/>
      <c r="O2875" s="72"/>
      <c r="P2875" s="67"/>
      <c r="Q2875" s="67"/>
      <c r="R2875" s="67"/>
      <c r="S2875" s="67"/>
      <c r="T2875" s="32"/>
      <c r="U2875" s="32"/>
      <c r="X2875" s="32"/>
      <c r="Y2875" s="32"/>
      <c r="Z2875" s="32"/>
      <c r="AA2875" s="32"/>
      <c r="AB2875" s="32"/>
    </row>
    <row r="2876" spans="2:28" ht="23.25" customHeight="1" x14ac:dyDescent="0.2">
      <c r="B2876" s="75"/>
      <c r="C2876" s="67"/>
      <c r="D2876" s="75"/>
      <c r="E2876" s="67"/>
      <c r="F2876" s="67"/>
      <c r="G2876" s="70"/>
      <c r="H2876" s="70"/>
      <c r="I2876" s="70"/>
      <c r="J2876" s="70"/>
      <c r="K2876" s="70"/>
      <c r="L2876" s="67"/>
      <c r="M2876" s="67"/>
      <c r="N2876" s="72"/>
      <c r="O2876" s="72"/>
      <c r="P2876" s="67"/>
      <c r="Q2876" s="67"/>
      <c r="R2876" s="67"/>
      <c r="S2876" s="67"/>
      <c r="T2876" s="32"/>
      <c r="U2876" s="32"/>
      <c r="X2876" s="32"/>
      <c r="Y2876" s="32"/>
      <c r="Z2876" s="32"/>
      <c r="AA2876" s="32"/>
      <c r="AB2876" s="32"/>
    </row>
    <row r="2877" spans="2:28" ht="23.25" customHeight="1" x14ac:dyDescent="0.2">
      <c r="B2877" s="75"/>
      <c r="C2877" s="67"/>
      <c r="D2877" s="75"/>
      <c r="E2877" s="67"/>
      <c r="F2877" s="67"/>
      <c r="G2877" s="70"/>
      <c r="H2877" s="70"/>
      <c r="I2877" s="70"/>
      <c r="J2877" s="70"/>
      <c r="K2877" s="70"/>
      <c r="L2877" s="67"/>
      <c r="M2877" s="67"/>
      <c r="N2877" s="72"/>
      <c r="O2877" s="72"/>
      <c r="P2877" s="67"/>
      <c r="Q2877" s="67"/>
      <c r="R2877" s="67"/>
      <c r="S2877" s="67"/>
      <c r="T2877" s="32"/>
      <c r="U2877" s="32"/>
      <c r="X2877" s="32"/>
      <c r="Y2877" s="32"/>
      <c r="Z2877" s="32"/>
      <c r="AA2877" s="32"/>
      <c r="AB2877" s="32"/>
    </row>
    <row r="2878" spans="2:28" ht="23.25" customHeight="1" x14ac:dyDescent="0.2">
      <c r="B2878" s="75"/>
      <c r="C2878" s="67"/>
      <c r="D2878" s="75"/>
      <c r="E2878" s="67"/>
      <c r="F2878" s="67"/>
      <c r="G2878" s="70"/>
      <c r="H2878" s="70"/>
      <c r="I2878" s="70"/>
      <c r="J2878" s="70"/>
      <c r="K2878" s="70"/>
      <c r="L2878" s="67"/>
      <c r="M2878" s="67"/>
      <c r="N2878" s="72"/>
      <c r="O2878" s="72"/>
      <c r="P2878" s="67"/>
      <c r="Q2878" s="67"/>
      <c r="R2878" s="67"/>
      <c r="S2878" s="67"/>
      <c r="T2878" s="32"/>
      <c r="U2878" s="32"/>
      <c r="X2878" s="32"/>
      <c r="Y2878" s="32"/>
      <c r="Z2878" s="32"/>
      <c r="AA2878" s="32"/>
      <c r="AB2878" s="32"/>
    </row>
    <row r="2879" spans="2:28" ht="23.25" customHeight="1" x14ac:dyDescent="0.2">
      <c r="B2879" s="75"/>
      <c r="C2879" s="67"/>
      <c r="D2879" s="75"/>
      <c r="E2879" s="67"/>
      <c r="F2879" s="67"/>
      <c r="G2879" s="70"/>
      <c r="H2879" s="70"/>
      <c r="I2879" s="70"/>
      <c r="J2879" s="70"/>
      <c r="K2879" s="70"/>
      <c r="L2879" s="67"/>
      <c r="M2879" s="67"/>
      <c r="N2879" s="72"/>
      <c r="O2879" s="72"/>
      <c r="P2879" s="67"/>
      <c r="Q2879" s="67"/>
      <c r="R2879" s="67"/>
      <c r="S2879" s="67"/>
      <c r="T2879" s="32"/>
      <c r="U2879" s="32"/>
      <c r="X2879" s="32"/>
      <c r="Y2879" s="32"/>
      <c r="Z2879" s="32"/>
      <c r="AA2879" s="32"/>
      <c r="AB2879" s="32"/>
    </row>
    <row r="2880" spans="2:28" ht="23.25" customHeight="1" x14ac:dyDescent="0.2">
      <c r="B2880" s="75"/>
      <c r="C2880" s="67"/>
      <c r="D2880" s="75"/>
      <c r="E2880" s="67"/>
      <c r="F2880" s="67"/>
      <c r="G2880" s="70"/>
      <c r="H2880" s="70"/>
      <c r="I2880" s="70"/>
      <c r="J2880" s="70"/>
      <c r="K2880" s="70"/>
      <c r="L2880" s="67"/>
      <c r="M2880" s="67"/>
      <c r="N2880" s="72"/>
      <c r="O2880" s="72"/>
      <c r="P2880" s="67"/>
      <c r="Q2880" s="67"/>
      <c r="R2880" s="67"/>
      <c r="S2880" s="67"/>
      <c r="T2880" s="32"/>
      <c r="U2880" s="32"/>
      <c r="X2880" s="32"/>
      <c r="Y2880" s="32"/>
      <c r="Z2880" s="32"/>
      <c r="AA2880" s="32"/>
      <c r="AB2880" s="32"/>
    </row>
    <row r="2881" spans="2:28" ht="23.25" customHeight="1" x14ac:dyDescent="0.2">
      <c r="B2881" s="75"/>
      <c r="C2881" s="67"/>
      <c r="D2881" s="75"/>
      <c r="E2881" s="67"/>
      <c r="F2881" s="67"/>
      <c r="G2881" s="70"/>
      <c r="H2881" s="70"/>
      <c r="I2881" s="70"/>
      <c r="J2881" s="70"/>
      <c r="K2881" s="70"/>
      <c r="L2881" s="67"/>
      <c r="M2881" s="67"/>
      <c r="N2881" s="72"/>
      <c r="O2881" s="72"/>
      <c r="P2881" s="67"/>
      <c r="Q2881" s="67"/>
      <c r="R2881" s="67"/>
      <c r="S2881" s="67"/>
      <c r="T2881" s="32"/>
      <c r="U2881" s="32"/>
      <c r="X2881" s="32"/>
      <c r="Y2881" s="32"/>
      <c r="Z2881" s="32"/>
      <c r="AA2881" s="32"/>
      <c r="AB2881" s="32"/>
    </row>
    <row r="2882" spans="2:28" ht="23.25" customHeight="1" x14ac:dyDescent="0.2">
      <c r="B2882" s="75"/>
      <c r="C2882" s="67"/>
      <c r="D2882" s="75"/>
      <c r="E2882" s="67"/>
      <c r="F2882" s="67"/>
      <c r="G2882" s="70"/>
      <c r="H2882" s="70"/>
      <c r="I2882" s="70"/>
      <c r="J2882" s="70"/>
      <c r="K2882" s="70"/>
      <c r="L2882" s="67"/>
      <c r="M2882" s="67"/>
      <c r="N2882" s="72"/>
      <c r="O2882" s="72"/>
      <c r="P2882" s="67"/>
      <c r="Q2882" s="67"/>
      <c r="R2882" s="67"/>
      <c r="S2882" s="67"/>
      <c r="T2882" s="32"/>
      <c r="U2882" s="32"/>
      <c r="X2882" s="32"/>
      <c r="Y2882" s="32"/>
      <c r="Z2882" s="32"/>
      <c r="AA2882" s="32"/>
      <c r="AB2882" s="32"/>
    </row>
    <row r="2883" spans="2:28" ht="23.25" customHeight="1" x14ac:dyDescent="0.2">
      <c r="B2883" s="75"/>
      <c r="C2883" s="67"/>
      <c r="D2883" s="75"/>
      <c r="E2883" s="67"/>
      <c r="F2883" s="67"/>
      <c r="G2883" s="70"/>
      <c r="H2883" s="70"/>
      <c r="I2883" s="70"/>
      <c r="J2883" s="70"/>
      <c r="K2883" s="70"/>
      <c r="L2883" s="67"/>
      <c r="M2883" s="67"/>
      <c r="N2883" s="72"/>
      <c r="O2883" s="72"/>
      <c r="P2883" s="67"/>
      <c r="Q2883" s="67"/>
      <c r="R2883" s="67"/>
      <c r="S2883" s="67"/>
      <c r="T2883" s="32"/>
      <c r="U2883" s="32"/>
      <c r="X2883" s="32"/>
      <c r="Y2883" s="32"/>
      <c r="Z2883" s="32"/>
      <c r="AA2883" s="32"/>
      <c r="AB2883" s="32"/>
    </row>
    <row r="2884" spans="2:28" ht="23.25" customHeight="1" x14ac:dyDescent="0.2">
      <c r="B2884" s="75"/>
      <c r="C2884" s="67"/>
      <c r="D2884" s="75"/>
      <c r="E2884" s="67"/>
      <c r="F2884" s="67"/>
      <c r="G2884" s="70"/>
      <c r="H2884" s="70"/>
      <c r="I2884" s="70"/>
      <c r="J2884" s="70"/>
      <c r="K2884" s="70"/>
      <c r="L2884" s="67"/>
      <c r="M2884" s="67"/>
      <c r="N2884" s="72"/>
      <c r="O2884" s="72"/>
      <c r="P2884" s="67"/>
      <c r="Q2884" s="67"/>
      <c r="R2884" s="67"/>
      <c r="S2884" s="67"/>
      <c r="T2884" s="32"/>
      <c r="U2884" s="32"/>
      <c r="X2884" s="32"/>
      <c r="Y2884" s="32"/>
      <c r="Z2884" s="32"/>
      <c r="AA2884" s="32"/>
      <c r="AB2884" s="32"/>
    </row>
    <row r="2885" spans="2:28" ht="23.25" customHeight="1" x14ac:dyDescent="0.2">
      <c r="B2885" s="75"/>
      <c r="C2885" s="67"/>
      <c r="D2885" s="75"/>
      <c r="E2885" s="67"/>
      <c r="F2885" s="67"/>
      <c r="G2885" s="70"/>
      <c r="H2885" s="70"/>
      <c r="I2885" s="70"/>
      <c r="J2885" s="70"/>
      <c r="K2885" s="70"/>
      <c r="L2885" s="67"/>
      <c r="M2885" s="67"/>
      <c r="N2885" s="72"/>
      <c r="O2885" s="72"/>
      <c r="P2885" s="67"/>
      <c r="Q2885" s="67"/>
      <c r="R2885" s="67"/>
      <c r="S2885" s="67"/>
      <c r="T2885" s="32"/>
      <c r="U2885" s="32"/>
      <c r="X2885" s="32"/>
      <c r="Y2885" s="32"/>
      <c r="Z2885" s="32"/>
      <c r="AA2885" s="32"/>
      <c r="AB2885" s="32"/>
    </row>
    <row r="2886" spans="2:28" ht="23.25" customHeight="1" x14ac:dyDescent="0.2">
      <c r="B2886" s="75"/>
      <c r="C2886" s="67"/>
      <c r="D2886" s="75"/>
      <c r="E2886" s="67"/>
      <c r="F2886" s="67"/>
      <c r="G2886" s="70"/>
      <c r="H2886" s="70"/>
      <c r="I2886" s="70"/>
      <c r="J2886" s="70"/>
      <c r="K2886" s="70"/>
      <c r="L2886" s="67"/>
      <c r="M2886" s="67"/>
      <c r="N2886" s="72"/>
      <c r="O2886" s="72"/>
      <c r="P2886" s="67"/>
      <c r="Q2886" s="67"/>
      <c r="R2886" s="67"/>
      <c r="S2886" s="67"/>
      <c r="T2886" s="32"/>
      <c r="U2886" s="32"/>
      <c r="X2886" s="32"/>
      <c r="Y2886" s="32"/>
      <c r="Z2886" s="32"/>
      <c r="AA2886" s="32"/>
      <c r="AB2886" s="32"/>
    </row>
    <row r="2887" spans="2:28" ht="23.25" customHeight="1" x14ac:dyDescent="0.2">
      <c r="B2887" s="75"/>
      <c r="C2887" s="67"/>
      <c r="D2887" s="75"/>
      <c r="E2887" s="67"/>
      <c r="F2887" s="67"/>
      <c r="G2887" s="70"/>
      <c r="H2887" s="70"/>
      <c r="I2887" s="70"/>
      <c r="J2887" s="70"/>
      <c r="K2887" s="70"/>
      <c r="L2887" s="67"/>
      <c r="M2887" s="67"/>
      <c r="N2887" s="72"/>
      <c r="O2887" s="72"/>
      <c r="P2887" s="67"/>
      <c r="Q2887" s="67"/>
      <c r="R2887" s="67"/>
      <c r="S2887" s="67"/>
      <c r="T2887" s="32"/>
      <c r="U2887" s="32"/>
      <c r="X2887" s="32"/>
      <c r="Y2887" s="32"/>
      <c r="Z2887" s="32"/>
      <c r="AA2887" s="32"/>
      <c r="AB2887" s="32"/>
    </row>
    <row r="2888" spans="2:28" ht="23.25" customHeight="1" x14ac:dyDescent="0.2">
      <c r="B2888" s="75"/>
      <c r="C2888" s="67"/>
      <c r="D2888" s="75"/>
      <c r="E2888" s="67"/>
      <c r="F2888" s="67"/>
      <c r="G2888" s="70"/>
      <c r="H2888" s="70"/>
      <c r="I2888" s="70"/>
      <c r="J2888" s="70"/>
      <c r="K2888" s="70"/>
      <c r="L2888" s="67"/>
      <c r="M2888" s="67"/>
      <c r="N2888" s="72"/>
      <c r="O2888" s="72"/>
      <c r="P2888" s="67"/>
      <c r="Q2888" s="67"/>
      <c r="R2888" s="67"/>
      <c r="S2888" s="67"/>
      <c r="T2888" s="32"/>
      <c r="U2888" s="32"/>
      <c r="X2888" s="32"/>
      <c r="Y2888" s="32"/>
      <c r="Z2888" s="32"/>
      <c r="AA2888" s="32"/>
      <c r="AB2888" s="32"/>
    </row>
    <row r="2889" spans="2:28" ht="23.25" customHeight="1" x14ac:dyDescent="0.2">
      <c r="B2889" s="75"/>
      <c r="C2889" s="67"/>
      <c r="D2889" s="75"/>
      <c r="E2889" s="67"/>
      <c r="F2889" s="67"/>
      <c r="G2889" s="70"/>
      <c r="H2889" s="70"/>
      <c r="I2889" s="70"/>
      <c r="J2889" s="70"/>
      <c r="K2889" s="70"/>
      <c r="L2889" s="67"/>
      <c r="M2889" s="67"/>
      <c r="N2889" s="72"/>
      <c r="O2889" s="72"/>
      <c r="P2889" s="67"/>
      <c r="Q2889" s="67"/>
      <c r="R2889" s="67"/>
      <c r="S2889" s="67"/>
      <c r="T2889" s="32"/>
      <c r="U2889" s="32"/>
      <c r="X2889" s="32"/>
      <c r="Y2889" s="32"/>
      <c r="Z2889" s="32"/>
      <c r="AA2889" s="32"/>
      <c r="AB2889" s="32"/>
    </row>
    <row r="2890" spans="2:28" ht="23.25" customHeight="1" x14ac:dyDescent="0.2">
      <c r="B2890" s="75"/>
      <c r="C2890" s="67"/>
      <c r="D2890" s="75"/>
      <c r="E2890" s="67"/>
      <c r="F2890" s="67"/>
      <c r="G2890" s="70"/>
      <c r="H2890" s="70"/>
      <c r="I2890" s="70"/>
      <c r="J2890" s="70"/>
      <c r="K2890" s="70"/>
      <c r="L2890" s="67"/>
      <c r="M2890" s="67"/>
      <c r="N2890" s="72"/>
      <c r="O2890" s="72"/>
      <c r="P2890" s="67"/>
      <c r="Q2890" s="67"/>
      <c r="R2890" s="67"/>
      <c r="S2890" s="67"/>
      <c r="T2890" s="32"/>
      <c r="U2890" s="32"/>
      <c r="X2890" s="32"/>
      <c r="Y2890" s="32"/>
      <c r="Z2890" s="32"/>
      <c r="AA2890" s="32"/>
      <c r="AB2890" s="32"/>
    </row>
    <row r="2891" spans="2:28" ht="23.25" customHeight="1" x14ac:dyDescent="0.2">
      <c r="B2891" s="75"/>
      <c r="C2891" s="67"/>
      <c r="D2891" s="75"/>
      <c r="E2891" s="67"/>
      <c r="F2891" s="67"/>
      <c r="G2891" s="70"/>
      <c r="H2891" s="70"/>
      <c r="I2891" s="70"/>
      <c r="J2891" s="70"/>
      <c r="K2891" s="70"/>
      <c r="L2891" s="67"/>
      <c r="M2891" s="67"/>
      <c r="N2891" s="72"/>
      <c r="O2891" s="72"/>
      <c r="P2891" s="67"/>
      <c r="Q2891" s="67"/>
      <c r="R2891" s="67"/>
      <c r="S2891" s="67"/>
      <c r="T2891" s="32"/>
      <c r="U2891" s="32"/>
      <c r="X2891" s="32"/>
      <c r="Y2891" s="32"/>
      <c r="Z2891" s="32"/>
      <c r="AA2891" s="32"/>
      <c r="AB2891" s="32"/>
    </row>
    <row r="2892" spans="2:28" ht="23.25" customHeight="1" x14ac:dyDescent="0.2">
      <c r="B2892" s="75"/>
      <c r="C2892" s="67"/>
      <c r="D2892" s="75"/>
      <c r="E2892" s="67"/>
      <c r="F2892" s="67"/>
      <c r="G2892" s="70"/>
      <c r="H2892" s="70"/>
      <c r="I2892" s="70"/>
      <c r="J2892" s="70"/>
      <c r="K2892" s="70"/>
      <c r="L2892" s="67"/>
      <c r="M2892" s="67"/>
      <c r="N2892" s="72"/>
      <c r="O2892" s="72"/>
      <c r="P2892" s="67"/>
      <c r="Q2892" s="67"/>
      <c r="R2892" s="67"/>
      <c r="S2892" s="67"/>
      <c r="T2892" s="32"/>
      <c r="U2892" s="32"/>
      <c r="X2892" s="32"/>
      <c r="Y2892" s="32"/>
      <c r="Z2892" s="32"/>
      <c r="AA2892" s="32"/>
      <c r="AB2892" s="32"/>
    </row>
    <row r="2893" spans="2:28" ht="23.25" customHeight="1" x14ac:dyDescent="0.2">
      <c r="B2893" s="75"/>
      <c r="C2893" s="67"/>
      <c r="D2893" s="75"/>
      <c r="E2893" s="67"/>
      <c r="F2893" s="67"/>
      <c r="G2893" s="70"/>
      <c r="H2893" s="70"/>
      <c r="I2893" s="70"/>
      <c r="J2893" s="70"/>
      <c r="K2893" s="70"/>
      <c r="L2893" s="67"/>
      <c r="M2893" s="67"/>
      <c r="N2893" s="72"/>
      <c r="O2893" s="72"/>
      <c r="P2893" s="67"/>
      <c r="Q2893" s="67"/>
      <c r="R2893" s="67"/>
      <c r="S2893" s="67"/>
      <c r="T2893" s="32"/>
      <c r="U2893" s="32"/>
      <c r="X2893" s="32"/>
      <c r="Y2893" s="32"/>
      <c r="Z2893" s="32"/>
      <c r="AA2893" s="32"/>
      <c r="AB2893" s="32"/>
    </row>
    <row r="2894" spans="2:28" ht="23.25" customHeight="1" x14ac:dyDescent="0.2">
      <c r="B2894" s="75"/>
      <c r="C2894" s="67"/>
      <c r="D2894" s="75"/>
      <c r="E2894" s="67"/>
      <c r="F2894" s="67"/>
      <c r="G2894" s="70"/>
      <c r="H2894" s="70"/>
      <c r="I2894" s="70"/>
      <c r="J2894" s="70"/>
      <c r="K2894" s="70"/>
      <c r="L2894" s="67"/>
      <c r="M2894" s="67"/>
      <c r="N2894" s="72"/>
      <c r="O2894" s="72"/>
      <c r="P2894" s="67"/>
      <c r="Q2894" s="67"/>
      <c r="R2894" s="67"/>
      <c r="S2894" s="67"/>
      <c r="T2894" s="32"/>
      <c r="U2894" s="32"/>
      <c r="X2894" s="32"/>
      <c r="Y2894" s="32"/>
      <c r="Z2894" s="32"/>
      <c r="AA2894" s="32"/>
      <c r="AB2894" s="32"/>
    </row>
    <row r="2895" spans="2:28" ht="23.25" customHeight="1" x14ac:dyDescent="0.2">
      <c r="B2895" s="75"/>
      <c r="C2895" s="67"/>
      <c r="D2895" s="75"/>
      <c r="E2895" s="67"/>
      <c r="F2895" s="67"/>
      <c r="G2895" s="70"/>
      <c r="H2895" s="70"/>
      <c r="I2895" s="70"/>
      <c r="J2895" s="70"/>
      <c r="K2895" s="70"/>
      <c r="L2895" s="67"/>
      <c r="M2895" s="67"/>
      <c r="N2895" s="72"/>
      <c r="O2895" s="72"/>
      <c r="P2895" s="67"/>
      <c r="Q2895" s="67"/>
      <c r="R2895" s="67"/>
      <c r="S2895" s="67"/>
      <c r="T2895" s="32"/>
      <c r="U2895" s="32"/>
      <c r="X2895" s="32"/>
      <c r="Y2895" s="32"/>
      <c r="Z2895" s="32"/>
      <c r="AA2895" s="32"/>
      <c r="AB2895" s="32"/>
    </row>
    <row r="2896" spans="2:28" ht="23.25" customHeight="1" x14ac:dyDescent="0.2">
      <c r="B2896" s="75"/>
      <c r="C2896" s="67"/>
      <c r="D2896" s="75"/>
      <c r="E2896" s="67"/>
      <c r="F2896" s="67"/>
      <c r="G2896" s="70"/>
      <c r="H2896" s="70"/>
      <c r="I2896" s="70"/>
      <c r="J2896" s="70"/>
      <c r="K2896" s="70"/>
      <c r="L2896" s="67"/>
      <c r="M2896" s="67"/>
      <c r="N2896" s="72"/>
      <c r="O2896" s="72"/>
      <c r="P2896" s="67"/>
      <c r="Q2896" s="67"/>
      <c r="R2896" s="67"/>
      <c r="S2896" s="67"/>
      <c r="T2896" s="32"/>
      <c r="U2896" s="32"/>
      <c r="X2896" s="32"/>
      <c r="Y2896" s="32"/>
      <c r="Z2896" s="32"/>
      <c r="AA2896" s="32"/>
      <c r="AB2896" s="32"/>
    </row>
    <row r="2897" spans="2:28" ht="23.25" customHeight="1" x14ac:dyDescent="0.2">
      <c r="B2897" s="75"/>
      <c r="C2897" s="67"/>
      <c r="D2897" s="75"/>
      <c r="E2897" s="67"/>
      <c r="F2897" s="67"/>
      <c r="G2897" s="70"/>
      <c r="H2897" s="70"/>
      <c r="I2897" s="70"/>
      <c r="J2897" s="70"/>
      <c r="K2897" s="70"/>
      <c r="L2897" s="67"/>
      <c r="M2897" s="67"/>
      <c r="N2897" s="72"/>
      <c r="O2897" s="72"/>
      <c r="P2897" s="67"/>
      <c r="Q2897" s="67"/>
      <c r="R2897" s="67"/>
      <c r="S2897" s="67"/>
      <c r="T2897" s="32"/>
      <c r="U2897" s="32"/>
      <c r="X2897" s="32"/>
      <c r="Y2897" s="32"/>
      <c r="Z2897" s="32"/>
      <c r="AA2897" s="32"/>
      <c r="AB2897" s="32"/>
    </row>
    <row r="2898" spans="2:28" ht="23.25" customHeight="1" x14ac:dyDescent="0.2">
      <c r="B2898" s="75"/>
      <c r="C2898" s="67"/>
      <c r="D2898" s="75"/>
      <c r="E2898" s="67"/>
      <c r="F2898" s="67"/>
      <c r="G2898" s="70"/>
      <c r="H2898" s="70"/>
      <c r="I2898" s="70"/>
      <c r="J2898" s="70"/>
      <c r="K2898" s="70"/>
      <c r="L2898" s="67"/>
      <c r="M2898" s="67"/>
      <c r="N2898" s="72"/>
      <c r="O2898" s="72"/>
      <c r="P2898" s="67"/>
      <c r="Q2898" s="67"/>
      <c r="R2898" s="67"/>
      <c r="S2898" s="67"/>
      <c r="T2898" s="32"/>
      <c r="U2898" s="32"/>
      <c r="X2898" s="32"/>
      <c r="Y2898" s="32"/>
      <c r="Z2898" s="32"/>
      <c r="AA2898" s="32"/>
      <c r="AB2898" s="32"/>
    </row>
    <row r="2899" spans="2:28" ht="23.25" customHeight="1" x14ac:dyDescent="0.2">
      <c r="B2899" s="75"/>
      <c r="C2899" s="67"/>
      <c r="D2899" s="75"/>
      <c r="E2899" s="67"/>
      <c r="F2899" s="67"/>
      <c r="G2899" s="70"/>
      <c r="H2899" s="70"/>
      <c r="I2899" s="70"/>
      <c r="J2899" s="70"/>
      <c r="K2899" s="70"/>
      <c r="L2899" s="67"/>
      <c r="M2899" s="67"/>
      <c r="N2899" s="72"/>
      <c r="O2899" s="72"/>
      <c r="P2899" s="67"/>
      <c r="Q2899" s="67"/>
      <c r="R2899" s="67"/>
      <c r="S2899" s="67"/>
      <c r="T2899" s="32"/>
      <c r="U2899" s="32"/>
      <c r="X2899" s="32"/>
      <c r="Y2899" s="32"/>
      <c r="Z2899" s="32"/>
      <c r="AA2899" s="32"/>
      <c r="AB2899" s="32"/>
    </row>
    <row r="2900" spans="2:28" ht="23.25" customHeight="1" x14ac:dyDescent="0.2">
      <c r="B2900" s="75"/>
      <c r="C2900" s="67"/>
      <c r="D2900" s="75"/>
      <c r="E2900" s="67"/>
      <c r="F2900" s="67"/>
      <c r="G2900" s="70"/>
      <c r="H2900" s="70"/>
      <c r="I2900" s="70"/>
      <c r="J2900" s="70"/>
      <c r="K2900" s="70"/>
      <c r="L2900" s="67"/>
      <c r="M2900" s="67"/>
      <c r="N2900" s="72"/>
      <c r="O2900" s="72"/>
      <c r="P2900" s="67"/>
      <c r="Q2900" s="67"/>
      <c r="R2900" s="67"/>
      <c r="S2900" s="67"/>
      <c r="T2900" s="32"/>
      <c r="U2900" s="32"/>
      <c r="X2900" s="32"/>
      <c r="Y2900" s="32"/>
      <c r="Z2900" s="32"/>
      <c r="AA2900" s="32"/>
      <c r="AB2900" s="32"/>
    </row>
    <row r="2901" spans="2:28" ht="23.25" customHeight="1" x14ac:dyDescent="0.2">
      <c r="B2901" s="75"/>
      <c r="C2901" s="67"/>
      <c r="D2901" s="75"/>
      <c r="E2901" s="67"/>
      <c r="F2901" s="67"/>
      <c r="G2901" s="70"/>
      <c r="H2901" s="70"/>
      <c r="I2901" s="70"/>
      <c r="J2901" s="70"/>
      <c r="K2901" s="70"/>
      <c r="L2901" s="67"/>
      <c r="M2901" s="67"/>
      <c r="N2901" s="72"/>
      <c r="O2901" s="72"/>
      <c r="P2901" s="67"/>
      <c r="Q2901" s="67"/>
      <c r="R2901" s="67"/>
      <c r="S2901" s="67"/>
      <c r="T2901" s="32"/>
      <c r="U2901" s="32"/>
      <c r="X2901" s="32"/>
      <c r="Y2901" s="32"/>
      <c r="Z2901" s="32"/>
      <c r="AA2901" s="32"/>
      <c r="AB2901" s="32"/>
    </row>
    <row r="2902" spans="2:28" ht="23.25" customHeight="1" x14ac:dyDescent="0.2">
      <c r="B2902" s="75"/>
      <c r="C2902" s="67"/>
      <c r="D2902" s="75"/>
      <c r="E2902" s="67"/>
      <c r="F2902" s="67"/>
      <c r="G2902" s="70"/>
      <c r="H2902" s="70"/>
      <c r="I2902" s="70"/>
      <c r="J2902" s="70"/>
      <c r="K2902" s="70"/>
      <c r="L2902" s="67"/>
      <c r="M2902" s="67"/>
      <c r="N2902" s="72"/>
      <c r="O2902" s="72"/>
      <c r="P2902" s="67"/>
      <c r="Q2902" s="67"/>
      <c r="R2902" s="67"/>
      <c r="S2902" s="67"/>
      <c r="T2902" s="32"/>
      <c r="U2902" s="32"/>
      <c r="X2902" s="32"/>
      <c r="Y2902" s="32"/>
      <c r="Z2902" s="32"/>
      <c r="AA2902" s="32"/>
      <c r="AB2902" s="32"/>
    </row>
    <row r="2903" spans="2:28" ht="23.25" customHeight="1" x14ac:dyDescent="0.2">
      <c r="B2903" s="75"/>
      <c r="C2903" s="67"/>
      <c r="D2903" s="75"/>
      <c r="E2903" s="67"/>
      <c r="F2903" s="67"/>
      <c r="G2903" s="70"/>
      <c r="H2903" s="70"/>
      <c r="I2903" s="70"/>
      <c r="J2903" s="70"/>
      <c r="K2903" s="70"/>
      <c r="L2903" s="67"/>
      <c r="M2903" s="67"/>
      <c r="N2903" s="72"/>
      <c r="O2903" s="72"/>
      <c r="P2903" s="67"/>
      <c r="Q2903" s="67"/>
      <c r="R2903" s="67"/>
      <c r="S2903" s="67"/>
      <c r="T2903" s="32"/>
      <c r="U2903" s="32"/>
      <c r="X2903" s="32"/>
      <c r="Y2903" s="32"/>
      <c r="Z2903" s="32"/>
      <c r="AA2903" s="32"/>
      <c r="AB2903" s="32"/>
    </row>
    <row r="2904" spans="2:28" ht="23.25" customHeight="1" x14ac:dyDescent="0.2">
      <c r="B2904" s="75"/>
      <c r="C2904" s="67"/>
      <c r="D2904" s="75"/>
      <c r="E2904" s="67"/>
      <c r="F2904" s="67"/>
      <c r="G2904" s="70"/>
      <c r="H2904" s="70"/>
      <c r="I2904" s="70"/>
      <c r="J2904" s="70"/>
      <c r="K2904" s="70"/>
      <c r="L2904" s="67"/>
      <c r="M2904" s="67"/>
      <c r="N2904" s="72"/>
      <c r="O2904" s="72"/>
      <c r="P2904" s="67"/>
      <c r="Q2904" s="67"/>
      <c r="R2904" s="67"/>
      <c r="S2904" s="67"/>
      <c r="T2904" s="32"/>
      <c r="U2904" s="32"/>
      <c r="X2904" s="32"/>
      <c r="Y2904" s="32"/>
      <c r="Z2904" s="32"/>
      <c r="AA2904" s="32"/>
      <c r="AB2904" s="32"/>
    </row>
    <row r="2905" spans="2:28" ht="23.25" customHeight="1" x14ac:dyDescent="0.2">
      <c r="B2905" s="75"/>
      <c r="C2905" s="67"/>
      <c r="D2905" s="75"/>
      <c r="E2905" s="67"/>
      <c r="F2905" s="67"/>
      <c r="G2905" s="70"/>
      <c r="H2905" s="70"/>
      <c r="I2905" s="70"/>
      <c r="J2905" s="70"/>
      <c r="K2905" s="70"/>
      <c r="L2905" s="67"/>
      <c r="M2905" s="67"/>
      <c r="N2905" s="72"/>
      <c r="O2905" s="72"/>
      <c r="P2905" s="67"/>
      <c r="Q2905" s="67"/>
      <c r="R2905" s="67"/>
      <c r="S2905" s="67"/>
      <c r="T2905" s="32"/>
      <c r="U2905" s="32"/>
      <c r="X2905" s="32"/>
      <c r="Y2905" s="32"/>
      <c r="Z2905" s="32"/>
      <c r="AA2905" s="32"/>
      <c r="AB2905" s="32"/>
    </row>
    <row r="2906" spans="2:28" ht="23.25" customHeight="1" x14ac:dyDescent="0.2">
      <c r="B2906" s="75"/>
      <c r="C2906" s="67"/>
      <c r="D2906" s="75"/>
      <c r="E2906" s="67"/>
      <c r="F2906" s="67"/>
      <c r="G2906" s="70"/>
      <c r="H2906" s="70"/>
      <c r="I2906" s="70"/>
      <c r="J2906" s="70"/>
      <c r="K2906" s="70"/>
      <c r="L2906" s="67"/>
      <c r="M2906" s="67"/>
      <c r="N2906" s="72"/>
      <c r="O2906" s="72"/>
      <c r="P2906" s="67"/>
      <c r="Q2906" s="67"/>
      <c r="R2906" s="67"/>
      <c r="S2906" s="67"/>
      <c r="T2906" s="32"/>
      <c r="U2906" s="32"/>
      <c r="X2906" s="32"/>
      <c r="Y2906" s="32"/>
      <c r="Z2906" s="32"/>
      <c r="AA2906" s="32"/>
      <c r="AB2906" s="32"/>
    </row>
    <row r="2907" spans="2:28" ht="23.25" customHeight="1" x14ac:dyDescent="0.2">
      <c r="B2907" s="75"/>
      <c r="C2907" s="67"/>
      <c r="D2907" s="75"/>
      <c r="E2907" s="67"/>
      <c r="F2907" s="67"/>
      <c r="G2907" s="70"/>
      <c r="H2907" s="70"/>
      <c r="I2907" s="70"/>
      <c r="J2907" s="70"/>
      <c r="K2907" s="70"/>
      <c r="L2907" s="67"/>
      <c r="M2907" s="67"/>
      <c r="N2907" s="72"/>
      <c r="O2907" s="72"/>
      <c r="P2907" s="67"/>
      <c r="Q2907" s="67"/>
      <c r="R2907" s="67"/>
      <c r="S2907" s="67"/>
      <c r="T2907" s="32"/>
      <c r="U2907" s="32"/>
      <c r="X2907" s="32"/>
      <c r="Y2907" s="32"/>
      <c r="Z2907" s="32"/>
      <c r="AA2907" s="32"/>
      <c r="AB2907" s="32"/>
    </row>
    <row r="2908" spans="2:28" ht="23.25" customHeight="1" x14ac:dyDescent="0.2">
      <c r="B2908" s="75"/>
      <c r="C2908" s="67"/>
      <c r="D2908" s="75"/>
      <c r="E2908" s="67"/>
      <c r="F2908" s="67"/>
      <c r="G2908" s="70"/>
      <c r="H2908" s="70"/>
      <c r="I2908" s="70"/>
      <c r="J2908" s="70"/>
      <c r="K2908" s="70"/>
      <c r="L2908" s="67"/>
      <c r="M2908" s="67"/>
      <c r="N2908" s="72"/>
      <c r="O2908" s="72"/>
      <c r="P2908" s="67"/>
      <c r="Q2908" s="67"/>
      <c r="R2908" s="67"/>
      <c r="S2908" s="67"/>
      <c r="T2908" s="32"/>
      <c r="U2908" s="32"/>
      <c r="X2908" s="32"/>
      <c r="Y2908" s="32"/>
      <c r="Z2908" s="32"/>
      <c r="AA2908" s="32"/>
      <c r="AB2908" s="32"/>
    </row>
    <row r="2909" spans="2:28" ht="23.25" customHeight="1" x14ac:dyDescent="0.2">
      <c r="B2909" s="75"/>
      <c r="C2909" s="67"/>
      <c r="D2909" s="75"/>
      <c r="E2909" s="67"/>
      <c r="F2909" s="67"/>
      <c r="G2909" s="70"/>
      <c r="H2909" s="70"/>
      <c r="I2909" s="70"/>
      <c r="J2909" s="70"/>
      <c r="K2909" s="70"/>
      <c r="L2909" s="67"/>
      <c r="M2909" s="67"/>
      <c r="N2909" s="72"/>
      <c r="O2909" s="72"/>
      <c r="P2909" s="67"/>
      <c r="Q2909" s="67"/>
      <c r="R2909" s="67"/>
      <c r="S2909" s="67"/>
      <c r="T2909" s="32"/>
      <c r="U2909" s="32"/>
      <c r="X2909" s="32"/>
      <c r="Y2909" s="32"/>
      <c r="Z2909" s="32"/>
      <c r="AA2909" s="32"/>
      <c r="AB2909" s="32"/>
    </row>
    <row r="2910" spans="2:28" ht="23.25" customHeight="1" x14ac:dyDescent="0.2">
      <c r="B2910" s="75"/>
      <c r="C2910" s="67"/>
      <c r="D2910" s="75"/>
      <c r="E2910" s="67"/>
      <c r="F2910" s="67"/>
      <c r="G2910" s="70"/>
      <c r="H2910" s="70"/>
      <c r="I2910" s="70"/>
      <c r="J2910" s="70"/>
      <c r="K2910" s="70"/>
      <c r="L2910" s="67"/>
      <c r="M2910" s="67"/>
      <c r="N2910" s="72"/>
      <c r="O2910" s="72"/>
      <c r="P2910" s="67"/>
      <c r="Q2910" s="67"/>
      <c r="R2910" s="67"/>
      <c r="S2910" s="67"/>
      <c r="T2910" s="32"/>
      <c r="U2910" s="32"/>
      <c r="X2910" s="32"/>
      <c r="Y2910" s="32"/>
      <c r="Z2910" s="32"/>
      <c r="AA2910" s="32"/>
      <c r="AB2910" s="32"/>
    </row>
    <row r="2911" spans="2:28" ht="23.25" customHeight="1" x14ac:dyDescent="0.2">
      <c r="B2911" s="75"/>
      <c r="C2911" s="67"/>
      <c r="D2911" s="75"/>
      <c r="E2911" s="67"/>
      <c r="F2911" s="67"/>
      <c r="G2911" s="70"/>
      <c r="H2911" s="70"/>
      <c r="I2911" s="70"/>
      <c r="J2911" s="70"/>
      <c r="K2911" s="70"/>
      <c r="L2911" s="67"/>
      <c r="M2911" s="67"/>
      <c r="N2911" s="72"/>
      <c r="O2911" s="72"/>
      <c r="P2911" s="67"/>
      <c r="Q2911" s="67"/>
      <c r="R2911" s="67"/>
      <c r="S2911" s="67"/>
      <c r="T2911" s="32"/>
      <c r="U2911" s="32"/>
      <c r="X2911" s="32"/>
      <c r="Y2911" s="32"/>
      <c r="Z2911" s="32"/>
      <c r="AA2911" s="32"/>
      <c r="AB2911" s="32"/>
    </row>
    <row r="2912" spans="2:28" ht="23.25" customHeight="1" x14ac:dyDescent="0.2">
      <c r="B2912" s="75"/>
      <c r="C2912" s="67"/>
      <c r="D2912" s="75"/>
      <c r="E2912" s="67"/>
      <c r="F2912" s="67"/>
      <c r="G2912" s="70"/>
      <c r="H2912" s="70"/>
      <c r="I2912" s="70"/>
      <c r="J2912" s="70"/>
      <c r="K2912" s="70"/>
      <c r="L2912" s="67"/>
      <c r="M2912" s="67"/>
      <c r="N2912" s="72"/>
      <c r="O2912" s="72"/>
      <c r="P2912" s="67"/>
      <c r="Q2912" s="67"/>
      <c r="R2912" s="67"/>
      <c r="S2912" s="67"/>
      <c r="T2912" s="32"/>
      <c r="U2912" s="32"/>
      <c r="X2912" s="32"/>
      <c r="Y2912" s="32"/>
      <c r="Z2912" s="32"/>
      <c r="AA2912" s="32"/>
      <c r="AB2912" s="32"/>
    </row>
    <row r="2913" spans="2:28" ht="23.25" customHeight="1" x14ac:dyDescent="0.2">
      <c r="B2913" s="75"/>
      <c r="C2913" s="67"/>
      <c r="D2913" s="75"/>
      <c r="E2913" s="67"/>
      <c r="F2913" s="67"/>
      <c r="G2913" s="70"/>
      <c r="H2913" s="70"/>
      <c r="I2913" s="70"/>
      <c r="J2913" s="70"/>
      <c r="K2913" s="70"/>
      <c r="L2913" s="67"/>
      <c r="M2913" s="67"/>
      <c r="N2913" s="72"/>
      <c r="O2913" s="72"/>
      <c r="P2913" s="67"/>
      <c r="Q2913" s="67"/>
      <c r="R2913" s="67"/>
      <c r="S2913" s="67"/>
      <c r="T2913" s="32"/>
      <c r="U2913" s="32"/>
      <c r="X2913" s="32"/>
      <c r="Y2913" s="32"/>
      <c r="Z2913" s="32"/>
      <c r="AA2913" s="32"/>
      <c r="AB2913" s="32"/>
    </row>
    <row r="2914" spans="2:28" ht="23.25" customHeight="1" x14ac:dyDescent="0.2">
      <c r="B2914" s="75"/>
      <c r="C2914" s="67"/>
      <c r="D2914" s="75"/>
      <c r="E2914" s="67"/>
      <c r="F2914" s="67"/>
      <c r="G2914" s="70"/>
      <c r="H2914" s="70"/>
      <c r="I2914" s="70"/>
      <c r="J2914" s="70"/>
      <c r="K2914" s="70"/>
      <c r="L2914" s="67"/>
      <c r="M2914" s="67"/>
      <c r="N2914" s="72"/>
      <c r="O2914" s="72"/>
      <c r="P2914" s="67"/>
      <c r="Q2914" s="67"/>
      <c r="R2914" s="67"/>
      <c r="S2914" s="67"/>
      <c r="T2914" s="32"/>
      <c r="U2914" s="32"/>
      <c r="X2914" s="32"/>
      <c r="Y2914" s="32"/>
      <c r="Z2914" s="32"/>
      <c r="AA2914" s="32"/>
      <c r="AB2914" s="32"/>
    </row>
    <row r="2915" spans="2:28" ht="23.25" customHeight="1" x14ac:dyDescent="0.2">
      <c r="B2915" s="75"/>
      <c r="C2915" s="67"/>
      <c r="D2915" s="75"/>
      <c r="E2915" s="67"/>
      <c r="F2915" s="67"/>
      <c r="G2915" s="70"/>
      <c r="H2915" s="70"/>
      <c r="I2915" s="70"/>
      <c r="J2915" s="70"/>
      <c r="K2915" s="70"/>
      <c r="L2915" s="67"/>
      <c r="M2915" s="67"/>
      <c r="N2915" s="72"/>
      <c r="O2915" s="72"/>
      <c r="P2915" s="67"/>
      <c r="Q2915" s="67"/>
      <c r="R2915" s="67"/>
      <c r="S2915" s="67"/>
      <c r="T2915" s="32"/>
      <c r="U2915" s="32"/>
      <c r="X2915" s="32"/>
      <c r="Y2915" s="32"/>
      <c r="Z2915" s="32"/>
      <c r="AA2915" s="32"/>
      <c r="AB2915" s="32"/>
    </row>
    <row r="2916" spans="2:28" ht="23.25" customHeight="1" x14ac:dyDescent="0.2">
      <c r="B2916" s="75"/>
      <c r="C2916" s="67"/>
      <c r="D2916" s="75"/>
      <c r="E2916" s="67"/>
      <c r="F2916" s="67"/>
      <c r="G2916" s="70"/>
      <c r="H2916" s="70"/>
      <c r="I2916" s="70"/>
      <c r="J2916" s="70"/>
      <c r="K2916" s="70"/>
      <c r="L2916" s="67"/>
      <c r="M2916" s="67"/>
      <c r="N2916" s="72"/>
      <c r="O2916" s="72"/>
      <c r="P2916" s="67"/>
      <c r="Q2916" s="67"/>
      <c r="R2916" s="67"/>
      <c r="S2916" s="67"/>
      <c r="T2916" s="32"/>
      <c r="U2916" s="32"/>
      <c r="X2916" s="32"/>
      <c r="Y2916" s="32"/>
      <c r="Z2916" s="32"/>
      <c r="AA2916" s="32"/>
      <c r="AB2916" s="32"/>
    </row>
    <row r="2917" spans="2:28" ht="23.25" customHeight="1" x14ac:dyDescent="0.2">
      <c r="B2917" s="75"/>
      <c r="C2917" s="67"/>
      <c r="D2917" s="75"/>
      <c r="E2917" s="67"/>
      <c r="F2917" s="67"/>
      <c r="G2917" s="70"/>
      <c r="H2917" s="70"/>
      <c r="I2917" s="70"/>
      <c r="J2917" s="70"/>
      <c r="K2917" s="70"/>
      <c r="L2917" s="67"/>
      <c r="M2917" s="67"/>
      <c r="N2917" s="72"/>
      <c r="O2917" s="72"/>
      <c r="P2917" s="67"/>
      <c r="Q2917" s="67"/>
      <c r="R2917" s="67"/>
      <c r="S2917" s="67"/>
      <c r="T2917" s="32"/>
      <c r="U2917" s="32"/>
      <c r="X2917" s="32"/>
      <c r="Y2917" s="32"/>
      <c r="Z2917" s="32"/>
      <c r="AA2917" s="32"/>
      <c r="AB2917" s="32"/>
    </row>
    <row r="2918" spans="2:28" ht="23.25" customHeight="1" x14ac:dyDescent="0.2">
      <c r="B2918" s="75"/>
      <c r="C2918" s="67"/>
      <c r="D2918" s="75"/>
      <c r="E2918" s="67"/>
      <c r="F2918" s="67"/>
      <c r="G2918" s="70"/>
      <c r="H2918" s="70"/>
      <c r="I2918" s="70"/>
      <c r="J2918" s="70"/>
      <c r="K2918" s="70"/>
      <c r="L2918" s="67"/>
      <c r="M2918" s="67"/>
      <c r="N2918" s="72"/>
      <c r="O2918" s="72"/>
      <c r="P2918" s="67"/>
      <c r="Q2918" s="67"/>
      <c r="R2918" s="67"/>
      <c r="S2918" s="67"/>
      <c r="T2918" s="32"/>
      <c r="U2918" s="32"/>
      <c r="X2918" s="32"/>
      <c r="Y2918" s="32"/>
      <c r="Z2918" s="32"/>
      <c r="AA2918" s="32"/>
      <c r="AB2918" s="32"/>
    </row>
    <row r="2919" spans="2:28" ht="23.25" customHeight="1" x14ac:dyDescent="0.2">
      <c r="B2919" s="75"/>
      <c r="C2919" s="67"/>
      <c r="D2919" s="75"/>
      <c r="E2919" s="67"/>
      <c r="F2919" s="67"/>
      <c r="G2919" s="70"/>
      <c r="H2919" s="70"/>
      <c r="I2919" s="70"/>
      <c r="J2919" s="70"/>
      <c r="K2919" s="70"/>
      <c r="L2919" s="67"/>
      <c r="M2919" s="67"/>
      <c r="N2919" s="72"/>
      <c r="O2919" s="72"/>
      <c r="P2919" s="67"/>
      <c r="Q2919" s="67"/>
      <c r="R2919" s="67"/>
      <c r="S2919" s="67"/>
      <c r="T2919" s="32"/>
      <c r="U2919" s="32"/>
      <c r="X2919" s="32"/>
      <c r="Y2919" s="32"/>
      <c r="Z2919" s="32"/>
      <c r="AA2919" s="32"/>
      <c r="AB2919" s="32"/>
    </row>
    <row r="2920" spans="2:28" ht="23.25" customHeight="1" x14ac:dyDescent="0.2">
      <c r="B2920" s="75"/>
      <c r="C2920" s="67"/>
      <c r="D2920" s="75"/>
      <c r="E2920" s="67"/>
      <c r="F2920" s="67"/>
      <c r="G2920" s="70"/>
      <c r="H2920" s="70"/>
      <c r="I2920" s="70"/>
      <c r="J2920" s="70"/>
      <c r="K2920" s="70"/>
      <c r="L2920" s="67"/>
      <c r="M2920" s="67"/>
      <c r="N2920" s="72"/>
      <c r="O2920" s="72"/>
      <c r="P2920" s="67"/>
      <c r="Q2920" s="67"/>
      <c r="R2920" s="67"/>
      <c r="S2920" s="67"/>
      <c r="T2920" s="32"/>
      <c r="U2920" s="32"/>
      <c r="X2920" s="32"/>
      <c r="Y2920" s="32"/>
      <c r="Z2920" s="32"/>
      <c r="AA2920" s="32"/>
      <c r="AB2920" s="32"/>
    </row>
    <row r="2921" spans="2:28" ht="23.25" customHeight="1" x14ac:dyDescent="0.2">
      <c r="B2921" s="75"/>
      <c r="C2921" s="67"/>
      <c r="D2921" s="75"/>
      <c r="E2921" s="67"/>
      <c r="F2921" s="67"/>
      <c r="G2921" s="70"/>
      <c r="H2921" s="70"/>
      <c r="I2921" s="70"/>
      <c r="J2921" s="70"/>
      <c r="K2921" s="70"/>
      <c r="L2921" s="67"/>
      <c r="M2921" s="67"/>
      <c r="N2921" s="72"/>
      <c r="O2921" s="72"/>
      <c r="P2921" s="67"/>
      <c r="Q2921" s="67"/>
      <c r="R2921" s="67"/>
      <c r="S2921" s="67"/>
      <c r="T2921" s="32"/>
      <c r="U2921" s="32"/>
      <c r="X2921" s="32"/>
      <c r="Y2921" s="32"/>
      <c r="Z2921" s="32"/>
      <c r="AA2921" s="32"/>
      <c r="AB2921" s="32"/>
    </row>
    <row r="2922" spans="2:28" ht="23.25" customHeight="1" x14ac:dyDescent="0.2">
      <c r="B2922" s="75"/>
      <c r="C2922" s="67"/>
      <c r="D2922" s="75"/>
      <c r="E2922" s="67"/>
      <c r="F2922" s="67"/>
      <c r="G2922" s="70"/>
      <c r="H2922" s="70"/>
      <c r="I2922" s="70"/>
      <c r="J2922" s="70"/>
      <c r="K2922" s="70"/>
      <c r="L2922" s="67"/>
      <c r="M2922" s="67"/>
      <c r="N2922" s="72"/>
      <c r="O2922" s="72"/>
      <c r="P2922" s="67"/>
      <c r="Q2922" s="67"/>
      <c r="R2922" s="67"/>
      <c r="S2922" s="67"/>
      <c r="T2922" s="32"/>
      <c r="U2922" s="32"/>
      <c r="X2922" s="32"/>
      <c r="Y2922" s="32"/>
      <c r="Z2922" s="32"/>
      <c r="AA2922" s="32"/>
      <c r="AB2922" s="32"/>
    </row>
    <row r="2923" spans="2:28" ht="23.25" customHeight="1" x14ac:dyDescent="0.2">
      <c r="B2923" s="75"/>
      <c r="C2923" s="67"/>
      <c r="D2923" s="75"/>
      <c r="E2923" s="67"/>
      <c r="F2923" s="67"/>
      <c r="G2923" s="70"/>
      <c r="H2923" s="70"/>
      <c r="I2923" s="70"/>
      <c r="J2923" s="70"/>
      <c r="K2923" s="70"/>
      <c r="L2923" s="67"/>
      <c r="M2923" s="67"/>
      <c r="N2923" s="72"/>
      <c r="O2923" s="72"/>
      <c r="P2923" s="67"/>
      <c r="Q2923" s="67"/>
      <c r="R2923" s="67"/>
      <c r="S2923" s="67"/>
      <c r="T2923" s="32"/>
      <c r="U2923" s="32"/>
      <c r="X2923" s="32"/>
      <c r="Y2923" s="32"/>
      <c r="Z2923" s="32"/>
      <c r="AA2923" s="32"/>
      <c r="AB2923" s="32"/>
    </row>
    <row r="2924" spans="2:28" ht="23.25" customHeight="1" x14ac:dyDescent="0.2">
      <c r="B2924" s="75"/>
      <c r="C2924" s="67"/>
      <c r="D2924" s="75"/>
      <c r="E2924" s="67"/>
      <c r="F2924" s="67"/>
      <c r="G2924" s="70"/>
      <c r="H2924" s="70"/>
      <c r="I2924" s="70"/>
      <c r="J2924" s="70"/>
      <c r="K2924" s="70"/>
      <c r="L2924" s="67"/>
      <c r="M2924" s="67"/>
      <c r="N2924" s="72"/>
      <c r="O2924" s="72"/>
      <c r="P2924" s="67"/>
      <c r="Q2924" s="67"/>
      <c r="R2924" s="67"/>
      <c r="S2924" s="67"/>
      <c r="T2924" s="32"/>
      <c r="U2924" s="32"/>
      <c r="X2924" s="32"/>
      <c r="Y2924" s="32"/>
      <c r="Z2924" s="32"/>
      <c r="AA2924" s="32"/>
      <c r="AB2924" s="32"/>
    </row>
    <row r="2925" spans="2:28" ht="23.25" customHeight="1" x14ac:dyDescent="0.2">
      <c r="B2925" s="75"/>
      <c r="C2925" s="67"/>
      <c r="D2925" s="75"/>
      <c r="E2925" s="67"/>
      <c r="F2925" s="67"/>
      <c r="G2925" s="70"/>
      <c r="H2925" s="70"/>
      <c r="I2925" s="70"/>
      <c r="J2925" s="70"/>
      <c r="K2925" s="70"/>
      <c r="L2925" s="67"/>
      <c r="M2925" s="67"/>
      <c r="N2925" s="72"/>
      <c r="O2925" s="72"/>
      <c r="P2925" s="67"/>
      <c r="Q2925" s="67"/>
      <c r="R2925" s="67"/>
      <c r="S2925" s="67"/>
      <c r="T2925" s="32"/>
      <c r="U2925" s="32"/>
      <c r="X2925" s="32"/>
      <c r="Y2925" s="32"/>
      <c r="Z2925" s="32"/>
      <c r="AA2925" s="32"/>
      <c r="AB2925" s="32"/>
    </row>
    <row r="2926" spans="2:28" ht="23.25" customHeight="1" x14ac:dyDescent="0.2">
      <c r="B2926" s="75"/>
      <c r="C2926" s="67"/>
      <c r="D2926" s="75"/>
      <c r="E2926" s="67"/>
      <c r="F2926" s="67"/>
      <c r="G2926" s="70"/>
      <c r="H2926" s="70"/>
      <c r="I2926" s="70"/>
      <c r="J2926" s="70"/>
      <c r="K2926" s="70"/>
      <c r="L2926" s="67"/>
      <c r="M2926" s="67"/>
      <c r="N2926" s="72"/>
      <c r="O2926" s="72"/>
      <c r="P2926" s="67"/>
      <c r="Q2926" s="67"/>
      <c r="R2926" s="67"/>
      <c r="S2926" s="67"/>
      <c r="T2926" s="32"/>
      <c r="U2926" s="32"/>
      <c r="X2926" s="32"/>
      <c r="Y2926" s="32"/>
      <c r="Z2926" s="32"/>
      <c r="AA2926" s="32"/>
      <c r="AB2926" s="32"/>
    </row>
    <row r="2927" spans="2:28" ht="23.25" customHeight="1" x14ac:dyDescent="0.2">
      <c r="B2927" s="75"/>
      <c r="C2927" s="67"/>
      <c r="D2927" s="75"/>
      <c r="E2927" s="67"/>
      <c r="F2927" s="67"/>
      <c r="G2927" s="70"/>
      <c r="H2927" s="70"/>
      <c r="I2927" s="70"/>
      <c r="J2927" s="70"/>
      <c r="K2927" s="70"/>
      <c r="L2927" s="67"/>
      <c r="M2927" s="67"/>
      <c r="N2927" s="72"/>
      <c r="O2927" s="72"/>
      <c r="P2927" s="67"/>
      <c r="Q2927" s="67"/>
      <c r="R2927" s="67"/>
      <c r="S2927" s="67"/>
      <c r="T2927" s="32"/>
      <c r="U2927" s="32"/>
      <c r="X2927" s="32"/>
      <c r="Y2927" s="32"/>
      <c r="Z2927" s="32"/>
      <c r="AA2927" s="32"/>
      <c r="AB2927" s="32"/>
    </row>
    <row r="2928" spans="2:28" ht="23.25" customHeight="1" x14ac:dyDescent="0.2">
      <c r="B2928" s="75"/>
      <c r="C2928" s="67"/>
      <c r="D2928" s="75"/>
      <c r="E2928" s="67"/>
      <c r="F2928" s="67"/>
      <c r="G2928" s="70"/>
      <c r="H2928" s="70"/>
      <c r="I2928" s="70"/>
      <c r="J2928" s="70"/>
      <c r="K2928" s="70"/>
      <c r="L2928" s="67"/>
      <c r="M2928" s="67"/>
      <c r="N2928" s="72"/>
      <c r="O2928" s="72"/>
      <c r="P2928" s="67"/>
      <c r="Q2928" s="67"/>
      <c r="R2928" s="67"/>
      <c r="S2928" s="67"/>
      <c r="T2928" s="32"/>
      <c r="U2928" s="32"/>
      <c r="X2928" s="32"/>
      <c r="Y2928" s="32"/>
      <c r="Z2928" s="32"/>
      <c r="AA2928" s="32"/>
      <c r="AB2928" s="32"/>
    </row>
    <row r="2929" spans="2:28" ht="23.25" customHeight="1" x14ac:dyDescent="0.2">
      <c r="B2929" s="75"/>
      <c r="C2929" s="67"/>
      <c r="D2929" s="75"/>
      <c r="E2929" s="67"/>
      <c r="F2929" s="67"/>
      <c r="G2929" s="70"/>
      <c r="H2929" s="70"/>
      <c r="I2929" s="70"/>
      <c r="J2929" s="70"/>
      <c r="K2929" s="70"/>
      <c r="L2929" s="67"/>
      <c r="M2929" s="67"/>
      <c r="N2929" s="72"/>
      <c r="O2929" s="72"/>
      <c r="P2929" s="67"/>
      <c r="Q2929" s="67"/>
      <c r="R2929" s="67"/>
      <c r="S2929" s="67"/>
      <c r="T2929" s="32"/>
      <c r="U2929" s="32"/>
      <c r="X2929" s="32"/>
      <c r="Y2929" s="32"/>
      <c r="Z2929" s="32"/>
      <c r="AA2929" s="32"/>
      <c r="AB2929" s="32"/>
    </row>
    <row r="2930" spans="2:28" ht="23.25" customHeight="1" x14ac:dyDescent="0.2">
      <c r="B2930" s="75"/>
      <c r="C2930" s="67"/>
      <c r="D2930" s="75"/>
      <c r="E2930" s="67"/>
      <c r="F2930" s="67"/>
      <c r="G2930" s="70"/>
      <c r="H2930" s="70"/>
      <c r="I2930" s="70"/>
      <c r="J2930" s="70"/>
      <c r="K2930" s="70"/>
      <c r="L2930" s="67"/>
      <c r="M2930" s="67"/>
      <c r="N2930" s="72"/>
      <c r="O2930" s="72"/>
      <c r="P2930" s="67"/>
      <c r="Q2930" s="67"/>
      <c r="R2930" s="67"/>
      <c r="S2930" s="67"/>
      <c r="T2930" s="32"/>
      <c r="U2930" s="32"/>
      <c r="X2930" s="32"/>
      <c r="Y2930" s="32"/>
      <c r="Z2930" s="32"/>
      <c r="AA2930" s="32"/>
      <c r="AB2930" s="32"/>
    </row>
    <row r="2931" spans="2:28" ht="23.25" customHeight="1" x14ac:dyDescent="0.2">
      <c r="B2931" s="75"/>
      <c r="C2931" s="67"/>
      <c r="D2931" s="75"/>
      <c r="E2931" s="67"/>
      <c r="F2931" s="67"/>
      <c r="G2931" s="70"/>
      <c r="H2931" s="70"/>
      <c r="I2931" s="70"/>
      <c r="J2931" s="70"/>
      <c r="K2931" s="70"/>
      <c r="L2931" s="67"/>
      <c r="M2931" s="67"/>
      <c r="N2931" s="72"/>
      <c r="O2931" s="72"/>
      <c r="P2931" s="67"/>
      <c r="Q2931" s="67"/>
      <c r="R2931" s="67"/>
      <c r="S2931" s="67"/>
      <c r="T2931" s="32"/>
      <c r="U2931" s="32"/>
      <c r="X2931" s="32"/>
      <c r="Y2931" s="32"/>
      <c r="Z2931" s="32"/>
      <c r="AA2931" s="32"/>
      <c r="AB2931" s="32"/>
    </row>
    <row r="2932" spans="2:28" ht="23.25" customHeight="1" x14ac:dyDescent="0.2">
      <c r="B2932" s="75"/>
      <c r="C2932" s="67"/>
      <c r="D2932" s="75"/>
      <c r="E2932" s="67"/>
      <c r="F2932" s="67"/>
      <c r="G2932" s="70"/>
      <c r="H2932" s="70"/>
      <c r="I2932" s="70"/>
      <c r="J2932" s="70"/>
      <c r="K2932" s="70"/>
      <c r="L2932" s="67"/>
      <c r="M2932" s="67"/>
      <c r="N2932" s="72"/>
      <c r="O2932" s="72"/>
      <c r="P2932" s="67"/>
      <c r="Q2932" s="67"/>
      <c r="R2932" s="67"/>
      <c r="S2932" s="67"/>
      <c r="T2932" s="32"/>
      <c r="U2932" s="32"/>
      <c r="X2932" s="32"/>
      <c r="Y2932" s="32"/>
      <c r="Z2932" s="32"/>
      <c r="AA2932" s="32"/>
      <c r="AB2932" s="32"/>
    </row>
    <row r="2933" spans="2:28" ht="23.25" customHeight="1" x14ac:dyDescent="0.2">
      <c r="B2933" s="75"/>
      <c r="C2933" s="67"/>
      <c r="D2933" s="75"/>
      <c r="E2933" s="67"/>
      <c r="F2933" s="67"/>
      <c r="G2933" s="70"/>
      <c r="H2933" s="70"/>
      <c r="I2933" s="70"/>
      <c r="J2933" s="70"/>
      <c r="K2933" s="70"/>
      <c r="L2933" s="67"/>
      <c r="M2933" s="67"/>
      <c r="N2933" s="72"/>
      <c r="O2933" s="72"/>
      <c r="P2933" s="67"/>
      <c r="Q2933" s="67"/>
      <c r="R2933" s="67"/>
      <c r="S2933" s="67"/>
      <c r="T2933" s="32"/>
      <c r="U2933" s="32"/>
      <c r="X2933" s="32"/>
      <c r="Y2933" s="32"/>
      <c r="Z2933" s="32"/>
      <c r="AA2933" s="32"/>
      <c r="AB2933" s="32"/>
    </row>
    <row r="2934" spans="2:28" ht="23.25" customHeight="1" x14ac:dyDescent="0.2">
      <c r="B2934" s="75"/>
      <c r="C2934" s="67"/>
      <c r="D2934" s="75"/>
      <c r="E2934" s="67"/>
      <c r="F2934" s="67"/>
      <c r="G2934" s="70"/>
      <c r="H2934" s="70"/>
      <c r="I2934" s="70"/>
      <c r="J2934" s="70"/>
      <c r="K2934" s="70"/>
      <c r="L2934" s="67"/>
      <c r="M2934" s="67"/>
      <c r="N2934" s="72"/>
      <c r="O2934" s="72"/>
      <c r="P2934" s="67"/>
      <c r="Q2934" s="67"/>
      <c r="R2934" s="67"/>
      <c r="S2934" s="67"/>
      <c r="T2934" s="32"/>
      <c r="U2934" s="32"/>
      <c r="X2934" s="32"/>
      <c r="Y2934" s="32"/>
      <c r="Z2934" s="32"/>
      <c r="AA2934" s="32"/>
      <c r="AB2934" s="32"/>
    </row>
    <row r="2935" spans="2:28" ht="23.25" customHeight="1" x14ac:dyDescent="0.2">
      <c r="B2935" s="75"/>
      <c r="C2935" s="67"/>
      <c r="D2935" s="75"/>
      <c r="E2935" s="67"/>
      <c r="F2935" s="67"/>
      <c r="G2935" s="70"/>
      <c r="H2935" s="70"/>
      <c r="I2935" s="70"/>
      <c r="J2935" s="70"/>
      <c r="K2935" s="70"/>
      <c r="L2935" s="67"/>
      <c r="M2935" s="67"/>
      <c r="N2935" s="72"/>
      <c r="O2935" s="72"/>
      <c r="P2935" s="67"/>
      <c r="Q2935" s="67"/>
      <c r="R2935" s="67"/>
      <c r="S2935" s="67"/>
      <c r="T2935" s="32"/>
      <c r="U2935" s="32"/>
      <c r="X2935" s="32"/>
      <c r="Y2935" s="32"/>
      <c r="Z2935" s="32"/>
      <c r="AA2935" s="32"/>
      <c r="AB2935" s="32"/>
    </row>
    <row r="2936" spans="2:28" ht="23.25" customHeight="1" x14ac:dyDescent="0.2">
      <c r="B2936" s="75"/>
      <c r="C2936" s="67"/>
      <c r="D2936" s="75"/>
      <c r="E2936" s="67"/>
      <c r="F2936" s="67"/>
      <c r="G2936" s="70"/>
      <c r="H2936" s="70"/>
      <c r="I2936" s="70"/>
      <c r="J2936" s="70"/>
      <c r="K2936" s="70"/>
      <c r="L2936" s="67"/>
      <c r="M2936" s="67"/>
      <c r="N2936" s="72"/>
      <c r="O2936" s="72"/>
      <c r="P2936" s="67"/>
      <c r="Q2936" s="67"/>
      <c r="R2936" s="67"/>
      <c r="S2936" s="67"/>
      <c r="T2936" s="32"/>
      <c r="U2936" s="32"/>
      <c r="X2936" s="32"/>
      <c r="Y2936" s="32"/>
      <c r="Z2936" s="32"/>
      <c r="AA2936" s="32"/>
      <c r="AB2936" s="32"/>
    </row>
    <row r="2937" spans="2:28" ht="23.25" customHeight="1" x14ac:dyDescent="0.2">
      <c r="B2937" s="75"/>
      <c r="C2937" s="67"/>
      <c r="D2937" s="75"/>
      <c r="E2937" s="67"/>
      <c r="F2937" s="67"/>
      <c r="G2937" s="70"/>
      <c r="H2937" s="70"/>
      <c r="I2937" s="70"/>
      <c r="J2937" s="70"/>
      <c r="K2937" s="70"/>
      <c r="L2937" s="67"/>
      <c r="M2937" s="67"/>
      <c r="N2937" s="72"/>
      <c r="O2937" s="72"/>
      <c r="P2937" s="67"/>
      <c r="Q2937" s="67"/>
      <c r="R2937" s="67"/>
      <c r="S2937" s="67"/>
      <c r="T2937" s="32"/>
      <c r="U2937" s="32"/>
      <c r="X2937" s="32"/>
      <c r="Y2937" s="32"/>
      <c r="Z2937" s="32"/>
      <c r="AA2937" s="32"/>
      <c r="AB2937" s="32"/>
    </row>
    <row r="2938" spans="2:28" ht="23.25" customHeight="1" x14ac:dyDescent="0.2">
      <c r="B2938" s="75"/>
      <c r="C2938" s="67"/>
      <c r="D2938" s="75"/>
      <c r="E2938" s="67"/>
      <c r="F2938" s="67"/>
      <c r="G2938" s="70"/>
      <c r="H2938" s="70"/>
      <c r="I2938" s="70"/>
      <c r="J2938" s="70"/>
      <c r="K2938" s="70"/>
      <c r="L2938" s="67"/>
      <c r="M2938" s="67"/>
      <c r="N2938" s="72"/>
      <c r="O2938" s="72"/>
      <c r="P2938" s="67"/>
      <c r="Q2938" s="67"/>
      <c r="R2938" s="67"/>
      <c r="S2938" s="67"/>
      <c r="T2938" s="32"/>
      <c r="U2938" s="32"/>
      <c r="X2938" s="32"/>
      <c r="Y2938" s="32"/>
      <c r="Z2938" s="32"/>
      <c r="AA2938" s="32"/>
      <c r="AB2938" s="32"/>
    </row>
    <row r="2939" spans="2:28" ht="23.25" customHeight="1" x14ac:dyDescent="0.2">
      <c r="B2939" s="75"/>
      <c r="C2939" s="67"/>
      <c r="D2939" s="75"/>
      <c r="E2939" s="67"/>
      <c r="F2939" s="67"/>
      <c r="G2939" s="70"/>
      <c r="H2939" s="70"/>
      <c r="I2939" s="70"/>
      <c r="J2939" s="70"/>
      <c r="K2939" s="70"/>
      <c r="L2939" s="67"/>
      <c r="M2939" s="67"/>
      <c r="N2939" s="72"/>
      <c r="O2939" s="72"/>
      <c r="P2939" s="67"/>
      <c r="Q2939" s="67"/>
      <c r="R2939" s="67"/>
      <c r="S2939" s="67"/>
      <c r="T2939" s="32"/>
      <c r="U2939" s="32"/>
      <c r="X2939" s="32"/>
      <c r="Y2939" s="32"/>
      <c r="Z2939" s="32"/>
      <c r="AA2939" s="32"/>
      <c r="AB2939" s="32"/>
    </row>
    <row r="2940" spans="2:28" ht="23.25" customHeight="1" x14ac:dyDescent="0.2">
      <c r="B2940" s="75"/>
      <c r="C2940" s="67"/>
      <c r="D2940" s="75"/>
      <c r="E2940" s="67"/>
      <c r="F2940" s="67"/>
      <c r="G2940" s="70"/>
      <c r="H2940" s="70"/>
      <c r="I2940" s="70"/>
      <c r="J2940" s="70"/>
      <c r="K2940" s="70"/>
      <c r="L2940" s="67"/>
      <c r="M2940" s="67"/>
      <c r="N2940" s="72"/>
      <c r="O2940" s="72"/>
      <c r="P2940" s="67"/>
      <c r="Q2940" s="67"/>
      <c r="R2940" s="67"/>
      <c r="S2940" s="67"/>
      <c r="T2940" s="32"/>
      <c r="U2940" s="32"/>
      <c r="X2940" s="32"/>
      <c r="Y2940" s="32"/>
      <c r="Z2940" s="32"/>
      <c r="AA2940" s="32"/>
      <c r="AB2940" s="32"/>
    </row>
    <row r="2941" spans="2:28" ht="23.25" customHeight="1" x14ac:dyDescent="0.2">
      <c r="B2941" s="75"/>
      <c r="C2941" s="67"/>
      <c r="D2941" s="75"/>
      <c r="E2941" s="67"/>
      <c r="F2941" s="67"/>
      <c r="G2941" s="70"/>
      <c r="H2941" s="70"/>
      <c r="I2941" s="70"/>
      <c r="J2941" s="70"/>
      <c r="K2941" s="70"/>
      <c r="L2941" s="67"/>
      <c r="M2941" s="67"/>
      <c r="N2941" s="72"/>
      <c r="O2941" s="72"/>
      <c r="P2941" s="67"/>
      <c r="Q2941" s="67"/>
      <c r="R2941" s="67"/>
      <c r="S2941" s="67"/>
      <c r="T2941" s="32"/>
      <c r="U2941" s="32"/>
      <c r="X2941" s="32"/>
      <c r="Y2941" s="32"/>
      <c r="Z2941" s="32"/>
      <c r="AA2941" s="32"/>
      <c r="AB2941" s="32"/>
    </row>
    <row r="2942" spans="2:28" ht="23.25" customHeight="1" x14ac:dyDescent="0.2">
      <c r="B2942" s="75"/>
      <c r="C2942" s="67"/>
      <c r="D2942" s="75"/>
      <c r="E2942" s="67"/>
      <c r="F2942" s="67"/>
      <c r="G2942" s="70"/>
      <c r="H2942" s="70"/>
      <c r="I2942" s="70"/>
      <c r="J2942" s="70"/>
      <c r="K2942" s="70"/>
      <c r="L2942" s="67"/>
      <c r="M2942" s="67"/>
      <c r="N2942" s="72"/>
      <c r="O2942" s="72"/>
      <c r="P2942" s="67"/>
      <c r="Q2942" s="67"/>
      <c r="R2942" s="67"/>
      <c r="S2942" s="67"/>
      <c r="T2942" s="32"/>
      <c r="U2942" s="32"/>
      <c r="X2942" s="32"/>
      <c r="Y2942" s="32"/>
      <c r="Z2942" s="32"/>
      <c r="AA2942" s="32"/>
      <c r="AB2942" s="32"/>
    </row>
    <row r="2943" spans="2:28" ht="23.25" customHeight="1" x14ac:dyDescent="0.2">
      <c r="B2943" s="75"/>
      <c r="C2943" s="67"/>
      <c r="D2943" s="75"/>
      <c r="E2943" s="67"/>
      <c r="F2943" s="67"/>
      <c r="G2943" s="70"/>
      <c r="H2943" s="70"/>
      <c r="I2943" s="70"/>
      <c r="J2943" s="70"/>
      <c r="K2943" s="70"/>
      <c r="L2943" s="67"/>
      <c r="M2943" s="67"/>
      <c r="N2943" s="72"/>
      <c r="O2943" s="72"/>
      <c r="P2943" s="67"/>
      <c r="Q2943" s="67"/>
      <c r="R2943" s="67"/>
      <c r="S2943" s="67"/>
      <c r="T2943" s="32"/>
      <c r="U2943" s="32"/>
      <c r="X2943" s="32"/>
      <c r="Y2943" s="32"/>
      <c r="Z2943" s="32"/>
      <c r="AA2943" s="32"/>
      <c r="AB2943" s="32"/>
    </row>
    <row r="2944" spans="2:28" ht="23.25" customHeight="1" x14ac:dyDescent="0.2">
      <c r="B2944" s="75"/>
      <c r="C2944" s="67"/>
      <c r="D2944" s="75"/>
      <c r="E2944" s="67"/>
      <c r="F2944" s="67"/>
      <c r="G2944" s="70"/>
      <c r="H2944" s="70"/>
      <c r="I2944" s="70"/>
      <c r="J2944" s="70"/>
      <c r="K2944" s="70"/>
      <c r="L2944" s="67"/>
      <c r="M2944" s="67"/>
      <c r="N2944" s="72"/>
      <c r="O2944" s="72"/>
      <c r="P2944" s="67"/>
      <c r="Q2944" s="67"/>
      <c r="R2944" s="67"/>
      <c r="S2944" s="67"/>
      <c r="T2944" s="32"/>
      <c r="U2944" s="32"/>
      <c r="X2944" s="32"/>
      <c r="Y2944" s="32"/>
      <c r="Z2944" s="32"/>
      <c r="AA2944" s="32"/>
      <c r="AB2944" s="32"/>
    </row>
    <row r="2945" spans="2:28" ht="23.25" customHeight="1" x14ac:dyDescent="0.2">
      <c r="B2945" s="75"/>
      <c r="C2945" s="67"/>
      <c r="D2945" s="75"/>
      <c r="E2945" s="67"/>
      <c r="F2945" s="67"/>
      <c r="G2945" s="70"/>
      <c r="H2945" s="70"/>
      <c r="I2945" s="70"/>
      <c r="J2945" s="70"/>
      <c r="K2945" s="70"/>
      <c r="L2945" s="67"/>
      <c r="M2945" s="67"/>
      <c r="N2945" s="72"/>
      <c r="O2945" s="72"/>
      <c r="P2945" s="67"/>
      <c r="Q2945" s="67"/>
      <c r="R2945" s="67"/>
      <c r="S2945" s="67"/>
      <c r="T2945" s="32"/>
      <c r="U2945" s="32"/>
      <c r="X2945" s="32"/>
      <c r="Y2945" s="32"/>
      <c r="Z2945" s="32"/>
      <c r="AA2945" s="32"/>
      <c r="AB2945" s="32"/>
    </row>
    <row r="2946" spans="2:28" ht="23.25" customHeight="1" x14ac:dyDescent="0.2">
      <c r="B2946" s="75"/>
      <c r="C2946" s="67"/>
      <c r="D2946" s="75"/>
      <c r="E2946" s="67"/>
      <c r="F2946" s="67"/>
      <c r="G2946" s="70"/>
      <c r="H2946" s="70"/>
      <c r="I2946" s="70"/>
      <c r="J2946" s="70"/>
      <c r="K2946" s="70"/>
      <c r="L2946" s="67"/>
      <c r="M2946" s="67"/>
      <c r="N2946" s="72"/>
      <c r="O2946" s="72"/>
      <c r="P2946" s="67"/>
      <c r="Q2946" s="67"/>
      <c r="R2946" s="67"/>
      <c r="S2946" s="67"/>
      <c r="T2946" s="32"/>
      <c r="U2946" s="32"/>
      <c r="X2946" s="32"/>
      <c r="Y2946" s="32"/>
      <c r="Z2946" s="32"/>
      <c r="AA2946" s="32"/>
      <c r="AB2946" s="32"/>
    </row>
    <row r="2947" spans="2:28" ht="23.25" customHeight="1" x14ac:dyDescent="0.2">
      <c r="B2947" s="75"/>
      <c r="C2947" s="67"/>
      <c r="D2947" s="75"/>
      <c r="E2947" s="67"/>
      <c r="F2947" s="67"/>
      <c r="G2947" s="70"/>
      <c r="H2947" s="70"/>
      <c r="I2947" s="70"/>
      <c r="J2947" s="70"/>
      <c r="K2947" s="70"/>
      <c r="L2947" s="67"/>
      <c r="M2947" s="67"/>
      <c r="N2947" s="72"/>
      <c r="O2947" s="72"/>
      <c r="P2947" s="67"/>
      <c r="Q2947" s="67"/>
      <c r="R2947" s="67"/>
      <c r="S2947" s="67"/>
      <c r="T2947" s="32"/>
      <c r="U2947" s="32"/>
      <c r="X2947" s="32"/>
      <c r="Y2947" s="32"/>
      <c r="Z2947" s="32"/>
      <c r="AA2947" s="32"/>
      <c r="AB2947" s="32"/>
    </row>
    <row r="2948" spans="2:28" ht="23.25" customHeight="1" x14ac:dyDescent="0.2">
      <c r="B2948" s="75"/>
      <c r="C2948" s="67"/>
      <c r="D2948" s="75"/>
      <c r="E2948" s="67"/>
      <c r="F2948" s="67"/>
      <c r="G2948" s="70"/>
      <c r="H2948" s="70"/>
      <c r="I2948" s="70"/>
      <c r="J2948" s="70"/>
      <c r="K2948" s="70"/>
      <c r="L2948" s="67"/>
      <c r="M2948" s="67"/>
      <c r="N2948" s="72"/>
      <c r="O2948" s="72"/>
      <c r="P2948" s="67"/>
      <c r="Q2948" s="67"/>
      <c r="R2948" s="67"/>
      <c r="S2948" s="67"/>
      <c r="T2948" s="32"/>
      <c r="U2948" s="32"/>
      <c r="X2948" s="32"/>
      <c r="Y2948" s="32"/>
      <c r="Z2948" s="32"/>
      <c r="AA2948" s="32"/>
      <c r="AB2948" s="32"/>
    </row>
    <row r="2949" spans="2:28" ht="23.25" customHeight="1" x14ac:dyDescent="0.2">
      <c r="B2949" s="75"/>
      <c r="C2949" s="67"/>
      <c r="D2949" s="75"/>
      <c r="E2949" s="67"/>
      <c r="F2949" s="67"/>
      <c r="G2949" s="70"/>
      <c r="H2949" s="70"/>
      <c r="I2949" s="70"/>
      <c r="J2949" s="70"/>
      <c r="K2949" s="70"/>
      <c r="L2949" s="67"/>
      <c r="M2949" s="67"/>
      <c r="N2949" s="72"/>
      <c r="O2949" s="72"/>
      <c r="P2949" s="67"/>
      <c r="Q2949" s="67"/>
      <c r="R2949" s="67"/>
      <c r="S2949" s="67"/>
      <c r="T2949" s="32"/>
      <c r="U2949" s="32"/>
      <c r="X2949" s="32"/>
      <c r="Y2949" s="32"/>
      <c r="Z2949" s="32"/>
      <c r="AA2949" s="32"/>
      <c r="AB2949" s="32"/>
    </row>
    <row r="2950" spans="2:28" ht="23.25" customHeight="1" x14ac:dyDescent="0.2">
      <c r="B2950" s="75"/>
      <c r="C2950" s="67"/>
      <c r="D2950" s="75"/>
      <c r="E2950" s="67"/>
      <c r="F2950" s="67"/>
      <c r="G2950" s="70"/>
      <c r="H2950" s="70"/>
      <c r="I2950" s="70"/>
      <c r="J2950" s="70"/>
      <c r="K2950" s="70"/>
      <c r="L2950" s="67"/>
      <c r="M2950" s="67"/>
      <c r="N2950" s="72"/>
      <c r="O2950" s="72"/>
      <c r="P2950" s="67"/>
      <c r="Q2950" s="67"/>
      <c r="R2950" s="67"/>
      <c r="S2950" s="67"/>
      <c r="T2950" s="32"/>
      <c r="U2950" s="32"/>
      <c r="X2950" s="32"/>
      <c r="Y2950" s="32"/>
      <c r="Z2950" s="32"/>
      <c r="AA2950" s="32"/>
      <c r="AB2950" s="32"/>
    </row>
    <row r="2951" spans="2:28" ht="23.25" customHeight="1" x14ac:dyDescent="0.2">
      <c r="B2951" s="75"/>
      <c r="C2951" s="67"/>
      <c r="D2951" s="75"/>
      <c r="E2951" s="67"/>
      <c r="F2951" s="67"/>
      <c r="G2951" s="70"/>
      <c r="H2951" s="70"/>
      <c r="I2951" s="70"/>
      <c r="J2951" s="70"/>
      <c r="K2951" s="70"/>
      <c r="L2951" s="67"/>
      <c r="M2951" s="67"/>
      <c r="N2951" s="72"/>
      <c r="O2951" s="72"/>
      <c r="P2951" s="67"/>
      <c r="Q2951" s="67"/>
      <c r="R2951" s="67"/>
      <c r="S2951" s="67"/>
      <c r="T2951" s="32"/>
      <c r="U2951" s="32"/>
      <c r="X2951" s="32"/>
      <c r="Y2951" s="32"/>
      <c r="Z2951" s="32"/>
      <c r="AA2951" s="32"/>
      <c r="AB2951" s="32"/>
    </row>
    <row r="2952" spans="2:28" ht="23.25" customHeight="1" x14ac:dyDescent="0.2">
      <c r="B2952" s="75"/>
      <c r="C2952" s="67"/>
      <c r="D2952" s="75"/>
      <c r="E2952" s="67"/>
      <c r="F2952" s="67"/>
      <c r="G2952" s="70"/>
      <c r="H2952" s="70"/>
      <c r="I2952" s="70"/>
      <c r="J2952" s="70"/>
      <c r="K2952" s="70"/>
      <c r="L2952" s="67"/>
      <c r="M2952" s="67"/>
      <c r="N2952" s="72"/>
      <c r="O2952" s="72"/>
      <c r="P2952" s="67"/>
      <c r="Q2952" s="67"/>
      <c r="R2952" s="67"/>
      <c r="S2952" s="67"/>
      <c r="T2952" s="32"/>
      <c r="U2952" s="32"/>
      <c r="X2952" s="32"/>
      <c r="Y2952" s="32"/>
      <c r="Z2952" s="32"/>
      <c r="AA2952" s="32"/>
      <c r="AB2952" s="32"/>
    </row>
    <row r="2953" spans="2:28" ht="23.25" customHeight="1" x14ac:dyDescent="0.2">
      <c r="B2953" s="75"/>
      <c r="C2953" s="67"/>
      <c r="D2953" s="75"/>
      <c r="E2953" s="67"/>
      <c r="F2953" s="67"/>
      <c r="G2953" s="70"/>
      <c r="H2953" s="70"/>
      <c r="I2953" s="70"/>
      <c r="J2953" s="70"/>
      <c r="K2953" s="70"/>
      <c r="L2953" s="67"/>
      <c r="M2953" s="67"/>
      <c r="N2953" s="72"/>
      <c r="O2953" s="72"/>
      <c r="P2953" s="67"/>
      <c r="Q2953" s="67"/>
      <c r="R2953" s="67"/>
      <c r="S2953" s="67"/>
      <c r="T2953" s="32"/>
      <c r="U2953" s="32"/>
      <c r="X2953" s="32"/>
      <c r="Y2953" s="32"/>
      <c r="Z2953" s="32"/>
      <c r="AA2953" s="32"/>
      <c r="AB2953" s="32"/>
    </row>
    <row r="2954" spans="2:28" ht="23.25" customHeight="1" x14ac:dyDescent="0.2">
      <c r="B2954" s="75"/>
      <c r="C2954" s="67"/>
      <c r="D2954" s="75"/>
      <c r="E2954" s="67"/>
      <c r="F2954" s="67"/>
      <c r="G2954" s="70"/>
      <c r="H2954" s="70"/>
      <c r="I2954" s="70"/>
      <c r="J2954" s="70"/>
      <c r="K2954" s="70"/>
      <c r="L2954" s="67"/>
      <c r="M2954" s="67"/>
      <c r="N2954" s="72"/>
      <c r="O2954" s="72"/>
      <c r="P2954" s="67"/>
      <c r="Q2954" s="67"/>
      <c r="R2954" s="67"/>
      <c r="S2954" s="67"/>
      <c r="T2954" s="32"/>
      <c r="U2954" s="32"/>
      <c r="X2954" s="32"/>
      <c r="Y2954" s="32"/>
      <c r="Z2954" s="32"/>
      <c r="AA2954" s="32"/>
      <c r="AB2954" s="32"/>
    </row>
    <row r="2955" spans="2:28" ht="23.25" customHeight="1" x14ac:dyDescent="0.2">
      <c r="B2955" s="75"/>
      <c r="C2955" s="67"/>
      <c r="D2955" s="75"/>
      <c r="E2955" s="67"/>
      <c r="F2955" s="67"/>
      <c r="G2955" s="70"/>
      <c r="H2955" s="70"/>
      <c r="I2955" s="70"/>
      <c r="J2955" s="70"/>
      <c r="K2955" s="70"/>
      <c r="L2955" s="67"/>
      <c r="M2955" s="67"/>
      <c r="N2955" s="72"/>
      <c r="O2955" s="72"/>
      <c r="P2955" s="67"/>
      <c r="Q2955" s="67"/>
      <c r="R2955" s="67"/>
      <c r="S2955" s="67"/>
      <c r="T2955" s="32"/>
      <c r="U2955" s="32"/>
      <c r="X2955" s="32"/>
      <c r="Y2955" s="32"/>
      <c r="Z2955" s="32"/>
      <c r="AA2955" s="32"/>
      <c r="AB2955" s="32"/>
    </row>
    <row r="2956" spans="2:28" ht="23.25" customHeight="1" x14ac:dyDescent="0.2">
      <c r="B2956" s="75"/>
      <c r="C2956" s="67"/>
      <c r="D2956" s="75"/>
      <c r="E2956" s="67"/>
      <c r="F2956" s="67"/>
      <c r="G2956" s="70"/>
      <c r="H2956" s="70"/>
      <c r="I2956" s="70"/>
      <c r="J2956" s="70"/>
      <c r="K2956" s="70"/>
      <c r="L2956" s="67"/>
      <c r="M2956" s="67"/>
      <c r="N2956" s="72"/>
      <c r="O2956" s="72"/>
      <c r="P2956" s="67"/>
      <c r="Q2956" s="67"/>
      <c r="R2956" s="67"/>
      <c r="S2956" s="67"/>
      <c r="T2956" s="32"/>
      <c r="U2956" s="32"/>
      <c r="X2956" s="32"/>
      <c r="Y2956" s="32"/>
      <c r="Z2956" s="32"/>
      <c r="AA2956" s="32"/>
      <c r="AB2956" s="32"/>
    </row>
    <row r="2957" spans="2:28" ht="23.25" customHeight="1" x14ac:dyDescent="0.2">
      <c r="B2957" s="75"/>
      <c r="C2957" s="67"/>
      <c r="D2957" s="75"/>
      <c r="E2957" s="67"/>
      <c r="F2957" s="67"/>
      <c r="G2957" s="70"/>
      <c r="H2957" s="70"/>
      <c r="I2957" s="70"/>
      <c r="J2957" s="70"/>
      <c r="K2957" s="70"/>
      <c r="L2957" s="67"/>
      <c r="M2957" s="67"/>
      <c r="N2957" s="72"/>
      <c r="O2957" s="72"/>
      <c r="P2957" s="67"/>
      <c r="Q2957" s="67"/>
      <c r="R2957" s="67"/>
      <c r="S2957" s="67"/>
      <c r="T2957" s="32"/>
      <c r="U2957" s="32"/>
      <c r="X2957" s="32"/>
      <c r="Y2957" s="32"/>
      <c r="Z2957" s="32"/>
      <c r="AA2957" s="32"/>
      <c r="AB2957" s="32"/>
    </row>
    <row r="2958" spans="2:28" ht="23.25" customHeight="1" x14ac:dyDescent="0.2">
      <c r="B2958" s="75"/>
      <c r="C2958" s="67"/>
      <c r="D2958" s="75"/>
      <c r="E2958" s="67"/>
      <c r="F2958" s="67"/>
      <c r="G2958" s="70"/>
      <c r="H2958" s="70"/>
      <c r="I2958" s="70"/>
      <c r="J2958" s="70"/>
      <c r="K2958" s="70"/>
      <c r="L2958" s="67"/>
      <c r="M2958" s="67"/>
      <c r="N2958" s="72"/>
      <c r="O2958" s="72"/>
      <c r="P2958" s="67"/>
      <c r="Q2958" s="67"/>
      <c r="R2958" s="67"/>
      <c r="S2958" s="67"/>
      <c r="T2958" s="32"/>
      <c r="U2958" s="32"/>
      <c r="X2958" s="32"/>
      <c r="Y2958" s="32"/>
      <c r="Z2958" s="32"/>
      <c r="AA2958" s="32"/>
      <c r="AB2958" s="32"/>
    </row>
    <row r="2959" spans="2:28" ht="23.25" customHeight="1" x14ac:dyDescent="0.2">
      <c r="B2959" s="75"/>
      <c r="C2959" s="67"/>
      <c r="D2959" s="75"/>
      <c r="E2959" s="67"/>
      <c r="F2959" s="67"/>
      <c r="G2959" s="70"/>
      <c r="H2959" s="70"/>
      <c r="I2959" s="70"/>
      <c r="J2959" s="70"/>
      <c r="K2959" s="70"/>
      <c r="L2959" s="67"/>
      <c r="M2959" s="67"/>
      <c r="N2959" s="72"/>
      <c r="O2959" s="72"/>
      <c r="P2959" s="67"/>
      <c r="Q2959" s="67"/>
      <c r="R2959" s="67"/>
      <c r="S2959" s="67"/>
      <c r="T2959" s="32"/>
      <c r="U2959" s="32"/>
      <c r="X2959" s="32"/>
      <c r="Y2959" s="32"/>
      <c r="Z2959" s="32"/>
      <c r="AA2959" s="32"/>
      <c r="AB2959" s="32"/>
    </row>
    <row r="2960" spans="2:28" ht="23.25" customHeight="1" x14ac:dyDescent="0.2">
      <c r="B2960" s="75"/>
      <c r="C2960" s="67"/>
      <c r="D2960" s="75"/>
      <c r="E2960" s="67"/>
      <c r="F2960" s="67"/>
      <c r="G2960" s="70"/>
      <c r="H2960" s="70"/>
      <c r="I2960" s="70"/>
      <c r="J2960" s="70"/>
      <c r="K2960" s="70"/>
      <c r="L2960" s="67"/>
      <c r="M2960" s="67"/>
      <c r="N2960" s="72"/>
      <c r="O2960" s="72"/>
      <c r="P2960" s="67"/>
      <c r="Q2960" s="67"/>
      <c r="R2960" s="67"/>
      <c r="S2960" s="67"/>
      <c r="T2960" s="32"/>
      <c r="U2960" s="32"/>
      <c r="X2960" s="32"/>
      <c r="Y2960" s="32"/>
      <c r="Z2960" s="32"/>
      <c r="AA2960" s="32"/>
      <c r="AB2960" s="32"/>
    </row>
    <row r="2961" spans="2:28" ht="23.25" customHeight="1" x14ac:dyDescent="0.2">
      <c r="B2961" s="75"/>
      <c r="C2961" s="67"/>
      <c r="D2961" s="75"/>
      <c r="E2961" s="67"/>
      <c r="F2961" s="67"/>
      <c r="G2961" s="70"/>
      <c r="H2961" s="70"/>
      <c r="I2961" s="70"/>
      <c r="J2961" s="70"/>
      <c r="K2961" s="70"/>
      <c r="L2961" s="67"/>
      <c r="M2961" s="67"/>
      <c r="N2961" s="72"/>
      <c r="O2961" s="72"/>
      <c r="P2961" s="67"/>
      <c r="Q2961" s="67"/>
      <c r="R2961" s="67"/>
      <c r="S2961" s="67"/>
      <c r="T2961" s="32"/>
      <c r="U2961" s="32"/>
      <c r="X2961" s="32"/>
      <c r="Y2961" s="32"/>
      <c r="Z2961" s="32"/>
      <c r="AA2961" s="32"/>
      <c r="AB2961" s="32"/>
    </row>
    <row r="2962" spans="2:28" ht="23.25" customHeight="1" x14ac:dyDescent="0.2">
      <c r="B2962" s="75"/>
      <c r="C2962" s="67"/>
      <c r="D2962" s="75"/>
      <c r="E2962" s="67"/>
      <c r="F2962" s="67"/>
      <c r="G2962" s="70"/>
      <c r="H2962" s="70"/>
      <c r="I2962" s="70"/>
      <c r="J2962" s="70"/>
      <c r="K2962" s="70"/>
      <c r="L2962" s="67"/>
      <c r="M2962" s="67"/>
      <c r="N2962" s="72"/>
      <c r="O2962" s="72"/>
      <c r="P2962" s="67"/>
      <c r="Q2962" s="67"/>
      <c r="R2962" s="67"/>
      <c r="S2962" s="67"/>
      <c r="T2962" s="32"/>
      <c r="U2962" s="32"/>
      <c r="X2962" s="32"/>
      <c r="Y2962" s="32"/>
      <c r="Z2962" s="32"/>
      <c r="AA2962" s="32"/>
      <c r="AB2962" s="32"/>
    </row>
    <row r="2963" spans="2:28" ht="23.25" customHeight="1" x14ac:dyDescent="0.2">
      <c r="B2963" s="75"/>
      <c r="C2963" s="67"/>
      <c r="D2963" s="75"/>
      <c r="E2963" s="67"/>
      <c r="F2963" s="67"/>
      <c r="G2963" s="70"/>
      <c r="H2963" s="70"/>
      <c r="I2963" s="70"/>
      <c r="J2963" s="70"/>
      <c r="K2963" s="70"/>
      <c r="L2963" s="67"/>
      <c r="M2963" s="67"/>
      <c r="N2963" s="72"/>
      <c r="O2963" s="72"/>
      <c r="P2963" s="67"/>
      <c r="Q2963" s="67"/>
      <c r="R2963" s="67"/>
      <c r="S2963" s="67"/>
      <c r="T2963" s="32"/>
      <c r="U2963" s="32"/>
      <c r="X2963" s="32"/>
      <c r="Y2963" s="32"/>
      <c r="Z2963" s="32"/>
      <c r="AA2963" s="32"/>
      <c r="AB2963" s="32"/>
    </row>
    <row r="2964" spans="2:28" ht="23.25" customHeight="1" x14ac:dyDescent="0.2">
      <c r="B2964" s="75"/>
      <c r="C2964" s="67"/>
      <c r="D2964" s="75"/>
      <c r="E2964" s="67"/>
      <c r="F2964" s="67"/>
      <c r="G2964" s="70"/>
      <c r="H2964" s="70"/>
      <c r="I2964" s="70"/>
      <c r="J2964" s="70"/>
      <c r="K2964" s="70"/>
      <c r="L2964" s="67"/>
      <c r="M2964" s="67"/>
      <c r="N2964" s="72"/>
      <c r="O2964" s="72"/>
      <c r="P2964" s="67"/>
      <c r="Q2964" s="67"/>
      <c r="R2964" s="67"/>
      <c r="S2964" s="67"/>
      <c r="T2964" s="32"/>
      <c r="U2964" s="32"/>
      <c r="X2964" s="32"/>
      <c r="Y2964" s="32"/>
      <c r="Z2964" s="32"/>
      <c r="AA2964" s="32"/>
      <c r="AB2964" s="32"/>
    </row>
    <row r="2965" spans="2:28" ht="23.25" customHeight="1" x14ac:dyDescent="0.2">
      <c r="B2965" s="75"/>
      <c r="C2965" s="67"/>
      <c r="D2965" s="75"/>
      <c r="E2965" s="67"/>
      <c r="F2965" s="67"/>
      <c r="G2965" s="70"/>
      <c r="H2965" s="70"/>
      <c r="I2965" s="70"/>
      <c r="J2965" s="70"/>
      <c r="K2965" s="70"/>
      <c r="L2965" s="67"/>
      <c r="M2965" s="67"/>
      <c r="N2965" s="72"/>
      <c r="O2965" s="72"/>
      <c r="P2965" s="67"/>
      <c r="Q2965" s="67"/>
      <c r="R2965" s="67"/>
      <c r="S2965" s="67"/>
      <c r="T2965" s="32"/>
      <c r="U2965" s="32"/>
      <c r="X2965" s="32"/>
      <c r="Y2965" s="32"/>
      <c r="Z2965" s="32"/>
      <c r="AA2965" s="32"/>
      <c r="AB2965" s="32"/>
    </row>
    <row r="2966" spans="2:28" ht="23.25" customHeight="1" x14ac:dyDescent="0.2">
      <c r="B2966" s="75"/>
      <c r="C2966" s="67"/>
      <c r="D2966" s="75"/>
      <c r="E2966" s="67"/>
      <c r="F2966" s="67"/>
      <c r="G2966" s="70"/>
      <c r="H2966" s="70"/>
      <c r="I2966" s="70"/>
      <c r="J2966" s="70"/>
      <c r="K2966" s="70"/>
      <c r="L2966" s="67"/>
      <c r="M2966" s="67"/>
      <c r="N2966" s="72"/>
      <c r="O2966" s="72"/>
      <c r="P2966" s="67"/>
      <c r="Q2966" s="67"/>
      <c r="R2966" s="67"/>
      <c r="S2966" s="67"/>
      <c r="T2966" s="32"/>
      <c r="U2966" s="32"/>
      <c r="X2966" s="32"/>
      <c r="Y2966" s="32"/>
      <c r="Z2966" s="32"/>
      <c r="AA2966" s="32"/>
      <c r="AB2966" s="32"/>
    </row>
    <row r="2967" spans="2:28" ht="23.25" customHeight="1" x14ac:dyDescent="0.2">
      <c r="B2967" s="75"/>
      <c r="C2967" s="67"/>
      <c r="D2967" s="75"/>
      <c r="E2967" s="67"/>
      <c r="F2967" s="67"/>
      <c r="G2967" s="70"/>
      <c r="H2967" s="70"/>
      <c r="I2967" s="70"/>
      <c r="J2967" s="70"/>
      <c r="K2967" s="70"/>
      <c r="L2967" s="67"/>
      <c r="M2967" s="67"/>
      <c r="N2967" s="72"/>
      <c r="O2967" s="72"/>
      <c r="P2967" s="67"/>
      <c r="Q2967" s="67"/>
      <c r="R2967" s="67"/>
      <c r="S2967" s="67"/>
      <c r="T2967" s="32"/>
      <c r="U2967" s="32"/>
      <c r="X2967" s="32"/>
      <c r="Y2967" s="32"/>
      <c r="Z2967" s="32"/>
      <c r="AA2967" s="32"/>
      <c r="AB2967" s="32"/>
    </row>
    <row r="2968" spans="2:28" ht="23.25" customHeight="1" x14ac:dyDescent="0.2">
      <c r="B2968" s="75"/>
      <c r="C2968" s="67"/>
      <c r="D2968" s="75"/>
      <c r="E2968" s="67"/>
      <c r="F2968" s="67"/>
      <c r="G2968" s="70"/>
      <c r="H2968" s="70"/>
      <c r="I2968" s="70"/>
      <c r="J2968" s="70"/>
      <c r="K2968" s="70"/>
      <c r="L2968" s="67"/>
      <c r="M2968" s="67"/>
      <c r="N2968" s="72"/>
      <c r="O2968" s="72"/>
      <c r="P2968" s="67"/>
      <c r="Q2968" s="67"/>
      <c r="R2968" s="67"/>
      <c r="S2968" s="67"/>
      <c r="T2968" s="32"/>
      <c r="U2968" s="32"/>
      <c r="X2968" s="32"/>
      <c r="Y2968" s="32"/>
      <c r="Z2968" s="32"/>
      <c r="AA2968" s="32"/>
      <c r="AB2968" s="32"/>
    </row>
    <row r="2969" spans="2:28" ht="23.25" customHeight="1" x14ac:dyDescent="0.2">
      <c r="B2969" s="75"/>
      <c r="C2969" s="67"/>
      <c r="D2969" s="75"/>
      <c r="E2969" s="67"/>
      <c r="F2969" s="67"/>
      <c r="G2969" s="70"/>
      <c r="H2969" s="70"/>
      <c r="I2969" s="70"/>
      <c r="J2969" s="70"/>
      <c r="K2969" s="70"/>
      <c r="L2969" s="67"/>
      <c r="M2969" s="67"/>
      <c r="N2969" s="72"/>
      <c r="O2969" s="72"/>
      <c r="P2969" s="67"/>
      <c r="Q2969" s="67"/>
      <c r="R2969" s="67"/>
      <c r="S2969" s="67"/>
      <c r="T2969" s="32"/>
      <c r="U2969" s="32"/>
      <c r="X2969" s="32"/>
      <c r="Y2969" s="32"/>
      <c r="Z2969" s="32"/>
      <c r="AA2969" s="32"/>
      <c r="AB2969" s="32"/>
    </row>
    <row r="2970" spans="2:28" ht="23.25" customHeight="1" x14ac:dyDescent="0.2">
      <c r="B2970" s="75"/>
      <c r="C2970" s="67"/>
      <c r="D2970" s="75"/>
      <c r="E2970" s="67"/>
      <c r="F2970" s="67"/>
      <c r="G2970" s="70"/>
      <c r="H2970" s="70"/>
      <c r="I2970" s="70"/>
      <c r="J2970" s="70"/>
      <c r="K2970" s="70"/>
      <c r="L2970" s="67"/>
      <c r="M2970" s="67"/>
      <c r="N2970" s="72"/>
      <c r="O2970" s="72"/>
      <c r="P2970" s="67"/>
      <c r="Q2970" s="67"/>
      <c r="R2970" s="67"/>
      <c r="S2970" s="67"/>
      <c r="T2970" s="32"/>
      <c r="U2970" s="32"/>
      <c r="X2970" s="32"/>
      <c r="Y2970" s="32"/>
      <c r="Z2970" s="32"/>
      <c r="AA2970" s="32"/>
      <c r="AB2970" s="32"/>
    </row>
    <row r="2971" spans="2:28" ht="23.25" customHeight="1" x14ac:dyDescent="0.2">
      <c r="B2971" s="75"/>
      <c r="C2971" s="67"/>
      <c r="D2971" s="75"/>
      <c r="E2971" s="67"/>
      <c r="F2971" s="67"/>
      <c r="G2971" s="70"/>
      <c r="H2971" s="70"/>
      <c r="I2971" s="70"/>
      <c r="J2971" s="70"/>
      <c r="K2971" s="70"/>
      <c r="L2971" s="67"/>
      <c r="M2971" s="67"/>
      <c r="N2971" s="72"/>
      <c r="O2971" s="72"/>
      <c r="P2971" s="67"/>
      <c r="Q2971" s="67"/>
      <c r="R2971" s="67"/>
      <c r="S2971" s="67"/>
      <c r="T2971" s="32"/>
      <c r="U2971" s="32"/>
      <c r="X2971" s="32"/>
      <c r="Y2971" s="32"/>
      <c r="Z2971" s="32"/>
      <c r="AA2971" s="32"/>
      <c r="AB2971" s="32"/>
    </row>
    <row r="2972" spans="2:28" ht="23.25" customHeight="1" x14ac:dyDescent="0.2">
      <c r="B2972" s="75"/>
      <c r="C2972" s="67"/>
      <c r="D2972" s="75"/>
      <c r="E2972" s="67"/>
      <c r="F2972" s="67"/>
      <c r="G2972" s="70"/>
      <c r="H2972" s="70"/>
      <c r="I2972" s="70"/>
      <c r="J2972" s="70"/>
      <c r="K2972" s="70"/>
      <c r="L2972" s="67"/>
      <c r="M2972" s="67"/>
      <c r="N2972" s="72"/>
      <c r="O2972" s="72"/>
      <c r="P2972" s="67"/>
      <c r="Q2972" s="67"/>
      <c r="R2972" s="67"/>
      <c r="S2972" s="67"/>
      <c r="T2972" s="32"/>
      <c r="U2972" s="32"/>
      <c r="X2972" s="32"/>
      <c r="Y2972" s="32"/>
      <c r="Z2972" s="32"/>
      <c r="AA2972" s="32"/>
      <c r="AB2972" s="32"/>
    </row>
    <row r="2973" spans="2:28" ht="23.25" customHeight="1" x14ac:dyDescent="0.2">
      <c r="B2973" s="75"/>
      <c r="C2973" s="67"/>
      <c r="D2973" s="75"/>
      <c r="E2973" s="67"/>
      <c r="F2973" s="67"/>
      <c r="G2973" s="70"/>
      <c r="H2973" s="70"/>
      <c r="I2973" s="70"/>
      <c r="J2973" s="70"/>
      <c r="K2973" s="70"/>
      <c r="L2973" s="67"/>
      <c r="M2973" s="67"/>
      <c r="N2973" s="72"/>
      <c r="O2973" s="72"/>
      <c r="P2973" s="67"/>
      <c r="Q2973" s="67"/>
      <c r="R2973" s="67"/>
      <c r="S2973" s="67"/>
      <c r="T2973" s="32"/>
      <c r="U2973" s="32"/>
      <c r="X2973" s="32"/>
      <c r="Y2973" s="32"/>
      <c r="Z2973" s="32"/>
      <c r="AA2973" s="32"/>
      <c r="AB2973" s="32"/>
    </row>
    <row r="2974" spans="2:28" ht="23.25" customHeight="1" x14ac:dyDescent="0.2">
      <c r="B2974" s="75"/>
      <c r="C2974" s="67"/>
      <c r="D2974" s="75"/>
      <c r="E2974" s="67"/>
      <c r="F2974" s="67"/>
      <c r="G2974" s="70"/>
      <c r="H2974" s="70"/>
      <c r="I2974" s="70"/>
      <c r="J2974" s="70"/>
      <c r="K2974" s="70"/>
      <c r="L2974" s="67"/>
      <c r="M2974" s="67"/>
      <c r="N2974" s="72"/>
      <c r="O2974" s="72"/>
      <c r="P2974" s="67"/>
      <c r="Q2974" s="67"/>
      <c r="R2974" s="67"/>
      <c r="S2974" s="67"/>
      <c r="T2974" s="32"/>
      <c r="U2974" s="32"/>
      <c r="X2974" s="32"/>
      <c r="Y2974" s="32"/>
      <c r="Z2974" s="32"/>
      <c r="AA2974" s="32"/>
      <c r="AB2974" s="32"/>
    </row>
    <row r="2975" spans="2:28" ht="23.25" customHeight="1" x14ac:dyDescent="0.2">
      <c r="B2975" s="75"/>
      <c r="C2975" s="67"/>
      <c r="D2975" s="75"/>
      <c r="E2975" s="67"/>
      <c r="F2975" s="67"/>
      <c r="G2975" s="70"/>
      <c r="H2975" s="70"/>
      <c r="I2975" s="70"/>
      <c r="J2975" s="70"/>
      <c r="K2975" s="70"/>
      <c r="L2975" s="67"/>
      <c r="M2975" s="67"/>
      <c r="N2975" s="72"/>
      <c r="O2975" s="72"/>
      <c r="P2975" s="67"/>
      <c r="Q2975" s="67"/>
      <c r="R2975" s="67"/>
      <c r="S2975" s="67"/>
      <c r="T2975" s="32"/>
      <c r="U2975" s="32"/>
      <c r="X2975" s="32"/>
      <c r="Y2975" s="32"/>
      <c r="Z2975" s="32"/>
      <c r="AA2975" s="32"/>
      <c r="AB2975" s="32"/>
    </row>
    <row r="2976" spans="2:28" ht="23.25" customHeight="1" x14ac:dyDescent="0.2">
      <c r="B2976" s="75"/>
      <c r="C2976" s="67"/>
      <c r="D2976" s="75"/>
      <c r="E2976" s="67"/>
      <c r="F2976" s="67"/>
      <c r="G2976" s="70"/>
      <c r="H2976" s="70"/>
      <c r="I2976" s="70"/>
      <c r="J2976" s="70"/>
      <c r="K2976" s="70"/>
      <c r="L2976" s="67"/>
      <c r="M2976" s="67"/>
      <c r="N2976" s="72"/>
      <c r="O2976" s="72"/>
      <c r="P2976" s="67"/>
      <c r="Q2976" s="67"/>
      <c r="R2976" s="67"/>
      <c r="S2976" s="67"/>
      <c r="T2976" s="32"/>
      <c r="U2976" s="32"/>
      <c r="X2976" s="32"/>
      <c r="Y2976" s="32"/>
      <c r="Z2976" s="32"/>
      <c r="AA2976" s="32"/>
      <c r="AB2976" s="32"/>
    </row>
    <row r="2977" spans="2:28" ht="23.25" customHeight="1" x14ac:dyDescent="0.2">
      <c r="B2977" s="75"/>
      <c r="C2977" s="67"/>
      <c r="D2977" s="75"/>
      <c r="E2977" s="67"/>
      <c r="F2977" s="67"/>
      <c r="G2977" s="70"/>
      <c r="H2977" s="70"/>
      <c r="I2977" s="70"/>
      <c r="J2977" s="70"/>
      <c r="K2977" s="70"/>
      <c r="L2977" s="67"/>
      <c r="M2977" s="67"/>
      <c r="N2977" s="72"/>
      <c r="O2977" s="72"/>
      <c r="P2977" s="67"/>
      <c r="Q2977" s="67"/>
      <c r="R2977" s="67"/>
      <c r="S2977" s="67"/>
      <c r="T2977" s="32"/>
      <c r="U2977" s="32"/>
      <c r="X2977" s="32"/>
      <c r="Y2977" s="32"/>
      <c r="Z2977" s="32"/>
      <c r="AA2977" s="32"/>
      <c r="AB2977" s="32"/>
    </row>
    <row r="2978" spans="2:28" ht="23.25" customHeight="1" x14ac:dyDescent="0.2">
      <c r="B2978" s="75"/>
      <c r="C2978" s="67"/>
      <c r="D2978" s="75"/>
      <c r="E2978" s="67"/>
      <c r="F2978" s="67"/>
      <c r="G2978" s="70"/>
      <c r="H2978" s="70"/>
      <c r="I2978" s="70"/>
      <c r="J2978" s="70"/>
      <c r="K2978" s="70"/>
      <c r="L2978" s="67"/>
      <c r="M2978" s="67"/>
      <c r="N2978" s="72"/>
      <c r="O2978" s="72"/>
      <c r="P2978" s="67"/>
      <c r="Q2978" s="67"/>
      <c r="R2978" s="67"/>
      <c r="S2978" s="67"/>
      <c r="T2978" s="32"/>
      <c r="U2978" s="32"/>
      <c r="X2978" s="32"/>
      <c r="Y2978" s="32"/>
      <c r="Z2978" s="32"/>
      <c r="AA2978" s="32"/>
      <c r="AB2978" s="32"/>
    </row>
    <row r="2979" spans="2:28" ht="23.25" customHeight="1" x14ac:dyDescent="0.2">
      <c r="B2979" s="75"/>
      <c r="C2979" s="67"/>
      <c r="D2979" s="75"/>
      <c r="E2979" s="67"/>
      <c r="F2979" s="67"/>
      <c r="G2979" s="70"/>
      <c r="H2979" s="70"/>
      <c r="I2979" s="70"/>
      <c r="J2979" s="70"/>
      <c r="K2979" s="70"/>
      <c r="L2979" s="67"/>
      <c r="M2979" s="67"/>
      <c r="N2979" s="72"/>
      <c r="O2979" s="72"/>
      <c r="P2979" s="67"/>
      <c r="Q2979" s="67"/>
      <c r="R2979" s="67"/>
      <c r="S2979" s="67"/>
      <c r="T2979" s="32"/>
      <c r="U2979" s="32"/>
      <c r="X2979" s="32"/>
      <c r="Y2979" s="32"/>
      <c r="Z2979" s="32"/>
      <c r="AA2979" s="32"/>
      <c r="AB2979" s="32"/>
    </row>
    <row r="2980" spans="2:28" ht="23.25" customHeight="1" x14ac:dyDescent="0.2">
      <c r="B2980" s="75"/>
      <c r="C2980" s="67"/>
      <c r="D2980" s="75"/>
      <c r="E2980" s="67"/>
      <c r="F2980" s="67"/>
      <c r="G2980" s="70"/>
      <c r="H2980" s="70"/>
      <c r="I2980" s="70"/>
      <c r="J2980" s="70"/>
      <c r="K2980" s="70"/>
      <c r="L2980" s="67"/>
      <c r="M2980" s="67"/>
      <c r="N2980" s="72"/>
      <c r="O2980" s="72"/>
      <c r="P2980" s="67"/>
      <c r="Q2980" s="67"/>
      <c r="R2980" s="67"/>
      <c r="S2980" s="67"/>
      <c r="T2980" s="32"/>
      <c r="U2980" s="32"/>
      <c r="X2980" s="32"/>
      <c r="Y2980" s="32"/>
      <c r="Z2980" s="32"/>
      <c r="AA2980" s="32"/>
      <c r="AB2980" s="32"/>
    </row>
    <row r="2981" spans="2:28" ht="23.25" customHeight="1" x14ac:dyDescent="0.2">
      <c r="B2981" s="75"/>
      <c r="C2981" s="67"/>
      <c r="D2981" s="75"/>
      <c r="E2981" s="67"/>
      <c r="F2981" s="67"/>
      <c r="G2981" s="70"/>
      <c r="H2981" s="70"/>
      <c r="I2981" s="70"/>
      <c r="J2981" s="70"/>
      <c r="K2981" s="70"/>
      <c r="L2981" s="67"/>
      <c r="M2981" s="67"/>
      <c r="N2981" s="72"/>
      <c r="O2981" s="72"/>
      <c r="P2981" s="67"/>
      <c r="Q2981" s="67"/>
      <c r="R2981" s="67"/>
      <c r="S2981" s="67"/>
      <c r="T2981" s="32"/>
      <c r="U2981" s="32"/>
      <c r="X2981" s="32"/>
      <c r="Y2981" s="32"/>
      <c r="Z2981" s="32"/>
      <c r="AA2981" s="32"/>
      <c r="AB2981" s="32"/>
    </row>
    <row r="2982" spans="2:28" ht="23.25" customHeight="1" x14ac:dyDescent="0.2">
      <c r="B2982" s="75"/>
      <c r="C2982" s="67"/>
      <c r="D2982" s="75"/>
      <c r="E2982" s="67"/>
      <c r="F2982" s="67"/>
      <c r="G2982" s="70"/>
      <c r="H2982" s="70"/>
      <c r="I2982" s="70"/>
      <c r="J2982" s="70"/>
      <c r="K2982" s="70"/>
      <c r="L2982" s="67"/>
      <c r="M2982" s="67"/>
      <c r="N2982" s="72"/>
      <c r="O2982" s="72"/>
      <c r="P2982" s="67"/>
      <c r="Q2982" s="67"/>
      <c r="R2982" s="67"/>
      <c r="S2982" s="67"/>
      <c r="T2982" s="32"/>
      <c r="U2982" s="32"/>
      <c r="X2982" s="32"/>
      <c r="Y2982" s="32"/>
      <c r="Z2982" s="32"/>
      <c r="AA2982" s="32"/>
      <c r="AB2982" s="32"/>
    </row>
    <row r="2983" spans="2:28" ht="23.25" customHeight="1" x14ac:dyDescent="0.2">
      <c r="B2983" s="75"/>
      <c r="C2983" s="67"/>
      <c r="D2983" s="75"/>
      <c r="E2983" s="67"/>
      <c r="F2983" s="67"/>
      <c r="G2983" s="70"/>
      <c r="H2983" s="70"/>
      <c r="I2983" s="70"/>
      <c r="J2983" s="70"/>
      <c r="K2983" s="70"/>
      <c r="L2983" s="67"/>
      <c r="M2983" s="67"/>
      <c r="N2983" s="72"/>
      <c r="O2983" s="72"/>
      <c r="P2983" s="67"/>
      <c r="Q2983" s="67"/>
      <c r="R2983" s="67"/>
      <c r="S2983" s="67"/>
      <c r="T2983" s="32"/>
      <c r="U2983" s="32"/>
      <c r="X2983" s="32"/>
      <c r="Y2983" s="32"/>
      <c r="Z2983" s="32"/>
      <c r="AA2983" s="32"/>
      <c r="AB2983" s="32"/>
    </row>
    <row r="2984" spans="2:28" ht="23.25" customHeight="1" x14ac:dyDescent="0.2">
      <c r="B2984" s="75"/>
      <c r="C2984" s="67"/>
      <c r="D2984" s="75"/>
      <c r="E2984" s="67"/>
      <c r="F2984" s="67"/>
      <c r="G2984" s="70"/>
      <c r="H2984" s="70"/>
      <c r="I2984" s="70"/>
      <c r="J2984" s="70"/>
      <c r="K2984" s="70"/>
      <c r="L2984" s="67"/>
      <c r="M2984" s="67"/>
      <c r="N2984" s="72"/>
      <c r="O2984" s="72"/>
      <c r="P2984" s="67"/>
      <c r="Q2984" s="67"/>
      <c r="R2984" s="67"/>
      <c r="S2984" s="67"/>
      <c r="T2984" s="32"/>
      <c r="U2984" s="32"/>
      <c r="X2984" s="32"/>
      <c r="Y2984" s="32"/>
      <c r="Z2984" s="32"/>
      <c r="AA2984" s="32"/>
      <c r="AB2984" s="32"/>
    </row>
    <row r="2985" spans="2:28" ht="23.25" customHeight="1" x14ac:dyDescent="0.2">
      <c r="B2985" s="75"/>
      <c r="C2985" s="67"/>
      <c r="D2985" s="75"/>
      <c r="E2985" s="67"/>
      <c r="F2985" s="67"/>
      <c r="G2985" s="70"/>
      <c r="H2985" s="70"/>
      <c r="I2985" s="70"/>
      <c r="J2985" s="70"/>
      <c r="K2985" s="70"/>
      <c r="L2985" s="67"/>
      <c r="M2985" s="67"/>
      <c r="N2985" s="72"/>
      <c r="O2985" s="72"/>
      <c r="P2985" s="67"/>
      <c r="Q2985" s="67"/>
      <c r="R2985" s="67"/>
      <c r="S2985" s="67"/>
      <c r="T2985" s="32"/>
      <c r="U2985" s="32"/>
      <c r="X2985" s="32"/>
      <c r="Y2985" s="32"/>
      <c r="Z2985" s="32"/>
      <c r="AA2985" s="32"/>
      <c r="AB2985" s="32"/>
    </row>
    <row r="2986" spans="2:28" ht="23.25" customHeight="1" x14ac:dyDescent="0.2">
      <c r="B2986" s="75"/>
      <c r="C2986" s="67"/>
      <c r="D2986" s="75"/>
      <c r="E2986" s="67"/>
      <c r="F2986" s="67"/>
      <c r="G2986" s="70"/>
      <c r="H2986" s="70"/>
      <c r="I2986" s="70"/>
      <c r="J2986" s="70"/>
      <c r="K2986" s="70"/>
      <c r="L2986" s="67"/>
      <c r="M2986" s="67"/>
      <c r="N2986" s="72"/>
      <c r="O2986" s="72"/>
      <c r="P2986" s="67"/>
      <c r="Q2986" s="67"/>
      <c r="R2986" s="67"/>
      <c r="S2986" s="67"/>
      <c r="T2986" s="32"/>
      <c r="U2986" s="32"/>
      <c r="X2986" s="32"/>
      <c r="Y2986" s="32"/>
      <c r="Z2986" s="32"/>
      <c r="AA2986" s="32"/>
      <c r="AB2986" s="32"/>
    </row>
    <row r="2987" spans="2:28" ht="23.25" customHeight="1" x14ac:dyDescent="0.2">
      <c r="B2987" s="75"/>
      <c r="C2987" s="67"/>
      <c r="D2987" s="75"/>
      <c r="E2987" s="67"/>
      <c r="F2987" s="67"/>
      <c r="G2987" s="70"/>
      <c r="H2987" s="70"/>
      <c r="I2987" s="70"/>
      <c r="J2987" s="70"/>
      <c r="K2987" s="70"/>
      <c r="L2987" s="67"/>
      <c r="M2987" s="67"/>
      <c r="N2987" s="72"/>
      <c r="O2987" s="72"/>
      <c r="P2987" s="67"/>
      <c r="Q2987" s="67"/>
      <c r="R2987" s="67"/>
      <c r="S2987" s="67"/>
      <c r="T2987" s="32"/>
      <c r="U2987" s="32"/>
      <c r="X2987" s="32"/>
      <c r="Y2987" s="32"/>
      <c r="Z2987" s="32"/>
      <c r="AA2987" s="32"/>
      <c r="AB2987" s="32"/>
    </row>
    <row r="2988" spans="2:28" ht="23.25" customHeight="1" x14ac:dyDescent="0.2">
      <c r="B2988" s="75"/>
      <c r="C2988" s="67"/>
      <c r="D2988" s="75"/>
      <c r="E2988" s="67"/>
      <c r="F2988" s="67"/>
      <c r="G2988" s="70"/>
      <c r="H2988" s="70"/>
      <c r="I2988" s="70"/>
      <c r="J2988" s="70"/>
      <c r="K2988" s="70"/>
      <c r="L2988" s="67"/>
      <c r="M2988" s="67"/>
      <c r="N2988" s="72"/>
      <c r="O2988" s="72"/>
      <c r="P2988" s="67"/>
      <c r="Q2988" s="67"/>
      <c r="R2988" s="67"/>
      <c r="S2988" s="67"/>
      <c r="T2988" s="32"/>
      <c r="U2988" s="32"/>
      <c r="X2988" s="32"/>
      <c r="Y2988" s="32"/>
      <c r="Z2988" s="32"/>
      <c r="AA2988" s="32"/>
      <c r="AB2988" s="32"/>
    </row>
    <row r="2989" spans="2:28" ht="23.25" customHeight="1" x14ac:dyDescent="0.2">
      <c r="B2989" s="75"/>
      <c r="C2989" s="67"/>
      <c r="D2989" s="75"/>
      <c r="E2989" s="67"/>
      <c r="F2989" s="67"/>
      <c r="G2989" s="70"/>
      <c r="H2989" s="70"/>
      <c r="I2989" s="70"/>
      <c r="J2989" s="70"/>
      <c r="K2989" s="70"/>
      <c r="L2989" s="67"/>
      <c r="M2989" s="67"/>
      <c r="N2989" s="72"/>
      <c r="O2989" s="72"/>
      <c r="P2989" s="67"/>
      <c r="Q2989" s="67"/>
      <c r="R2989" s="67"/>
      <c r="S2989" s="67"/>
      <c r="T2989" s="32"/>
      <c r="U2989" s="32"/>
      <c r="X2989" s="32"/>
      <c r="Y2989" s="32"/>
      <c r="Z2989" s="32"/>
      <c r="AA2989" s="32"/>
      <c r="AB2989" s="32"/>
    </row>
    <row r="2990" spans="2:28" ht="23.25" customHeight="1" x14ac:dyDescent="0.2">
      <c r="B2990" s="75"/>
      <c r="C2990" s="67"/>
      <c r="D2990" s="75"/>
      <c r="E2990" s="67"/>
      <c r="F2990" s="67"/>
      <c r="G2990" s="70"/>
      <c r="H2990" s="70"/>
      <c r="I2990" s="70"/>
      <c r="J2990" s="70"/>
      <c r="K2990" s="70"/>
      <c r="L2990" s="67"/>
      <c r="M2990" s="67"/>
      <c r="N2990" s="72"/>
      <c r="O2990" s="72"/>
      <c r="P2990" s="67"/>
      <c r="Q2990" s="67"/>
      <c r="R2990" s="67"/>
      <c r="S2990" s="67"/>
      <c r="T2990" s="32"/>
      <c r="U2990" s="32"/>
      <c r="X2990" s="32"/>
      <c r="Y2990" s="32"/>
      <c r="Z2990" s="32"/>
      <c r="AA2990" s="32"/>
      <c r="AB2990" s="32"/>
    </row>
    <row r="2991" spans="2:28" ht="23.25" customHeight="1" x14ac:dyDescent="0.2">
      <c r="B2991" s="75"/>
      <c r="C2991" s="67"/>
      <c r="D2991" s="75"/>
      <c r="E2991" s="67"/>
      <c r="F2991" s="67"/>
      <c r="G2991" s="70"/>
      <c r="H2991" s="70"/>
      <c r="I2991" s="70"/>
      <c r="J2991" s="70"/>
      <c r="K2991" s="70"/>
      <c r="L2991" s="67"/>
      <c r="M2991" s="67"/>
      <c r="N2991" s="72"/>
      <c r="O2991" s="72"/>
      <c r="P2991" s="67"/>
      <c r="Q2991" s="67"/>
      <c r="R2991" s="67"/>
      <c r="S2991" s="67"/>
      <c r="T2991" s="32"/>
      <c r="U2991" s="32"/>
      <c r="X2991" s="32"/>
      <c r="Y2991" s="32"/>
      <c r="Z2991" s="32"/>
      <c r="AA2991" s="32"/>
      <c r="AB2991" s="32"/>
    </row>
    <row r="2992" spans="2:28" ht="23.25" customHeight="1" x14ac:dyDescent="0.2">
      <c r="B2992" s="75"/>
      <c r="C2992" s="67"/>
      <c r="D2992" s="75"/>
      <c r="E2992" s="67"/>
      <c r="F2992" s="67"/>
      <c r="G2992" s="70"/>
      <c r="H2992" s="70"/>
      <c r="I2992" s="70"/>
      <c r="J2992" s="70"/>
      <c r="K2992" s="70"/>
      <c r="L2992" s="67"/>
      <c r="M2992" s="67"/>
      <c r="N2992" s="72"/>
      <c r="O2992" s="72"/>
      <c r="P2992" s="67"/>
      <c r="Q2992" s="67"/>
      <c r="R2992" s="67"/>
      <c r="S2992" s="67"/>
      <c r="T2992" s="32"/>
      <c r="U2992" s="32"/>
      <c r="X2992" s="32"/>
      <c r="Y2992" s="32"/>
      <c r="Z2992" s="32"/>
      <c r="AA2992" s="32"/>
      <c r="AB2992" s="32"/>
    </row>
    <row r="2993" spans="2:28" ht="23.25" customHeight="1" x14ac:dyDescent="0.2">
      <c r="B2993" s="75"/>
      <c r="C2993" s="67"/>
      <c r="D2993" s="75"/>
      <c r="E2993" s="67"/>
      <c r="F2993" s="67"/>
      <c r="G2993" s="70"/>
      <c r="H2993" s="70"/>
      <c r="I2993" s="70"/>
      <c r="J2993" s="70"/>
      <c r="K2993" s="70"/>
      <c r="L2993" s="67"/>
      <c r="M2993" s="67"/>
      <c r="N2993" s="72"/>
      <c r="O2993" s="72"/>
      <c r="P2993" s="67"/>
      <c r="Q2993" s="67"/>
      <c r="R2993" s="67"/>
      <c r="S2993" s="67"/>
      <c r="T2993" s="32"/>
      <c r="U2993" s="32"/>
      <c r="X2993" s="32"/>
      <c r="Y2993" s="32"/>
      <c r="Z2993" s="32"/>
      <c r="AA2993" s="32"/>
      <c r="AB2993" s="32"/>
    </row>
    <row r="2994" spans="2:28" ht="23.25" customHeight="1" x14ac:dyDescent="0.2">
      <c r="B2994" s="75"/>
      <c r="C2994" s="67"/>
      <c r="D2994" s="75"/>
      <c r="E2994" s="67"/>
      <c r="F2994" s="67"/>
      <c r="G2994" s="70"/>
      <c r="H2994" s="70"/>
      <c r="I2994" s="70"/>
      <c r="J2994" s="70"/>
      <c r="K2994" s="70"/>
      <c r="L2994" s="67"/>
      <c r="M2994" s="67"/>
      <c r="N2994" s="72"/>
      <c r="O2994" s="72"/>
      <c r="P2994" s="67"/>
      <c r="Q2994" s="67"/>
      <c r="R2994" s="67"/>
      <c r="S2994" s="67"/>
      <c r="T2994" s="32"/>
      <c r="U2994" s="32"/>
      <c r="X2994" s="32"/>
      <c r="Y2994" s="32"/>
      <c r="Z2994" s="32"/>
      <c r="AA2994" s="32"/>
      <c r="AB2994" s="32"/>
    </row>
    <row r="2995" spans="2:28" ht="23.25" customHeight="1" x14ac:dyDescent="0.2">
      <c r="B2995" s="75"/>
      <c r="C2995" s="67"/>
      <c r="D2995" s="75"/>
      <c r="E2995" s="67"/>
      <c r="F2995" s="67"/>
      <c r="G2995" s="70"/>
      <c r="H2995" s="70"/>
      <c r="I2995" s="70"/>
      <c r="J2995" s="70"/>
      <c r="K2995" s="70"/>
      <c r="L2995" s="67"/>
      <c r="M2995" s="67"/>
      <c r="N2995" s="72"/>
      <c r="O2995" s="72"/>
      <c r="P2995" s="67"/>
      <c r="Q2995" s="67"/>
      <c r="R2995" s="67"/>
      <c r="S2995" s="67"/>
      <c r="T2995" s="32"/>
      <c r="U2995" s="32"/>
      <c r="X2995" s="32"/>
      <c r="Y2995" s="32"/>
      <c r="Z2995" s="32"/>
      <c r="AA2995" s="32"/>
      <c r="AB2995" s="32"/>
    </row>
    <row r="2996" spans="2:28" ht="23.25" customHeight="1" x14ac:dyDescent="0.2">
      <c r="B2996" s="75"/>
      <c r="C2996" s="67"/>
      <c r="D2996" s="75"/>
      <c r="E2996" s="67"/>
      <c r="F2996" s="67"/>
      <c r="G2996" s="70"/>
      <c r="H2996" s="70"/>
      <c r="I2996" s="70"/>
      <c r="J2996" s="70"/>
      <c r="K2996" s="70"/>
      <c r="L2996" s="67"/>
      <c r="M2996" s="67"/>
      <c r="N2996" s="72"/>
      <c r="O2996" s="72"/>
      <c r="P2996" s="67"/>
      <c r="Q2996" s="67"/>
      <c r="R2996" s="67"/>
      <c r="S2996" s="67"/>
      <c r="T2996" s="32"/>
      <c r="U2996" s="32"/>
      <c r="X2996" s="32"/>
      <c r="Y2996" s="32"/>
      <c r="Z2996" s="32"/>
      <c r="AA2996" s="32"/>
      <c r="AB2996" s="32"/>
    </row>
    <row r="2997" spans="2:28" ht="23.25" customHeight="1" x14ac:dyDescent="0.2">
      <c r="B2997" s="75"/>
      <c r="C2997" s="67"/>
      <c r="D2997" s="75"/>
      <c r="E2997" s="67"/>
      <c r="F2997" s="67"/>
      <c r="G2997" s="70"/>
      <c r="H2997" s="70"/>
      <c r="I2997" s="70"/>
      <c r="J2997" s="70"/>
      <c r="K2997" s="70"/>
      <c r="L2997" s="67"/>
      <c r="M2997" s="67"/>
      <c r="N2997" s="72"/>
      <c r="O2997" s="72"/>
      <c r="P2997" s="67"/>
      <c r="Q2997" s="67"/>
      <c r="R2997" s="67"/>
      <c r="S2997" s="67"/>
      <c r="T2997" s="32"/>
      <c r="U2997" s="32"/>
      <c r="X2997" s="32"/>
      <c r="Y2997" s="32"/>
      <c r="Z2997" s="32"/>
      <c r="AA2997" s="32"/>
      <c r="AB2997" s="32"/>
    </row>
    <row r="2998" spans="2:28" ht="23.25" customHeight="1" x14ac:dyDescent="0.2">
      <c r="B2998" s="75"/>
      <c r="C2998" s="67"/>
      <c r="D2998" s="75"/>
      <c r="E2998" s="67"/>
      <c r="F2998" s="67"/>
      <c r="G2998" s="70"/>
      <c r="H2998" s="70"/>
      <c r="I2998" s="70"/>
      <c r="J2998" s="70"/>
      <c r="K2998" s="70"/>
      <c r="L2998" s="67"/>
      <c r="M2998" s="67"/>
      <c r="N2998" s="72"/>
      <c r="O2998" s="72"/>
      <c r="P2998" s="67"/>
      <c r="Q2998" s="67"/>
      <c r="R2998" s="67"/>
      <c r="S2998" s="67"/>
      <c r="T2998" s="32"/>
      <c r="U2998" s="32"/>
      <c r="X2998" s="32"/>
      <c r="Y2998" s="32"/>
      <c r="Z2998" s="32"/>
      <c r="AA2998" s="32"/>
      <c r="AB2998" s="32"/>
    </row>
    <row r="2999" spans="2:28" ht="23.25" customHeight="1" x14ac:dyDescent="0.2">
      <c r="B2999" s="75"/>
      <c r="C2999" s="67"/>
      <c r="D2999" s="75"/>
      <c r="E2999" s="67"/>
      <c r="F2999" s="67"/>
      <c r="G2999" s="70"/>
      <c r="H2999" s="70"/>
      <c r="I2999" s="70"/>
      <c r="J2999" s="70"/>
      <c r="K2999" s="70"/>
      <c r="L2999" s="67"/>
      <c r="M2999" s="67"/>
      <c r="N2999" s="72"/>
      <c r="O2999" s="72"/>
      <c r="P2999" s="67"/>
      <c r="Q2999" s="67"/>
      <c r="R2999" s="67"/>
      <c r="S2999" s="67"/>
      <c r="T2999" s="32"/>
      <c r="U2999" s="32"/>
      <c r="X2999" s="32"/>
      <c r="Y2999" s="32"/>
      <c r="Z2999" s="32"/>
      <c r="AA2999" s="32"/>
      <c r="AB2999" s="32"/>
    </row>
    <row r="3000" spans="2:28" ht="23.25" customHeight="1" x14ac:dyDescent="0.2">
      <c r="B3000" s="75"/>
      <c r="C3000" s="67"/>
      <c r="D3000" s="75"/>
      <c r="E3000" s="67"/>
      <c r="F3000" s="67"/>
      <c r="G3000" s="70"/>
      <c r="H3000" s="70"/>
      <c r="I3000" s="70"/>
      <c r="J3000" s="70"/>
      <c r="K3000" s="70"/>
      <c r="L3000" s="67"/>
      <c r="M3000" s="67"/>
      <c r="N3000" s="72"/>
      <c r="O3000" s="72"/>
      <c r="P3000" s="67"/>
      <c r="Q3000" s="67"/>
      <c r="R3000" s="67"/>
      <c r="S3000" s="67"/>
      <c r="T3000" s="32"/>
      <c r="U3000" s="32"/>
      <c r="X3000" s="32"/>
      <c r="Y3000" s="32"/>
      <c r="Z3000" s="32"/>
      <c r="AA3000" s="32"/>
      <c r="AB3000" s="32"/>
    </row>
    <row r="3001" spans="2:28" ht="23.25" customHeight="1" x14ac:dyDescent="0.2">
      <c r="B3001" s="75"/>
      <c r="C3001" s="67"/>
      <c r="D3001" s="75"/>
      <c r="E3001" s="67"/>
      <c r="F3001" s="67"/>
      <c r="G3001" s="70"/>
      <c r="H3001" s="70"/>
      <c r="I3001" s="70"/>
      <c r="J3001" s="70"/>
      <c r="K3001" s="70"/>
      <c r="L3001" s="67"/>
      <c r="M3001" s="67"/>
      <c r="N3001" s="72"/>
      <c r="O3001" s="72"/>
      <c r="P3001" s="67"/>
      <c r="Q3001" s="67"/>
      <c r="R3001" s="67"/>
      <c r="S3001" s="67"/>
      <c r="T3001" s="32"/>
      <c r="U3001" s="32"/>
      <c r="X3001" s="32"/>
      <c r="Y3001" s="32"/>
      <c r="Z3001" s="32"/>
      <c r="AA3001" s="32"/>
      <c r="AB3001" s="32"/>
    </row>
    <row r="3002" spans="2:28" ht="23.25" customHeight="1" x14ac:dyDescent="0.2">
      <c r="B3002" s="75"/>
      <c r="C3002" s="67"/>
      <c r="D3002" s="75"/>
      <c r="E3002" s="67"/>
      <c r="F3002" s="67"/>
      <c r="G3002" s="70"/>
      <c r="H3002" s="70"/>
      <c r="I3002" s="70"/>
      <c r="J3002" s="70"/>
      <c r="K3002" s="70"/>
      <c r="L3002" s="67"/>
      <c r="M3002" s="67"/>
      <c r="N3002" s="72"/>
      <c r="O3002" s="72"/>
      <c r="P3002" s="67"/>
      <c r="Q3002" s="67"/>
      <c r="R3002" s="67"/>
      <c r="S3002" s="67"/>
      <c r="T3002" s="32"/>
      <c r="U3002" s="32"/>
      <c r="X3002" s="32"/>
      <c r="Y3002" s="32"/>
      <c r="Z3002" s="32"/>
      <c r="AA3002" s="32"/>
      <c r="AB3002" s="32"/>
    </row>
    <row r="3003" spans="2:28" ht="23.25" customHeight="1" x14ac:dyDescent="0.2">
      <c r="B3003" s="75"/>
      <c r="C3003" s="67"/>
      <c r="D3003" s="75"/>
      <c r="E3003" s="67"/>
      <c r="F3003" s="67"/>
      <c r="G3003" s="70"/>
      <c r="H3003" s="70"/>
      <c r="I3003" s="70"/>
      <c r="J3003" s="70"/>
      <c r="K3003" s="70"/>
      <c r="L3003" s="67"/>
      <c r="M3003" s="67"/>
      <c r="N3003" s="72"/>
      <c r="O3003" s="72"/>
      <c r="P3003" s="67"/>
      <c r="Q3003" s="67"/>
      <c r="R3003" s="67"/>
      <c r="S3003" s="67"/>
      <c r="T3003" s="32"/>
      <c r="U3003" s="32"/>
      <c r="X3003" s="32"/>
      <c r="Y3003" s="32"/>
      <c r="Z3003" s="32"/>
      <c r="AA3003" s="32"/>
      <c r="AB3003" s="32"/>
    </row>
    <row r="3004" spans="2:28" ht="23.25" customHeight="1" x14ac:dyDescent="0.2">
      <c r="B3004" s="75"/>
      <c r="C3004" s="67"/>
      <c r="D3004" s="75"/>
      <c r="E3004" s="67"/>
      <c r="F3004" s="67"/>
      <c r="G3004" s="70"/>
      <c r="H3004" s="70"/>
      <c r="I3004" s="70"/>
      <c r="J3004" s="70"/>
      <c r="K3004" s="70"/>
      <c r="L3004" s="67"/>
      <c r="M3004" s="67"/>
      <c r="N3004" s="72"/>
      <c r="O3004" s="72"/>
      <c r="P3004" s="67"/>
      <c r="Q3004" s="67"/>
      <c r="R3004" s="67"/>
      <c r="S3004" s="67"/>
      <c r="T3004" s="32"/>
      <c r="U3004" s="32"/>
      <c r="X3004" s="32"/>
      <c r="Y3004" s="32"/>
      <c r="Z3004" s="32"/>
      <c r="AA3004" s="32"/>
      <c r="AB3004" s="32"/>
    </row>
    <row r="3005" spans="2:28" ht="23.25" customHeight="1" x14ac:dyDescent="0.2">
      <c r="B3005" s="75"/>
      <c r="C3005" s="67"/>
      <c r="D3005" s="75"/>
      <c r="E3005" s="67"/>
      <c r="F3005" s="67"/>
      <c r="G3005" s="70"/>
      <c r="H3005" s="70"/>
      <c r="I3005" s="70"/>
      <c r="J3005" s="70"/>
      <c r="K3005" s="70"/>
      <c r="L3005" s="67"/>
      <c r="M3005" s="67"/>
      <c r="N3005" s="72"/>
      <c r="O3005" s="72"/>
      <c r="P3005" s="67"/>
      <c r="Q3005" s="67"/>
      <c r="R3005" s="67"/>
      <c r="S3005" s="67"/>
      <c r="T3005" s="32"/>
      <c r="U3005" s="32"/>
      <c r="X3005" s="32"/>
      <c r="Y3005" s="32"/>
      <c r="Z3005" s="32"/>
      <c r="AA3005" s="32"/>
      <c r="AB3005" s="32"/>
    </row>
    <row r="3006" spans="2:28" ht="23.25" customHeight="1" x14ac:dyDescent="0.2">
      <c r="B3006" s="75"/>
      <c r="C3006" s="67"/>
      <c r="D3006" s="75"/>
      <c r="E3006" s="67"/>
      <c r="F3006" s="67"/>
      <c r="G3006" s="70"/>
      <c r="H3006" s="70"/>
      <c r="I3006" s="70"/>
      <c r="J3006" s="70"/>
      <c r="K3006" s="70"/>
      <c r="L3006" s="67"/>
      <c r="M3006" s="67"/>
      <c r="N3006" s="72"/>
      <c r="O3006" s="72"/>
      <c r="P3006" s="67"/>
      <c r="Q3006" s="67"/>
      <c r="R3006" s="67"/>
      <c r="S3006" s="67"/>
      <c r="T3006" s="32"/>
      <c r="U3006" s="32"/>
      <c r="X3006" s="32"/>
      <c r="Y3006" s="32"/>
      <c r="Z3006" s="32"/>
      <c r="AA3006" s="32"/>
      <c r="AB3006" s="32"/>
    </row>
    <row r="3007" spans="2:28" ht="23.25" customHeight="1" x14ac:dyDescent="0.2">
      <c r="B3007" s="75"/>
      <c r="C3007" s="67"/>
      <c r="D3007" s="75"/>
      <c r="E3007" s="67"/>
      <c r="F3007" s="67"/>
      <c r="G3007" s="70"/>
      <c r="H3007" s="70"/>
      <c r="I3007" s="70"/>
      <c r="J3007" s="70"/>
      <c r="K3007" s="70"/>
      <c r="L3007" s="67"/>
      <c r="M3007" s="67"/>
      <c r="N3007" s="72"/>
      <c r="O3007" s="72"/>
      <c r="P3007" s="67"/>
      <c r="Q3007" s="67"/>
      <c r="R3007" s="67"/>
      <c r="S3007" s="67"/>
      <c r="T3007" s="32"/>
      <c r="U3007" s="32"/>
      <c r="X3007" s="32"/>
      <c r="Y3007" s="32"/>
      <c r="Z3007" s="32"/>
      <c r="AA3007" s="32"/>
      <c r="AB3007" s="32"/>
    </row>
    <row r="3008" spans="2:28" ht="23.25" customHeight="1" x14ac:dyDescent="0.2">
      <c r="B3008" s="75"/>
      <c r="C3008" s="67"/>
      <c r="D3008" s="75"/>
      <c r="E3008" s="67"/>
      <c r="F3008" s="67"/>
      <c r="G3008" s="70"/>
      <c r="H3008" s="70"/>
      <c r="I3008" s="70"/>
      <c r="J3008" s="70"/>
      <c r="K3008" s="70"/>
      <c r="L3008" s="67"/>
      <c r="M3008" s="67"/>
      <c r="N3008" s="72"/>
      <c r="O3008" s="72"/>
      <c r="P3008" s="67"/>
      <c r="Q3008" s="67"/>
      <c r="R3008" s="67"/>
      <c r="S3008" s="67"/>
      <c r="T3008" s="32"/>
      <c r="U3008" s="32"/>
      <c r="X3008" s="32"/>
      <c r="Y3008" s="32"/>
      <c r="Z3008" s="32"/>
      <c r="AA3008" s="32"/>
      <c r="AB3008" s="32"/>
    </row>
    <row r="3009" spans="2:28" ht="23.25" customHeight="1" x14ac:dyDescent="0.2">
      <c r="B3009" s="75"/>
      <c r="C3009" s="67"/>
      <c r="D3009" s="75"/>
      <c r="E3009" s="67"/>
      <c r="F3009" s="67"/>
      <c r="G3009" s="70"/>
      <c r="H3009" s="70"/>
      <c r="I3009" s="70"/>
      <c r="J3009" s="70"/>
      <c r="K3009" s="70"/>
      <c r="L3009" s="67"/>
      <c r="M3009" s="67"/>
      <c r="N3009" s="72"/>
      <c r="O3009" s="72"/>
      <c r="P3009" s="67"/>
      <c r="Q3009" s="67"/>
      <c r="R3009" s="67"/>
      <c r="S3009" s="67"/>
      <c r="T3009" s="32"/>
      <c r="U3009" s="32"/>
      <c r="X3009" s="32"/>
      <c r="Y3009" s="32"/>
      <c r="Z3009" s="32"/>
      <c r="AA3009" s="32"/>
      <c r="AB3009" s="32"/>
    </row>
    <row r="3010" spans="2:28" ht="23.25" customHeight="1" x14ac:dyDescent="0.2">
      <c r="B3010" s="75"/>
      <c r="C3010" s="67"/>
      <c r="D3010" s="75"/>
      <c r="E3010" s="67"/>
      <c r="F3010" s="67"/>
      <c r="G3010" s="70"/>
      <c r="H3010" s="70"/>
      <c r="I3010" s="70"/>
      <c r="J3010" s="70"/>
      <c r="K3010" s="70"/>
      <c r="L3010" s="67"/>
      <c r="M3010" s="67"/>
      <c r="N3010" s="72"/>
      <c r="O3010" s="72"/>
      <c r="P3010" s="67"/>
      <c r="Q3010" s="67"/>
      <c r="R3010" s="67"/>
      <c r="S3010" s="67"/>
      <c r="T3010" s="32"/>
      <c r="U3010" s="32"/>
      <c r="X3010" s="32"/>
      <c r="Y3010" s="32"/>
      <c r="Z3010" s="32"/>
      <c r="AA3010" s="32"/>
      <c r="AB3010" s="32"/>
    </row>
    <row r="3011" spans="2:28" ht="23.25" customHeight="1" x14ac:dyDescent="0.2">
      <c r="B3011" s="75"/>
      <c r="C3011" s="67"/>
      <c r="D3011" s="75"/>
      <c r="E3011" s="67"/>
      <c r="F3011" s="67"/>
      <c r="G3011" s="70"/>
      <c r="H3011" s="70"/>
      <c r="I3011" s="70"/>
      <c r="J3011" s="70"/>
      <c r="K3011" s="70"/>
      <c r="L3011" s="67"/>
      <c r="M3011" s="67"/>
      <c r="N3011" s="72"/>
      <c r="O3011" s="72"/>
      <c r="P3011" s="67"/>
      <c r="Q3011" s="67"/>
      <c r="R3011" s="67"/>
      <c r="S3011" s="67"/>
      <c r="T3011" s="32"/>
      <c r="U3011" s="32"/>
      <c r="X3011" s="32"/>
      <c r="Y3011" s="32"/>
      <c r="Z3011" s="32"/>
      <c r="AA3011" s="32"/>
      <c r="AB3011" s="32"/>
    </row>
    <row r="3012" spans="2:28" ht="23.25" customHeight="1" x14ac:dyDescent="0.2">
      <c r="B3012" s="75"/>
      <c r="C3012" s="67"/>
      <c r="D3012" s="75"/>
      <c r="E3012" s="67"/>
      <c r="F3012" s="67"/>
      <c r="G3012" s="70"/>
      <c r="H3012" s="70"/>
      <c r="I3012" s="70"/>
      <c r="J3012" s="70"/>
      <c r="K3012" s="70"/>
      <c r="L3012" s="67"/>
      <c r="M3012" s="67"/>
      <c r="N3012" s="72"/>
      <c r="O3012" s="72"/>
      <c r="P3012" s="67"/>
      <c r="Q3012" s="67"/>
      <c r="R3012" s="67"/>
      <c r="S3012" s="67"/>
      <c r="T3012" s="32"/>
      <c r="U3012" s="32"/>
      <c r="X3012" s="32"/>
      <c r="Y3012" s="32"/>
      <c r="Z3012" s="32"/>
      <c r="AA3012" s="32"/>
      <c r="AB3012" s="32"/>
    </row>
    <row r="3013" spans="2:28" ht="23.25" customHeight="1" x14ac:dyDescent="0.2">
      <c r="B3013" s="75"/>
      <c r="C3013" s="67"/>
      <c r="D3013" s="75"/>
      <c r="E3013" s="67"/>
      <c r="F3013" s="67"/>
      <c r="G3013" s="70"/>
      <c r="H3013" s="70"/>
      <c r="I3013" s="70"/>
      <c r="J3013" s="70"/>
      <c r="K3013" s="70"/>
      <c r="L3013" s="67"/>
      <c r="M3013" s="67"/>
      <c r="N3013" s="72"/>
      <c r="O3013" s="72"/>
      <c r="P3013" s="67"/>
      <c r="Q3013" s="67"/>
      <c r="R3013" s="67"/>
      <c r="S3013" s="67"/>
      <c r="T3013" s="32"/>
      <c r="U3013" s="32"/>
      <c r="X3013" s="32"/>
      <c r="Y3013" s="32"/>
      <c r="Z3013" s="32"/>
      <c r="AA3013" s="32"/>
      <c r="AB3013" s="32"/>
    </row>
    <row r="3014" spans="2:28" ht="23.25" customHeight="1" x14ac:dyDescent="0.2">
      <c r="B3014" s="75"/>
      <c r="C3014" s="67"/>
      <c r="D3014" s="75"/>
      <c r="E3014" s="67"/>
      <c r="F3014" s="67"/>
      <c r="G3014" s="70"/>
      <c r="H3014" s="70"/>
      <c r="I3014" s="70"/>
      <c r="J3014" s="70"/>
      <c r="K3014" s="70"/>
      <c r="L3014" s="67"/>
      <c r="M3014" s="67"/>
      <c r="N3014" s="72"/>
      <c r="O3014" s="72"/>
      <c r="P3014" s="67"/>
      <c r="Q3014" s="67"/>
      <c r="R3014" s="67"/>
      <c r="S3014" s="67"/>
      <c r="T3014" s="32"/>
      <c r="U3014" s="32"/>
      <c r="X3014" s="32"/>
      <c r="Y3014" s="32"/>
      <c r="Z3014" s="32"/>
      <c r="AA3014" s="32"/>
      <c r="AB3014" s="32"/>
    </row>
    <row r="3015" spans="2:28" ht="23.25" customHeight="1" x14ac:dyDescent="0.2">
      <c r="B3015" s="75"/>
      <c r="C3015" s="67"/>
      <c r="D3015" s="75"/>
      <c r="E3015" s="67"/>
      <c r="F3015" s="67"/>
      <c r="G3015" s="70"/>
      <c r="H3015" s="70"/>
      <c r="I3015" s="70"/>
      <c r="J3015" s="70"/>
      <c r="K3015" s="70"/>
      <c r="L3015" s="67"/>
      <c r="M3015" s="67"/>
      <c r="N3015" s="72"/>
      <c r="O3015" s="72"/>
      <c r="P3015" s="67"/>
      <c r="Q3015" s="67"/>
      <c r="R3015" s="67"/>
      <c r="S3015" s="67"/>
      <c r="T3015" s="32"/>
      <c r="U3015" s="32"/>
      <c r="X3015" s="32"/>
      <c r="Y3015" s="32"/>
      <c r="Z3015" s="32"/>
      <c r="AA3015" s="32"/>
      <c r="AB3015" s="32"/>
    </row>
    <row r="3016" spans="2:28" ht="23.25" customHeight="1" x14ac:dyDescent="0.2">
      <c r="B3016" s="75"/>
      <c r="C3016" s="67"/>
      <c r="D3016" s="75"/>
      <c r="E3016" s="67"/>
      <c r="F3016" s="67"/>
      <c r="G3016" s="70"/>
      <c r="H3016" s="70"/>
      <c r="I3016" s="70"/>
      <c r="J3016" s="70"/>
      <c r="K3016" s="70"/>
      <c r="L3016" s="67"/>
      <c r="M3016" s="67"/>
      <c r="N3016" s="72"/>
      <c r="O3016" s="72"/>
      <c r="P3016" s="67"/>
      <c r="Q3016" s="67"/>
      <c r="R3016" s="67"/>
      <c r="S3016" s="67"/>
      <c r="T3016" s="32"/>
      <c r="U3016" s="32"/>
      <c r="X3016" s="32"/>
      <c r="Y3016" s="32"/>
      <c r="Z3016" s="32"/>
      <c r="AA3016" s="32"/>
      <c r="AB3016" s="32"/>
    </row>
    <row r="3017" spans="2:28" ht="23.25" customHeight="1" x14ac:dyDescent="0.2">
      <c r="B3017" s="75"/>
      <c r="C3017" s="67"/>
      <c r="D3017" s="75"/>
      <c r="E3017" s="67"/>
      <c r="F3017" s="67"/>
      <c r="G3017" s="70"/>
      <c r="H3017" s="70"/>
      <c r="I3017" s="70"/>
      <c r="J3017" s="70"/>
      <c r="K3017" s="70"/>
      <c r="L3017" s="67"/>
      <c r="M3017" s="67"/>
      <c r="N3017" s="72"/>
      <c r="O3017" s="72"/>
      <c r="P3017" s="67"/>
      <c r="Q3017" s="67"/>
      <c r="R3017" s="67"/>
      <c r="S3017" s="67"/>
      <c r="T3017" s="32"/>
      <c r="U3017" s="32"/>
      <c r="X3017" s="32"/>
      <c r="Y3017" s="32"/>
      <c r="Z3017" s="32"/>
      <c r="AA3017" s="32"/>
      <c r="AB3017" s="32"/>
    </row>
    <row r="3018" spans="2:28" ht="23.25" customHeight="1" x14ac:dyDescent="0.2">
      <c r="B3018" s="75"/>
      <c r="C3018" s="67"/>
      <c r="D3018" s="75"/>
      <c r="E3018" s="67"/>
      <c r="F3018" s="67"/>
      <c r="G3018" s="70"/>
      <c r="H3018" s="70"/>
      <c r="I3018" s="70"/>
      <c r="J3018" s="70"/>
      <c r="K3018" s="70"/>
      <c r="L3018" s="67"/>
      <c r="M3018" s="67"/>
      <c r="N3018" s="72"/>
      <c r="O3018" s="72"/>
      <c r="P3018" s="67"/>
      <c r="Q3018" s="67"/>
      <c r="R3018" s="67"/>
      <c r="S3018" s="67"/>
      <c r="T3018" s="32"/>
      <c r="U3018" s="32"/>
      <c r="X3018" s="32"/>
      <c r="Y3018" s="32"/>
      <c r="Z3018" s="32"/>
      <c r="AA3018" s="32"/>
      <c r="AB3018" s="32"/>
    </row>
    <row r="3019" spans="2:28" ht="23.25" customHeight="1" x14ac:dyDescent="0.2">
      <c r="B3019" s="75"/>
      <c r="C3019" s="67"/>
      <c r="D3019" s="75"/>
      <c r="E3019" s="67"/>
      <c r="F3019" s="67"/>
      <c r="G3019" s="70"/>
      <c r="H3019" s="70"/>
      <c r="I3019" s="70"/>
      <c r="J3019" s="70"/>
      <c r="K3019" s="70"/>
      <c r="L3019" s="67"/>
      <c r="M3019" s="67"/>
      <c r="N3019" s="72"/>
      <c r="O3019" s="72"/>
      <c r="P3019" s="67"/>
      <c r="Q3019" s="67"/>
      <c r="R3019" s="67"/>
      <c r="S3019" s="67"/>
      <c r="T3019" s="32"/>
      <c r="U3019" s="32"/>
      <c r="X3019" s="32"/>
      <c r="Y3019" s="32"/>
      <c r="Z3019" s="32"/>
      <c r="AA3019" s="32"/>
      <c r="AB3019" s="32"/>
    </row>
    <row r="3020" spans="2:28" ht="23.25" customHeight="1" x14ac:dyDescent="0.2">
      <c r="B3020" s="75"/>
      <c r="C3020" s="67"/>
      <c r="D3020" s="75"/>
      <c r="E3020" s="67"/>
      <c r="F3020" s="67"/>
      <c r="G3020" s="70"/>
      <c r="H3020" s="70"/>
      <c r="I3020" s="70"/>
      <c r="J3020" s="70"/>
      <c r="K3020" s="70"/>
      <c r="L3020" s="67"/>
      <c r="M3020" s="67"/>
      <c r="N3020" s="72"/>
      <c r="O3020" s="72"/>
      <c r="P3020" s="67"/>
      <c r="Q3020" s="67"/>
      <c r="R3020" s="67"/>
      <c r="S3020" s="67"/>
      <c r="T3020" s="32"/>
      <c r="U3020" s="32"/>
      <c r="X3020" s="32"/>
      <c r="Y3020" s="32"/>
      <c r="Z3020" s="32"/>
      <c r="AA3020" s="32"/>
      <c r="AB3020" s="32"/>
    </row>
    <row r="3021" spans="2:28" ht="23.25" customHeight="1" x14ac:dyDescent="0.2">
      <c r="B3021" s="75"/>
      <c r="C3021" s="67"/>
      <c r="D3021" s="75"/>
      <c r="E3021" s="67"/>
      <c r="F3021" s="67"/>
      <c r="G3021" s="70"/>
      <c r="H3021" s="70"/>
      <c r="I3021" s="70"/>
      <c r="J3021" s="70"/>
      <c r="K3021" s="70"/>
      <c r="L3021" s="67"/>
      <c r="M3021" s="67"/>
      <c r="N3021" s="72"/>
      <c r="O3021" s="72"/>
      <c r="P3021" s="67"/>
      <c r="Q3021" s="67"/>
      <c r="R3021" s="67"/>
      <c r="S3021" s="67"/>
      <c r="T3021" s="32"/>
      <c r="U3021" s="32"/>
      <c r="X3021" s="32"/>
      <c r="Y3021" s="32"/>
      <c r="Z3021" s="32"/>
      <c r="AA3021" s="32"/>
      <c r="AB3021" s="32"/>
    </row>
    <row r="3022" spans="2:28" ht="23.25" customHeight="1" x14ac:dyDescent="0.2">
      <c r="B3022" s="75"/>
      <c r="C3022" s="67"/>
      <c r="D3022" s="75"/>
      <c r="E3022" s="67"/>
      <c r="F3022" s="67"/>
      <c r="G3022" s="70"/>
      <c r="H3022" s="70"/>
      <c r="I3022" s="70"/>
      <c r="J3022" s="70"/>
      <c r="K3022" s="70"/>
      <c r="L3022" s="67"/>
      <c r="M3022" s="67"/>
      <c r="N3022" s="72"/>
      <c r="O3022" s="72"/>
      <c r="P3022" s="67"/>
      <c r="Q3022" s="67"/>
      <c r="R3022" s="67"/>
      <c r="S3022" s="67"/>
      <c r="T3022" s="32"/>
      <c r="U3022" s="32"/>
      <c r="X3022" s="32"/>
      <c r="Y3022" s="32"/>
      <c r="Z3022" s="32"/>
      <c r="AA3022" s="32"/>
      <c r="AB3022" s="32"/>
    </row>
    <row r="3023" spans="2:28" ht="23.25" customHeight="1" x14ac:dyDescent="0.2">
      <c r="B3023" s="75"/>
      <c r="C3023" s="67"/>
      <c r="D3023" s="75"/>
      <c r="E3023" s="67"/>
      <c r="F3023" s="67"/>
      <c r="G3023" s="70"/>
      <c r="H3023" s="70"/>
      <c r="I3023" s="70"/>
      <c r="J3023" s="70"/>
      <c r="K3023" s="70"/>
      <c r="L3023" s="67"/>
      <c r="M3023" s="67"/>
      <c r="N3023" s="72"/>
      <c r="O3023" s="72"/>
      <c r="P3023" s="67"/>
      <c r="Q3023" s="67"/>
      <c r="R3023" s="67"/>
      <c r="S3023" s="67"/>
      <c r="T3023" s="32"/>
      <c r="U3023" s="32"/>
      <c r="X3023" s="32"/>
      <c r="Y3023" s="32"/>
      <c r="Z3023" s="32"/>
      <c r="AA3023" s="32"/>
      <c r="AB3023" s="32"/>
    </row>
    <row r="3024" spans="2:28" ht="23.25" customHeight="1" x14ac:dyDescent="0.2">
      <c r="B3024" s="75"/>
      <c r="C3024" s="67"/>
      <c r="D3024" s="75"/>
      <c r="E3024" s="67"/>
      <c r="F3024" s="67"/>
      <c r="G3024" s="70"/>
      <c r="H3024" s="70"/>
      <c r="I3024" s="70"/>
      <c r="J3024" s="70"/>
      <c r="K3024" s="70"/>
      <c r="L3024" s="67"/>
      <c r="M3024" s="67"/>
      <c r="N3024" s="72"/>
      <c r="O3024" s="72"/>
      <c r="P3024" s="67"/>
      <c r="Q3024" s="67"/>
      <c r="R3024" s="67"/>
      <c r="S3024" s="67"/>
      <c r="T3024" s="32"/>
      <c r="U3024" s="32"/>
      <c r="X3024" s="32"/>
      <c r="Y3024" s="32"/>
      <c r="Z3024" s="32"/>
      <c r="AA3024" s="32"/>
      <c r="AB3024" s="32"/>
    </row>
    <row r="3025" spans="2:28" ht="23.25" customHeight="1" x14ac:dyDescent="0.2">
      <c r="B3025" s="75"/>
      <c r="C3025" s="67"/>
      <c r="D3025" s="75"/>
      <c r="E3025" s="67"/>
      <c r="F3025" s="67"/>
      <c r="G3025" s="70"/>
      <c r="H3025" s="70"/>
      <c r="I3025" s="70"/>
      <c r="J3025" s="70"/>
      <c r="K3025" s="70"/>
      <c r="L3025" s="67"/>
      <c r="M3025" s="67"/>
      <c r="N3025" s="72"/>
      <c r="O3025" s="72"/>
      <c r="P3025" s="67"/>
      <c r="Q3025" s="67"/>
      <c r="R3025" s="67"/>
      <c r="S3025" s="67"/>
      <c r="T3025" s="32"/>
      <c r="U3025" s="32"/>
      <c r="X3025" s="32"/>
      <c r="Y3025" s="32"/>
      <c r="Z3025" s="32"/>
      <c r="AA3025" s="32"/>
      <c r="AB3025" s="32"/>
    </row>
    <row r="3026" spans="2:28" ht="23.25" customHeight="1" x14ac:dyDescent="0.2">
      <c r="B3026" s="75"/>
      <c r="C3026" s="67"/>
      <c r="D3026" s="75"/>
      <c r="E3026" s="67"/>
      <c r="F3026" s="67"/>
      <c r="G3026" s="70"/>
      <c r="H3026" s="70"/>
      <c r="I3026" s="70"/>
      <c r="J3026" s="70"/>
      <c r="K3026" s="70"/>
      <c r="L3026" s="67"/>
      <c r="M3026" s="67"/>
      <c r="N3026" s="72"/>
      <c r="O3026" s="72"/>
      <c r="P3026" s="67"/>
      <c r="Q3026" s="67"/>
      <c r="R3026" s="67"/>
      <c r="S3026" s="67"/>
      <c r="T3026" s="32"/>
      <c r="U3026" s="32"/>
      <c r="X3026" s="32"/>
      <c r="Y3026" s="32"/>
      <c r="Z3026" s="32"/>
      <c r="AA3026" s="32"/>
      <c r="AB3026" s="32"/>
    </row>
    <row r="3027" spans="2:28" ht="23.25" customHeight="1" x14ac:dyDescent="0.2">
      <c r="B3027" s="75"/>
      <c r="C3027" s="67"/>
      <c r="D3027" s="75"/>
      <c r="E3027" s="67"/>
      <c r="F3027" s="67"/>
      <c r="G3027" s="70"/>
      <c r="H3027" s="70"/>
      <c r="I3027" s="70"/>
      <c r="J3027" s="70"/>
      <c r="K3027" s="70"/>
      <c r="L3027" s="67"/>
      <c r="M3027" s="67"/>
      <c r="N3027" s="72"/>
      <c r="O3027" s="72"/>
      <c r="P3027" s="67"/>
      <c r="Q3027" s="67"/>
      <c r="R3027" s="67"/>
      <c r="S3027" s="67"/>
      <c r="T3027" s="32"/>
      <c r="U3027" s="32"/>
      <c r="X3027" s="32"/>
      <c r="Y3027" s="32"/>
      <c r="Z3027" s="32"/>
      <c r="AA3027" s="32"/>
      <c r="AB3027" s="32"/>
    </row>
    <row r="3028" spans="2:28" ht="23.25" customHeight="1" x14ac:dyDescent="0.2">
      <c r="B3028" s="75"/>
      <c r="C3028" s="67"/>
      <c r="D3028" s="75"/>
      <c r="E3028" s="67"/>
      <c r="F3028" s="67"/>
      <c r="G3028" s="70"/>
      <c r="H3028" s="70"/>
      <c r="I3028" s="70"/>
      <c r="J3028" s="70"/>
      <c r="K3028" s="70"/>
      <c r="L3028" s="67"/>
      <c r="M3028" s="67"/>
      <c r="N3028" s="72"/>
      <c r="O3028" s="72"/>
      <c r="P3028" s="67"/>
      <c r="Q3028" s="67"/>
      <c r="R3028" s="67"/>
      <c r="S3028" s="67"/>
      <c r="T3028" s="32"/>
      <c r="U3028" s="32"/>
      <c r="X3028" s="32"/>
      <c r="Y3028" s="32"/>
      <c r="Z3028" s="32"/>
      <c r="AA3028" s="32"/>
      <c r="AB3028" s="32"/>
    </row>
    <row r="3029" spans="2:28" ht="23.25" customHeight="1" x14ac:dyDescent="0.2">
      <c r="B3029" s="75"/>
      <c r="C3029" s="67"/>
      <c r="D3029" s="75"/>
      <c r="E3029" s="67"/>
      <c r="F3029" s="67"/>
      <c r="G3029" s="70"/>
      <c r="H3029" s="70"/>
      <c r="I3029" s="70"/>
      <c r="J3029" s="70"/>
      <c r="K3029" s="70"/>
      <c r="L3029" s="67"/>
      <c r="M3029" s="67"/>
      <c r="N3029" s="72"/>
      <c r="O3029" s="72"/>
      <c r="P3029" s="67"/>
      <c r="Q3029" s="67"/>
      <c r="R3029" s="67"/>
      <c r="S3029" s="67"/>
      <c r="T3029" s="32"/>
      <c r="U3029" s="32"/>
      <c r="X3029" s="32"/>
      <c r="Y3029" s="32"/>
      <c r="Z3029" s="32"/>
      <c r="AA3029" s="32"/>
      <c r="AB3029" s="32"/>
    </row>
    <row r="3030" spans="2:28" ht="23.25" customHeight="1" x14ac:dyDescent="0.2">
      <c r="B3030" s="75"/>
      <c r="C3030" s="67"/>
      <c r="D3030" s="75"/>
      <c r="E3030" s="67"/>
      <c r="F3030" s="67"/>
      <c r="G3030" s="70"/>
      <c r="H3030" s="70"/>
      <c r="I3030" s="70"/>
      <c r="J3030" s="70"/>
      <c r="K3030" s="70"/>
      <c r="L3030" s="67"/>
      <c r="M3030" s="67"/>
      <c r="N3030" s="72"/>
      <c r="O3030" s="72"/>
      <c r="P3030" s="67"/>
      <c r="Q3030" s="67"/>
      <c r="R3030" s="67"/>
      <c r="S3030" s="67"/>
      <c r="T3030" s="32"/>
      <c r="U3030" s="32"/>
      <c r="X3030" s="32"/>
      <c r="Y3030" s="32"/>
      <c r="Z3030" s="32"/>
      <c r="AA3030" s="32"/>
      <c r="AB3030" s="32"/>
    </row>
    <row r="3031" spans="2:28" ht="23.25" customHeight="1" x14ac:dyDescent="0.2">
      <c r="B3031" s="75"/>
      <c r="C3031" s="67"/>
      <c r="D3031" s="75"/>
      <c r="E3031" s="67"/>
      <c r="F3031" s="67"/>
      <c r="G3031" s="70"/>
      <c r="H3031" s="70"/>
      <c r="I3031" s="70"/>
      <c r="J3031" s="70"/>
      <c r="K3031" s="70"/>
      <c r="L3031" s="67"/>
      <c r="M3031" s="67"/>
      <c r="N3031" s="72"/>
      <c r="O3031" s="72"/>
      <c r="P3031" s="67"/>
      <c r="Q3031" s="67"/>
      <c r="R3031" s="67"/>
      <c r="S3031" s="67"/>
      <c r="T3031" s="32"/>
      <c r="U3031" s="32"/>
      <c r="X3031" s="32"/>
      <c r="Y3031" s="32"/>
      <c r="Z3031" s="32"/>
      <c r="AA3031" s="32"/>
      <c r="AB3031" s="32"/>
    </row>
    <row r="3032" spans="2:28" ht="23.25" customHeight="1" x14ac:dyDescent="0.2">
      <c r="B3032" s="75"/>
      <c r="C3032" s="67"/>
      <c r="D3032" s="75"/>
      <c r="E3032" s="67"/>
      <c r="F3032" s="67"/>
      <c r="G3032" s="70"/>
      <c r="H3032" s="70"/>
      <c r="I3032" s="70"/>
      <c r="J3032" s="70"/>
      <c r="K3032" s="70"/>
      <c r="L3032" s="67"/>
      <c r="M3032" s="67"/>
      <c r="N3032" s="72"/>
      <c r="O3032" s="72"/>
      <c r="P3032" s="67"/>
      <c r="Q3032" s="67"/>
      <c r="R3032" s="67"/>
      <c r="S3032" s="67"/>
      <c r="T3032" s="32"/>
      <c r="U3032" s="32"/>
      <c r="X3032" s="32"/>
      <c r="Y3032" s="32"/>
      <c r="Z3032" s="32"/>
      <c r="AA3032" s="32"/>
      <c r="AB3032" s="32"/>
    </row>
    <row r="3033" spans="2:28" ht="23.25" customHeight="1" x14ac:dyDescent="0.2">
      <c r="B3033" s="75"/>
      <c r="C3033" s="67"/>
      <c r="D3033" s="75"/>
      <c r="E3033" s="67"/>
      <c r="F3033" s="67"/>
      <c r="G3033" s="70"/>
      <c r="H3033" s="70"/>
      <c r="I3033" s="70"/>
      <c r="J3033" s="70"/>
      <c r="K3033" s="70"/>
      <c r="L3033" s="67"/>
      <c r="M3033" s="67"/>
      <c r="N3033" s="72"/>
      <c r="O3033" s="72"/>
      <c r="P3033" s="67"/>
      <c r="Q3033" s="67"/>
      <c r="R3033" s="67"/>
      <c r="S3033" s="67"/>
      <c r="T3033" s="32"/>
      <c r="U3033" s="32"/>
      <c r="X3033" s="32"/>
      <c r="Y3033" s="32"/>
      <c r="Z3033" s="32"/>
      <c r="AA3033" s="32"/>
      <c r="AB3033" s="32"/>
    </row>
    <row r="3034" spans="2:28" ht="23.25" customHeight="1" x14ac:dyDescent="0.2">
      <c r="B3034" s="75"/>
      <c r="C3034" s="67"/>
      <c r="D3034" s="75"/>
      <c r="E3034" s="67"/>
      <c r="F3034" s="67"/>
      <c r="G3034" s="70"/>
      <c r="H3034" s="70"/>
      <c r="I3034" s="70"/>
      <c r="J3034" s="70"/>
      <c r="K3034" s="70"/>
      <c r="L3034" s="67"/>
      <c r="M3034" s="67"/>
      <c r="N3034" s="72"/>
      <c r="O3034" s="72"/>
      <c r="P3034" s="67"/>
      <c r="Q3034" s="67"/>
      <c r="R3034" s="67"/>
      <c r="S3034" s="67"/>
      <c r="T3034" s="32"/>
      <c r="U3034" s="32"/>
      <c r="X3034" s="32"/>
      <c r="Y3034" s="32"/>
      <c r="Z3034" s="32"/>
      <c r="AA3034" s="32"/>
      <c r="AB3034" s="32"/>
    </row>
    <row r="3035" spans="2:28" ht="23.25" customHeight="1" x14ac:dyDescent="0.2">
      <c r="B3035" s="75"/>
      <c r="C3035" s="67"/>
      <c r="D3035" s="75"/>
      <c r="E3035" s="67"/>
      <c r="F3035" s="67"/>
      <c r="G3035" s="70"/>
      <c r="H3035" s="70"/>
      <c r="I3035" s="70"/>
      <c r="J3035" s="70"/>
      <c r="K3035" s="70"/>
      <c r="L3035" s="67"/>
      <c r="M3035" s="67"/>
      <c r="N3035" s="72"/>
      <c r="O3035" s="72"/>
      <c r="P3035" s="67"/>
      <c r="Q3035" s="67"/>
      <c r="R3035" s="67"/>
      <c r="S3035" s="67"/>
      <c r="T3035" s="32"/>
      <c r="U3035" s="32"/>
      <c r="X3035" s="32"/>
      <c r="Y3035" s="32"/>
      <c r="Z3035" s="32"/>
      <c r="AA3035" s="32"/>
      <c r="AB3035" s="32"/>
    </row>
    <row r="3036" spans="2:28" ht="23.25" customHeight="1" x14ac:dyDescent="0.2">
      <c r="B3036" s="75"/>
      <c r="C3036" s="67"/>
      <c r="D3036" s="75"/>
      <c r="E3036" s="67"/>
      <c r="F3036" s="67"/>
      <c r="G3036" s="70"/>
      <c r="H3036" s="70"/>
      <c r="I3036" s="70"/>
      <c r="J3036" s="70"/>
      <c r="K3036" s="70"/>
      <c r="L3036" s="67"/>
      <c r="M3036" s="67"/>
      <c r="N3036" s="72"/>
      <c r="O3036" s="72"/>
      <c r="P3036" s="67"/>
      <c r="Q3036" s="67"/>
      <c r="R3036" s="67"/>
      <c r="S3036" s="67"/>
      <c r="T3036" s="32"/>
      <c r="U3036" s="32"/>
      <c r="X3036" s="32"/>
      <c r="Y3036" s="32"/>
      <c r="Z3036" s="32"/>
      <c r="AA3036" s="32"/>
      <c r="AB3036" s="32"/>
    </row>
    <row r="3037" spans="2:28" ht="23.25" customHeight="1" x14ac:dyDescent="0.2">
      <c r="B3037" s="75"/>
      <c r="C3037" s="67"/>
      <c r="D3037" s="75"/>
      <c r="E3037" s="67"/>
      <c r="F3037" s="67"/>
      <c r="G3037" s="70"/>
      <c r="H3037" s="70"/>
      <c r="I3037" s="70"/>
      <c r="J3037" s="70"/>
      <c r="K3037" s="70"/>
      <c r="L3037" s="67"/>
      <c r="M3037" s="67"/>
      <c r="N3037" s="72"/>
      <c r="O3037" s="72"/>
      <c r="P3037" s="67"/>
      <c r="Q3037" s="67"/>
      <c r="R3037" s="67"/>
      <c r="S3037" s="67"/>
      <c r="T3037" s="32"/>
      <c r="U3037" s="32"/>
      <c r="X3037" s="32"/>
      <c r="Y3037" s="32"/>
      <c r="Z3037" s="32"/>
      <c r="AA3037" s="32"/>
      <c r="AB3037" s="32"/>
    </row>
    <row r="3038" spans="2:28" ht="23.25" customHeight="1" x14ac:dyDescent="0.2">
      <c r="B3038" s="75"/>
      <c r="C3038" s="67"/>
      <c r="D3038" s="75"/>
      <c r="E3038" s="67"/>
      <c r="F3038" s="67"/>
      <c r="G3038" s="70"/>
      <c r="H3038" s="70"/>
      <c r="I3038" s="70"/>
      <c r="J3038" s="70"/>
      <c r="K3038" s="70"/>
      <c r="L3038" s="67"/>
      <c r="M3038" s="67"/>
      <c r="N3038" s="72"/>
      <c r="O3038" s="72"/>
      <c r="P3038" s="67"/>
      <c r="Q3038" s="67"/>
      <c r="R3038" s="67"/>
      <c r="S3038" s="67"/>
      <c r="T3038" s="32"/>
      <c r="U3038" s="32"/>
      <c r="X3038" s="32"/>
      <c r="Y3038" s="32"/>
      <c r="Z3038" s="32"/>
      <c r="AA3038" s="32"/>
      <c r="AB3038" s="32"/>
    </row>
    <row r="3039" spans="2:28" ht="23.25" customHeight="1" x14ac:dyDescent="0.2">
      <c r="B3039" s="75"/>
      <c r="C3039" s="67"/>
      <c r="D3039" s="75"/>
      <c r="E3039" s="67"/>
      <c r="F3039" s="67"/>
      <c r="G3039" s="70"/>
      <c r="H3039" s="70"/>
      <c r="I3039" s="70"/>
      <c r="J3039" s="70"/>
      <c r="K3039" s="70"/>
      <c r="L3039" s="67"/>
      <c r="M3039" s="67"/>
      <c r="N3039" s="72"/>
      <c r="O3039" s="72"/>
      <c r="P3039" s="67"/>
      <c r="Q3039" s="67"/>
      <c r="R3039" s="67"/>
      <c r="S3039" s="67"/>
      <c r="T3039" s="32"/>
      <c r="U3039" s="32"/>
      <c r="X3039" s="32"/>
      <c r="Y3039" s="32"/>
      <c r="Z3039" s="32"/>
      <c r="AA3039" s="32"/>
      <c r="AB3039" s="32"/>
    </row>
    <row r="3040" spans="2:28" ht="23.25" customHeight="1" x14ac:dyDescent="0.2">
      <c r="B3040" s="75"/>
      <c r="C3040" s="67"/>
      <c r="D3040" s="75"/>
      <c r="E3040" s="67"/>
      <c r="F3040" s="67"/>
      <c r="G3040" s="70"/>
      <c r="H3040" s="70"/>
      <c r="I3040" s="70"/>
      <c r="J3040" s="70"/>
      <c r="K3040" s="70"/>
      <c r="L3040" s="67"/>
      <c r="M3040" s="67"/>
      <c r="N3040" s="72"/>
      <c r="O3040" s="72"/>
      <c r="P3040" s="67"/>
      <c r="Q3040" s="67"/>
      <c r="R3040" s="67"/>
      <c r="S3040" s="67"/>
      <c r="T3040" s="32"/>
      <c r="U3040" s="32"/>
      <c r="X3040" s="32"/>
      <c r="Y3040" s="32"/>
      <c r="Z3040" s="32"/>
      <c r="AA3040" s="32"/>
      <c r="AB3040" s="32"/>
    </row>
    <row r="3041" spans="2:28" ht="23.25" customHeight="1" x14ac:dyDescent="0.2">
      <c r="B3041" s="75"/>
      <c r="C3041" s="67"/>
      <c r="D3041" s="75"/>
      <c r="E3041" s="67"/>
      <c r="F3041" s="67"/>
      <c r="G3041" s="70"/>
      <c r="H3041" s="70"/>
      <c r="I3041" s="70"/>
      <c r="J3041" s="70"/>
      <c r="K3041" s="70"/>
      <c r="L3041" s="67"/>
      <c r="M3041" s="67"/>
      <c r="N3041" s="72"/>
      <c r="O3041" s="72"/>
      <c r="P3041" s="67"/>
      <c r="Q3041" s="67"/>
      <c r="R3041" s="67"/>
      <c r="S3041" s="67"/>
      <c r="T3041" s="32"/>
      <c r="U3041" s="32"/>
      <c r="X3041" s="32"/>
      <c r="Y3041" s="32"/>
      <c r="Z3041" s="32"/>
      <c r="AA3041" s="32"/>
      <c r="AB3041" s="32"/>
    </row>
    <row r="3042" spans="2:28" ht="23.25" customHeight="1" x14ac:dyDescent="0.2">
      <c r="B3042" s="75"/>
      <c r="C3042" s="67"/>
      <c r="D3042" s="75"/>
      <c r="E3042" s="67"/>
      <c r="F3042" s="67"/>
      <c r="G3042" s="70"/>
      <c r="H3042" s="70"/>
      <c r="I3042" s="70"/>
      <c r="J3042" s="70"/>
      <c r="K3042" s="70"/>
      <c r="L3042" s="67"/>
      <c r="M3042" s="67"/>
      <c r="N3042" s="72"/>
      <c r="O3042" s="72"/>
      <c r="P3042" s="67"/>
      <c r="Q3042" s="67"/>
      <c r="R3042" s="67"/>
      <c r="S3042" s="67"/>
      <c r="T3042" s="32"/>
      <c r="U3042" s="32"/>
      <c r="X3042" s="32"/>
      <c r="Y3042" s="32"/>
      <c r="Z3042" s="32"/>
      <c r="AA3042" s="32"/>
      <c r="AB3042" s="32"/>
    </row>
    <row r="3043" spans="2:28" ht="23.25" customHeight="1" x14ac:dyDescent="0.2">
      <c r="B3043" s="75"/>
      <c r="C3043" s="67"/>
      <c r="D3043" s="75"/>
      <c r="E3043" s="67"/>
      <c r="F3043" s="67"/>
      <c r="G3043" s="70"/>
      <c r="H3043" s="70"/>
      <c r="I3043" s="70"/>
      <c r="J3043" s="70"/>
      <c r="K3043" s="70"/>
      <c r="L3043" s="67"/>
      <c r="M3043" s="67"/>
      <c r="N3043" s="72"/>
      <c r="O3043" s="72"/>
      <c r="P3043" s="67"/>
      <c r="Q3043" s="67"/>
      <c r="R3043" s="67"/>
      <c r="S3043" s="67"/>
      <c r="T3043" s="32"/>
      <c r="U3043" s="32"/>
      <c r="X3043" s="32"/>
      <c r="Y3043" s="32"/>
      <c r="Z3043" s="32"/>
      <c r="AA3043" s="32"/>
      <c r="AB3043" s="32"/>
    </row>
    <row r="3044" spans="2:28" ht="23.25" customHeight="1" x14ac:dyDescent="0.2">
      <c r="B3044" s="75"/>
      <c r="C3044" s="67"/>
      <c r="D3044" s="75"/>
      <c r="E3044" s="67"/>
      <c r="F3044" s="67"/>
      <c r="G3044" s="70"/>
      <c r="H3044" s="70"/>
      <c r="I3044" s="70"/>
      <c r="J3044" s="70"/>
      <c r="K3044" s="70"/>
      <c r="L3044" s="67"/>
      <c r="M3044" s="67"/>
      <c r="N3044" s="72"/>
      <c r="O3044" s="72"/>
      <c r="P3044" s="67"/>
      <c r="Q3044" s="67"/>
      <c r="R3044" s="67"/>
      <c r="S3044" s="67"/>
      <c r="T3044" s="32"/>
      <c r="U3044" s="32"/>
      <c r="X3044" s="32"/>
      <c r="Y3044" s="32"/>
      <c r="Z3044" s="32"/>
      <c r="AA3044" s="32"/>
      <c r="AB3044" s="32"/>
    </row>
    <row r="3045" spans="2:28" ht="23.25" customHeight="1" x14ac:dyDescent="0.2">
      <c r="B3045" s="75"/>
      <c r="C3045" s="67"/>
      <c r="D3045" s="75"/>
      <c r="E3045" s="67"/>
      <c r="F3045" s="67"/>
      <c r="G3045" s="70"/>
      <c r="H3045" s="70"/>
      <c r="I3045" s="70"/>
      <c r="J3045" s="70"/>
      <c r="K3045" s="70"/>
      <c r="L3045" s="67"/>
      <c r="M3045" s="67"/>
      <c r="N3045" s="72"/>
      <c r="O3045" s="72"/>
      <c r="P3045" s="67"/>
      <c r="Q3045" s="67"/>
      <c r="R3045" s="67"/>
      <c r="S3045" s="67"/>
      <c r="T3045" s="32"/>
      <c r="U3045" s="32"/>
      <c r="X3045" s="32"/>
      <c r="Y3045" s="32"/>
      <c r="Z3045" s="32"/>
      <c r="AA3045" s="32"/>
      <c r="AB3045" s="32"/>
    </row>
    <row r="3046" spans="2:28" ht="23.25" customHeight="1" x14ac:dyDescent="0.2">
      <c r="B3046" s="75"/>
      <c r="C3046" s="67"/>
      <c r="D3046" s="75"/>
      <c r="E3046" s="67"/>
      <c r="F3046" s="67"/>
      <c r="G3046" s="70"/>
      <c r="H3046" s="70"/>
      <c r="I3046" s="70"/>
      <c r="J3046" s="70"/>
      <c r="K3046" s="70"/>
      <c r="L3046" s="67"/>
      <c r="M3046" s="67"/>
      <c r="N3046" s="72"/>
      <c r="O3046" s="72"/>
      <c r="P3046" s="67"/>
      <c r="Q3046" s="67"/>
      <c r="R3046" s="67"/>
      <c r="S3046" s="67"/>
      <c r="T3046" s="32"/>
      <c r="U3046" s="32"/>
      <c r="X3046" s="32"/>
      <c r="Y3046" s="32"/>
      <c r="Z3046" s="32"/>
      <c r="AA3046" s="32"/>
      <c r="AB3046" s="32"/>
    </row>
    <row r="3047" spans="2:28" ht="23.25" customHeight="1" x14ac:dyDescent="0.2">
      <c r="B3047" s="75"/>
      <c r="C3047" s="67"/>
      <c r="D3047" s="75"/>
      <c r="E3047" s="67"/>
      <c r="F3047" s="67"/>
      <c r="G3047" s="70"/>
      <c r="H3047" s="70"/>
      <c r="I3047" s="70"/>
      <c r="J3047" s="70"/>
      <c r="K3047" s="70"/>
      <c r="L3047" s="67"/>
      <c r="M3047" s="67"/>
      <c r="N3047" s="72"/>
      <c r="O3047" s="72"/>
      <c r="P3047" s="67"/>
      <c r="Q3047" s="67"/>
      <c r="R3047" s="67"/>
      <c r="S3047" s="67"/>
      <c r="T3047" s="32"/>
      <c r="U3047" s="32"/>
      <c r="X3047" s="32"/>
      <c r="Y3047" s="32"/>
      <c r="Z3047" s="32"/>
      <c r="AA3047" s="32"/>
      <c r="AB3047" s="32"/>
    </row>
    <row r="3048" spans="2:28" ht="23.25" customHeight="1" x14ac:dyDescent="0.2">
      <c r="B3048" s="75"/>
      <c r="C3048" s="67"/>
      <c r="D3048" s="75"/>
      <c r="E3048" s="67"/>
      <c r="F3048" s="67"/>
      <c r="G3048" s="70"/>
      <c r="H3048" s="70"/>
      <c r="I3048" s="70"/>
      <c r="J3048" s="70"/>
      <c r="K3048" s="70"/>
      <c r="L3048" s="67"/>
      <c r="M3048" s="67"/>
      <c r="N3048" s="72"/>
      <c r="O3048" s="72"/>
      <c r="P3048" s="67"/>
      <c r="Q3048" s="67"/>
      <c r="R3048" s="67"/>
      <c r="S3048" s="67"/>
      <c r="T3048" s="32"/>
      <c r="U3048" s="32"/>
      <c r="X3048" s="32"/>
      <c r="Y3048" s="32"/>
      <c r="Z3048" s="32"/>
      <c r="AA3048" s="32"/>
      <c r="AB3048" s="32"/>
    </row>
    <row r="3049" spans="2:28" ht="23.25" customHeight="1" x14ac:dyDescent="0.2">
      <c r="B3049" s="75"/>
      <c r="C3049" s="67"/>
      <c r="D3049" s="75"/>
      <c r="E3049" s="67"/>
      <c r="F3049" s="67"/>
      <c r="G3049" s="70"/>
      <c r="H3049" s="70"/>
      <c r="I3049" s="70"/>
      <c r="J3049" s="70"/>
      <c r="K3049" s="70"/>
      <c r="L3049" s="67"/>
      <c r="M3049" s="67"/>
      <c r="N3049" s="72"/>
      <c r="O3049" s="72"/>
      <c r="P3049" s="67"/>
      <c r="Q3049" s="67"/>
      <c r="R3049" s="67"/>
      <c r="S3049" s="67"/>
      <c r="T3049" s="32"/>
      <c r="U3049" s="32"/>
      <c r="X3049" s="32"/>
      <c r="Y3049" s="32"/>
      <c r="Z3049" s="32"/>
      <c r="AA3049" s="32"/>
      <c r="AB3049" s="32"/>
    </row>
    <row r="3050" spans="2:28" ht="23.25" customHeight="1" x14ac:dyDescent="0.2">
      <c r="B3050" s="75"/>
      <c r="C3050" s="67"/>
      <c r="D3050" s="75"/>
      <c r="E3050" s="67"/>
      <c r="F3050" s="67"/>
      <c r="G3050" s="70"/>
      <c r="H3050" s="70"/>
      <c r="I3050" s="70"/>
      <c r="J3050" s="70"/>
      <c r="K3050" s="70"/>
      <c r="L3050" s="67"/>
      <c r="M3050" s="67"/>
      <c r="N3050" s="72"/>
      <c r="O3050" s="72"/>
      <c r="P3050" s="67"/>
      <c r="Q3050" s="67"/>
      <c r="R3050" s="67"/>
      <c r="S3050" s="67"/>
      <c r="T3050" s="32"/>
      <c r="U3050" s="32"/>
      <c r="X3050" s="32"/>
      <c r="Y3050" s="32"/>
      <c r="Z3050" s="32"/>
      <c r="AA3050" s="32"/>
      <c r="AB3050" s="32"/>
    </row>
    <row r="3051" spans="2:28" ht="23.25" customHeight="1" x14ac:dyDescent="0.2">
      <c r="B3051" s="75"/>
      <c r="C3051" s="67"/>
      <c r="D3051" s="75"/>
      <c r="E3051" s="67"/>
      <c r="F3051" s="67"/>
      <c r="G3051" s="70"/>
      <c r="H3051" s="70"/>
      <c r="I3051" s="70"/>
      <c r="J3051" s="70"/>
      <c r="K3051" s="70"/>
      <c r="L3051" s="67"/>
      <c r="M3051" s="67"/>
      <c r="N3051" s="72"/>
      <c r="O3051" s="72"/>
      <c r="P3051" s="67"/>
      <c r="Q3051" s="67"/>
      <c r="R3051" s="67"/>
      <c r="S3051" s="67"/>
      <c r="T3051" s="32"/>
      <c r="U3051" s="32"/>
      <c r="X3051" s="32"/>
      <c r="Y3051" s="32"/>
      <c r="Z3051" s="32"/>
      <c r="AA3051" s="32"/>
      <c r="AB3051" s="32"/>
    </row>
    <row r="3052" spans="2:28" ht="23.25" customHeight="1" x14ac:dyDescent="0.2">
      <c r="B3052" s="75"/>
      <c r="C3052" s="67"/>
      <c r="D3052" s="75"/>
      <c r="E3052" s="67"/>
      <c r="F3052" s="67"/>
      <c r="G3052" s="70"/>
      <c r="H3052" s="70"/>
      <c r="I3052" s="70"/>
      <c r="J3052" s="70"/>
      <c r="K3052" s="70"/>
      <c r="L3052" s="67"/>
      <c r="M3052" s="67"/>
      <c r="N3052" s="72"/>
      <c r="O3052" s="72"/>
      <c r="P3052" s="67"/>
      <c r="Q3052" s="67"/>
      <c r="R3052" s="67"/>
      <c r="S3052" s="67"/>
      <c r="T3052" s="32"/>
      <c r="U3052" s="32"/>
      <c r="X3052" s="32"/>
      <c r="Y3052" s="32"/>
      <c r="Z3052" s="32"/>
      <c r="AA3052" s="32"/>
      <c r="AB3052" s="32"/>
    </row>
    <row r="3053" spans="2:28" ht="23.25" customHeight="1" x14ac:dyDescent="0.2">
      <c r="B3053" s="75"/>
      <c r="C3053" s="67"/>
      <c r="D3053" s="75"/>
      <c r="E3053" s="67"/>
      <c r="F3053" s="67"/>
      <c r="G3053" s="70"/>
      <c r="H3053" s="70"/>
      <c r="I3053" s="70"/>
      <c r="J3053" s="70"/>
      <c r="K3053" s="70"/>
      <c r="L3053" s="67"/>
      <c r="M3053" s="67"/>
      <c r="N3053" s="72"/>
      <c r="O3053" s="72"/>
      <c r="P3053" s="67"/>
      <c r="Q3053" s="67"/>
      <c r="R3053" s="67"/>
      <c r="S3053" s="67"/>
      <c r="T3053" s="32"/>
      <c r="U3053" s="32"/>
      <c r="X3053" s="32"/>
      <c r="Y3053" s="32"/>
      <c r="Z3053" s="32"/>
      <c r="AA3053" s="32"/>
      <c r="AB3053" s="32"/>
    </row>
    <row r="3054" spans="2:28" ht="23.25" customHeight="1" x14ac:dyDescent="0.2">
      <c r="B3054" s="75"/>
      <c r="C3054" s="67"/>
      <c r="D3054" s="75"/>
      <c r="E3054" s="67"/>
      <c r="F3054" s="67"/>
      <c r="G3054" s="70"/>
      <c r="H3054" s="70"/>
      <c r="I3054" s="70"/>
      <c r="J3054" s="70"/>
      <c r="K3054" s="70"/>
      <c r="L3054" s="67"/>
      <c r="M3054" s="67"/>
      <c r="N3054" s="72"/>
      <c r="O3054" s="72"/>
      <c r="P3054" s="67"/>
      <c r="Q3054" s="67"/>
      <c r="R3054" s="67"/>
      <c r="S3054" s="67"/>
      <c r="T3054" s="32"/>
      <c r="U3054" s="32"/>
      <c r="X3054" s="32"/>
      <c r="Y3054" s="32"/>
      <c r="Z3054" s="32"/>
      <c r="AA3054" s="32"/>
      <c r="AB3054" s="32"/>
    </row>
    <row r="3055" spans="2:28" ht="23.25" customHeight="1" x14ac:dyDescent="0.2">
      <c r="B3055" s="75"/>
      <c r="C3055" s="67"/>
      <c r="D3055" s="75"/>
      <c r="E3055" s="67"/>
      <c r="F3055" s="67"/>
      <c r="G3055" s="70"/>
      <c r="H3055" s="70"/>
      <c r="I3055" s="70"/>
      <c r="J3055" s="70"/>
      <c r="K3055" s="70"/>
      <c r="L3055" s="67"/>
      <c r="M3055" s="67"/>
      <c r="N3055" s="72"/>
      <c r="O3055" s="72"/>
      <c r="P3055" s="67"/>
      <c r="Q3055" s="67"/>
      <c r="R3055" s="67"/>
      <c r="S3055" s="67"/>
      <c r="T3055" s="32"/>
      <c r="U3055" s="32"/>
      <c r="X3055" s="32"/>
      <c r="Y3055" s="32"/>
      <c r="Z3055" s="32"/>
      <c r="AA3055" s="32"/>
      <c r="AB3055" s="32"/>
    </row>
    <row r="3056" spans="2:28" ht="23.25" customHeight="1" x14ac:dyDescent="0.2">
      <c r="B3056" s="75"/>
      <c r="C3056" s="67"/>
      <c r="D3056" s="75"/>
      <c r="E3056" s="67"/>
      <c r="F3056" s="67"/>
      <c r="G3056" s="70"/>
      <c r="H3056" s="70"/>
      <c r="I3056" s="70"/>
      <c r="J3056" s="70"/>
      <c r="K3056" s="70"/>
      <c r="L3056" s="67"/>
      <c r="M3056" s="67"/>
      <c r="N3056" s="72"/>
      <c r="O3056" s="72"/>
      <c r="P3056" s="67"/>
      <c r="Q3056" s="67"/>
      <c r="R3056" s="67"/>
      <c r="S3056" s="67"/>
      <c r="T3056" s="32"/>
      <c r="U3056" s="32"/>
      <c r="X3056" s="32"/>
      <c r="Y3056" s="32"/>
      <c r="Z3056" s="32"/>
      <c r="AA3056" s="32"/>
      <c r="AB3056" s="32"/>
    </row>
    <row r="3057" spans="2:28" ht="23.25" customHeight="1" x14ac:dyDescent="0.2">
      <c r="B3057" s="75"/>
      <c r="C3057" s="67"/>
      <c r="D3057" s="75"/>
      <c r="E3057" s="67"/>
      <c r="F3057" s="67"/>
      <c r="G3057" s="70"/>
      <c r="H3057" s="70"/>
      <c r="I3057" s="70"/>
      <c r="J3057" s="70"/>
      <c r="K3057" s="70"/>
      <c r="L3057" s="67"/>
      <c r="M3057" s="67"/>
      <c r="N3057" s="72"/>
      <c r="O3057" s="72"/>
      <c r="P3057" s="67"/>
      <c r="Q3057" s="67"/>
      <c r="R3057" s="67"/>
      <c r="S3057" s="67"/>
      <c r="T3057" s="32"/>
      <c r="U3057" s="32"/>
      <c r="X3057" s="32"/>
      <c r="Y3057" s="32"/>
      <c r="Z3057" s="32"/>
      <c r="AA3057" s="32"/>
      <c r="AB3057" s="32"/>
    </row>
    <row r="3058" spans="2:28" ht="23.25" customHeight="1" x14ac:dyDescent="0.2">
      <c r="B3058" s="75"/>
      <c r="C3058" s="67"/>
      <c r="D3058" s="75"/>
      <c r="E3058" s="67"/>
      <c r="F3058" s="67"/>
      <c r="G3058" s="70"/>
      <c r="H3058" s="70"/>
      <c r="I3058" s="70"/>
      <c r="J3058" s="70"/>
      <c r="K3058" s="70"/>
      <c r="L3058" s="67"/>
      <c r="M3058" s="67"/>
      <c r="N3058" s="72"/>
      <c r="O3058" s="72"/>
      <c r="P3058" s="67"/>
      <c r="Q3058" s="67"/>
      <c r="R3058" s="67"/>
      <c r="S3058" s="67"/>
      <c r="T3058" s="32"/>
      <c r="U3058" s="32"/>
      <c r="X3058" s="32"/>
      <c r="Y3058" s="32"/>
      <c r="Z3058" s="32"/>
      <c r="AA3058" s="32"/>
      <c r="AB3058" s="32"/>
    </row>
    <row r="3059" spans="2:28" ht="23.25" customHeight="1" x14ac:dyDescent="0.2">
      <c r="B3059" s="75"/>
      <c r="C3059" s="67"/>
      <c r="D3059" s="75"/>
      <c r="E3059" s="67"/>
      <c r="F3059" s="67"/>
      <c r="G3059" s="70"/>
      <c r="H3059" s="70"/>
      <c r="I3059" s="70"/>
      <c r="J3059" s="70"/>
      <c r="K3059" s="70"/>
      <c r="L3059" s="67"/>
      <c r="M3059" s="67"/>
      <c r="N3059" s="72"/>
      <c r="O3059" s="72"/>
      <c r="P3059" s="67"/>
      <c r="Q3059" s="67"/>
      <c r="R3059" s="67"/>
      <c r="S3059" s="67"/>
      <c r="T3059" s="32"/>
      <c r="U3059" s="32"/>
      <c r="X3059" s="32"/>
      <c r="Y3059" s="32"/>
      <c r="Z3059" s="32"/>
      <c r="AA3059" s="32"/>
      <c r="AB3059" s="32"/>
    </row>
    <row r="3060" spans="2:28" ht="23.25" customHeight="1" x14ac:dyDescent="0.2">
      <c r="B3060" s="75"/>
      <c r="C3060" s="67"/>
      <c r="D3060" s="75"/>
      <c r="E3060" s="67"/>
      <c r="F3060" s="67"/>
      <c r="G3060" s="70"/>
      <c r="H3060" s="70"/>
      <c r="I3060" s="70"/>
      <c r="J3060" s="70"/>
      <c r="K3060" s="70"/>
      <c r="L3060" s="67"/>
      <c r="M3060" s="67"/>
      <c r="N3060" s="72"/>
      <c r="O3060" s="72"/>
      <c r="P3060" s="67"/>
      <c r="Q3060" s="67"/>
      <c r="R3060" s="67"/>
      <c r="S3060" s="67"/>
      <c r="T3060" s="32"/>
      <c r="U3060" s="32"/>
      <c r="X3060" s="32"/>
      <c r="Y3060" s="32"/>
      <c r="Z3060" s="32"/>
      <c r="AA3060" s="32"/>
      <c r="AB3060" s="32"/>
    </row>
    <row r="3061" spans="2:28" ht="23.25" customHeight="1" x14ac:dyDescent="0.2">
      <c r="B3061" s="75"/>
      <c r="C3061" s="67"/>
      <c r="D3061" s="75"/>
      <c r="E3061" s="67"/>
      <c r="F3061" s="67"/>
      <c r="G3061" s="70"/>
      <c r="H3061" s="70"/>
      <c r="I3061" s="70"/>
      <c r="J3061" s="70"/>
      <c r="K3061" s="70"/>
      <c r="L3061" s="67"/>
      <c r="M3061" s="67"/>
      <c r="N3061" s="72"/>
      <c r="O3061" s="72"/>
      <c r="P3061" s="67"/>
      <c r="Q3061" s="67"/>
      <c r="R3061" s="67"/>
      <c r="S3061" s="67"/>
      <c r="T3061" s="32"/>
      <c r="U3061" s="32"/>
      <c r="X3061" s="32"/>
      <c r="Y3061" s="32"/>
      <c r="Z3061" s="32"/>
      <c r="AA3061" s="32"/>
      <c r="AB3061" s="32"/>
    </row>
    <row r="3062" spans="2:28" ht="23.25" customHeight="1" x14ac:dyDescent="0.2">
      <c r="B3062" s="75"/>
      <c r="C3062" s="67"/>
      <c r="D3062" s="75"/>
      <c r="E3062" s="67"/>
      <c r="F3062" s="67"/>
      <c r="G3062" s="70"/>
      <c r="H3062" s="70"/>
      <c r="I3062" s="70"/>
      <c r="J3062" s="70"/>
      <c r="K3062" s="70"/>
      <c r="L3062" s="67"/>
      <c r="M3062" s="67"/>
      <c r="N3062" s="72"/>
      <c r="O3062" s="72"/>
      <c r="P3062" s="67"/>
      <c r="Q3062" s="67"/>
      <c r="R3062" s="67"/>
      <c r="S3062" s="67"/>
      <c r="T3062" s="32"/>
      <c r="U3062" s="32"/>
      <c r="X3062" s="32"/>
      <c r="Y3062" s="32"/>
      <c r="Z3062" s="32"/>
      <c r="AA3062" s="32"/>
      <c r="AB3062" s="32"/>
    </row>
    <row r="3063" spans="2:28" ht="23.25" customHeight="1" x14ac:dyDescent="0.2">
      <c r="B3063" s="75"/>
      <c r="C3063" s="67"/>
      <c r="D3063" s="75"/>
      <c r="E3063" s="67"/>
      <c r="F3063" s="67"/>
      <c r="G3063" s="70"/>
      <c r="H3063" s="70"/>
      <c r="I3063" s="70"/>
      <c r="J3063" s="70"/>
      <c r="K3063" s="70"/>
      <c r="L3063" s="67"/>
      <c r="M3063" s="67"/>
      <c r="N3063" s="72"/>
      <c r="O3063" s="72"/>
      <c r="P3063" s="67"/>
      <c r="Q3063" s="67"/>
      <c r="R3063" s="67"/>
      <c r="S3063" s="67"/>
      <c r="T3063" s="32"/>
      <c r="U3063" s="32"/>
      <c r="X3063" s="32"/>
      <c r="Y3063" s="32"/>
      <c r="Z3063" s="32"/>
      <c r="AA3063" s="32"/>
      <c r="AB3063" s="32"/>
    </row>
    <row r="3064" spans="2:28" ht="23.25" customHeight="1" x14ac:dyDescent="0.2">
      <c r="B3064" s="75"/>
      <c r="C3064" s="67"/>
      <c r="D3064" s="75"/>
      <c r="E3064" s="67"/>
      <c r="F3064" s="67"/>
      <c r="G3064" s="70"/>
      <c r="H3064" s="70"/>
      <c r="I3064" s="70"/>
      <c r="J3064" s="70"/>
      <c r="K3064" s="70"/>
      <c r="L3064" s="67"/>
      <c r="M3064" s="67"/>
      <c r="N3064" s="72"/>
      <c r="O3064" s="72"/>
      <c r="P3064" s="67"/>
      <c r="Q3064" s="67"/>
      <c r="R3064" s="67"/>
      <c r="S3064" s="67"/>
      <c r="T3064" s="32"/>
      <c r="U3064" s="32"/>
      <c r="X3064" s="32"/>
      <c r="Y3064" s="32"/>
      <c r="Z3064" s="32"/>
      <c r="AA3064" s="32"/>
      <c r="AB3064" s="32"/>
    </row>
    <row r="3065" spans="2:28" ht="23.25" customHeight="1" x14ac:dyDescent="0.2">
      <c r="B3065" s="75"/>
      <c r="C3065" s="67"/>
      <c r="D3065" s="75"/>
      <c r="E3065" s="67"/>
      <c r="F3065" s="67"/>
      <c r="G3065" s="70"/>
      <c r="H3065" s="70"/>
      <c r="I3065" s="70"/>
      <c r="J3065" s="70"/>
      <c r="K3065" s="70"/>
      <c r="L3065" s="67"/>
      <c r="M3065" s="67"/>
      <c r="N3065" s="72"/>
      <c r="O3065" s="72"/>
      <c r="P3065" s="67"/>
      <c r="Q3065" s="67"/>
      <c r="R3065" s="67"/>
      <c r="S3065" s="67"/>
      <c r="T3065" s="32"/>
      <c r="U3065" s="32"/>
      <c r="X3065" s="32"/>
      <c r="Y3065" s="32"/>
      <c r="Z3065" s="32"/>
      <c r="AA3065" s="32"/>
      <c r="AB3065" s="32"/>
    </row>
    <row r="3066" spans="2:28" ht="23.25" customHeight="1" x14ac:dyDescent="0.2">
      <c r="B3066" s="75"/>
      <c r="C3066" s="67"/>
      <c r="D3066" s="75"/>
      <c r="E3066" s="67"/>
      <c r="F3066" s="67"/>
      <c r="G3066" s="70"/>
      <c r="H3066" s="70"/>
      <c r="I3066" s="70"/>
      <c r="J3066" s="70"/>
      <c r="K3066" s="70"/>
      <c r="L3066" s="67"/>
      <c r="M3066" s="67"/>
      <c r="N3066" s="72"/>
      <c r="O3066" s="72"/>
      <c r="P3066" s="67"/>
      <c r="Q3066" s="67"/>
      <c r="R3066" s="67"/>
      <c r="S3066" s="67"/>
      <c r="T3066" s="32"/>
      <c r="U3066" s="32"/>
      <c r="X3066" s="32"/>
      <c r="Y3066" s="32"/>
      <c r="Z3066" s="32"/>
      <c r="AA3066" s="32"/>
      <c r="AB3066" s="32"/>
    </row>
    <row r="3067" spans="2:28" ht="23.25" customHeight="1" x14ac:dyDescent="0.2">
      <c r="B3067" s="75"/>
      <c r="C3067" s="67"/>
      <c r="D3067" s="75"/>
      <c r="E3067" s="67"/>
      <c r="F3067" s="67"/>
      <c r="G3067" s="70"/>
      <c r="H3067" s="70"/>
      <c r="I3067" s="70"/>
      <c r="J3067" s="70"/>
      <c r="K3067" s="70"/>
      <c r="L3067" s="67"/>
      <c r="M3067" s="67"/>
      <c r="N3067" s="72"/>
      <c r="O3067" s="72"/>
      <c r="P3067" s="67"/>
      <c r="Q3067" s="67"/>
      <c r="R3067" s="67"/>
      <c r="S3067" s="67"/>
      <c r="T3067" s="32"/>
      <c r="U3067" s="32"/>
      <c r="X3067" s="32"/>
      <c r="Y3067" s="32"/>
      <c r="Z3067" s="32"/>
      <c r="AA3067" s="32"/>
      <c r="AB3067" s="32"/>
    </row>
    <row r="3068" spans="2:28" ht="23.25" customHeight="1" x14ac:dyDescent="0.2">
      <c r="B3068" s="75"/>
      <c r="C3068" s="67"/>
      <c r="D3068" s="75"/>
      <c r="E3068" s="67"/>
      <c r="F3068" s="67"/>
      <c r="G3068" s="70"/>
      <c r="H3068" s="70"/>
      <c r="I3068" s="70"/>
      <c r="J3068" s="70"/>
      <c r="K3068" s="70"/>
      <c r="L3068" s="67"/>
      <c r="M3068" s="67"/>
      <c r="N3068" s="72"/>
      <c r="O3068" s="72"/>
      <c r="P3068" s="67"/>
      <c r="Q3068" s="67"/>
      <c r="R3068" s="67"/>
      <c r="S3068" s="67"/>
      <c r="T3068" s="32"/>
      <c r="U3068" s="32"/>
      <c r="X3068" s="32"/>
      <c r="Y3068" s="32"/>
      <c r="Z3068" s="32"/>
      <c r="AA3068" s="32"/>
      <c r="AB3068" s="32"/>
    </row>
    <row r="3069" spans="2:28" ht="23.25" customHeight="1" x14ac:dyDescent="0.2">
      <c r="B3069" s="75"/>
      <c r="C3069" s="67"/>
      <c r="D3069" s="75"/>
      <c r="E3069" s="67"/>
      <c r="F3069" s="67"/>
      <c r="G3069" s="70"/>
      <c r="H3069" s="70"/>
      <c r="I3069" s="70"/>
      <c r="J3069" s="70"/>
      <c r="K3069" s="70"/>
      <c r="L3069" s="67"/>
      <c r="M3069" s="67"/>
      <c r="N3069" s="72"/>
      <c r="O3069" s="72"/>
      <c r="P3069" s="67"/>
      <c r="Q3069" s="67"/>
      <c r="R3069" s="67"/>
      <c r="S3069" s="67"/>
      <c r="T3069" s="32"/>
      <c r="U3069" s="32"/>
      <c r="X3069" s="32"/>
      <c r="Y3069" s="32"/>
      <c r="Z3069" s="32"/>
      <c r="AA3069" s="32"/>
      <c r="AB3069" s="32"/>
    </row>
    <row r="3070" spans="2:28" ht="23.25" customHeight="1" x14ac:dyDescent="0.2">
      <c r="B3070" s="75"/>
      <c r="C3070" s="67"/>
      <c r="D3070" s="75"/>
      <c r="E3070" s="67"/>
      <c r="F3070" s="67"/>
      <c r="G3070" s="70"/>
      <c r="H3070" s="70"/>
      <c r="I3070" s="70"/>
      <c r="J3070" s="70"/>
      <c r="K3070" s="70"/>
      <c r="L3070" s="67"/>
      <c r="M3070" s="67"/>
      <c r="N3070" s="72"/>
      <c r="O3070" s="72"/>
      <c r="P3070" s="67"/>
      <c r="Q3070" s="67"/>
      <c r="R3070" s="67"/>
      <c r="S3070" s="67"/>
      <c r="T3070" s="32"/>
      <c r="U3070" s="32"/>
      <c r="X3070" s="32"/>
      <c r="Y3070" s="32"/>
      <c r="Z3070" s="32"/>
      <c r="AA3070" s="32"/>
      <c r="AB3070" s="32"/>
    </row>
    <row r="3071" spans="2:28" ht="23.25" customHeight="1" x14ac:dyDescent="0.2">
      <c r="B3071" s="75"/>
      <c r="C3071" s="67"/>
      <c r="D3071" s="75"/>
      <c r="E3071" s="67"/>
      <c r="F3071" s="67"/>
      <c r="G3071" s="70"/>
      <c r="H3071" s="70"/>
      <c r="I3071" s="70"/>
      <c r="J3071" s="70"/>
      <c r="K3071" s="70"/>
      <c r="L3071" s="67"/>
      <c r="M3071" s="67"/>
      <c r="N3071" s="72"/>
      <c r="O3071" s="72"/>
      <c r="P3071" s="67"/>
      <c r="Q3071" s="67"/>
      <c r="R3071" s="67"/>
      <c r="S3071" s="67"/>
      <c r="T3071" s="32"/>
      <c r="U3071" s="32"/>
      <c r="X3071" s="32"/>
      <c r="Y3071" s="32"/>
      <c r="Z3071" s="32"/>
      <c r="AA3071" s="32"/>
      <c r="AB3071" s="32"/>
    </row>
    <row r="3072" spans="2:28" ht="23.25" customHeight="1" x14ac:dyDescent="0.2">
      <c r="B3072" s="75"/>
      <c r="C3072" s="67"/>
      <c r="D3072" s="75"/>
      <c r="E3072" s="67"/>
      <c r="F3072" s="67"/>
      <c r="G3072" s="70"/>
      <c r="H3072" s="70"/>
      <c r="I3072" s="70"/>
      <c r="J3072" s="70"/>
      <c r="K3072" s="70"/>
      <c r="L3072" s="67"/>
      <c r="M3072" s="67"/>
      <c r="N3072" s="72"/>
      <c r="O3072" s="72"/>
      <c r="P3072" s="67"/>
      <c r="Q3072" s="67"/>
      <c r="R3072" s="67"/>
      <c r="S3072" s="67"/>
      <c r="T3072" s="32"/>
      <c r="U3072" s="32"/>
      <c r="X3072" s="32"/>
      <c r="Y3072" s="32"/>
      <c r="Z3072" s="32"/>
      <c r="AA3072" s="32"/>
      <c r="AB3072" s="32"/>
    </row>
    <row r="3073" spans="2:28" ht="23.25" customHeight="1" x14ac:dyDescent="0.2">
      <c r="B3073" s="75"/>
      <c r="C3073" s="67"/>
      <c r="D3073" s="75"/>
      <c r="E3073" s="67"/>
      <c r="F3073" s="67"/>
      <c r="G3073" s="70"/>
      <c r="H3073" s="70"/>
      <c r="I3073" s="70"/>
      <c r="J3073" s="70"/>
      <c r="K3073" s="70"/>
      <c r="L3073" s="67"/>
      <c r="M3073" s="67"/>
      <c r="N3073" s="72"/>
      <c r="O3073" s="72"/>
      <c r="P3073" s="67"/>
      <c r="Q3073" s="67"/>
      <c r="R3073" s="67"/>
      <c r="S3073" s="67"/>
      <c r="T3073" s="32"/>
      <c r="U3073" s="32"/>
      <c r="X3073" s="32"/>
      <c r="Y3073" s="32"/>
      <c r="Z3073" s="32"/>
      <c r="AA3073" s="32"/>
      <c r="AB3073" s="32"/>
    </row>
    <row r="3074" spans="2:28" ht="23.25" customHeight="1" x14ac:dyDescent="0.2">
      <c r="B3074" s="75"/>
      <c r="C3074" s="67"/>
      <c r="D3074" s="75"/>
      <c r="E3074" s="67"/>
      <c r="F3074" s="67"/>
      <c r="G3074" s="70"/>
      <c r="H3074" s="70"/>
      <c r="I3074" s="70"/>
      <c r="J3074" s="70"/>
      <c r="K3074" s="70"/>
      <c r="L3074" s="67"/>
      <c r="M3074" s="67"/>
      <c r="N3074" s="72"/>
      <c r="O3074" s="72"/>
      <c r="P3074" s="67"/>
      <c r="Q3074" s="67"/>
      <c r="R3074" s="67"/>
      <c r="S3074" s="67"/>
      <c r="T3074" s="32"/>
      <c r="U3074" s="32"/>
      <c r="X3074" s="32"/>
      <c r="Y3074" s="32"/>
      <c r="Z3074" s="32"/>
      <c r="AA3074" s="32"/>
      <c r="AB3074" s="32"/>
    </row>
    <row r="3075" spans="2:28" ht="23.25" customHeight="1" x14ac:dyDescent="0.2">
      <c r="B3075" s="75"/>
      <c r="C3075" s="67"/>
      <c r="D3075" s="75"/>
      <c r="E3075" s="67"/>
      <c r="F3075" s="67"/>
      <c r="G3075" s="70"/>
      <c r="H3075" s="70"/>
      <c r="I3075" s="70"/>
      <c r="J3075" s="70"/>
      <c r="K3075" s="70"/>
      <c r="L3075" s="67"/>
      <c r="M3075" s="67"/>
      <c r="N3075" s="72"/>
      <c r="O3075" s="72"/>
      <c r="P3075" s="67"/>
      <c r="Q3075" s="67"/>
      <c r="R3075" s="67"/>
      <c r="S3075" s="67"/>
      <c r="T3075" s="32"/>
      <c r="U3075" s="32"/>
      <c r="X3075" s="32"/>
      <c r="Y3075" s="32"/>
      <c r="Z3075" s="32"/>
      <c r="AA3075" s="32"/>
      <c r="AB3075" s="32"/>
    </row>
    <row r="3076" spans="2:28" ht="23.25" customHeight="1" x14ac:dyDescent="0.2">
      <c r="B3076" s="75"/>
      <c r="C3076" s="67"/>
      <c r="D3076" s="75"/>
      <c r="E3076" s="67"/>
      <c r="F3076" s="67"/>
      <c r="G3076" s="70"/>
      <c r="H3076" s="70"/>
      <c r="I3076" s="70"/>
      <c r="J3076" s="70"/>
      <c r="K3076" s="70"/>
      <c r="L3076" s="67"/>
      <c r="M3076" s="67"/>
      <c r="N3076" s="72"/>
      <c r="O3076" s="72"/>
      <c r="P3076" s="67"/>
      <c r="Q3076" s="67"/>
      <c r="R3076" s="67"/>
      <c r="S3076" s="67"/>
      <c r="T3076" s="32"/>
      <c r="U3076" s="32"/>
      <c r="X3076" s="32"/>
      <c r="Y3076" s="32"/>
      <c r="Z3076" s="32"/>
      <c r="AA3076" s="32"/>
      <c r="AB3076" s="32"/>
    </row>
    <row r="3077" spans="2:28" ht="23.25" customHeight="1" x14ac:dyDescent="0.2">
      <c r="B3077" s="75"/>
      <c r="C3077" s="67"/>
      <c r="D3077" s="75"/>
      <c r="E3077" s="67"/>
      <c r="F3077" s="67"/>
      <c r="G3077" s="70"/>
      <c r="H3077" s="70"/>
      <c r="I3077" s="70"/>
      <c r="J3077" s="70"/>
      <c r="K3077" s="70"/>
      <c r="L3077" s="67"/>
      <c r="M3077" s="67"/>
      <c r="N3077" s="72"/>
      <c r="O3077" s="72"/>
      <c r="P3077" s="67"/>
      <c r="Q3077" s="67"/>
      <c r="R3077" s="67"/>
      <c r="S3077" s="67"/>
      <c r="T3077" s="32"/>
      <c r="U3077" s="32"/>
      <c r="X3077" s="32"/>
      <c r="Y3077" s="32"/>
      <c r="Z3077" s="32"/>
      <c r="AA3077" s="32"/>
      <c r="AB3077" s="32"/>
    </row>
    <row r="3078" spans="2:28" ht="23.25" customHeight="1" x14ac:dyDescent="0.2">
      <c r="B3078" s="75"/>
      <c r="C3078" s="67"/>
      <c r="D3078" s="75"/>
      <c r="E3078" s="67"/>
      <c r="F3078" s="67"/>
      <c r="G3078" s="70"/>
      <c r="H3078" s="70"/>
      <c r="I3078" s="70"/>
      <c r="J3078" s="70"/>
      <c r="K3078" s="70"/>
      <c r="L3078" s="67"/>
      <c r="M3078" s="67"/>
      <c r="N3078" s="72"/>
      <c r="O3078" s="72"/>
      <c r="P3078" s="67"/>
      <c r="Q3078" s="67"/>
      <c r="R3078" s="67"/>
      <c r="S3078" s="67"/>
      <c r="T3078" s="32"/>
      <c r="U3078" s="32"/>
      <c r="X3078" s="32"/>
      <c r="Y3078" s="32"/>
      <c r="Z3078" s="32"/>
      <c r="AA3078" s="32"/>
      <c r="AB3078" s="32"/>
    </row>
    <row r="3079" spans="2:28" ht="23.25" customHeight="1" x14ac:dyDescent="0.2">
      <c r="B3079" s="75"/>
      <c r="C3079" s="67"/>
      <c r="D3079" s="75"/>
      <c r="E3079" s="67"/>
      <c r="F3079" s="67"/>
      <c r="G3079" s="70"/>
      <c r="H3079" s="70"/>
      <c r="I3079" s="70"/>
      <c r="J3079" s="70"/>
      <c r="K3079" s="70"/>
      <c r="L3079" s="67"/>
      <c r="M3079" s="67"/>
      <c r="N3079" s="72"/>
      <c r="O3079" s="72"/>
      <c r="P3079" s="67"/>
      <c r="Q3079" s="67"/>
      <c r="R3079" s="67"/>
      <c r="S3079" s="67"/>
      <c r="T3079" s="32"/>
      <c r="U3079" s="32"/>
      <c r="X3079" s="32"/>
      <c r="Y3079" s="32"/>
      <c r="Z3079" s="32"/>
      <c r="AA3079" s="32"/>
      <c r="AB3079" s="32"/>
    </row>
    <row r="3080" spans="2:28" ht="23.25" customHeight="1" x14ac:dyDescent="0.2">
      <c r="B3080" s="75"/>
      <c r="C3080" s="67"/>
      <c r="D3080" s="75"/>
      <c r="E3080" s="67"/>
      <c r="F3080" s="67"/>
      <c r="G3080" s="70"/>
      <c r="H3080" s="70"/>
      <c r="I3080" s="70"/>
      <c r="J3080" s="70"/>
      <c r="K3080" s="70"/>
      <c r="L3080" s="67"/>
      <c r="M3080" s="67"/>
      <c r="N3080" s="72"/>
      <c r="O3080" s="72"/>
      <c r="P3080" s="67"/>
      <c r="Q3080" s="67"/>
      <c r="R3080" s="67"/>
      <c r="S3080" s="67"/>
      <c r="T3080" s="32"/>
      <c r="U3080" s="32"/>
      <c r="X3080" s="32"/>
      <c r="Y3080" s="32"/>
      <c r="Z3080" s="32"/>
      <c r="AA3080" s="32"/>
      <c r="AB3080" s="32"/>
    </row>
    <row r="3081" spans="2:28" ht="23.25" customHeight="1" x14ac:dyDescent="0.2">
      <c r="B3081" s="75"/>
      <c r="C3081" s="67"/>
      <c r="D3081" s="75"/>
      <c r="E3081" s="67"/>
      <c r="F3081" s="67"/>
      <c r="G3081" s="70"/>
      <c r="H3081" s="70"/>
      <c r="I3081" s="70"/>
      <c r="J3081" s="70"/>
      <c r="K3081" s="70"/>
      <c r="L3081" s="67"/>
      <c r="M3081" s="67"/>
      <c r="N3081" s="72"/>
      <c r="O3081" s="72"/>
      <c r="P3081" s="67"/>
      <c r="Q3081" s="67"/>
      <c r="R3081" s="67"/>
      <c r="S3081" s="67"/>
      <c r="T3081" s="32"/>
      <c r="U3081" s="32"/>
      <c r="X3081" s="32"/>
      <c r="Y3081" s="32"/>
      <c r="Z3081" s="32"/>
      <c r="AA3081" s="32"/>
      <c r="AB3081" s="32"/>
    </row>
    <row r="3082" spans="2:28" ht="23.25" customHeight="1" x14ac:dyDescent="0.2">
      <c r="B3082" s="75"/>
      <c r="C3082" s="67"/>
      <c r="D3082" s="75"/>
      <c r="E3082" s="67"/>
      <c r="F3082" s="67"/>
      <c r="G3082" s="70"/>
      <c r="H3082" s="70"/>
      <c r="I3082" s="70"/>
      <c r="J3082" s="70"/>
      <c r="K3082" s="70"/>
      <c r="L3082" s="67"/>
      <c r="M3082" s="67"/>
      <c r="N3082" s="72"/>
      <c r="O3082" s="72"/>
      <c r="P3082" s="67"/>
      <c r="Q3082" s="67"/>
      <c r="R3082" s="67"/>
      <c r="S3082" s="67"/>
      <c r="T3082" s="32"/>
      <c r="U3082" s="32"/>
      <c r="X3082" s="32"/>
      <c r="Y3082" s="32"/>
      <c r="Z3082" s="32"/>
      <c r="AA3082" s="32"/>
      <c r="AB3082" s="32"/>
    </row>
    <row r="3083" spans="2:28" ht="23.25" customHeight="1" x14ac:dyDescent="0.2">
      <c r="B3083" s="75"/>
      <c r="C3083" s="67"/>
      <c r="D3083" s="75"/>
      <c r="E3083" s="67"/>
      <c r="F3083" s="67"/>
      <c r="G3083" s="70"/>
      <c r="H3083" s="70"/>
      <c r="I3083" s="70"/>
      <c r="J3083" s="70"/>
      <c r="K3083" s="70"/>
      <c r="L3083" s="67"/>
      <c r="M3083" s="67"/>
      <c r="N3083" s="72"/>
      <c r="O3083" s="72"/>
      <c r="P3083" s="67"/>
      <c r="Q3083" s="67"/>
      <c r="R3083" s="67"/>
      <c r="S3083" s="67"/>
      <c r="T3083" s="32"/>
      <c r="U3083" s="32"/>
      <c r="X3083" s="32"/>
      <c r="Y3083" s="32"/>
      <c r="Z3083" s="32"/>
      <c r="AA3083" s="32"/>
      <c r="AB3083" s="32"/>
    </row>
    <row r="3084" spans="2:28" ht="23.25" customHeight="1" x14ac:dyDescent="0.2">
      <c r="B3084" s="75"/>
      <c r="C3084" s="67"/>
      <c r="D3084" s="75"/>
      <c r="E3084" s="67"/>
      <c r="F3084" s="67"/>
      <c r="G3084" s="70"/>
      <c r="H3084" s="70"/>
      <c r="I3084" s="70"/>
      <c r="J3084" s="70"/>
      <c r="K3084" s="70"/>
      <c r="L3084" s="67"/>
      <c r="M3084" s="67"/>
      <c r="N3084" s="72"/>
      <c r="O3084" s="72"/>
      <c r="P3084" s="67"/>
      <c r="Q3084" s="67"/>
      <c r="R3084" s="67"/>
      <c r="S3084" s="67"/>
      <c r="T3084" s="32"/>
      <c r="U3084" s="32"/>
      <c r="X3084" s="32"/>
      <c r="Y3084" s="32"/>
      <c r="Z3084" s="32"/>
      <c r="AA3084" s="32"/>
      <c r="AB3084" s="32"/>
    </row>
    <row r="3085" spans="2:28" ht="23.25" customHeight="1" x14ac:dyDescent="0.2">
      <c r="B3085" s="75"/>
      <c r="C3085" s="67"/>
      <c r="D3085" s="75"/>
      <c r="E3085" s="67"/>
      <c r="F3085" s="67"/>
      <c r="G3085" s="70"/>
      <c r="H3085" s="70"/>
      <c r="I3085" s="70"/>
      <c r="J3085" s="70"/>
      <c r="K3085" s="70"/>
      <c r="L3085" s="67"/>
      <c r="M3085" s="67"/>
      <c r="N3085" s="72"/>
      <c r="O3085" s="72"/>
      <c r="P3085" s="67"/>
      <c r="Q3085" s="67"/>
      <c r="R3085" s="67"/>
      <c r="S3085" s="67"/>
      <c r="T3085" s="32"/>
      <c r="U3085" s="32"/>
      <c r="X3085" s="32"/>
      <c r="Y3085" s="32"/>
      <c r="Z3085" s="32"/>
      <c r="AA3085" s="32"/>
      <c r="AB3085" s="32"/>
    </row>
    <row r="3086" spans="2:28" ht="23.25" customHeight="1" x14ac:dyDescent="0.2">
      <c r="B3086" s="75"/>
      <c r="C3086" s="67"/>
      <c r="D3086" s="75"/>
      <c r="E3086" s="67"/>
      <c r="F3086" s="67"/>
      <c r="G3086" s="70"/>
      <c r="H3086" s="70"/>
      <c r="I3086" s="70"/>
      <c r="J3086" s="70"/>
      <c r="K3086" s="70"/>
      <c r="L3086" s="67"/>
      <c r="M3086" s="67"/>
      <c r="N3086" s="72"/>
      <c r="O3086" s="72"/>
      <c r="P3086" s="67"/>
      <c r="Q3086" s="67"/>
      <c r="R3086" s="67"/>
      <c r="S3086" s="67"/>
      <c r="T3086" s="32"/>
      <c r="U3086" s="32"/>
      <c r="X3086" s="32"/>
      <c r="Y3086" s="32"/>
      <c r="Z3086" s="32"/>
      <c r="AA3086" s="32"/>
      <c r="AB3086" s="32"/>
    </row>
    <row r="3087" spans="2:28" ht="23.25" customHeight="1" x14ac:dyDescent="0.2">
      <c r="B3087" s="75"/>
      <c r="C3087" s="67"/>
      <c r="D3087" s="75"/>
      <c r="E3087" s="67"/>
      <c r="F3087" s="67"/>
      <c r="G3087" s="70"/>
      <c r="H3087" s="70"/>
      <c r="I3087" s="70"/>
      <c r="J3087" s="70"/>
      <c r="K3087" s="70"/>
      <c r="L3087" s="67"/>
      <c r="M3087" s="67"/>
      <c r="N3087" s="72"/>
      <c r="O3087" s="72"/>
      <c r="P3087" s="67"/>
      <c r="Q3087" s="67"/>
      <c r="R3087" s="67"/>
      <c r="S3087" s="67"/>
      <c r="T3087" s="32"/>
      <c r="U3087" s="32"/>
      <c r="X3087" s="32"/>
      <c r="Y3087" s="32"/>
      <c r="Z3087" s="32"/>
      <c r="AA3087" s="32"/>
      <c r="AB3087" s="32"/>
    </row>
    <row r="3088" spans="2:28" ht="23.25" customHeight="1" x14ac:dyDescent="0.2">
      <c r="B3088" s="75"/>
      <c r="C3088" s="67"/>
      <c r="D3088" s="75"/>
      <c r="E3088" s="67"/>
      <c r="F3088" s="67"/>
      <c r="G3088" s="70"/>
      <c r="H3088" s="70"/>
      <c r="I3088" s="70"/>
      <c r="J3088" s="70"/>
      <c r="K3088" s="70"/>
      <c r="L3088" s="67"/>
      <c r="M3088" s="67"/>
      <c r="N3088" s="72"/>
      <c r="O3088" s="72"/>
      <c r="P3088" s="67"/>
      <c r="Q3088" s="67"/>
      <c r="R3088" s="67"/>
      <c r="S3088" s="67"/>
      <c r="T3088" s="32"/>
      <c r="U3088" s="32"/>
      <c r="X3088" s="32"/>
      <c r="Y3088" s="32"/>
      <c r="Z3088" s="32"/>
      <c r="AA3088" s="32"/>
      <c r="AB3088" s="32"/>
    </row>
    <row r="3089" spans="2:28" ht="23.25" customHeight="1" x14ac:dyDescent="0.2">
      <c r="B3089" s="75"/>
      <c r="C3089" s="67"/>
      <c r="D3089" s="75"/>
      <c r="E3089" s="67"/>
      <c r="F3089" s="67"/>
      <c r="G3089" s="70"/>
      <c r="H3089" s="70"/>
      <c r="I3089" s="70"/>
      <c r="J3089" s="70"/>
      <c r="K3089" s="70"/>
      <c r="L3089" s="67"/>
      <c r="M3089" s="67"/>
      <c r="N3089" s="72"/>
      <c r="O3089" s="72"/>
      <c r="P3089" s="67"/>
      <c r="Q3089" s="67"/>
      <c r="R3089" s="67"/>
      <c r="S3089" s="67"/>
      <c r="T3089" s="32"/>
      <c r="U3089" s="32"/>
      <c r="X3089" s="32"/>
      <c r="Y3089" s="32"/>
      <c r="Z3089" s="32"/>
      <c r="AA3089" s="32"/>
      <c r="AB3089" s="32"/>
    </row>
    <row r="3090" spans="2:28" ht="23.25" customHeight="1" x14ac:dyDescent="0.2">
      <c r="B3090" s="75"/>
      <c r="C3090" s="67"/>
      <c r="D3090" s="75"/>
      <c r="E3090" s="67"/>
      <c r="F3090" s="67"/>
      <c r="G3090" s="70"/>
      <c r="H3090" s="70"/>
      <c r="I3090" s="70"/>
      <c r="J3090" s="70"/>
      <c r="K3090" s="70"/>
      <c r="L3090" s="67"/>
      <c r="M3090" s="67"/>
      <c r="N3090" s="72"/>
      <c r="O3090" s="72"/>
      <c r="P3090" s="67"/>
      <c r="Q3090" s="67"/>
      <c r="R3090" s="67"/>
      <c r="S3090" s="67"/>
      <c r="T3090" s="32"/>
      <c r="U3090" s="32"/>
      <c r="X3090" s="32"/>
      <c r="Y3090" s="32"/>
      <c r="Z3090" s="32"/>
      <c r="AA3090" s="32"/>
      <c r="AB3090" s="32"/>
    </row>
    <row r="3091" spans="2:28" ht="23.25" customHeight="1" x14ac:dyDescent="0.2">
      <c r="B3091" s="75"/>
      <c r="C3091" s="67"/>
      <c r="D3091" s="75"/>
      <c r="E3091" s="67"/>
      <c r="F3091" s="67"/>
      <c r="G3091" s="70"/>
      <c r="H3091" s="70"/>
      <c r="I3091" s="70"/>
      <c r="J3091" s="70"/>
      <c r="K3091" s="70"/>
      <c r="L3091" s="67"/>
      <c r="M3091" s="67"/>
      <c r="N3091" s="72"/>
      <c r="O3091" s="72"/>
      <c r="P3091" s="67"/>
      <c r="Q3091" s="67"/>
      <c r="R3091" s="67"/>
      <c r="S3091" s="67"/>
      <c r="T3091" s="32"/>
      <c r="U3091" s="32"/>
      <c r="X3091" s="32"/>
      <c r="Y3091" s="32"/>
      <c r="Z3091" s="32"/>
      <c r="AA3091" s="32"/>
      <c r="AB3091" s="32"/>
    </row>
    <row r="3092" spans="2:28" ht="23.25" customHeight="1" x14ac:dyDescent="0.2">
      <c r="B3092" s="75"/>
      <c r="C3092" s="67"/>
      <c r="D3092" s="75"/>
      <c r="E3092" s="67"/>
      <c r="F3092" s="67"/>
      <c r="G3092" s="70"/>
      <c r="H3092" s="70"/>
      <c r="I3092" s="70"/>
      <c r="J3092" s="70"/>
      <c r="K3092" s="70"/>
      <c r="L3092" s="67"/>
      <c r="M3092" s="67"/>
      <c r="N3092" s="72"/>
      <c r="O3092" s="72"/>
      <c r="P3092" s="67"/>
      <c r="Q3092" s="67"/>
      <c r="R3092" s="67"/>
      <c r="S3092" s="67"/>
      <c r="T3092" s="32"/>
      <c r="U3092" s="32"/>
      <c r="X3092" s="32"/>
      <c r="Y3092" s="32"/>
      <c r="Z3092" s="32"/>
      <c r="AA3092" s="32"/>
      <c r="AB3092" s="32"/>
    </row>
    <row r="3093" spans="2:28" ht="23.25" customHeight="1" x14ac:dyDescent="0.2">
      <c r="B3093" s="75"/>
      <c r="C3093" s="67"/>
      <c r="D3093" s="75"/>
      <c r="E3093" s="67"/>
      <c r="F3093" s="67"/>
      <c r="G3093" s="70"/>
      <c r="H3093" s="70"/>
      <c r="I3093" s="70"/>
      <c r="J3093" s="70"/>
      <c r="K3093" s="70"/>
      <c r="L3093" s="67"/>
      <c r="M3093" s="67"/>
      <c r="N3093" s="72"/>
      <c r="O3093" s="72"/>
      <c r="P3093" s="67"/>
      <c r="Q3093" s="67"/>
      <c r="R3093" s="67"/>
      <c r="S3093" s="67"/>
      <c r="T3093" s="32"/>
      <c r="U3093" s="32"/>
      <c r="X3093" s="32"/>
      <c r="Y3093" s="32"/>
      <c r="Z3093" s="32"/>
      <c r="AA3093" s="32"/>
      <c r="AB3093" s="32"/>
    </row>
    <row r="3094" spans="2:28" ht="23.25" customHeight="1" x14ac:dyDescent="0.2">
      <c r="B3094" s="75"/>
      <c r="C3094" s="67"/>
      <c r="D3094" s="75"/>
      <c r="E3094" s="67"/>
      <c r="F3094" s="67"/>
      <c r="G3094" s="70"/>
      <c r="H3094" s="70"/>
      <c r="I3094" s="70"/>
      <c r="J3094" s="70"/>
      <c r="K3094" s="70"/>
      <c r="L3094" s="67"/>
      <c r="M3094" s="67"/>
      <c r="N3094" s="72"/>
      <c r="O3094" s="72"/>
      <c r="P3094" s="67"/>
      <c r="Q3094" s="67"/>
      <c r="R3094" s="67"/>
      <c r="S3094" s="67"/>
      <c r="T3094" s="32"/>
      <c r="U3094" s="32"/>
      <c r="X3094" s="32"/>
      <c r="Y3094" s="32"/>
      <c r="Z3094" s="32"/>
      <c r="AA3094" s="32"/>
      <c r="AB3094" s="32"/>
    </row>
    <row r="3095" spans="2:28" ht="23.25" customHeight="1" x14ac:dyDescent="0.2">
      <c r="B3095" s="75"/>
      <c r="C3095" s="67"/>
      <c r="D3095" s="75"/>
      <c r="E3095" s="67"/>
      <c r="F3095" s="67"/>
      <c r="G3095" s="70"/>
      <c r="H3095" s="70"/>
      <c r="I3095" s="70"/>
      <c r="J3095" s="70"/>
      <c r="K3095" s="70"/>
      <c r="L3095" s="67"/>
      <c r="M3095" s="67"/>
      <c r="N3095" s="72"/>
      <c r="O3095" s="72"/>
      <c r="P3095" s="67"/>
      <c r="Q3095" s="67"/>
      <c r="R3095" s="67"/>
      <c r="S3095" s="67"/>
      <c r="T3095" s="32"/>
      <c r="U3095" s="32"/>
      <c r="X3095" s="32"/>
      <c r="Y3095" s="32"/>
      <c r="Z3095" s="32"/>
      <c r="AA3095" s="32"/>
      <c r="AB3095" s="32"/>
    </row>
    <row r="3096" spans="2:28" ht="23.25" customHeight="1" x14ac:dyDescent="0.2">
      <c r="B3096" s="75"/>
      <c r="C3096" s="67"/>
      <c r="D3096" s="75"/>
      <c r="E3096" s="67"/>
      <c r="F3096" s="67"/>
      <c r="G3096" s="70"/>
      <c r="H3096" s="70"/>
      <c r="I3096" s="70"/>
      <c r="J3096" s="70"/>
      <c r="K3096" s="70"/>
      <c r="L3096" s="67"/>
      <c r="M3096" s="67"/>
      <c r="N3096" s="72"/>
      <c r="O3096" s="72"/>
      <c r="P3096" s="67"/>
      <c r="Q3096" s="67"/>
      <c r="R3096" s="67"/>
      <c r="S3096" s="67"/>
      <c r="T3096" s="32"/>
      <c r="U3096" s="32"/>
      <c r="X3096" s="32"/>
      <c r="Y3096" s="32"/>
      <c r="Z3096" s="32"/>
      <c r="AA3096" s="32"/>
      <c r="AB3096" s="32"/>
    </row>
    <row r="3097" spans="2:28" ht="23.25" customHeight="1" x14ac:dyDescent="0.2">
      <c r="B3097" s="75"/>
      <c r="C3097" s="67"/>
      <c r="D3097" s="75"/>
      <c r="E3097" s="67"/>
      <c r="F3097" s="67"/>
      <c r="G3097" s="70"/>
      <c r="H3097" s="70"/>
      <c r="I3097" s="70"/>
      <c r="J3097" s="70"/>
      <c r="K3097" s="70"/>
      <c r="L3097" s="67"/>
      <c r="M3097" s="67"/>
      <c r="N3097" s="72"/>
      <c r="O3097" s="72"/>
      <c r="P3097" s="67"/>
      <c r="Q3097" s="67"/>
      <c r="R3097" s="67"/>
      <c r="S3097" s="67"/>
      <c r="T3097" s="32"/>
      <c r="U3097" s="32"/>
      <c r="X3097" s="32"/>
      <c r="Y3097" s="32"/>
      <c r="Z3097" s="32"/>
      <c r="AA3097" s="32"/>
      <c r="AB3097" s="32"/>
    </row>
    <row r="3098" spans="2:28" ht="23.25" customHeight="1" x14ac:dyDescent="0.2">
      <c r="B3098" s="75"/>
      <c r="C3098" s="67"/>
      <c r="D3098" s="75"/>
      <c r="E3098" s="67"/>
      <c r="F3098" s="67"/>
      <c r="G3098" s="70"/>
      <c r="H3098" s="70"/>
      <c r="I3098" s="70"/>
      <c r="J3098" s="70"/>
      <c r="K3098" s="70"/>
      <c r="L3098" s="67"/>
      <c r="M3098" s="67"/>
      <c r="N3098" s="72"/>
      <c r="O3098" s="72"/>
      <c r="P3098" s="67"/>
      <c r="Q3098" s="67"/>
      <c r="R3098" s="67"/>
      <c r="S3098" s="67"/>
      <c r="T3098" s="32"/>
      <c r="U3098" s="32"/>
      <c r="X3098" s="32"/>
      <c r="Y3098" s="32"/>
      <c r="Z3098" s="32"/>
      <c r="AA3098" s="32"/>
      <c r="AB3098" s="32"/>
    </row>
    <row r="3099" spans="2:28" ht="23.25" customHeight="1" x14ac:dyDescent="0.2">
      <c r="B3099" s="75"/>
      <c r="C3099" s="67"/>
      <c r="D3099" s="75"/>
      <c r="E3099" s="67"/>
      <c r="F3099" s="67"/>
      <c r="G3099" s="70"/>
      <c r="H3099" s="70"/>
      <c r="I3099" s="70"/>
      <c r="J3099" s="70"/>
      <c r="K3099" s="70"/>
      <c r="L3099" s="67"/>
      <c r="M3099" s="67"/>
      <c r="N3099" s="72"/>
      <c r="O3099" s="72"/>
      <c r="P3099" s="67"/>
      <c r="Q3099" s="67"/>
      <c r="R3099" s="67"/>
      <c r="S3099" s="67"/>
      <c r="T3099" s="32"/>
      <c r="U3099" s="32"/>
      <c r="X3099" s="32"/>
      <c r="Y3099" s="32"/>
      <c r="Z3099" s="32"/>
      <c r="AA3099" s="32"/>
      <c r="AB3099" s="32"/>
    </row>
    <row r="3100" spans="2:28" ht="23.25" customHeight="1" x14ac:dyDescent="0.2">
      <c r="B3100" s="75"/>
      <c r="C3100" s="67"/>
      <c r="D3100" s="75"/>
      <c r="E3100" s="67"/>
      <c r="F3100" s="67"/>
      <c r="G3100" s="70"/>
      <c r="H3100" s="70"/>
      <c r="I3100" s="70"/>
      <c r="J3100" s="70"/>
      <c r="K3100" s="70"/>
      <c r="L3100" s="67"/>
      <c r="M3100" s="67"/>
      <c r="N3100" s="72"/>
      <c r="O3100" s="72"/>
      <c r="P3100" s="67"/>
      <c r="Q3100" s="67"/>
      <c r="R3100" s="67"/>
      <c r="S3100" s="67"/>
      <c r="T3100" s="32"/>
      <c r="U3100" s="32"/>
      <c r="X3100" s="32"/>
      <c r="Y3100" s="32"/>
      <c r="Z3100" s="32"/>
      <c r="AA3100" s="32"/>
      <c r="AB3100" s="32"/>
    </row>
    <row r="3101" spans="2:28" ht="23.25" customHeight="1" x14ac:dyDescent="0.2">
      <c r="B3101" s="75"/>
      <c r="C3101" s="67"/>
      <c r="D3101" s="75"/>
      <c r="E3101" s="67"/>
      <c r="F3101" s="67"/>
      <c r="G3101" s="70"/>
      <c r="H3101" s="70"/>
      <c r="I3101" s="70"/>
      <c r="J3101" s="70"/>
      <c r="K3101" s="70"/>
      <c r="L3101" s="67"/>
      <c r="M3101" s="67"/>
      <c r="N3101" s="72"/>
      <c r="O3101" s="72"/>
      <c r="P3101" s="67"/>
      <c r="Q3101" s="67"/>
      <c r="R3101" s="67"/>
      <c r="S3101" s="67"/>
      <c r="T3101" s="32"/>
      <c r="U3101" s="32"/>
      <c r="X3101" s="32"/>
      <c r="Y3101" s="32"/>
      <c r="Z3101" s="32"/>
      <c r="AA3101" s="32"/>
      <c r="AB3101" s="32"/>
    </row>
    <row r="3102" spans="2:28" ht="23.25" customHeight="1" x14ac:dyDescent="0.2">
      <c r="B3102" s="75"/>
      <c r="C3102" s="67"/>
      <c r="D3102" s="75"/>
      <c r="E3102" s="67"/>
      <c r="F3102" s="67"/>
      <c r="G3102" s="70"/>
      <c r="H3102" s="70"/>
      <c r="I3102" s="70"/>
      <c r="J3102" s="70"/>
      <c r="K3102" s="70"/>
      <c r="L3102" s="67"/>
      <c r="M3102" s="67"/>
      <c r="N3102" s="72"/>
      <c r="O3102" s="72"/>
      <c r="P3102" s="67"/>
      <c r="Q3102" s="67"/>
      <c r="R3102" s="67"/>
      <c r="S3102" s="67"/>
      <c r="T3102" s="32"/>
      <c r="U3102" s="32"/>
      <c r="X3102" s="32"/>
      <c r="Y3102" s="32"/>
      <c r="Z3102" s="32"/>
      <c r="AA3102" s="32"/>
      <c r="AB3102" s="32"/>
    </row>
    <row r="3103" spans="2:28" ht="23.25" customHeight="1" x14ac:dyDescent="0.2">
      <c r="B3103" s="75"/>
      <c r="C3103" s="67"/>
      <c r="D3103" s="75"/>
      <c r="E3103" s="67"/>
      <c r="F3103" s="67"/>
      <c r="G3103" s="70"/>
      <c r="H3103" s="70"/>
      <c r="I3103" s="70"/>
      <c r="J3103" s="70"/>
      <c r="K3103" s="70"/>
      <c r="L3103" s="67"/>
      <c r="M3103" s="67"/>
      <c r="N3103" s="72"/>
      <c r="O3103" s="72"/>
      <c r="P3103" s="67"/>
      <c r="Q3103" s="67"/>
      <c r="R3103" s="67"/>
      <c r="S3103" s="67"/>
      <c r="T3103" s="32"/>
      <c r="U3103" s="32"/>
      <c r="X3103" s="32"/>
      <c r="Y3103" s="32"/>
      <c r="Z3103" s="32"/>
      <c r="AA3103" s="32"/>
      <c r="AB3103" s="32"/>
    </row>
    <row r="3104" spans="2:28" ht="23.25" customHeight="1" x14ac:dyDescent="0.2">
      <c r="B3104" s="75"/>
      <c r="C3104" s="67"/>
      <c r="D3104" s="75"/>
      <c r="E3104" s="67"/>
      <c r="F3104" s="67"/>
      <c r="G3104" s="70"/>
      <c r="H3104" s="70"/>
      <c r="I3104" s="70"/>
      <c r="J3104" s="70"/>
      <c r="K3104" s="70"/>
      <c r="L3104" s="67"/>
      <c r="M3104" s="67"/>
      <c r="N3104" s="72"/>
      <c r="O3104" s="72"/>
      <c r="P3104" s="67"/>
      <c r="Q3104" s="67"/>
      <c r="R3104" s="67"/>
      <c r="S3104" s="67"/>
      <c r="T3104" s="32"/>
      <c r="U3104" s="32"/>
      <c r="X3104" s="32"/>
      <c r="Y3104" s="32"/>
      <c r="Z3104" s="32"/>
      <c r="AA3104" s="32"/>
      <c r="AB3104" s="32"/>
    </row>
    <row r="3105" spans="2:28" ht="23.25" customHeight="1" x14ac:dyDescent="0.2">
      <c r="B3105" s="75"/>
      <c r="C3105" s="67"/>
      <c r="D3105" s="75"/>
      <c r="E3105" s="67"/>
      <c r="F3105" s="67"/>
      <c r="G3105" s="70"/>
      <c r="H3105" s="70"/>
      <c r="I3105" s="70"/>
      <c r="J3105" s="70"/>
      <c r="K3105" s="70"/>
      <c r="L3105" s="67"/>
      <c r="M3105" s="67"/>
      <c r="N3105" s="72"/>
      <c r="O3105" s="72"/>
      <c r="P3105" s="67"/>
      <c r="Q3105" s="67"/>
      <c r="R3105" s="67"/>
      <c r="S3105" s="67"/>
      <c r="T3105" s="32"/>
      <c r="U3105" s="32"/>
      <c r="X3105" s="32"/>
      <c r="Y3105" s="32"/>
      <c r="Z3105" s="32"/>
      <c r="AA3105" s="32"/>
      <c r="AB3105" s="32"/>
    </row>
    <row r="3106" spans="2:28" ht="23.25" customHeight="1" x14ac:dyDescent="0.2">
      <c r="B3106" s="75"/>
      <c r="C3106" s="67"/>
      <c r="D3106" s="75"/>
      <c r="E3106" s="67"/>
      <c r="F3106" s="67"/>
      <c r="G3106" s="70"/>
      <c r="H3106" s="70"/>
      <c r="I3106" s="70"/>
      <c r="J3106" s="70"/>
      <c r="K3106" s="70"/>
      <c r="L3106" s="67"/>
      <c r="M3106" s="67"/>
      <c r="N3106" s="72"/>
      <c r="O3106" s="72"/>
      <c r="P3106" s="67"/>
      <c r="Q3106" s="67"/>
      <c r="R3106" s="67"/>
      <c r="S3106" s="67"/>
      <c r="T3106" s="32"/>
      <c r="U3106" s="32"/>
      <c r="X3106" s="32"/>
      <c r="Y3106" s="32"/>
      <c r="Z3106" s="32"/>
      <c r="AA3106" s="32"/>
      <c r="AB3106" s="32"/>
    </row>
    <row r="3107" spans="2:28" ht="23.25" customHeight="1" x14ac:dyDescent="0.2">
      <c r="B3107" s="75"/>
      <c r="C3107" s="67"/>
      <c r="D3107" s="75"/>
      <c r="E3107" s="67"/>
      <c r="F3107" s="67"/>
      <c r="G3107" s="70"/>
      <c r="H3107" s="70"/>
      <c r="I3107" s="70"/>
      <c r="J3107" s="70"/>
      <c r="K3107" s="70"/>
      <c r="L3107" s="67"/>
      <c r="M3107" s="67"/>
      <c r="N3107" s="72"/>
      <c r="O3107" s="72"/>
      <c r="P3107" s="67"/>
      <c r="Q3107" s="67"/>
      <c r="R3107" s="67"/>
      <c r="S3107" s="67"/>
      <c r="T3107" s="32"/>
      <c r="U3107" s="32"/>
      <c r="X3107" s="32"/>
      <c r="Y3107" s="32"/>
      <c r="Z3107" s="32"/>
      <c r="AA3107" s="32"/>
      <c r="AB3107" s="32"/>
    </row>
    <row r="3108" spans="2:28" ht="23.25" customHeight="1" x14ac:dyDescent="0.2">
      <c r="B3108" s="75"/>
      <c r="C3108" s="67"/>
      <c r="D3108" s="75"/>
      <c r="E3108" s="67"/>
      <c r="F3108" s="67"/>
      <c r="G3108" s="70"/>
      <c r="H3108" s="70"/>
      <c r="I3108" s="70"/>
      <c r="J3108" s="70"/>
      <c r="K3108" s="70"/>
      <c r="L3108" s="67"/>
      <c r="M3108" s="67"/>
      <c r="N3108" s="72"/>
      <c r="O3108" s="72"/>
      <c r="P3108" s="67"/>
      <c r="Q3108" s="67"/>
      <c r="R3108" s="67"/>
      <c r="S3108" s="67"/>
      <c r="T3108" s="32"/>
      <c r="U3108" s="32"/>
      <c r="X3108" s="32"/>
      <c r="Y3108" s="32"/>
      <c r="Z3108" s="32"/>
      <c r="AA3108" s="32"/>
      <c r="AB3108" s="32"/>
    </row>
    <row r="3109" spans="2:28" ht="23.25" customHeight="1" x14ac:dyDescent="0.2">
      <c r="B3109" s="75"/>
      <c r="C3109" s="67"/>
      <c r="D3109" s="75"/>
      <c r="E3109" s="67"/>
      <c r="F3109" s="67"/>
      <c r="G3109" s="70"/>
      <c r="H3109" s="70"/>
      <c r="I3109" s="70"/>
      <c r="J3109" s="70"/>
      <c r="K3109" s="70"/>
      <c r="L3109" s="67"/>
      <c r="M3109" s="67"/>
      <c r="N3109" s="72"/>
      <c r="O3109" s="72"/>
      <c r="P3109" s="67"/>
      <c r="Q3109" s="67"/>
      <c r="R3109" s="67"/>
      <c r="S3109" s="67"/>
      <c r="T3109" s="32"/>
      <c r="U3109" s="32"/>
      <c r="X3109" s="32"/>
      <c r="Y3109" s="32"/>
      <c r="Z3109" s="32"/>
      <c r="AA3109" s="32"/>
      <c r="AB3109" s="32"/>
    </row>
    <row r="3110" spans="2:28" ht="23.25" customHeight="1" x14ac:dyDescent="0.2">
      <c r="B3110" s="75"/>
      <c r="C3110" s="67"/>
      <c r="D3110" s="75"/>
      <c r="E3110" s="67"/>
      <c r="F3110" s="67"/>
      <c r="G3110" s="70"/>
      <c r="H3110" s="70"/>
      <c r="I3110" s="70"/>
      <c r="J3110" s="70"/>
      <c r="K3110" s="70"/>
      <c r="L3110" s="67"/>
      <c r="M3110" s="67"/>
      <c r="N3110" s="72"/>
      <c r="O3110" s="72"/>
      <c r="P3110" s="67"/>
      <c r="Q3110" s="67"/>
      <c r="R3110" s="67"/>
      <c r="S3110" s="67"/>
      <c r="T3110" s="32"/>
      <c r="U3110" s="32"/>
      <c r="X3110" s="32"/>
      <c r="Y3110" s="32"/>
      <c r="Z3110" s="32"/>
      <c r="AA3110" s="32"/>
      <c r="AB3110" s="32"/>
    </row>
    <row r="3111" spans="2:28" ht="23.25" customHeight="1" x14ac:dyDescent="0.2">
      <c r="B3111" s="75"/>
      <c r="C3111" s="67"/>
      <c r="D3111" s="75"/>
      <c r="E3111" s="67"/>
      <c r="F3111" s="67"/>
      <c r="G3111" s="70"/>
      <c r="H3111" s="70"/>
      <c r="I3111" s="70"/>
      <c r="J3111" s="70"/>
      <c r="K3111" s="70"/>
      <c r="L3111" s="67"/>
      <c r="M3111" s="67"/>
      <c r="N3111" s="72"/>
      <c r="O3111" s="72"/>
      <c r="P3111" s="67"/>
      <c r="Q3111" s="67"/>
      <c r="R3111" s="67"/>
      <c r="S3111" s="67"/>
      <c r="T3111" s="32"/>
      <c r="U3111" s="32"/>
      <c r="X3111" s="32"/>
      <c r="Y3111" s="32"/>
      <c r="Z3111" s="32"/>
      <c r="AA3111" s="32"/>
      <c r="AB3111" s="32"/>
    </row>
    <row r="3112" spans="2:28" ht="23.25" customHeight="1" x14ac:dyDescent="0.2">
      <c r="B3112" s="75"/>
      <c r="C3112" s="67"/>
      <c r="D3112" s="75"/>
      <c r="E3112" s="67"/>
      <c r="F3112" s="67"/>
      <c r="G3112" s="70"/>
      <c r="H3112" s="70"/>
      <c r="I3112" s="70"/>
      <c r="J3112" s="70"/>
      <c r="K3112" s="70"/>
      <c r="L3112" s="67"/>
      <c r="M3112" s="67"/>
      <c r="N3112" s="72"/>
      <c r="O3112" s="72"/>
      <c r="P3112" s="67"/>
      <c r="Q3112" s="67"/>
      <c r="R3112" s="67"/>
      <c r="S3112" s="67"/>
      <c r="T3112" s="32"/>
      <c r="U3112" s="32"/>
      <c r="X3112" s="32"/>
      <c r="Y3112" s="32"/>
      <c r="Z3112" s="32"/>
      <c r="AA3112" s="32"/>
      <c r="AB3112" s="32"/>
    </row>
    <row r="3113" spans="2:28" ht="23.25" customHeight="1" x14ac:dyDescent="0.2">
      <c r="B3113" s="75"/>
      <c r="C3113" s="67"/>
      <c r="D3113" s="75"/>
      <c r="E3113" s="67"/>
      <c r="F3113" s="67"/>
      <c r="G3113" s="70"/>
      <c r="H3113" s="70"/>
      <c r="I3113" s="70"/>
      <c r="J3113" s="70"/>
      <c r="K3113" s="70"/>
      <c r="L3113" s="67"/>
      <c r="M3113" s="67"/>
      <c r="N3113" s="72"/>
      <c r="O3113" s="72"/>
      <c r="P3113" s="67"/>
      <c r="Q3113" s="67"/>
      <c r="R3113" s="67"/>
      <c r="S3113" s="67"/>
      <c r="T3113" s="32"/>
      <c r="U3113" s="32"/>
      <c r="X3113" s="32"/>
      <c r="Y3113" s="32"/>
      <c r="Z3113" s="32"/>
      <c r="AA3113" s="32"/>
      <c r="AB3113" s="32"/>
    </row>
    <row r="3114" spans="2:28" ht="23.25" customHeight="1" x14ac:dyDescent="0.2">
      <c r="B3114" s="75"/>
      <c r="C3114" s="67"/>
      <c r="D3114" s="75"/>
      <c r="E3114" s="67"/>
      <c r="F3114" s="67"/>
      <c r="G3114" s="70"/>
      <c r="H3114" s="70"/>
      <c r="I3114" s="70"/>
      <c r="J3114" s="70"/>
      <c r="K3114" s="70"/>
      <c r="L3114" s="67"/>
      <c r="M3114" s="67"/>
      <c r="N3114" s="72"/>
      <c r="O3114" s="72"/>
      <c r="P3114" s="67"/>
      <c r="Q3114" s="67"/>
      <c r="R3114" s="67"/>
      <c r="S3114" s="67"/>
      <c r="T3114" s="32"/>
      <c r="U3114" s="32"/>
      <c r="X3114" s="32"/>
      <c r="Y3114" s="32"/>
      <c r="Z3114" s="32"/>
      <c r="AA3114" s="32"/>
      <c r="AB3114" s="32"/>
    </row>
    <row r="3115" spans="2:28" ht="23.25" customHeight="1" x14ac:dyDescent="0.2">
      <c r="B3115" s="75"/>
      <c r="C3115" s="67"/>
      <c r="D3115" s="75"/>
      <c r="E3115" s="67"/>
      <c r="F3115" s="67"/>
      <c r="G3115" s="70"/>
      <c r="H3115" s="70"/>
      <c r="I3115" s="70"/>
      <c r="J3115" s="70"/>
      <c r="K3115" s="70"/>
      <c r="L3115" s="67"/>
      <c r="M3115" s="67"/>
      <c r="N3115" s="72"/>
      <c r="O3115" s="72"/>
      <c r="P3115" s="67"/>
      <c r="Q3115" s="67"/>
      <c r="R3115" s="67"/>
      <c r="S3115" s="67"/>
      <c r="T3115" s="32"/>
      <c r="U3115" s="32"/>
      <c r="X3115" s="32"/>
      <c r="Y3115" s="32"/>
      <c r="Z3115" s="32"/>
      <c r="AA3115" s="32"/>
      <c r="AB3115" s="32"/>
    </row>
    <row r="3116" spans="2:28" ht="23.25" customHeight="1" x14ac:dyDescent="0.2">
      <c r="B3116" s="75"/>
      <c r="C3116" s="67"/>
      <c r="D3116" s="75"/>
      <c r="E3116" s="67"/>
      <c r="F3116" s="67"/>
      <c r="G3116" s="70"/>
      <c r="H3116" s="70"/>
      <c r="I3116" s="70"/>
      <c r="J3116" s="70"/>
      <c r="K3116" s="70"/>
      <c r="L3116" s="67"/>
      <c r="M3116" s="67"/>
      <c r="N3116" s="72"/>
      <c r="O3116" s="72"/>
      <c r="P3116" s="67"/>
      <c r="Q3116" s="67"/>
      <c r="R3116" s="67"/>
      <c r="S3116" s="67"/>
      <c r="T3116" s="32"/>
      <c r="U3116" s="32"/>
      <c r="X3116" s="32"/>
      <c r="Y3116" s="32"/>
      <c r="Z3116" s="32"/>
      <c r="AA3116" s="32"/>
      <c r="AB3116" s="32"/>
    </row>
    <row r="3117" spans="2:28" ht="23.25" customHeight="1" x14ac:dyDescent="0.2">
      <c r="B3117" s="75"/>
      <c r="C3117" s="67"/>
      <c r="D3117" s="75"/>
      <c r="E3117" s="67"/>
      <c r="F3117" s="67"/>
      <c r="G3117" s="70"/>
      <c r="H3117" s="70"/>
      <c r="I3117" s="70"/>
      <c r="J3117" s="70"/>
      <c r="K3117" s="70"/>
      <c r="L3117" s="67"/>
      <c r="M3117" s="67"/>
      <c r="N3117" s="72"/>
      <c r="O3117" s="72"/>
      <c r="P3117" s="67"/>
      <c r="Q3117" s="67"/>
      <c r="R3117" s="67"/>
      <c r="S3117" s="67"/>
      <c r="T3117" s="32"/>
      <c r="U3117" s="32"/>
      <c r="X3117" s="32"/>
      <c r="Y3117" s="32"/>
      <c r="Z3117" s="32"/>
      <c r="AA3117" s="32"/>
      <c r="AB3117" s="32"/>
    </row>
    <row r="3118" spans="2:28" ht="23.25" customHeight="1" x14ac:dyDescent="0.2">
      <c r="B3118" s="75"/>
      <c r="C3118" s="67"/>
      <c r="D3118" s="75"/>
      <c r="E3118" s="67"/>
      <c r="F3118" s="67"/>
      <c r="G3118" s="70"/>
      <c r="H3118" s="70"/>
      <c r="I3118" s="70"/>
      <c r="J3118" s="70"/>
      <c r="K3118" s="70"/>
      <c r="L3118" s="67"/>
      <c r="M3118" s="67"/>
      <c r="N3118" s="72"/>
      <c r="O3118" s="72"/>
      <c r="P3118" s="67"/>
      <c r="Q3118" s="67"/>
      <c r="R3118" s="67"/>
      <c r="S3118" s="67"/>
      <c r="T3118" s="32"/>
      <c r="U3118" s="32"/>
      <c r="X3118" s="32"/>
      <c r="Y3118" s="32"/>
      <c r="Z3118" s="32"/>
      <c r="AA3118" s="32"/>
      <c r="AB3118" s="32"/>
    </row>
    <row r="3119" spans="2:28" ht="23.25" customHeight="1" x14ac:dyDescent="0.2">
      <c r="B3119" s="75"/>
      <c r="C3119" s="67"/>
      <c r="D3119" s="75"/>
      <c r="E3119" s="67"/>
      <c r="F3119" s="67"/>
      <c r="G3119" s="70"/>
      <c r="H3119" s="70"/>
      <c r="I3119" s="70"/>
      <c r="J3119" s="70"/>
      <c r="K3119" s="70"/>
      <c r="L3119" s="67"/>
      <c r="M3119" s="67"/>
      <c r="N3119" s="72"/>
      <c r="O3119" s="72"/>
      <c r="P3119" s="67"/>
      <c r="Q3119" s="67"/>
      <c r="R3119" s="67"/>
      <c r="S3119" s="67"/>
      <c r="T3119" s="32"/>
      <c r="U3119" s="32"/>
      <c r="X3119" s="32"/>
      <c r="Y3119" s="32"/>
      <c r="Z3119" s="32"/>
      <c r="AA3119" s="32"/>
      <c r="AB3119" s="32"/>
    </row>
    <row r="3120" spans="2:28" ht="23.25" customHeight="1" x14ac:dyDescent="0.2">
      <c r="B3120" s="75"/>
      <c r="C3120" s="67"/>
      <c r="D3120" s="75"/>
      <c r="E3120" s="67"/>
      <c r="F3120" s="67"/>
      <c r="G3120" s="70"/>
      <c r="H3120" s="70"/>
      <c r="I3120" s="70"/>
      <c r="J3120" s="70"/>
      <c r="K3120" s="70"/>
      <c r="L3120" s="67"/>
      <c r="M3120" s="67"/>
      <c r="N3120" s="72"/>
      <c r="O3120" s="72"/>
      <c r="P3120" s="67"/>
      <c r="Q3120" s="67"/>
      <c r="R3120" s="67"/>
      <c r="S3120" s="67"/>
      <c r="T3120" s="32"/>
      <c r="U3120" s="32"/>
      <c r="X3120" s="32"/>
      <c r="Y3120" s="32"/>
      <c r="Z3120" s="32"/>
      <c r="AA3120" s="32"/>
      <c r="AB3120" s="32"/>
    </row>
    <row r="3121" spans="2:28" ht="23.25" customHeight="1" x14ac:dyDescent="0.2">
      <c r="B3121" s="75"/>
      <c r="C3121" s="67"/>
      <c r="D3121" s="75"/>
      <c r="E3121" s="67"/>
      <c r="F3121" s="67"/>
      <c r="G3121" s="70"/>
      <c r="H3121" s="70"/>
      <c r="I3121" s="70"/>
      <c r="J3121" s="70"/>
      <c r="K3121" s="70"/>
      <c r="L3121" s="67"/>
      <c r="M3121" s="67"/>
      <c r="N3121" s="72"/>
      <c r="O3121" s="72"/>
      <c r="P3121" s="67"/>
      <c r="Q3121" s="67"/>
      <c r="R3121" s="67"/>
      <c r="S3121" s="67"/>
      <c r="T3121" s="32"/>
      <c r="U3121" s="32"/>
      <c r="X3121" s="32"/>
      <c r="Y3121" s="32"/>
      <c r="Z3121" s="32"/>
      <c r="AA3121" s="32"/>
      <c r="AB3121" s="32"/>
    </row>
    <row r="3122" spans="2:28" ht="23.25" customHeight="1" x14ac:dyDescent="0.2">
      <c r="B3122" s="75"/>
      <c r="C3122" s="67"/>
      <c r="D3122" s="75"/>
      <c r="E3122" s="67"/>
      <c r="F3122" s="67"/>
      <c r="G3122" s="70"/>
      <c r="H3122" s="70"/>
      <c r="I3122" s="70"/>
      <c r="J3122" s="70"/>
      <c r="K3122" s="70"/>
      <c r="L3122" s="67"/>
      <c r="M3122" s="67"/>
      <c r="N3122" s="72"/>
      <c r="O3122" s="72"/>
      <c r="P3122" s="67"/>
      <c r="Q3122" s="67"/>
      <c r="R3122" s="67"/>
      <c r="S3122" s="67"/>
      <c r="T3122" s="32"/>
      <c r="U3122" s="32"/>
      <c r="X3122" s="32"/>
      <c r="Y3122" s="32"/>
      <c r="Z3122" s="32"/>
      <c r="AA3122" s="32"/>
      <c r="AB3122" s="32"/>
    </row>
    <row r="3123" spans="2:28" ht="23.25" customHeight="1" x14ac:dyDescent="0.2">
      <c r="B3123" s="75"/>
      <c r="C3123" s="67"/>
      <c r="D3123" s="75"/>
      <c r="E3123" s="67"/>
      <c r="F3123" s="67"/>
      <c r="G3123" s="70"/>
      <c r="H3123" s="70"/>
      <c r="I3123" s="70"/>
      <c r="J3123" s="70"/>
      <c r="K3123" s="70"/>
      <c r="L3123" s="67"/>
      <c r="M3123" s="67"/>
      <c r="N3123" s="72"/>
      <c r="O3123" s="72"/>
      <c r="P3123" s="67"/>
      <c r="Q3123" s="67"/>
      <c r="R3123" s="67"/>
      <c r="S3123" s="67"/>
      <c r="T3123" s="32"/>
      <c r="U3123" s="32"/>
      <c r="X3123" s="32"/>
      <c r="Y3123" s="32"/>
      <c r="Z3123" s="32"/>
      <c r="AA3123" s="32"/>
      <c r="AB3123" s="32"/>
    </row>
    <row r="3124" spans="2:28" ht="23.25" customHeight="1" x14ac:dyDescent="0.2">
      <c r="B3124" s="75"/>
      <c r="C3124" s="67"/>
      <c r="D3124" s="75"/>
      <c r="E3124" s="67"/>
      <c r="F3124" s="67"/>
      <c r="G3124" s="70"/>
      <c r="H3124" s="70"/>
      <c r="I3124" s="70"/>
      <c r="J3124" s="70"/>
      <c r="K3124" s="70"/>
      <c r="L3124" s="67"/>
      <c r="M3124" s="67"/>
      <c r="N3124" s="72"/>
      <c r="O3124" s="72"/>
      <c r="P3124" s="67"/>
      <c r="Q3124" s="67"/>
      <c r="R3124" s="67"/>
      <c r="S3124" s="67"/>
      <c r="T3124" s="32"/>
      <c r="U3124" s="32"/>
      <c r="X3124" s="32"/>
      <c r="Y3124" s="32"/>
      <c r="Z3124" s="32"/>
      <c r="AA3124" s="32"/>
      <c r="AB3124" s="32"/>
    </row>
    <row r="3125" spans="2:28" ht="23.25" customHeight="1" x14ac:dyDescent="0.2">
      <c r="B3125" s="75"/>
      <c r="C3125" s="67"/>
      <c r="D3125" s="75"/>
      <c r="E3125" s="67"/>
      <c r="F3125" s="67"/>
      <c r="G3125" s="70"/>
      <c r="H3125" s="70"/>
      <c r="I3125" s="70"/>
      <c r="J3125" s="70"/>
      <c r="K3125" s="70"/>
      <c r="L3125" s="67"/>
      <c r="M3125" s="67"/>
      <c r="N3125" s="72"/>
      <c r="O3125" s="72"/>
      <c r="P3125" s="67"/>
      <c r="Q3125" s="67"/>
      <c r="R3125" s="67"/>
      <c r="S3125" s="67"/>
      <c r="T3125" s="32"/>
      <c r="U3125" s="32"/>
      <c r="X3125" s="32"/>
      <c r="Y3125" s="32"/>
      <c r="Z3125" s="32"/>
      <c r="AA3125" s="32"/>
      <c r="AB3125" s="32"/>
    </row>
    <row r="3126" spans="2:28" ht="23.25" customHeight="1" x14ac:dyDescent="0.2">
      <c r="B3126" s="75"/>
      <c r="C3126" s="67"/>
      <c r="D3126" s="75"/>
      <c r="E3126" s="67"/>
      <c r="F3126" s="67"/>
      <c r="G3126" s="70"/>
      <c r="H3126" s="70"/>
      <c r="I3126" s="70"/>
      <c r="J3126" s="70"/>
      <c r="K3126" s="70"/>
      <c r="L3126" s="67"/>
      <c r="M3126" s="67"/>
      <c r="N3126" s="72"/>
      <c r="O3126" s="72"/>
      <c r="P3126" s="67"/>
      <c r="Q3126" s="67"/>
      <c r="R3126" s="67"/>
      <c r="S3126" s="67"/>
      <c r="T3126" s="32"/>
      <c r="U3126" s="32"/>
      <c r="X3126" s="32"/>
      <c r="Y3126" s="32"/>
      <c r="Z3126" s="32"/>
      <c r="AA3126" s="32"/>
      <c r="AB3126" s="32"/>
    </row>
    <row r="3127" spans="2:28" ht="23.25" customHeight="1" x14ac:dyDescent="0.2">
      <c r="B3127" s="75"/>
      <c r="C3127" s="67"/>
      <c r="D3127" s="75"/>
      <c r="E3127" s="67"/>
      <c r="F3127" s="67"/>
      <c r="G3127" s="70"/>
      <c r="H3127" s="70"/>
      <c r="I3127" s="70"/>
      <c r="J3127" s="70"/>
      <c r="K3127" s="70"/>
      <c r="L3127" s="67"/>
      <c r="M3127" s="67"/>
      <c r="N3127" s="72"/>
      <c r="O3127" s="72"/>
      <c r="P3127" s="67"/>
      <c r="Q3127" s="67"/>
      <c r="R3127" s="67"/>
      <c r="S3127" s="67"/>
      <c r="T3127" s="32"/>
      <c r="U3127" s="32"/>
      <c r="X3127" s="32"/>
      <c r="Y3127" s="32"/>
      <c r="Z3127" s="32"/>
      <c r="AA3127" s="32"/>
      <c r="AB3127" s="32"/>
    </row>
    <row r="3128" spans="2:28" ht="23.25" customHeight="1" x14ac:dyDescent="0.2">
      <c r="B3128" s="75"/>
      <c r="C3128" s="67"/>
      <c r="D3128" s="75"/>
      <c r="E3128" s="67"/>
      <c r="F3128" s="67"/>
      <c r="G3128" s="70"/>
      <c r="H3128" s="70"/>
      <c r="I3128" s="70"/>
      <c r="J3128" s="70"/>
      <c r="K3128" s="70"/>
      <c r="L3128" s="67"/>
      <c r="M3128" s="67"/>
      <c r="N3128" s="72"/>
      <c r="O3128" s="72"/>
      <c r="P3128" s="67"/>
      <c r="Q3128" s="67"/>
      <c r="R3128" s="67"/>
      <c r="S3128" s="67"/>
      <c r="T3128" s="32"/>
      <c r="U3128" s="32"/>
      <c r="X3128" s="32"/>
      <c r="Y3128" s="32"/>
      <c r="Z3128" s="32"/>
      <c r="AA3128" s="32"/>
      <c r="AB3128" s="32"/>
    </row>
    <row r="3129" spans="2:28" ht="23.25" customHeight="1" x14ac:dyDescent="0.2">
      <c r="B3129" s="75"/>
      <c r="C3129" s="67"/>
      <c r="D3129" s="75"/>
      <c r="E3129" s="67"/>
      <c r="F3129" s="67"/>
      <c r="G3129" s="70"/>
      <c r="H3129" s="70"/>
      <c r="I3129" s="70"/>
      <c r="J3129" s="70"/>
      <c r="K3129" s="70"/>
      <c r="L3129" s="67"/>
      <c r="M3129" s="67"/>
      <c r="N3129" s="72"/>
      <c r="O3129" s="72"/>
      <c r="P3129" s="67"/>
      <c r="Q3129" s="67"/>
      <c r="R3129" s="67"/>
      <c r="S3129" s="67"/>
      <c r="T3129" s="32"/>
      <c r="U3129" s="32"/>
      <c r="X3129" s="32"/>
      <c r="Y3129" s="32"/>
      <c r="Z3129" s="32"/>
      <c r="AA3129" s="32"/>
      <c r="AB3129" s="32"/>
    </row>
    <row r="3130" spans="2:28" ht="23.25" customHeight="1" x14ac:dyDescent="0.2">
      <c r="B3130" s="75"/>
      <c r="C3130" s="67"/>
      <c r="D3130" s="75"/>
      <c r="E3130" s="67"/>
      <c r="F3130" s="67"/>
      <c r="G3130" s="70"/>
      <c r="H3130" s="70"/>
      <c r="I3130" s="70"/>
      <c r="J3130" s="70"/>
      <c r="K3130" s="70"/>
      <c r="L3130" s="67"/>
      <c r="M3130" s="67"/>
      <c r="N3130" s="72"/>
      <c r="O3130" s="72"/>
      <c r="P3130" s="67"/>
      <c r="Q3130" s="67"/>
      <c r="R3130" s="67"/>
      <c r="S3130" s="67"/>
      <c r="T3130" s="32"/>
      <c r="U3130" s="32"/>
      <c r="X3130" s="32"/>
      <c r="Y3130" s="32"/>
      <c r="Z3130" s="32"/>
      <c r="AA3130" s="32"/>
      <c r="AB3130" s="32"/>
    </row>
    <row r="3131" spans="2:28" ht="23.25" customHeight="1" x14ac:dyDescent="0.2">
      <c r="B3131" s="75"/>
      <c r="C3131" s="67"/>
      <c r="D3131" s="75"/>
      <c r="E3131" s="67"/>
      <c r="F3131" s="67"/>
      <c r="G3131" s="70"/>
      <c r="H3131" s="70"/>
      <c r="I3131" s="70"/>
      <c r="J3131" s="70"/>
      <c r="K3131" s="70"/>
      <c r="L3131" s="67"/>
      <c r="M3131" s="67"/>
      <c r="N3131" s="72"/>
      <c r="O3131" s="72"/>
      <c r="P3131" s="67"/>
      <c r="Q3131" s="67"/>
      <c r="R3131" s="67"/>
      <c r="S3131" s="67"/>
      <c r="T3131" s="32"/>
      <c r="U3131" s="32"/>
      <c r="X3131" s="32"/>
      <c r="Y3131" s="32"/>
      <c r="Z3131" s="32"/>
      <c r="AA3131" s="32"/>
      <c r="AB3131" s="32"/>
    </row>
    <row r="3132" spans="2:28" ht="23.25" customHeight="1" x14ac:dyDescent="0.2">
      <c r="B3132" s="75"/>
      <c r="C3132" s="67"/>
      <c r="D3132" s="75"/>
      <c r="E3132" s="67"/>
      <c r="F3132" s="67"/>
      <c r="G3132" s="70"/>
      <c r="H3132" s="70"/>
      <c r="I3132" s="70"/>
      <c r="J3132" s="70"/>
      <c r="K3132" s="70"/>
      <c r="L3132" s="67"/>
      <c r="M3132" s="67"/>
      <c r="N3132" s="72"/>
      <c r="O3132" s="72"/>
      <c r="P3132" s="67"/>
      <c r="Q3132" s="67"/>
      <c r="R3132" s="67"/>
      <c r="S3132" s="67"/>
      <c r="T3132" s="32"/>
      <c r="U3132" s="32"/>
      <c r="X3132" s="32"/>
      <c r="Y3132" s="32"/>
      <c r="Z3132" s="32"/>
      <c r="AA3132" s="32"/>
      <c r="AB3132" s="32"/>
    </row>
    <row r="3133" spans="2:28" ht="23.25" customHeight="1" x14ac:dyDescent="0.2">
      <c r="B3133" s="75"/>
      <c r="C3133" s="67"/>
      <c r="D3133" s="75"/>
      <c r="E3133" s="67"/>
      <c r="F3133" s="67"/>
      <c r="G3133" s="70"/>
      <c r="H3133" s="70"/>
      <c r="I3133" s="70"/>
      <c r="J3133" s="70"/>
      <c r="K3133" s="70"/>
      <c r="L3133" s="67"/>
      <c r="M3133" s="67"/>
      <c r="N3133" s="72"/>
      <c r="O3133" s="72"/>
      <c r="P3133" s="67"/>
      <c r="Q3133" s="67"/>
      <c r="R3133" s="67"/>
      <c r="S3133" s="67"/>
      <c r="T3133" s="32"/>
      <c r="U3133" s="32"/>
      <c r="X3133" s="32"/>
      <c r="Y3133" s="32"/>
      <c r="Z3133" s="32"/>
      <c r="AA3133" s="32"/>
      <c r="AB3133" s="32"/>
    </row>
    <row r="3134" spans="2:28" ht="23.25" customHeight="1" x14ac:dyDescent="0.2">
      <c r="B3134" s="75"/>
      <c r="C3134" s="67"/>
      <c r="D3134" s="75"/>
      <c r="E3134" s="67"/>
      <c r="F3134" s="67"/>
      <c r="G3134" s="70"/>
      <c r="H3134" s="70"/>
      <c r="I3134" s="70"/>
      <c r="J3134" s="70"/>
      <c r="K3134" s="70"/>
      <c r="L3134" s="67"/>
      <c r="M3134" s="67"/>
      <c r="N3134" s="72"/>
      <c r="O3134" s="72"/>
      <c r="P3134" s="67"/>
      <c r="Q3134" s="67"/>
      <c r="R3134" s="67"/>
      <c r="S3134" s="67"/>
      <c r="T3134" s="32"/>
      <c r="U3134" s="32"/>
      <c r="X3134" s="32"/>
      <c r="Y3134" s="32"/>
      <c r="Z3134" s="32"/>
      <c r="AA3134" s="32"/>
      <c r="AB3134" s="32"/>
    </row>
    <row r="3135" spans="2:28" ht="23.25" customHeight="1" x14ac:dyDescent="0.2">
      <c r="B3135" s="75"/>
      <c r="C3135" s="67"/>
      <c r="D3135" s="75"/>
      <c r="E3135" s="67"/>
      <c r="F3135" s="67"/>
      <c r="G3135" s="70"/>
      <c r="H3135" s="70"/>
      <c r="I3135" s="70"/>
      <c r="J3135" s="70"/>
      <c r="K3135" s="70"/>
      <c r="L3135" s="67"/>
      <c r="M3135" s="67"/>
      <c r="N3135" s="72"/>
      <c r="O3135" s="72"/>
      <c r="P3135" s="67"/>
      <c r="Q3135" s="67"/>
      <c r="R3135" s="67"/>
      <c r="S3135" s="67"/>
      <c r="T3135" s="32"/>
      <c r="U3135" s="32"/>
      <c r="X3135" s="32"/>
      <c r="Y3135" s="32"/>
      <c r="Z3135" s="32"/>
      <c r="AA3135" s="32"/>
      <c r="AB3135" s="32"/>
    </row>
    <row r="3136" spans="2:28" ht="23.25" customHeight="1" x14ac:dyDescent="0.2">
      <c r="B3136" s="75"/>
      <c r="C3136" s="67"/>
      <c r="D3136" s="75"/>
      <c r="E3136" s="67"/>
      <c r="F3136" s="67"/>
      <c r="G3136" s="70"/>
      <c r="H3136" s="70"/>
      <c r="I3136" s="70"/>
      <c r="J3136" s="70"/>
      <c r="K3136" s="70"/>
      <c r="L3136" s="67"/>
      <c r="M3136" s="67"/>
      <c r="N3136" s="72"/>
      <c r="O3136" s="72"/>
      <c r="P3136" s="67"/>
      <c r="Q3136" s="67"/>
      <c r="R3136" s="67"/>
      <c r="S3136" s="67"/>
      <c r="T3136" s="32"/>
      <c r="U3136" s="32"/>
      <c r="X3136" s="32"/>
      <c r="Y3136" s="32"/>
      <c r="Z3136" s="32"/>
      <c r="AA3136" s="32"/>
      <c r="AB3136" s="32"/>
    </row>
    <row r="3137" spans="2:28" ht="23.25" customHeight="1" x14ac:dyDescent="0.2">
      <c r="B3137" s="75"/>
      <c r="C3137" s="67"/>
      <c r="D3137" s="75"/>
      <c r="E3137" s="67"/>
      <c r="F3137" s="67"/>
      <c r="G3137" s="70"/>
      <c r="H3137" s="70"/>
      <c r="I3137" s="70"/>
      <c r="J3137" s="70"/>
      <c r="K3137" s="70"/>
      <c r="L3137" s="67"/>
      <c r="M3137" s="67"/>
      <c r="N3137" s="72"/>
      <c r="O3137" s="72"/>
      <c r="P3137" s="67"/>
      <c r="Q3137" s="67"/>
      <c r="R3137" s="67"/>
      <c r="S3137" s="67"/>
      <c r="T3137" s="32"/>
      <c r="U3137" s="32"/>
      <c r="X3137" s="32"/>
      <c r="Y3137" s="32"/>
      <c r="Z3137" s="32"/>
      <c r="AA3137" s="32"/>
      <c r="AB3137" s="32"/>
    </row>
    <row r="3138" spans="2:28" ht="23.25" customHeight="1" x14ac:dyDescent="0.2">
      <c r="B3138" s="75"/>
      <c r="C3138" s="67"/>
      <c r="D3138" s="75"/>
      <c r="E3138" s="67"/>
      <c r="F3138" s="67"/>
      <c r="G3138" s="70"/>
      <c r="H3138" s="70"/>
      <c r="I3138" s="70"/>
      <c r="J3138" s="70"/>
      <c r="K3138" s="70"/>
      <c r="L3138" s="67"/>
      <c r="M3138" s="67"/>
      <c r="N3138" s="72"/>
      <c r="O3138" s="72"/>
      <c r="P3138" s="67"/>
      <c r="Q3138" s="67"/>
      <c r="R3138" s="67"/>
      <c r="S3138" s="67"/>
      <c r="T3138" s="32"/>
      <c r="U3138" s="32"/>
      <c r="X3138" s="32"/>
      <c r="Y3138" s="32"/>
      <c r="Z3138" s="32"/>
      <c r="AA3138" s="32"/>
      <c r="AB3138" s="32"/>
    </row>
    <row r="3139" spans="2:28" ht="23.25" customHeight="1" x14ac:dyDescent="0.2">
      <c r="B3139" s="75"/>
      <c r="C3139" s="67"/>
      <c r="D3139" s="75"/>
      <c r="E3139" s="67"/>
      <c r="F3139" s="67"/>
      <c r="G3139" s="70"/>
      <c r="H3139" s="70"/>
      <c r="I3139" s="70"/>
      <c r="J3139" s="70"/>
      <c r="K3139" s="70"/>
      <c r="L3139" s="67"/>
      <c r="M3139" s="67"/>
      <c r="N3139" s="72"/>
      <c r="O3139" s="72"/>
      <c r="P3139" s="67"/>
      <c r="Q3139" s="67"/>
      <c r="R3139" s="67"/>
      <c r="S3139" s="67"/>
      <c r="T3139" s="32"/>
      <c r="U3139" s="32"/>
      <c r="X3139" s="32"/>
      <c r="Y3139" s="32"/>
      <c r="Z3139" s="32"/>
      <c r="AA3139" s="32"/>
      <c r="AB3139" s="32"/>
    </row>
    <row r="3140" spans="2:28" ht="23.25" customHeight="1" x14ac:dyDescent="0.2">
      <c r="B3140" s="75"/>
      <c r="C3140" s="67"/>
      <c r="D3140" s="75"/>
      <c r="E3140" s="67"/>
      <c r="F3140" s="67"/>
      <c r="G3140" s="70"/>
      <c r="H3140" s="70"/>
      <c r="I3140" s="70"/>
      <c r="J3140" s="70"/>
      <c r="K3140" s="70"/>
      <c r="L3140" s="67"/>
      <c r="M3140" s="67"/>
      <c r="N3140" s="72"/>
      <c r="O3140" s="72"/>
      <c r="P3140" s="67"/>
      <c r="Q3140" s="67"/>
      <c r="R3140" s="67"/>
      <c r="S3140" s="67"/>
      <c r="T3140" s="32"/>
      <c r="U3140" s="32"/>
      <c r="X3140" s="32"/>
      <c r="Y3140" s="32"/>
      <c r="Z3140" s="32"/>
      <c r="AA3140" s="32"/>
      <c r="AB3140" s="32"/>
    </row>
    <row r="3141" spans="2:28" ht="23.25" customHeight="1" x14ac:dyDescent="0.2">
      <c r="B3141" s="75"/>
      <c r="C3141" s="67"/>
      <c r="D3141" s="75"/>
      <c r="E3141" s="67"/>
      <c r="F3141" s="67"/>
      <c r="G3141" s="70"/>
      <c r="H3141" s="70"/>
      <c r="I3141" s="70"/>
      <c r="J3141" s="70"/>
      <c r="K3141" s="70"/>
      <c r="L3141" s="67"/>
      <c r="M3141" s="67"/>
      <c r="N3141" s="72"/>
      <c r="O3141" s="72"/>
      <c r="P3141" s="67"/>
      <c r="Q3141" s="67"/>
      <c r="R3141" s="67"/>
      <c r="S3141" s="67"/>
      <c r="T3141" s="32"/>
      <c r="U3141" s="32"/>
      <c r="X3141" s="32"/>
      <c r="Y3141" s="32"/>
      <c r="Z3141" s="32"/>
      <c r="AA3141" s="32"/>
      <c r="AB3141" s="32"/>
    </row>
    <row r="3142" spans="2:28" ht="23.25" customHeight="1" x14ac:dyDescent="0.2">
      <c r="B3142" s="75"/>
      <c r="C3142" s="67"/>
      <c r="D3142" s="75"/>
      <c r="E3142" s="67"/>
      <c r="F3142" s="67"/>
      <c r="G3142" s="70"/>
      <c r="H3142" s="70"/>
      <c r="I3142" s="70"/>
      <c r="J3142" s="70"/>
      <c r="K3142" s="70"/>
      <c r="L3142" s="67"/>
      <c r="M3142" s="67"/>
      <c r="N3142" s="72"/>
      <c r="O3142" s="72"/>
      <c r="P3142" s="67"/>
      <c r="Q3142" s="67"/>
      <c r="R3142" s="67"/>
      <c r="S3142" s="67"/>
      <c r="T3142" s="32"/>
      <c r="U3142" s="32"/>
      <c r="X3142" s="32"/>
      <c r="Y3142" s="32"/>
      <c r="Z3142" s="32"/>
      <c r="AA3142" s="32"/>
      <c r="AB3142" s="32"/>
    </row>
    <row r="3143" spans="2:28" ht="23.25" customHeight="1" x14ac:dyDescent="0.2">
      <c r="B3143" s="75"/>
      <c r="C3143" s="67"/>
      <c r="D3143" s="75"/>
      <c r="E3143" s="67"/>
      <c r="F3143" s="67"/>
      <c r="G3143" s="70"/>
      <c r="H3143" s="70"/>
      <c r="I3143" s="70"/>
      <c r="J3143" s="70"/>
      <c r="K3143" s="70"/>
      <c r="L3143" s="67"/>
      <c r="M3143" s="67"/>
      <c r="N3143" s="72"/>
      <c r="O3143" s="72"/>
      <c r="P3143" s="67"/>
      <c r="Q3143" s="67"/>
      <c r="R3143" s="67"/>
      <c r="S3143" s="67"/>
      <c r="T3143" s="32"/>
      <c r="U3143" s="32"/>
      <c r="X3143" s="32"/>
      <c r="Y3143" s="32"/>
      <c r="Z3143" s="32"/>
      <c r="AA3143" s="32"/>
      <c r="AB3143" s="32"/>
    </row>
    <row r="3144" spans="2:28" ht="23.25" customHeight="1" x14ac:dyDescent="0.2">
      <c r="B3144" s="75"/>
      <c r="C3144" s="67"/>
      <c r="D3144" s="75"/>
      <c r="E3144" s="67"/>
      <c r="F3144" s="67"/>
      <c r="G3144" s="70"/>
      <c r="H3144" s="70"/>
      <c r="I3144" s="70"/>
      <c r="J3144" s="70"/>
      <c r="K3144" s="70"/>
      <c r="L3144" s="67"/>
      <c r="M3144" s="67"/>
      <c r="N3144" s="72"/>
      <c r="O3144" s="72"/>
      <c r="P3144" s="67"/>
      <c r="Q3144" s="67"/>
      <c r="R3144" s="67"/>
      <c r="S3144" s="67"/>
      <c r="T3144" s="32"/>
      <c r="U3144" s="32"/>
      <c r="X3144" s="32"/>
      <c r="Y3144" s="32"/>
      <c r="Z3144" s="32"/>
      <c r="AA3144" s="32"/>
      <c r="AB3144" s="32"/>
    </row>
    <row r="3145" spans="2:28" ht="23.25" customHeight="1" x14ac:dyDescent="0.2">
      <c r="B3145" s="75"/>
      <c r="C3145" s="67"/>
      <c r="D3145" s="75"/>
      <c r="E3145" s="67"/>
      <c r="F3145" s="67"/>
      <c r="G3145" s="70"/>
      <c r="H3145" s="70"/>
      <c r="I3145" s="70"/>
      <c r="J3145" s="70"/>
      <c r="K3145" s="70"/>
      <c r="L3145" s="67"/>
      <c r="M3145" s="67"/>
      <c r="N3145" s="72"/>
      <c r="O3145" s="72"/>
      <c r="P3145" s="67"/>
      <c r="Q3145" s="67"/>
      <c r="R3145" s="67"/>
      <c r="S3145" s="67"/>
      <c r="T3145" s="32"/>
      <c r="U3145" s="32"/>
      <c r="X3145" s="32"/>
      <c r="Y3145" s="32"/>
      <c r="Z3145" s="32"/>
      <c r="AA3145" s="32"/>
      <c r="AB3145" s="32"/>
    </row>
    <row r="3146" spans="2:28" ht="23.25" customHeight="1" x14ac:dyDescent="0.2">
      <c r="B3146" s="75"/>
      <c r="C3146" s="67"/>
      <c r="D3146" s="75"/>
      <c r="E3146" s="67"/>
      <c r="F3146" s="67"/>
      <c r="G3146" s="70"/>
      <c r="H3146" s="70"/>
      <c r="I3146" s="70"/>
      <c r="J3146" s="70"/>
      <c r="K3146" s="70"/>
      <c r="L3146" s="67"/>
      <c r="M3146" s="67"/>
      <c r="N3146" s="72"/>
      <c r="O3146" s="72"/>
      <c r="P3146" s="67"/>
      <c r="Q3146" s="67"/>
      <c r="R3146" s="67"/>
      <c r="S3146" s="67"/>
      <c r="T3146" s="32"/>
      <c r="U3146" s="32"/>
      <c r="X3146" s="32"/>
      <c r="Y3146" s="32"/>
      <c r="Z3146" s="32"/>
      <c r="AA3146" s="32"/>
      <c r="AB3146" s="32"/>
    </row>
    <row r="3147" spans="2:28" ht="23.25" customHeight="1" x14ac:dyDescent="0.2">
      <c r="B3147" s="75"/>
      <c r="C3147" s="67"/>
      <c r="D3147" s="75"/>
      <c r="E3147" s="67"/>
      <c r="F3147" s="67"/>
      <c r="G3147" s="70"/>
      <c r="H3147" s="70"/>
      <c r="I3147" s="70"/>
      <c r="J3147" s="70"/>
      <c r="K3147" s="70"/>
      <c r="L3147" s="67"/>
      <c r="M3147" s="67"/>
      <c r="N3147" s="72"/>
      <c r="O3147" s="72"/>
      <c r="P3147" s="67"/>
      <c r="Q3147" s="67"/>
      <c r="R3147" s="67"/>
      <c r="S3147" s="67"/>
      <c r="T3147" s="32"/>
      <c r="U3147" s="32"/>
      <c r="X3147" s="32"/>
      <c r="Y3147" s="32"/>
      <c r="Z3147" s="32"/>
      <c r="AA3147" s="32"/>
      <c r="AB3147" s="32"/>
    </row>
    <row r="3148" spans="2:28" ht="23.25" customHeight="1" x14ac:dyDescent="0.2">
      <c r="B3148" s="75"/>
      <c r="C3148" s="67"/>
      <c r="D3148" s="75"/>
      <c r="E3148" s="67"/>
      <c r="F3148" s="67"/>
      <c r="G3148" s="70"/>
      <c r="H3148" s="70"/>
      <c r="I3148" s="70"/>
      <c r="J3148" s="70"/>
      <c r="K3148" s="70"/>
      <c r="L3148" s="67"/>
      <c r="M3148" s="67"/>
      <c r="N3148" s="72"/>
      <c r="O3148" s="72"/>
      <c r="P3148" s="67"/>
      <c r="Q3148" s="67"/>
      <c r="R3148" s="67"/>
      <c r="S3148" s="67"/>
      <c r="T3148" s="32"/>
      <c r="U3148" s="32"/>
      <c r="X3148" s="32"/>
      <c r="Y3148" s="32"/>
      <c r="Z3148" s="32"/>
      <c r="AA3148" s="32"/>
      <c r="AB3148" s="32"/>
    </row>
    <row r="3149" spans="2:28" ht="23.25" customHeight="1" x14ac:dyDescent="0.2">
      <c r="B3149" s="75"/>
      <c r="C3149" s="67"/>
      <c r="D3149" s="75"/>
      <c r="E3149" s="67"/>
      <c r="F3149" s="67"/>
      <c r="G3149" s="70"/>
      <c r="H3149" s="70"/>
      <c r="I3149" s="70"/>
      <c r="J3149" s="70"/>
      <c r="K3149" s="70"/>
      <c r="L3149" s="67"/>
      <c r="M3149" s="67"/>
      <c r="N3149" s="72"/>
      <c r="O3149" s="72"/>
      <c r="P3149" s="67"/>
      <c r="Q3149" s="67"/>
      <c r="R3149" s="67"/>
      <c r="S3149" s="67"/>
      <c r="T3149" s="32"/>
      <c r="U3149" s="32"/>
      <c r="X3149" s="32"/>
      <c r="Y3149" s="32"/>
      <c r="Z3149" s="32"/>
      <c r="AA3149" s="32"/>
      <c r="AB3149" s="32"/>
    </row>
    <row r="3150" spans="2:28" ht="23.25" customHeight="1" x14ac:dyDescent="0.2">
      <c r="B3150" s="75"/>
      <c r="C3150" s="67"/>
      <c r="D3150" s="75"/>
      <c r="E3150" s="67"/>
      <c r="F3150" s="67"/>
      <c r="G3150" s="70"/>
      <c r="H3150" s="70"/>
      <c r="I3150" s="70"/>
      <c r="J3150" s="70"/>
      <c r="K3150" s="70"/>
      <c r="L3150" s="67"/>
      <c r="M3150" s="67"/>
      <c r="N3150" s="72"/>
      <c r="O3150" s="72"/>
      <c r="P3150" s="67"/>
      <c r="Q3150" s="67"/>
      <c r="R3150" s="67"/>
      <c r="S3150" s="67"/>
      <c r="T3150" s="32"/>
      <c r="U3150" s="32"/>
      <c r="X3150" s="32"/>
      <c r="Y3150" s="32"/>
      <c r="Z3150" s="32"/>
      <c r="AA3150" s="32"/>
      <c r="AB3150" s="32"/>
    </row>
    <row r="3151" spans="2:28" ht="23.25" customHeight="1" x14ac:dyDescent="0.2">
      <c r="B3151" s="75"/>
      <c r="C3151" s="67"/>
      <c r="D3151" s="75"/>
      <c r="E3151" s="67"/>
      <c r="F3151" s="67"/>
      <c r="G3151" s="70"/>
      <c r="H3151" s="70"/>
      <c r="I3151" s="70"/>
      <c r="J3151" s="70"/>
      <c r="K3151" s="70"/>
      <c r="L3151" s="67"/>
      <c r="M3151" s="67"/>
      <c r="N3151" s="72"/>
      <c r="O3151" s="72"/>
      <c r="P3151" s="67"/>
      <c r="Q3151" s="67"/>
      <c r="R3151" s="67"/>
      <c r="S3151" s="67"/>
      <c r="T3151" s="32"/>
      <c r="U3151" s="32"/>
      <c r="X3151" s="32"/>
      <c r="Y3151" s="32"/>
      <c r="Z3151" s="32"/>
      <c r="AA3151" s="32"/>
      <c r="AB3151" s="32"/>
    </row>
    <row r="3152" spans="2:28" ht="23.25" customHeight="1" x14ac:dyDescent="0.2">
      <c r="B3152" s="75"/>
      <c r="C3152" s="67"/>
      <c r="D3152" s="75"/>
      <c r="E3152" s="67"/>
      <c r="F3152" s="67"/>
      <c r="G3152" s="70"/>
      <c r="H3152" s="70"/>
      <c r="I3152" s="70"/>
      <c r="J3152" s="70"/>
      <c r="K3152" s="70"/>
      <c r="L3152" s="67"/>
      <c r="M3152" s="67"/>
      <c r="N3152" s="72"/>
      <c r="O3152" s="72"/>
      <c r="P3152" s="67"/>
      <c r="Q3152" s="67"/>
      <c r="R3152" s="67"/>
      <c r="S3152" s="67"/>
      <c r="T3152" s="32"/>
      <c r="U3152" s="32"/>
      <c r="X3152" s="32"/>
      <c r="Y3152" s="32"/>
      <c r="Z3152" s="32"/>
      <c r="AA3152" s="32"/>
      <c r="AB3152" s="32"/>
    </row>
    <row r="3153" spans="2:28" ht="23.25" customHeight="1" x14ac:dyDescent="0.2">
      <c r="B3153" s="75"/>
      <c r="C3153" s="67"/>
      <c r="D3153" s="75"/>
      <c r="E3153" s="67"/>
      <c r="F3153" s="67"/>
      <c r="G3153" s="70"/>
      <c r="H3153" s="70"/>
      <c r="I3153" s="70"/>
      <c r="J3153" s="70"/>
      <c r="K3153" s="70"/>
      <c r="L3153" s="67"/>
      <c r="M3153" s="67"/>
      <c r="N3153" s="72"/>
      <c r="O3153" s="72"/>
      <c r="P3153" s="67"/>
      <c r="Q3153" s="67"/>
      <c r="R3153" s="67"/>
      <c r="S3153" s="67"/>
      <c r="T3153" s="32"/>
      <c r="U3153" s="32"/>
      <c r="X3153" s="32"/>
      <c r="Y3153" s="32"/>
      <c r="Z3153" s="32"/>
      <c r="AA3153" s="32"/>
      <c r="AB3153" s="32"/>
    </row>
    <row r="3154" spans="2:28" ht="23.25" customHeight="1" x14ac:dyDescent="0.2">
      <c r="B3154" s="75"/>
      <c r="C3154" s="67"/>
      <c r="D3154" s="75"/>
      <c r="E3154" s="67"/>
      <c r="F3154" s="67"/>
      <c r="G3154" s="70"/>
      <c r="H3154" s="70"/>
      <c r="I3154" s="70"/>
      <c r="J3154" s="70"/>
      <c r="K3154" s="70"/>
      <c r="L3154" s="67"/>
      <c r="M3154" s="67"/>
      <c r="N3154" s="72"/>
      <c r="O3154" s="72"/>
      <c r="P3154" s="67"/>
      <c r="Q3154" s="67"/>
      <c r="R3154" s="67"/>
      <c r="S3154" s="67"/>
      <c r="T3154" s="32"/>
      <c r="U3154" s="32"/>
      <c r="X3154" s="32"/>
      <c r="Y3154" s="32"/>
      <c r="Z3154" s="32"/>
      <c r="AA3154" s="32"/>
      <c r="AB3154" s="32"/>
    </row>
    <row r="3155" spans="2:28" ht="23.25" customHeight="1" x14ac:dyDescent="0.2">
      <c r="B3155" s="75"/>
      <c r="C3155" s="67"/>
      <c r="D3155" s="75"/>
      <c r="E3155" s="67"/>
      <c r="F3155" s="67"/>
      <c r="G3155" s="70"/>
      <c r="H3155" s="70"/>
      <c r="I3155" s="70"/>
      <c r="J3155" s="70"/>
      <c r="K3155" s="70"/>
      <c r="L3155" s="67"/>
      <c r="M3155" s="67"/>
      <c r="N3155" s="72"/>
      <c r="O3155" s="72"/>
      <c r="P3155" s="67"/>
      <c r="Q3155" s="67"/>
      <c r="R3155" s="67"/>
      <c r="S3155" s="67"/>
      <c r="T3155" s="32"/>
      <c r="U3155" s="32"/>
      <c r="X3155" s="32"/>
      <c r="Y3155" s="32"/>
      <c r="Z3155" s="32"/>
      <c r="AA3155" s="32"/>
      <c r="AB3155" s="32"/>
    </row>
    <row r="3156" spans="2:28" ht="23.25" customHeight="1" x14ac:dyDescent="0.2">
      <c r="B3156" s="75"/>
      <c r="C3156" s="67"/>
      <c r="D3156" s="75"/>
      <c r="E3156" s="67"/>
      <c r="F3156" s="67"/>
      <c r="G3156" s="70"/>
      <c r="H3156" s="70"/>
      <c r="I3156" s="70"/>
      <c r="J3156" s="70"/>
      <c r="K3156" s="70"/>
      <c r="L3156" s="67"/>
      <c r="M3156" s="67"/>
      <c r="N3156" s="72"/>
      <c r="O3156" s="72"/>
      <c r="P3156" s="67"/>
      <c r="Q3156" s="67"/>
      <c r="R3156" s="67"/>
      <c r="S3156" s="67"/>
      <c r="T3156" s="32"/>
      <c r="U3156" s="32"/>
      <c r="X3156" s="32"/>
      <c r="Y3156" s="32"/>
      <c r="Z3156" s="32"/>
      <c r="AA3156" s="32"/>
      <c r="AB3156" s="32"/>
    </row>
    <row r="3157" spans="2:28" ht="23.25" customHeight="1" x14ac:dyDescent="0.2">
      <c r="B3157" s="75"/>
      <c r="C3157" s="67"/>
      <c r="D3157" s="75"/>
      <c r="E3157" s="67"/>
      <c r="F3157" s="67"/>
      <c r="G3157" s="70"/>
      <c r="H3157" s="70"/>
      <c r="I3157" s="70"/>
      <c r="J3157" s="70"/>
      <c r="K3157" s="70"/>
      <c r="L3157" s="67"/>
      <c r="M3157" s="67"/>
      <c r="N3157" s="72"/>
      <c r="O3157" s="72"/>
      <c r="P3157" s="67"/>
      <c r="Q3157" s="67"/>
      <c r="R3157" s="67"/>
      <c r="S3157" s="67"/>
      <c r="T3157" s="32"/>
      <c r="U3157" s="32"/>
      <c r="X3157" s="32"/>
      <c r="Y3157" s="32"/>
      <c r="Z3157" s="32"/>
      <c r="AA3157" s="32"/>
      <c r="AB3157" s="32"/>
    </row>
    <row r="3158" spans="2:28" ht="23.25" customHeight="1" x14ac:dyDescent="0.2">
      <c r="B3158" s="75"/>
      <c r="C3158" s="67"/>
      <c r="D3158" s="75"/>
      <c r="E3158" s="67"/>
      <c r="F3158" s="67"/>
      <c r="G3158" s="70"/>
      <c r="H3158" s="70"/>
      <c r="I3158" s="70"/>
      <c r="J3158" s="70"/>
      <c r="K3158" s="70"/>
      <c r="L3158" s="67"/>
      <c r="M3158" s="67"/>
      <c r="N3158" s="72"/>
      <c r="O3158" s="72"/>
      <c r="P3158" s="67"/>
      <c r="Q3158" s="67"/>
      <c r="R3158" s="67"/>
      <c r="S3158" s="67"/>
      <c r="T3158" s="32"/>
      <c r="U3158" s="32"/>
      <c r="X3158" s="32"/>
      <c r="Y3158" s="32"/>
      <c r="Z3158" s="32"/>
      <c r="AA3158" s="32"/>
      <c r="AB3158" s="32"/>
    </row>
    <row r="3159" spans="2:28" ht="23.25" customHeight="1" x14ac:dyDescent="0.2">
      <c r="B3159" s="75"/>
      <c r="C3159" s="67"/>
      <c r="D3159" s="75"/>
      <c r="E3159" s="67"/>
      <c r="F3159" s="67"/>
      <c r="G3159" s="70"/>
      <c r="H3159" s="70"/>
      <c r="I3159" s="70"/>
      <c r="J3159" s="70"/>
      <c r="K3159" s="70"/>
      <c r="L3159" s="67"/>
      <c r="M3159" s="67"/>
      <c r="N3159" s="72"/>
      <c r="O3159" s="72"/>
      <c r="P3159" s="67"/>
      <c r="Q3159" s="67"/>
      <c r="R3159" s="67"/>
      <c r="S3159" s="67"/>
      <c r="T3159" s="32"/>
      <c r="U3159" s="32"/>
      <c r="X3159" s="32"/>
      <c r="Y3159" s="32"/>
      <c r="Z3159" s="32"/>
      <c r="AA3159" s="32"/>
      <c r="AB3159" s="32"/>
    </row>
    <row r="3160" spans="2:28" ht="23.25" customHeight="1" x14ac:dyDescent="0.2">
      <c r="B3160" s="75"/>
      <c r="C3160" s="67"/>
      <c r="D3160" s="75"/>
      <c r="E3160" s="67"/>
      <c r="F3160" s="67"/>
      <c r="G3160" s="70"/>
      <c r="H3160" s="70"/>
      <c r="I3160" s="70"/>
      <c r="J3160" s="70"/>
      <c r="K3160" s="70"/>
      <c r="L3160" s="67"/>
      <c r="M3160" s="67"/>
      <c r="N3160" s="72"/>
      <c r="O3160" s="72"/>
      <c r="P3160" s="67"/>
      <c r="Q3160" s="67"/>
      <c r="R3160" s="67"/>
      <c r="S3160" s="67"/>
      <c r="T3160" s="32"/>
      <c r="U3160" s="32"/>
      <c r="X3160" s="32"/>
      <c r="Y3160" s="32"/>
      <c r="Z3160" s="32"/>
      <c r="AA3160" s="32"/>
      <c r="AB3160" s="32"/>
    </row>
    <row r="3161" spans="2:28" ht="23.25" customHeight="1" x14ac:dyDescent="0.2">
      <c r="B3161" s="75"/>
      <c r="C3161" s="67"/>
      <c r="D3161" s="75"/>
      <c r="E3161" s="67"/>
      <c r="F3161" s="67"/>
      <c r="G3161" s="70"/>
      <c r="H3161" s="70"/>
      <c r="I3161" s="70"/>
      <c r="J3161" s="70"/>
      <c r="K3161" s="70"/>
      <c r="L3161" s="67"/>
      <c r="M3161" s="67"/>
      <c r="N3161" s="72"/>
      <c r="O3161" s="72"/>
      <c r="P3161" s="67"/>
      <c r="Q3161" s="67"/>
      <c r="R3161" s="67"/>
      <c r="S3161" s="67"/>
      <c r="T3161" s="32"/>
      <c r="U3161" s="32"/>
      <c r="X3161" s="32"/>
      <c r="Y3161" s="32"/>
      <c r="Z3161" s="32"/>
      <c r="AA3161" s="32"/>
      <c r="AB3161" s="32"/>
    </row>
    <row r="3162" spans="2:28" ht="23.25" customHeight="1" x14ac:dyDescent="0.2">
      <c r="B3162" s="75"/>
      <c r="C3162" s="67"/>
      <c r="D3162" s="75"/>
      <c r="E3162" s="67"/>
      <c r="F3162" s="67"/>
      <c r="G3162" s="70"/>
      <c r="H3162" s="70"/>
      <c r="I3162" s="70"/>
      <c r="J3162" s="70"/>
      <c r="K3162" s="70"/>
      <c r="L3162" s="67"/>
      <c r="M3162" s="67"/>
      <c r="N3162" s="72"/>
      <c r="O3162" s="72"/>
      <c r="P3162" s="67"/>
      <c r="Q3162" s="67"/>
      <c r="R3162" s="67"/>
      <c r="S3162" s="67"/>
      <c r="T3162" s="32"/>
      <c r="U3162" s="32"/>
      <c r="X3162" s="32"/>
      <c r="Y3162" s="32"/>
      <c r="Z3162" s="32"/>
      <c r="AA3162" s="32"/>
      <c r="AB3162" s="32"/>
    </row>
    <row r="3163" spans="2:28" ht="23.25" customHeight="1" x14ac:dyDescent="0.2">
      <c r="B3163" s="75"/>
      <c r="C3163" s="67"/>
      <c r="D3163" s="75"/>
      <c r="E3163" s="67"/>
      <c r="F3163" s="67"/>
      <c r="G3163" s="70"/>
      <c r="H3163" s="70"/>
      <c r="I3163" s="70"/>
      <c r="J3163" s="70"/>
      <c r="K3163" s="70"/>
      <c r="L3163" s="67"/>
      <c r="M3163" s="67"/>
      <c r="N3163" s="72"/>
      <c r="O3163" s="72"/>
      <c r="P3163" s="67"/>
      <c r="Q3163" s="67"/>
      <c r="R3163" s="67"/>
      <c r="S3163" s="67"/>
      <c r="T3163" s="32"/>
      <c r="U3163" s="32"/>
      <c r="X3163" s="32"/>
      <c r="Y3163" s="32"/>
      <c r="Z3163" s="32"/>
      <c r="AA3163" s="32"/>
      <c r="AB3163" s="32"/>
    </row>
    <row r="3164" spans="2:28" ht="23.25" customHeight="1" x14ac:dyDescent="0.2">
      <c r="B3164" s="75"/>
      <c r="C3164" s="67"/>
      <c r="D3164" s="75"/>
      <c r="E3164" s="67"/>
      <c r="F3164" s="67"/>
      <c r="G3164" s="70"/>
      <c r="H3164" s="70"/>
      <c r="I3164" s="70"/>
      <c r="J3164" s="70"/>
      <c r="K3164" s="70"/>
      <c r="L3164" s="67"/>
      <c r="M3164" s="67"/>
      <c r="N3164" s="72"/>
      <c r="O3164" s="72"/>
      <c r="P3164" s="67"/>
      <c r="Q3164" s="67"/>
      <c r="R3164" s="67"/>
      <c r="S3164" s="67"/>
      <c r="T3164" s="32"/>
      <c r="U3164" s="32"/>
      <c r="X3164" s="32"/>
      <c r="Y3164" s="32"/>
      <c r="Z3164" s="32"/>
      <c r="AA3164" s="32"/>
      <c r="AB3164" s="32"/>
    </row>
    <row r="3165" spans="2:28" ht="23.25" customHeight="1" x14ac:dyDescent="0.2">
      <c r="B3165" s="75"/>
      <c r="C3165" s="67"/>
      <c r="D3165" s="75"/>
      <c r="E3165" s="67"/>
      <c r="F3165" s="67"/>
      <c r="G3165" s="70"/>
      <c r="H3165" s="70"/>
      <c r="I3165" s="70"/>
      <c r="J3165" s="70"/>
      <c r="K3165" s="70"/>
      <c r="L3165" s="67"/>
      <c r="M3165" s="67"/>
      <c r="N3165" s="72"/>
      <c r="O3165" s="72"/>
      <c r="P3165" s="67"/>
      <c r="Q3165" s="67"/>
      <c r="R3165" s="67"/>
      <c r="S3165" s="67"/>
      <c r="T3165" s="32"/>
      <c r="U3165" s="32"/>
      <c r="X3165" s="32"/>
      <c r="Y3165" s="32"/>
      <c r="Z3165" s="32"/>
      <c r="AA3165" s="32"/>
      <c r="AB3165" s="32"/>
    </row>
    <row r="3166" spans="2:28" ht="23.25" customHeight="1" x14ac:dyDescent="0.2">
      <c r="B3166" s="75"/>
      <c r="C3166" s="67"/>
      <c r="D3166" s="75"/>
      <c r="E3166" s="67"/>
      <c r="F3166" s="67"/>
      <c r="G3166" s="70"/>
      <c r="H3166" s="70"/>
      <c r="I3166" s="70"/>
      <c r="J3166" s="70"/>
      <c r="K3166" s="70"/>
      <c r="L3166" s="67"/>
      <c r="M3166" s="67"/>
      <c r="N3166" s="72"/>
      <c r="O3166" s="72"/>
      <c r="P3166" s="67"/>
      <c r="Q3166" s="67"/>
      <c r="R3166" s="67"/>
      <c r="S3166" s="67"/>
      <c r="T3166" s="32"/>
      <c r="U3166" s="32"/>
      <c r="X3166" s="32"/>
      <c r="Y3166" s="32"/>
      <c r="Z3166" s="32"/>
      <c r="AA3166" s="32"/>
      <c r="AB3166" s="32"/>
    </row>
    <row r="3167" spans="2:28" ht="23.25" customHeight="1" x14ac:dyDescent="0.2">
      <c r="B3167" s="75"/>
      <c r="C3167" s="67"/>
      <c r="D3167" s="75"/>
      <c r="E3167" s="67"/>
      <c r="F3167" s="67"/>
      <c r="G3167" s="70"/>
      <c r="H3167" s="70"/>
      <c r="I3167" s="70"/>
      <c r="J3167" s="70"/>
      <c r="K3167" s="70"/>
      <c r="L3167" s="67"/>
      <c r="M3167" s="67"/>
      <c r="N3167" s="72"/>
      <c r="O3167" s="72"/>
      <c r="P3167" s="67"/>
      <c r="Q3167" s="67"/>
      <c r="R3167" s="67"/>
      <c r="S3167" s="67"/>
      <c r="T3167" s="32"/>
      <c r="U3167" s="32"/>
      <c r="X3167" s="32"/>
      <c r="Y3167" s="32"/>
      <c r="Z3167" s="32"/>
      <c r="AA3167" s="32"/>
      <c r="AB3167" s="32"/>
    </row>
    <row r="3168" spans="2:28" ht="23.25" customHeight="1" x14ac:dyDescent="0.2">
      <c r="B3168" s="75"/>
      <c r="C3168" s="67"/>
      <c r="D3168" s="75"/>
      <c r="E3168" s="67"/>
      <c r="F3168" s="67"/>
      <c r="G3168" s="70"/>
      <c r="H3168" s="70"/>
      <c r="I3168" s="70"/>
      <c r="J3168" s="70"/>
      <c r="K3168" s="70"/>
      <c r="L3168" s="67"/>
      <c r="M3168" s="67"/>
      <c r="N3168" s="72"/>
      <c r="O3168" s="72"/>
      <c r="P3168" s="67"/>
      <c r="Q3168" s="67"/>
      <c r="R3168" s="67"/>
      <c r="S3168" s="67"/>
      <c r="T3168" s="32"/>
      <c r="U3168" s="32"/>
      <c r="X3168" s="32"/>
      <c r="Y3168" s="32"/>
      <c r="Z3168" s="32"/>
      <c r="AA3168" s="32"/>
      <c r="AB3168" s="32"/>
    </row>
    <row r="3169" spans="2:28" ht="23.25" customHeight="1" x14ac:dyDescent="0.2">
      <c r="B3169" s="75"/>
      <c r="C3169" s="67"/>
      <c r="D3169" s="75"/>
      <c r="E3169" s="67"/>
      <c r="F3169" s="67"/>
      <c r="G3169" s="70"/>
      <c r="H3169" s="70"/>
      <c r="I3169" s="70"/>
      <c r="J3169" s="70"/>
      <c r="K3169" s="70"/>
      <c r="L3169" s="67"/>
      <c r="M3169" s="67"/>
      <c r="N3169" s="72"/>
      <c r="O3169" s="72"/>
      <c r="P3169" s="67"/>
      <c r="Q3169" s="67"/>
      <c r="R3169" s="67"/>
      <c r="S3169" s="67"/>
      <c r="T3169" s="32"/>
      <c r="U3169" s="32"/>
      <c r="X3169" s="32"/>
      <c r="Y3169" s="32"/>
      <c r="Z3169" s="32"/>
      <c r="AA3169" s="32"/>
      <c r="AB3169" s="32"/>
    </row>
    <row r="3170" spans="2:28" ht="23.25" customHeight="1" x14ac:dyDescent="0.2">
      <c r="B3170" s="75"/>
      <c r="C3170" s="67"/>
      <c r="D3170" s="75"/>
      <c r="E3170" s="67"/>
      <c r="F3170" s="67"/>
      <c r="G3170" s="70"/>
      <c r="H3170" s="70"/>
      <c r="I3170" s="70"/>
      <c r="J3170" s="70"/>
      <c r="K3170" s="70"/>
      <c r="L3170" s="67"/>
      <c r="M3170" s="67"/>
      <c r="N3170" s="72"/>
      <c r="O3170" s="72"/>
      <c r="P3170" s="67"/>
      <c r="Q3170" s="67"/>
      <c r="R3170" s="67"/>
      <c r="S3170" s="67"/>
      <c r="T3170" s="32"/>
      <c r="U3170" s="32"/>
      <c r="X3170" s="32"/>
      <c r="Y3170" s="32"/>
      <c r="Z3170" s="32"/>
      <c r="AA3170" s="32"/>
      <c r="AB3170" s="32"/>
    </row>
    <row r="3171" spans="2:28" ht="23.25" customHeight="1" x14ac:dyDescent="0.2">
      <c r="B3171" s="75"/>
      <c r="C3171" s="67"/>
      <c r="D3171" s="75"/>
      <c r="E3171" s="67"/>
      <c r="F3171" s="67"/>
      <c r="G3171" s="70"/>
      <c r="H3171" s="70"/>
      <c r="I3171" s="70"/>
      <c r="J3171" s="70"/>
      <c r="K3171" s="70"/>
      <c r="L3171" s="67"/>
      <c r="M3171" s="67"/>
      <c r="N3171" s="72"/>
      <c r="O3171" s="72"/>
      <c r="P3171" s="67"/>
      <c r="Q3171" s="67"/>
      <c r="R3171" s="67"/>
      <c r="S3171" s="67"/>
      <c r="T3171" s="32"/>
      <c r="U3171" s="32"/>
      <c r="X3171" s="32"/>
      <c r="Y3171" s="32"/>
      <c r="Z3171" s="32"/>
      <c r="AA3171" s="32"/>
      <c r="AB3171" s="32"/>
    </row>
    <row r="3172" spans="2:28" ht="23.25" customHeight="1" x14ac:dyDescent="0.2">
      <c r="B3172" s="75"/>
      <c r="C3172" s="67"/>
      <c r="D3172" s="75"/>
      <c r="E3172" s="67"/>
      <c r="F3172" s="67"/>
      <c r="G3172" s="70"/>
      <c r="H3172" s="70"/>
      <c r="I3172" s="70"/>
      <c r="J3172" s="70"/>
      <c r="K3172" s="70"/>
      <c r="L3172" s="67"/>
      <c r="M3172" s="67"/>
      <c r="N3172" s="72"/>
      <c r="O3172" s="72"/>
      <c r="P3172" s="67"/>
      <c r="Q3172" s="67"/>
      <c r="R3172" s="67"/>
      <c r="S3172" s="67"/>
      <c r="T3172" s="32"/>
      <c r="U3172" s="32"/>
      <c r="X3172" s="32"/>
      <c r="Y3172" s="32"/>
      <c r="Z3172" s="32"/>
      <c r="AA3172" s="32"/>
      <c r="AB3172" s="32"/>
    </row>
    <row r="3173" spans="2:28" ht="23.25" customHeight="1" x14ac:dyDescent="0.2">
      <c r="B3173" s="75"/>
      <c r="C3173" s="67"/>
      <c r="D3173" s="75"/>
      <c r="E3173" s="67"/>
      <c r="F3173" s="67"/>
      <c r="G3173" s="70"/>
      <c r="H3173" s="70"/>
      <c r="I3173" s="70"/>
      <c r="J3173" s="70"/>
      <c r="K3173" s="70"/>
      <c r="L3173" s="67"/>
      <c r="M3173" s="67"/>
      <c r="N3173" s="72"/>
      <c r="O3173" s="72"/>
      <c r="P3173" s="67"/>
      <c r="Q3173" s="67"/>
      <c r="R3173" s="67"/>
      <c r="S3173" s="67"/>
      <c r="T3173" s="32"/>
      <c r="U3173" s="32"/>
      <c r="X3173" s="32"/>
      <c r="Y3173" s="32"/>
      <c r="Z3173" s="32"/>
      <c r="AA3173" s="32"/>
      <c r="AB3173" s="32"/>
    </row>
    <row r="3174" spans="2:28" ht="23.25" customHeight="1" x14ac:dyDescent="0.2">
      <c r="B3174" s="75"/>
      <c r="C3174" s="67"/>
      <c r="D3174" s="75"/>
      <c r="E3174" s="67"/>
      <c r="F3174" s="67"/>
      <c r="G3174" s="70"/>
      <c r="H3174" s="70"/>
      <c r="I3174" s="70"/>
      <c r="J3174" s="70"/>
      <c r="K3174" s="70"/>
      <c r="L3174" s="67"/>
      <c r="M3174" s="67"/>
      <c r="N3174" s="72"/>
      <c r="O3174" s="72"/>
      <c r="P3174" s="67"/>
      <c r="Q3174" s="67"/>
      <c r="R3174" s="67"/>
      <c r="S3174" s="67"/>
      <c r="T3174" s="32"/>
      <c r="U3174" s="32"/>
      <c r="X3174" s="32"/>
      <c r="Y3174" s="32"/>
      <c r="Z3174" s="32"/>
      <c r="AA3174" s="32"/>
      <c r="AB3174" s="32"/>
    </row>
    <row r="3175" spans="2:28" ht="23.25" customHeight="1" x14ac:dyDescent="0.2">
      <c r="B3175" s="75"/>
      <c r="C3175" s="67"/>
      <c r="D3175" s="75"/>
      <c r="E3175" s="67"/>
      <c r="F3175" s="67"/>
      <c r="G3175" s="70"/>
      <c r="H3175" s="70"/>
      <c r="I3175" s="70"/>
      <c r="J3175" s="70"/>
      <c r="K3175" s="70"/>
      <c r="L3175" s="67"/>
      <c r="M3175" s="67"/>
      <c r="N3175" s="72"/>
      <c r="O3175" s="72"/>
      <c r="P3175" s="67"/>
      <c r="Q3175" s="67"/>
      <c r="R3175" s="67"/>
      <c r="S3175" s="67"/>
      <c r="T3175" s="32"/>
      <c r="U3175" s="32"/>
      <c r="X3175" s="32"/>
      <c r="Y3175" s="32"/>
      <c r="Z3175" s="32"/>
      <c r="AA3175" s="32"/>
      <c r="AB3175" s="32"/>
    </row>
    <row r="3176" spans="2:28" ht="23.25" customHeight="1" x14ac:dyDescent="0.2">
      <c r="B3176" s="75"/>
      <c r="C3176" s="67"/>
      <c r="D3176" s="75"/>
      <c r="E3176" s="67"/>
      <c r="F3176" s="67"/>
      <c r="G3176" s="70"/>
      <c r="H3176" s="70"/>
      <c r="I3176" s="70"/>
      <c r="J3176" s="70"/>
      <c r="K3176" s="70"/>
      <c r="L3176" s="67"/>
      <c r="M3176" s="67"/>
      <c r="N3176" s="72"/>
      <c r="O3176" s="72"/>
      <c r="P3176" s="67"/>
      <c r="Q3176" s="67"/>
      <c r="R3176" s="67"/>
      <c r="S3176" s="67"/>
      <c r="T3176" s="32"/>
      <c r="U3176" s="32"/>
      <c r="X3176" s="32"/>
      <c r="Y3176" s="32"/>
      <c r="Z3176" s="32"/>
      <c r="AA3176" s="32"/>
      <c r="AB3176" s="32"/>
    </row>
    <row r="3177" spans="2:28" ht="23.25" customHeight="1" x14ac:dyDescent="0.2">
      <c r="B3177" s="75"/>
      <c r="C3177" s="67"/>
      <c r="D3177" s="75"/>
      <c r="E3177" s="67"/>
      <c r="F3177" s="67"/>
      <c r="G3177" s="70"/>
      <c r="H3177" s="70"/>
      <c r="I3177" s="70"/>
      <c r="J3177" s="70"/>
      <c r="K3177" s="70"/>
      <c r="L3177" s="67"/>
      <c r="M3177" s="67"/>
      <c r="N3177" s="72"/>
      <c r="O3177" s="72"/>
      <c r="P3177" s="67"/>
      <c r="Q3177" s="67"/>
      <c r="R3177" s="67"/>
      <c r="S3177" s="67"/>
      <c r="T3177" s="32"/>
      <c r="U3177" s="32"/>
      <c r="X3177" s="32"/>
      <c r="Y3177" s="32"/>
      <c r="Z3177" s="32"/>
      <c r="AA3177" s="32"/>
      <c r="AB3177" s="32"/>
    </row>
    <row r="3178" spans="2:28" ht="23.25" customHeight="1" x14ac:dyDescent="0.2">
      <c r="B3178" s="75"/>
      <c r="C3178" s="67"/>
      <c r="D3178" s="75"/>
      <c r="E3178" s="67"/>
      <c r="F3178" s="67"/>
      <c r="G3178" s="70"/>
      <c r="H3178" s="70"/>
      <c r="I3178" s="70"/>
      <c r="J3178" s="70"/>
      <c r="K3178" s="70"/>
      <c r="L3178" s="67"/>
      <c r="M3178" s="67"/>
      <c r="N3178" s="72"/>
      <c r="O3178" s="72"/>
      <c r="P3178" s="67"/>
      <c r="Q3178" s="67"/>
      <c r="R3178" s="67"/>
      <c r="S3178" s="67"/>
      <c r="T3178" s="32"/>
      <c r="U3178" s="32"/>
      <c r="X3178" s="32"/>
      <c r="Y3178" s="32"/>
      <c r="Z3178" s="32"/>
      <c r="AA3178" s="32"/>
      <c r="AB3178" s="32"/>
    </row>
    <row r="3179" spans="2:28" ht="23.25" customHeight="1" x14ac:dyDescent="0.2">
      <c r="B3179" s="75"/>
      <c r="C3179" s="67"/>
      <c r="D3179" s="75"/>
      <c r="E3179" s="67"/>
      <c r="F3179" s="67"/>
      <c r="G3179" s="70"/>
      <c r="H3179" s="70"/>
      <c r="I3179" s="70"/>
      <c r="J3179" s="70"/>
      <c r="K3179" s="70"/>
      <c r="L3179" s="67"/>
      <c r="M3179" s="67"/>
      <c r="N3179" s="72"/>
      <c r="O3179" s="72"/>
      <c r="P3179" s="67"/>
      <c r="Q3179" s="67"/>
      <c r="R3179" s="67"/>
      <c r="S3179" s="67"/>
      <c r="T3179" s="32"/>
      <c r="U3179" s="32"/>
      <c r="X3179" s="32"/>
      <c r="Y3179" s="32"/>
      <c r="Z3179" s="32"/>
      <c r="AA3179" s="32"/>
      <c r="AB3179" s="32"/>
    </row>
    <row r="3180" spans="2:28" ht="23.25" customHeight="1" x14ac:dyDescent="0.2">
      <c r="B3180" s="75"/>
      <c r="C3180" s="67"/>
      <c r="D3180" s="75"/>
      <c r="E3180" s="67"/>
      <c r="F3180" s="67"/>
      <c r="G3180" s="70"/>
      <c r="H3180" s="70"/>
      <c r="I3180" s="70"/>
      <c r="J3180" s="70"/>
      <c r="K3180" s="70"/>
      <c r="L3180" s="67"/>
      <c r="M3180" s="67"/>
      <c r="N3180" s="72"/>
      <c r="O3180" s="72"/>
      <c r="P3180" s="67"/>
      <c r="Q3180" s="67"/>
      <c r="R3180" s="67"/>
      <c r="S3180" s="67"/>
      <c r="T3180" s="32"/>
      <c r="U3180" s="32"/>
      <c r="X3180" s="32"/>
      <c r="Y3180" s="32"/>
      <c r="Z3180" s="32"/>
      <c r="AA3180" s="32"/>
      <c r="AB3180" s="32"/>
    </row>
    <row r="3181" spans="2:28" ht="23.25" customHeight="1" x14ac:dyDescent="0.2">
      <c r="B3181" s="75"/>
      <c r="C3181" s="67"/>
      <c r="D3181" s="75"/>
      <c r="E3181" s="67"/>
      <c r="F3181" s="67"/>
      <c r="G3181" s="70"/>
      <c r="H3181" s="70"/>
      <c r="I3181" s="70"/>
      <c r="J3181" s="70"/>
      <c r="K3181" s="70"/>
      <c r="L3181" s="67"/>
      <c r="M3181" s="67"/>
      <c r="N3181" s="72"/>
      <c r="O3181" s="72"/>
      <c r="P3181" s="67"/>
      <c r="Q3181" s="67"/>
      <c r="R3181" s="67"/>
      <c r="S3181" s="67"/>
      <c r="T3181" s="32"/>
      <c r="U3181" s="32"/>
      <c r="X3181" s="32"/>
      <c r="Y3181" s="32"/>
      <c r="Z3181" s="32"/>
      <c r="AA3181" s="32"/>
      <c r="AB3181" s="32"/>
    </row>
    <row r="3182" spans="2:28" ht="23.25" customHeight="1" x14ac:dyDescent="0.2">
      <c r="B3182" s="75"/>
      <c r="C3182" s="67"/>
      <c r="D3182" s="75"/>
      <c r="E3182" s="67"/>
      <c r="F3182" s="67"/>
      <c r="G3182" s="70"/>
      <c r="H3182" s="70"/>
      <c r="I3182" s="70"/>
      <c r="J3182" s="70"/>
      <c r="K3182" s="70"/>
      <c r="L3182" s="67"/>
      <c r="M3182" s="67"/>
      <c r="N3182" s="72"/>
      <c r="O3182" s="72"/>
      <c r="P3182" s="67"/>
      <c r="Q3182" s="67"/>
      <c r="R3182" s="67"/>
      <c r="S3182" s="67"/>
      <c r="T3182" s="32"/>
      <c r="U3182" s="32"/>
      <c r="X3182" s="32"/>
      <c r="Y3182" s="32"/>
      <c r="Z3182" s="32"/>
      <c r="AA3182" s="32"/>
      <c r="AB3182" s="32"/>
    </row>
    <row r="3183" spans="2:28" ht="23.25" customHeight="1" x14ac:dyDescent="0.2">
      <c r="B3183" s="75"/>
      <c r="C3183" s="67"/>
      <c r="D3183" s="75"/>
      <c r="E3183" s="67"/>
      <c r="F3183" s="67"/>
      <c r="G3183" s="70"/>
      <c r="H3183" s="70"/>
      <c r="I3183" s="70"/>
      <c r="J3183" s="70"/>
      <c r="K3183" s="70"/>
      <c r="L3183" s="67"/>
      <c r="M3183" s="67"/>
      <c r="N3183" s="72"/>
      <c r="O3183" s="72"/>
      <c r="P3183" s="67"/>
      <c r="Q3183" s="67"/>
      <c r="R3183" s="67"/>
      <c r="S3183" s="67"/>
      <c r="T3183" s="32"/>
      <c r="U3183" s="32"/>
      <c r="X3183" s="32"/>
      <c r="Y3183" s="32"/>
      <c r="Z3183" s="32"/>
      <c r="AA3183" s="32"/>
      <c r="AB3183" s="32"/>
    </row>
    <row r="3184" spans="2:28" ht="23.25" customHeight="1" x14ac:dyDescent="0.2">
      <c r="B3184" s="75"/>
      <c r="C3184" s="67"/>
      <c r="D3184" s="75"/>
      <c r="E3184" s="67"/>
      <c r="F3184" s="67"/>
      <c r="G3184" s="70"/>
      <c r="H3184" s="70"/>
      <c r="I3184" s="70"/>
      <c r="J3184" s="70"/>
      <c r="K3184" s="70"/>
      <c r="L3184" s="67"/>
      <c r="M3184" s="67"/>
      <c r="N3184" s="72"/>
      <c r="O3184" s="72"/>
      <c r="P3184" s="67"/>
      <c r="Q3184" s="67"/>
      <c r="R3184" s="67"/>
      <c r="S3184" s="67"/>
      <c r="T3184" s="32"/>
      <c r="U3184" s="32"/>
      <c r="X3184" s="32"/>
      <c r="Y3184" s="32"/>
      <c r="Z3184" s="32"/>
      <c r="AA3184" s="32"/>
      <c r="AB3184" s="32"/>
    </row>
    <row r="3185" spans="2:28" ht="23.25" customHeight="1" x14ac:dyDescent="0.2">
      <c r="B3185" s="75"/>
      <c r="C3185" s="67"/>
      <c r="D3185" s="75"/>
      <c r="E3185" s="67"/>
      <c r="F3185" s="67"/>
      <c r="G3185" s="70"/>
      <c r="H3185" s="70"/>
      <c r="I3185" s="70"/>
      <c r="J3185" s="70"/>
      <c r="K3185" s="70"/>
      <c r="L3185" s="67"/>
      <c r="M3185" s="67"/>
      <c r="N3185" s="72"/>
      <c r="O3185" s="72"/>
      <c r="P3185" s="67"/>
      <c r="Q3185" s="67"/>
      <c r="R3185" s="67"/>
      <c r="S3185" s="67"/>
      <c r="T3185" s="32"/>
      <c r="U3185" s="32"/>
      <c r="X3185" s="32"/>
      <c r="Y3185" s="32"/>
      <c r="Z3185" s="32"/>
      <c r="AA3185" s="32"/>
      <c r="AB3185" s="32"/>
    </row>
    <row r="3186" spans="2:28" ht="23.25" customHeight="1" x14ac:dyDescent="0.2">
      <c r="B3186" s="75"/>
      <c r="C3186" s="67"/>
      <c r="D3186" s="75"/>
      <c r="E3186" s="67"/>
      <c r="F3186" s="67"/>
      <c r="G3186" s="70"/>
      <c r="H3186" s="70"/>
      <c r="I3186" s="70"/>
      <c r="J3186" s="70"/>
      <c r="K3186" s="70"/>
      <c r="L3186" s="67"/>
      <c r="M3186" s="67"/>
      <c r="N3186" s="72"/>
      <c r="O3186" s="72"/>
      <c r="P3186" s="67"/>
      <c r="Q3186" s="67"/>
      <c r="R3186" s="67"/>
      <c r="S3186" s="67"/>
      <c r="T3186" s="32"/>
      <c r="U3186" s="32"/>
      <c r="X3186" s="32"/>
      <c r="Y3186" s="32"/>
      <c r="Z3186" s="32"/>
      <c r="AA3186" s="32"/>
      <c r="AB3186" s="32"/>
    </row>
    <row r="3187" spans="2:28" ht="23.25" customHeight="1" x14ac:dyDescent="0.2">
      <c r="B3187" s="75"/>
      <c r="C3187" s="67"/>
      <c r="D3187" s="75"/>
      <c r="E3187" s="67"/>
      <c r="F3187" s="67"/>
      <c r="G3187" s="70"/>
      <c r="H3187" s="70"/>
      <c r="I3187" s="70"/>
      <c r="J3187" s="70"/>
      <c r="K3187" s="70"/>
      <c r="L3187" s="67"/>
      <c r="M3187" s="67"/>
      <c r="N3187" s="72"/>
      <c r="O3187" s="72"/>
      <c r="P3187" s="67"/>
      <c r="Q3187" s="67"/>
      <c r="R3187" s="67"/>
      <c r="S3187" s="67"/>
      <c r="T3187" s="32"/>
      <c r="U3187" s="32"/>
      <c r="X3187" s="32"/>
      <c r="Y3187" s="32"/>
      <c r="Z3187" s="32"/>
      <c r="AA3187" s="32"/>
      <c r="AB3187" s="32"/>
    </row>
    <row r="3188" spans="2:28" ht="23.25" customHeight="1" x14ac:dyDescent="0.2">
      <c r="B3188" s="75"/>
      <c r="C3188" s="67"/>
      <c r="D3188" s="75"/>
      <c r="E3188" s="67"/>
      <c r="F3188" s="67"/>
      <c r="G3188" s="70"/>
      <c r="H3188" s="70"/>
      <c r="I3188" s="70"/>
      <c r="J3188" s="70"/>
      <c r="K3188" s="70"/>
      <c r="L3188" s="67"/>
      <c r="M3188" s="67"/>
      <c r="N3188" s="72"/>
      <c r="O3188" s="72"/>
      <c r="P3188" s="67"/>
      <c r="Q3188" s="67"/>
      <c r="R3188" s="67"/>
      <c r="S3188" s="67"/>
      <c r="T3188" s="32"/>
      <c r="U3188" s="32"/>
      <c r="X3188" s="32"/>
      <c r="Y3188" s="32"/>
      <c r="Z3188" s="32"/>
      <c r="AA3188" s="32"/>
      <c r="AB3188" s="32"/>
    </row>
    <row r="3189" spans="2:28" ht="23.25" customHeight="1" x14ac:dyDescent="0.2">
      <c r="B3189" s="75"/>
      <c r="C3189" s="67"/>
      <c r="D3189" s="75"/>
      <c r="E3189" s="67"/>
      <c r="F3189" s="67"/>
      <c r="G3189" s="70"/>
      <c r="H3189" s="70"/>
      <c r="I3189" s="70"/>
      <c r="J3189" s="70"/>
      <c r="K3189" s="70"/>
      <c r="L3189" s="67"/>
      <c r="M3189" s="67"/>
      <c r="N3189" s="72"/>
      <c r="O3189" s="72"/>
      <c r="P3189" s="67"/>
      <c r="Q3189" s="67"/>
      <c r="R3189" s="67"/>
      <c r="S3189" s="67"/>
      <c r="T3189" s="32"/>
      <c r="U3189" s="32"/>
      <c r="X3189" s="32"/>
      <c r="Y3189" s="32"/>
      <c r="Z3189" s="32"/>
      <c r="AA3189" s="32"/>
      <c r="AB3189" s="32"/>
    </row>
    <row r="3190" spans="2:28" ht="23.25" customHeight="1" x14ac:dyDescent="0.2">
      <c r="B3190" s="75"/>
      <c r="C3190" s="67"/>
      <c r="D3190" s="75"/>
      <c r="E3190" s="67"/>
      <c r="F3190" s="67"/>
      <c r="G3190" s="70"/>
      <c r="H3190" s="70"/>
      <c r="I3190" s="70"/>
      <c r="J3190" s="70"/>
      <c r="K3190" s="70"/>
      <c r="L3190" s="67"/>
      <c r="M3190" s="67"/>
      <c r="N3190" s="72"/>
      <c r="O3190" s="72"/>
      <c r="P3190" s="67"/>
      <c r="Q3190" s="67"/>
      <c r="R3190" s="67"/>
      <c r="S3190" s="67"/>
      <c r="T3190" s="32"/>
      <c r="U3190" s="32"/>
      <c r="X3190" s="32"/>
      <c r="Y3190" s="32"/>
      <c r="Z3190" s="32"/>
      <c r="AA3190" s="32"/>
      <c r="AB3190" s="32"/>
    </row>
    <row r="3191" spans="2:28" ht="23.25" customHeight="1" x14ac:dyDescent="0.2">
      <c r="B3191" s="75"/>
      <c r="C3191" s="67"/>
      <c r="D3191" s="75"/>
      <c r="E3191" s="67"/>
      <c r="F3191" s="67"/>
      <c r="G3191" s="70"/>
      <c r="H3191" s="70"/>
      <c r="I3191" s="70"/>
      <c r="J3191" s="70"/>
      <c r="K3191" s="70"/>
      <c r="L3191" s="67"/>
      <c r="M3191" s="67"/>
      <c r="N3191" s="72"/>
      <c r="O3191" s="72"/>
      <c r="P3191" s="67"/>
      <c r="Q3191" s="67"/>
      <c r="R3191" s="67"/>
      <c r="S3191" s="67"/>
      <c r="T3191" s="32"/>
      <c r="U3191" s="32"/>
      <c r="X3191" s="32"/>
      <c r="Y3191" s="32"/>
      <c r="Z3191" s="32"/>
      <c r="AA3191" s="32"/>
      <c r="AB3191" s="32"/>
    </row>
    <row r="3192" spans="2:28" ht="23.25" customHeight="1" x14ac:dyDescent="0.2">
      <c r="B3192" s="75"/>
      <c r="C3192" s="67"/>
      <c r="D3192" s="75"/>
      <c r="E3192" s="67"/>
      <c r="F3192" s="67"/>
      <c r="G3192" s="70"/>
      <c r="H3192" s="70"/>
      <c r="I3192" s="70"/>
      <c r="J3192" s="70"/>
      <c r="K3192" s="70"/>
      <c r="L3192" s="67"/>
      <c r="M3192" s="67"/>
      <c r="N3192" s="72"/>
      <c r="O3192" s="72"/>
      <c r="P3192" s="67"/>
      <c r="Q3192" s="67"/>
      <c r="R3192" s="67"/>
      <c r="S3192" s="67"/>
      <c r="T3192" s="32"/>
      <c r="U3192" s="32"/>
      <c r="X3192" s="32"/>
      <c r="Y3192" s="32"/>
      <c r="Z3192" s="32"/>
      <c r="AA3192" s="32"/>
      <c r="AB3192" s="32"/>
    </row>
    <row r="3193" spans="2:28" ht="23.25" customHeight="1" x14ac:dyDescent="0.2">
      <c r="B3193" s="75"/>
      <c r="C3193" s="67"/>
      <c r="D3193" s="75"/>
      <c r="E3193" s="67"/>
      <c r="F3193" s="67"/>
      <c r="G3193" s="70"/>
      <c r="H3193" s="70"/>
      <c r="I3193" s="70"/>
      <c r="J3193" s="70"/>
      <c r="K3193" s="70"/>
      <c r="L3193" s="67"/>
      <c r="M3193" s="67"/>
      <c r="N3193" s="72"/>
      <c r="O3193" s="72"/>
      <c r="P3193" s="67"/>
      <c r="Q3193" s="67"/>
      <c r="R3193" s="67"/>
      <c r="S3193" s="67"/>
      <c r="T3193" s="32"/>
      <c r="U3193" s="32"/>
      <c r="X3193" s="32"/>
      <c r="Y3193" s="32"/>
      <c r="Z3193" s="32"/>
      <c r="AA3193" s="32"/>
      <c r="AB3193" s="32"/>
    </row>
    <row r="3194" spans="2:28" ht="23.25" customHeight="1" x14ac:dyDescent="0.2">
      <c r="B3194" s="75"/>
      <c r="C3194" s="67"/>
      <c r="D3194" s="75"/>
      <c r="E3194" s="67"/>
      <c r="F3194" s="67"/>
      <c r="G3194" s="70"/>
      <c r="H3194" s="70"/>
      <c r="I3194" s="70"/>
      <c r="J3194" s="70"/>
      <c r="K3194" s="70"/>
      <c r="L3194" s="67"/>
      <c r="M3194" s="67"/>
      <c r="N3194" s="72"/>
      <c r="O3194" s="72"/>
      <c r="P3194" s="67"/>
      <c r="Q3194" s="67"/>
      <c r="R3194" s="67"/>
      <c r="S3194" s="67"/>
      <c r="T3194" s="32"/>
      <c r="U3194" s="32"/>
      <c r="X3194" s="32"/>
      <c r="Y3194" s="32"/>
      <c r="Z3194" s="32"/>
      <c r="AA3194" s="32"/>
      <c r="AB3194" s="32"/>
    </row>
    <row r="3195" spans="2:28" ht="23.25" customHeight="1" x14ac:dyDescent="0.2">
      <c r="B3195" s="75"/>
      <c r="C3195" s="67"/>
      <c r="D3195" s="75"/>
      <c r="E3195" s="67"/>
      <c r="F3195" s="67"/>
      <c r="G3195" s="70"/>
      <c r="H3195" s="70"/>
      <c r="I3195" s="70"/>
      <c r="J3195" s="70"/>
      <c r="K3195" s="70"/>
      <c r="L3195" s="67"/>
      <c r="M3195" s="67"/>
      <c r="N3195" s="72"/>
      <c r="O3195" s="72"/>
      <c r="P3195" s="67"/>
      <c r="Q3195" s="67"/>
      <c r="R3195" s="67"/>
      <c r="S3195" s="67"/>
      <c r="T3195" s="32"/>
      <c r="U3195" s="32"/>
      <c r="X3195" s="32"/>
      <c r="Y3195" s="32"/>
      <c r="Z3195" s="32"/>
      <c r="AA3195" s="32"/>
      <c r="AB3195" s="32"/>
    </row>
    <row r="3196" spans="2:28" ht="23.25" customHeight="1" x14ac:dyDescent="0.2">
      <c r="B3196" s="75"/>
      <c r="C3196" s="67"/>
      <c r="D3196" s="75"/>
      <c r="E3196" s="67"/>
      <c r="F3196" s="67"/>
      <c r="G3196" s="70"/>
      <c r="H3196" s="70"/>
      <c r="I3196" s="70"/>
      <c r="J3196" s="70"/>
      <c r="K3196" s="70"/>
      <c r="L3196" s="67"/>
      <c r="M3196" s="67"/>
      <c r="N3196" s="72"/>
      <c r="O3196" s="72"/>
      <c r="P3196" s="67"/>
      <c r="Q3196" s="67"/>
      <c r="R3196" s="67"/>
      <c r="S3196" s="67"/>
      <c r="T3196" s="32"/>
      <c r="U3196" s="32"/>
      <c r="X3196" s="32"/>
      <c r="Y3196" s="32"/>
      <c r="Z3196" s="32"/>
      <c r="AA3196" s="32"/>
      <c r="AB3196" s="32"/>
    </row>
    <row r="3197" spans="2:28" ht="23.25" customHeight="1" x14ac:dyDescent="0.2">
      <c r="B3197" s="75"/>
      <c r="C3197" s="67"/>
      <c r="D3197" s="75"/>
      <c r="E3197" s="67"/>
      <c r="F3197" s="67"/>
      <c r="G3197" s="70"/>
      <c r="H3197" s="70"/>
      <c r="I3197" s="70"/>
      <c r="J3197" s="70"/>
      <c r="K3197" s="70"/>
      <c r="L3197" s="67"/>
      <c r="M3197" s="67"/>
      <c r="N3197" s="72"/>
      <c r="O3197" s="72"/>
      <c r="P3197" s="67"/>
      <c r="Q3197" s="67"/>
      <c r="R3197" s="67"/>
      <c r="S3197" s="67"/>
      <c r="T3197" s="32"/>
      <c r="U3197" s="32"/>
      <c r="X3197" s="32"/>
      <c r="Y3197" s="32"/>
      <c r="Z3197" s="32"/>
      <c r="AA3197" s="32"/>
      <c r="AB3197" s="32"/>
    </row>
    <row r="3198" spans="2:28" ht="23.25" customHeight="1" x14ac:dyDescent="0.2">
      <c r="B3198" s="75"/>
      <c r="C3198" s="67"/>
      <c r="D3198" s="75"/>
      <c r="E3198" s="67"/>
      <c r="F3198" s="67"/>
      <c r="G3198" s="70"/>
      <c r="H3198" s="70"/>
      <c r="I3198" s="70"/>
      <c r="J3198" s="70"/>
      <c r="K3198" s="70"/>
      <c r="L3198" s="67"/>
      <c r="M3198" s="67"/>
      <c r="N3198" s="72"/>
      <c r="O3198" s="72"/>
      <c r="P3198" s="67"/>
      <c r="Q3198" s="67"/>
      <c r="R3198" s="67"/>
      <c r="S3198" s="67"/>
      <c r="T3198" s="32"/>
      <c r="U3198" s="32"/>
      <c r="X3198" s="32"/>
      <c r="Y3198" s="32"/>
      <c r="Z3198" s="32"/>
      <c r="AA3198" s="32"/>
      <c r="AB3198" s="32"/>
    </row>
    <row r="3199" spans="2:28" ht="23.25" customHeight="1" x14ac:dyDescent="0.2">
      <c r="B3199" s="75"/>
      <c r="C3199" s="67"/>
      <c r="D3199" s="75"/>
      <c r="E3199" s="67"/>
      <c r="F3199" s="67"/>
      <c r="G3199" s="70"/>
      <c r="H3199" s="70"/>
      <c r="I3199" s="70"/>
      <c r="J3199" s="70"/>
      <c r="K3199" s="70"/>
      <c r="L3199" s="67"/>
      <c r="M3199" s="67"/>
      <c r="N3199" s="72"/>
      <c r="O3199" s="72"/>
      <c r="P3199" s="67"/>
      <c r="Q3199" s="67"/>
      <c r="R3199" s="67"/>
      <c r="S3199" s="67"/>
      <c r="T3199" s="32"/>
      <c r="U3199" s="32"/>
      <c r="X3199" s="32"/>
      <c r="Y3199" s="32"/>
      <c r="Z3199" s="32"/>
      <c r="AA3199" s="32"/>
      <c r="AB3199" s="32"/>
    </row>
    <row r="3200" spans="2:28" ht="23.25" customHeight="1" x14ac:dyDescent="0.2">
      <c r="B3200" s="75"/>
      <c r="C3200" s="67"/>
      <c r="D3200" s="75"/>
      <c r="E3200" s="67"/>
      <c r="F3200" s="67"/>
      <c r="G3200" s="70"/>
      <c r="H3200" s="70"/>
      <c r="I3200" s="70"/>
      <c r="J3200" s="70"/>
      <c r="K3200" s="70"/>
      <c r="L3200" s="67"/>
      <c r="M3200" s="67"/>
      <c r="N3200" s="72"/>
      <c r="O3200" s="72"/>
      <c r="P3200" s="67"/>
      <c r="Q3200" s="67"/>
      <c r="R3200" s="67"/>
      <c r="S3200" s="67"/>
      <c r="T3200" s="32"/>
      <c r="U3200" s="32"/>
      <c r="X3200" s="32"/>
      <c r="Y3200" s="32"/>
      <c r="Z3200" s="32"/>
      <c r="AA3200" s="32"/>
      <c r="AB3200" s="32"/>
    </row>
    <row r="3201" spans="2:28" ht="23.25" customHeight="1" x14ac:dyDescent="0.2">
      <c r="B3201" s="75"/>
      <c r="C3201" s="67"/>
      <c r="D3201" s="75"/>
      <c r="E3201" s="67"/>
      <c r="F3201" s="67"/>
      <c r="G3201" s="70"/>
      <c r="H3201" s="70"/>
      <c r="I3201" s="70"/>
      <c r="J3201" s="70"/>
      <c r="K3201" s="70"/>
      <c r="L3201" s="67"/>
      <c r="M3201" s="67"/>
      <c r="N3201" s="72"/>
      <c r="O3201" s="72"/>
      <c r="P3201" s="67"/>
      <c r="Q3201" s="67"/>
      <c r="R3201" s="67"/>
      <c r="S3201" s="67"/>
      <c r="T3201" s="32"/>
      <c r="U3201" s="32"/>
      <c r="X3201" s="32"/>
      <c r="Y3201" s="32"/>
      <c r="Z3201" s="32"/>
      <c r="AA3201" s="32"/>
      <c r="AB3201" s="32"/>
    </row>
    <row r="3202" spans="2:28" ht="23.25" customHeight="1" x14ac:dyDescent="0.2">
      <c r="B3202" s="75"/>
      <c r="C3202" s="67"/>
      <c r="D3202" s="75"/>
      <c r="E3202" s="67"/>
      <c r="F3202" s="67"/>
      <c r="G3202" s="70"/>
      <c r="H3202" s="70"/>
      <c r="I3202" s="70"/>
      <c r="J3202" s="70"/>
      <c r="K3202" s="70"/>
      <c r="L3202" s="67"/>
      <c r="M3202" s="67"/>
      <c r="N3202" s="72"/>
      <c r="O3202" s="72"/>
      <c r="P3202" s="67"/>
      <c r="Q3202" s="67"/>
      <c r="R3202" s="67"/>
      <c r="S3202" s="67"/>
      <c r="T3202" s="32"/>
      <c r="U3202" s="32"/>
      <c r="X3202" s="32"/>
      <c r="Y3202" s="32"/>
      <c r="Z3202" s="32"/>
      <c r="AA3202" s="32"/>
      <c r="AB3202" s="32"/>
    </row>
    <row r="3203" spans="2:28" ht="23.25" customHeight="1" x14ac:dyDescent="0.2">
      <c r="B3203" s="75"/>
      <c r="C3203" s="67"/>
      <c r="D3203" s="75"/>
      <c r="E3203" s="67"/>
      <c r="F3203" s="67"/>
      <c r="G3203" s="70"/>
      <c r="H3203" s="70"/>
      <c r="I3203" s="70"/>
      <c r="J3203" s="70"/>
      <c r="K3203" s="70"/>
      <c r="L3203" s="67"/>
      <c r="M3203" s="67"/>
      <c r="N3203" s="72"/>
      <c r="O3203" s="72"/>
      <c r="P3203" s="67"/>
      <c r="Q3203" s="67"/>
      <c r="R3203" s="67"/>
      <c r="S3203" s="67"/>
      <c r="T3203" s="32"/>
      <c r="U3203" s="32"/>
      <c r="X3203" s="32"/>
      <c r="Y3203" s="32"/>
      <c r="Z3203" s="32"/>
      <c r="AA3203" s="32"/>
      <c r="AB3203" s="32"/>
    </row>
    <row r="3204" spans="2:28" ht="23.25" customHeight="1" x14ac:dyDescent="0.2">
      <c r="B3204" s="75"/>
      <c r="C3204" s="67"/>
      <c r="D3204" s="75"/>
      <c r="E3204" s="67"/>
      <c r="F3204" s="67"/>
      <c r="G3204" s="70"/>
      <c r="H3204" s="70"/>
      <c r="I3204" s="70"/>
      <c r="J3204" s="70"/>
      <c r="K3204" s="70"/>
      <c r="L3204" s="67"/>
      <c r="M3204" s="67"/>
      <c r="N3204" s="72"/>
      <c r="O3204" s="72"/>
      <c r="P3204" s="67"/>
      <c r="Q3204" s="67"/>
      <c r="R3204" s="67"/>
      <c r="S3204" s="67"/>
      <c r="T3204" s="32"/>
      <c r="U3204" s="32"/>
      <c r="X3204" s="32"/>
      <c r="Y3204" s="32"/>
      <c r="Z3204" s="32"/>
      <c r="AA3204" s="32"/>
      <c r="AB3204" s="32"/>
    </row>
    <row r="3205" spans="2:28" ht="23.25" customHeight="1" x14ac:dyDescent="0.2">
      <c r="B3205" s="75"/>
      <c r="C3205" s="67"/>
      <c r="D3205" s="75"/>
      <c r="E3205" s="67"/>
      <c r="F3205" s="67"/>
      <c r="G3205" s="70"/>
      <c r="H3205" s="70"/>
      <c r="I3205" s="70"/>
      <c r="J3205" s="70"/>
      <c r="K3205" s="70"/>
      <c r="L3205" s="67"/>
      <c r="M3205" s="67"/>
      <c r="N3205" s="72"/>
      <c r="O3205" s="72"/>
      <c r="P3205" s="67"/>
      <c r="Q3205" s="67"/>
      <c r="R3205" s="67"/>
      <c r="S3205" s="67"/>
      <c r="T3205" s="32"/>
      <c r="U3205" s="32"/>
      <c r="X3205" s="32"/>
      <c r="Y3205" s="32"/>
      <c r="Z3205" s="32"/>
      <c r="AA3205" s="32"/>
      <c r="AB3205" s="32"/>
    </row>
    <row r="3206" spans="2:28" ht="23.25" customHeight="1" x14ac:dyDescent="0.2">
      <c r="B3206" s="75"/>
      <c r="C3206" s="67"/>
      <c r="D3206" s="75"/>
      <c r="E3206" s="67"/>
      <c r="F3206" s="67"/>
      <c r="G3206" s="70"/>
      <c r="H3206" s="70"/>
      <c r="I3206" s="70"/>
      <c r="J3206" s="70"/>
      <c r="K3206" s="70"/>
      <c r="L3206" s="67"/>
      <c r="M3206" s="67"/>
      <c r="N3206" s="72"/>
      <c r="O3206" s="72"/>
      <c r="P3206" s="67"/>
      <c r="Q3206" s="67"/>
      <c r="R3206" s="67"/>
      <c r="S3206" s="67"/>
      <c r="T3206" s="32"/>
      <c r="U3206" s="32"/>
      <c r="X3206" s="32"/>
      <c r="Y3206" s="32"/>
      <c r="Z3206" s="32"/>
      <c r="AA3206" s="32"/>
      <c r="AB3206" s="32"/>
    </row>
    <row r="3207" spans="2:28" ht="23.25" customHeight="1" x14ac:dyDescent="0.2">
      <c r="B3207" s="75"/>
      <c r="C3207" s="67"/>
      <c r="D3207" s="75"/>
      <c r="E3207" s="67"/>
      <c r="F3207" s="67"/>
      <c r="G3207" s="70"/>
      <c r="H3207" s="70"/>
      <c r="I3207" s="70"/>
      <c r="J3207" s="70"/>
      <c r="K3207" s="70"/>
      <c r="L3207" s="67"/>
      <c r="M3207" s="67"/>
      <c r="N3207" s="72"/>
      <c r="O3207" s="72"/>
      <c r="P3207" s="67"/>
      <c r="Q3207" s="67"/>
      <c r="R3207" s="67"/>
      <c r="S3207" s="67"/>
      <c r="T3207" s="32"/>
      <c r="U3207" s="32"/>
      <c r="X3207" s="32"/>
      <c r="Y3207" s="32"/>
      <c r="Z3207" s="32"/>
      <c r="AA3207" s="32"/>
      <c r="AB3207" s="32"/>
    </row>
    <row r="3208" spans="2:28" ht="23.25" customHeight="1" x14ac:dyDescent="0.2">
      <c r="B3208" s="75"/>
      <c r="C3208" s="67"/>
      <c r="D3208" s="75"/>
      <c r="E3208" s="67"/>
      <c r="F3208" s="67"/>
      <c r="G3208" s="70"/>
      <c r="H3208" s="70"/>
      <c r="I3208" s="70"/>
      <c r="J3208" s="70"/>
      <c r="K3208" s="70"/>
      <c r="L3208" s="67"/>
      <c r="M3208" s="67"/>
      <c r="N3208" s="72"/>
      <c r="O3208" s="72"/>
      <c r="P3208" s="67"/>
      <c r="Q3208" s="67"/>
      <c r="R3208" s="67"/>
      <c r="S3208" s="67"/>
      <c r="T3208" s="32"/>
      <c r="U3208" s="32"/>
      <c r="X3208" s="32"/>
      <c r="Y3208" s="32"/>
      <c r="Z3208" s="32"/>
      <c r="AA3208" s="32"/>
      <c r="AB3208" s="32"/>
    </row>
    <row r="3209" spans="2:28" ht="23.25" customHeight="1" x14ac:dyDescent="0.2">
      <c r="B3209" s="75"/>
      <c r="C3209" s="67"/>
      <c r="D3209" s="75"/>
      <c r="E3209" s="67"/>
      <c r="F3209" s="67"/>
      <c r="G3209" s="70"/>
      <c r="H3209" s="70"/>
      <c r="I3209" s="70"/>
      <c r="J3209" s="70"/>
      <c r="K3209" s="70"/>
      <c r="L3209" s="67"/>
      <c r="M3209" s="67"/>
      <c r="N3209" s="72"/>
      <c r="O3209" s="72"/>
      <c r="P3209" s="67"/>
      <c r="Q3209" s="67"/>
      <c r="R3209" s="67"/>
      <c r="S3209" s="67"/>
      <c r="T3209" s="32"/>
      <c r="U3209" s="32"/>
      <c r="X3209" s="32"/>
      <c r="Y3209" s="32"/>
      <c r="Z3209" s="32"/>
      <c r="AA3209" s="32"/>
      <c r="AB3209" s="32"/>
    </row>
    <row r="3210" spans="2:28" ht="23.25" customHeight="1" x14ac:dyDescent="0.2">
      <c r="B3210" s="75"/>
      <c r="C3210" s="67"/>
      <c r="D3210" s="75"/>
      <c r="E3210" s="67"/>
      <c r="F3210" s="67"/>
      <c r="G3210" s="70"/>
      <c r="H3210" s="70"/>
      <c r="I3210" s="70"/>
      <c r="J3210" s="70"/>
      <c r="K3210" s="70"/>
      <c r="L3210" s="67"/>
      <c r="M3210" s="67"/>
      <c r="N3210" s="72"/>
      <c r="O3210" s="72"/>
      <c r="P3210" s="67"/>
      <c r="Q3210" s="67"/>
      <c r="R3210" s="67"/>
      <c r="S3210" s="67"/>
      <c r="T3210" s="32"/>
      <c r="U3210" s="32"/>
      <c r="X3210" s="32"/>
      <c r="Y3210" s="32"/>
      <c r="Z3210" s="32"/>
      <c r="AA3210" s="32"/>
      <c r="AB3210" s="32"/>
    </row>
    <row r="3211" spans="2:28" ht="23.25" customHeight="1" x14ac:dyDescent="0.2">
      <c r="B3211" s="75"/>
      <c r="C3211" s="67"/>
      <c r="D3211" s="75"/>
      <c r="E3211" s="67"/>
      <c r="F3211" s="67"/>
      <c r="G3211" s="70"/>
      <c r="H3211" s="70"/>
      <c r="I3211" s="70"/>
      <c r="J3211" s="70"/>
      <c r="K3211" s="70"/>
      <c r="L3211" s="67"/>
      <c r="M3211" s="67"/>
      <c r="N3211" s="72"/>
      <c r="O3211" s="72"/>
      <c r="P3211" s="67"/>
      <c r="Q3211" s="67"/>
      <c r="R3211" s="67"/>
      <c r="S3211" s="67"/>
      <c r="T3211" s="32"/>
      <c r="U3211" s="32"/>
      <c r="X3211" s="32"/>
      <c r="Y3211" s="32"/>
      <c r="Z3211" s="32"/>
      <c r="AA3211" s="32"/>
      <c r="AB3211" s="32"/>
    </row>
    <row r="3212" spans="2:28" ht="23.25" customHeight="1" x14ac:dyDescent="0.2">
      <c r="B3212" s="75"/>
      <c r="C3212" s="67"/>
      <c r="D3212" s="75"/>
      <c r="E3212" s="67"/>
      <c r="F3212" s="67"/>
      <c r="G3212" s="70"/>
      <c r="H3212" s="70"/>
      <c r="I3212" s="70"/>
      <c r="J3212" s="70"/>
      <c r="K3212" s="70"/>
      <c r="L3212" s="67"/>
      <c r="M3212" s="67"/>
      <c r="N3212" s="72"/>
      <c r="O3212" s="72"/>
      <c r="P3212" s="67"/>
      <c r="Q3212" s="67"/>
      <c r="R3212" s="67"/>
      <c r="S3212" s="67"/>
      <c r="T3212" s="32"/>
      <c r="U3212" s="32"/>
      <c r="X3212" s="32"/>
      <c r="Y3212" s="32"/>
      <c r="Z3212" s="32"/>
      <c r="AA3212" s="32"/>
      <c r="AB3212" s="32"/>
    </row>
    <row r="3213" spans="2:28" ht="23.25" customHeight="1" x14ac:dyDescent="0.2">
      <c r="B3213" s="75"/>
      <c r="C3213" s="67"/>
      <c r="D3213" s="75"/>
      <c r="E3213" s="67"/>
      <c r="F3213" s="67"/>
      <c r="G3213" s="70"/>
      <c r="H3213" s="70"/>
      <c r="I3213" s="70"/>
      <c r="J3213" s="70"/>
      <c r="K3213" s="70"/>
      <c r="L3213" s="67"/>
      <c r="M3213" s="67"/>
      <c r="N3213" s="72"/>
      <c r="O3213" s="72"/>
      <c r="P3213" s="67"/>
      <c r="Q3213" s="67"/>
      <c r="R3213" s="67"/>
      <c r="S3213" s="67"/>
      <c r="T3213" s="32"/>
      <c r="U3213" s="32"/>
      <c r="X3213" s="32"/>
      <c r="Y3213" s="32"/>
      <c r="Z3213" s="32"/>
      <c r="AA3213" s="32"/>
      <c r="AB3213" s="32"/>
    </row>
    <row r="3214" spans="2:28" ht="23.25" customHeight="1" x14ac:dyDescent="0.2">
      <c r="B3214" s="75"/>
      <c r="C3214" s="67"/>
      <c r="D3214" s="75"/>
      <c r="E3214" s="67"/>
      <c r="F3214" s="67"/>
      <c r="G3214" s="70"/>
      <c r="H3214" s="70"/>
      <c r="I3214" s="70"/>
      <c r="J3214" s="70"/>
      <c r="K3214" s="70"/>
      <c r="L3214" s="67"/>
      <c r="M3214" s="67"/>
      <c r="N3214" s="72"/>
      <c r="O3214" s="72"/>
      <c r="P3214" s="67"/>
      <c r="Q3214" s="67"/>
      <c r="R3214" s="67"/>
      <c r="S3214" s="67"/>
      <c r="T3214" s="32"/>
      <c r="U3214" s="32"/>
      <c r="X3214" s="32"/>
      <c r="Y3214" s="32"/>
      <c r="Z3214" s="32"/>
      <c r="AA3214" s="32"/>
      <c r="AB3214" s="32"/>
    </row>
    <row r="3215" spans="2:28" ht="23.25" customHeight="1" x14ac:dyDescent="0.2">
      <c r="B3215" s="75"/>
      <c r="C3215" s="67"/>
      <c r="D3215" s="75"/>
      <c r="E3215" s="67"/>
      <c r="F3215" s="67"/>
      <c r="G3215" s="70"/>
      <c r="H3215" s="70"/>
      <c r="I3215" s="70"/>
      <c r="J3215" s="70"/>
      <c r="K3215" s="70"/>
      <c r="L3215" s="67"/>
      <c r="M3215" s="67"/>
      <c r="N3215" s="72"/>
      <c r="O3215" s="72"/>
      <c r="P3215" s="67"/>
      <c r="Q3215" s="67"/>
      <c r="R3215" s="67"/>
      <c r="S3215" s="67"/>
      <c r="T3215" s="32"/>
      <c r="U3215" s="32"/>
      <c r="X3215" s="32"/>
      <c r="Y3215" s="32"/>
      <c r="Z3215" s="32"/>
      <c r="AA3215" s="32"/>
      <c r="AB3215" s="32"/>
    </row>
    <row r="3216" spans="2:28" ht="23.25" customHeight="1" x14ac:dyDescent="0.2">
      <c r="B3216" s="75"/>
      <c r="C3216" s="67"/>
      <c r="D3216" s="75"/>
      <c r="E3216" s="67"/>
      <c r="F3216" s="67"/>
      <c r="G3216" s="70"/>
      <c r="H3216" s="70"/>
      <c r="I3216" s="70"/>
      <c r="J3216" s="70"/>
      <c r="K3216" s="70"/>
      <c r="L3216" s="67"/>
      <c r="M3216" s="67"/>
      <c r="N3216" s="72"/>
      <c r="O3216" s="72"/>
      <c r="P3216" s="67"/>
      <c r="Q3216" s="67"/>
      <c r="R3216" s="67"/>
      <c r="S3216" s="67"/>
      <c r="T3216" s="32"/>
      <c r="U3216" s="32"/>
      <c r="X3216" s="32"/>
      <c r="Y3216" s="32"/>
      <c r="Z3216" s="32"/>
      <c r="AA3216" s="32"/>
      <c r="AB3216" s="32"/>
    </row>
    <row r="3217" spans="2:28" ht="23.25" customHeight="1" x14ac:dyDescent="0.2">
      <c r="B3217" s="75"/>
      <c r="C3217" s="67"/>
      <c r="D3217" s="75"/>
      <c r="E3217" s="67"/>
      <c r="F3217" s="67"/>
      <c r="G3217" s="70"/>
      <c r="H3217" s="70"/>
      <c r="I3217" s="70"/>
      <c r="J3217" s="70"/>
      <c r="K3217" s="70"/>
      <c r="L3217" s="67"/>
      <c r="M3217" s="67"/>
      <c r="N3217" s="72"/>
      <c r="O3217" s="72"/>
      <c r="P3217" s="67"/>
      <c r="Q3217" s="67"/>
      <c r="R3217" s="67"/>
      <c r="S3217" s="67"/>
      <c r="T3217" s="32"/>
      <c r="U3217" s="32"/>
      <c r="X3217" s="32"/>
      <c r="Y3217" s="32"/>
      <c r="Z3217" s="32"/>
      <c r="AA3217" s="32"/>
      <c r="AB3217" s="32"/>
    </row>
    <row r="3218" spans="2:28" ht="23.25" customHeight="1" x14ac:dyDescent="0.2">
      <c r="B3218" s="75"/>
      <c r="C3218" s="67"/>
      <c r="D3218" s="75"/>
      <c r="E3218" s="67"/>
      <c r="F3218" s="67"/>
      <c r="G3218" s="70"/>
      <c r="H3218" s="70"/>
      <c r="I3218" s="70"/>
      <c r="J3218" s="70"/>
      <c r="K3218" s="70"/>
      <c r="L3218" s="67"/>
      <c r="M3218" s="67"/>
      <c r="N3218" s="72"/>
      <c r="O3218" s="72"/>
      <c r="P3218" s="67"/>
      <c r="Q3218" s="67"/>
      <c r="R3218" s="67"/>
      <c r="S3218" s="67"/>
      <c r="T3218" s="32"/>
      <c r="U3218" s="32"/>
      <c r="X3218" s="32"/>
      <c r="Y3218" s="32"/>
      <c r="Z3218" s="32"/>
      <c r="AA3218" s="32"/>
      <c r="AB3218" s="32"/>
    </row>
    <row r="3219" spans="2:28" ht="23.25" customHeight="1" x14ac:dyDescent="0.2">
      <c r="B3219" s="75"/>
      <c r="C3219" s="67"/>
      <c r="D3219" s="75"/>
      <c r="E3219" s="67"/>
      <c r="F3219" s="67"/>
      <c r="G3219" s="70"/>
      <c r="H3219" s="70"/>
      <c r="I3219" s="70"/>
      <c r="J3219" s="70"/>
      <c r="K3219" s="70"/>
      <c r="L3219" s="67"/>
      <c r="M3219" s="67"/>
      <c r="N3219" s="72"/>
      <c r="O3219" s="72"/>
      <c r="P3219" s="67"/>
      <c r="Q3219" s="67"/>
      <c r="R3219" s="67"/>
      <c r="S3219" s="67"/>
      <c r="T3219" s="32"/>
      <c r="U3219" s="32"/>
      <c r="X3219" s="32"/>
      <c r="Y3219" s="32"/>
      <c r="Z3219" s="32"/>
      <c r="AA3219" s="32"/>
      <c r="AB3219" s="32"/>
    </row>
    <row r="3220" spans="2:28" ht="23.25" customHeight="1" x14ac:dyDescent="0.2">
      <c r="B3220" s="75"/>
      <c r="C3220" s="67"/>
      <c r="D3220" s="75"/>
      <c r="E3220" s="67"/>
      <c r="F3220" s="67"/>
      <c r="G3220" s="70"/>
      <c r="H3220" s="70"/>
      <c r="I3220" s="70"/>
      <c r="J3220" s="70"/>
      <c r="K3220" s="70"/>
      <c r="L3220" s="67"/>
      <c r="M3220" s="67"/>
      <c r="N3220" s="72"/>
      <c r="O3220" s="72"/>
      <c r="P3220" s="67"/>
      <c r="Q3220" s="67"/>
      <c r="R3220" s="67"/>
      <c r="S3220" s="67"/>
      <c r="T3220" s="32"/>
      <c r="U3220" s="32"/>
      <c r="X3220" s="32"/>
      <c r="Y3220" s="32"/>
      <c r="Z3220" s="32"/>
      <c r="AA3220" s="32"/>
      <c r="AB3220" s="32"/>
    </row>
    <row r="3221" spans="2:28" ht="23.25" customHeight="1" x14ac:dyDescent="0.2">
      <c r="B3221" s="75"/>
      <c r="C3221" s="67"/>
      <c r="D3221" s="75"/>
      <c r="E3221" s="67"/>
      <c r="F3221" s="67"/>
      <c r="G3221" s="70"/>
      <c r="H3221" s="70"/>
      <c r="I3221" s="70"/>
      <c r="J3221" s="70"/>
      <c r="K3221" s="70"/>
      <c r="L3221" s="67"/>
      <c r="M3221" s="67"/>
      <c r="N3221" s="72"/>
      <c r="O3221" s="72"/>
      <c r="P3221" s="67"/>
      <c r="Q3221" s="67"/>
      <c r="R3221" s="67"/>
      <c r="S3221" s="67"/>
      <c r="T3221" s="32"/>
      <c r="U3221" s="32"/>
      <c r="X3221" s="32"/>
      <c r="Y3221" s="32"/>
      <c r="Z3221" s="32"/>
      <c r="AA3221" s="32"/>
      <c r="AB3221" s="32"/>
    </row>
    <row r="3222" spans="2:28" ht="23.25" customHeight="1" x14ac:dyDescent="0.2">
      <c r="B3222" s="75"/>
      <c r="C3222" s="67"/>
      <c r="D3222" s="75"/>
      <c r="E3222" s="67"/>
      <c r="F3222" s="67"/>
      <c r="G3222" s="70"/>
      <c r="H3222" s="70"/>
      <c r="I3222" s="70"/>
      <c r="J3222" s="70"/>
      <c r="K3222" s="70"/>
      <c r="L3222" s="67"/>
      <c r="M3222" s="67"/>
      <c r="N3222" s="72"/>
      <c r="O3222" s="72"/>
      <c r="P3222" s="67"/>
      <c r="Q3222" s="67"/>
      <c r="R3222" s="67"/>
      <c r="S3222" s="67"/>
      <c r="T3222" s="32"/>
      <c r="U3222" s="32"/>
      <c r="X3222" s="32"/>
      <c r="Y3222" s="32"/>
      <c r="Z3222" s="32"/>
      <c r="AA3222" s="32"/>
      <c r="AB3222" s="32"/>
    </row>
    <row r="3223" spans="2:28" ht="23.25" customHeight="1" x14ac:dyDescent="0.2">
      <c r="B3223" s="75"/>
      <c r="C3223" s="67"/>
      <c r="D3223" s="75"/>
      <c r="E3223" s="67"/>
      <c r="F3223" s="67"/>
      <c r="G3223" s="70"/>
      <c r="H3223" s="70"/>
      <c r="I3223" s="70"/>
      <c r="J3223" s="70"/>
      <c r="K3223" s="70"/>
      <c r="L3223" s="67"/>
      <c r="M3223" s="67"/>
      <c r="N3223" s="72"/>
      <c r="O3223" s="72"/>
      <c r="P3223" s="67"/>
      <c r="Q3223" s="67"/>
      <c r="R3223" s="67"/>
      <c r="S3223" s="67"/>
      <c r="T3223" s="32"/>
      <c r="U3223" s="32"/>
      <c r="X3223" s="32"/>
      <c r="Y3223" s="32"/>
      <c r="Z3223" s="32"/>
      <c r="AA3223" s="32"/>
      <c r="AB3223" s="32"/>
    </row>
    <row r="3224" spans="2:28" ht="23.25" customHeight="1" x14ac:dyDescent="0.2">
      <c r="B3224" s="75"/>
      <c r="C3224" s="67"/>
      <c r="D3224" s="75"/>
      <c r="E3224" s="67"/>
      <c r="F3224" s="67"/>
      <c r="G3224" s="70"/>
      <c r="H3224" s="70"/>
      <c r="I3224" s="70"/>
      <c r="J3224" s="70"/>
      <c r="K3224" s="70"/>
      <c r="L3224" s="67"/>
      <c r="M3224" s="67"/>
      <c r="N3224" s="72"/>
      <c r="O3224" s="72"/>
      <c r="P3224" s="67"/>
      <c r="Q3224" s="67"/>
      <c r="R3224" s="67"/>
      <c r="S3224" s="67"/>
      <c r="T3224" s="32"/>
      <c r="U3224" s="32"/>
      <c r="X3224" s="32"/>
      <c r="Y3224" s="32"/>
      <c r="Z3224" s="32"/>
      <c r="AA3224" s="32"/>
      <c r="AB3224" s="32"/>
    </row>
    <row r="3225" spans="2:28" ht="23.25" customHeight="1" x14ac:dyDescent="0.2">
      <c r="B3225" s="75"/>
      <c r="C3225" s="67"/>
      <c r="D3225" s="75"/>
      <c r="E3225" s="67"/>
      <c r="F3225" s="67"/>
      <c r="G3225" s="70"/>
      <c r="H3225" s="70"/>
      <c r="I3225" s="70"/>
      <c r="J3225" s="70"/>
      <c r="K3225" s="70"/>
      <c r="L3225" s="67"/>
      <c r="M3225" s="67"/>
      <c r="N3225" s="72"/>
      <c r="O3225" s="72"/>
      <c r="P3225" s="67"/>
      <c r="Q3225" s="67"/>
      <c r="R3225" s="67"/>
      <c r="S3225" s="67"/>
      <c r="T3225" s="32"/>
      <c r="U3225" s="32"/>
      <c r="X3225" s="32"/>
      <c r="Y3225" s="32"/>
      <c r="Z3225" s="32"/>
      <c r="AA3225" s="32"/>
      <c r="AB3225" s="32"/>
    </row>
    <row r="3226" spans="2:28" ht="23.25" customHeight="1" x14ac:dyDescent="0.2">
      <c r="B3226" s="75"/>
      <c r="C3226" s="67"/>
      <c r="D3226" s="75"/>
      <c r="E3226" s="67"/>
      <c r="F3226" s="67"/>
      <c r="G3226" s="70"/>
      <c r="H3226" s="70"/>
      <c r="I3226" s="70"/>
      <c r="J3226" s="70"/>
      <c r="K3226" s="70"/>
      <c r="L3226" s="67"/>
      <c r="M3226" s="67"/>
      <c r="N3226" s="72"/>
      <c r="O3226" s="72"/>
      <c r="P3226" s="67"/>
      <c r="Q3226" s="67"/>
      <c r="R3226" s="67"/>
      <c r="S3226" s="67"/>
      <c r="T3226" s="32"/>
      <c r="U3226" s="32"/>
      <c r="X3226" s="32"/>
      <c r="Y3226" s="32"/>
      <c r="Z3226" s="32"/>
      <c r="AA3226" s="32"/>
      <c r="AB3226" s="32"/>
    </row>
    <row r="3227" spans="2:28" ht="23.25" customHeight="1" x14ac:dyDescent="0.2">
      <c r="B3227" s="75"/>
      <c r="C3227" s="67"/>
      <c r="D3227" s="75"/>
      <c r="E3227" s="67"/>
      <c r="F3227" s="67"/>
      <c r="G3227" s="70"/>
      <c r="H3227" s="70"/>
      <c r="I3227" s="70"/>
      <c r="J3227" s="70"/>
      <c r="K3227" s="70"/>
      <c r="L3227" s="67"/>
      <c r="M3227" s="67"/>
      <c r="N3227" s="72"/>
      <c r="O3227" s="72"/>
      <c r="P3227" s="67"/>
      <c r="Q3227" s="67"/>
      <c r="R3227" s="67"/>
      <c r="S3227" s="67"/>
      <c r="T3227" s="32"/>
      <c r="U3227" s="32"/>
      <c r="X3227" s="32"/>
      <c r="Y3227" s="32"/>
      <c r="Z3227" s="32"/>
      <c r="AA3227" s="32"/>
      <c r="AB3227" s="32"/>
    </row>
    <row r="3228" spans="2:28" ht="23.25" customHeight="1" x14ac:dyDescent="0.2">
      <c r="B3228" s="75"/>
      <c r="C3228" s="67"/>
      <c r="D3228" s="75"/>
      <c r="E3228" s="67"/>
      <c r="F3228" s="67"/>
      <c r="G3228" s="70"/>
      <c r="H3228" s="70"/>
      <c r="I3228" s="70"/>
      <c r="J3228" s="70"/>
      <c r="K3228" s="70"/>
      <c r="L3228" s="67"/>
      <c r="M3228" s="67"/>
      <c r="N3228" s="72"/>
      <c r="O3228" s="72"/>
      <c r="P3228" s="67"/>
      <c r="Q3228" s="67"/>
      <c r="R3228" s="67"/>
      <c r="S3228" s="67"/>
      <c r="T3228" s="32"/>
      <c r="U3228" s="32"/>
      <c r="X3228" s="32"/>
      <c r="Y3228" s="32"/>
      <c r="Z3228" s="32"/>
      <c r="AA3228" s="32"/>
      <c r="AB3228" s="32"/>
    </row>
    <row r="3229" spans="2:28" ht="23.25" customHeight="1" x14ac:dyDescent="0.2">
      <c r="B3229" s="75"/>
      <c r="C3229" s="67"/>
      <c r="D3229" s="75"/>
      <c r="E3229" s="67"/>
      <c r="F3229" s="67"/>
      <c r="G3229" s="70"/>
      <c r="H3229" s="70"/>
      <c r="I3229" s="70"/>
      <c r="J3229" s="70"/>
      <c r="K3229" s="70"/>
      <c r="L3229" s="67"/>
      <c r="M3229" s="67"/>
      <c r="N3229" s="72"/>
      <c r="O3229" s="72"/>
      <c r="P3229" s="67"/>
      <c r="Q3229" s="67"/>
      <c r="R3229" s="67"/>
      <c r="S3229" s="67"/>
      <c r="T3229" s="32"/>
      <c r="U3229" s="32"/>
      <c r="X3229" s="32"/>
      <c r="Y3229" s="32"/>
      <c r="Z3229" s="32"/>
      <c r="AA3229" s="32"/>
      <c r="AB3229" s="32"/>
    </row>
    <row r="3230" spans="2:28" ht="23.25" customHeight="1" x14ac:dyDescent="0.2">
      <c r="B3230" s="75"/>
      <c r="C3230" s="67"/>
      <c r="D3230" s="75"/>
      <c r="E3230" s="67"/>
      <c r="F3230" s="67"/>
      <c r="G3230" s="70"/>
      <c r="H3230" s="70"/>
      <c r="I3230" s="70"/>
      <c r="J3230" s="70"/>
      <c r="K3230" s="70"/>
      <c r="L3230" s="67"/>
      <c r="M3230" s="67"/>
      <c r="N3230" s="72"/>
      <c r="O3230" s="72"/>
      <c r="P3230" s="67"/>
      <c r="Q3230" s="67"/>
      <c r="R3230" s="67"/>
      <c r="S3230" s="67"/>
      <c r="T3230" s="32"/>
      <c r="U3230" s="32"/>
      <c r="X3230" s="32"/>
      <c r="Y3230" s="32"/>
      <c r="Z3230" s="32"/>
      <c r="AA3230" s="32"/>
      <c r="AB3230" s="32"/>
    </row>
    <row r="3231" spans="2:28" ht="23.25" customHeight="1" x14ac:dyDescent="0.2">
      <c r="B3231" s="75"/>
      <c r="C3231" s="67"/>
      <c r="D3231" s="75"/>
      <c r="E3231" s="67"/>
      <c r="F3231" s="67"/>
      <c r="G3231" s="70"/>
      <c r="H3231" s="70"/>
      <c r="I3231" s="70"/>
      <c r="J3231" s="70"/>
      <c r="K3231" s="70"/>
      <c r="L3231" s="67"/>
      <c r="M3231" s="67"/>
      <c r="N3231" s="72"/>
      <c r="O3231" s="72"/>
      <c r="P3231" s="67"/>
      <c r="Q3231" s="67"/>
      <c r="R3231" s="67"/>
      <c r="S3231" s="67"/>
      <c r="T3231" s="32"/>
      <c r="U3231" s="32"/>
      <c r="X3231" s="32"/>
      <c r="Y3231" s="32"/>
      <c r="Z3231" s="32"/>
      <c r="AA3231" s="32"/>
      <c r="AB3231" s="32"/>
    </row>
    <row r="3232" spans="2:28" ht="23.25" customHeight="1" x14ac:dyDescent="0.2">
      <c r="B3232" s="75"/>
      <c r="C3232" s="67"/>
      <c r="D3232" s="75"/>
      <c r="E3232" s="67"/>
      <c r="F3232" s="67"/>
      <c r="G3232" s="70"/>
      <c r="H3232" s="70"/>
      <c r="I3232" s="70"/>
      <c r="J3232" s="70"/>
      <c r="K3232" s="70"/>
      <c r="L3232" s="67"/>
      <c r="M3232" s="67"/>
      <c r="N3232" s="72"/>
      <c r="O3232" s="72"/>
      <c r="P3232" s="67"/>
      <c r="Q3232" s="67"/>
      <c r="R3232" s="67"/>
      <c r="S3232" s="67"/>
      <c r="T3232" s="32"/>
      <c r="U3232" s="32"/>
      <c r="X3232" s="32"/>
      <c r="Y3232" s="32"/>
      <c r="Z3232" s="32"/>
      <c r="AA3232" s="32"/>
      <c r="AB3232" s="32"/>
    </row>
    <row r="3233" spans="2:28" ht="23.25" customHeight="1" x14ac:dyDescent="0.2">
      <c r="B3233" s="75"/>
      <c r="C3233" s="67"/>
      <c r="D3233" s="75"/>
      <c r="E3233" s="67"/>
      <c r="F3233" s="67"/>
      <c r="G3233" s="70"/>
      <c r="H3233" s="70"/>
      <c r="I3233" s="70"/>
      <c r="J3233" s="70"/>
      <c r="K3233" s="70"/>
      <c r="L3233" s="67"/>
      <c r="M3233" s="67"/>
      <c r="N3233" s="72"/>
      <c r="O3233" s="72"/>
      <c r="P3233" s="67"/>
      <c r="Q3233" s="67"/>
      <c r="R3233" s="67"/>
      <c r="S3233" s="67"/>
      <c r="T3233" s="32"/>
      <c r="U3233" s="32"/>
      <c r="X3233" s="32"/>
      <c r="Y3233" s="32"/>
      <c r="Z3233" s="32"/>
      <c r="AA3233" s="32"/>
      <c r="AB3233" s="32"/>
    </row>
    <row r="3234" spans="2:28" ht="23.25" customHeight="1" x14ac:dyDescent="0.2">
      <c r="B3234" s="75"/>
      <c r="C3234" s="67"/>
      <c r="D3234" s="75"/>
      <c r="E3234" s="67"/>
      <c r="F3234" s="67"/>
      <c r="G3234" s="70"/>
      <c r="H3234" s="70"/>
      <c r="I3234" s="70"/>
      <c r="J3234" s="70"/>
      <c r="K3234" s="70"/>
      <c r="L3234" s="67"/>
      <c r="M3234" s="67"/>
      <c r="N3234" s="72"/>
      <c r="O3234" s="72"/>
      <c r="P3234" s="67"/>
      <c r="Q3234" s="67"/>
      <c r="R3234" s="67"/>
      <c r="S3234" s="67"/>
      <c r="T3234" s="32"/>
      <c r="U3234" s="32"/>
      <c r="X3234" s="32"/>
      <c r="Y3234" s="32"/>
      <c r="Z3234" s="32"/>
      <c r="AA3234" s="32"/>
      <c r="AB3234" s="32"/>
    </row>
    <row r="3235" spans="2:28" ht="23.25" customHeight="1" x14ac:dyDescent="0.2">
      <c r="B3235" s="75"/>
      <c r="C3235" s="67"/>
      <c r="D3235" s="75"/>
      <c r="E3235" s="67"/>
      <c r="F3235" s="67"/>
      <c r="G3235" s="70"/>
      <c r="H3235" s="70"/>
      <c r="I3235" s="70"/>
      <c r="J3235" s="70"/>
      <c r="K3235" s="70"/>
      <c r="L3235" s="67"/>
      <c r="M3235" s="67"/>
      <c r="N3235" s="72"/>
      <c r="O3235" s="72"/>
      <c r="P3235" s="67"/>
      <c r="Q3235" s="67"/>
      <c r="R3235" s="67"/>
      <c r="S3235" s="67"/>
      <c r="T3235" s="32"/>
      <c r="U3235" s="32"/>
      <c r="X3235" s="32"/>
      <c r="Y3235" s="32"/>
      <c r="Z3235" s="32"/>
      <c r="AA3235" s="32"/>
      <c r="AB3235" s="32"/>
    </row>
    <row r="3236" spans="2:28" ht="23.25" customHeight="1" x14ac:dyDescent="0.2">
      <c r="B3236" s="75"/>
      <c r="C3236" s="67"/>
      <c r="D3236" s="75"/>
      <c r="E3236" s="67"/>
      <c r="F3236" s="67"/>
      <c r="G3236" s="70"/>
      <c r="H3236" s="70"/>
      <c r="I3236" s="70"/>
      <c r="J3236" s="70"/>
      <c r="K3236" s="70"/>
      <c r="L3236" s="67"/>
      <c r="M3236" s="67"/>
      <c r="N3236" s="72"/>
      <c r="O3236" s="72"/>
      <c r="P3236" s="67"/>
      <c r="Q3236" s="67"/>
      <c r="R3236" s="67"/>
      <c r="S3236" s="67"/>
      <c r="T3236" s="32"/>
      <c r="U3236" s="32"/>
      <c r="X3236" s="32"/>
      <c r="Y3236" s="32"/>
      <c r="Z3236" s="32"/>
      <c r="AA3236" s="32"/>
      <c r="AB3236" s="32"/>
    </row>
    <row r="3237" spans="2:28" ht="23.25" customHeight="1" x14ac:dyDescent="0.2">
      <c r="B3237" s="75"/>
      <c r="C3237" s="67"/>
      <c r="D3237" s="75"/>
      <c r="E3237" s="67"/>
      <c r="F3237" s="67"/>
      <c r="G3237" s="70"/>
      <c r="H3237" s="70"/>
      <c r="I3237" s="70"/>
      <c r="J3237" s="70"/>
      <c r="K3237" s="70"/>
      <c r="L3237" s="67"/>
      <c r="M3237" s="67"/>
      <c r="N3237" s="72"/>
      <c r="O3237" s="72"/>
      <c r="P3237" s="67"/>
      <c r="Q3237" s="67"/>
      <c r="R3237" s="67"/>
      <c r="S3237" s="67"/>
      <c r="T3237" s="32"/>
      <c r="U3237" s="32"/>
      <c r="X3237" s="32"/>
      <c r="Y3237" s="32"/>
      <c r="Z3237" s="32"/>
      <c r="AA3237" s="32"/>
      <c r="AB3237" s="32"/>
    </row>
    <row r="3238" spans="2:28" ht="23.25" customHeight="1" x14ac:dyDescent="0.2">
      <c r="B3238" s="75"/>
      <c r="C3238" s="67"/>
      <c r="D3238" s="75"/>
      <c r="E3238" s="67"/>
      <c r="F3238" s="67"/>
      <c r="G3238" s="70"/>
      <c r="H3238" s="70"/>
      <c r="I3238" s="70"/>
      <c r="J3238" s="70"/>
      <c r="K3238" s="70"/>
      <c r="L3238" s="67"/>
      <c r="M3238" s="67"/>
      <c r="N3238" s="72"/>
      <c r="O3238" s="72"/>
      <c r="P3238" s="67"/>
      <c r="Q3238" s="67"/>
      <c r="R3238" s="67"/>
      <c r="S3238" s="67"/>
      <c r="T3238" s="32"/>
      <c r="U3238" s="32"/>
      <c r="X3238" s="32"/>
      <c r="Y3238" s="32"/>
      <c r="Z3238" s="32"/>
      <c r="AA3238" s="32"/>
      <c r="AB3238" s="32"/>
    </row>
    <row r="3239" spans="2:28" ht="23.25" customHeight="1" x14ac:dyDescent="0.2">
      <c r="B3239" s="75"/>
      <c r="C3239" s="67"/>
      <c r="D3239" s="75"/>
      <c r="E3239" s="67"/>
      <c r="F3239" s="67"/>
      <c r="G3239" s="70"/>
      <c r="H3239" s="70"/>
      <c r="I3239" s="70"/>
      <c r="J3239" s="70"/>
      <c r="K3239" s="70"/>
      <c r="L3239" s="67"/>
      <c r="M3239" s="67"/>
      <c r="N3239" s="72"/>
      <c r="O3239" s="72"/>
      <c r="P3239" s="67"/>
      <c r="Q3239" s="67"/>
      <c r="R3239" s="67"/>
      <c r="S3239" s="67"/>
      <c r="T3239" s="32"/>
      <c r="U3239" s="32"/>
      <c r="X3239" s="32"/>
      <c r="Y3239" s="32"/>
      <c r="Z3239" s="32"/>
      <c r="AA3239" s="32"/>
      <c r="AB3239" s="32"/>
    </row>
    <row r="3240" spans="2:28" ht="23.25" customHeight="1" x14ac:dyDescent="0.2">
      <c r="B3240" s="75"/>
      <c r="C3240" s="67"/>
      <c r="D3240" s="75"/>
      <c r="E3240" s="67"/>
      <c r="F3240" s="67"/>
      <c r="G3240" s="70"/>
      <c r="H3240" s="70"/>
      <c r="I3240" s="70"/>
      <c r="J3240" s="70"/>
      <c r="K3240" s="70"/>
      <c r="L3240" s="67"/>
      <c r="M3240" s="67"/>
      <c r="N3240" s="72"/>
      <c r="O3240" s="72"/>
      <c r="P3240" s="67"/>
      <c r="Q3240" s="67"/>
      <c r="R3240" s="67"/>
      <c r="S3240" s="67"/>
      <c r="T3240" s="32"/>
      <c r="U3240" s="32"/>
      <c r="X3240" s="32"/>
      <c r="Y3240" s="32"/>
      <c r="Z3240" s="32"/>
      <c r="AA3240" s="32"/>
      <c r="AB3240" s="32"/>
    </row>
    <row r="3241" spans="2:28" ht="23.25" customHeight="1" x14ac:dyDescent="0.2">
      <c r="B3241" s="75"/>
      <c r="C3241" s="67"/>
      <c r="D3241" s="75"/>
      <c r="E3241" s="67"/>
      <c r="F3241" s="67"/>
      <c r="G3241" s="70"/>
      <c r="H3241" s="70"/>
      <c r="I3241" s="70"/>
      <c r="J3241" s="70"/>
      <c r="K3241" s="70"/>
      <c r="L3241" s="67"/>
      <c r="M3241" s="67"/>
      <c r="N3241" s="72"/>
      <c r="O3241" s="72"/>
      <c r="P3241" s="67"/>
      <c r="Q3241" s="67"/>
      <c r="R3241" s="67"/>
      <c r="S3241" s="67"/>
      <c r="T3241" s="32"/>
      <c r="U3241" s="32"/>
      <c r="X3241" s="32"/>
      <c r="Y3241" s="32"/>
      <c r="Z3241" s="32"/>
      <c r="AA3241" s="32"/>
      <c r="AB3241" s="32"/>
    </row>
    <row r="3242" spans="2:28" ht="23.25" customHeight="1" x14ac:dyDescent="0.2">
      <c r="B3242" s="75"/>
      <c r="C3242" s="67"/>
      <c r="D3242" s="75"/>
      <c r="E3242" s="67"/>
      <c r="F3242" s="67"/>
      <c r="G3242" s="70"/>
      <c r="H3242" s="70"/>
      <c r="I3242" s="70"/>
      <c r="J3242" s="70"/>
      <c r="K3242" s="70"/>
      <c r="L3242" s="67"/>
      <c r="M3242" s="67"/>
      <c r="N3242" s="72"/>
      <c r="O3242" s="72"/>
      <c r="P3242" s="67"/>
      <c r="Q3242" s="67"/>
      <c r="R3242" s="67"/>
      <c r="S3242" s="67"/>
      <c r="T3242" s="32"/>
      <c r="U3242" s="32"/>
      <c r="X3242" s="32"/>
      <c r="Y3242" s="32"/>
      <c r="Z3242" s="32"/>
      <c r="AA3242" s="32"/>
      <c r="AB3242" s="32"/>
    </row>
    <row r="3243" spans="2:28" ht="23.25" customHeight="1" x14ac:dyDescent="0.2">
      <c r="B3243" s="75"/>
      <c r="C3243" s="67"/>
      <c r="D3243" s="75"/>
      <c r="E3243" s="67"/>
      <c r="F3243" s="67"/>
      <c r="G3243" s="70"/>
      <c r="H3243" s="70"/>
      <c r="I3243" s="70"/>
      <c r="J3243" s="70"/>
      <c r="K3243" s="70"/>
      <c r="L3243" s="67"/>
      <c r="M3243" s="67"/>
      <c r="N3243" s="72"/>
      <c r="O3243" s="72"/>
      <c r="P3243" s="67"/>
      <c r="Q3243" s="67"/>
      <c r="R3243" s="67"/>
      <c r="S3243" s="67"/>
      <c r="T3243" s="32"/>
      <c r="U3243" s="32"/>
      <c r="X3243" s="32"/>
      <c r="Y3243" s="32"/>
      <c r="Z3243" s="32"/>
      <c r="AA3243" s="32"/>
      <c r="AB3243" s="32"/>
    </row>
    <row r="3244" spans="2:28" ht="23.25" customHeight="1" x14ac:dyDescent="0.2">
      <c r="B3244" s="75"/>
      <c r="C3244" s="67"/>
      <c r="D3244" s="75"/>
      <c r="E3244" s="67"/>
      <c r="F3244" s="67"/>
      <c r="G3244" s="70"/>
      <c r="H3244" s="70"/>
      <c r="I3244" s="70"/>
      <c r="J3244" s="70"/>
      <c r="K3244" s="70"/>
      <c r="L3244" s="67"/>
      <c r="M3244" s="67"/>
      <c r="N3244" s="72"/>
      <c r="O3244" s="72"/>
      <c r="P3244" s="67"/>
      <c r="Q3244" s="67"/>
      <c r="R3244" s="67"/>
      <c r="S3244" s="67"/>
      <c r="T3244" s="32"/>
      <c r="U3244" s="32"/>
      <c r="X3244" s="32"/>
      <c r="Y3244" s="32"/>
      <c r="Z3244" s="32"/>
      <c r="AA3244" s="32"/>
      <c r="AB3244" s="32"/>
    </row>
    <row r="3245" spans="2:28" ht="23.25" customHeight="1" x14ac:dyDescent="0.2">
      <c r="B3245" s="75"/>
      <c r="C3245" s="67"/>
      <c r="D3245" s="75"/>
      <c r="E3245" s="67"/>
      <c r="F3245" s="67"/>
      <c r="G3245" s="70"/>
      <c r="H3245" s="70"/>
      <c r="I3245" s="70"/>
      <c r="J3245" s="70"/>
      <c r="K3245" s="70"/>
      <c r="L3245" s="67"/>
      <c r="M3245" s="67"/>
      <c r="N3245" s="72"/>
      <c r="O3245" s="72"/>
      <c r="P3245" s="67"/>
      <c r="Q3245" s="67"/>
      <c r="R3245" s="67"/>
      <c r="S3245" s="67"/>
      <c r="T3245" s="32"/>
      <c r="U3245" s="32"/>
      <c r="X3245" s="32"/>
      <c r="Y3245" s="32"/>
      <c r="Z3245" s="32"/>
      <c r="AA3245" s="32"/>
      <c r="AB3245" s="32"/>
    </row>
    <row r="3246" spans="2:28" ht="23.25" customHeight="1" x14ac:dyDescent="0.2">
      <c r="B3246" s="75"/>
      <c r="C3246" s="67"/>
      <c r="D3246" s="75"/>
      <c r="E3246" s="67"/>
      <c r="F3246" s="67"/>
      <c r="G3246" s="70"/>
      <c r="H3246" s="70"/>
      <c r="I3246" s="70"/>
      <c r="J3246" s="70"/>
      <c r="K3246" s="70"/>
      <c r="L3246" s="67"/>
      <c r="M3246" s="67"/>
      <c r="N3246" s="72"/>
      <c r="O3246" s="72"/>
      <c r="P3246" s="67"/>
      <c r="Q3246" s="67"/>
      <c r="R3246" s="67"/>
      <c r="S3246" s="67"/>
      <c r="T3246" s="32"/>
      <c r="U3246" s="32"/>
      <c r="X3246" s="32"/>
      <c r="Y3246" s="32"/>
      <c r="Z3246" s="32"/>
      <c r="AA3246" s="32"/>
      <c r="AB3246" s="32"/>
    </row>
    <row r="3247" spans="2:28" ht="23.25" customHeight="1" x14ac:dyDescent="0.2">
      <c r="B3247" s="75"/>
      <c r="C3247" s="67"/>
      <c r="D3247" s="75"/>
      <c r="E3247" s="67"/>
      <c r="F3247" s="67"/>
      <c r="G3247" s="70"/>
      <c r="H3247" s="70"/>
      <c r="I3247" s="70"/>
      <c r="J3247" s="70"/>
      <c r="K3247" s="70"/>
      <c r="L3247" s="67"/>
      <c r="M3247" s="67"/>
      <c r="N3247" s="72"/>
      <c r="O3247" s="72"/>
      <c r="P3247" s="67"/>
      <c r="Q3247" s="67"/>
      <c r="R3247" s="67"/>
      <c r="S3247" s="67"/>
      <c r="T3247" s="32"/>
      <c r="U3247" s="32"/>
      <c r="X3247" s="32"/>
      <c r="Y3247" s="32"/>
      <c r="Z3247" s="32"/>
      <c r="AA3247" s="32"/>
      <c r="AB3247" s="32"/>
    </row>
    <row r="3248" spans="2:28" ht="23.25" customHeight="1" x14ac:dyDescent="0.2">
      <c r="B3248" s="75"/>
      <c r="C3248" s="67"/>
      <c r="D3248" s="75"/>
      <c r="E3248" s="67"/>
      <c r="F3248" s="67"/>
      <c r="G3248" s="70"/>
      <c r="H3248" s="70"/>
      <c r="I3248" s="70"/>
      <c r="J3248" s="70"/>
      <c r="K3248" s="70"/>
      <c r="L3248" s="67"/>
      <c r="M3248" s="67"/>
      <c r="N3248" s="72"/>
      <c r="O3248" s="72"/>
      <c r="P3248" s="67"/>
      <c r="Q3248" s="67"/>
      <c r="R3248" s="67"/>
      <c r="S3248" s="67"/>
      <c r="T3248" s="32"/>
      <c r="U3248" s="32"/>
      <c r="X3248" s="32"/>
      <c r="Y3248" s="32"/>
      <c r="Z3248" s="32"/>
      <c r="AA3248" s="32"/>
      <c r="AB3248" s="32"/>
    </row>
    <row r="3249" spans="2:28" ht="23.25" customHeight="1" x14ac:dyDescent="0.2">
      <c r="B3249" s="75"/>
      <c r="C3249" s="67"/>
      <c r="D3249" s="75"/>
      <c r="E3249" s="67"/>
      <c r="F3249" s="67"/>
      <c r="G3249" s="70"/>
      <c r="H3249" s="70"/>
      <c r="I3249" s="70"/>
      <c r="J3249" s="70"/>
      <c r="K3249" s="70"/>
      <c r="L3249" s="67"/>
      <c r="M3249" s="67"/>
      <c r="N3249" s="72"/>
      <c r="O3249" s="72"/>
      <c r="P3249" s="67"/>
      <c r="Q3249" s="67"/>
      <c r="R3249" s="67"/>
      <c r="S3249" s="67"/>
      <c r="T3249" s="32"/>
      <c r="U3249" s="32"/>
      <c r="X3249" s="32"/>
      <c r="Y3249" s="32"/>
      <c r="Z3249" s="32"/>
      <c r="AA3249" s="32"/>
      <c r="AB3249" s="32"/>
    </row>
    <row r="3250" spans="2:28" ht="23.25" customHeight="1" x14ac:dyDescent="0.2">
      <c r="B3250" s="75"/>
      <c r="C3250" s="67"/>
      <c r="D3250" s="75"/>
      <c r="E3250" s="67"/>
      <c r="F3250" s="67"/>
      <c r="G3250" s="70"/>
      <c r="H3250" s="70"/>
      <c r="I3250" s="70"/>
      <c r="J3250" s="70"/>
      <c r="K3250" s="70"/>
      <c r="L3250" s="67"/>
      <c r="M3250" s="67"/>
      <c r="N3250" s="72"/>
      <c r="O3250" s="72"/>
      <c r="P3250" s="67"/>
      <c r="Q3250" s="67"/>
      <c r="R3250" s="67"/>
      <c r="S3250" s="67"/>
      <c r="T3250" s="32"/>
      <c r="U3250" s="32"/>
      <c r="X3250" s="32"/>
      <c r="Y3250" s="32"/>
      <c r="Z3250" s="32"/>
      <c r="AA3250" s="32"/>
      <c r="AB3250" s="32"/>
    </row>
    <row r="3251" spans="2:28" ht="23.25" customHeight="1" x14ac:dyDescent="0.2">
      <c r="B3251" s="75"/>
      <c r="C3251" s="67"/>
      <c r="D3251" s="75"/>
      <c r="E3251" s="67"/>
      <c r="F3251" s="67"/>
      <c r="G3251" s="70"/>
      <c r="H3251" s="70"/>
      <c r="I3251" s="70"/>
      <c r="J3251" s="70"/>
      <c r="K3251" s="70"/>
      <c r="L3251" s="67"/>
      <c r="M3251" s="67"/>
      <c r="N3251" s="72"/>
      <c r="O3251" s="72"/>
      <c r="P3251" s="67"/>
      <c r="Q3251" s="67"/>
      <c r="R3251" s="67"/>
      <c r="S3251" s="67"/>
      <c r="T3251" s="32"/>
      <c r="U3251" s="32"/>
      <c r="X3251" s="32"/>
      <c r="Y3251" s="32"/>
      <c r="Z3251" s="32"/>
      <c r="AA3251" s="32"/>
      <c r="AB3251" s="32"/>
    </row>
    <row r="3252" spans="2:28" ht="23.25" customHeight="1" x14ac:dyDescent="0.2">
      <c r="B3252" s="75"/>
      <c r="C3252" s="67"/>
      <c r="D3252" s="75"/>
      <c r="E3252" s="67"/>
      <c r="F3252" s="67"/>
      <c r="G3252" s="70"/>
      <c r="H3252" s="70"/>
      <c r="I3252" s="70"/>
      <c r="J3252" s="70"/>
      <c r="K3252" s="70"/>
      <c r="L3252" s="67"/>
      <c r="M3252" s="67"/>
      <c r="N3252" s="72"/>
      <c r="O3252" s="72"/>
      <c r="P3252" s="67"/>
      <c r="Q3252" s="67"/>
      <c r="R3252" s="67"/>
      <c r="S3252" s="67"/>
      <c r="T3252" s="32"/>
      <c r="U3252" s="32"/>
      <c r="X3252" s="32"/>
      <c r="Y3252" s="32"/>
      <c r="Z3252" s="32"/>
      <c r="AA3252" s="32"/>
      <c r="AB3252" s="32"/>
    </row>
    <row r="3253" spans="2:28" ht="23.25" customHeight="1" x14ac:dyDescent="0.2">
      <c r="B3253" s="75"/>
      <c r="C3253" s="67"/>
      <c r="D3253" s="75"/>
      <c r="E3253" s="67"/>
      <c r="F3253" s="67"/>
      <c r="G3253" s="70"/>
      <c r="H3253" s="70"/>
      <c r="I3253" s="70"/>
      <c r="J3253" s="70"/>
      <c r="K3253" s="70"/>
      <c r="L3253" s="67"/>
      <c r="M3253" s="67"/>
      <c r="N3253" s="72"/>
      <c r="O3253" s="72"/>
      <c r="P3253" s="67"/>
      <c r="Q3253" s="67"/>
      <c r="R3253" s="67"/>
      <c r="S3253" s="67"/>
      <c r="T3253" s="32"/>
      <c r="U3253" s="32"/>
      <c r="X3253" s="32"/>
      <c r="Y3253" s="32"/>
      <c r="Z3253" s="32"/>
      <c r="AA3253" s="32"/>
      <c r="AB3253" s="32"/>
    </row>
    <row r="3254" spans="2:28" ht="23.25" customHeight="1" x14ac:dyDescent="0.2">
      <c r="B3254" s="75"/>
      <c r="C3254" s="67"/>
      <c r="D3254" s="75"/>
      <c r="E3254" s="67"/>
      <c r="F3254" s="67"/>
      <c r="G3254" s="70"/>
      <c r="H3254" s="70"/>
      <c r="I3254" s="70"/>
      <c r="J3254" s="70"/>
      <c r="K3254" s="70"/>
      <c r="L3254" s="67"/>
      <c r="M3254" s="67"/>
      <c r="N3254" s="72"/>
      <c r="O3254" s="72"/>
      <c r="P3254" s="67"/>
      <c r="Q3254" s="67"/>
      <c r="R3254" s="67"/>
      <c r="S3254" s="67"/>
      <c r="T3254" s="32"/>
      <c r="U3254" s="32"/>
      <c r="X3254" s="32"/>
      <c r="Y3254" s="32"/>
      <c r="Z3254" s="32"/>
      <c r="AA3254" s="32"/>
      <c r="AB3254" s="32"/>
    </row>
    <row r="3255" spans="2:28" ht="23.25" customHeight="1" x14ac:dyDescent="0.2">
      <c r="B3255" s="75"/>
      <c r="C3255" s="67"/>
      <c r="D3255" s="75"/>
      <c r="E3255" s="67"/>
      <c r="F3255" s="67"/>
      <c r="G3255" s="70"/>
      <c r="H3255" s="70"/>
      <c r="I3255" s="70"/>
      <c r="J3255" s="70"/>
      <c r="K3255" s="70"/>
      <c r="L3255" s="67"/>
      <c r="M3255" s="67"/>
      <c r="N3255" s="72"/>
      <c r="O3255" s="72"/>
      <c r="P3255" s="67"/>
      <c r="Q3255" s="67"/>
      <c r="R3255" s="67"/>
      <c r="S3255" s="67"/>
      <c r="T3255" s="32"/>
      <c r="U3255" s="32"/>
      <c r="X3255" s="32"/>
      <c r="Y3255" s="32"/>
      <c r="Z3255" s="32"/>
      <c r="AA3255" s="32"/>
      <c r="AB3255" s="32"/>
    </row>
    <row r="3256" spans="2:28" ht="23.25" customHeight="1" x14ac:dyDescent="0.2">
      <c r="B3256" s="75"/>
      <c r="C3256" s="67"/>
      <c r="D3256" s="75"/>
      <c r="E3256" s="67"/>
      <c r="F3256" s="67"/>
      <c r="G3256" s="70"/>
      <c r="H3256" s="70"/>
      <c r="I3256" s="70"/>
      <c r="J3256" s="70"/>
      <c r="K3256" s="70"/>
      <c r="L3256" s="67"/>
      <c r="M3256" s="67"/>
      <c r="N3256" s="72"/>
      <c r="O3256" s="72"/>
      <c r="P3256" s="67"/>
      <c r="Q3256" s="67"/>
      <c r="R3256" s="67"/>
      <c r="S3256" s="67"/>
      <c r="T3256" s="32"/>
      <c r="U3256" s="32"/>
      <c r="X3256" s="32"/>
      <c r="Y3256" s="32"/>
      <c r="Z3256" s="32"/>
      <c r="AA3256" s="32"/>
      <c r="AB3256" s="32"/>
    </row>
    <row r="3257" spans="2:28" ht="23.25" customHeight="1" x14ac:dyDescent="0.2">
      <c r="B3257" s="75"/>
      <c r="C3257" s="67"/>
      <c r="D3257" s="75"/>
      <c r="E3257" s="67"/>
      <c r="F3257" s="67"/>
      <c r="G3257" s="70"/>
      <c r="H3257" s="70"/>
      <c r="I3257" s="70"/>
      <c r="J3257" s="70"/>
      <c r="K3257" s="70"/>
      <c r="L3257" s="67"/>
      <c r="M3257" s="67"/>
      <c r="N3257" s="72"/>
      <c r="O3257" s="72"/>
      <c r="P3257" s="67"/>
      <c r="Q3257" s="67"/>
      <c r="R3257" s="67"/>
      <c r="S3257" s="67"/>
      <c r="T3257" s="32"/>
      <c r="U3257" s="32"/>
      <c r="X3257" s="32"/>
      <c r="Y3257" s="32"/>
      <c r="Z3257" s="32"/>
      <c r="AA3257" s="32"/>
      <c r="AB3257" s="32"/>
    </row>
    <row r="3258" spans="2:28" ht="23.25" customHeight="1" x14ac:dyDescent="0.2">
      <c r="B3258" s="75"/>
      <c r="C3258" s="67"/>
      <c r="D3258" s="75"/>
      <c r="E3258" s="67"/>
      <c r="F3258" s="67"/>
      <c r="G3258" s="70"/>
      <c r="H3258" s="70"/>
      <c r="I3258" s="70"/>
      <c r="J3258" s="70"/>
      <c r="K3258" s="70"/>
      <c r="L3258" s="67"/>
      <c r="M3258" s="67"/>
      <c r="N3258" s="72"/>
      <c r="O3258" s="72"/>
      <c r="P3258" s="67"/>
      <c r="Q3258" s="67"/>
      <c r="R3258" s="67"/>
      <c r="S3258" s="67"/>
      <c r="T3258" s="32"/>
      <c r="U3258" s="32"/>
      <c r="X3258" s="32"/>
      <c r="Y3258" s="32"/>
      <c r="Z3258" s="32"/>
      <c r="AA3258" s="32"/>
      <c r="AB3258" s="32"/>
    </row>
    <row r="3259" spans="2:28" ht="23.25" customHeight="1" x14ac:dyDescent="0.2">
      <c r="B3259" s="75"/>
      <c r="C3259" s="67"/>
      <c r="D3259" s="75"/>
      <c r="E3259" s="67"/>
      <c r="F3259" s="67"/>
      <c r="G3259" s="70"/>
      <c r="H3259" s="70"/>
      <c r="I3259" s="70"/>
      <c r="J3259" s="70"/>
      <c r="K3259" s="70"/>
      <c r="L3259" s="67"/>
      <c r="M3259" s="67"/>
      <c r="N3259" s="72"/>
      <c r="O3259" s="72"/>
      <c r="P3259" s="67"/>
      <c r="Q3259" s="67"/>
      <c r="R3259" s="67"/>
      <c r="S3259" s="67"/>
      <c r="T3259" s="32"/>
      <c r="U3259" s="32"/>
      <c r="X3259" s="32"/>
      <c r="Y3259" s="32"/>
      <c r="Z3259" s="32"/>
      <c r="AA3259" s="32"/>
      <c r="AB3259" s="32"/>
    </row>
    <row r="3260" spans="2:28" ht="23.25" customHeight="1" x14ac:dyDescent="0.2">
      <c r="B3260" s="75"/>
      <c r="C3260" s="67"/>
      <c r="D3260" s="75"/>
      <c r="E3260" s="67"/>
      <c r="F3260" s="67"/>
      <c r="G3260" s="70"/>
      <c r="H3260" s="70"/>
      <c r="I3260" s="70"/>
      <c r="J3260" s="70"/>
      <c r="K3260" s="70"/>
      <c r="L3260" s="67"/>
      <c r="M3260" s="67"/>
      <c r="N3260" s="72"/>
      <c r="O3260" s="72"/>
      <c r="P3260" s="67"/>
      <c r="Q3260" s="67"/>
      <c r="R3260" s="67"/>
      <c r="S3260" s="67"/>
      <c r="T3260" s="32"/>
      <c r="U3260" s="32"/>
      <c r="X3260" s="32"/>
      <c r="Y3260" s="32"/>
      <c r="Z3260" s="32"/>
      <c r="AA3260" s="32"/>
      <c r="AB3260" s="32"/>
    </row>
    <row r="3261" spans="2:28" ht="23.25" customHeight="1" x14ac:dyDescent="0.2">
      <c r="B3261" s="75"/>
      <c r="C3261" s="67"/>
      <c r="D3261" s="75"/>
      <c r="E3261" s="67"/>
      <c r="F3261" s="67"/>
      <c r="G3261" s="70"/>
      <c r="H3261" s="70"/>
      <c r="I3261" s="70"/>
      <c r="J3261" s="70"/>
      <c r="K3261" s="70"/>
      <c r="L3261" s="67"/>
      <c r="M3261" s="67"/>
      <c r="N3261" s="72"/>
      <c r="O3261" s="72"/>
      <c r="P3261" s="67"/>
      <c r="Q3261" s="67"/>
      <c r="R3261" s="67"/>
      <c r="S3261" s="67"/>
      <c r="T3261" s="32"/>
      <c r="U3261" s="32"/>
      <c r="X3261" s="32"/>
      <c r="Y3261" s="32"/>
      <c r="Z3261" s="32"/>
      <c r="AA3261" s="32"/>
      <c r="AB3261" s="32"/>
    </row>
    <row r="3262" spans="2:28" ht="23.25" customHeight="1" x14ac:dyDescent="0.2">
      <c r="B3262" s="75"/>
      <c r="C3262" s="67"/>
      <c r="D3262" s="75"/>
      <c r="E3262" s="67"/>
      <c r="F3262" s="67"/>
      <c r="G3262" s="70"/>
      <c r="H3262" s="70"/>
      <c r="I3262" s="70"/>
      <c r="J3262" s="70"/>
      <c r="K3262" s="70"/>
      <c r="L3262" s="67"/>
      <c r="M3262" s="67"/>
      <c r="N3262" s="72"/>
      <c r="O3262" s="72"/>
      <c r="P3262" s="67"/>
      <c r="Q3262" s="67"/>
      <c r="R3262" s="67"/>
      <c r="S3262" s="67"/>
      <c r="T3262" s="32"/>
      <c r="U3262" s="32"/>
      <c r="X3262" s="32"/>
      <c r="Y3262" s="32"/>
      <c r="Z3262" s="32"/>
      <c r="AA3262" s="32"/>
      <c r="AB3262" s="32"/>
    </row>
    <row r="3263" spans="2:28" ht="23.25" customHeight="1" x14ac:dyDescent="0.2">
      <c r="B3263" s="75"/>
      <c r="C3263" s="67"/>
      <c r="D3263" s="75"/>
      <c r="E3263" s="67"/>
      <c r="F3263" s="67"/>
      <c r="G3263" s="70"/>
      <c r="H3263" s="70"/>
      <c r="I3263" s="70"/>
      <c r="J3263" s="70"/>
      <c r="K3263" s="70"/>
      <c r="L3263" s="67"/>
      <c r="M3263" s="67"/>
      <c r="N3263" s="72"/>
      <c r="O3263" s="72"/>
      <c r="P3263" s="67"/>
      <c r="Q3263" s="67"/>
      <c r="R3263" s="67"/>
      <c r="S3263" s="67"/>
      <c r="T3263" s="32"/>
      <c r="U3263" s="32"/>
      <c r="X3263" s="32"/>
      <c r="Y3263" s="32"/>
      <c r="Z3263" s="32"/>
      <c r="AA3263" s="32"/>
      <c r="AB3263" s="32"/>
    </row>
    <row r="3264" spans="2:28" ht="23.25" customHeight="1" x14ac:dyDescent="0.2">
      <c r="B3264" s="75"/>
      <c r="C3264" s="67"/>
      <c r="D3264" s="75"/>
      <c r="E3264" s="67"/>
      <c r="F3264" s="67"/>
      <c r="G3264" s="70"/>
      <c r="H3264" s="70"/>
      <c r="I3264" s="70"/>
      <c r="J3264" s="70"/>
      <c r="K3264" s="70"/>
      <c r="L3264" s="67"/>
      <c r="M3264" s="67"/>
      <c r="N3264" s="72"/>
      <c r="O3264" s="72"/>
      <c r="P3264" s="67"/>
      <c r="Q3264" s="67"/>
      <c r="R3264" s="67"/>
      <c r="S3264" s="67"/>
      <c r="T3264" s="32"/>
      <c r="U3264" s="32"/>
      <c r="X3264" s="32"/>
      <c r="Y3264" s="32"/>
      <c r="Z3264" s="32"/>
      <c r="AA3264" s="32"/>
      <c r="AB3264" s="32"/>
    </row>
    <row r="3265" spans="2:28" ht="23.25" customHeight="1" x14ac:dyDescent="0.2">
      <c r="B3265" s="75"/>
      <c r="C3265" s="67"/>
      <c r="D3265" s="75"/>
      <c r="E3265" s="67"/>
      <c r="F3265" s="67"/>
      <c r="G3265" s="70"/>
      <c r="H3265" s="70"/>
      <c r="I3265" s="70"/>
      <c r="J3265" s="70"/>
      <c r="K3265" s="70"/>
      <c r="L3265" s="67"/>
      <c r="M3265" s="67"/>
      <c r="N3265" s="72"/>
      <c r="O3265" s="72"/>
      <c r="P3265" s="67"/>
      <c r="Q3265" s="67"/>
      <c r="R3265" s="67"/>
      <c r="S3265" s="67"/>
      <c r="T3265" s="32"/>
      <c r="U3265" s="32"/>
      <c r="X3265" s="32"/>
      <c r="Y3265" s="32"/>
      <c r="Z3265" s="32"/>
      <c r="AA3265" s="32"/>
      <c r="AB3265" s="32"/>
    </row>
    <row r="3266" spans="2:28" ht="23.25" customHeight="1" x14ac:dyDescent="0.2">
      <c r="B3266" s="75"/>
      <c r="C3266" s="67"/>
      <c r="D3266" s="75"/>
      <c r="E3266" s="67"/>
      <c r="F3266" s="67"/>
      <c r="G3266" s="70"/>
      <c r="H3266" s="70"/>
      <c r="I3266" s="70"/>
      <c r="J3266" s="70"/>
      <c r="K3266" s="70"/>
      <c r="L3266" s="67"/>
      <c r="M3266" s="67"/>
      <c r="N3266" s="72"/>
      <c r="O3266" s="72"/>
      <c r="P3266" s="67"/>
      <c r="Q3266" s="67"/>
      <c r="R3266" s="67"/>
      <c r="S3266" s="67"/>
      <c r="T3266" s="32"/>
      <c r="U3266" s="32"/>
      <c r="X3266" s="32"/>
      <c r="Y3266" s="32"/>
      <c r="Z3266" s="32"/>
      <c r="AA3266" s="32"/>
      <c r="AB3266" s="32"/>
    </row>
    <row r="3267" spans="2:28" ht="23.25" customHeight="1" x14ac:dyDescent="0.2">
      <c r="B3267" s="75"/>
      <c r="C3267" s="67"/>
      <c r="D3267" s="75"/>
      <c r="E3267" s="67"/>
      <c r="F3267" s="67"/>
      <c r="G3267" s="70"/>
      <c r="H3267" s="70"/>
      <c r="I3267" s="70"/>
      <c r="J3267" s="70"/>
      <c r="K3267" s="70"/>
      <c r="L3267" s="67"/>
      <c r="M3267" s="67"/>
      <c r="N3267" s="72"/>
      <c r="O3267" s="72"/>
      <c r="P3267" s="67"/>
      <c r="Q3267" s="67"/>
      <c r="R3267" s="67"/>
      <c r="S3267" s="67"/>
      <c r="T3267" s="32"/>
      <c r="U3267" s="32"/>
      <c r="X3267" s="32"/>
      <c r="Y3267" s="32"/>
      <c r="Z3267" s="32"/>
      <c r="AA3267" s="32"/>
      <c r="AB3267" s="32"/>
    </row>
    <row r="3268" spans="2:28" ht="23.25" customHeight="1" x14ac:dyDescent="0.2">
      <c r="B3268" s="75"/>
      <c r="C3268" s="67"/>
      <c r="D3268" s="75"/>
      <c r="E3268" s="67"/>
      <c r="F3268" s="67"/>
      <c r="G3268" s="70"/>
      <c r="H3268" s="70"/>
      <c r="I3268" s="70"/>
      <c r="J3268" s="70"/>
      <c r="K3268" s="70"/>
      <c r="L3268" s="67"/>
      <c r="M3268" s="67"/>
      <c r="N3268" s="72"/>
      <c r="O3268" s="72"/>
      <c r="P3268" s="67"/>
      <c r="Q3268" s="67"/>
      <c r="R3268" s="67"/>
      <c r="S3268" s="67"/>
      <c r="T3268" s="32"/>
      <c r="U3268" s="32"/>
      <c r="X3268" s="32"/>
      <c r="Y3268" s="32"/>
      <c r="Z3268" s="32"/>
      <c r="AA3268" s="32"/>
      <c r="AB3268" s="32"/>
    </row>
    <row r="3269" spans="2:28" ht="23.25" customHeight="1" x14ac:dyDescent="0.2">
      <c r="B3269" s="75"/>
      <c r="C3269" s="67"/>
      <c r="D3269" s="75"/>
      <c r="E3269" s="67"/>
      <c r="F3269" s="67"/>
      <c r="G3269" s="70"/>
      <c r="H3269" s="70"/>
      <c r="I3269" s="70"/>
      <c r="J3269" s="70"/>
      <c r="K3269" s="70"/>
      <c r="L3269" s="67"/>
      <c r="M3269" s="67"/>
      <c r="N3269" s="72"/>
      <c r="O3269" s="72"/>
      <c r="P3269" s="67"/>
      <c r="Q3269" s="67"/>
      <c r="R3269" s="67"/>
      <c r="S3269" s="67"/>
      <c r="T3269" s="32"/>
      <c r="U3269" s="32"/>
      <c r="X3269" s="32"/>
      <c r="Y3269" s="32"/>
      <c r="Z3269" s="32"/>
      <c r="AA3269" s="32"/>
      <c r="AB3269" s="32"/>
    </row>
    <row r="3270" spans="2:28" ht="23.25" customHeight="1" x14ac:dyDescent="0.2">
      <c r="B3270" s="75"/>
      <c r="C3270" s="67"/>
      <c r="D3270" s="75"/>
      <c r="E3270" s="67"/>
      <c r="F3270" s="67"/>
      <c r="G3270" s="70"/>
      <c r="H3270" s="70"/>
      <c r="I3270" s="70"/>
      <c r="J3270" s="70"/>
      <c r="K3270" s="70"/>
      <c r="L3270" s="67"/>
      <c r="M3270" s="67"/>
      <c r="N3270" s="72"/>
      <c r="O3270" s="72"/>
      <c r="P3270" s="67"/>
      <c r="Q3270" s="67"/>
      <c r="R3270" s="67"/>
      <c r="S3270" s="67"/>
      <c r="T3270" s="32"/>
      <c r="U3270" s="32"/>
      <c r="X3270" s="32"/>
      <c r="Y3270" s="32"/>
      <c r="Z3270" s="32"/>
      <c r="AA3270" s="32"/>
      <c r="AB3270" s="32"/>
    </row>
    <row r="3271" spans="2:28" ht="23.25" customHeight="1" x14ac:dyDescent="0.2">
      <c r="B3271" s="75"/>
      <c r="C3271" s="67"/>
      <c r="D3271" s="75"/>
      <c r="E3271" s="67"/>
      <c r="F3271" s="67"/>
      <c r="G3271" s="70"/>
      <c r="H3271" s="70"/>
      <c r="I3271" s="70"/>
      <c r="J3271" s="70"/>
      <c r="K3271" s="70"/>
      <c r="L3271" s="67"/>
      <c r="M3271" s="67"/>
      <c r="N3271" s="72"/>
      <c r="O3271" s="72"/>
      <c r="P3271" s="67"/>
      <c r="Q3271" s="67"/>
      <c r="R3271" s="67"/>
      <c r="S3271" s="67"/>
      <c r="T3271" s="32"/>
      <c r="U3271" s="32"/>
      <c r="X3271" s="32"/>
      <c r="Y3271" s="32"/>
      <c r="Z3271" s="32"/>
      <c r="AA3271" s="32"/>
      <c r="AB3271" s="32"/>
    </row>
    <row r="3272" spans="2:28" ht="23.25" customHeight="1" x14ac:dyDescent="0.2">
      <c r="B3272" s="75"/>
      <c r="C3272" s="67"/>
      <c r="D3272" s="75"/>
      <c r="E3272" s="67"/>
      <c r="F3272" s="67"/>
      <c r="G3272" s="70"/>
      <c r="H3272" s="70"/>
      <c r="I3272" s="70"/>
      <c r="J3272" s="70"/>
      <c r="K3272" s="70"/>
      <c r="L3272" s="67"/>
      <c r="M3272" s="67"/>
      <c r="N3272" s="72"/>
      <c r="O3272" s="72"/>
      <c r="P3272" s="67"/>
      <c r="Q3272" s="67"/>
      <c r="R3272" s="67"/>
      <c r="S3272" s="67"/>
      <c r="T3272" s="32"/>
      <c r="U3272" s="32"/>
      <c r="X3272" s="32"/>
      <c r="Y3272" s="32"/>
      <c r="Z3272" s="32"/>
      <c r="AA3272" s="32"/>
      <c r="AB3272" s="32"/>
    </row>
    <row r="3273" spans="2:28" ht="23.25" customHeight="1" x14ac:dyDescent="0.2">
      <c r="B3273" s="75"/>
      <c r="C3273" s="67"/>
      <c r="D3273" s="75"/>
      <c r="E3273" s="67"/>
      <c r="F3273" s="67"/>
      <c r="G3273" s="70"/>
      <c r="H3273" s="70"/>
      <c r="I3273" s="70"/>
      <c r="J3273" s="70"/>
      <c r="K3273" s="70"/>
      <c r="L3273" s="67"/>
      <c r="M3273" s="67"/>
      <c r="N3273" s="72"/>
      <c r="O3273" s="72"/>
      <c r="P3273" s="67"/>
      <c r="Q3273" s="67"/>
      <c r="R3273" s="67"/>
      <c r="S3273" s="67"/>
      <c r="T3273" s="32"/>
      <c r="U3273" s="32"/>
      <c r="X3273" s="32"/>
      <c r="Y3273" s="32"/>
      <c r="Z3273" s="32"/>
      <c r="AA3273" s="32"/>
      <c r="AB3273" s="32"/>
    </row>
    <row r="3274" spans="2:28" ht="23.25" customHeight="1" x14ac:dyDescent="0.2">
      <c r="B3274" s="75"/>
      <c r="C3274" s="67"/>
      <c r="D3274" s="75"/>
      <c r="E3274" s="67"/>
      <c r="F3274" s="67"/>
      <c r="G3274" s="70"/>
      <c r="H3274" s="70"/>
      <c r="I3274" s="70"/>
      <c r="J3274" s="70"/>
      <c r="K3274" s="70"/>
      <c r="L3274" s="67"/>
      <c r="M3274" s="67"/>
      <c r="N3274" s="72"/>
      <c r="O3274" s="72"/>
      <c r="P3274" s="67"/>
      <c r="Q3274" s="67"/>
      <c r="R3274" s="67"/>
      <c r="S3274" s="67"/>
      <c r="T3274" s="32"/>
      <c r="U3274" s="32"/>
      <c r="X3274" s="32"/>
      <c r="Y3274" s="32"/>
      <c r="Z3274" s="32"/>
      <c r="AA3274" s="32"/>
      <c r="AB3274" s="32"/>
    </row>
    <row r="3275" spans="2:28" ht="23.25" customHeight="1" x14ac:dyDescent="0.2">
      <c r="B3275" s="75"/>
      <c r="C3275" s="67"/>
      <c r="D3275" s="75"/>
      <c r="E3275" s="67"/>
      <c r="F3275" s="67"/>
      <c r="G3275" s="70"/>
      <c r="H3275" s="70"/>
      <c r="I3275" s="70"/>
      <c r="J3275" s="70"/>
      <c r="K3275" s="70"/>
      <c r="L3275" s="67"/>
      <c r="M3275" s="67"/>
      <c r="N3275" s="72"/>
      <c r="O3275" s="72"/>
      <c r="P3275" s="67"/>
      <c r="Q3275" s="67"/>
      <c r="R3275" s="67"/>
      <c r="S3275" s="67"/>
      <c r="T3275" s="32"/>
      <c r="U3275" s="32"/>
      <c r="X3275" s="32"/>
      <c r="Y3275" s="32"/>
      <c r="Z3275" s="32"/>
      <c r="AA3275" s="32"/>
      <c r="AB3275" s="32"/>
    </row>
    <row r="3276" spans="2:28" ht="23.25" customHeight="1" x14ac:dyDescent="0.2">
      <c r="B3276" s="75"/>
      <c r="C3276" s="67"/>
      <c r="D3276" s="75"/>
      <c r="E3276" s="67"/>
      <c r="F3276" s="67"/>
      <c r="G3276" s="70"/>
      <c r="H3276" s="70"/>
      <c r="I3276" s="70"/>
      <c r="J3276" s="70"/>
      <c r="K3276" s="70"/>
      <c r="L3276" s="67"/>
      <c r="M3276" s="67"/>
      <c r="N3276" s="72"/>
      <c r="O3276" s="72"/>
      <c r="P3276" s="67"/>
      <c r="Q3276" s="67"/>
      <c r="R3276" s="67"/>
      <c r="S3276" s="67"/>
      <c r="T3276" s="32"/>
      <c r="U3276" s="32"/>
      <c r="X3276" s="32"/>
      <c r="Y3276" s="32"/>
      <c r="Z3276" s="32"/>
      <c r="AA3276" s="32"/>
      <c r="AB3276" s="32"/>
    </row>
    <row r="3277" spans="2:28" ht="23.25" customHeight="1" x14ac:dyDescent="0.2">
      <c r="B3277" s="75"/>
      <c r="C3277" s="67"/>
      <c r="D3277" s="75"/>
      <c r="E3277" s="67"/>
      <c r="F3277" s="67"/>
      <c r="G3277" s="70"/>
      <c r="H3277" s="70"/>
      <c r="I3277" s="70"/>
      <c r="J3277" s="70"/>
      <c r="K3277" s="70"/>
      <c r="L3277" s="67"/>
      <c r="M3277" s="67"/>
      <c r="N3277" s="72"/>
      <c r="O3277" s="72"/>
      <c r="P3277" s="67"/>
      <c r="Q3277" s="67"/>
      <c r="R3277" s="67"/>
      <c r="S3277" s="67"/>
      <c r="T3277" s="32"/>
      <c r="U3277" s="32"/>
      <c r="X3277" s="32"/>
      <c r="Y3277" s="32"/>
      <c r="Z3277" s="32"/>
      <c r="AA3277" s="32"/>
      <c r="AB3277" s="32"/>
    </row>
    <row r="3278" spans="2:28" ht="23.25" customHeight="1" x14ac:dyDescent="0.2">
      <c r="B3278" s="75"/>
      <c r="C3278" s="67"/>
      <c r="D3278" s="75"/>
      <c r="E3278" s="67"/>
      <c r="F3278" s="67"/>
      <c r="G3278" s="70"/>
      <c r="H3278" s="70"/>
      <c r="I3278" s="70"/>
      <c r="J3278" s="70"/>
      <c r="K3278" s="70"/>
      <c r="L3278" s="67"/>
      <c r="M3278" s="67"/>
      <c r="N3278" s="72"/>
      <c r="O3278" s="72"/>
      <c r="P3278" s="67"/>
      <c r="Q3278" s="67"/>
      <c r="R3278" s="67"/>
      <c r="S3278" s="67"/>
      <c r="T3278" s="32"/>
      <c r="U3278" s="32"/>
      <c r="X3278" s="32"/>
      <c r="Y3278" s="32"/>
      <c r="Z3278" s="32"/>
      <c r="AA3278" s="32"/>
      <c r="AB3278" s="32"/>
    </row>
    <row r="3279" spans="2:28" ht="23.25" customHeight="1" x14ac:dyDescent="0.2">
      <c r="B3279" s="75"/>
      <c r="C3279" s="67"/>
      <c r="D3279" s="75"/>
      <c r="E3279" s="67"/>
      <c r="F3279" s="67"/>
      <c r="G3279" s="70"/>
      <c r="H3279" s="70"/>
      <c r="I3279" s="70"/>
      <c r="J3279" s="70"/>
      <c r="K3279" s="70"/>
      <c r="L3279" s="67"/>
      <c r="M3279" s="67"/>
      <c r="N3279" s="72"/>
      <c r="O3279" s="72"/>
      <c r="P3279" s="67"/>
      <c r="Q3279" s="67"/>
      <c r="R3279" s="67"/>
      <c r="S3279" s="67"/>
      <c r="T3279" s="32"/>
      <c r="U3279" s="32"/>
      <c r="X3279" s="32"/>
      <c r="Y3279" s="32"/>
      <c r="Z3279" s="32"/>
      <c r="AA3279" s="32"/>
      <c r="AB3279" s="32"/>
    </row>
    <row r="3280" spans="2:28" ht="23.25" customHeight="1" x14ac:dyDescent="0.2">
      <c r="B3280" s="75"/>
      <c r="C3280" s="67"/>
      <c r="D3280" s="75"/>
      <c r="E3280" s="67"/>
      <c r="F3280" s="67"/>
      <c r="G3280" s="70"/>
      <c r="H3280" s="70"/>
      <c r="I3280" s="70"/>
      <c r="J3280" s="70"/>
      <c r="K3280" s="70"/>
      <c r="L3280" s="67"/>
      <c r="M3280" s="67"/>
      <c r="N3280" s="72"/>
      <c r="O3280" s="72"/>
      <c r="P3280" s="67"/>
      <c r="Q3280" s="67"/>
      <c r="R3280" s="67"/>
      <c r="S3280" s="67"/>
      <c r="T3280" s="32"/>
      <c r="U3280" s="32"/>
      <c r="X3280" s="32"/>
      <c r="Y3280" s="32"/>
      <c r="Z3280" s="32"/>
      <c r="AA3280" s="32"/>
      <c r="AB3280" s="32"/>
    </row>
    <row r="3281" spans="2:28" ht="23.25" customHeight="1" x14ac:dyDescent="0.2">
      <c r="B3281" s="75"/>
      <c r="C3281" s="67"/>
      <c r="D3281" s="75"/>
      <c r="E3281" s="67"/>
      <c r="F3281" s="67"/>
      <c r="G3281" s="70"/>
      <c r="H3281" s="70"/>
      <c r="I3281" s="70"/>
      <c r="J3281" s="70"/>
      <c r="K3281" s="70"/>
      <c r="L3281" s="67"/>
      <c r="M3281" s="67"/>
      <c r="N3281" s="72"/>
      <c r="O3281" s="72"/>
      <c r="P3281" s="67"/>
      <c r="Q3281" s="67"/>
      <c r="R3281" s="67"/>
      <c r="S3281" s="67"/>
      <c r="T3281" s="32"/>
      <c r="U3281" s="32"/>
      <c r="X3281" s="32"/>
      <c r="Y3281" s="32"/>
      <c r="Z3281" s="32"/>
      <c r="AA3281" s="32"/>
      <c r="AB3281" s="32"/>
    </row>
    <row r="3282" spans="2:28" ht="23.25" customHeight="1" x14ac:dyDescent="0.2">
      <c r="B3282" s="75"/>
      <c r="C3282" s="67"/>
      <c r="D3282" s="75"/>
      <c r="E3282" s="67"/>
      <c r="F3282" s="67"/>
      <c r="G3282" s="70"/>
      <c r="H3282" s="70"/>
      <c r="I3282" s="70"/>
      <c r="J3282" s="70"/>
      <c r="K3282" s="70"/>
      <c r="L3282" s="67"/>
      <c r="M3282" s="67"/>
      <c r="N3282" s="72"/>
      <c r="O3282" s="72"/>
      <c r="P3282" s="67"/>
      <c r="Q3282" s="67"/>
      <c r="R3282" s="67"/>
      <c r="S3282" s="67"/>
      <c r="T3282" s="32"/>
      <c r="U3282" s="32"/>
      <c r="X3282" s="32"/>
      <c r="Y3282" s="32"/>
      <c r="Z3282" s="32"/>
      <c r="AA3282" s="32"/>
      <c r="AB3282" s="32"/>
    </row>
    <row r="3283" spans="2:28" ht="23.25" customHeight="1" x14ac:dyDescent="0.2">
      <c r="B3283" s="75"/>
      <c r="C3283" s="67"/>
      <c r="D3283" s="75"/>
      <c r="E3283" s="67"/>
      <c r="F3283" s="67"/>
      <c r="G3283" s="70"/>
      <c r="H3283" s="70"/>
      <c r="I3283" s="70"/>
      <c r="J3283" s="70"/>
      <c r="K3283" s="70"/>
      <c r="L3283" s="67"/>
      <c r="M3283" s="67"/>
      <c r="N3283" s="72"/>
      <c r="O3283" s="72"/>
      <c r="P3283" s="67"/>
      <c r="Q3283" s="67"/>
      <c r="R3283" s="67"/>
      <c r="S3283" s="67"/>
      <c r="T3283" s="32"/>
      <c r="U3283" s="32"/>
      <c r="X3283" s="32"/>
      <c r="Y3283" s="32"/>
      <c r="Z3283" s="32"/>
      <c r="AA3283" s="32"/>
      <c r="AB3283" s="32"/>
    </row>
    <row r="3284" spans="2:28" ht="23.25" customHeight="1" x14ac:dyDescent="0.2">
      <c r="B3284" s="75"/>
      <c r="C3284" s="67"/>
      <c r="D3284" s="75"/>
      <c r="E3284" s="67"/>
      <c r="F3284" s="67"/>
      <c r="G3284" s="70"/>
      <c r="H3284" s="70"/>
      <c r="I3284" s="70"/>
      <c r="J3284" s="70"/>
      <c r="K3284" s="70"/>
      <c r="L3284" s="67"/>
      <c r="M3284" s="67"/>
      <c r="N3284" s="72"/>
      <c r="O3284" s="72"/>
      <c r="P3284" s="67"/>
      <c r="Q3284" s="67"/>
      <c r="R3284" s="67"/>
      <c r="S3284" s="67"/>
      <c r="T3284" s="32"/>
      <c r="U3284" s="32"/>
      <c r="X3284" s="32"/>
      <c r="Y3284" s="32"/>
      <c r="Z3284" s="32"/>
      <c r="AA3284" s="32"/>
      <c r="AB3284" s="32"/>
    </row>
    <row r="3285" spans="2:28" ht="23.25" customHeight="1" x14ac:dyDescent="0.2">
      <c r="B3285" s="75"/>
      <c r="C3285" s="67"/>
      <c r="D3285" s="75"/>
      <c r="E3285" s="67"/>
      <c r="F3285" s="67"/>
      <c r="G3285" s="70"/>
      <c r="H3285" s="70"/>
      <c r="I3285" s="70"/>
      <c r="J3285" s="70"/>
      <c r="K3285" s="70"/>
      <c r="L3285" s="67"/>
      <c r="M3285" s="67"/>
      <c r="N3285" s="72"/>
      <c r="O3285" s="72"/>
      <c r="P3285" s="67"/>
      <c r="Q3285" s="67"/>
      <c r="R3285" s="67"/>
      <c r="S3285" s="67"/>
      <c r="T3285" s="32"/>
      <c r="U3285" s="32"/>
      <c r="X3285" s="32"/>
      <c r="Y3285" s="32"/>
      <c r="Z3285" s="32"/>
      <c r="AA3285" s="32"/>
      <c r="AB3285" s="32"/>
    </row>
    <row r="3286" spans="2:28" ht="23.25" customHeight="1" x14ac:dyDescent="0.2">
      <c r="B3286" s="75"/>
      <c r="C3286" s="67"/>
      <c r="D3286" s="75"/>
      <c r="E3286" s="67"/>
      <c r="F3286" s="67"/>
      <c r="G3286" s="70"/>
      <c r="H3286" s="70"/>
      <c r="I3286" s="70"/>
      <c r="J3286" s="70"/>
      <c r="K3286" s="70"/>
      <c r="L3286" s="67"/>
      <c r="M3286" s="67"/>
      <c r="N3286" s="72"/>
      <c r="O3286" s="72"/>
      <c r="P3286" s="67"/>
      <c r="Q3286" s="67"/>
      <c r="R3286" s="67"/>
      <c r="S3286" s="67"/>
      <c r="T3286" s="32"/>
      <c r="U3286" s="32"/>
      <c r="X3286" s="32"/>
      <c r="Y3286" s="32"/>
      <c r="Z3286" s="32"/>
      <c r="AA3286" s="32"/>
      <c r="AB3286" s="32"/>
    </row>
    <row r="3287" spans="2:28" ht="23.25" customHeight="1" x14ac:dyDescent="0.2">
      <c r="B3287" s="75"/>
      <c r="C3287" s="67"/>
      <c r="D3287" s="75"/>
      <c r="E3287" s="67"/>
      <c r="F3287" s="67"/>
      <c r="G3287" s="70"/>
      <c r="H3287" s="70"/>
      <c r="I3287" s="70"/>
      <c r="J3287" s="70"/>
      <c r="K3287" s="70"/>
      <c r="L3287" s="67"/>
      <c r="M3287" s="67"/>
      <c r="N3287" s="72"/>
      <c r="O3287" s="72"/>
      <c r="P3287" s="67"/>
      <c r="Q3287" s="67"/>
      <c r="R3287" s="67"/>
      <c r="S3287" s="67"/>
      <c r="T3287" s="32"/>
      <c r="U3287" s="32"/>
      <c r="X3287" s="32"/>
      <c r="Y3287" s="32"/>
      <c r="Z3287" s="32"/>
      <c r="AA3287" s="32"/>
      <c r="AB3287" s="32"/>
    </row>
    <row r="3288" spans="2:28" ht="23.25" customHeight="1" x14ac:dyDescent="0.2">
      <c r="B3288" s="75"/>
      <c r="C3288" s="67"/>
      <c r="D3288" s="75"/>
      <c r="E3288" s="67"/>
      <c r="F3288" s="67"/>
      <c r="G3288" s="70"/>
      <c r="H3288" s="70"/>
      <c r="I3288" s="70"/>
      <c r="J3288" s="70"/>
      <c r="K3288" s="70"/>
      <c r="L3288" s="67"/>
      <c r="M3288" s="67"/>
      <c r="N3288" s="72"/>
      <c r="O3288" s="72"/>
      <c r="P3288" s="67"/>
      <c r="Q3288" s="67"/>
      <c r="R3288" s="67"/>
      <c r="S3288" s="67"/>
      <c r="T3288" s="32"/>
      <c r="U3288" s="32"/>
      <c r="X3288" s="32"/>
      <c r="Y3288" s="32"/>
      <c r="Z3288" s="32"/>
      <c r="AA3288" s="32"/>
      <c r="AB3288" s="32"/>
    </row>
    <row r="3289" spans="2:28" ht="23.25" customHeight="1" x14ac:dyDescent="0.2">
      <c r="B3289" s="75"/>
      <c r="C3289" s="67"/>
      <c r="D3289" s="75"/>
      <c r="E3289" s="67"/>
      <c r="F3289" s="67"/>
      <c r="G3289" s="70"/>
      <c r="H3289" s="70"/>
      <c r="I3289" s="70"/>
      <c r="J3289" s="70"/>
      <c r="K3289" s="70"/>
      <c r="L3289" s="67"/>
      <c r="M3289" s="67"/>
      <c r="N3289" s="72"/>
      <c r="O3289" s="72"/>
      <c r="P3289" s="67"/>
      <c r="Q3289" s="67"/>
      <c r="R3289" s="67"/>
      <c r="S3289" s="67"/>
      <c r="T3289" s="32"/>
      <c r="U3289" s="32"/>
      <c r="X3289" s="32"/>
      <c r="Y3289" s="32"/>
      <c r="Z3289" s="32"/>
      <c r="AA3289" s="32"/>
      <c r="AB3289" s="32"/>
    </row>
    <row r="3290" spans="2:28" ht="23.25" customHeight="1" x14ac:dyDescent="0.2">
      <c r="B3290" s="75"/>
      <c r="C3290" s="67"/>
      <c r="D3290" s="75"/>
      <c r="E3290" s="67"/>
      <c r="F3290" s="67"/>
      <c r="G3290" s="70"/>
      <c r="H3290" s="70"/>
      <c r="I3290" s="70"/>
      <c r="J3290" s="70"/>
      <c r="K3290" s="70"/>
      <c r="L3290" s="67"/>
      <c r="M3290" s="67"/>
      <c r="N3290" s="72"/>
      <c r="O3290" s="72"/>
      <c r="P3290" s="67"/>
      <c r="Q3290" s="67"/>
      <c r="R3290" s="67"/>
      <c r="S3290" s="67"/>
      <c r="T3290" s="32"/>
      <c r="U3290" s="32"/>
      <c r="X3290" s="32"/>
      <c r="Y3290" s="32"/>
      <c r="Z3290" s="32"/>
      <c r="AA3290" s="32"/>
      <c r="AB3290" s="32"/>
    </row>
    <row r="3291" spans="2:28" ht="23.25" customHeight="1" x14ac:dyDescent="0.2">
      <c r="B3291" s="75"/>
      <c r="C3291" s="67"/>
      <c r="D3291" s="75"/>
      <c r="E3291" s="67"/>
      <c r="F3291" s="67"/>
      <c r="G3291" s="70"/>
      <c r="H3291" s="70"/>
      <c r="I3291" s="70"/>
      <c r="J3291" s="70"/>
      <c r="K3291" s="70"/>
      <c r="L3291" s="67"/>
      <c r="M3291" s="67"/>
      <c r="N3291" s="72"/>
      <c r="O3291" s="72"/>
      <c r="P3291" s="67"/>
      <c r="Q3291" s="67"/>
      <c r="R3291" s="67"/>
      <c r="S3291" s="67"/>
      <c r="T3291" s="32"/>
      <c r="U3291" s="32"/>
      <c r="X3291" s="32"/>
      <c r="Y3291" s="32"/>
      <c r="Z3291" s="32"/>
      <c r="AA3291" s="32"/>
      <c r="AB3291" s="32"/>
    </row>
    <row r="3292" spans="2:28" ht="23.25" customHeight="1" x14ac:dyDescent="0.2">
      <c r="B3292" s="75"/>
      <c r="C3292" s="67"/>
      <c r="D3292" s="75"/>
      <c r="E3292" s="67"/>
      <c r="F3292" s="67"/>
      <c r="G3292" s="70"/>
      <c r="H3292" s="70"/>
      <c r="I3292" s="70"/>
      <c r="J3292" s="70"/>
      <c r="K3292" s="70"/>
      <c r="L3292" s="67"/>
      <c r="M3292" s="67"/>
      <c r="N3292" s="72"/>
      <c r="O3292" s="72"/>
      <c r="P3292" s="67"/>
      <c r="Q3292" s="67"/>
      <c r="R3292" s="67"/>
      <c r="S3292" s="67"/>
      <c r="T3292" s="32"/>
      <c r="U3292" s="32"/>
      <c r="X3292" s="32"/>
      <c r="Y3292" s="32"/>
      <c r="Z3292" s="32"/>
      <c r="AA3292" s="32"/>
      <c r="AB3292" s="32"/>
    </row>
    <row r="3293" spans="2:28" ht="23.25" customHeight="1" x14ac:dyDescent="0.2">
      <c r="B3293" s="75"/>
      <c r="C3293" s="67"/>
      <c r="D3293" s="75"/>
      <c r="E3293" s="67"/>
      <c r="F3293" s="67"/>
      <c r="G3293" s="70"/>
      <c r="H3293" s="70"/>
      <c r="I3293" s="70"/>
      <c r="J3293" s="70"/>
      <c r="K3293" s="70"/>
      <c r="L3293" s="67"/>
      <c r="M3293" s="67"/>
      <c r="N3293" s="72"/>
      <c r="O3293" s="72"/>
      <c r="P3293" s="67"/>
      <c r="Q3293" s="67"/>
      <c r="R3293" s="67"/>
      <c r="S3293" s="67"/>
      <c r="T3293" s="32"/>
      <c r="U3293" s="32"/>
      <c r="X3293" s="32"/>
      <c r="Y3293" s="32"/>
      <c r="Z3293" s="32"/>
      <c r="AA3293" s="32"/>
      <c r="AB3293" s="32"/>
    </row>
    <row r="3294" spans="2:28" ht="23.25" customHeight="1" x14ac:dyDescent="0.2">
      <c r="B3294" s="75"/>
      <c r="C3294" s="67"/>
      <c r="D3294" s="75"/>
      <c r="E3294" s="67"/>
      <c r="F3294" s="67"/>
      <c r="G3294" s="70"/>
      <c r="H3294" s="70"/>
      <c r="I3294" s="70"/>
      <c r="J3294" s="70"/>
      <c r="K3294" s="70"/>
      <c r="L3294" s="67"/>
      <c r="M3294" s="67"/>
      <c r="N3294" s="72"/>
      <c r="O3294" s="72"/>
      <c r="P3294" s="67"/>
      <c r="Q3294" s="67"/>
      <c r="R3294" s="67"/>
      <c r="S3294" s="67"/>
      <c r="T3294" s="32"/>
      <c r="U3294" s="32"/>
      <c r="X3294" s="32"/>
      <c r="Y3294" s="32"/>
      <c r="Z3294" s="32"/>
      <c r="AA3294" s="32"/>
      <c r="AB3294" s="32"/>
    </row>
    <row r="3295" spans="2:28" ht="23.25" customHeight="1" x14ac:dyDescent="0.2">
      <c r="B3295" s="75"/>
      <c r="C3295" s="67"/>
      <c r="D3295" s="75"/>
      <c r="E3295" s="67"/>
      <c r="F3295" s="67"/>
      <c r="G3295" s="70"/>
      <c r="H3295" s="70"/>
      <c r="I3295" s="70"/>
      <c r="J3295" s="70"/>
      <c r="K3295" s="70"/>
      <c r="L3295" s="67"/>
      <c r="M3295" s="67"/>
      <c r="N3295" s="72"/>
      <c r="O3295" s="72"/>
      <c r="P3295" s="67"/>
      <c r="Q3295" s="67"/>
      <c r="R3295" s="67"/>
      <c r="S3295" s="67"/>
      <c r="T3295" s="32"/>
      <c r="U3295" s="32"/>
      <c r="X3295" s="32"/>
      <c r="Y3295" s="32"/>
      <c r="Z3295" s="32"/>
      <c r="AA3295" s="32"/>
      <c r="AB3295" s="32"/>
    </row>
    <row r="3296" spans="2:28" ht="23.25" customHeight="1" x14ac:dyDescent="0.2">
      <c r="B3296" s="75"/>
      <c r="C3296" s="67"/>
      <c r="D3296" s="75"/>
      <c r="E3296" s="67"/>
      <c r="F3296" s="67"/>
      <c r="G3296" s="70"/>
      <c r="H3296" s="70"/>
      <c r="I3296" s="70"/>
      <c r="J3296" s="70"/>
      <c r="K3296" s="70"/>
      <c r="L3296" s="67"/>
      <c r="M3296" s="67"/>
      <c r="N3296" s="72"/>
      <c r="O3296" s="72"/>
      <c r="P3296" s="67"/>
      <c r="Q3296" s="67"/>
      <c r="R3296" s="67"/>
      <c r="S3296" s="67"/>
      <c r="T3296" s="32"/>
      <c r="U3296" s="32"/>
      <c r="X3296" s="32"/>
      <c r="Y3296" s="32"/>
      <c r="Z3296" s="32"/>
      <c r="AA3296" s="32"/>
      <c r="AB3296" s="32"/>
    </row>
    <row r="3297" spans="2:28" ht="23.25" customHeight="1" x14ac:dyDescent="0.2">
      <c r="B3297" s="75"/>
      <c r="C3297" s="67"/>
      <c r="D3297" s="75"/>
      <c r="E3297" s="67"/>
      <c r="F3297" s="67"/>
      <c r="G3297" s="70"/>
      <c r="H3297" s="70"/>
      <c r="I3297" s="70"/>
      <c r="J3297" s="70"/>
      <c r="K3297" s="70"/>
      <c r="L3297" s="67"/>
      <c r="M3297" s="67"/>
      <c r="N3297" s="72"/>
      <c r="O3297" s="72"/>
      <c r="P3297" s="67"/>
      <c r="Q3297" s="67"/>
      <c r="R3297" s="67"/>
      <c r="S3297" s="67"/>
      <c r="T3297" s="32"/>
      <c r="U3297" s="32"/>
      <c r="X3297" s="32"/>
      <c r="Y3297" s="32"/>
      <c r="Z3297" s="32"/>
      <c r="AA3297" s="32"/>
      <c r="AB3297" s="32"/>
    </row>
    <row r="3298" spans="2:28" ht="23.25" customHeight="1" x14ac:dyDescent="0.2">
      <c r="B3298" s="75"/>
      <c r="C3298" s="67"/>
      <c r="D3298" s="75"/>
      <c r="E3298" s="67"/>
      <c r="F3298" s="67"/>
      <c r="G3298" s="70"/>
      <c r="H3298" s="70"/>
      <c r="I3298" s="70"/>
      <c r="J3298" s="70"/>
      <c r="K3298" s="70"/>
      <c r="L3298" s="67"/>
      <c r="M3298" s="67"/>
      <c r="N3298" s="72"/>
      <c r="O3298" s="72"/>
      <c r="P3298" s="67"/>
      <c r="Q3298" s="67"/>
      <c r="R3298" s="67"/>
      <c r="S3298" s="67"/>
      <c r="T3298" s="32"/>
      <c r="U3298" s="32"/>
      <c r="X3298" s="32"/>
      <c r="Y3298" s="32"/>
      <c r="Z3298" s="32"/>
      <c r="AA3298" s="32"/>
      <c r="AB3298" s="32"/>
    </row>
    <row r="3299" spans="2:28" ht="23.25" customHeight="1" x14ac:dyDescent="0.2">
      <c r="B3299" s="75"/>
      <c r="C3299" s="67"/>
      <c r="D3299" s="75"/>
      <c r="E3299" s="67"/>
      <c r="F3299" s="67"/>
      <c r="G3299" s="70"/>
      <c r="H3299" s="70"/>
      <c r="I3299" s="70"/>
      <c r="J3299" s="70"/>
      <c r="K3299" s="70"/>
      <c r="L3299" s="67"/>
      <c r="M3299" s="67"/>
      <c r="N3299" s="72"/>
      <c r="O3299" s="72"/>
      <c r="P3299" s="67"/>
      <c r="Q3299" s="67"/>
      <c r="R3299" s="67"/>
      <c r="S3299" s="67"/>
      <c r="T3299" s="32"/>
      <c r="U3299" s="32"/>
      <c r="X3299" s="32"/>
      <c r="Y3299" s="32"/>
      <c r="Z3299" s="32"/>
      <c r="AA3299" s="32"/>
      <c r="AB3299" s="32"/>
    </row>
    <row r="3300" spans="2:28" ht="23.25" customHeight="1" x14ac:dyDescent="0.2">
      <c r="B3300" s="75"/>
      <c r="C3300" s="67"/>
      <c r="D3300" s="75"/>
      <c r="E3300" s="67"/>
      <c r="F3300" s="67"/>
      <c r="G3300" s="70"/>
      <c r="H3300" s="70"/>
      <c r="I3300" s="70"/>
      <c r="J3300" s="70"/>
      <c r="K3300" s="70"/>
      <c r="L3300" s="67"/>
      <c r="M3300" s="67"/>
      <c r="N3300" s="72"/>
      <c r="O3300" s="72"/>
      <c r="P3300" s="67"/>
      <c r="Q3300" s="67"/>
      <c r="R3300" s="67"/>
      <c r="S3300" s="67"/>
      <c r="T3300" s="32"/>
      <c r="U3300" s="32"/>
      <c r="X3300" s="32"/>
      <c r="Y3300" s="32"/>
      <c r="Z3300" s="32"/>
      <c r="AA3300" s="32"/>
      <c r="AB3300" s="32"/>
    </row>
    <row r="3301" spans="2:28" ht="23.25" customHeight="1" x14ac:dyDescent="0.2">
      <c r="B3301" s="75"/>
      <c r="C3301" s="67"/>
      <c r="D3301" s="75"/>
      <c r="E3301" s="67"/>
      <c r="F3301" s="67"/>
      <c r="G3301" s="70"/>
      <c r="H3301" s="70"/>
      <c r="I3301" s="70"/>
      <c r="J3301" s="70"/>
      <c r="K3301" s="70"/>
      <c r="L3301" s="67"/>
      <c r="M3301" s="67"/>
      <c r="N3301" s="72"/>
      <c r="O3301" s="72"/>
      <c r="P3301" s="67"/>
      <c r="Q3301" s="67"/>
      <c r="R3301" s="67"/>
      <c r="S3301" s="67"/>
      <c r="T3301" s="32"/>
      <c r="U3301" s="32"/>
      <c r="X3301" s="32"/>
      <c r="Y3301" s="32"/>
      <c r="Z3301" s="32"/>
      <c r="AA3301" s="32"/>
      <c r="AB3301" s="32"/>
    </row>
    <row r="3302" spans="2:28" ht="23.25" customHeight="1" x14ac:dyDescent="0.2">
      <c r="B3302" s="75"/>
      <c r="C3302" s="67"/>
      <c r="D3302" s="75"/>
      <c r="E3302" s="67"/>
      <c r="F3302" s="67"/>
      <c r="G3302" s="70"/>
      <c r="H3302" s="70"/>
      <c r="I3302" s="70"/>
      <c r="J3302" s="70"/>
      <c r="K3302" s="70"/>
      <c r="L3302" s="67"/>
      <c r="M3302" s="67"/>
      <c r="N3302" s="72"/>
      <c r="O3302" s="72"/>
      <c r="P3302" s="67"/>
      <c r="Q3302" s="67"/>
      <c r="R3302" s="67"/>
      <c r="S3302" s="67"/>
      <c r="T3302" s="32"/>
      <c r="U3302" s="32"/>
      <c r="X3302" s="32"/>
      <c r="Y3302" s="32"/>
      <c r="Z3302" s="32"/>
      <c r="AA3302" s="32"/>
      <c r="AB3302" s="32"/>
    </row>
    <row r="3303" spans="2:28" ht="23.25" customHeight="1" x14ac:dyDescent="0.2">
      <c r="B3303" s="75"/>
      <c r="C3303" s="67"/>
      <c r="D3303" s="75"/>
      <c r="E3303" s="67"/>
      <c r="F3303" s="67"/>
      <c r="G3303" s="70"/>
      <c r="H3303" s="70"/>
      <c r="I3303" s="70"/>
      <c r="J3303" s="70"/>
      <c r="K3303" s="70"/>
      <c r="L3303" s="67"/>
      <c r="M3303" s="67"/>
      <c r="N3303" s="72"/>
      <c r="O3303" s="72"/>
      <c r="P3303" s="67"/>
      <c r="Q3303" s="67"/>
      <c r="R3303" s="67"/>
      <c r="S3303" s="67"/>
      <c r="T3303" s="32"/>
      <c r="U3303" s="32"/>
      <c r="X3303" s="32"/>
      <c r="Y3303" s="32"/>
      <c r="Z3303" s="32"/>
      <c r="AA3303" s="32"/>
      <c r="AB3303" s="32"/>
    </row>
    <row r="3304" spans="2:28" ht="23.25" customHeight="1" x14ac:dyDescent="0.2">
      <c r="B3304" s="75"/>
      <c r="C3304" s="67"/>
      <c r="D3304" s="75"/>
      <c r="E3304" s="67"/>
      <c r="F3304" s="67"/>
      <c r="G3304" s="70"/>
      <c r="H3304" s="70"/>
      <c r="I3304" s="70"/>
      <c r="J3304" s="70"/>
      <c r="K3304" s="70"/>
      <c r="L3304" s="67"/>
      <c r="M3304" s="67"/>
      <c r="N3304" s="72"/>
      <c r="O3304" s="72"/>
      <c r="P3304" s="67"/>
      <c r="Q3304" s="67"/>
      <c r="R3304" s="67"/>
      <c r="S3304" s="67"/>
      <c r="T3304" s="32"/>
      <c r="U3304" s="32"/>
      <c r="X3304" s="32"/>
      <c r="Y3304" s="32"/>
      <c r="Z3304" s="32"/>
      <c r="AA3304" s="32"/>
      <c r="AB3304" s="32"/>
    </row>
    <row r="3305" spans="2:28" ht="23.25" customHeight="1" x14ac:dyDescent="0.2">
      <c r="B3305" s="75"/>
      <c r="C3305" s="67"/>
      <c r="D3305" s="75"/>
      <c r="E3305" s="67"/>
      <c r="F3305" s="67"/>
      <c r="G3305" s="70"/>
      <c r="H3305" s="70"/>
      <c r="I3305" s="70"/>
      <c r="J3305" s="70"/>
      <c r="K3305" s="70"/>
      <c r="L3305" s="67"/>
      <c r="M3305" s="67"/>
      <c r="N3305" s="72"/>
      <c r="O3305" s="72"/>
      <c r="P3305" s="67"/>
      <c r="Q3305" s="67"/>
      <c r="R3305" s="67"/>
      <c r="S3305" s="67"/>
      <c r="T3305" s="32"/>
      <c r="U3305" s="32"/>
      <c r="X3305" s="32"/>
      <c r="Y3305" s="32"/>
      <c r="Z3305" s="32"/>
      <c r="AA3305" s="32"/>
      <c r="AB3305" s="32"/>
    </row>
    <row r="3306" spans="2:28" ht="23.25" customHeight="1" x14ac:dyDescent="0.2">
      <c r="B3306" s="75"/>
      <c r="C3306" s="67"/>
      <c r="D3306" s="75"/>
      <c r="E3306" s="67"/>
      <c r="F3306" s="67"/>
      <c r="G3306" s="70"/>
      <c r="H3306" s="70"/>
      <c r="I3306" s="70"/>
      <c r="J3306" s="70"/>
      <c r="K3306" s="70"/>
      <c r="L3306" s="67"/>
      <c r="M3306" s="67"/>
      <c r="N3306" s="72"/>
      <c r="O3306" s="72"/>
      <c r="P3306" s="67"/>
      <c r="Q3306" s="67"/>
      <c r="R3306" s="67"/>
      <c r="S3306" s="67"/>
      <c r="T3306" s="32"/>
      <c r="U3306" s="32"/>
      <c r="X3306" s="32"/>
      <c r="Y3306" s="32"/>
      <c r="Z3306" s="32"/>
      <c r="AA3306" s="32"/>
      <c r="AB3306" s="32"/>
    </row>
    <row r="3307" spans="2:28" ht="23.25" customHeight="1" x14ac:dyDescent="0.2">
      <c r="B3307" s="75"/>
      <c r="C3307" s="67"/>
      <c r="D3307" s="75"/>
      <c r="E3307" s="67"/>
      <c r="F3307" s="67"/>
      <c r="G3307" s="70"/>
      <c r="H3307" s="70"/>
      <c r="I3307" s="70"/>
      <c r="J3307" s="70"/>
      <c r="K3307" s="70"/>
      <c r="L3307" s="67"/>
      <c r="M3307" s="67"/>
      <c r="N3307" s="72"/>
      <c r="O3307" s="72"/>
      <c r="P3307" s="67"/>
      <c r="Q3307" s="67"/>
      <c r="R3307" s="67"/>
      <c r="S3307" s="67"/>
      <c r="T3307" s="32"/>
      <c r="U3307" s="32"/>
      <c r="X3307" s="32"/>
      <c r="Y3307" s="32"/>
      <c r="Z3307" s="32"/>
      <c r="AA3307" s="32"/>
      <c r="AB3307" s="32"/>
    </row>
    <row r="3308" spans="2:28" ht="23.25" customHeight="1" x14ac:dyDescent="0.2">
      <c r="B3308" s="75"/>
      <c r="C3308" s="67"/>
      <c r="D3308" s="75"/>
      <c r="E3308" s="67"/>
      <c r="F3308" s="67"/>
      <c r="G3308" s="70"/>
      <c r="H3308" s="70"/>
      <c r="I3308" s="70"/>
      <c r="J3308" s="70"/>
      <c r="K3308" s="70"/>
      <c r="L3308" s="67"/>
      <c r="M3308" s="67"/>
      <c r="N3308" s="72"/>
      <c r="O3308" s="72"/>
      <c r="P3308" s="67"/>
      <c r="Q3308" s="67"/>
      <c r="R3308" s="67"/>
      <c r="S3308" s="67"/>
      <c r="T3308" s="32"/>
      <c r="U3308" s="32"/>
      <c r="X3308" s="32"/>
      <c r="Y3308" s="32"/>
      <c r="Z3308" s="32"/>
      <c r="AA3308" s="32"/>
      <c r="AB3308" s="32"/>
    </row>
    <row r="3309" spans="2:28" ht="23.25" customHeight="1" x14ac:dyDescent="0.2">
      <c r="B3309" s="75"/>
      <c r="C3309" s="67"/>
      <c r="D3309" s="75"/>
      <c r="E3309" s="67"/>
      <c r="F3309" s="67"/>
      <c r="G3309" s="70"/>
      <c r="H3309" s="70"/>
      <c r="I3309" s="70"/>
      <c r="J3309" s="70"/>
      <c r="K3309" s="70"/>
      <c r="L3309" s="67"/>
      <c r="M3309" s="67"/>
      <c r="N3309" s="72"/>
      <c r="O3309" s="72"/>
      <c r="P3309" s="67"/>
      <c r="Q3309" s="67"/>
      <c r="R3309" s="67"/>
      <c r="S3309" s="67"/>
      <c r="T3309" s="32"/>
      <c r="U3309" s="32"/>
      <c r="X3309" s="32"/>
      <c r="Y3309" s="32"/>
      <c r="Z3309" s="32"/>
      <c r="AA3309" s="32"/>
      <c r="AB3309" s="32"/>
    </row>
    <row r="3310" spans="2:28" ht="23.25" customHeight="1" x14ac:dyDescent="0.2">
      <c r="B3310" s="75"/>
      <c r="C3310" s="67"/>
      <c r="D3310" s="75"/>
      <c r="E3310" s="67"/>
      <c r="F3310" s="67"/>
      <c r="G3310" s="70"/>
      <c r="H3310" s="70"/>
      <c r="I3310" s="70"/>
      <c r="J3310" s="70"/>
      <c r="K3310" s="70"/>
      <c r="L3310" s="67"/>
      <c r="M3310" s="67"/>
      <c r="N3310" s="72"/>
      <c r="O3310" s="72"/>
      <c r="P3310" s="67"/>
      <c r="Q3310" s="67"/>
      <c r="R3310" s="67"/>
      <c r="S3310" s="67"/>
      <c r="T3310" s="32"/>
      <c r="U3310" s="32"/>
      <c r="X3310" s="32"/>
      <c r="Y3310" s="32"/>
      <c r="Z3310" s="32"/>
      <c r="AA3310" s="32"/>
      <c r="AB3310" s="32"/>
    </row>
    <row r="3311" spans="2:28" ht="23.25" customHeight="1" x14ac:dyDescent="0.2">
      <c r="B3311" s="75"/>
      <c r="C3311" s="67"/>
      <c r="D3311" s="75"/>
      <c r="E3311" s="67"/>
      <c r="F3311" s="67"/>
      <c r="G3311" s="70"/>
      <c r="H3311" s="70"/>
      <c r="I3311" s="70"/>
      <c r="J3311" s="70"/>
      <c r="K3311" s="70"/>
      <c r="L3311" s="67"/>
      <c r="M3311" s="67"/>
      <c r="N3311" s="72"/>
      <c r="O3311" s="72"/>
      <c r="P3311" s="67"/>
      <c r="Q3311" s="67"/>
      <c r="R3311" s="67"/>
      <c r="S3311" s="67"/>
      <c r="T3311" s="32"/>
      <c r="U3311" s="32"/>
      <c r="X3311" s="32"/>
      <c r="Y3311" s="32"/>
      <c r="Z3311" s="32"/>
      <c r="AA3311" s="32"/>
      <c r="AB3311" s="32"/>
    </row>
    <row r="3312" spans="2:28" ht="23.25" customHeight="1" x14ac:dyDescent="0.2">
      <c r="B3312" s="75"/>
      <c r="C3312" s="67"/>
      <c r="D3312" s="75"/>
      <c r="E3312" s="67"/>
      <c r="F3312" s="67"/>
      <c r="G3312" s="70"/>
      <c r="H3312" s="70"/>
      <c r="I3312" s="70"/>
      <c r="J3312" s="70"/>
      <c r="K3312" s="70"/>
      <c r="L3312" s="67"/>
      <c r="M3312" s="67"/>
      <c r="N3312" s="72"/>
      <c r="O3312" s="72"/>
      <c r="P3312" s="67"/>
      <c r="Q3312" s="67"/>
      <c r="R3312" s="67"/>
      <c r="S3312" s="67"/>
      <c r="T3312" s="32"/>
      <c r="U3312" s="32"/>
      <c r="X3312" s="32"/>
      <c r="Y3312" s="32"/>
      <c r="Z3312" s="32"/>
      <c r="AA3312" s="32"/>
      <c r="AB3312" s="32"/>
    </row>
    <row r="3313" spans="2:28" ht="23.25" customHeight="1" x14ac:dyDescent="0.2">
      <c r="B3313" s="75"/>
      <c r="C3313" s="67"/>
      <c r="D3313" s="75"/>
      <c r="E3313" s="67"/>
      <c r="F3313" s="67"/>
      <c r="G3313" s="70"/>
      <c r="H3313" s="70"/>
      <c r="I3313" s="70"/>
      <c r="J3313" s="70"/>
      <c r="K3313" s="70"/>
      <c r="L3313" s="67"/>
      <c r="M3313" s="67"/>
      <c r="N3313" s="72"/>
      <c r="O3313" s="72"/>
      <c r="P3313" s="67"/>
      <c r="Q3313" s="67"/>
      <c r="R3313" s="67"/>
      <c r="S3313" s="67"/>
      <c r="T3313" s="32"/>
      <c r="U3313" s="32"/>
      <c r="X3313" s="32"/>
      <c r="Y3313" s="32"/>
      <c r="Z3313" s="32"/>
      <c r="AA3313" s="32"/>
      <c r="AB3313" s="32"/>
    </row>
    <row r="3314" spans="2:28" ht="23.25" customHeight="1" x14ac:dyDescent="0.2">
      <c r="B3314" s="75"/>
      <c r="C3314" s="67"/>
      <c r="D3314" s="75"/>
      <c r="E3314" s="67"/>
      <c r="F3314" s="67"/>
      <c r="G3314" s="70"/>
      <c r="H3314" s="70"/>
      <c r="I3314" s="70"/>
      <c r="J3314" s="70"/>
      <c r="K3314" s="70"/>
      <c r="L3314" s="67"/>
      <c r="M3314" s="67"/>
      <c r="N3314" s="72"/>
      <c r="O3314" s="72"/>
      <c r="P3314" s="67"/>
      <c r="Q3314" s="67"/>
      <c r="R3314" s="67"/>
      <c r="S3314" s="67"/>
      <c r="T3314" s="32"/>
      <c r="U3314" s="32"/>
      <c r="X3314" s="32"/>
      <c r="Y3314" s="32"/>
      <c r="Z3314" s="32"/>
      <c r="AA3314" s="32"/>
      <c r="AB3314" s="32"/>
    </row>
    <row r="3315" spans="2:28" ht="23.25" customHeight="1" x14ac:dyDescent="0.2">
      <c r="B3315" s="75"/>
      <c r="C3315" s="67"/>
      <c r="D3315" s="75"/>
      <c r="E3315" s="67"/>
      <c r="F3315" s="67"/>
      <c r="G3315" s="70"/>
      <c r="H3315" s="70"/>
      <c r="I3315" s="70"/>
      <c r="J3315" s="70"/>
      <c r="K3315" s="70"/>
      <c r="L3315" s="67"/>
      <c r="M3315" s="67"/>
      <c r="N3315" s="72"/>
      <c r="O3315" s="72"/>
      <c r="P3315" s="67"/>
      <c r="Q3315" s="67"/>
      <c r="R3315" s="67"/>
      <c r="S3315" s="67"/>
      <c r="T3315" s="32"/>
      <c r="U3315" s="32"/>
      <c r="X3315" s="32"/>
      <c r="Y3315" s="32"/>
      <c r="Z3315" s="32"/>
      <c r="AA3315" s="32"/>
      <c r="AB3315" s="32"/>
    </row>
    <row r="3316" spans="2:28" ht="23.25" customHeight="1" x14ac:dyDescent="0.2">
      <c r="B3316" s="75"/>
      <c r="C3316" s="67"/>
      <c r="D3316" s="75"/>
      <c r="E3316" s="67"/>
      <c r="F3316" s="67"/>
      <c r="G3316" s="70"/>
      <c r="H3316" s="70"/>
      <c r="I3316" s="70"/>
      <c r="J3316" s="70"/>
      <c r="K3316" s="70"/>
      <c r="L3316" s="67"/>
      <c r="M3316" s="67"/>
      <c r="N3316" s="72"/>
      <c r="O3316" s="72"/>
      <c r="P3316" s="67"/>
      <c r="Q3316" s="67"/>
      <c r="R3316" s="67"/>
      <c r="S3316" s="67"/>
      <c r="T3316" s="32"/>
      <c r="U3316" s="32"/>
      <c r="X3316" s="32"/>
      <c r="Y3316" s="32"/>
      <c r="Z3316" s="32"/>
      <c r="AA3316" s="32"/>
      <c r="AB3316" s="32"/>
    </row>
    <row r="3317" spans="2:28" ht="23.25" customHeight="1" x14ac:dyDescent="0.2">
      <c r="B3317" s="75"/>
      <c r="C3317" s="67"/>
      <c r="D3317" s="75"/>
      <c r="E3317" s="67"/>
      <c r="F3317" s="67"/>
      <c r="G3317" s="70"/>
      <c r="H3317" s="70"/>
      <c r="I3317" s="70"/>
      <c r="J3317" s="70"/>
      <c r="K3317" s="70"/>
      <c r="L3317" s="67"/>
      <c r="M3317" s="67"/>
      <c r="N3317" s="72"/>
      <c r="O3317" s="72"/>
      <c r="P3317" s="67"/>
      <c r="Q3317" s="67"/>
      <c r="R3317" s="67"/>
      <c r="S3317" s="67"/>
      <c r="T3317" s="32"/>
      <c r="U3317" s="32"/>
      <c r="X3317" s="32"/>
      <c r="Y3317" s="32"/>
      <c r="Z3317" s="32"/>
      <c r="AA3317" s="32"/>
      <c r="AB3317" s="32"/>
    </row>
    <row r="3318" spans="2:28" ht="23.25" customHeight="1" x14ac:dyDescent="0.2">
      <c r="B3318" s="75"/>
      <c r="C3318" s="67"/>
      <c r="D3318" s="75"/>
      <c r="E3318" s="67"/>
      <c r="F3318" s="67"/>
      <c r="G3318" s="70"/>
      <c r="H3318" s="70"/>
      <c r="I3318" s="70"/>
      <c r="J3318" s="70"/>
      <c r="K3318" s="70"/>
      <c r="L3318" s="67"/>
      <c r="M3318" s="67"/>
      <c r="N3318" s="72"/>
      <c r="O3318" s="72"/>
      <c r="P3318" s="67"/>
      <c r="Q3318" s="67"/>
      <c r="R3318" s="67"/>
      <c r="S3318" s="67"/>
      <c r="T3318" s="32"/>
      <c r="U3318" s="32"/>
      <c r="X3318" s="32"/>
      <c r="Y3318" s="32"/>
      <c r="Z3318" s="32"/>
      <c r="AA3318" s="32"/>
      <c r="AB3318" s="32"/>
    </row>
    <row r="3319" spans="2:28" ht="23.25" customHeight="1" x14ac:dyDescent="0.2">
      <c r="B3319" s="75"/>
      <c r="C3319" s="67"/>
      <c r="D3319" s="75"/>
      <c r="E3319" s="67"/>
      <c r="F3319" s="67"/>
      <c r="G3319" s="70"/>
      <c r="H3319" s="70"/>
      <c r="I3319" s="70"/>
      <c r="J3319" s="70"/>
      <c r="K3319" s="70"/>
      <c r="L3319" s="67"/>
      <c r="M3319" s="67"/>
      <c r="N3319" s="72"/>
      <c r="O3319" s="72"/>
      <c r="P3319" s="67"/>
      <c r="Q3319" s="67"/>
      <c r="R3319" s="67"/>
      <c r="S3319" s="67"/>
      <c r="T3319" s="32"/>
      <c r="U3319" s="32"/>
      <c r="X3319" s="32"/>
      <c r="Y3319" s="32"/>
      <c r="Z3319" s="32"/>
      <c r="AA3319" s="32"/>
      <c r="AB3319" s="32"/>
    </row>
    <row r="3320" spans="2:28" ht="23.25" customHeight="1" x14ac:dyDescent="0.2">
      <c r="B3320" s="75"/>
      <c r="C3320" s="67"/>
      <c r="D3320" s="75"/>
      <c r="E3320" s="67"/>
      <c r="F3320" s="67"/>
      <c r="G3320" s="70"/>
      <c r="H3320" s="70"/>
      <c r="I3320" s="70"/>
      <c r="J3320" s="70"/>
      <c r="K3320" s="70"/>
      <c r="L3320" s="67"/>
      <c r="M3320" s="67"/>
      <c r="N3320" s="72"/>
      <c r="O3320" s="72"/>
      <c r="P3320" s="67"/>
      <c r="Q3320" s="67"/>
      <c r="R3320" s="67"/>
      <c r="S3320" s="67"/>
      <c r="T3320" s="32"/>
      <c r="U3320" s="32"/>
      <c r="X3320" s="32"/>
      <c r="Y3320" s="32"/>
      <c r="Z3320" s="32"/>
      <c r="AA3320" s="32"/>
      <c r="AB3320" s="32"/>
    </row>
    <row r="3321" spans="2:28" ht="23.25" customHeight="1" x14ac:dyDescent="0.2">
      <c r="B3321" s="75"/>
      <c r="C3321" s="67"/>
      <c r="D3321" s="75"/>
      <c r="E3321" s="67"/>
      <c r="F3321" s="67"/>
      <c r="G3321" s="70"/>
      <c r="H3321" s="70"/>
      <c r="I3321" s="70"/>
      <c r="J3321" s="70"/>
      <c r="K3321" s="70"/>
      <c r="L3321" s="67"/>
      <c r="M3321" s="67"/>
      <c r="N3321" s="72"/>
      <c r="O3321" s="72"/>
      <c r="P3321" s="67"/>
      <c r="Q3321" s="67"/>
      <c r="R3321" s="67"/>
      <c r="S3321" s="67"/>
      <c r="T3321" s="32"/>
      <c r="U3321" s="32"/>
      <c r="X3321" s="32"/>
      <c r="Y3321" s="32"/>
      <c r="Z3321" s="32"/>
      <c r="AA3321" s="32"/>
      <c r="AB3321" s="32"/>
    </row>
    <row r="3322" spans="2:28" ht="23.25" customHeight="1" x14ac:dyDescent="0.2">
      <c r="B3322" s="75"/>
      <c r="C3322" s="67"/>
      <c r="D3322" s="75"/>
      <c r="E3322" s="67"/>
      <c r="F3322" s="67"/>
      <c r="G3322" s="70"/>
      <c r="H3322" s="70"/>
      <c r="I3322" s="70"/>
      <c r="J3322" s="70"/>
      <c r="K3322" s="70"/>
      <c r="L3322" s="67"/>
      <c r="M3322" s="67"/>
      <c r="N3322" s="72"/>
      <c r="O3322" s="72"/>
      <c r="P3322" s="67"/>
      <c r="Q3322" s="67"/>
      <c r="R3322" s="67"/>
      <c r="S3322" s="67"/>
      <c r="T3322" s="32"/>
      <c r="U3322" s="32"/>
      <c r="X3322" s="32"/>
      <c r="Y3322" s="32"/>
      <c r="Z3322" s="32"/>
      <c r="AA3322" s="32"/>
      <c r="AB3322" s="32"/>
    </row>
    <row r="3323" spans="2:28" ht="23.25" customHeight="1" x14ac:dyDescent="0.2">
      <c r="B3323" s="75"/>
      <c r="C3323" s="67"/>
      <c r="D3323" s="75"/>
      <c r="E3323" s="67"/>
      <c r="F3323" s="67"/>
      <c r="G3323" s="70"/>
      <c r="H3323" s="70"/>
      <c r="I3323" s="70"/>
      <c r="J3323" s="70"/>
      <c r="K3323" s="70"/>
      <c r="L3323" s="67"/>
      <c r="M3323" s="67"/>
      <c r="N3323" s="72"/>
      <c r="O3323" s="72"/>
      <c r="P3323" s="67"/>
      <c r="Q3323" s="67"/>
      <c r="R3323" s="67"/>
      <c r="S3323" s="67"/>
      <c r="T3323" s="32"/>
      <c r="U3323" s="32"/>
      <c r="X3323" s="32"/>
      <c r="Y3323" s="32"/>
      <c r="Z3323" s="32"/>
      <c r="AA3323" s="32"/>
      <c r="AB3323" s="32"/>
    </row>
    <row r="3324" spans="2:28" ht="23.25" customHeight="1" x14ac:dyDescent="0.2">
      <c r="B3324" s="75"/>
      <c r="C3324" s="67"/>
      <c r="D3324" s="75"/>
      <c r="E3324" s="67"/>
      <c r="F3324" s="67"/>
      <c r="G3324" s="70"/>
      <c r="H3324" s="70"/>
      <c r="I3324" s="70"/>
      <c r="J3324" s="70"/>
      <c r="K3324" s="70"/>
      <c r="L3324" s="67"/>
      <c r="M3324" s="67"/>
      <c r="N3324" s="72"/>
      <c r="O3324" s="72"/>
      <c r="P3324" s="67"/>
      <c r="Q3324" s="67"/>
      <c r="R3324" s="67"/>
      <c r="S3324" s="67"/>
      <c r="T3324" s="32"/>
      <c r="U3324" s="32"/>
      <c r="X3324" s="32"/>
      <c r="Y3324" s="32"/>
      <c r="Z3324" s="32"/>
      <c r="AA3324" s="32"/>
      <c r="AB3324" s="32"/>
    </row>
    <row r="3325" spans="2:28" ht="23.25" customHeight="1" x14ac:dyDescent="0.2">
      <c r="B3325" s="75"/>
      <c r="C3325" s="67"/>
      <c r="D3325" s="75"/>
      <c r="E3325" s="67"/>
      <c r="F3325" s="67"/>
      <c r="G3325" s="70"/>
      <c r="H3325" s="70"/>
      <c r="I3325" s="70"/>
      <c r="J3325" s="70"/>
      <c r="K3325" s="70"/>
      <c r="L3325" s="67"/>
      <c r="M3325" s="67"/>
      <c r="N3325" s="72"/>
      <c r="O3325" s="72"/>
      <c r="P3325" s="67"/>
      <c r="Q3325" s="67"/>
      <c r="R3325" s="67"/>
      <c r="S3325" s="67"/>
      <c r="T3325" s="32"/>
      <c r="U3325" s="32"/>
      <c r="X3325" s="32"/>
      <c r="Y3325" s="32"/>
      <c r="Z3325" s="32"/>
      <c r="AA3325" s="32"/>
      <c r="AB3325" s="32"/>
    </row>
    <row r="3326" spans="2:28" ht="23.25" customHeight="1" x14ac:dyDescent="0.2">
      <c r="B3326" s="75"/>
      <c r="C3326" s="67"/>
      <c r="D3326" s="75"/>
      <c r="E3326" s="67"/>
      <c r="F3326" s="67"/>
      <c r="G3326" s="70"/>
      <c r="H3326" s="70"/>
      <c r="I3326" s="70"/>
      <c r="J3326" s="70"/>
      <c r="K3326" s="70"/>
      <c r="L3326" s="67"/>
      <c r="M3326" s="67"/>
      <c r="N3326" s="72"/>
      <c r="O3326" s="72"/>
      <c r="P3326" s="67"/>
      <c r="Q3326" s="67"/>
      <c r="R3326" s="67"/>
      <c r="S3326" s="67"/>
      <c r="T3326" s="32"/>
      <c r="U3326" s="32"/>
      <c r="X3326" s="32"/>
      <c r="Y3326" s="32"/>
      <c r="Z3326" s="32"/>
      <c r="AA3326" s="32"/>
      <c r="AB3326" s="32"/>
    </row>
    <row r="3327" spans="2:28" ht="23.25" customHeight="1" x14ac:dyDescent="0.2">
      <c r="B3327" s="75"/>
      <c r="C3327" s="67"/>
      <c r="D3327" s="75"/>
      <c r="E3327" s="67"/>
      <c r="F3327" s="67"/>
      <c r="G3327" s="70"/>
      <c r="H3327" s="70"/>
      <c r="I3327" s="70"/>
      <c r="J3327" s="70"/>
      <c r="K3327" s="70"/>
      <c r="L3327" s="67"/>
      <c r="M3327" s="67"/>
      <c r="N3327" s="72"/>
      <c r="O3327" s="72"/>
      <c r="P3327" s="67"/>
      <c r="Q3327" s="67"/>
      <c r="R3327" s="67"/>
      <c r="S3327" s="67"/>
      <c r="T3327" s="32"/>
      <c r="U3327" s="32"/>
      <c r="X3327" s="32"/>
      <c r="Y3327" s="32"/>
      <c r="Z3327" s="32"/>
      <c r="AA3327" s="32"/>
      <c r="AB3327" s="32"/>
    </row>
    <row r="3328" spans="2:28" ht="23.25" customHeight="1" x14ac:dyDescent="0.2">
      <c r="B3328" s="75"/>
      <c r="C3328" s="67"/>
      <c r="D3328" s="75"/>
      <c r="E3328" s="67"/>
      <c r="F3328" s="67"/>
      <c r="G3328" s="70"/>
      <c r="H3328" s="70"/>
      <c r="I3328" s="70"/>
      <c r="J3328" s="70"/>
      <c r="K3328" s="70"/>
      <c r="L3328" s="67"/>
      <c r="M3328" s="67"/>
      <c r="N3328" s="72"/>
      <c r="O3328" s="72"/>
      <c r="P3328" s="67"/>
      <c r="Q3328" s="67"/>
      <c r="R3328" s="67"/>
      <c r="S3328" s="67"/>
      <c r="T3328" s="32"/>
      <c r="U3328" s="32"/>
      <c r="X3328" s="32"/>
      <c r="Y3328" s="32"/>
      <c r="Z3328" s="32"/>
      <c r="AA3328" s="32"/>
      <c r="AB3328" s="32"/>
    </row>
    <row r="3329" spans="2:28" ht="23.25" customHeight="1" x14ac:dyDescent="0.2">
      <c r="B3329" s="75"/>
      <c r="C3329" s="67"/>
      <c r="D3329" s="75"/>
      <c r="E3329" s="67"/>
      <c r="F3329" s="67"/>
      <c r="G3329" s="70"/>
      <c r="H3329" s="70"/>
      <c r="I3329" s="70"/>
      <c r="J3329" s="70"/>
      <c r="K3329" s="70"/>
      <c r="L3329" s="67"/>
      <c r="M3329" s="67"/>
      <c r="N3329" s="72"/>
      <c r="O3329" s="72"/>
      <c r="P3329" s="67"/>
      <c r="Q3329" s="67"/>
      <c r="R3329" s="67"/>
      <c r="S3329" s="67"/>
      <c r="T3329" s="32"/>
      <c r="U3329" s="32"/>
      <c r="X3329" s="32"/>
      <c r="Y3329" s="32"/>
      <c r="Z3329" s="32"/>
      <c r="AA3329" s="32"/>
      <c r="AB3329" s="32"/>
    </row>
    <row r="3330" spans="2:28" ht="23.25" customHeight="1" x14ac:dyDescent="0.2">
      <c r="B3330" s="75"/>
      <c r="C3330" s="67"/>
      <c r="D3330" s="75"/>
      <c r="E3330" s="67"/>
      <c r="F3330" s="67"/>
      <c r="G3330" s="70"/>
      <c r="H3330" s="70"/>
      <c r="I3330" s="70"/>
      <c r="J3330" s="70"/>
      <c r="K3330" s="70"/>
      <c r="L3330" s="67"/>
      <c r="M3330" s="67"/>
      <c r="N3330" s="72"/>
      <c r="O3330" s="72"/>
      <c r="P3330" s="67"/>
      <c r="Q3330" s="67"/>
      <c r="R3330" s="67"/>
      <c r="S3330" s="67"/>
      <c r="T3330" s="32"/>
      <c r="U3330" s="32"/>
      <c r="X3330" s="32"/>
      <c r="Y3330" s="32"/>
      <c r="Z3330" s="32"/>
      <c r="AA3330" s="32"/>
      <c r="AB3330" s="32"/>
    </row>
    <row r="3331" spans="2:28" ht="23.25" customHeight="1" x14ac:dyDescent="0.2">
      <c r="B3331" s="75"/>
      <c r="C3331" s="67"/>
      <c r="D3331" s="75"/>
      <c r="E3331" s="67"/>
      <c r="F3331" s="67"/>
      <c r="G3331" s="70"/>
      <c r="H3331" s="70"/>
      <c r="I3331" s="70"/>
      <c r="J3331" s="70"/>
      <c r="K3331" s="70"/>
      <c r="L3331" s="67"/>
      <c r="M3331" s="67"/>
      <c r="N3331" s="72"/>
      <c r="O3331" s="72"/>
      <c r="P3331" s="67"/>
      <c r="Q3331" s="67"/>
      <c r="R3331" s="67"/>
      <c r="S3331" s="67"/>
      <c r="T3331" s="32"/>
      <c r="U3331" s="32"/>
      <c r="X3331" s="32"/>
      <c r="Y3331" s="32"/>
      <c r="Z3331" s="32"/>
      <c r="AA3331" s="32"/>
      <c r="AB3331" s="32"/>
    </row>
    <row r="3332" spans="2:28" ht="23.25" customHeight="1" x14ac:dyDescent="0.2">
      <c r="B3332" s="75"/>
      <c r="C3332" s="67"/>
      <c r="D3332" s="75"/>
      <c r="E3332" s="67"/>
      <c r="F3332" s="67"/>
      <c r="G3332" s="70"/>
      <c r="H3332" s="70"/>
      <c r="I3332" s="70"/>
      <c r="J3332" s="70"/>
      <c r="K3332" s="70"/>
      <c r="L3332" s="67"/>
      <c r="M3332" s="67"/>
      <c r="N3332" s="72"/>
      <c r="O3332" s="72"/>
      <c r="P3332" s="67"/>
      <c r="Q3332" s="67"/>
      <c r="R3332" s="67"/>
      <c r="S3332" s="67"/>
      <c r="T3332" s="32"/>
      <c r="U3332" s="32"/>
      <c r="X3332" s="32"/>
      <c r="Y3332" s="32"/>
      <c r="Z3332" s="32"/>
      <c r="AA3332" s="32"/>
      <c r="AB3332" s="32"/>
    </row>
    <row r="3333" spans="2:28" ht="23.25" customHeight="1" x14ac:dyDescent="0.2">
      <c r="B3333" s="75"/>
      <c r="C3333" s="67"/>
      <c r="D3333" s="75"/>
      <c r="E3333" s="67"/>
      <c r="F3333" s="67"/>
      <c r="G3333" s="70"/>
      <c r="H3333" s="70"/>
      <c r="I3333" s="70"/>
      <c r="J3333" s="70"/>
      <c r="K3333" s="70"/>
      <c r="L3333" s="67"/>
      <c r="M3333" s="67"/>
      <c r="N3333" s="72"/>
      <c r="O3333" s="72"/>
      <c r="P3333" s="67"/>
      <c r="Q3333" s="67"/>
      <c r="R3333" s="67"/>
      <c r="S3333" s="67"/>
      <c r="T3333" s="32"/>
      <c r="U3333" s="32"/>
      <c r="X3333" s="32"/>
      <c r="Y3333" s="32"/>
      <c r="Z3333" s="32"/>
      <c r="AA3333" s="32"/>
      <c r="AB3333" s="32"/>
    </row>
    <row r="3334" spans="2:28" ht="23.25" customHeight="1" x14ac:dyDescent="0.2">
      <c r="B3334" s="75"/>
      <c r="C3334" s="67"/>
      <c r="D3334" s="75"/>
      <c r="E3334" s="67"/>
      <c r="F3334" s="67"/>
      <c r="G3334" s="70"/>
      <c r="H3334" s="70"/>
      <c r="I3334" s="70"/>
      <c r="J3334" s="70"/>
      <c r="K3334" s="70"/>
      <c r="L3334" s="67"/>
      <c r="M3334" s="67"/>
      <c r="N3334" s="72"/>
      <c r="O3334" s="72"/>
      <c r="P3334" s="67"/>
      <c r="Q3334" s="67"/>
      <c r="R3334" s="67"/>
      <c r="S3334" s="67"/>
      <c r="T3334" s="32"/>
      <c r="U3334" s="32"/>
      <c r="X3334" s="32"/>
      <c r="Y3334" s="32"/>
      <c r="Z3334" s="32"/>
      <c r="AA3334" s="32"/>
      <c r="AB3334" s="32"/>
    </row>
    <row r="3335" spans="2:28" ht="23.25" customHeight="1" x14ac:dyDescent="0.2">
      <c r="B3335" s="75"/>
      <c r="C3335" s="67"/>
      <c r="D3335" s="75"/>
      <c r="E3335" s="67"/>
      <c r="F3335" s="67"/>
      <c r="G3335" s="70"/>
      <c r="H3335" s="70"/>
      <c r="I3335" s="70"/>
      <c r="J3335" s="70"/>
      <c r="K3335" s="70"/>
      <c r="L3335" s="67"/>
      <c r="M3335" s="67"/>
      <c r="N3335" s="72"/>
      <c r="O3335" s="72"/>
      <c r="P3335" s="67"/>
      <c r="Q3335" s="67"/>
      <c r="R3335" s="67"/>
      <c r="S3335" s="67"/>
      <c r="T3335" s="32"/>
      <c r="U3335" s="32"/>
      <c r="X3335" s="32"/>
      <c r="Y3335" s="32"/>
      <c r="Z3335" s="32"/>
      <c r="AA3335" s="32"/>
      <c r="AB3335" s="32"/>
    </row>
    <row r="3336" spans="2:28" ht="23.25" customHeight="1" x14ac:dyDescent="0.2">
      <c r="B3336" s="75"/>
      <c r="C3336" s="67"/>
      <c r="D3336" s="75"/>
      <c r="E3336" s="67"/>
      <c r="F3336" s="67"/>
      <c r="G3336" s="70"/>
      <c r="H3336" s="70"/>
      <c r="I3336" s="70"/>
      <c r="J3336" s="70"/>
      <c r="K3336" s="70"/>
      <c r="L3336" s="67"/>
      <c r="M3336" s="67"/>
      <c r="N3336" s="72"/>
      <c r="O3336" s="72"/>
      <c r="P3336" s="67"/>
      <c r="Q3336" s="67"/>
      <c r="R3336" s="67"/>
      <c r="S3336" s="67"/>
      <c r="T3336" s="32"/>
      <c r="U3336" s="32"/>
      <c r="X3336" s="32"/>
      <c r="Y3336" s="32"/>
      <c r="Z3336" s="32"/>
      <c r="AA3336" s="32"/>
      <c r="AB3336" s="32"/>
    </row>
    <row r="3337" spans="2:28" ht="23.25" customHeight="1" x14ac:dyDescent="0.2">
      <c r="B3337" s="75"/>
      <c r="C3337" s="67"/>
      <c r="D3337" s="75"/>
      <c r="E3337" s="67"/>
      <c r="F3337" s="67"/>
      <c r="G3337" s="70"/>
      <c r="H3337" s="70"/>
      <c r="I3337" s="70"/>
      <c r="J3337" s="70"/>
      <c r="K3337" s="70"/>
      <c r="L3337" s="67"/>
      <c r="M3337" s="67"/>
      <c r="N3337" s="72"/>
      <c r="O3337" s="72"/>
      <c r="P3337" s="67"/>
      <c r="Q3337" s="67"/>
      <c r="R3337" s="67"/>
      <c r="S3337" s="67"/>
      <c r="T3337" s="32"/>
      <c r="U3337" s="32"/>
      <c r="X3337" s="32"/>
      <c r="Y3337" s="32"/>
      <c r="Z3337" s="32"/>
      <c r="AA3337" s="32"/>
      <c r="AB3337" s="32"/>
    </row>
    <row r="3338" spans="2:28" ht="23.25" customHeight="1" x14ac:dyDescent="0.2">
      <c r="B3338" s="75"/>
      <c r="C3338" s="67"/>
      <c r="D3338" s="75"/>
      <c r="E3338" s="67"/>
      <c r="F3338" s="67"/>
      <c r="G3338" s="70"/>
      <c r="H3338" s="70"/>
      <c r="I3338" s="70"/>
      <c r="J3338" s="70"/>
      <c r="K3338" s="70"/>
      <c r="L3338" s="67"/>
      <c r="M3338" s="67"/>
      <c r="N3338" s="72"/>
      <c r="O3338" s="72"/>
      <c r="P3338" s="67"/>
      <c r="Q3338" s="67"/>
      <c r="R3338" s="67"/>
      <c r="S3338" s="67"/>
      <c r="T3338" s="32"/>
      <c r="U3338" s="32"/>
      <c r="X3338" s="32"/>
      <c r="Y3338" s="32"/>
      <c r="Z3338" s="32"/>
      <c r="AA3338" s="32"/>
      <c r="AB3338" s="32"/>
    </row>
    <row r="3339" spans="2:28" ht="23.25" customHeight="1" x14ac:dyDescent="0.2">
      <c r="B3339" s="75"/>
      <c r="C3339" s="67"/>
      <c r="D3339" s="75"/>
      <c r="E3339" s="67"/>
      <c r="F3339" s="67"/>
      <c r="G3339" s="70"/>
      <c r="H3339" s="70"/>
      <c r="I3339" s="70"/>
      <c r="J3339" s="70"/>
      <c r="K3339" s="70"/>
      <c r="L3339" s="67"/>
      <c r="M3339" s="67"/>
      <c r="N3339" s="72"/>
      <c r="O3339" s="72"/>
      <c r="P3339" s="67"/>
      <c r="Q3339" s="67"/>
      <c r="R3339" s="67"/>
      <c r="S3339" s="67"/>
      <c r="T3339" s="32"/>
      <c r="U3339" s="32"/>
      <c r="X3339" s="32"/>
      <c r="Y3339" s="32"/>
      <c r="Z3339" s="32"/>
      <c r="AA3339" s="32"/>
      <c r="AB3339" s="32"/>
    </row>
    <row r="3340" spans="2:28" ht="23.25" customHeight="1" x14ac:dyDescent="0.2">
      <c r="B3340" s="75"/>
      <c r="C3340" s="67"/>
      <c r="D3340" s="75"/>
      <c r="E3340" s="67"/>
      <c r="F3340" s="67"/>
      <c r="G3340" s="70"/>
      <c r="H3340" s="70"/>
      <c r="I3340" s="70"/>
      <c r="J3340" s="70"/>
      <c r="K3340" s="70"/>
      <c r="L3340" s="67"/>
      <c r="M3340" s="67"/>
      <c r="N3340" s="72"/>
      <c r="O3340" s="72"/>
      <c r="P3340" s="67"/>
      <c r="Q3340" s="67"/>
      <c r="R3340" s="67"/>
      <c r="S3340" s="67"/>
      <c r="T3340" s="32"/>
      <c r="U3340" s="32"/>
      <c r="X3340" s="32"/>
      <c r="Y3340" s="32"/>
      <c r="Z3340" s="32"/>
      <c r="AA3340" s="32"/>
      <c r="AB3340" s="32"/>
    </row>
    <row r="3341" spans="2:28" ht="23.25" customHeight="1" x14ac:dyDescent="0.2">
      <c r="B3341" s="75"/>
      <c r="C3341" s="67"/>
      <c r="D3341" s="75"/>
      <c r="E3341" s="67"/>
      <c r="F3341" s="67"/>
      <c r="G3341" s="70"/>
      <c r="H3341" s="70"/>
      <c r="I3341" s="70"/>
      <c r="J3341" s="70"/>
      <c r="K3341" s="70"/>
      <c r="L3341" s="67"/>
      <c r="M3341" s="67"/>
      <c r="N3341" s="72"/>
      <c r="O3341" s="72"/>
      <c r="P3341" s="67"/>
      <c r="Q3341" s="67"/>
      <c r="R3341" s="67"/>
      <c r="S3341" s="67"/>
      <c r="T3341" s="32"/>
      <c r="U3341" s="32"/>
      <c r="X3341" s="32"/>
      <c r="Y3341" s="32"/>
      <c r="Z3341" s="32"/>
      <c r="AA3341" s="32"/>
      <c r="AB3341" s="32"/>
    </row>
    <row r="3342" spans="2:28" ht="23.25" customHeight="1" x14ac:dyDescent="0.2">
      <c r="B3342" s="75"/>
      <c r="C3342" s="67"/>
      <c r="D3342" s="75"/>
      <c r="E3342" s="67"/>
      <c r="F3342" s="67"/>
      <c r="G3342" s="70"/>
      <c r="H3342" s="70"/>
      <c r="I3342" s="70"/>
      <c r="J3342" s="70"/>
      <c r="K3342" s="70"/>
      <c r="L3342" s="67"/>
      <c r="M3342" s="67"/>
      <c r="N3342" s="72"/>
      <c r="O3342" s="72"/>
      <c r="P3342" s="67"/>
      <c r="Q3342" s="67"/>
      <c r="R3342" s="67"/>
      <c r="S3342" s="67"/>
      <c r="T3342" s="32"/>
      <c r="U3342" s="32"/>
      <c r="X3342" s="32"/>
      <c r="Y3342" s="32"/>
      <c r="Z3342" s="32"/>
      <c r="AA3342" s="32"/>
      <c r="AB3342" s="32"/>
    </row>
    <row r="3343" spans="2:28" ht="23.25" customHeight="1" x14ac:dyDescent="0.2">
      <c r="B3343" s="75"/>
      <c r="C3343" s="67"/>
      <c r="D3343" s="75"/>
      <c r="E3343" s="67"/>
      <c r="F3343" s="67"/>
      <c r="G3343" s="70"/>
      <c r="H3343" s="70"/>
      <c r="I3343" s="70"/>
      <c r="J3343" s="70"/>
      <c r="K3343" s="70"/>
      <c r="L3343" s="67"/>
      <c r="M3343" s="67"/>
      <c r="N3343" s="72"/>
      <c r="O3343" s="72"/>
      <c r="P3343" s="67"/>
      <c r="Q3343" s="67"/>
      <c r="R3343" s="67"/>
      <c r="S3343" s="67"/>
      <c r="T3343" s="32"/>
      <c r="U3343" s="32"/>
      <c r="X3343" s="32"/>
      <c r="Y3343" s="32"/>
      <c r="Z3343" s="32"/>
      <c r="AA3343" s="32"/>
      <c r="AB3343" s="32"/>
    </row>
    <row r="3344" spans="2:28" ht="23.25" customHeight="1" x14ac:dyDescent="0.2">
      <c r="B3344" s="75"/>
      <c r="C3344" s="67"/>
      <c r="D3344" s="75"/>
      <c r="E3344" s="67"/>
      <c r="F3344" s="67"/>
      <c r="G3344" s="70"/>
      <c r="H3344" s="70"/>
      <c r="I3344" s="70"/>
      <c r="J3344" s="70"/>
      <c r="K3344" s="70"/>
      <c r="L3344" s="67"/>
      <c r="M3344" s="67"/>
      <c r="N3344" s="72"/>
      <c r="O3344" s="72"/>
      <c r="P3344" s="67"/>
      <c r="Q3344" s="67"/>
      <c r="R3344" s="67"/>
      <c r="S3344" s="67"/>
      <c r="T3344" s="32"/>
      <c r="U3344" s="32"/>
      <c r="X3344" s="32"/>
      <c r="Y3344" s="32"/>
      <c r="Z3344" s="32"/>
      <c r="AA3344" s="32"/>
      <c r="AB3344" s="32"/>
    </row>
    <row r="3345" spans="2:28" ht="23.25" customHeight="1" x14ac:dyDescent="0.2">
      <c r="B3345" s="75"/>
      <c r="C3345" s="67"/>
      <c r="D3345" s="75"/>
      <c r="E3345" s="67"/>
      <c r="F3345" s="67"/>
      <c r="G3345" s="70"/>
      <c r="H3345" s="70"/>
      <c r="I3345" s="70"/>
      <c r="J3345" s="70"/>
      <c r="K3345" s="70"/>
      <c r="L3345" s="67"/>
      <c r="M3345" s="67"/>
      <c r="N3345" s="72"/>
      <c r="O3345" s="72"/>
      <c r="P3345" s="67"/>
      <c r="Q3345" s="67"/>
      <c r="R3345" s="67"/>
      <c r="S3345" s="67"/>
      <c r="T3345" s="32"/>
      <c r="U3345" s="32"/>
      <c r="X3345" s="32"/>
      <c r="Y3345" s="32"/>
      <c r="Z3345" s="32"/>
      <c r="AA3345" s="32"/>
      <c r="AB3345" s="32"/>
    </row>
    <row r="3346" spans="2:28" ht="23.25" customHeight="1" x14ac:dyDescent="0.2">
      <c r="B3346" s="75"/>
      <c r="C3346" s="67"/>
      <c r="D3346" s="75"/>
      <c r="E3346" s="67"/>
      <c r="F3346" s="67"/>
      <c r="G3346" s="70"/>
      <c r="H3346" s="70"/>
      <c r="I3346" s="70"/>
      <c r="J3346" s="70"/>
      <c r="K3346" s="70"/>
      <c r="L3346" s="67"/>
      <c r="M3346" s="67"/>
      <c r="N3346" s="72"/>
      <c r="O3346" s="72"/>
      <c r="P3346" s="67"/>
      <c r="Q3346" s="67"/>
      <c r="R3346" s="67"/>
      <c r="S3346" s="67"/>
      <c r="T3346" s="32"/>
      <c r="U3346" s="32"/>
      <c r="X3346" s="32"/>
      <c r="Y3346" s="32"/>
      <c r="Z3346" s="32"/>
      <c r="AA3346" s="32"/>
      <c r="AB3346" s="32"/>
    </row>
    <row r="3347" spans="2:28" ht="23.25" customHeight="1" x14ac:dyDescent="0.2">
      <c r="B3347" s="75"/>
      <c r="C3347" s="67"/>
      <c r="D3347" s="75"/>
      <c r="E3347" s="67"/>
      <c r="F3347" s="67"/>
      <c r="G3347" s="70"/>
      <c r="H3347" s="70"/>
      <c r="I3347" s="70"/>
      <c r="J3347" s="70"/>
      <c r="K3347" s="70"/>
      <c r="L3347" s="67"/>
      <c r="M3347" s="67"/>
      <c r="N3347" s="72"/>
      <c r="O3347" s="72"/>
      <c r="P3347" s="67"/>
      <c r="Q3347" s="67"/>
      <c r="R3347" s="67"/>
      <c r="S3347" s="67"/>
      <c r="T3347" s="32"/>
      <c r="U3347" s="32"/>
      <c r="X3347" s="32"/>
      <c r="Y3347" s="32"/>
      <c r="Z3347" s="32"/>
      <c r="AA3347" s="32"/>
      <c r="AB3347" s="32"/>
    </row>
    <row r="3348" spans="2:28" ht="23.25" customHeight="1" x14ac:dyDescent="0.2">
      <c r="B3348" s="75"/>
      <c r="C3348" s="67"/>
      <c r="D3348" s="75"/>
      <c r="E3348" s="67"/>
      <c r="F3348" s="67"/>
      <c r="G3348" s="70"/>
      <c r="H3348" s="70"/>
      <c r="I3348" s="70"/>
      <c r="J3348" s="70"/>
      <c r="K3348" s="70"/>
      <c r="L3348" s="67"/>
      <c r="M3348" s="67"/>
      <c r="N3348" s="72"/>
      <c r="O3348" s="72"/>
      <c r="P3348" s="67"/>
      <c r="Q3348" s="67"/>
      <c r="R3348" s="67"/>
      <c r="S3348" s="67"/>
      <c r="T3348" s="32"/>
      <c r="U3348" s="32"/>
      <c r="X3348" s="32"/>
      <c r="Y3348" s="32"/>
      <c r="Z3348" s="32"/>
      <c r="AA3348" s="32"/>
      <c r="AB3348" s="32"/>
    </row>
    <row r="3349" spans="2:28" ht="23.25" customHeight="1" x14ac:dyDescent="0.2">
      <c r="B3349" s="75"/>
      <c r="C3349" s="67"/>
      <c r="D3349" s="75"/>
      <c r="E3349" s="67"/>
      <c r="F3349" s="67"/>
      <c r="G3349" s="70"/>
      <c r="H3349" s="70"/>
      <c r="I3349" s="70"/>
      <c r="J3349" s="70"/>
      <c r="K3349" s="70"/>
      <c r="L3349" s="67"/>
      <c r="M3349" s="67"/>
      <c r="N3349" s="72"/>
      <c r="O3349" s="72"/>
      <c r="P3349" s="67"/>
      <c r="Q3349" s="67"/>
      <c r="R3349" s="67"/>
      <c r="S3349" s="67"/>
      <c r="T3349" s="32"/>
      <c r="U3349" s="32"/>
      <c r="X3349" s="32"/>
      <c r="Y3349" s="32"/>
      <c r="Z3349" s="32"/>
      <c r="AA3349" s="32"/>
      <c r="AB3349" s="32"/>
    </row>
    <row r="3350" spans="2:28" ht="23.25" customHeight="1" x14ac:dyDescent="0.2">
      <c r="B3350" s="75"/>
      <c r="C3350" s="67"/>
      <c r="D3350" s="75"/>
      <c r="E3350" s="67"/>
      <c r="F3350" s="67"/>
      <c r="G3350" s="70"/>
      <c r="H3350" s="70"/>
      <c r="I3350" s="70"/>
      <c r="J3350" s="70"/>
      <c r="K3350" s="70"/>
      <c r="L3350" s="67"/>
      <c r="M3350" s="67"/>
      <c r="N3350" s="72"/>
      <c r="O3350" s="72"/>
      <c r="P3350" s="67"/>
      <c r="Q3350" s="67"/>
      <c r="R3350" s="67"/>
      <c r="S3350" s="67"/>
      <c r="T3350" s="32"/>
      <c r="U3350" s="32"/>
      <c r="X3350" s="32"/>
      <c r="Y3350" s="32"/>
      <c r="Z3350" s="32"/>
      <c r="AA3350" s="32"/>
      <c r="AB3350" s="32"/>
    </row>
    <row r="3351" spans="2:28" ht="23.25" customHeight="1" x14ac:dyDescent="0.2">
      <c r="B3351" s="75"/>
      <c r="C3351" s="67"/>
      <c r="D3351" s="75"/>
      <c r="E3351" s="67"/>
      <c r="F3351" s="67"/>
      <c r="G3351" s="70"/>
      <c r="H3351" s="70"/>
      <c r="I3351" s="70"/>
      <c r="J3351" s="70"/>
      <c r="K3351" s="70"/>
      <c r="L3351" s="67"/>
      <c r="M3351" s="67"/>
      <c r="N3351" s="72"/>
      <c r="O3351" s="72"/>
      <c r="P3351" s="67"/>
      <c r="Q3351" s="67"/>
      <c r="R3351" s="67"/>
      <c r="S3351" s="67"/>
      <c r="T3351" s="32"/>
      <c r="U3351" s="32"/>
      <c r="X3351" s="32"/>
      <c r="Y3351" s="32"/>
      <c r="Z3351" s="32"/>
      <c r="AA3351" s="32"/>
      <c r="AB3351" s="32"/>
    </row>
    <row r="3352" spans="2:28" ht="23.25" customHeight="1" x14ac:dyDescent="0.2">
      <c r="B3352" s="75"/>
      <c r="C3352" s="67"/>
      <c r="D3352" s="75"/>
      <c r="E3352" s="67"/>
      <c r="F3352" s="67"/>
      <c r="G3352" s="70"/>
      <c r="H3352" s="70"/>
      <c r="I3352" s="70"/>
      <c r="J3352" s="70"/>
      <c r="K3352" s="70"/>
      <c r="L3352" s="67"/>
      <c r="M3352" s="67"/>
      <c r="N3352" s="72"/>
      <c r="O3352" s="72"/>
      <c r="P3352" s="67"/>
      <c r="Q3352" s="67"/>
      <c r="R3352" s="67"/>
      <c r="S3352" s="67"/>
      <c r="T3352" s="32"/>
      <c r="U3352" s="32"/>
      <c r="X3352" s="32"/>
      <c r="Y3352" s="32"/>
      <c r="Z3352" s="32"/>
      <c r="AA3352" s="32"/>
      <c r="AB3352" s="32"/>
    </row>
    <row r="3353" spans="2:28" ht="23.25" customHeight="1" x14ac:dyDescent="0.2">
      <c r="B3353" s="75"/>
      <c r="C3353" s="67"/>
      <c r="D3353" s="75"/>
      <c r="E3353" s="67"/>
      <c r="F3353" s="67"/>
      <c r="G3353" s="70"/>
      <c r="H3353" s="70"/>
      <c r="I3353" s="70"/>
      <c r="J3353" s="70"/>
      <c r="K3353" s="70"/>
      <c r="L3353" s="67"/>
      <c r="M3353" s="67"/>
      <c r="N3353" s="72"/>
      <c r="O3353" s="72"/>
      <c r="P3353" s="67"/>
      <c r="Q3353" s="67"/>
      <c r="R3353" s="67"/>
      <c r="S3353" s="67"/>
      <c r="T3353" s="32"/>
      <c r="U3353" s="32"/>
      <c r="X3353" s="32"/>
      <c r="Y3353" s="32"/>
      <c r="Z3353" s="32"/>
      <c r="AA3353" s="32"/>
      <c r="AB3353" s="32"/>
    </row>
    <row r="3354" spans="2:28" ht="23.25" customHeight="1" x14ac:dyDescent="0.2">
      <c r="B3354" s="75"/>
      <c r="C3354" s="67"/>
      <c r="D3354" s="75"/>
      <c r="E3354" s="67"/>
      <c r="F3354" s="67"/>
      <c r="G3354" s="70"/>
      <c r="H3354" s="70"/>
      <c r="I3354" s="70"/>
      <c r="J3354" s="70"/>
      <c r="K3354" s="70"/>
      <c r="L3354" s="67"/>
      <c r="M3354" s="67"/>
      <c r="N3354" s="72"/>
      <c r="O3354" s="72"/>
      <c r="P3354" s="67"/>
      <c r="Q3354" s="67"/>
      <c r="R3354" s="67"/>
      <c r="S3354" s="67"/>
      <c r="T3354" s="32"/>
      <c r="U3354" s="32"/>
      <c r="X3354" s="32"/>
      <c r="Y3354" s="32"/>
      <c r="Z3354" s="32"/>
      <c r="AA3354" s="32"/>
      <c r="AB3354" s="32"/>
    </row>
    <row r="3355" spans="2:28" ht="23.25" customHeight="1" x14ac:dyDescent="0.2">
      <c r="B3355" s="75"/>
      <c r="C3355" s="67"/>
      <c r="D3355" s="75"/>
      <c r="E3355" s="67"/>
      <c r="F3355" s="67"/>
      <c r="G3355" s="70"/>
      <c r="H3355" s="70"/>
      <c r="I3355" s="70"/>
      <c r="J3355" s="70"/>
      <c r="K3355" s="70"/>
      <c r="L3355" s="67"/>
      <c r="M3355" s="67"/>
      <c r="N3355" s="72"/>
      <c r="O3355" s="72"/>
      <c r="P3355" s="67"/>
      <c r="Q3355" s="67"/>
      <c r="R3355" s="67"/>
      <c r="S3355" s="67"/>
      <c r="T3355" s="32"/>
      <c r="U3355" s="32"/>
      <c r="X3355" s="32"/>
      <c r="Y3355" s="32"/>
      <c r="Z3355" s="32"/>
      <c r="AA3355" s="32"/>
      <c r="AB3355" s="32"/>
    </row>
    <row r="3356" spans="2:28" ht="23.25" customHeight="1" x14ac:dyDescent="0.2">
      <c r="B3356" s="75"/>
      <c r="C3356" s="67"/>
      <c r="D3356" s="75"/>
      <c r="E3356" s="67"/>
      <c r="F3356" s="67"/>
      <c r="G3356" s="70"/>
      <c r="H3356" s="70"/>
      <c r="I3356" s="70"/>
      <c r="J3356" s="70"/>
      <c r="K3356" s="70"/>
      <c r="L3356" s="67"/>
      <c r="M3356" s="67"/>
      <c r="N3356" s="72"/>
      <c r="O3356" s="72"/>
      <c r="P3356" s="67"/>
      <c r="Q3356" s="67"/>
      <c r="R3356" s="67"/>
      <c r="S3356" s="67"/>
      <c r="T3356" s="32"/>
      <c r="U3356" s="32"/>
      <c r="X3356" s="32"/>
      <c r="Y3356" s="32"/>
      <c r="Z3356" s="32"/>
      <c r="AA3356" s="32"/>
      <c r="AB3356" s="32"/>
    </row>
    <row r="3357" spans="2:28" ht="23.25" customHeight="1" x14ac:dyDescent="0.2">
      <c r="B3357" s="75"/>
      <c r="C3357" s="67"/>
      <c r="D3357" s="75"/>
      <c r="E3357" s="67"/>
      <c r="F3357" s="67"/>
      <c r="G3357" s="70"/>
      <c r="H3357" s="70"/>
      <c r="I3357" s="70"/>
      <c r="J3357" s="70"/>
      <c r="K3357" s="70"/>
      <c r="L3357" s="67"/>
      <c r="M3357" s="67"/>
      <c r="N3357" s="72"/>
      <c r="O3357" s="72"/>
      <c r="P3357" s="67"/>
      <c r="Q3357" s="67"/>
      <c r="R3357" s="67"/>
      <c r="S3357" s="67"/>
      <c r="T3357" s="32"/>
      <c r="U3357" s="32"/>
      <c r="X3357" s="32"/>
      <c r="Y3357" s="32"/>
      <c r="Z3357" s="32"/>
      <c r="AA3357" s="32"/>
      <c r="AB3357" s="32"/>
    </row>
    <row r="3358" spans="2:28" ht="23.25" customHeight="1" x14ac:dyDescent="0.2">
      <c r="B3358" s="75"/>
      <c r="C3358" s="67"/>
      <c r="D3358" s="75"/>
      <c r="E3358" s="67"/>
      <c r="F3358" s="67"/>
      <c r="G3358" s="70"/>
      <c r="H3358" s="70"/>
      <c r="I3358" s="70"/>
      <c r="J3358" s="70"/>
      <c r="K3358" s="70"/>
      <c r="L3358" s="67"/>
      <c r="M3358" s="67"/>
      <c r="N3358" s="72"/>
      <c r="O3358" s="72"/>
      <c r="P3358" s="67"/>
      <c r="Q3358" s="67"/>
      <c r="R3358" s="67"/>
      <c r="S3358" s="67"/>
      <c r="T3358" s="32"/>
      <c r="U3358" s="32"/>
      <c r="X3358" s="32"/>
      <c r="Y3358" s="32"/>
      <c r="Z3358" s="32"/>
      <c r="AA3358" s="32"/>
      <c r="AB3358" s="32"/>
    </row>
    <row r="3359" spans="2:28" ht="23.25" customHeight="1" x14ac:dyDescent="0.2">
      <c r="B3359" s="75"/>
      <c r="C3359" s="67"/>
      <c r="D3359" s="75"/>
      <c r="E3359" s="67"/>
      <c r="F3359" s="67"/>
      <c r="G3359" s="70"/>
      <c r="H3359" s="70"/>
      <c r="I3359" s="70"/>
      <c r="J3359" s="70"/>
      <c r="K3359" s="70"/>
      <c r="L3359" s="67"/>
      <c r="M3359" s="67"/>
      <c r="N3359" s="72"/>
      <c r="O3359" s="72"/>
      <c r="P3359" s="67"/>
      <c r="Q3359" s="67"/>
      <c r="R3359" s="67"/>
      <c r="S3359" s="67"/>
      <c r="T3359" s="32"/>
      <c r="U3359" s="32"/>
      <c r="X3359" s="32"/>
      <c r="Y3359" s="32"/>
      <c r="Z3359" s="32"/>
      <c r="AA3359" s="32"/>
      <c r="AB3359" s="32"/>
    </row>
    <row r="3360" spans="2:28" ht="23.25" customHeight="1" x14ac:dyDescent="0.2">
      <c r="B3360" s="75"/>
      <c r="C3360" s="67"/>
      <c r="D3360" s="75"/>
      <c r="E3360" s="67"/>
      <c r="F3360" s="67"/>
      <c r="G3360" s="70"/>
      <c r="H3360" s="70"/>
      <c r="I3360" s="70"/>
      <c r="J3360" s="70"/>
      <c r="K3360" s="70"/>
      <c r="L3360" s="67"/>
      <c r="M3360" s="67"/>
      <c r="N3360" s="72"/>
      <c r="O3360" s="72"/>
      <c r="P3360" s="67"/>
      <c r="Q3360" s="67"/>
      <c r="R3360" s="67"/>
      <c r="S3360" s="67"/>
      <c r="T3360" s="32"/>
      <c r="U3360" s="32"/>
      <c r="X3360" s="32"/>
      <c r="Y3360" s="32"/>
      <c r="Z3360" s="32"/>
      <c r="AA3360" s="32"/>
      <c r="AB3360" s="32"/>
    </row>
    <row r="3361" spans="2:28" ht="23.25" customHeight="1" x14ac:dyDescent="0.2">
      <c r="B3361" s="75"/>
      <c r="C3361" s="67"/>
      <c r="D3361" s="75"/>
      <c r="E3361" s="67"/>
      <c r="F3361" s="67"/>
      <c r="G3361" s="70"/>
      <c r="H3361" s="70"/>
      <c r="I3361" s="70"/>
      <c r="J3361" s="70"/>
      <c r="K3361" s="70"/>
      <c r="L3361" s="67"/>
      <c r="M3361" s="67"/>
      <c r="N3361" s="72"/>
      <c r="O3361" s="72"/>
      <c r="P3361" s="67"/>
      <c r="Q3361" s="67"/>
      <c r="R3361" s="67"/>
      <c r="S3361" s="67"/>
      <c r="T3361" s="32"/>
      <c r="U3361" s="32"/>
      <c r="X3361" s="32"/>
      <c r="Y3361" s="32"/>
      <c r="Z3361" s="32"/>
      <c r="AA3361" s="32"/>
      <c r="AB3361" s="32"/>
    </row>
    <row r="3362" spans="2:28" ht="23.25" customHeight="1" x14ac:dyDescent="0.2">
      <c r="B3362" s="75"/>
      <c r="C3362" s="67"/>
      <c r="D3362" s="75"/>
      <c r="E3362" s="67"/>
      <c r="F3362" s="67"/>
      <c r="G3362" s="70"/>
      <c r="H3362" s="70"/>
      <c r="I3362" s="70"/>
      <c r="J3362" s="70"/>
      <c r="K3362" s="70"/>
      <c r="L3362" s="67"/>
      <c r="M3362" s="67"/>
      <c r="N3362" s="72"/>
      <c r="O3362" s="72"/>
      <c r="P3362" s="67"/>
      <c r="Q3362" s="67"/>
      <c r="R3362" s="67"/>
      <c r="S3362" s="67"/>
      <c r="T3362" s="32"/>
      <c r="U3362" s="32"/>
      <c r="X3362" s="32"/>
      <c r="Y3362" s="32"/>
      <c r="Z3362" s="32"/>
      <c r="AA3362" s="32"/>
      <c r="AB3362" s="32"/>
    </row>
    <row r="3363" spans="2:28" ht="23.25" customHeight="1" x14ac:dyDescent="0.2">
      <c r="B3363" s="75"/>
      <c r="C3363" s="67"/>
      <c r="D3363" s="75"/>
      <c r="E3363" s="67"/>
      <c r="F3363" s="67"/>
      <c r="G3363" s="70"/>
      <c r="H3363" s="70"/>
      <c r="I3363" s="70"/>
      <c r="J3363" s="70"/>
      <c r="K3363" s="70"/>
      <c r="L3363" s="67"/>
      <c r="M3363" s="67"/>
      <c r="N3363" s="72"/>
      <c r="O3363" s="72"/>
      <c r="P3363" s="67"/>
      <c r="Q3363" s="67"/>
      <c r="R3363" s="67"/>
      <c r="S3363" s="67"/>
      <c r="T3363" s="32"/>
      <c r="U3363" s="32"/>
      <c r="X3363" s="32"/>
      <c r="Y3363" s="32"/>
      <c r="Z3363" s="32"/>
      <c r="AA3363" s="32"/>
      <c r="AB3363" s="32"/>
    </row>
    <row r="3364" spans="2:28" ht="23.25" customHeight="1" x14ac:dyDescent="0.2">
      <c r="B3364" s="75"/>
      <c r="C3364" s="67"/>
      <c r="D3364" s="75"/>
      <c r="E3364" s="67"/>
      <c r="F3364" s="67"/>
      <c r="G3364" s="70"/>
      <c r="H3364" s="70"/>
      <c r="I3364" s="70"/>
      <c r="J3364" s="70"/>
      <c r="K3364" s="70"/>
      <c r="L3364" s="67"/>
      <c r="M3364" s="67"/>
      <c r="N3364" s="72"/>
      <c r="O3364" s="72"/>
      <c r="P3364" s="67"/>
      <c r="Q3364" s="67"/>
      <c r="R3364" s="67"/>
      <c r="S3364" s="67"/>
      <c r="T3364" s="32"/>
      <c r="U3364" s="32"/>
      <c r="X3364" s="32"/>
      <c r="Y3364" s="32"/>
      <c r="Z3364" s="32"/>
      <c r="AA3364" s="32"/>
      <c r="AB3364" s="32"/>
    </row>
    <row r="3365" spans="2:28" ht="23.25" customHeight="1" x14ac:dyDescent="0.2">
      <c r="B3365" s="75"/>
      <c r="C3365" s="67"/>
      <c r="D3365" s="75"/>
      <c r="E3365" s="67"/>
      <c r="F3365" s="67"/>
      <c r="G3365" s="70"/>
      <c r="H3365" s="70"/>
      <c r="I3365" s="70"/>
      <c r="J3365" s="70"/>
      <c r="K3365" s="70"/>
      <c r="L3365" s="67"/>
      <c r="M3365" s="67"/>
      <c r="N3365" s="72"/>
      <c r="O3365" s="72"/>
      <c r="P3365" s="67"/>
      <c r="Q3365" s="67"/>
      <c r="R3365" s="67"/>
      <c r="S3365" s="67"/>
      <c r="T3365" s="32"/>
      <c r="U3365" s="32"/>
      <c r="X3365" s="32"/>
      <c r="Y3365" s="32"/>
      <c r="Z3365" s="32"/>
      <c r="AA3365" s="32"/>
      <c r="AB3365" s="32"/>
    </row>
    <row r="3366" spans="2:28" ht="23.25" customHeight="1" x14ac:dyDescent="0.2">
      <c r="B3366" s="75"/>
      <c r="C3366" s="67"/>
      <c r="D3366" s="75"/>
      <c r="E3366" s="67"/>
      <c r="F3366" s="67"/>
      <c r="G3366" s="70"/>
      <c r="H3366" s="70"/>
      <c r="I3366" s="70"/>
      <c r="J3366" s="70"/>
      <c r="K3366" s="70"/>
      <c r="L3366" s="67"/>
      <c r="M3366" s="67"/>
      <c r="N3366" s="72"/>
      <c r="O3366" s="72"/>
      <c r="P3366" s="67"/>
      <c r="Q3366" s="67"/>
      <c r="R3366" s="67"/>
      <c r="S3366" s="67"/>
      <c r="T3366" s="32"/>
      <c r="U3366" s="32"/>
      <c r="X3366" s="32"/>
      <c r="Y3366" s="32"/>
      <c r="Z3366" s="32"/>
      <c r="AA3366" s="32"/>
      <c r="AB3366" s="32"/>
    </row>
    <row r="3367" spans="2:28" ht="23.25" customHeight="1" x14ac:dyDescent="0.2">
      <c r="B3367" s="75"/>
      <c r="C3367" s="67"/>
      <c r="D3367" s="75"/>
      <c r="E3367" s="67"/>
      <c r="F3367" s="67"/>
      <c r="G3367" s="70"/>
      <c r="H3367" s="70"/>
      <c r="I3367" s="70"/>
      <c r="J3367" s="70"/>
      <c r="K3367" s="70"/>
      <c r="L3367" s="67"/>
      <c r="M3367" s="67"/>
      <c r="N3367" s="72"/>
      <c r="O3367" s="72"/>
      <c r="P3367" s="67"/>
      <c r="Q3367" s="67"/>
      <c r="R3367" s="67"/>
      <c r="S3367" s="67"/>
      <c r="T3367" s="32"/>
      <c r="U3367" s="32"/>
      <c r="X3367" s="32"/>
      <c r="Y3367" s="32"/>
      <c r="Z3367" s="32"/>
      <c r="AA3367" s="32"/>
      <c r="AB3367" s="32"/>
    </row>
    <row r="3368" spans="2:28" ht="23.25" customHeight="1" x14ac:dyDescent="0.2">
      <c r="B3368" s="75"/>
      <c r="C3368" s="67"/>
      <c r="D3368" s="75"/>
      <c r="E3368" s="67"/>
      <c r="F3368" s="67"/>
      <c r="G3368" s="70"/>
      <c r="H3368" s="70"/>
      <c r="I3368" s="70"/>
      <c r="J3368" s="70"/>
      <c r="K3368" s="70"/>
      <c r="L3368" s="67"/>
      <c r="M3368" s="67"/>
      <c r="N3368" s="72"/>
      <c r="O3368" s="72"/>
      <c r="P3368" s="67"/>
      <c r="Q3368" s="67"/>
      <c r="R3368" s="67"/>
      <c r="S3368" s="67"/>
      <c r="T3368" s="32"/>
      <c r="U3368" s="32"/>
      <c r="X3368" s="32"/>
      <c r="Y3368" s="32"/>
      <c r="Z3368" s="32"/>
      <c r="AA3368" s="32"/>
      <c r="AB3368" s="32"/>
    </row>
    <row r="3369" spans="2:28" ht="23.25" customHeight="1" x14ac:dyDescent="0.2">
      <c r="B3369" s="75"/>
      <c r="C3369" s="67"/>
      <c r="D3369" s="75"/>
      <c r="E3369" s="67"/>
      <c r="F3369" s="67"/>
      <c r="G3369" s="70"/>
      <c r="H3369" s="70"/>
      <c r="I3369" s="70"/>
      <c r="J3369" s="70"/>
      <c r="K3369" s="70"/>
      <c r="L3369" s="67"/>
      <c r="M3369" s="67"/>
      <c r="N3369" s="72"/>
      <c r="O3369" s="72"/>
      <c r="P3369" s="67"/>
      <c r="Q3369" s="67"/>
      <c r="R3369" s="67"/>
      <c r="S3369" s="67"/>
      <c r="T3369" s="32"/>
      <c r="U3369" s="32"/>
      <c r="X3369" s="32"/>
      <c r="Y3369" s="32"/>
      <c r="Z3369" s="32"/>
      <c r="AA3369" s="32"/>
      <c r="AB3369" s="32"/>
    </row>
    <row r="3370" spans="2:28" ht="23.25" customHeight="1" x14ac:dyDescent="0.2">
      <c r="B3370" s="75"/>
      <c r="C3370" s="67"/>
      <c r="D3370" s="75"/>
      <c r="E3370" s="67"/>
      <c r="F3370" s="67"/>
      <c r="G3370" s="70"/>
      <c r="H3370" s="70"/>
      <c r="I3370" s="70"/>
      <c r="J3370" s="70"/>
      <c r="K3370" s="70"/>
      <c r="L3370" s="67"/>
      <c r="M3370" s="67"/>
      <c r="N3370" s="72"/>
      <c r="O3370" s="72"/>
      <c r="P3370" s="67"/>
      <c r="Q3370" s="67"/>
      <c r="R3370" s="67"/>
      <c r="S3370" s="67"/>
      <c r="T3370" s="32"/>
      <c r="U3370" s="32"/>
      <c r="X3370" s="32"/>
      <c r="Y3370" s="32"/>
      <c r="Z3370" s="32"/>
      <c r="AA3370" s="32"/>
      <c r="AB3370" s="32"/>
    </row>
    <row r="3371" spans="2:28" ht="23.25" customHeight="1" x14ac:dyDescent="0.2">
      <c r="B3371" s="75"/>
      <c r="C3371" s="67"/>
      <c r="D3371" s="75"/>
      <c r="E3371" s="67"/>
      <c r="F3371" s="67"/>
      <c r="G3371" s="70"/>
      <c r="H3371" s="70"/>
      <c r="I3371" s="70"/>
      <c r="J3371" s="70"/>
      <c r="K3371" s="70"/>
      <c r="L3371" s="67"/>
      <c r="M3371" s="67"/>
      <c r="N3371" s="72"/>
      <c r="O3371" s="72"/>
      <c r="P3371" s="67"/>
      <c r="Q3371" s="67"/>
      <c r="R3371" s="67"/>
      <c r="S3371" s="67"/>
      <c r="T3371" s="32"/>
      <c r="U3371" s="32"/>
      <c r="X3371" s="32"/>
      <c r="Y3371" s="32"/>
      <c r="Z3371" s="32"/>
      <c r="AA3371" s="32"/>
      <c r="AB3371" s="32"/>
    </row>
    <row r="3372" spans="2:28" ht="23.25" customHeight="1" x14ac:dyDescent="0.2">
      <c r="B3372" s="75"/>
      <c r="C3372" s="67"/>
      <c r="D3372" s="75"/>
      <c r="E3372" s="67"/>
      <c r="F3372" s="67"/>
      <c r="G3372" s="70"/>
      <c r="H3372" s="70"/>
      <c r="I3372" s="70"/>
      <c r="J3372" s="70"/>
      <c r="K3372" s="70"/>
      <c r="L3372" s="67"/>
      <c r="M3372" s="67"/>
      <c r="N3372" s="72"/>
      <c r="O3372" s="72"/>
      <c r="P3372" s="67"/>
      <c r="Q3372" s="67"/>
      <c r="R3372" s="67"/>
      <c r="S3372" s="67"/>
      <c r="T3372" s="32"/>
      <c r="U3372" s="32"/>
      <c r="X3372" s="32"/>
      <c r="Y3372" s="32"/>
      <c r="Z3372" s="32"/>
      <c r="AA3372" s="32"/>
      <c r="AB3372" s="32"/>
    </row>
    <row r="3373" spans="2:28" ht="23.25" customHeight="1" x14ac:dyDescent="0.2">
      <c r="B3373" s="75"/>
      <c r="C3373" s="67"/>
      <c r="D3373" s="75"/>
      <c r="E3373" s="67"/>
      <c r="F3373" s="67"/>
      <c r="G3373" s="70"/>
      <c r="H3373" s="70"/>
      <c r="I3373" s="70"/>
      <c r="J3373" s="70"/>
      <c r="K3373" s="70"/>
      <c r="L3373" s="67"/>
      <c r="M3373" s="67"/>
      <c r="N3373" s="72"/>
      <c r="O3373" s="72"/>
      <c r="P3373" s="67"/>
      <c r="Q3373" s="67"/>
      <c r="R3373" s="67"/>
      <c r="S3373" s="67"/>
      <c r="T3373" s="32"/>
      <c r="U3373" s="32"/>
      <c r="X3373" s="32"/>
      <c r="Y3373" s="32"/>
      <c r="Z3373" s="32"/>
      <c r="AA3373" s="32"/>
      <c r="AB3373" s="32"/>
    </row>
    <row r="3374" spans="2:28" ht="23.25" customHeight="1" x14ac:dyDescent="0.2">
      <c r="B3374" s="75"/>
      <c r="C3374" s="67"/>
      <c r="D3374" s="75"/>
      <c r="E3374" s="67"/>
      <c r="F3374" s="67"/>
      <c r="G3374" s="70"/>
      <c r="H3374" s="70"/>
      <c r="I3374" s="70"/>
      <c r="J3374" s="70"/>
      <c r="K3374" s="70"/>
      <c r="L3374" s="67"/>
      <c r="M3374" s="67"/>
      <c r="N3374" s="72"/>
      <c r="O3374" s="72"/>
      <c r="P3374" s="67"/>
      <c r="Q3374" s="67"/>
      <c r="R3374" s="67"/>
      <c r="S3374" s="67"/>
      <c r="T3374" s="32"/>
      <c r="U3374" s="32"/>
      <c r="X3374" s="32"/>
      <c r="Y3374" s="32"/>
      <c r="Z3374" s="32"/>
      <c r="AA3374" s="32"/>
      <c r="AB3374" s="32"/>
    </row>
    <row r="3375" spans="2:28" ht="23.25" customHeight="1" x14ac:dyDescent="0.2">
      <c r="B3375" s="75"/>
      <c r="C3375" s="67"/>
      <c r="D3375" s="75"/>
      <c r="E3375" s="67"/>
      <c r="F3375" s="67"/>
      <c r="G3375" s="70"/>
      <c r="H3375" s="70"/>
      <c r="I3375" s="70"/>
      <c r="J3375" s="70"/>
      <c r="K3375" s="70"/>
      <c r="L3375" s="67"/>
      <c r="M3375" s="67"/>
      <c r="N3375" s="72"/>
      <c r="O3375" s="72"/>
      <c r="P3375" s="67"/>
      <c r="Q3375" s="67"/>
      <c r="R3375" s="67"/>
      <c r="S3375" s="67"/>
      <c r="T3375" s="32"/>
      <c r="U3375" s="32"/>
      <c r="X3375" s="32"/>
      <c r="Y3375" s="32"/>
      <c r="Z3375" s="32"/>
      <c r="AA3375" s="32"/>
      <c r="AB3375" s="32"/>
    </row>
    <row r="3376" spans="2:28" ht="23.25" customHeight="1" x14ac:dyDescent="0.2">
      <c r="B3376" s="75"/>
      <c r="C3376" s="67"/>
      <c r="D3376" s="75"/>
      <c r="E3376" s="67"/>
      <c r="F3376" s="67"/>
      <c r="G3376" s="70"/>
      <c r="H3376" s="70"/>
      <c r="I3376" s="70"/>
      <c r="J3376" s="70"/>
      <c r="K3376" s="70"/>
      <c r="L3376" s="67"/>
      <c r="M3376" s="67"/>
      <c r="N3376" s="72"/>
      <c r="O3376" s="72"/>
      <c r="P3376" s="67"/>
      <c r="Q3376" s="67"/>
      <c r="R3376" s="67"/>
      <c r="S3376" s="67"/>
      <c r="T3376" s="32"/>
      <c r="U3376" s="32"/>
      <c r="X3376" s="32"/>
      <c r="Y3376" s="32"/>
      <c r="Z3376" s="32"/>
      <c r="AA3376" s="32"/>
      <c r="AB3376" s="32"/>
    </row>
    <row r="3377" spans="2:28" ht="23.25" customHeight="1" x14ac:dyDescent="0.2">
      <c r="B3377" s="75"/>
      <c r="C3377" s="67"/>
      <c r="D3377" s="75"/>
      <c r="E3377" s="67"/>
      <c r="F3377" s="67"/>
      <c r="G3377" s="70"/>
      <c r="H3377" s="70"/>
      <c r="I3377" s="70"/>
      <c r="J3377" s="70"/>
      <c r="K3377" s="70"/>
      <c r="L3377" s="67"/>
      <c r="M3377" s="67"/>
      <c r="N3377" s="72"/>
      <c r="O3377" s="72"/>
      <c r="P3377" s="67"/>
      <c r="Q3377" s="67"/>
      <c r="R3377" s="67"/>
      <c r="S3377" s="67"/>
      <c r="T3377" s="32"/>
      <c r="U3377" s="32"/>
      <c r="X3377" s="32"/>
      <c r="Y3377" s="32"/>
      <c r="Z3377" s="32"/>
      <c r="AA3377" s="32"/>
      <c r="AB3377" s="32"/>
    </row>
    <row r="3378" spans="2:28" ht="23.25" customHeight="1" x14ac:dyDescent="0.2">
      <c r="B3378" s="75"/>
      <c r="C3378" s="67"/>
      <c r="D3378" s="75"/>
      <c r="E3378" s="67"/>
      <c r="F3378" s="67"/>
      <c r="G3378" s="70"/>
      <c r="H3378" s="70"/>
      <c r="I3378" s="70"/>
      <c r="J3378" s="70"/>
      <c r="K3378" s="70"/>
      <c r="L3378" s="67"/>
      <c r="M3378" s="67"/>
      <c r="N3378" s="72"/>
      <c r="O3378" s="72"/>
      <c r="P3378" s="67"/>
      <c r="Q3378" s="67"/>
      <c r="R3378" s="67"/>
      <c r="S3378" s="67"/>
      <c r="T3378" s="32"/>
      <c r="U3378" s="32"/>
      <c r="X3378" s="32"/>
      <c r="Y3378" s="32"/>
      <c r="Z3378" s="32"/>
      <c r="AA3378" s="32"/>
      <c r="AB3378" s="32"/>
    </row>
    <row r="3379" spans="2:28" ht="23.25" customHeight="1" x14ac:dyDescent="0.2">
      <c r="B3379" s="75"/>
      <c r="C3379" s="67"/>
      <c r="D3379" s="75"/>
      <c r="E3379" s="67"/>
      <c r="F3379" s="67"/>
      <c r="G3379" s="70"/>
      <c r="H3379" s="70"/>
      <c r="I3379" s="70"/>
      <c r="J3379" s="70"/>
      <c r="K3379" s="70"/>
      <c r="L3379" s="67"/>
      <c r="M3379" s="67"/>
      <c r="N3379" s="72"/>
      <c r="O3379" s="72"/>
      <c r="P3379" s="67"/>
      <c r="Q3379" s="67"/>
      <c r="R3379" s="67"/>
      <c r="S3379" s="67"/>
      <c r="T3379" s="32"/>
      <c r="U3379" s="32"/>
      <c r="X3379" s="32"/>
      <c r="Y3379" s="32"/>
      <c r="Z3379" s="32"/>
      <c r="AA3379" s="32"/>
      <c r="AB3379" s="32"/>
    </row>
    <row r="3380" spans="2:28" ht="23.25" customHeight="1" x14ac:dyDescent="0.2">
      <c r="B3380" s="75"/>
      <c r="C3380" s="67"/>
      <c r="D3380" s="75"/>
      <c r="E3380" s="67"/>
      <c r="F3380" s="67"/>
      <c r="G3380" s="70"/>
      <c r="H3380" s="70"/>
      <c r="I3380" s="70"/>
      <c r="J3380" s="70"/>
      <c r="K3380" s="70"/>
      <c r="L3380" s="67"/>
      <c r="M3380" s="67"/>
      <c r="N3380" s="72"/>
      <c r="O3380" s="72"/>
      <c r="P3380" s="67"/>
      <c r="Q3380" s="67"/>
      <c r="R3380" s="67"/>
      <c r="S3380" s="67"/>
      <c r="T3380" s="32"/>
      <c r="U3380" s="32"/>
      <c r="X3380" s="32"/>
      <c r="Y3380" s="32"/>
      <c r="Z3380" s="32"/>
      <c r="AA3380" s="32"/>
      <c r="AB3380" s="32"/>
    </row>
    <row r="3381" spans="2:28" ht="23.25" customHeight="1" x14ac:dyDescent="0.2">
      <c r="B3381" s="75"/>
      <c r="C3381" s="67"/>
      <c r="D3381" s="75"/>
      <c r="E3381" s="67"/>
      <c r="F3381" s="67"/>
      <c r="G3381" s="70"/>
      <c r="H3381" s="70"/>
      <c r="I3381" s="70"/>
      <c r="J3381" s="70"/>
      <c r="K3381" s="70"/>
      <c r="L3381" s="67"/>
      <c r="M3381" s="67"/>
      <c r="N3381" s="72"/>
      <c r="O3381" s="72"/>
      <c r="P3381" s="67"/>
      <c r="Q3381" s="67"/>
      <c r="R3381" s="67"/>
      <c r="S3381" s="67"/>
      <c r="T3381" s="32"/>
      <c r="U3381" s="32"/>
      <c r="X3381" s="32"/>
      <c r="Y3381" s="32"/>
      <c r="Z3381" s="32"/>
      <c r="AA3381" s="32"/>
      <c r="AB3381" s="32"/>
    </row>
    <row r="3382" spans="2:28" ht="23.25" customHeight="1" x14ac:dyDescent="0.2">
      <c r="B3382" s="75"/>
      <c r="C3382" s="67"/>
      <c r="D3382" s="75"/>
      <c r="E3382" s="67"/>
      <c r="F3382" s="67"/>
      <c r="G3382" s="70"/>
      <c r="H3382" s="70"/>
      <c r="I3382" s="70"/>
      <c r="J3382" s="70"/>
      <c r="K3382" s="70"/>
      <c r="L3382" s="67"/>
      <c r="M3382" s="67"/>
      <c r="N3382" s="72"/>
      <c r="O3382" s="72"/>
      <c r="P3382" s="67"/>
      <c r="Q3382" s="67"/>
      <c r="R3382" s="67"/>
      <c r="S3382" s="67"/>
      <c r="T3382" s="32"/>
      <c r="U3382" s="32"/>
      <c r="X3382" s="32"/>
      <c r="Y3382" s="32"/>
      <c r="Z3382" s="32"/>
      <c r="AA3382" s="32"/>
      <c r="AB3382" s="32"/>
    </row>
    <row r="3383" spans="2:28" ht="23.25" customHeight="1" x14ac:dyDescent="0.2">
      <c r="B3383" s="75"/>
      <c r="C3383" s="67"/>
      <c r="D3383" s="75"/>
      <c r="E3383" s="67"/>
      <c r="F3383" s="67"/>
      <c r="G3383" s="70"/>
      <c r="H3383" s="70"/>
      <c r="I3383" s="70"/>
      <c r="J3383" s="70"/>
      <c r="K3383" s="70"/>
      <c r="L3383" s="67"/>
      <c r="M3383" s="67"/>
      <c r="N3383" s="72"/>
      <c r="O3383" s="72"/>
      <c r="P3383" s="67"/>
      <c r="Q3383" s="67"/>
      <c r="R3383" s="67"/>
      <c r="S3383" s="67"/>
      <c r="T3383" s="32"/>
      <c r="U3383" s="32"/>
      <c r="X3383" s="32"/>
      <c r="Y3383" s="32"/>
      <c r="Z3383" s="32"/>
      <c r="AA3383" s="32"/>
      <c r="AB3383" s="32"/>
    </row>
    <row r="3384" spans="2:28" ht="23.25" customHeight="1" x14ac:dyDescent="0.2">
      <c r="B3384" s="75"/>
      <c r="C3384" s="67"/>
      <c r="D3384" s="75"/>
      <c r="E3384" s="67"/>
      <c r="F3384" s="67"/>
      <c r="G3384" s="70"/>
      <c r="H3384" s="70"/>
      <c r="I3384" s="70"/>
      <c r="J3384" s="70"/>
      <c r="K3384" s="70"/>
      <c r="L3384" s="67"/>
      <c r="M3384" s="67"/>
      <c r="N3384" s="72"/>
      <c r="O3384" s="72"/>
      <c r="P3384" s="67"/>
      <c r="Q3384" s="67"/>
      <c r="R3384" s="67"/>
      <c r="S3384" s="67"/>
      <c r="T3384" s="32"/>
      <c r="U3384" s="32"/>
      <c r="X3384" s="32"/>
      <c r="Y3384" s="32"/>
      <c r="Z3384" s="32"/>
      <c r="AA3384" s="32"/>
      <c r="AB3384" s="32"/>
    </row>
    <row r="3385" spans="2:28" ht="23.25" customHeight="1" x14ac:dyDescent="0.2">
      <c r="B3385" s="75"/>
      <c r="C3385" s="67"/>
      <c r="D3385" s="75"/>
      <c r="E3385" s="67"/>
      <c r="F3385" s="67"/>
      <c r="G3385" s="70"/>
      <c r="H3385" s="70"/>
      <c r="I3385" s="70"/>
      <c r="J3385" s="70"/>
      <c r="K3385" s="70"/>
      <c r="L3385" s="67"/>
      <c r="M3385" s="67"/>
      <c r="N3385" s="72"/>
      <c r="O3385" s="72"/>
      <c r="P3385" s="67"/>
      <c r="Q3385" s="67"/>
      <c r="R3385" s="67"/>
      <c r="S3385" s="67"/>
      <c r="T3385" s="32"/>
      <c r="U3385" s="32"/>
      <c r="X3385" s="32"/>
      <c r="Y3385" s="32"/>
      <c r="Z3385" s="32"/>
      <c r="AA3385" s="32"/>
      <c r="AB3385" s="32"/>
    </row>
    <row r="3386" spans="2:28" ht="23.25" customHeight="1" x14ac:dyDescent="0.2">
      <c r="B3386" s="75"/>
      <c r="C3386" s="67"/>
      <c r="D3386" s="75"/>
      <c r="E3386" s="67"/>
      <c r="F3386" s="67"/>
      <c r="G3386" s="70"/>
      <c r="H3386" s="70"/>
      <c r="I3386" s="70"/>
      <c r="J3386" s="70"/>
      <c r="K3386" s="70"/>
      <c r="L3386" s="67"/>
      <c r="M3386" s="67"/>
      <c r="N3386" s="72"/>
      <c r="O3386" s="72"/>
      <c r="P3386" s="67"/>
      <c r="Q3386" s="67"/>
      <c r="R3386" s="67"/>
      <c r="S3386" s="67"/>
      <c r="T3386" s="32"/>
      <c r="U3386" s="32"/>
      <c r="X3386" s="32"/>
      <c r="Y3386" s="32"/>
      <c r="Z3386" s="32"/>
      <c r="AA3386" s="32"/>
      <c r="AB3386" s="32"/>
    </row>
    <row r="3387" spans="2:28" ht="23.25" customHeight="1" x14ac:dyDescent="0.2">
      <c r="B3387" s="75"/>
      <c r="C3387" s="67"/>
      <c r="D3387" s="75"/>
      <c r="E3387" s="67"/>
      <c r="F3387" s="67"/>
      <c r="G3387" s="70"/>
      <c r="H3387" s="70"/>
      <c r="I3387" s="70"/>
      <c r="J3387" s="70"/>
      <c r="K3387" s="70"/>
      <c r="L3387" s="67"/>
      <c r="M3387" s="67"/>
      <c r="N3387" s="72"/>
      <c r="O3387" s="72"/>
      <c r="P3387" s="67"/>
      <c r="Q3387" s="67"/>
      <c r="R3387" s="67"/>
      <c r="S3387" s="67"/>
      <c r="T3387" s="32"/>
      <c r="U3387" s="32"/>
      <c r="X3387" s="32"/>
      <c r="Y3387" s="32"/>
      <c r="Z3387" s="32"/>
      <c r="AA3387" s="32"/>
      <c r="AB3387" s="32"/>
    </row>
    <row r="3388" spans="2:28" ht="23.25" customHeight="1" x14ac:dyDescent="0.2">
      <c r="B3388" s="75"/>
      <c r="C3388" s="67"/>
      <c r="D3388" s="75"/>
      <c r="E3388" s="67"/>
      <c r="F3388" s="67"/>
      <c r="G3388" s="70"/>
      <c r="H3388" s="70"/>
      <c r="I3388" s="70"/>
      <c r="J3388" s="70"/>
      <c r="K3388" s="70"/>
      <c r="L3388" s="67"/>
      <c r="M3388" s="67"/>
      <c r="N3388" s="72"/>
      <c r="O3388" s="72"/>
      <c r="P3388" s="67"/>
      <c r="Q3388" s="67"/>
      <c r="R3388" s="67"/>
      <c r="S3388" s="67"/>
      <c r="T3388" s="32"/>
      <c r="U3388" s="32"/>
      <c r="X3388" s="32"/>
      <c r="Y3388" s="32"/>
      <c r="Z3388" s="32"/>
      <c r="AA3388" s="32"/>
      <c r="AB3388" s="32"/>
    </row>
    <row r="3389" spans="2:28" ht="23.25" customHeight="1" x14ac:dyDescent="0.2">
      <c r="B3389" s="75"/>
      <c r="C3389" s="67"/>
      <c r="D3389" s="75"/>
      <c r="E3389" s="67"/>
      <c r="F3389" s="67"/>
      <c r="G3389" s="70"/>
      <c r="H3389" s="70"/>
      <c r="I3389" s="70"/>
      <c r="J3389" s="70"/>
      <c r="K3389" s="70"/>
      <c r="L3389" s="67"/>
      <c r="M3389" s="67"/>
      <c r="N3389" s="72"/>
      <c r="O3389" s="72"/>
      <c r="P3389" s="67"/>
      <c r="Q3389" s="67"/>
      <c r="R3389" s="67"/>
      <c r="S3389" s="67"/>
      <c r="T3389" s="32"/>
      <c r="U3389" s="32"/>
      <c r="X3389" s="32"/>
      <c r="Y3389" s="32"/>
      <c r="Z3389" s="32"/>
      <c r="AA3389" s="32"/>
      <c r="AB3389" s="32"/>
    </row>
    <row r="3390" spans="2:28" ht="23.25" customHeight="1" x14ac:dyDescent="0.2">
      <c r="B3390" s="75"/>
      <c r="C3390" s="67"/>
      <c r="D3390" s="75"/>
      <c r="E3390" s="67"/>
      <c r="F3390" s="67"/>
      <c r="G3390" s="70"/>
      <c r="H3390" s="70"/>
      <c r="I3390" s="70"/>
      <c r="J3390" s="70"/>
      <c r="K3390" s="70"/>
      <c r="L3390" s="67"/>
      <c r="M3390" s="67"/>
      <c r="N3390" s="72"/>
      <c r="O3390" s="72"/>
      <c r="P3390" s="67"/>
      <c r="Q3390" s="67"/>
      <c r="R3390" s="67"/>
      <c r="S3390" s="67"/>
      <c r="T3390" s="32"/>
      <c r="U3390" s="32"/>
      <c r="X3390" s="32"/>
      <c r="Y3390" s="32"/>
      <c r="Z3390" s="32"/>
      <c r="AA3390" s="32"/>
      <c r="AB3390" s="32"/>
    </row>
    <row r="3391" spans="2:28" ht="23.25" customHeight="1" x14ac:dyDescent="0.2">
      <c r="B3391" s="75"/>
      <c r="C3391" s="67"/>
      <c r="D3391" s="75"/>
      <c r="E3391" s="67"/>
      <c r="F3391" s="67"/>
      <c r="G3391" s="70"/>
      <c r="H3391" s="70"/>
      <c r="I3391" s="70"/>
      <c r="J3391" s="70"/>
      <c r="K3391" s="70"/>
      <c r="L3391" s="67"/>
      <c r="M3391" s="67"/>
      <c r="N3391" s="72"/>
      <c r="O3391" s="72"/>
      <c r="P3391" s="67"/>
      <c r="Q3391" s="67"/>
      <c r="R3391" s="67"/>
      <c r="S3391" s="67"/>
      <c r="T3391" s="32"/>
      <c r="U3391" s="32"/>
      <c r="X3391" s="32"/>
      <c r="Y3391" s="32"/>
      <c r="Z3391" s="32"/>
      <c r="AA3391" s="32"/>
      <c r="AB3391" s="32"/>
    </row>
    <row r="3392" spans="2:28" ht="23.25" customHeight="1" x14ac:dyDescent="0.2">
      <c r="B3392" s="75"/>
      <c r="C3392" s="67"/>
      <c r="D3392" s="75"/>
      <c r="E3392" s="67"/>
      <c r="F3392" s="67"/>
      <c r="G3392" s="70"/>
      <c r="H3392" s="70"/>
      <c r="I3392" s="70"/>
      <c r="J3392" s="70"/>
      <c r="K3392" s="70"/>
      <c r="L3392" s="67"/>
      <c r="M3392" s="67"/>
      <c r="N3392" s="72"/>
      <c r="O3392" s="72"/>
      <c r="P3392" s="67"/>
      <c r="Q3392" s="67"/>
      <c r="R3392" s="67"/>
      <c r="S3392" s="67"/>
      <c r="T3392" s="32"/>
      <c r="U3392" s="32"/>
      <c r="X3392" s="32"/>
      <c r="Y3392" s="32"/>
      <c r="Z3392" s="32"/>
      <c r="AA3392" s="32"/>
      <c r="AB3392" s="32"/>
    </row>
    <row r="3393" spans="2:28" ht="23.25" customHeight="1" x14ac:dyDescent="0.2">
      <c r="B3393" s="75"/>
      <c r="C3393" s="67"/>
      <c r="D3393" s="75"/>
      <c r="E3393" s="67"/>
      <c r="F3393" s="67"/>
      <c r="G3393" s="70"/>
      <c r="H3393" s="70"/>
      <c r="I3393" s="70"/>
      <c r="J3393" s="70"/>
      <c r="K3393" s="70"/>
      <c r="L3393" s="67"/>
      <c r="M3393" s="67"/>
      <c r="N3393" s="72"/>
      <c r="O3393" s="72"/>
      <c r="P3393" s="67"/>
      <c r="Q3393" s="67"/>
      <c r="R3393" s="67"/>
      <c r="S3393" s="67"/>
      <c r="T3393" s="32"/>
      <c r="U3393" s="32"/>
      <c r="X3393" s="32"/>
      <c r="Y3393" s="32"/>
      <c r="Z3393" s="32"/>
      <c r="AA3393" s="32"/>
      <c r="AB3393" s="32"/>
    </row>
    <row r="3394" spans="2:28" ht="23.25" customHeight="1" x14ac:dyDescent="0.2">
      <c r="B3394" s="75"/>
      <c r="C3394" s="67"/>
      <c r="D3394" s="75"/>
      <c r="E3394" s="67"/>
      <c r="F3394" s="67"/>
      <c r="G3394" s="70"/>
      <c r="H3394" s="70"/>
      <c r="I3394" s="70"/>
      <c r="J3394" s="70"/>
      <c r="K3394" s="70"/>
      <c r="L3394" s="67"/>
      <c r="M3394" s="67"/>
      <c r="N3394" s="72"/>
      <c r="O3394" s="72"/>
      <c r="P3394" s="67"/>
      <c r="Q3394" s="67"/>
      <c r="R3394" s="67"/>
      <c r="S3394" s="67"/>
      <c r="T3394" s="32"/>
      <c r="U3394" s="32"/>
      <c r="X3394" s="32"/>
      <c r="Y3394" s="32"/>
      <c r="Z3394" s="32"/>
      <c r="AA3394" s="32"/>
      <c r="AB3394" s="32"/>
    </row>
    <row r="3395" spans="2:28" ht="23.25" customHeight="1" x14ac:dyDescent="0.2">
      <c r="B3395" s="75"/>
      <c r="C3395" s="67"/>
      <c r="D3395" s="75"/>
      <c r="E3395" s="67"/>
      <c r="F3395" s="67"/>
      <c r="G3395" s="70"/>
      <c r="H3395" s="70"/>
      <c r="I3395" s="70"/>
      <c r="J3395" s="70"/>
      <c r="K3395" s="70"/>
      <c r="L3395" s="67"/>
      <c r="M3395" s="67"/>
      <c r="N3395" s="72"/>
      <c r="O3395" s="72"/>
      <c r="P3395" s="67"/>
      <c r="Q3395" s="67"/>
      <c r="R3395" s="67"/>
      <c r="S3395" s="67"/>
      <c r="T3395" s="32"/>
      <c r="U3395" s="32"/>
      <c r="X3395" s="32"/>
      <c r="Y3395" s="32"/>
      <c r="Z3395" s="32"/>
      <c r="AA3395" s="32"/>
      <c r="AB3395" s="32"/>
    </row>
    <row r="3396" spans="2:28" ht="23.25" customHeight="1" x14ac:dyDescent="0.2">
      <c r="B3396" s="75"/>
      <c r="C3396" s="67"/>
      <c r="D3396" s="75"/>
      <c r="E3396" s="67"/>
      <c r="F3396" s="67"/>
      <c r="G3396" s="70"/>
      <c r="H3396" s="70"/>
      <c r="I3396" s="70"/>
      <c r="J3396" s="70"/>
      <c r="K3396" s="70"/>
      <c r="L3396" s="67"/>
      <c r="M3396" s="67"/>
      <c r="N3396" s="72"/>
      <c r="O3396" s="72"/>
      <c r="P3396" s="67"/>
      <c r="Q3396" s="67"/>
      <c r="R3396" s="67"/>
      <c r="S3396" s="67"/>
      <c r="T3396" s="32"/>
      <c r="U3396" s="32"/>
      <c r="X3396" s="32"/>
      <c r="Y3396" s="32"/>
      <c r="Z3396" s="32"/>
      <c r="AA3396" s="32"/>
      <c r="AB3396" s="32"/>
    </row>
    <row r="3397" spans="2:28" ht="23.25" customHeight="1" x14ac:dyDescent="0.2">
      <c r="B3397" s="75"/>
      <c r="C3397" s="67"/>
      <c r="D3397" s="75"/>
      <c r="E3397" s="67"/>
      <c r="F3397" s="67"/>
      <c r="G3397" s="70"/>
      <c r="H3397" s="70"/>
      <c r="I3397" s="70"/>
      <c r="J3397" s="70"/>
      <c r="K3397" s="70"/>
      <c r="L3397" s="67"/>
      <c r="M3397" s="67"/>
      <c r="N3397" s="72"/>
      <c r="O3397" s="72"/>
      <c r="P3397" s="67"/>
      <c r="Q3397" s="67"/>
      <c r="R3397" s="67"/>
      <c r="S3397" s="67"/>
      <c r="T3397" s="32"/>
      <c r="U3397" s="32"/>
      <c r="X3397" s="32"/>
      <c r="Y3397" s="32"/>
      <c r="Z3397" s="32"/>
      <c r="AA3397" s="32"/>
      <c r="AB3397" s="32"/>
    </row>
    <row r="3398" spans="2:28" ht="23.25" customHeight="1" x14ac:dyDescent="0.2">
      <c r="B3398" s="75"/>
      <c r="C3398" s="67"/>
      <c r="D3398" s="75"/>
      <c r="E3398" s="67"/>
      <c r="F3398" s="67"/>
      <c r="G3398" s="70"/>
      <c r="H3398" s="70"/>
      <c r="I3398" s="70"/>
      <c r="J3398" s="70"/>
      <c r="K3398" s="70"/>
      <c r="L3398" s="67"/>
      <c r="M3398" s="67"/>
      <c r="N3398" s="72"/>
      <c r="O3398" s="72"/>
      <c r="P3398" s="67"/>
      <c r="Q3398" s="67"/>
      <c r="R3398" s="67"/>
      <c r="S3398" s="67"/>
      <c r="T3398" s="32"/>
      <c r="U3398" s="32"/>
      <c r="X3398" s="32"/>
      <c r="Y3398" s="32"/>
      <c r="Z3398" s="32"/>
      <c r="AA3398" s="32"/>
      <c r="AB3398" s="32"/>
    </row>
    <row r="3399" spans="2:28" ht="23.25" customHeight="1" x14ac:dyDescent="0.2">
      <c r="B3399" s="75"/>
      <c r="C3399" s="67"/>
      <c r="D3399" s="75"/>
      <c r="E3399" s="67"/>
      <c r="F3399" s="67"/>
      <c r="G3399" s="70"/>
      <c r="H3399" s="70"/>
      <c r="I3399" s="70"/>
      <c r="J3399" s="70"/>
      <c r="K3399" s="70"/>
      <c r="L3399" s="67"/>
      <c r="M3399" s="67"/>
      <c r="N3399" s="72"/>
      <c r="O3399" s="72"/>
      <c r="P3399" s="67"/>
      <c r="Q3399" s="67"/>
      <c r="R3399" s="67"/>
      <c r="S3399" s="67"/>
      <c r="T3399" s="32"/>
      <c r="U3399" s="32"/>
      <c r="X3399" s="32"/>
      <c r="Y3399" s="32"/>
      <c r="Z3399" s="32"/>
      <c r="AA3399" s="32"/>
      <c r="AB3399" s="32"/>
    </row>
    <row r="3400" spans="2:28" ht="23.25" customHeight="1" x14ac:dyDescent="0.2">
      <c r="B3400" s="75"/>
      <c r="C3400" s="67"/>
      <c r="D3400" s="75"/>
      <c r="E3400" s="67"/>
      <c r="F3400" s="67"/>
      <c r="G3400" s="70"/>
      <c r="H3400" s="70"/>
      <c r="I3400" s="70"/>
      <c r="J3400" s="70"/>
      <c r="K3400" s="70"/>
      <c r="L3400" s="67"/>
      <c r="M3400" s="67"/>
      <c r="N3400" s="72"/>
      <c r="O3400" s="72"/>
      <c r="P3400" s="67"/>
      <c r="Q3400" s="67"/>
      <c r="R3400" s="67"/>
      <c r="S3400" s="67"/>
      <c r="T3400" s="32"/>
      <c r="U3400" s="32"/>
      <c r="X3400" s="32"/>
      <c r="Y3400" s="32"/>
      <c r="Z3400" s="32"/>
      <c r="AA3400" s="32"/>
      <c r="AB3400" s="32"/>
    </row>
    <row r="3401" spans="2:28" ht="23.25" customHeight="1" x14ac:dyDescent="0.2">
      <c r="B3401" s="75"/>
      <c r="C3401" s="67"/>
      <c r="D3401" s="75"/>
      <c r="E3401" s="67"/>
      <c r="F3401" s="67"/>
      <c r="G3401" s="70"/>
      <c r="H3401" s="70"/>
      <c r="I3401" s="70"/>
      <c r="J3401" s="70"/>
      <c r="K3401" s="70"/>
      <c r="L3401" s="67"/>
      <c r="M3401" s="67"/>
      <c r="N3401" s="72"/>
      <c r="O3401" s="72"/>
      <c r="P3401" s="67"/>
      <c r="Q3401" s="67"/>
      <c r="R3401" s="67"/>
      <c r="S3401" s="67"/>
      <c r="T3401" s="32"/>
      <c r="U3401" s="32"/>
      <c r="X3401" s="32"/>
      <c r="Y3401" s="32"/>
      <c r="Z3401" s="32"/>
      <c r="AA3401" s="32"/>
      <c r="AB3401" s="32"/>
    </row>
    <row r="3402" spans="2:28" ht="23.25" customHeight="1" x14ac:dyDescent="0.2">
      <c r="B3402" s="75"/>
      <c r="C3402" s="67"/>
      <c r="D3402" s="75"/>
      <c r="E3402" s="67"/>
      <c r="F3402" s="67"/>
      <c r="G3402" s="70"/>
      <c r="H3402" s="70"/>
      <c r="I3402" s="70"/>
      <c r="J3402" s="70"/>
      <c r="K3402" s="70"/>
      <c r="L3402" s="67"/>
      <c r="M3402" s="67"/>
      <c r="N3402" s="72"/>
      <c r="O3402" s="72"/>
      <c r="P3402" s="67"/>
      <c r="Q3402" s="67"/>
      <c r="R3402" s="67"/>
      <c r="S3402" s="67"/>
      <c r="T3402" s="32"/>
      <c r="U3402" s="32"/>
      <c r="X3402" s="32"/>
      <c r="Y3402" s="32"/>
      <c r="Z3402" s="32"/>
      <c r="AA3402" s="32"/>
      <c r="AB3402" s="32"/>
    </row>
    <row r="3403" spans="2:28" ht="23.25" customHeight="1" x14ac:dyDescent="0.2">
      <c r="B3403" s="75"/>
      <c r="C3403" s="67"/>
      <c r="D3403" s="75"/>
      <c r="E3403" s="67"/>
      <c r="F3403" s="67"/>
      <c r="G3403" s="70"/>
      <c r="H3403" s="70"/>
      <c r="I3403" s="70"/>
      <c r="J3403" s="70"/>
      <c r="K3403" s="70"/>
      <c r="L3403" s="67"/>
      <c r="M3403" s="67"/>
      <c r="N3403" s="72"/>
      <c r="O3403" s="72"/>
      <c r="P3403" s="67"/>
      <c r="Q3403" s="67"/>
      <c r="R3403" s="67"/>
      <c r="S3403" s="67"/>
      <c r="T3403" s="32"/>
      <c r="U3403" s="32"/>
      <c r="X3403" s="32"/>
      <c r="Y3403" s="32"/>
      <c r="Z3403" s="32"/>
      <c r="AA3403" s="32"/>
      <c r="AB3403" s="32"/>
    </row>
    <row r="3404" spans="2:28" ht="23.25" customHeight="1" x14ac:dyDescent="0.2">
      <c r="B3404" s="75"/>
      <c r="C3404" s="67"/>
      <c r="D3404" s="75"/>
      <c r="E3404" s="67"/>
      <c r="F3404" s="67"/>
      <c r="G3404" s="70"/>
      <c r="H3404" s="70"/>
      <c r="I3404" s="70"/>
      <c r="J3404" s="70"/>
      <c r="K3404" s="70"/>
      <c r="L3404" s="67"/>
      <c r="M3404" s="67"/>
      <c r="N3404" s="72"/>
      <c r="O3404" s="72"/>
      <c r="P3404" s="67"/>
      <c r="Q3404" s="67"/>
      <c r="R3404" s="67"/>
      <c r="S3404" s="67"/>
      <c r="T3404" s="32"/>
      <c r="U3404" s="32"/>
      <c r="X3404" s="32"/>
      <c r="Y3404" s="32"/>
      <c r="Z3404" s="32"/>
      <c r="AA3404" s="32"/>
      <c r="AB3404" s="32"/>
    </row>
    <row r="3405" spans="2:28" ht="23.25" customHeight="1" x14ac:dyDescent="0.2">
      <c r="B3405" s="75"/>
      <c r="C3405" s="67"/>
      <c r="D3405" s="75"/>
      <c r="E3405" s="67"/>
      <c r="F3405" s="67"/>
      <c r="G3405" s="70"/>
      <c r="H3405" s="70"/>
      <c r="I3405" s="70"/>
      <c r="J3405" s="70"/>
      <c r="K3405" s="70"/>
      <c r="L3405" s="67"/>
      <c r="M3405" s="67"/>
      <c r="N3405" s="72"/>
      <c r="O3405" s="72"/>
      <c r="P3405" s="67"/>
      <c r="Q3405" s="67"/>
      <c r="R3405" s="67"/>
      <c r="S3405" s="67"/>
      <c r="T3405" s="32"/>
      <c r="U3405" s="32"/>
      <c r="X3405" s="32"/>
      <c r="Y3405" s="32"/>
      <c r="Z3405" s="32"/>
      <c r="AA3405" s="32"/>
      <c r="AB3405" s="32"/>
    </row>
    <row r="3406" spans="2:28" ht="23.25" customHeight="1" x14ac:dyDescent="0.2">
      <c r="B3406" s="75"/>
      <c r="C3406" s="67"/>
      <c r="D3406" s="75"/>
      <c r="E3406" s="67"/>
      <c r="F3406" s="67"/>
      <c r="G3406" s="70"/>
      <c r="H3406" s="70"/>
      <c r="I3406" s="70"/>
      <c r="J3406" s="70"/>
      <c r="K3406" s="70"/>
      <c r="L3406" s="67"/>
      <c r="M3406" s="67"/>
      <c r="N3406" s="72"/>
      <c r="O3406" s="72"/>
      <c r="P3406" s="67"/>
      <c r="Q3406" s="67"/>
      <c r="R3406" s="67"/>
      <c r="S3406" s="67"/>
      <c r="T3406" s="32"/>
      <c r="U3406" s="32"/>
      <c r="X3406" s="32"/>
      <c r="Y3406" s="32"/>
      <c r="Z3406" s="32"/>
      <c r="AA3406" s="32"/>
      <c r="AB3406" s="32"/>
    </row>
    <row r="3407" spans="2:28" ht="23.25" customHeight="1" x14ac:dyDescent="0.2">
      <c r="B3407" s="75"/>
      <c r="C3407" s="67"/>
      <c r="D3407" s="75"/>
      <c r="E3407" s="67"/>
      <c r="F3407" s="67"/>
      <c r="G3407" s="70"/>
      <c r="H3407" s="70"/>
      <c r="I3407" s="70"/>
      <c r="J3407" s="70"/>
      <c r="K3407" s="70"/>
      <c r="L3407" s="67"/>
      <c r="M3407" s="67"/>
      <c r="N3407" s="72"/>
      <c r="O3407" s="72"/>
      <c r="P3407" s="67"/>
      <c r="Q3407" s="67"/>
      <c r="R3407" s="67"/>
      <c r="S3407" s="67"/>
      <c r="T3407" s="32"/>
      <c r="U3407" s="32"/>
      <c r="X3407" s="32"/>
      <c r="Y3407" s="32"/>
      <c r="Z3407" s="32"/>
      <c r="AA3407" s="32"/>
      <c r="AB3407" s="32"/>
    </row>
    <row r="3408" spans="2:28" ht="23.25" customHeight="1" x14ac:dyDescent="0.2">
      <c r="B3408" s="75"/>
      <c r="C3408" s="67"/>
      <c r="D3408" s="75"/>
      <c r="E3408" s="67"/>
      <c r="F3408" s="67"/>
      <c r="G3408" s="70"/>
      <c r="H3408" s="70"/>
      <c r="I3408" s="70"/>
      <c r="J3408" s="70"/>
      <c r="K3408" s="70"/>
      <c r="L3408" s="67"/>
      <c r="M3408" s="67"/>
      <c r="N3408" s="72"/>
      <c r="O3408" s="72"/>
      <c r="P3408" s="67"/>
      <c r="Q3408" s="67"/>
      <c r="R3408" s="67"/>
      <c r="S3408" s="67"/>
      <c r="T3408" s="32"/>
      <c r="U3408" s="32"/>
      <c r="X3408" s="32"/>
      <c r="Y3408" s="32"/>
      <c r="Z3408" s="32"/>
      <c r="AA3408" s="32"/>
      <c r="AB3408" s="32"/>
    </row>
    <row r="3409" spans="2:28" ht="23.25" customHeight="1" x14ac:dyDescent="0.2">
      <c r="B3409" s="75"/>
      <c r="C3409" s="67"/>
      <c r="D3409" s="75"/>
      <c r="E3409" s="67"/>
      <c r="F3409" s="67"/>
      <c r="G3409" s="70"/>
      <c r="H3409" s="70"/>
      <c r="I3409" s="70"/>
      <c r="J3409" s="70"/>
      <c r="K3409" s="70"/>
      <c r="L3409" s="67"/>
      <c r="M3409" s="67"/>
      <c r="N3409" s="72"/>
      <c r="O3409" s="72"/>
      <c r="P3409" s="67"/>
      <c r="Q3409" s="67"/>
      <c r="R3409" s="67"/>
      <c r="S3409" s="67"/>
      <c r="T3409" s="32"/>
      <c r="U3409" s="32"/>
      <c r="X3409" s="32"/>
      <c r="Y3409" s="32"/>
      <c r="Z3409" s="32"/>
      <c r="AA3409" s="32"/>
      <c r="AB3409" s="32"/>
    </row>
    <row r="3410" spans="2:28" ht="23.25" customHeight="1" x14ac:dyDescent="0.2">
      <c r="B3410" s="75"/>
      <c r="C3410" s="67"/>
      <c r="D3410" s="75"/>
      <c r="E3410" s="67"/>
      <c r="F3410" s="67"/>
      <c r="G3410" s="70"/>
      <c r="H3410" s="70"/>
      <c r="I3410" s="70"/>
      <c r="J3410" s="70"/>
      <c r="K3410" s="70"/>
      <c r="L3410" s="67"/>
      <c r="M3410" s="67"/>
      <c r="N3410" s="72"/>
      <c r="O3410" s="72"/>
      <c r="P3410" s="67"/>
      <c r="Q3410" s="67"/>
      <c r="R3410" s="67"/>
      <c r="S3410" s="67"/>
      <c r="T3410" s="32"/>
      <c r="U3410" s="32"/>
      <c r="X3410" s="32"/>
      <c r="Y3410" s="32"/>
      <c r="Z3410" s="32"/>
      <c r="AA3410" s="32"/>
      <c r="AB3410" s="32"/>
    </row>
    <row r="3411" spans="2:28" ht="23.25" customHeight="1" x14ac:dyDescent="0.2">
      <c r="B3411" s="75"/>
      <c r="C3411" s="67"/>
      <c r="D3411" s="75"/>
      <c r="E3411" s="67"/>
      <c r="F3411" s="67"/>
      <c r="G3411" s="70"/>
      <c r="H3411" s="70"/>
      <c r="I3411" s="70"/>
      <c r="J3411" s="70"/>
      <c r="K3411" s="70"/>
      <c r="L3411" s="67"/>
      <c r="M3411" s="67"/>
      <c r="N3411" s="72"/>
      <c r="O3411" s="72"/>
      <c r="P3411" s="67"/>
      <c r="Q3411" s="67"/>
      <c r="R3411" s="67"/>
      <c r="S3411" s="67"/>
      <c r="T3411" s="32"/>
      <c r="U3411" s="32"/>
      <c r="X3411" s="32"/>
      <c r="Y3411" s="32"/>
      <c r="Z3411" s="32"/>
      <c r="AA3411" s="32"/>
      <c r="AB3411" s="32"/>
    </row>
    <row r="3412" spans="2:28" ht="23.25" customHeight="1" x14ac:dyDescent="0.2">
      <c r="B3412" s="75"/>
      <c r="C3412" s="67"/>
      <c r="D3412" s="75"/>
      <c r="E3412" s="67"/>
      <c r="F3412" s="67"/>
      <c r="G3412" s="70"/>
      <c r="H3412" s="70"/>
      <c r="I3412" s="70"/>
      <c r="J3412" s="70"/>
      <c r="K3412" s="70"/>
      <c r="L3412" s="67"/>
      <c r="M3412" s="67"/>
      <c r="N3412" s="72"/>
      <c r="O3412" s="72"/>
      <c r="P3412" s="67"/>
      <c r="Q3412" s="67"/>
      <c r="R3412" s="67"/>
      <c r="S3412" s="67"/>
      <c r="T3412" s="32"/>
      <c r="U3412" s="32"/>
      <c r="X3412" s="32"/>
      <c r="Y3412" s="32"/>
      <c r="Z3412" s="32"/>
      <c r="AA3412" s="32"/>
      <c r="AB3412" s="32"/>
    </row>
    <row r="3413" spans="2:28" ht="23.25" customHeight="1" x14ac:dyDescent="0.2">
      <c r="B3413" s="75"/>
      <c r="C3413" s="67"/>
      <c r="D3413" s="75"/>
      <c r="E3413" s="67"/>
      <c r="F3413" s="67"/>
      <c r="G3413" s="70"/>
      <c r="H3413" s="70"/>
      <c r="I3413" s="70"/>
      <c r="J3413" s="70"/>
      <c r="K3413" s="70"/>
      <c r="L3413" s="67"/>
      <c r="M3413" s="67"/>
      <c r="N3413" s="72"/>
      <c r="O3413" s="72"/>
      <c r="P3413" s="67"/>
      <c r="Q3413" s="67"/>
      <c r="R3413" s="67"/>
      <c r="S3413" s="67"/>
      <c r="T3413" s="32"/>
      <c r="U3413" s="32"/>
      <c r="X3413" s="32"/>
      <c r="Y3413" s="32"/>
      <c r="Z3413" s="32"/>
      <c r="AA3413" s="32"/>
      <c r="AB3413" s="32"/>
    </row>
    <row r="3414" spans="2:28" ht="23.25" customHeight="1" x14ac:dyDescent="0.2">
      <c r="B3414" s="75"/>
      <c r="C3414" s="67"/>
      <c r="D3414" s="75"/>
      <c r="E3414" s="67"/>
      <c r="F3414" s="67"/>
      <c r="G3414" s="70"/>
      <c r="H3414" s="70"/>
      <c r="I3414" s="70"/>
      <c r="J3414" s="70"/>
      <c r="K3414" s="70"/>
      <c r="L3414" s="67"/>
      <c r="M3414" s="67"/>
      <c r="N3414" s="72"/>
      <c r="O3414" s="72"/>
      <c r="P3414" s="67"/>
      <c r="Q3414" s="67"/>
      <c r="R3414" s="67"/>
      <c r="S3414" s="67"/>
      <c r="T3414" s="32"/>
      <c r="U3414" s="32"/>
      <c r="X3414" s="32"/>
      <c r="Y3414" s="32"/>
      <c r="Z3414" s="32"/>
      <c r="AA3414" s="32"/>
      <c r="AB3414" s="32"/>
    </row>
    <row r="3415" spans="2:28" ht="23.25" customHeight="1" x14ac:dyDescent="0.2">
      <c r="B3415" s="75"/>
      <c r="C3415" s="67"/>
      <c r="D3415" s="75"/>
      <c r="E3415" s="67"/>
      <c r="F3415" s="67"/>
      <c r="G3415" s="70"/>
      <c r="H3415" s="70"/>
      <c r="I3415" s="70"/>
      <c r="J3415" s="70"/>
      <c r="K3415" s="70"/>
      <c r="L3415" s="67"/>
      <c r="M3415" s="67"/>
      <c r="N3415" s="72"/>
      <c r="O3415" s="72"/>
      <c r="P3415" s="67"/>
      <c r="Q3415" s="67"/>
      <c r="R3415" s="67"/>
      <c r="S3415" s="67"/>
      <c r="T3415" s="32"/>
      <c r="U3415" s="32"/>
      <c r="X3415" s="32"/>
      <c r="Y3415" s="32"/>
      <c r="Z3415" s="32"/>
      <c r="AA3415" s="32"/>
      <c r="AB3415" s="32"/>
    </row>
    <row r="3416" spans="2:28" ht="23.25" customHeight="1" x14ac:dyDescent="0.2">
      <c r="B3416" s="75"/>
      <c r="C3416" s="67"/>
      <c r="D3416" s="75"/>
      <c r="E3416" s="67"/>
      <c r="F3416" s="67"/>
      <c r="G3416" s="70"/>
      <c r="H3416" s="70"/>
      <c r="I3416" s="70"/>
      <c r="J3416" s="70"/>
      <c r="K3416" s="70"/>
      <c r="L3416" s="67"/>
      <c r="M3416" s="67"/>
      <c r="N3416" s="72"/>
      <c r="O3416" s="72"/>
      <c r="P3416" s="67"/>
      <c r="Q3416" s="67"/>
      <c r="R3416" s="67"/>
      <c r="S3416" s="67"/>
      <c r="T3416" s="32"/>
      <c r="U3416" s="32"/>
      <c r="X3416" s="32"/>
      <c r="Y3416" s="32"/>
      <c r="Z3416" s="32"/>
      <c r="AA3416" s="32"/>
      <c r="AB3416" s="32"/>
    </row>
    <row r="3417" spans="2:28" ht="23.25" customHeight="1" x14ac:dyDescent="0.2">
      <c r="B3417" s="75"/>
      <c r="C3417" s="67"/>
      <c r="D3417" s="75"/>
      <c r="E3417" s="67"/>
      <c r="F3417" s="67"/>
      <c r="G3417" s="70"/>
      <c r="H3417" s="70"/>
      <c r="I3417" s="70"/>
      <c r="J3417" s="70"/>
      <c r="K3417" s="70"/>
      <c r="L3417" s="67"/>
      <c r="M3417" s="67"/>
      <c r="N3417" s="72"/>
      <c r="O3417" s="72"/>
      <c r="P3417" s="67"/>
      <c r="Q3417" s="67"/>
      <c r="R3417" s="67"/>
      <c r="S3417" s="67"/>
      <c r="T3417" s="32"/>
      <c r="U3417" s="32"/>
      <c r="X3417" s="32"/>
      <c r="Y3417" s="32"/>
      <c r="Z3417" s="32"/>
      <c r="AA3417" s="32"/>
      <c r="AB3417" s="32"/>
    </row>
    <row r="3418" spans="2:28" ht="23.25" customHeight="1" x14ac:dyDescent="0.2">
      <c r="B3418" s="75"/>
      <c r="C3418" s="67"/>
      <c r="D3418" s="75"/>
      <c r="E3418" s="67"/>
      <c r="F3418" s="67"/>
      <c r="G3418" s="70"/>
      <c r="H3418" s="70"/>
      <c r="I3418" s="70"/>
      <c r="J3418" s="70"/>
      <c r="K3418" s="70"/>
      <c r="L3418" s="67"/>
      <c r="M3418" s="67"/>
      <c r="N3418" s="72"/>
      <c r="O3418" s="72"/>
      <c r="P3418" s="67"/>
      <c r="Q3418" s="67"/>
      <c r="R3418" s="67"/>
      <c r="S3418" s="67"/>
      <c r="T3418" s="32"/>
      <c r="U3418" s="32"/>
      <c r="X3418" s="32"/>
      <c r="Y3418" s="32"/>
      <c r="Z3418" s="32"/>
      <c r="AA3418" s="32"/>
      <c r="AB3418" s="32"/>
    </row>
    <row r="3419" spans="2:28" ht="23.25" customHeight="1" x14ac:dyDescent="0.2">
      <c r="B3419" s="75"/>
      <c r="C3419" s="67"/>
      <c r="D3419" s="75"/>
      <c r="E3419" s="67"/>
      <c r="F3419" s="67"/>
      <c r="G3419" s="70"/>
      <c r="H3419" s="70"/>
      <c r="I3419" s="70"/>
      <c r="J3419" s="70"/>
      <c r="K3419" s="70"/>
      <c r="L3419" s="67"/>
      <c r="M3419" s="67"/>
      <c r="N3419" s="72"/>
      <c r="O3419" s="72"/>
      <c r="P3419" s="67"/>
      <c r="Q3419" s="67"/>
      <c r="R3419" s="67"/>
      <c r="S3419" s="67"/>
      <c r="T3419" s="32"/>
      <c r="U3419" s="32"/>
      <c r="X3419" s="32"/>
      <c r="Y3419" s="32"/>
      <c r="Z3419" s="32"/>
      <c r="AA3419" s="32"/>
      <c r="AB3419" s="32"/>
    </row>
    <row r="3420" spans="2:28" ht="23.25" customHeight="1" x14ac:dyDescent="0.2">
      <c r="B3420" s="75"/>
      <c r="C3420" s="67"/>
      <c r="D3420" s="75"/>
      <c r="E3420" s="67"/>
      <c r="F3420" s="67"/>
      <c r="G3420" s="70"/>
      <c r="H3420" s="70"/>
      <c r="I3420" s="70"/>
      <c r="J3420" s="70"/>
      <c r="K3420" s="70"/>
      <c r="L3420" s="67"/>
      <c r="M3420" s="67"/>
      <c r="N3420" s="72"/>
      <c r="O3420" s="72"/>
      <c r="P3420" s="67"/>
      <c r="Q3420" s="67"/>
      <c r="R3420" s="67"/>
      <c r="S3420" s="67"/>
      <c r="T3420" s="32"/>
      <c r="U3420" s="32"/>
      <c r="X3420" s="32"/>
      <c r="Y3420" s="32"/>
      <c r="Z3420" s="32"/>
      <c r="AA3420" s="32"/>
      <c r="AB3420" s="32"/>
    </row>
    <row r="3421" spans="2:28" ht="23.25" customHeight="1" x14ac:dyDescent="0.2">
      <c r="B3421" s="75"/>
      <c r="C3421" s="67"/>
      <c r="D3421" s="75"/>
      <c r="E3421" s="67"/>
      <c r="F3421" s="67"/>
      <c r="G3421" s="70"/>
      <c r="H3421" s="70"/>
      <c r="I3421" s="70"/>
      <c r="J3421" s="70"/>
      <c r="K3421" s="70"/>
      <c r="L3421" s="67"/>
      <c r="M3421" s="67"/>
      <c r="N3421" s="72"/>
      <c r="O3421" s="72"/>
      <c r="P3421" s="67"/>
      <c r="Q3421" s="67"/>
      <c r="R3421" s="67"/>
      <c r="S3421" s="67"/>
      <c r="T3421" s="32"/>
      <c r="U3421" s="32"/>
      <c r="X3421" s="32"/>
      <c r="Y3421" s="32"/>
      <c r="Z3421" s="32"/>
      <c r="AA3421" s="32"/>
      <c r="AB3421" s="32"/>
    </row>
    <row r="3422" spans="2:28" ht="23.25" customHeight="1" x14ac:dyDescent="0.2">
      <c r="B3422" s="75"/>
      <c r="C3422" s="67"/>
      <c r="D3422" s="75"/>
      <c r="E3422" s="67"/>
      <c r="F3422" s="67"/>
      <c r="G3422" s="70"/>
      <c r="H3422" s="70"/>
      <c r="I3422" s="70"/>
      <c r="J3422" s="70"/>
      <c r="K3422" s="70"/>
      <c r="L3422" s="67"/>
      <c r="M3422" s="67"/>
      <c r="N3422" s="72"/>
      <c r="O3422" s="72"/>
      <c r="P3422" s="67"/>
      <c r="Q3422" s="67"/>
      <c r="R3422" s="67"/>
      <c r="S3422" s="67"/>
      <c r="T3422" s="32"/>
      <c r="U3422" s="32"/>
      <c r="X3422" s="32"/>
      <c r="Y3422" s="32"/>
      <c r="Z3422" s="32"/>
      <c r="AA3422" s="32"/>
      <c r="AB3422" s="32"/>
    </row>
    <row r="3423" spans="2:28" ht="23.25" customHeight="1" x14ac:dyDescent="0.2">
      <c r="B3423" s="75"/>
      <c r="C3423" s="67"/>
      <c r="D3423" s="75"/>
      <c r="E3423" s="67"/>
      <c r="F3423" s="67"/>
      <c r="G3423" s="70"/>
      <c r="H3423" s="70"/>
      <c r="I3423" s="70"/>
      <c r="J3423" s="70"/>
      <c r="K3423" s="70"/>
      <c r="L3423" s="67"/>
      <c r="M3423" s="67"/>
      <c r="N3423" s="72"/>
      <c r="O3423" s="72"/>
      <c r="P3423" s="67"/>
      <c r="Q3423" s="67"/>
      <c r="R3423" s="67"/>
      <c r="S3423" s="67"/>
      <c r="T3423" s="32"/>
      <c r="U3423" s="32"/>
      <c r="X3423" s="32"/>
      <c r="Y3423" s="32"/>
      <c r="Z3423" s="32"/>
      <c r="AA3423" s="32"/>
      <c r="AB3423" s="32"/>
    </row>
    <row r="3424" spans="2:28" ht="23.25" customHeight="1" x14ac:dyDescent="0.2">
      <c r="B3424" s="75"/>
      <c r="C3424" s="67"/>
      <c r="D3424" s="75"/>
      <c r="E3424" s="67"/>
      <c r="F3424" s="67"/>
      <c r="G3424" s="70"/>
      <c r="H3424" s="70"/>
      <c r="I3424" s="70"/>
      <c r="J3424" s="70"/>
      <c r="K3424" s="70"/>
      <c r="L3424" s="67"/>
      <c r="M3424" s="67"/>
      <c r="N3424" s="72"/>
      <c r="O3424" s="72"/>
      <c r="P3424" s="67"/>
      <c r="Q3424" s="67"/>
      <c r="R3424" s="67"/>
      <c r="S3424" s="67"/>
      <c r="T3424" s="32"/>
      <c r="U3424" s="32"/>
      <c r="X3424" s="32"/>
      <c r="Y3424" s="32"/>
      <c r="Z3424" s="32"/>
      <c r="AA3424" s="32"/>
      <c r="AB3424" s="32"/>
    </row>
    <row r="3425" spans="2:28" ht="23.25" customHeight="1" x14ac:dyDescent="0.2">
      <c r="B3425" s="75"/>
      <c r="C3425" s="67"/>
      <c r="D3425" s="75"/>
      <c r="E3425" s="67"/>
      <c r="F3425" s="67"/>
      <c r="G3425" s="70"/>
      <c r="H3425" s="70"/>
      <c r="I3425" s="70"/>
      <c r="J3425" s="70"/>
      <c r="K3425" s="70"/>
      <c r="L3425" s="67"/>
      <c r="M3425" s="67"/>
      <c r="N3425" s="72"/>
      <c r="O3425" s="72"/>
      <c r="P3425" s="67"/>
      <c r="Q3425" s="67"/>
      <c r="R3425" s="67"/>
      <c r="S3425" s="67"/>
      <c r="T3425" s="32"/>
      <c r="U3425" s="32"/>
      <c r="X3425" s="32"/>
      <c r="Y3425" s="32"/>
      <c r="Z3425" s="32"/>
      <c r="AA3425" s="32"/>
      <c r="AB3425" s="32"/>
    </row>
    <row r="3426" spans="2:28" ht="23.25" customHeight="1" x14ac:dyDescent="0.2">
      <c r="B3426" s="75"/>
      <c r="C3426" s="67"/>
      <c r="D3426" s="75"/>
      <c r="E3426" s="67"/>
      <c r="F3426" s="67"/>
      <c r="G3426" s="70"/>
      <c r="H3426" s="70"/>
      <c r="I3426" s="70"/>
      <c r="J3426" s="70"/>
      <c r="K3426" s="70"/>
      <c r="L3426" s="67"/>
      <c r="M3426" s="67"/>
      <c r="N3426" s="72"/>
      <c r="O3426" s="72"/>
      <c r="P3426" s="67"/>
      <c r="Q3426" s="67"/>
      <c r="R3426" s="67"/>
      <c r="S3426" s="67"/>
      <c r="T3426" s="32"/>
      <c r="U3426" s="32"/>
      <c r="X3426" s="32"/>
      <c r="Y3426" s="32"/>
      <c r="Z3426" s="32"/>
      <c r="AA3426" s="32"/>
      <c r="AB3426" s="32"/>
    </row>
    <row r="3427" spans="2:28" ht="23.25" customHeight="1" x14ac:dyDescent="0.2">
      <c r="B3427" s="75"/>
      <c r="C3427" s="67"/>
      <c r="D3427" s="75"/>
      <c r="E3427" s="67"/>
      <c r="F3427" s="67"/>
      <c r="G3427" s="70"/>
      <c r="H3427" s="70"/>
      <c r="I3427" s="70"/>
      <c r="J3427" s="70"/>
      <c r="K3427" s="70"/>
      <c r="L3427" s="67"/>
      <c r="M3427" s="67"/>
      <c r="N3427" s="72"/>
      <c r="O3427" s="72"/>
      <c r="P3427" s="67"/>
      <c r="Q3427" s="67"/>
      <c r="R3427" s="67"/>
      <c r="S3427" s="67"/>
      <c r="T3427" s="32"/>
      <c r="U3427" s="32"/>
      <c r="X3427" s="32"/>
      <c r="Y3427" s="32"/>
      <c r="Z3427" s="32"/>
      <c r="AA3427" s="32"/>
      <c r="AB3427" s="32"/>
    </row>
    <row r="3428" spans="2:28" ht="23.25" customHeight="1" x14ac:dyDescent="0.2">
      <c r="B3428" s="75"/>
      <c r="C3428" s="67"/>
      <c r="D3428" s="75"/>
      <c r="E3428" s="67"/>
      <c r="F3428" s="67"/>
      <c r="G3428" s="70"/>
      <c r="H3428" s="70"/>
      <c r="I3428" s="70"/>
      <c r="J3428" s="70"/>
      <c r="K3428" s="70"/>
      <c r="L3428" s="67"/>
      <c r="M3428" s="67"/>
      <c r="N3428" s="72"/>
      <c r="O3428" s="72"/>
      <c r="P3428" s="67"/>
      <c r="Q3428" s="67"/>
      <c r="R3428" s="67"/>
      <c r="S3428" s="67"/>
      <c r="T3428" s="32"/>
      <c r="U3428" s="32"/>
      <c r="X3428" s="32"/>
      <c r="Y3428" s="32"/>
      <c r="Z3428" s="32"/>
      <c r="AA3428" s="32"/>
      <c r="AB3428" s="32"/>
    </row>
    <row r="3429" spans="2:28" ht="23.25" customHeight="1" x14ac:dyDescent="0.2">
      <c r="B3429" s="75"/>
      <c r="C3429" s="67"/>
      <c r="D3429" s="75"/>
      <c r="E3429" s="67"/>
      <c r="F3429" s="67"/>
      <c r="G3429" s="70"/>
      <c r="H3429" s="70"/>
      <c r="I3429" s="70"/>
      <c r="J3429" s="70"/>
      <c r="K3429" s="70"/>
      <c r="L3429" s="67"/>
      <c r="M3429" s="67"/>
      <c r="N3429" s="72"/>
      <c r="O3429" s="72"/>
      <c r="P3429" s="67"/>
      <c r="Q3429" s="67"/>
      <c r="R3429" s="67"/>
      <c r="S3429" s="67"/>
      <c r="T3429" s="32"/>
      <c r="U3429" s="32"/>
      <c r="X3429" s="32"/>
      <c r="Y3429" s="32"/>
      <c r="Z3429" s="32"/>
      <c r="AA3429" s="32"/>
      <c r="AB3429" s="32"/>
    </row>
    <row r="3430" spans="2:28" ht="23.25" customHeight="1" x14ac:dyDescent="0.2">
      <c r="B3430" s="75"/>
      <c r="C3430" s="67"/>
      <c r="D3430" s="75"/>
      <c r="E3430" s="67"/>
      <c r="F3430" s="67"/>
      <c r="G3430" s="70"/>
      <c r="H3430" s="70"/>
      <c r="I3430" s="70"/>
      <c r="J3430" s="70"/>
      <c r="K3430" s="70"/>
      <c r="L3430" s="67"/>
      <c r="M3430" s="67"/>
      <c r="N3430" s="72"/>
      <c r="O3430" s="72"/>
      <c r="P3430" s="67"/>
      <c r="Q3430" s="67"/>
      <c r="R3430" s="67"/>
      <c r="S3430" s="67"/>
      <c r="T3430" s="32"/>
      <c r="U3430" s="32"/>
      <c r="X3430" s="32"/>
      <c r="Y3430" s="32"/>
      <c r="Z3430" s="32"/>
      <c r="AA3430" s="32"/>
      <c r="AB3430" s="32"/>
    </row>
    <row r="3431" spans="2:28" ht="23.25" customHeight="1" x14ac:dyDescent="0.2">
      <c r="B3431" s="75"/>
      <c r="C3431" s="67"/>
      <c r="D3431" s="75"/>
      <c r="E3431" s="67"/>
      <c r="F3431" s="67"/>
      <c r="G3431" s="70"/>
      <c r="H3431" s="70"/>
      <c r="I3431" s="70"/>
      <c r="J3431" s="70"/>
      <c r="K3431" s="70"/>
      <c r="L3431" s="67"/>
      <c r="M3431" s="67"/>
      <c r="N3431" s="72"/>
      <c r="O3431" s="72"/>
      <c r="P3431" s="67"/>
      <c r="Q3431" s="67"/>
      <c r="R3431" s="67"/>
      <c r="S3431" s="67"/>
      <c r="T3431" s="32"/>
      <c r="U3431" s="32"/>
      <c r="X3431" s="32"/>
      <c r="Y3431" s="32"/>
      <c r="Z3431" s="32"/>
      <c r="AA3431" s="32"/>
      <c r="AB3431" s="32"/>
    </row>
    <row r="3432" spans="2:28" ht="23.25" customHeight="1" x14ac:dyDescent="0.2">
      <c r="B3432" s="75"/>
      <c r="C3432" s="67"/>
      <c r="D3432" s="75"/>
      <c r="E3432" s="67"/>
      <c r="F3432" s="67"/>
      <c r="G3432" s="70"/>
      <c r="H3432" s="70"/>
      <c r="I3432" s="70"/>
      <c r="J3432" s="70"/>
      <c r="K3432" s="70"/>
      <c r="L3432" s="67"/>
      <c r="M3432" s="67"/>
      <c r="N3432" s="72"/>
      <c r="O3432" s="72"/>
      <c r="P3432" s="67"/>
      <c r="Q3432" s="67"/>
      <c r="R3432" s="67"/>
      <c r="S3432" s="67"/>
      <c r="T3432" s="32"/>
      <c r="U3432" s="32"/>
      <c r="X3432" s="32"/>
      <c r="Y3432" s="32"/>
      <c r="Z3432" s="32"/>
      <c r="AA3432" s="32"/>
      <c r="AB3432" s="32"/>
    </row>
    <row r="3433" spans="2:28" ht="23.25" customHeight="1" x14ac:dyDescent="0.2">
      <c r="B3433" s="75"/>
      <c r="C3433" s="67"/>
      <c r="D3433" s="75"/>
      <c r="E3433" s="67"/>
      <c r="F3433" s="67"/>
      <c r="G3433" s="70"/>
      <c r="H3433" s="70"/>
      <c r="I3433" s="70"/>
      <c r="J3433" s="70"/>
      <c r="K3433" s="70"/>
      <c r="L3433" s="67"/>
      <c r="M3433" s="67"/>
      <c r="N3433" s="72"/>
      <c r="O3433" s="72"/>
      <c r="P3433" s="67"/>
      <c r="Q3433" s="67"/>
      <c r="R3433" s="67"/>
      <c r="S3433" s="67"/>
      <c r="T3433" s="32"/>
      <c r="U3433" s="32"/>
      <c r="X3433" s="32"/>
      <c r="Y3433" s="32"/>
      <c r="Z3433" s="32"/>
      <c r="AA3433" s="32"/>
      <c r="AB3433" s="32"/>
    </row>
    <row r="3434" spans="2:28" ht="23.25" customHeight="1" x14ac:dyDescent="0.2">
      <c r="B3434" s="75"/>
      <c r="C3434" s="67"/>
      <c r="D3434" s="75"/>
      <c r="E3434" s="67"/>
      <c r="F3434" s="67"/>
      <c r="G3434" s="70"/>
      <c r="H3434" s="70"/>
      <c r="I3434" s="70"/>
      <c r="J3434" s="70"/>
      <c r="K3434" s="70"/>
      <c r="L3434" s="67"/>
      <c r="M3434" s="67"/>
      <c r="N3434" s="72"/>
      <c r="O3434" s="72"/>
      <c r="P3434" s="67"/>
      <c r="Q3434" s="67"/>
      <c r="R3434" s="67"/>
      <c r="S3434" s="67"/>
      <c r="T3434" s="32"/>
      <c r="U3434" s="32"/>
      <c r="X3434" s="32"/>
      <c r="Y3434" s="32"/>
      <c r="Z3434" s="32"/>
      <c r="AA3434" s="32"/>
      <c r="AB3434" s="32"/>
    </row>
    <row r="3435" spans="2:28" ht="23.25" customHeight="1" x14ac:dyDescent="0.2">
      <c r="B3435" s="75"/>
      <c r="C3435" s="67"/>
      <c r="D3435" s="75"/>
      <c r="E3435" s="67"/>
      <c r="F3435" s="67"/>
      <c r="G3435" s="70"/>
      <c r="H3435" s="70"/>
      <c r="I3435" s="70"/>
      <c r="J3435" s="70"/>
      <c r="K3435" s="70"/>
      <c r="L3435" s="67"/>
      <c r="M3435" s="67"/>
      <c r="N3435" s="72"/>
      <c r="O3435" s="72"/>
      <c r="P3435" s="67"/>
      <c r="Q3435" s="67"/>
      <c r="R3435" s="67"/>
      <c r="S3435" s="67"/>
      <c r="T3435" s="32"/>
      <c r="U3435" s="32"/>
      <c r="X3435" s="32"/>
      <c r="Y3435" s="32"/>
      <c r="Z3435" s="32"/>
      <c r="AA3435" s="32"/>
      <c r="AB3435" s="32"/>
    </row>
    <row r="3436" spans="2:28" ht="23.25" customHeight="1" x14ac:dyDescent="0.2">
      <c r="B3436" s="75"/>
      <c r="C3436" s="67"/>
      <c r="D3436" s="75"/>
      <c r="E3436" s="67"/>
      <c r="F3436" s="67"/>
      <c r="G3436" s="70"/>
      <c r="H3436" s="70"/>
      <c r="I3436" s="70"/>
      <c r="J3436" s="70"/>
      <c r="K3436" s="70"/>
      <c r="L3436" s="67"/>
      <c r="M3436" s="67"/>
      <c r="N3436" s="72"/>
      <c r="O3436" s="72"/>
      <c r="P3436" s="67"/>
      <c r="Q3436" s="67"/>
      <c r="R3436" s="67"/>
      <c r="S3436" s="67"/>
      <c r="T3436" s="32"/>
      <c r="U3436" s="32"/>
      <c r="X3436" s="32"/>
      <c r="Y3436" s="32"/>
      <c r="Z3436" s="32"/>
      <c r="AA3436" s="32"/>
      <c r="AB3436" s="32"/>
    </row>
    <row r="3437" spans="2:28" ht="23.25" customHeight="1" x14ac:dyDescent="0.2">
      <c r="B3437" s="75"/>
      <c r="C3437" s="67"/>
      <c r="D3437" s="75"/>
      <c r="E3437" s="67"/>
      <c r="F3437" s="67"/>
      <c r="G3437" s="70"/>
      <c r="H3437" s="70"/>
      <c r="I3437" s="70"/>
      <c r="J3437" s="70"/>
      <c r="K3437" s="70"/>
      <c r="L3437" s="67"/>
      <c r="M3437" s="67"/>
      <c r="N3437" s="72"/>
      <c r="O3437" s="72"/>
      <c r="P3437" s="67"/>
      <c r="Q3437" s="67"/>
      <c r="R3437" s="67"/>
      <c r="S3437" s="67"/>
      <c r="T3437" s="32"/>
      <c r="U3437" s="32"/>
      <c r="X3437" s="32"/>
      <c r="Y3437" s="32"/>
      <c r="Z3437" s="32"/>
      <c r="AA3437" s="32"/>
      <c r="AB3437" s="32"/>
    </row>
    <row r="3438" spans="2:28" ht="23.25" customHeight="1" x14ac:dyDescent="0.2">
      <c r="B3438" s="75"/>
      <c r="C3438" s="67"/>
      <c r="D3438" s="75"/>
      <c r="E3438" s="67"/>
      <c r="F3438" s="67"/>
      <c r="G3438" s="70"/>
      <c r="H3438" s="70"/>
      <c r="I3438" s="70"/>
      <c r="J3438" s="70"/>
      <c r="K3438" s="70"/>
      <c r="L3438" s="67"/>
      <c r="M3438" s="67"/>
      <c r="N3438" s="72"/>
      <c r="O3438" s="72"/>
      <c r="P3438" s="67"/>
      <c r="Q3438" s="67"/>
      <c r="R3438" s="67"/>
      <c r="S3438" s="67"/>
      <c r="T3438" s="32"/>
      <c r="U3438" s="32"/>
      <c r="X3438" s="32"/>
      <c r="Y3438" s="32"/>
      <c r="Z3438" s="32"/>
      <c r="AA3438" s="32"/>
      <c r="AB3438" s="32"/>
    </row>
    <row r="3439" spans="2:28" ht="23.25" customHeight="1" x14ac:dyDescent="0.2">
      <c r="B3439" s="75"/>
      <c r="C3439" s="67"/>
      <c r="D3439" s="75"/>
      <c r="E3439" s="67"/>
      <c r="F3439" s="67"/>
      <c r="G3439" s="70"/>
      <c r="H3439" s="70"/>
      <c r="I3439" s="70"/>
      <c r="J3439" s="70"/>
      <c r="K3439" s="70"/>
      <c r="L3439" s="67"/>
      <c r="M3439" s="67"/>
      <c r="N3439" s="72"/>
      <c r="O3439" s="72"/>
      <c r="P3439" s="67"/>
      <c r="Q3439" s="67"/>
      <c r="R3439" s="67"/>
      <c r="S3439" s="67"/>
      <c r="T3439" s="32"/>
      <c r="U3439" s="32"/>
      <c r="X3439" s="32"/>
      <c r="Y3439" s="32"/>
      <c r="Z3439" s="32"/>
      <c r="AA3439" s="32"/>
      <c r="AB3439" s="32"/>
    </row>
    <row r="3440" spans="2:28" ht="23.25" customHeight="1" x14ac:dyDescent="0.2">
      <c r="B3440" s="75"/>
      <c r="C3440" s="67"/>
      <c r="D3440" s="75"/>
      <c r="E3440" s="67"/>
      <c r="F3440" s="67"/>
      <c r="G3440" s="70"/>
      <c r="H3440" s="70"/>
      <c r="I3440" s="70"/>
      <c r="J3440" s="70"/>
      <c r="K3440" s="70"/>
      <c r="L3440" s="67"/>
      <c r="M3440" s="67"/>
      <c r="N3440" s="72"/>
      <c r="O3440" s="72"/>
      <c r="P3440" s="67"/>
      <c r="Q3440" s="67"/>
      <c r="R3440" s="67"/>
      <c r="S3440" s="67"/>
      <c r="T3440" s="32"/>
      <c r="U3440" s="32"/>
      <c r="X3440" s="32"/>
      <c r="Y3440" s="32"/>
      <c r="Z3440" s="32"/>
      <c r="AA3440" s="32"/>
      <c r="AB3440" s="32"/>
    </row>
    <row r="3441" spans="2:28" ht="23.25" customHeight="1" x14ac:dyDescent="0.2">
      <c r="B3441" s="75"/>
      <c r="C3441" s="67"/>
      <c r="D3441" s="75"/>
      <c r="E3441" s="67"/>
      <c r="F3441" s="67"/>
      <c r="G3441" s="70"/>
      <c r="H3441" s="70"/>
      <c r="I3441" s="70"/>
      <c r="J3441" s="70"/>
      <c r="K3441" s="70"/>
      <c r="L3441" s="67"/>
      <c r="M3441" s="67"/>
      <c r="N3441" s="72"/>
      <c r="O3441" s="72"/>
      <c r="P3441" s="67"/>
      <c r="Q3441" s="67"/>
      <c r="R3441" s="67"/>
      <c r="S3441" s="67"/>
      <c r="T3441" s="32"/>
      <c r="U3441" s="32"/>
      <c r="X3441" s="32"/>
      <c r="Y3441" s="32"/>
      <c r="Z3441" s="32"/>
      <c r="AA3441" s="32"/>
      <c r="AB3441" s="32"/>
    </row>
    <row r="3442" spans="2:28" ht="23.25" customHeight="1" x14ac:dyDescent="0.2">
      <c r="B3442" s="75"/>
      <c r="C3442" s="67"/>
      <c r="D3442" s="75"/>
      <c r="E3442" s="67"/>
      <c r="F3442" s="67"/>
      <c r="G3442" s="70"/>
      <c r="H3442" s="70"/>
      <c r="I3442" s="70"/>
      <c r="J3442" s="70"/>
      <c r="K3442" s="70"/>
      <c r="L3442" s="67"/>
      <c r="M3442" s="67"/>
      <c r="N3442" s="72"/>
      <c r="O3442" s="72"/>
      <c r="P3442" s="67"/>
      <c r="Q3442" s="67"/>
      <c r="R3442" s="67"/>
      <c r="S3442" s="67"/>
      <c r="T3442" s="32"/>
      <c r="U3442" s="32"/>
      <c r="X3442" s="32"/>
      <c r="Y3442" s="32"/>
      <c r="Z3442" s="32"/>
      <c r="AA3442" s="32"/>
      <c r="AB3442" s="32"/>
    </row>
    <row r="3443" spans="2:28" ht="23.25" customHeight="1" x14ac:dyDescent="0.2">
      <c r="B3443" s="75"/>
      <c r="C3443" s="67"/>
      <c r="D3443" s="75"/>
      <c r="E3443" s="67"/>
      <c r="F3443" s="67"/>
      <c r="G3443" s="70"/>
      <c r="H3443" s="70"/>
      <c r="I3443" s="70"/>
      <c r="J3443" s="70"/>
      <c r="K3443" s="70"/>
      <c r="L3443" s="67"/>
      <c r="M3443" s="67"/>
      <c r="N3443" s="72"/>
      <c r="O3443" s="72"/>
      <c r="P3443" s="67"/>
      <c r="Q3443" s="67"/>
      <c r="R3443" s="67"/>
      <c r="S3443" s="67"/>
      <c r="T3443" s="32"/>
      <c r="U3443" s="32"/>
      <c r="X3443" s="32"/>
      <c r="Y3443" s="32"/>
      <c r="Z3443" s="32"/>
      <c r="AA3443" s="32"/>
      <c r="AB3443" s="32"/>
    </row>
    <row r="3444" spans="2:28" ht="23.25" customHeight="1" x14ac:dyDescent="0.2">
      <c r="B3444" s="75"/>
      <c r="C3444" s="67"/>
      <c r="D3444" s="75"/>
      <c r="E3444" s="67"/>
      <c r="F3444" s="67"/>
      <c r="G3444" s="70"/>
      <c r="H3444" s="70"/>
      <c r="I3444" s="70"/>
      <c r="J3444" s="70"/>
      <c r="K3444" s="70"/>
      <c r="L3444" s="67"/>
      <c r="M3444" s="67"/>
      <c r="N3444" s="72"/>
      <c r="O3444" s="72"/>
      <c r="P3444" s="67"/>
      <c r="Q3444" s="67"/>
      <c r="R3444" s="67"/>
      <c r="S3444" s="67"/>
      <c r="T3444" s="32"/>
      <c r="U3444" s="32"/>
      <c r="X3444" s="32"/>
      <c r="Y3444" s="32"/>
      <c r="Z3444" s="32"/>
      <c r="AA3444" s="32"/>
      <c r="AB3444" s="32"/>
    </row>
    <row r="3445" spans="2:28" ht="23.25" customHeight="1" x14ac:dyDescent="0.2">
      <c r="B3445" s="75"/>
      <c r="C3445" s="67"/>
      <c r="D3445" s="75"/>
      <c r="E3445" s="67"/>
      <c r="F3445" s="67"/>
      <c r="G3445" s="70"/>
      <c r="H3445" s="70"/>
      <c r="I3445" s="70"/>
      <c r="J3445" s="70"/>
      <c r="K3445" s="70"/>
      <c r="L3445" s="67"/>
      <c r="M3445" s="67"/>
      <c r="N3445" s="72"/>
      <c r="O3445" s="72"/>
      <c r="P3445" s="67"/>
      <c r="Q3445" s="67"/>
      <c r="R3445" s="67"/>
      <c r="S3445" s="67"/>
      <c r="T3445" s="32"/>
      <c r="U3445" s="32"/>
      <c r="X3445" s="32"/>
      <c r="Y3445" s="32"/>
      <c r="Z3445" s="32"/>
      <c r="AA3445" s="32"/>
      <c r="AB3445" s="32"/>
    </row>
    <row r="3446" spans="2:28" ht="23.25" customHeight="1" x14ac:dyDescent="0.2">
      <c r="B3446" s="75"/>
      <c r="C3446" s="67"/>
      <c r="D3446" s="75"/>
      <c r="E3446" s="67"/>
      <c r="F3446" s="67"/>
      <c r="G3446" s="70"/>
      <c r="H3446" s="70"/>
      <c r="I3446" s="70"/>
      <c r="J3446" s="70"/>
      <c r="K3446" s="70"/>
      <c r="L3446" s="67"/>
      <c r="M3446" s="67"/>
      <c r="N3446" s="72"/>
      <c r="O3446" s="72"/>
      <c r="P3446" s="67"/>
      <c r="Q3446" s="67"/>
      <c r="R3446" s="67"/>
      <c r="S3446" s="67"/>
      <c r="T3446" s="32"/>
      <c r="U3446" s="32"/>
      <c r="X3446" s="32"/>
      <c r="Y3446" s="32"/>
      <c r="Z3446" s="32"/>
      <c r="AA3446" s="32"/>
      <c r="AB3446" s="32"/>
    </row>
    <row r="3447" spans="2:28" ht="23.25" customHeight="1" x14ac:dyDescent="0.2">
      <c r="B3447" s="75"/>
      <c r="C3447" s="67"/>
      <c r="D3447" s="75"/>
      <c r="E3447" s="67"/>
      <c r="F3447" s="67"/>
      <c r="G3447" s="70"/>
      <c r="H3447" s="70"/>
      <c r="I3447" s="70"/>
      <c r="J3447" s="70"/>
      <c r="K3447" s="70"/>
      <c r="L3447" s="67"/>
      <c r="M3447" s="67"/>
      <c r="N3447" s="72"/>
      <c r="O3447" s="72"/>
      <c r="P3447" s="67"/>
      <c r="Q3447" s="67"/>
      <c r="R3447" s="67"/>
      <c r="S3447" s="67"/>
      <c r="T3447" s="32"/>
      <c r="U3447" s="32"/>
      <c r="X3447" s="32"/>
      <c r="Y3447" s="32"/>
      <c r="Z3447" s="32"/>
      <c r="AA3447" s="32"/>
      <c r="AB3447" s="32"/>
    </row>
    <row r="3448" spans="2:28" ht="23.25" customHeight="1" x14ac:dyDescent="0.2">
      <c r="B3448" s="75"/>
      <c r="C3448" s="67"/>
      <c r="D3448" s="75"/>
      <c r="E3448" s="67"/>
      <c r="F3448" s="67"/>
      <c r="G3448" s="70"/>
      <c r="H3448" s="70"/>
      <c r="I3448" s="70"/>
      <c r="J3448" s="70"/>
      <c r="K3448" s="70"/>
      <c r="L3448" s="67"/>
      <c r="M3448" s="67"/>
      <c r="N3448" s="72"/>
      <c r="O3448" s="72"/>
      <c r="P3448" s="67"/>
      <c r="Q3448" s="67"/>
      <c r="R3448" s="67"/>
      <c r="S3448" s="67"/>
      <c r="T3448" s="32"/>
      <c r="U3448" s="32"/>
      <c r="X3448" s="32"/>
      <c r="Y3448" s="32"/>
      <c r="Z3448" s="32"/>
      <c r="AA3448" s="32"/>
      <c r="AB3448" s="32"/>
    </row>
    <row r="3449" spans="2:28" ht="23.25" customHeight="1" x14ac:dyDescent="0.2">
      <c r="B3449" s="75"/>
      <c r="C3449" s="67"/>
      <c r="D3449" s="75"/>
      <c r="E3449" s="67"/>
      <c r="F3449" s="67"/>
      <c r="G3449" s="70"/>
      <c r="H3449" s="70"/>
      <c r="I3449" s="70"/>
      <c r="J3449" s="70"/>
      <c r="K3449" s="70"/>
      <c r="L3449" s="67"/>
      <c r="M3449" s="67"/>
      <c r="N3449" s="72"/>
      <c r="O3449" s="72"/>
      <c r="P3449" s="67"/>
      <c r="Q3449" s="67"/>
      <c r="R3449" s="67"/>
      <c r="S3449" s="67"/>
      <c r="T3449" s="32"/>
      <c r="U3449" s="32"/>
      <c r="X3449" s="32"/>
      <c r="Y3449" s="32"/>
      <c r="Z3449" s="32"/>
      <c r="AA3449" s="32"/>
      <c r="AB3449" s="32"/>
    </row>
    <row r="3450" spans="2:28" ht="23.25" customHeight="1" x14ac:dyDescent="0.2">
      <c r="B3450" s="75"/>
      <c r="C3450" s="67"/>
      <c r="D3450" s="75"/>
      <c r="E3450" s="67"/>
      <c r="F3450" s="67"/>
      <c r="G3450" s="70"/>
      <c r="H3450" s="70"/>
      <c r="I3450" s="70"/>
      <c r="J3450" s="70"/>
      <c r="K3450" s="70"/>
      <c r="L3450" s="67"/>
      <c r="M3450" s="67"/>
      <c r="N3450" s="72"/>
      <c r="O3450" s="72"/>
      <c r="P3450" s="67"/>
      <c r="Q3450" s="67"/>
      <c r="R3450" s="67"/>
      <c r="S3450" s="67"/>
      <c r="T3450" s="32"/>
      <c r="U3450" s="32"/>
      <c r="X3450" s="32"/>
      <c r="Y3450" s="32"/>
      <c r="Z3450" s="32"/>
      <c r="AA3450" s="32"/>
      <c r="AB3450" s="32"/>
    </row>
    <row r="3451" spans="2:28" ht="23.25" customHeight="1" x14ac:dyDescent="0.2">
      <c r="B3451" s="75"/>
      <c r="C3451" s="67"/>
      <c r="D3451" s="75"/>
      <c r="E3451" s="67"/>
      <c r="F3451" s="67"/>
      <c r="G3451" s="70"/>
      <c r="H3451" s="70"/>
      <c r="I3451" s="70"/>
      <c r="J3451" s="70"/>
      <c r="K3451" s="70"/>
      <c r="L3451" s="67"/>
      <c r="M3451" s="67"/>
      <c r="N3451" s="72"/>
      <c r="O3451" s="72"/>
      <c r="P3451" s="67"/>
      <c r="Q3451" s="67"/>
      <c r="R3451" s="67"/>
      <c r="S3451" s="67"/>
      <c r="T3451" s="32"/>
      <c r="U3451" s="32"/>
      <c r="X3451" s="32"/>
      <c r="Y3451" s="32"/>
      <c r="Z3451" s="32"/>
      <c r="AA3451" s="32"/>
      <c r="AB3451" s="32"/>
    </row>
    <row r="3452" spans="2:28" ht="23.25" customHeight="1" x14ac:dyDescent="0.2">
      <c r="B3452" s="75"/>
      <c r="C3452" s="67"/>
      <c r="D3452" s="75"/>
      <c r="E3452" s="67"/>
      <c r="F3452" s="67"/>
      <c r="G3452" s="70"/>
      <c r="H3452" s="70"/>
      <c r="I3452" s="70"/>
      <c r="J3452" s="70"/>
      <c r="K3452" s="70"/>
      <c r="L3452" s="67"/>
      <c r="M3452" s="67"/>
      <c r="N3452" s="72"/>
      <c r="O3452" s="72"/>
      <c r="P3452" s="67"/>
      <c r="Q3452" s="67"/>
      <c r="R3452" s="67"/>
      <c r="S3452" s="67"/>
      <c r="T3452" s="32"/>
      <c r="U3452" s="32"/>
      <c r="X3452" s="32"/>
      <c r="Y3452" s="32"/>
      <c r="Z3452" s="32"/>
      <c r="AA3452" s="32"/>
      <c r="AB3452" s="32"/>
    </row>
    <row r="3453" spans="2:28" ht="23.25" customHeight="1" x14ac:dyDescent="0.2">
      <c r="B3453" s="75"/>
      <c r="C3453" s="67"/>
      <c r="D3453" s="75"/>
      <c r="E3453" s="67"/>
      <c r="F3453" s="67"/>
      <c r="G3453" s="70"/>
      <c r="H3453" s="70"/>
      <c r="I3453" s="70"/>
      <c r="J3453" s="70"/>
      <c r="K3453" s="70"/>
      <c r="L3453" s="67"/>
      <c r="M3453" s="67"/>
      <c r="N3453" s="72"/>
      <c r="O3453" s="72"/>
      <c r="P3453" s="67"/>
      <c r="Q3453" s="67"/>
      <c r="R3453" s="67"/>
      <c r="S3453" s="67"/>
      <c r="T3453" s="32"/>
      <c r="U3453" s="32"/>
      <c r="X3453" s="32"/>
      <c r="Y3453" s="32"/>
      <c r="Z3453" s="32"/>
      <c r="AA3453" s="32"/>
      <c r="AB3453" s="32"/>
    </row>
    <row r="3454" spans="2:28" ht="23.25" customHeight="1" x14ac:dyDescent="0.2">
      <c r="B3454" s="75"/>
      <c r="C3454" s="67"/>
      <c r="D3454" s="75"/>
      <c r="E3454" s="67"/>
      <c r="F3454" s="67"/>
      <c r="G3454" s="70"/>
      <c r="H3454" s="70"/>
      <c r="I3454" s="70"/>
      <c r="J3454" s="70"/>
      <c r="K3454" s="70"/>
      <c r="L3454" s="67"/>
      <c r="M3454" s="67"/>
      <c r="N3454" s="72"/>
      <c r="O3454" s="72"/>
      <c r="P3454" s="67"/>
      <c r="Q3454" s="67"/>
      <c r="R3454" s="67"/>
      <c r="S3454" s="67"/>
      <c r="T3454" s="32"/>
      <c r="U3454" s="32"/>
      <c r="X3454" s="32"/>
      <c r="Y3454" s="32"/>
      <c r="Z3454" s="32"/>
      <c r="AA3454" s="32"/>
      <c r="AB3454" s="32"/>
    </row>
    <row r="3455" spans="2:28" ht="23.25" customHeight="1" x14ac:dyDescent="0.2">
      <c r="B3455" s="75"/>
      <c r="C3455" s="67"/>
      <c r="D3455" s="75"/>
      <c r="E3455" s="67"/>
      <c r="F3455" s="67"/>
      <c r="G3455" s="70"/>
      <c r="H3455" s="70"/>
      <c r="I3455" s="70"/>
      <c r="J3455" s="70"/>
      <c r="K3455" s="70"/>
      <c r="L3455" s="67"/>
      <c r="M3455" s="67"/>
      <c r="N3455" s="72"/>
      <c r="O3455" s="72"/>
      <c r="P3455" s="67"/>
      <c r="Q3455" s="67"/>
      <c r="R3455" s="67"/>
      <c r="S3455" s="67"/>
      <c r="T3455" s="32"/>
      <c r="U3455" s="32"/>
      <c r="X3455" s="32"/>
      <c r="Y3455" s="32"/>
      <c r="Z3455" s="32"/>
      <c r="AA3455" s="32"/>
      <c r="AB3455" s="32"/>
    </row>
    <row r="3456" spans="2:28" ht="23.25" customHeight="1" x14ac:dyDescent="0.2">
      <c r="B3456" s="75"/>
      <c r="C3456" s="67"/>
      <c r="D3456" s="75"/>
      <c r="E3456" s="67"/>
      <c r="F3456" s="67"/>
      <c r="G3456" s="70"/>
      <c r="H3456" s="70"/>
      <c r="I3456" s="70"/>
      <c r="J3456" s="70"/>
      <c r="K3456" s="70"/>
      <c r="L3456" s="67"/>
      <c r="M3456" s="67"/>
      <c r="N3456" s="72"/>
      <c r="O3456" s="72"/>
      <c r="P3456" s="67"/>
      <c r="Q3456" s="67"/>
      <c r="R3456" s="67"/>
      <c r="S3456" s="67"/>
      <c r="T3456" s="32"/>
      <c r="U3456" s="32"/>
      <c r="X3456" s="32"/>
      <c r="Y3456" s="32"/>
      <c r="Z3456" s="32"/>
      <c r="AA3456" s="32"/>
      <c r="AB3456" s="32"/>
    </row>
    <row r="3457" spans="2:28" ht="23.25" customHeight="1" x14ac:dyDescent="0.2">
      <c r="B3457" s="75"/>
      <c r="C3457" s="67"/>
      <c r="D3457" s="75"/>
      <c r="E3457" s="67"/>
      <c r="F3457" s="67"/>
      <c r="G3457" s="70"/>
      <c r="H3457" s="70"/>
      <c r="I3457" s="70"/>
      <c r="J3457" s="70"/>
      <c r="K3457" s="70"/>
      <c r="L3457" s="67"/>
      <c r="M3457" s="67"/>
      <c r="N3457" s="72"/>
      <c r="O3457" s="72"/>
      <c r="P3457" s="67"/>
      <c r="Q3457" s="67"/>
      <c r="R3457" s="67"/>
      <c r="S3457" s="67"/>
      <c r="T3457" s="32"/>
      <c r="U3457" s="32"/>
      <c r="X3457" s="32"/>
      <c r="Y3457" s="32"/>
      <c r="Z3457" s="32"/>
      <c r="AA3457" s="32"/>
      <c r="AB3457" s="32"/>
    </row>
    <row r="3458" spans="2:28" ht="23.25" customHeight="1" x14ac:dyDescent="0.2">
      <c r="B3458" s="75"/>
      <c r="C3458" s="67"/>
      <c r="D3458" s="75"/>
      <c r="E3458" s="67"/>
      <c r="F3458" s="67"/>
      <c r="G3458" s="70"/>
      <c r="H3458" s="70"/>
      <c r="I3458" s="70"/>
      <c r="J3458" s="70"/>
      <c r="K3458" s="70"/>
      <c r="L3458" s="67"/>
      <c r="M3458" s="67"/>
      <c r="N3458" s="72"/>
      <c r="O3458" s="72"/>
      <c r="P3458" s="67"/>
      <c r="Q3458" s="67"/>
      <c r="R3458" s="67"/>
      <c r="S3458" s="67"/>
      <c r="T3458" s="32"/>
      <c r="U3458" s="32"/>
      <c r="X3458" s="32"/>
      <c r="Y3458" s="32"/>
      <c r="Z3458" s="32"/>
      <c r="AA3458" s="32"/>
      <c r="AB3458" s="32"/>
    </row>
    <row r="3459" spans="2:28" ht="23.25" customHeight="1" x14ac:dyDescent="0.2">
      <c r="B3459" s="75"/>
      <c r="C3459" s="67"/>
      <c r="D3459" s="75"/>
      <c r="E3459" s="67"/>
      <c r="F3459" s="67"/>
      <c r="G3459" s="70"/>
      <c r="H3459" s="70"/>
      <c r="I3459" s="70"/>
      <c r="J3459" s="70"/>
      <c r="K3459" s="70"/>
      <c r="L3459" s="67"/>
      <c r="M3459" s="67"/>
      <c r="N3459" s="72"/>
      <c r="O3459" s="72"/>
      <c r="P3459" s="67"/>
      <c r="Q3459" s="67"/>
      <c r="R3459" s="67"/>
      <c r="S3459" s="67"/>
      <c r="T3459" s="32"/>
      <c r="U3459" s="32"/>
      <c r="X3459" s="32"/>
      <c r="Y3459" s="32"/>
      <c r="Z3459" s="32"/>
      <c r="AA3459" s="32"/>
      <c r="AB3459" s="32"/>
    </row>
    <row r="3460" spans="2:28" ht="23.25" customHeight="1" x14ac:dyDescent="0.2">
      <c r="B3460" s="75"/>
      <c r="C3460" s="67"/>
      <c r="D3460" s="75"/>
      <c r="E3460" s="67"/>
      <c r="F3460" s="67"/>
      <c r="G3460" s="70"/>
      <c r="H3460" s="70"/>
      <c r="I3460" s="70"/>
      <c r="J3460" s="70"/>
      <c r="K3460" s="70"/>
      <c r="L3460" s="67"/>
      <c r="M3460" s="67"/>
      <c r="N3460" s="72"/>
      <c r="O3460" s="72"/>
      <c r="P3460" s="67"/>
      <c r="Q3460" s="67"/>
      <c r="R3460" s="67"/>
      <c r="S3460" s="67"/>
      <c r="T3460" s="32"/>
      <c r="U3460" s="32"/>
      <c r="X3460" s="32"/>
      <c r="Y3460" s="32"/>
      <c r="Z3460" s="32"/>
      <c r="AA3460" s="32"/>
      <c r="AB3460" s="32"/>
    </row>
    <row r="3461" spans="2:28" ht="23.25" customHeight="1" x14ac:dyDescent="0.2">
      <c r="B3461" s="75"/>
      <c r="C3461" s="67"/>
      <c r="D3461" s="75"/>
      <c r="E3461" s="67"/>
      <c r="F3461" s="67"/>
      <c r="G3461" s="70"/>
      <c r="H3461" s="70"/>
      <c r="I3461" s="70"/>
      <c r="J3461" s="70"/>
      <c r="K3461" s="70"/>
      <c r="L3461" s="67"/>
      <c r="M3461" s="67"/>
      <c r="N3461" s="72"/>
      <c r="O3461" s="72"/>
      <c r="P3461" s="67"/>
      <c r="Q3461" s="67"/>
      <c r="R3461" s="67"/>
      <c r="S3461" s="67"/>
      <c r="T3461" s="32"/>
      <c r="U3461" s="32"/>
      <c r="X3461" s="32"/>
      <c r="Y3461" s="32"/>
      <c r="Z3461" s="32"/>
      <c r="AA3461" s="32"/>
      <c r="AB3461" s="32"/>
    </row>
    <row r="3462" spans="2:28" ht="23.25" customHeight="1" x14ac:dyDescent="0.2">
      <c r="B3462" s="75"/>
      <c r="C3462" s="67"/>
      <c r="D3462" s="75"/>
      <c r="E3462" s="67"/>
      <c r="F3462" s="67"/>
      <c r="G3462" s="70"/>
      <c r="H3462" s="70"/>
      <c r="I3462" s="70"/>
      <c r="J3462" s="70"/>
      <c r="K3462" s="70"/>
      <c r="L3462" s="67"/>
      <c r="M3462" s="67"/>
      <c r="N3462" s="72"/>
      <c r="O3462" s="72"/>
      <c r="P3462" s="67"/>
      <c r="Q3462" s="67"/>
      <c r="R3462" s="67"/>
      <c r="S3462" s="67"/>
      <c r="T3462" s="32"/>
      <c r="U3462" s="32"/>
      <c r="X3462" s="32"/>
      <c r="Y3462" s="32"/>
      <c r="Z3462" s="32"/>
      <c r="AA3462" s="32"/>
      <c r="AB3462" s="32"/>
    </row>
    <row r="3463" spans="2:28" ht="23.25" customHeight="1" x14ac:dyDescent="0.2">
      <c r="B3463" s="75"/>
      <c r="C3463" s="67"/>
      <c r="D3463" s="75"/>
      <c r="E3463" s="67"/>
      <c r="F3463" s="67"/>
      <c r="G3463" s="70"/>
      <c r="H3463" s="70"/>
      <c r="I3463" s="70"/>
      <c r="J3463" s="70"/>
      <c r="K3463" s="70"/>
      <c r="L3463" s="67"/>
      <c r="M3463" s="67"/>
      <c r="N3463" s="72"/>
      <c r="O3463" s="72"/>
      <c r="P3463" s="67"/>
      <c r="Q3463" s="67"/>
      <c r="R3463" s="67"/>
      <c r="S3463" s="67"/>
      <c r="T3463" s="32"/>
      <c r="U3463" s="32"/>
      <c r="X3463" s="32"/>
      <c r="Y3463" s="32"/>
      <c r="Z3463" s="32"/>
      <c r="AA3463" s="32"/>
      <c r="AB3463" s="32"/>
    </row>
    <row r="3464" spans="2:28" ht="23.25" customHeight="1" x14ac:dyDescent="0.2">
      <c r="B3464" s="75"/>
      <c r="C3464" s="67"/>
      <c r="D3464" s="75"/>
      <c r="E3464" s="67"/>
      <c r="F3464" s="67"/>
      <c r="G3464" s="70"/>
      <c r="H3464" s="70"/>
      <c r="I3464" s="70"/>
      <c r="J3464" s="70"/>
      <c r="K3464" s="70"/>
      <c r="L3464" s="67"/>
      <c r="M3464" s="67"/>
      <c r="N3464" s="72"/>
      <c r="O3464" s="72"/>
      <c r="P3464" s="67"/>
      <c r="Q3464" s="67"/>
      <c r="R3464" s="67"/>
      <c r="S3464" s="67"/>
      <c r="T3464" s="32"/>
      <c r="U3464" s="32"/>
      <c r="X3464" s="32"/>
      <c r="Y3464" s="32"/>
      <c r="Z3464" s="32"/>
      <c r="AA3464" s="32"/>
      <c r="AB3464" s="32"/>
    </row>
    <row r="3465" spans="2:28" ht="23.25" customHeight="1" x14ac:dyDescent="0.2">
      <c r="B3465" s="75"/>
      <c r="C3465" s="67"/>
      <c r="D3465" s="75"/>
      <c r="E3465" s="67"/>
      <c r="F3465" s="67"/>
      <c r="G3465" s="70"/>
      <c r="H3465" s="70"/>
      <c r="I3465" s="70"/>
      <c r="J3465" s="70"/>
      <c r="K3465" s="70"/>
      <c r="L3465" s="67"/>
      <c r="M3465" s="67"/>
      <c r="N3465" s="72"/>
      <c r="O3465" s="72"/>
      <c r="P3465" s="67"/>
      <c r="Q3465" s="67"/>
      <c r="R3465" s="67"/>
      <c r="S3465" s="67"/>
      <c r="T3465" s="32"/>
      <c r="U3465" s="32"/>
      <c r="X3465" s="32"/>
      <c r="Y3465" s="32"/>
      <c r="Z3465" s="32"/>
      <c r="AA3465" s="32"/>
      <c r="AB3465" s="32"/>
    </row>
    <row r="3466" spans="2:28" ht="23.25" customHeight="1" x14ac:dyDescent="0.2">
      <c r="B3466" s="75"/>
      <c r="C3466" s="67"/>
      <c r="D3466" s="75"/>
      <c r="E3466" s="67"/>
      <c r="F3466" s="67"/>
      <c r="G3466" s="70"/>
      <c r="H3466" s="70"/>
      <c r="I3466" s="70"/>
      <c r="J3466" s="70"/>
      <c r="K3466" s="70"/>
      <c r="L3466" s="67"/>
      <c r="M3466" s="67"/>
      <c r="N3466" s="72"/>
      <c r="O3466" s="72"/>
      <c r="P3466" s="67"/>
      <c r="Q3466" s="67"/>
      <c r="R3466" s="67"/>
      <c r="S3466" s="67"/>
      <c r="T3466" s="32"/>
      <c r="U3466" s="32"/>
      <c r="X3466" s="32"/>
      <c r="Y3466" s="32"/>
      <c r="Z3466" s="32"/>
      <c r="AA3466" s="32"/>
      <c r="AB3466" s="32"/>
    </row>
    <row r="3467" spans="2:28" ht="23.25" customHeight="1" x14ac:dyDescent="0.2">
      <c r="B3467" s="75"/>
      <c r="C3467" s="67"/>
      <c r="D3467" s="75"/>
      <c r="E3467" s="67"/>
      <c r="F3467" s="67"/>
      <c r="G3467" s="70"/>
      <c r="H3467" s="70"/>
      <c r="I3467" s="70"/>
      <c r="J3467" s="70"/>
      <c r="K3467" s="70"/>
      <c r="L3467" s="67"/>
      <c r="M3467" s="67"/>
      <c r="N3467" s="72"/>
      <c r="O3467" s="72"/>
      <c r="P3467" s="67"/>
      <c r="Q3467" s="67"/>
      <c r="R3467" s="67"/>
      <c r="S3467" s="67"/>
      <c r="T3467" s="32"/>
      <c r="U3467" s="32"/>
      <c r="X3467" s="32"/>
      <c r="Y3467" s="32"/>
      <c r="Z3467" s="32"/>
      <c r="AA3467" s="32"/>
      <c r="AB3467" s="32"/>
    </row>
    <row r="3468" spans="2:28" ht="23.25" customHeight="1" x14ac:dyDescent="0.2">
      <c r="B3468" s="75"/>
      <c r="C3468" s="67"/>
      <c r="D3468" s="75"/>
      <c r="E3468" s="67"/>
      <c r="F3468" s="67"/>
      <c r="G3468" s="70"/>
      <c r="H3468" s="70"/>
      <c r="I3468" s="70"/>
      <c r="J3468" s="70"/>
      <c r="K3468" s="70"/>
      <c r="L3468" s="67"/>
      <c r="M3468" s="67"/>
      <c r="N3468" s="72"/>
      <c r="O3468" s="72"/>
      <c r="P3468" s="67"/>
      <c r="Q3468" s="67"/>
      <c r="R3468" s="67"/>
      <c r="S3468" s="67"/>
      <c r="T3468" s="32"/>
      <c r="U3468" s="32"/>
      <c r="X3468" s="32"/>
      <c r="Y3468" s="32"/>
      <c r="Z3468" s="32"/>
      <c r="AA3468" s="32"/>
      <c r="AB3468" s="32"/>
    </row>
    <row r="3469" spans="2:28" ht="23.25" customHeight="1" x14ac:dyDescent="0.2">
      <c r="B3469" s="75"/>
      <c r="C3469" s="67"/>
      <c r="D3469" s="75"/>
      <c r="E3469" s="67"/>
      <c r="F3469" s="67"/>
      <c r="G3469" s="70"/>
      <c r="H3469" s="70"/>
      <c r="I3469" s="70"/>
      <c r="J3469" s="70"/>
      <c r="K3469" s="70"/>
      <c r="L3469" s="67"/>
      <c r="M3469" s="67"/>
      <c r="N3469" s="72"/>
      <c r="O3469" s="72"/>
      <c r="P3469" s="67"/>
      <c r="Q3469" s="67"/>
      <c r="R3469" s="67"/>
      <c r="S3469" s="67"/>
      <c r="T3469" s="32"/>
      <c r="U3469" s="32"/>
      <c r="X3469" s="32"/>
      <c r="Y3469" s="32"/>
      <c r="Z3469" s="32"/>
      <c r="AA3469" s="32"/>
      <c r="AB3469" s="32"/>
    </row>
    <row r="3470" spans="2:28" ht="23.25" customHeight="1" x14ac:dyDescent="0.2">
      <c r="B3470" s="75"/>
      <c r="C3470" s="67"/>
      <c r="D3470" s="75"/>
      <c r="E3470" s="67"/>
      <c r="F3470" s="67"/>
      <c r="G3470" s="70"/>
      <c r="H3470" s="70"/>
      <c r="I3470" s="70"/>
      <c r="J3470" s="70"/>
      <c r="K3470" s="70"/>
      <c r="L3470" s="67"/>
      <c r="M3470" s="67"/>
      <c r="N3470" s="72"/>
      <c r="O3470" s="72"/>
      <c r="P3470" s="67"/>
      <c r="Q3470" s="67"/>
      <c r="R3470" s="67"/>
      <c r="S3470" s="67"/>
      <c r="T3470" s="32"/>
      <c r="U3470" s="32"/>
      <c r="X3470" s="32"/>
      <c r="Y3470" s="32"/>
      <c r="Z3470" s="32"/>
      <c r="AA3470" s="32"/>
      <c r="AB3470" s="32"/>
    </row>
    <row r="3471" spans="2:28" ht="23.25" customHeight="1" x14ac:dyDescent="0.2">
      <c r="B3471" s="75"/>
      <c r="C3471" s="67"/>
      <c r="D3471" s="75"/>
      <c r="E3471" s="67"/>
      <c r="F3471" s="67"/>
      <c r="G3471" s="70"/>
      <c r="H3471" s="70"/>
      <c r="I3471" s="70"/>
      <c r="J3471" s="70"/>
      <c r="K3471" s="70"/>
      <c r="L3471" s="67"/>
      <c r="M3471" s="67"/>
      <c r="N3471" s="72"/>
      <c r="O3471" s="72"/>
      <c r="P3471" s="67"/>
      <c r="Q3471" s="67"/>
      <c r="R3471" s="67"/>
      <c r="S3471" s="67"/>
      <c r="T3471" s="32"/>
      <c r="U3471" s="32"/>
      <c r="X3471" s="32"/>
      <c r="Y3471" s="32"/>
      <c r="Z3471" s="32"/>
      <c r="AA3471" s="32"/>
      <c r="AB3471" s="32"/>
    </row>
    <row r="3472" spans="2:28" ht="23.25" customHeight="1" x14ac:dyDescent="0.2">
      <c r="B3472" s="75"/>
      <c r="C3472" s="67"/>
      <c r="D3472" s="75"/>
      <c r="E3472" s="67"/>
      <c r="F3472" s="67"/>
      <c r="G3472" s="70"/>
      <c r="H3472" s="70"/>
      <c r="I3472" s="70"/>
      <c r="J3472" s="70"/>
      <c r="K3472" s="70"/>
      <c r="L3472" s="67"/>
      <c r="M3472" s="67"/>
      <c r="N3472" s="72"/>
      <c r="O3472" s="72"/>
      <c r="P3472" s="67"/>
      <c r="Q3472" s="67"/>
      <c r="R3472" s="67"/>
      <c r="S3472" s="67"/>
      <c r="T3472" s="32"/>
      <c r="U3472" s="32"/>
      <c r="X3472" s="32"/>
      <c r="Y3472" s="32"/>
      <c r="Z3472" s="32"/>
      <c r="AA3472" s="32"/>
      <c r="AB3472" s="32"/>
    </row>
    <row r="3473" spans="2:28" ht="23.25" customHeight="1" x14ac:dyDescent="0.2">
      <c r="B3473" s="75"/>
      <c r="C3473" s="67"/>
      <c r="D3473" s="75"/>
      <c r="E3473" s="67"/>
      <c r="F3473" s="67"/>
      <c r="G3473" s="70"/>
      <c r="H3473" s="70"/>
      <c r="I3473" s="70"/>
      <c r="J3473" s="70"/>
      <c r="K3473" s="70"/>
      <c r="L3473" s="67"/>
      <c r="M3473" s="67"/>
      <c r="N3473" s="72"/>
      <c r="O3473" s="72"/>
      <c r="P3473" s="67"/>
      <c r="Q3473" s="67"/>
      <c r="R3473" s="67"/>
      <c r="S3473" s="67"/>
      <c r="T3473" s="32"/>
      <c r="U3473" s="32"/>
      <c r="X3473" s="32"/>
      <c r="Y3473" s="32"/>
      <c r="Z3473" s="32"/>
      <c r="AA3473" s="32"/>
      <c r="AB3473" s="32"/>
    </row>
    <row r="3474" spans="2:28" ht="23.25" customHeight="1" x14ac:dyDescent="0.2">
      <c r="B3474" s="75"/>
      <c r="C3474" s="67"/>
      <c r="D3474" s="75"/>
      <c r="E3474" s="67"/>
      <c r="F3474" s="67"/>
      <c r="G3474" s="70"/>
      <c r="H3474" s="70"/>
      <c r="I3474" s="70"/>
      <c r="J3474" s="70"/>
      <c r="K3474" s="70"/>
      <c r="L3474" s="67"/>
      <c r="M3474" s="67"/>
      <c r="N3474" s="72"/>
      <c r="O3474" s="72"/>
      <c r="P3474" s="67"/>
      <c r="Q3474" s="67"/>
      <c r="R3474" s="67"/>
      <c r="S3474" s="67"/>
      <c r="T3474" s="32"/>
      <c r="U3474" s="32"/>
      <c r="X3474" s="32"/>
      <c r="Y3474" s="32"/>
      <c r="Z3474" s="32"/>
      <c r="AA3474" s="32"/>
      <c r="AB3474" s="32"/>
    </row>
    <row r="3475" spans="2:28" ht="23.25" customHeight="1" x14ac:dyDescent="0.2">
      <c r="B3475" s="75"/>
      <c r="C3475" s="67"/>
      <c r="D3475" s="75"/>
      <c r="E3475" s="67"/>
      <c r="F3475" s="67"/>
      <c r="G3475" s="70"/>
      <c r="H3475" s="70"/>
      <c r="I3475" s="70"/>
      <c r="J3475" s="70"/>
      <c r="K3475" s="70"/>
      <c r="L3475" s="67"/>
      <c r="M3475" s="67"/>
      <c r="N3475" s="72"/>
      <c r="O3475" s="72"/>
      <c r="P3475" s="67"/>
      <c r="Q3475" s="67"/>
      <c r="R3475" s="67"/>
      <c r="S3475" s="67"/>
      <c r="T3475" s="32"/>
      <c r="U3475" s="32"/>
      <c r="X3475" s="32"/>
      <c r="Y3475" s="32"/>
      <c r="Z3475" s="32"/>
      <c r="AA3475" s="32"/>
      <c r="AB3475" s="32"/>
    </row>
    <row r="3476" spans="2:28" ht="23.25" customHeight="1" x14ac:dyDescent="0.2">
      <c r="B3476" s="75"/>
      <c r="C3476" s="67"/>
      <c r="D3476" s="75"/>
      <c r="E3476" s="67"/>
      <c r="F3476" s="67"/>
      <c r="G3476" s="70"/>
      <c r="H3476" s="70"/>
      <c r="I3476" s="70"/>
      <c r="J3476" s="70"/>
      <c r="K3476" s="70"/>
      <c r="L3476" s="67"/>
      <c r="M3476" s="67"/>
      <c r="N3476" s="72"/>
      <c r="O3476" s="72"/>
      <c r="P3476" s="67"/>
      <c r="Q3476" s="67"/>
      <c r="R3476" s="67"/>
      <c r="S3476" s="67"/>
      <c r="T3476" s="32"/>
      <c r="U3476" s="32"/>
      <c r="X3476" s="32"/>
      <c r="Y3476" s="32"/>
      <c r="Z3476" s="32"/>
      <c r="AA3476" s="32"/>
      <c r="AB3476" s="32"/>
    </row>
    <row r="3477" spans="2:28" ht="23.25" customHeight="1" x14ac:dyDescent="0.2">
      <c r="B3477" s="75"/>
      <c r="C3477" s="67"/>
      <c r="D3477" s="75"/>
      <c r="E3477" s="67"/>
      <c r="F3477" s="67"/>
      <c r="G3477" s="70"/>
      <c r="H3477" s="70"/>
      <c r="I3477" s="70"/>
      <c r="J3477" s="70"/>
      <c r="K3477" s="70"/>
      <c r="L3477" s="67"/>
      <c r="M3477" s="67"/>
      <c r="N3477" s="72"/>
      <c r="O3477" s="72"/>
      <c r="P3477" s="67"/>
      <c r="Q3477" s="67"/>
      <c r="R3477" s="67"/>
      <c r="S3477" s="67"/>
      <c r="T3477" s="32"/>
      <c r="U3477" s="32"/>
      <c r="X3477" s="32"/>
      <c r="Y3477" s="32"/>
      <c r="Z3477" s="32"/>
      <c r="AA3477" s="32"/>
      <c r="AB3477" s="32"/>
    </row>
    <row r="3478" spans="2:28" ht="23.25" customHeight="1" x14ac:dyDescent="0.2">
      <c r="B3478" s="75"/>
      <c r="C3478" s="67"/>
      <c r="D3478" s="75"/>
      <c r="E3478" s="67"/>
      <c r="F3478" s="67"/>
      <c r="G3478" s="70"/>
      <c r="H3478" s="70"/>
      <c r="I3478" s="70"/>
      <c r="J3478" s="70"/>
      <c r="K3478" s="70"/>
      <c r="L3478" s="67"/>
      <c r="M3478" s="67"/>
      <c r="N3478" s="72"/>
      <c r="O3478" s="72"/>
      <c r="P3478" s="67"/>
      <c r="Q3478" s="67"/>
      <c r="R3478" s="67"/>
      <c r="S3478" s="67"/>
      <c r="T3478" s="32"/>
      <c r="U3478" s="32"/>
      <c r="X3478" s="32"/>
      <c r="Y3478" s="32"/>
      <c r="Z3478" s="32"/>
      <c r="AA3478" s="32"/>
      <c r="AB3478" s="32"/>
    </row>
    <row r="3479" spans="2:28" ht="23.25" customHeight="1" x14ac:dyDescent="0.2">
      <c r="B3479" s="75"/>
      <c r="C3479" s="67"/>
      <c r="D3479" s="75"/>
      <c r="E3479" s="67"/>
      <c r="F3479" s="67"/>
      <c r="G3479" s="70"/>
      <c r="H3479" s="70"/>
      <c r="I3479" s="70"/>
      <c r="J3479" s="70"/>
      <c r="K3479" s="70"/>
      <c r="L3479" s="67"/>
      <c r="M3479" s="67"/>
      <c r="N3479" s="72"/>
      <c r="O3479" s="72"/>
      <c r="P3479" s="67"/>
      <c r="Q3479" s="67"/>
      <c r="R3479" s="67"/>
      <c r="S3479" s="67"/>
      <c r="T3479" s="32"/>
      <c r="U3479" s="32"/>
      <c r="X3479" s="32"/>
      <c r="Y3479" s="32"/>
      <c r="Z3479" s="32"/>
      <c r="AA3479" s="32"/>
      <c r="AB3479" s="32"/>
    </row>
    <row r="3480" spans="2:28" ht="23.25" customHeight="1" x14ac:dyDescent="0.2">
      <c r="B3480" s="75"/>
      <c r="C3480" s="67"/>
      <c r="D3480" s="75"/>
      <c r="E3480" s="67"/>
      <c r="F3480" s="67"/>
      <c r="G3480" s="70"/>
      <c r="H3480" s="70"/>
      <c r="I3480" s="70"/>
      <c r="J3480" s="70"/>
      <c r="K3480" s="70"/>
      <c r="L3480" s="67"/>
      <c r="M3480" s="67"/>
      <c r="N3480" s="72"/>
      <c r="O3480" s="72"/>
      <c r="P3480" s="67"/>
      <c r="Q3480" s="67"/>
      <c r="R3480" s="67"/>
      <c r="S3480" s="67"/>
      <c r="T3480" s="32"/>
      <c r="U3480" s="32"/>
      <c r="X3480" s="32"/>
      <c r="Y3480" s="32"/>
      <c r="Z3480" s="32"/>
      <c r="AA3480" s="32"/>
      <c r="AB3480" s="32"/>
    </row>
    <row r="3481" spans="2:28" ht="23.25" customHeight="1" x14ac:dyDescent="0.2">
      <c r="B3481" s="75"/>
      <c r="C3481" s="67"/>
      <c r="D3481" s="75"/>
      <c r="E3481" s="67"/>
      <c r="F3481" s="67"/>
      <c r="G3481" s="70"/>
      <c r="H3481" s="70"/>
      <c r="I3481" s="70"/>
      <c r="J3481" s="70"/>
      <c r="K3481" s="70"/>
      <c r="L3481" s="67"/>
      <c r="M3481" s="67"/>
      <c r="N3481" s="72"/>
      <c r="O3481" s="72"/>
      <c r="P3481" s="67"/>
      <c r="Q3481" s="67"/>
      <c r="R3481" s="67"/>
      <c r="S3481" s="67"/>
      <c r="T3481" s="32"/>
      <c r="U3481" s="32"/>
      <c r="X3481" s="32"/>
      <c r="Y3481" s="32"/>
      <c r="Z3481" s="32"/>
      <c r="AA3481" s="32"/>
      <c r="AB3481" s="32"/>
    </row>
    <row r="3482" spans="2:28" ht="23.25" customHeight="1" x14ac:dyDescent="0.2">
      <c r="B3482" s="75"/>
      <c r="C3482" s="67"/>
      <c r="D3482" s="75"/>
      <c r="E3482" s="67"/>
      <c r="F3482" s="67"/>
      <c r="G3482" s="70"/>
      <c r="H3482" s="70"/>
      <c r="I3482" s="70"/>
      <c r="J3482" s="70"/>
      <c r="K3482" s="70"/>
      <c r="L3482" s="67"/>
      <c r="M3482" s="67"/>
      <c r="N3482" s="72"/>
      <c r="O3482" s="72"/>
      <c r="P3482" s="67"/>
      <c r="Q3482" s="67"/>
      <c r="R3482" s="67"/>
      <c r="S3482" s="67"/>
      <c r="T3482" s="32"/>
      <c r="U3482" s="32"/>
      <c r="X3482" s="32"/>
      <c r="Y3482" s="32"/>
      <c r="Z3482" s="32"/>
      <c r="AA3482" s="32"/>
      <c r="AB3482" s="32"/>
    </row>
    <row r="3483" spans="2:28" ht="23.25" customHeight="1" x14ac:dyDescent="0.2">
      <c r="B3483" s="75"/>
      <c r="C3483" s="67"/>
      <c r="D3483" s="75"/>
      <c r="E3483" s="67"/>
      <c r="F3483" s="67"/>
      <c r="G3483" s="70"/>
      <c r="H3483" s="70"/>
      <c r="I3483" s="70"/>
      <c r="J3483" s="70"/>
      <c r="K3483" s="70"/>
      <c r="L3483" s="67"/>
      <c r="M3483" s="67"/>
      <c r="N3483" s="72"/>
      <c r="O3483" s="72"/>
      <c r="P3483" s="67"/>
      <c r="Q3483" s="67"/>
      <c r="R3483" s="67"/>
      <c r="S3483" s="67"/>
      <c r="T3483" s="32"/>
      <c r="U3483" s="32"/>
      <c r="X3483" s="32"/>
      <c r="Y3483" s="32"/>
      <c r="Z3483" s="32"/>
      <c r="AA3483" s="32"/>
      <c r="AB3483" s="32"/>
    </row>
    <row r="3484" spans="2:28" ht="23.25" customHeight="1" x14ac:dyDescent="0.2">
      <c r="B3484" s="75"/>
      <c r="C3484" s="67"/>
      <c r="D3484" s="75"/>
      <c r="E3484" s="67"/>
      <c r="F3484" s="67"/>
      <c r="G3484" s="70"/>
      <c r="H3484" s="70"/>
      <c r="I3484" s="70"/>
      <c r="J3484" s="70"/>
      <c r="K3484" s="70"/>
      <c r="L3484" s="67"/>
      <c r="M3484" s="67"/>
      <c r="N3484" s="72"/>
      <c r="O3484" s="72"/>
      <c r="P3484" s="67"/>
      <c r="Q3484" s="67"/>
      <c r="R3484" s="67"/>
      <c r="S3484" s="67"/>
      <c r="T3484" s="32"/>
      <c r="U3484" s="32"/>
      <c r="X3484" s="32"/>
      <c r="Y3484" s="32"/>
      <c r="Z3484" s="32"/>
      <c r="AA3484" s="32"/>
      <c r="AB3484" s="32"/>
    </row>
    <row r="3485" spans="2:28" ht="23.25" customHeight="1" x14ac:dyDescent="0.2">
      <c r="B3485" s="75"/>
      <c r="C3485" s="67"/>
      <c r="D3485" s="75"/>
      <c r="E3485" s="67"/>
      <c r="F3485" s="67"/>
      <c r="G3485" s="70"/>
      <c r="H3485" s="70"/>
      <c r="I3485" s="70"/>
      <c r="J3485" s="70"/>
      <c r="K3485" s="70"/>
      <c r="L3485" s="67"/>
      <c r="M3485" s="67"/>
      <c r="N3485" s="72"/>
      <c r="O3485" s="72"/>
      <c r="P3485" s="67"/>
      <c r="Q3485" s="67"/>
      <c r="R3485" s="67"/>
      <c r="S3485" s="67"/>
      <c r="T3485" s="32"/>
      <c r="U3485" s="32"/>
      <c r="X3485" s="32"/>
      <c r="Y3485" s="32"/>
      <c r="Z3485" s="32"/>
      <c r="AA3485" s="32"/>
      <c r="AB3485" s="32"/>
    </row>
    <row r="3486" spans="2:28" ht="23.25" customHeight="1" x14ac:dyDescent="0.2">
      <c r="B3486" s="75"/>
      <c r="C3486" s="67"/>
      <c r="D3486" s="75"/>
      <c r="E3486" s="67"/>
      <c r="F3486" s="67"/>
      <c r="G3486" s="70"/>
      <c r="H3486" s="70"/>
      <c r="I3486" s="70"/>
      <c r="J3486" s="70"/>
      <c r="K3486" s="70"/>
      <c r="L3486" s="67"/>
      <c r="M3486" s="67"/>
      <c r="N3486" s="72"/>
      <c r="O3486" s="72"/>
      <c r="P3486" s="67"/>
      <c r="Q3486" s="67"/>
      <c r="R3486" s="67"/>
      <c r="S3486" s="67"/>
      <c r="T3486" s="32"/>
      <c r="U3486" s="32"/>
      <c r="X3486" s="32"/>
      <c r="Y3486" s="32"/>
      <c r="Z3486" s="32"/>
      <c r="AA3486" s="32"/>
      <c r="AB3486" s="32"/>
    </row>
    <row r="3487" spans="2:28" ht="23.25" customHeight="1" x14ac:dyDescent="0.2">
      <c r="B3487" s="75"/>
      <c r="C3487" s="67"/>
      <c r="D3487" s="75"/>
      <c r="E3487" s="67"/>
      <c r="F3487" s="67"/>
      <c r="G3487" s="70"/>
      <c r="H3487" s="70"/>
      <c r="I3487" s="70"/>
      <c r="J3487" s="70"/>
      <c r="K3487" s="70"/>
      <c r="L3487" s="67"/>
      <c r="M3487" s="67"/>
      <c r="N3487" s="72"/>
      <c r="O3487" s="72"/>
      <c r="P3487" s="67"/>
      <c r="Q3487" s="67"/>
      <c r="R3487" s="67"/>
      <c r="S3487" s="67"/>
      <c r="T3487" s="32"/>
      <c r="U3487" s="32"/>
      <c r="X3487" s="32"/>
      <c r="Y3487" s="32"/>
      <c r="Z3487" s="32"/>
      <c r="AA3487" s="32"/>
      <c r="AB3487" s="32"/>
    </row>
    <row r="3488" spans="2:28" ht="23.25" customHeight="1" x14ac:dyDescent="0.2">
      <c r="B3488" s="75"/>
      <c r="C3488" s="67"/>
      <c r="D3488" s="75"/>
      <c r="E3488" s="67"/>
      <c r="F3488" s="67"/>
      <c r="G3488" s="70"/>
      <c r="H3488" s="70"/>
      <c r="I3488" s="70"/>
      <c r="J3488" s="70"/>
      <c r="K3488" s="70"/>
      <c r="L3488" s="67"/>
      <c r="M3488" s="67"/>
      <c r="N3488" s="72"/>
      <c r="O3488" s="72"/>
      <c r="P3488" s="67"/>
      <c r="Q3488" s="67"/>
      <c r="R3488" s="67"/>
      <c r="S3488" s="67"/>
      <c r="T3488" s="32"/>
      <c r="U3488" s="32"/>
      <c r="X3488" s="32"/>
      <c r="Y3488" s="32"/>
      <c r="Z3488" s="32"/>
      <c r="AA3488" s="32"/>
      <c r="AB3488" s="32"/>
    </row>
    <row r="3489" spans="2:28" ht="23.25" customHeight="1" x14ac:dyDescent="0.2">
      <c r="B3489" s="75"/>
      <c r="C3489" s="67"/>
      <c r="D3489" s="75"/>
      <c r="E3489" s="67"/>
      <c r="F3489" s="67"/>
      <c r="G3489" s="70"/>
      <c r="H3489" s="70"/>
      <c r="I3489" s="70"/>
      <c r="J3489" s="70"/>
      <c r="K3489" s="70"/>
      <c r="L3489" s="67"/>
      <c r="M3489" s="67"/>
      <c r="N3489" s="72"/>
      <c r="O3489" s="72"/>
      <c r="P3489" s="67"/>
      <c r="Q3489" s="67"/>
      <c r="R3489" s="67"/>
      <c r="S3489" s="67"/>
      <c r="T3489" s="32"/>
      <c r="U3489" s="32"/>
      <c r="X3489" s="32"/>
      <c r="Y3489" s="32"/>
      <c r="Z3489" s="32"/>
      <c r="AA3489" s="32"/>
      <c r="AB3489" s="32"/>
    </row>
    <row r="3490" spans="2:28" ht="23.25" customHeight="1" x14ac:dyDescent="0.2">
      <c r="B3490" s="75"/>
      <c r="C3490" s="67"/>
      <c r="D3490" s="75"/>
      <c r="E3490" s="67"/>
      <c r="F3490" s="67"/>
      <c r="G3490" s="70"/>
      <c r="H3490" s="70"/>
      <c r="I3490" s="70"/>
      <c r="J3490" s="70"/>
      <c r="K3490" s="70"/>
      <c r="L3490" s="67"/>
      <c r="M3490" s="67"/>
      <c r="N3490" s="72"/>
      <c r="O3490" s="72"/>
      <c r="P3490" s="67"/>
      <c r="Q3490" s="67"/>
      <c r="R3490" s="67"/>
      <c r="S3490" s="67"/>
      <c r="T3490" s="32"/>
      <c r="U3490" s="32"/>
      <c r="X3490" s="32"/>
      <c r="Y3490" s="32"/>
      <c r="Z3490" s="32"/>
      <c r="AA3490" s="32"/>
      <c r="AB3490" s="32"/>
    </row>
    <row r="3491" spans="2:28" ht="23.25" customHeight="1" x14ac:dyDescent="0.2">
      <c r="B3491" s="75"/>
      <c r="C3491" s="67"/>
      <c r="D3491" s="75"/>
      <c r="E3491" s="67"/>
      <c r="F3491" s="67"/>
      <c r="G3491" s="70"/>
      <c r="H3491" s="70"/>
      <c r="I3491" s="70"/>
      <c r="J3491" s="70"/>
      <c r="K3491" s="70"/>
      <c r="L3491" s="67"/>
      <c r="M3491" s="67"/>
      <c r="N3491" s="72"/>
      <c r="O3491" s="72"/>
      <c r="P3491" s="67"/>
      <c r="Q3491" s="67"/>
      <c r="R3491" s="67"/>
      <c r="S3491" s="67"/>
      <c r="T3491" s="32"/>
      <c r="U3491" s="32"/>
      <c r="X3491" s="32"/>
      <c r="Y3491" s="32"/>
      <c r="Z3491" s="32"/>
      <c r="AA3491" s="32"/>
      <c r="AB3491" s="32"/>
    </row>
    <row r="3492" spans="2:28" ht="23.25" customHeight="1" x14ac:dyDescent="0.2">
      <c r="B3492" s="75"/>
      <c r="C3492" s="67"/>
      <c r="D3492" s="75"/>
      <c r="E3492" s="67"/>
      <c r="F3492" s="67"/>
      <c r="G3492" s="70"/>
      <c r="H3492" s="70"/>
      <c r="I3492" s="70"/>
      <c r="J3492" s="70"/>
      <c r="K3492" s="70"/>
      <c r="L3492" s="67"/>
      <c r="M3492" s="67"/>
      <c r="N3492" s="72"/>
      <c r="O3492" s="72"/>
      <c r="P3492" s="67"/>
      <c r="Q3492" s="67"/>
      <c r="R3492" s="67"/>
      <c r="S3492" s="67"/>
      <c r="T3492" s="32"/>
      <c r="U3492" s="32"/>
      <c r="X3492" s="32"/>
      <c r="Y3492" s="32"/>
      <c r="Z3492" s="32"/>
      <c r="AA3492" s="32"/>
      <c r="AB3492" s="32"/>
    </row>
    <row r="3493" spans="2:28" ht="23.25" customHeight="1" x14ac:dyDescent="0.2">
      <c r="B3493" s="75"/>
      <c r="C3493" s="67"/>
      <c r="D3493" s="75"/>
      <c r="E3493" s="67"/>
      <c r="F3493" s="67"/>
      <c r="G3493" s="70"/>
      <c r="H3493" s="70"/>
      <c r="I3493" s="70"/>
      <c r="J3493" s="70"/>
      <c r="K3493" s="70"/>
      <c r="L3493" s="67"/>
      <c r="M3493" s="67"/>
      <c r="N3493" s="72"/>
      <c r="O3493" s="72"/>
      <c r="P3493" s="67"/>
      <c r="Q3493" s="67"/>
      <c r="R3493" s="67"/>
      <c r="S3493" s="67"/>
      <c r="T3493" s="32"/>
      <c r="U3493" s="32"/>
      <c r="X3493" s="32"/>
      <c r="Y3493" s="32"/>
      <c r="Z3493" s="32"/>
      <c r="AA3493" s="32"/>
      <c r="AB3493" s="32"/>
    </row>
    <row r="3494" spans="2:28" ht="23.25" customHeight="1" x14ac:dyDescent="0.2">
      <c r="B3494" s="75"/>
      <c r="C3494" s="67"/>
      <c r="D3494" s="75"/>
      <c r="E3494" s="67"/>
      <c r="F3494" s="67"/>
      <c r="G3494" s="70"/>
      <c r="H3494" s="70"/>
      <c r="I3494" s="70"/>
      <c r="J3494" s="70"/>
      <c r="K3494" s="70"/>
      <c r="L3494" s="67"/>
      <c r="M3494" s="67"/>
      <c r="N3494" s="72"/>
      <c r="O3494" s="72"/>
      <c r="P3494" s="67"/>
      <c r="Q3494" s="67"/>
      <c r="R3494" s="67"/>
      <c r="S3494" s="67"/>
      <c r="T3494" s="32"/>
      <c r="U3494" s="32"/>
      <c r="X3494" s="32"/>
      <c r="Y3494" s="32"/>
      <c r="Z3494" s="32"/>
      <c r="AA3494" s="32"/>
      <c r="AB3494" s="32"/>
    </row>
    <row r="3495" spans="2:28" ht="23.25" customHeight="1" x14ac:dyDescent="0.2">
      <c r="B3495" s="75"/>
      <c r="C3495" s="67"/>
      <c r="D3495" s="75"/>
      <c r="E3495" s="67"/>
      <c r="F3495" s="67"/>
      <c r="G3495" s="70"/>
      <c r="H3495" s="70"/>
      <c r="I3495" s="70"/>
      <c r="J3495" s="70"/>
      <c r="K3495" s="70"/>
      <c r="L3495" s="67"/>
      <c r="M3495" s="67"/>
      <c r="N3495" s="72"/>
      <c r="O3495" s="72"/>
      <c r="P3495" s="67"/>
      <c r="Q3495" s="67"/>
      <c r="R3495" s="67"/>
      <c r="S3495" s="67"/>
      <c r="T3495" s="32"/>
      <c r="U3495" s="32"/>
      <c r="X3495" s="32"/>
      <c r="Y3495" s="32"/>
      <c r="Z3495" s="32"/>
      <c r="AA3495" s="32"/>
      <c r="AB3495" s="32"/>
    </row>
    <row r="3496" spans="2:28" ht="23.25" customHeight="1" x14ac:dyDescent="0.2">
      <c r="B3496" s="75"/>
      <c r="C3496" s="67"/>
      <c r="D3496" s="75"/>
      <c r="E3496" s="67"/>
      <c r="F3496" s="67"/>
      <c r="G3496" s="70"/>
      <c r="H3496" s="70"/>
      <c r="I3496" s="70"/>
      <c r="J3496" s="70"/>
      <c r="K3496" s="70"/>
      <c r="L3496" s="67"/>
      <c r="M3496" s="67"/>
      <c r="N3496" s="72"/>
      <c r="O3496" s="72"/>
      <c r="P3496" s="67"/>
      <c r="Q3496" s="67"/>
      <c r="R3496" s="67"/>
      <c r="S3496" s="67"/>
      <c r="T3496" s="32"/>
      <c r="U3496" s="32"/>
      <c r="X3496" s="32"/>
      <c r="Y3496" s="32"/>
      <c r="Z3496" s="32"/>
      <c r="AA3496" s="32"/>
      <c r="AB3496" s="32"/>
    </row>
    <row r="3497" spans="2:28" ht="23.25" customHeight="1" x14ac:dyDescent="0.2">
      <c r="B3497" s="75"/>
      <c r="C3497" s="67"/>
      <c r="D3497" s="75"/>
      <c r="E3497" s="67"/>
      <c r="F3497" s="67"/>
      <c r="G3497" s="70"/>
      <c r="H3497" s="70"/>
      <c r="I3497" s="70"/>
      <c r="J3497" s="70"/>
      <c r="K3497" s="70"/>
      <c r="L3497" s="67"/>
      <c r="M3497" s="67"/>
      <c r="N3497" s="72"/>
      <c r="O3497" s="72"/>
      <c r="P3497" s="67"/>
      <c r="Q3497" s="67"/>
      <c r="R3497" s="67"/>
      <c r="S3497" s="67"/>
      <c r="T3497" s="32"/>
      <c r="U3497" s="32"/>
      <c r="X3497" s="32"/>
      <c r="Y3497" s="32"/>
      <c r="Z3497" s="32"/>
      <c r="AA3497" s="32"/>
      <c r="AB3497" s="32"/>
    </row>
    <row r="3498" spans="2:28" ht="23.25" customHeight="1" x14ac:dyDescent="0.2">
      <c r="B3498" s="75"/>
      <c r="C3498" s="67"/>
      <c r="D3498" s="75"/>
      <c r="E3498" s="67"/>
      <c r="F3498" s="67"/>
      <c r="G3498" s="70"/>
      <c r="H3498" s="70"/>
      <c r="I3498" s="70"/>
      <c r="J3498" s="70"/>
      <c r="K3498" s="70"/>
      <c r="L3498" s="67"/>
      <c r="M3498" s="67"/>
      <c r="N3498" s="72"/>
      <c r="O3498" s="72"/>
      <c r="P3498" s="67"/>
      <c r="Q3498" s="67"/>
      <c r="R3498" s="67"/>
      <c r="S3498" s="67"/>
      <c r="T3498" s="32"/>
      <c r="U3498" s="32"/>
      <c r="X3498" s="32"/>
      <c r="Y3498" s="32"/>
      <c r="Z3498" s="32"/>
      <c r="AA3498" s="32"/>
      <c r="AB3498" s="32"/>
    </row>
    <row r="3499" spans="2:28" ht="23.25" customHeight="1" x14ac:dyDescent="0.2">
      <c r="B3499" s="75"/>
      <c r="C3499" s="67"/>
      <c r="D3499" s="75"/>
      <c r="E3499" s="67"/>
      <c r="F3499" s="67"/>
      <c r="G3499" s="70"/>
      <c r="H3499" s="70"/>
      <c r="I3499" s="70"/>
      <c r="J3499" s="70"/>
      <c r="K3499" s="70"/>
      <c r="L3499" s="67"/>
      <c r="M3499" s="67"/>
      <c r="N3499" s="72"/>
      <c r="O3499" s="72"/>
      <c r="P3499" s="67"/>
      <c r="Q3499" s="67"/>
      <c r="R3499" s="67"/>
      <c r="S3499" s="67"/>
      <c r="T3499" s="32"/>
      <c r="U3499" s="32"/>
      <c r="X3499" s="32"/>
      <c r="Y3499" s="32"/>
      <c r="Z3499" s="32"/>
      <c r="AA3499" s="32"/>
      <c r="AB3499" s="32"/>
    </row>
    <row r="3500" spans="2:28" ht="23.25" customHeight="1" x14ac:dyDescent="0.2">
      <c r="B3500" s="75"/>
      <c r="C3500" s="67"/>
      <c r="D3500" s="75"/>
      <c r="E3500" s="67"/>
      <c r="F3500" s="67"/>
      <c r="G3500" s="70"/>
      <c r="H3500" s="70"/>
      <c r="I3500" s="70"/>
      <c r="J3500" s="70"/>
      <c r="K3500" s="70"/>
      <c r="L3500" s="67"/>
      <c r="M3500" s="67"/>
      <c r="N3500" s="72"/>
      <c r="O3500" s="72"/>
      <c r="P3500" s="67"/>
      <c r="Q3500" s="67"/>
      <c r="R3500" s="67"/>
      <c r="S3500" s="67"/>
      <c r="T3500" s="32"/>
      <c r="U3500" s="32"/>
      <c r="X3500" s="32"/>
      <c r="Y3500" s="32"/>
      <c r="Z3500" s="32"/>
      <c r="AA3500" s="32"/>
      <c r="AB3500" s="32"/>
    </row>
    <row r="3501" spans="2:28" ht="23.25" customHeight="1" x14ac:dyDescent="0.2">
      <c r="B3501" s="75"/>
      <c r="C3501" s="67"/>
      <c r="D3501" s="75"/>
      <c r="E3501" s="67"/>
      <c r="F3501" s="67"/>
      <c r="G3501" s="70"/>
      <c r="H3501" s="70"/>
      <c r="I3501" s="70"/>
      <c r="J3501" s="70"/>
      <c r="K3501" s="70"/>
      <c r="L3501" s="67"/>
      <c r="M3501" s="67"/>
      <c r="N3501" s="72"/>
      <c r="O3501" s="72"/>
      <c r="P3501" s="67"/>
      <c r="Q3501" s="67"/>
      <c r="R3501" s="67"/>
      <c r="S3501" s="67"/>
      <c r="T3501" s="32"/>
      <c r="U3501" s="32"/>
      <c r="X3501" s="32"/>
      <c r="Y3501" s="32"/>
      <c r="Z3501" s="32"/>
      <c r="AA3501" s="32"/>
      <c r="AB3501" s="32"/>
    </row>
    <row r="3502" spans="2:28" ht="23.25" customHeight="1" x14ac:dyDescent="0.2">
      <c r="B3502" s="75"/>
      <c r="C3502" s="67"/>
      <c r="D3502" s="75"/>
      <c r="E3502" s="67"/>
      <c r="F3502" s="67"/>
      <c r="G3502" s="70"/>
      <c r="H3502" s="70"/>
      <c r="I3502" s="70"/>
      <c r="J3502" s="70"/>
      <c r="K3502" s="70"/>
      <c r="L3502" s="67"/>
      <c r="M3502" s="67"/>
      <c r="N3502" s="72"/>
      <c r="O3502" s="72"/>
      <c r="P3502" s="67"/>
      <c r="Q3502" s="67"/>
      <c r="R3502" s="67"/>
      <c r="S3502" s="67"/>
      <c r="T3502" s="32"/>
      <c r="U3502" s="32"/>
      <c r="X3502" s="32"/>
      <c r="Y3502" s="32"/>
      <c r="Z3502" s="32"/>
      <c r="AA3502" s="32"/>
      <c r="AB3502" s="32"/>
    </row>
    <row r="3503" spans="2:28" ht="23.25" customHeight="1" x14ac:dyDescent="0.2">
      <c r="B3503" s="75"/>
      <c r="C3503" s="67"/>
      <c r="D3503" s="75"/>
      <c r="E3503" s="67"/>
      <c r="F3503" s="67"/>
      <c r="G3503" s="70"/>
      <c r="H3503" s="70"/>
      <c r="I3503" s="70"/>
      <c r="J3503" s="70"/>
      <c r="K3503" s="70"/>
      <c r="L3503" s="67"/>
      <c r="M3503" s="67"/>
      <c r="N3503" s="72"/>
      <c r="O3503" s="72"/>
      <c r="P3503" s="67"/>
      <c r="Q3503" s="67"/>
      <c r="R3503" s="67"/>
      <c r="S3503" s="67"/>
      <c r="T3503" s="32"/>
      <c r="U3503" s="32"/>
      <c r="X3503" s="32"/>
      <c r="Y3503" s="32"/>
      <c r="Z3503" s="32"/>
      <c r="AA3503" s="32"/>
      <c r="AB3503" s="32"/>
    </row>
    <row r="3504" spans="2:28" ht="23.25" customHeight="1" x14ac:dyDescent="0.2">
      <c r="B3504" s="75"/>
      <c r="C3504" s="67"/>
      <c r="D3504" s="75"/>
      <c r="E3504" s="67"/>
      <c r="F3504" s="67"/>
      <c r="G3504" s="70"/>
      <c r="H3504" s="70"/>
      <c r="I3504" s="70"/>
      <c r="J3504" s="70"/>
      <c r="K3504" s="70"/>
      <c r="L3504" s="67"/>
      <c r="M3504" s="67"/>
      <c r="N3504" s="72"/>
      <c r="O3504" s="72"/>
      <c r="P3504" s="67"/>
      <c r="Q3504" s="67"/>
      <c r="R3504" s="67"/>
      <c r="S3504" s="67"/>
      <c r="T3504" s="32"/>
      <c r="U3504" s="32"/>
      <c r="X3504" s="32"/>
      <c r="Y3504" s="32"/>
      <c r="Z3504" s="32"/>
      <c r="AA3504" s="32"/>
      <c r="AB3504" s="32"/>
    </row>
    <row r="3505" spans="2:28" ht="23.25" customHeight="1" x14ac:dyDescent="0.2">
      <c r="B3505" s="75"/>
      <c r="C3505" s="67"/>
      <c r="D3505" s="75"/>
      <c r="E3505" s="67"/>
      <c r="F3505" s="67"/>
      <c r="G3505" s="70"/>
      <c r="H3505" s="70"/>
      <c r="I3505" s="70"/>
      <c r="J3505" s="70"/>
      <c r="K3505" s="70"/>
      <c r="L3505" s="67"/>
      <c r="M3505" s="67"/>
      <c r="N3505" s="72"/>
      <c r="O3505" s="72"/>
      <c r="P3505" s="67"/>
      <c r="Q3505" s="67"/>
      <c r="R3505" s="67"/>
      <c r="S3505" s="67"/>
      <c r="T3505" s="32"/>
      <c r="U3505" s="32"/>
      <c r="X3505" s="32"/>
      <c r="Y3505" s="32"/>
      <c r="Z3505" s="32"/>
      <c r="AA3505" s="32"/>
      <c r="AB3505" s="32"/>
    </row>
    <row r="3506" spans="2:28" ht="23.25" customHeight="1" x14ac:dyDescent="0.2">
      <c r="B3506" s="75"/>
      <c r="C3506" s="67"/>
      <c r="D3506" s="75"/>
      <c r="E3506" s="67"/>
      <c r="F3506" s="67"/>
      <c r="G3506" s="70"/>
      <c r="H3506" s="70"/>
      <c r="I3506" s="70"/>
      <c r="J3506" s="70"/>
      <c r="K3506" s="70"/>
      <c r="L3506" s="67"/>
      <c r="M3506" s="67"/>
      <c r="N3506" s="72"/>
      <c r="O3506" s="72"/>
      <c r="P3506" s="67"/>
      <c r="Q3506" s="67"/>
      <c r="R3506" s="67"/>
      <c r="S3506" s="67"/>
      <c r="T3506" s="32"/>
      <c r="U3506" s="32"/>
      <c r="X3506" s="32"/>
      <c r="Y3506" s="32"/>
      <c r="Z3506" s="32"/>
      <c r="AA3506" s="32"/>
      <c r="AB3506" s="32"/>
    </row>
    <row r="3507" spans="2:28" ht="23.25" customHeight="1" x14ac:dyDescent="0.2">
      <c r="B3507" s="75"/>
      <c r="C3507" s="67"/>
      <c r="D3507" s="75"/>
      <c r="E3507" s="67"/>
      <c r="F3507" s="67"/>
      <c r="G3507" s="70"/>
      <c r="H3507" s="70"/>
      <c r="I3507" s="70"/>
      <c r="J3507" s="70"/>
      <c r="K3507" s="70"/>
      <c r="L3507" s="67"/>
      <c r="M3507" s="67"/>
      <c r="N3507" s="72"/>
      <c r="O3507" s="72"/>
      <c r="P3507" s="67"/>
      <c r="Q3507" s="67"/>
      <c r="R3507" s="67"/>
      <c r="S3507" s="67"/>
      <c r="T3507" s="32"/>
      <c r="U3507" s="32"/>
      <c r="X3507" s="32"/>
      <c r="Y3507" s="32"/>
      <c r="Z3507" s="32"/>
      <c r="AA3507" s="32"/>
      <c r="AB3507" s="32"/>
    </row>
    <row r="3508" spans="2:28" ht="23.25" customHeight="1" x14ac:dyDescent="0.2">
      <c r="B3508" s="75"/>
      <c r="C3508" s="67"/>
      <c r="D3508" s="75"/>
      <c r="E3508" s="67"/>
      <c r="F3508" s="67"/>
      <c r="G3508" s="70"/>
      <c r="H3508" s="70"/>
      <c r="I3508" s="70"/>
      <c r="J3508" s="70"/>
      <c r="K3508" s="70"/>
      <c r="L3508" s="67"/>
      <c r="M3508" s="67"/>
      <c r="N3508" s="72"/>
      <c r="O3508" s="72"/>
      <c r="P3508" s="67"/>
      <c r="Q3508" s="67"/>
      <c r="R3508" s="67"/>
      <c r="S3508" s="67"/>
      <c r="T3508" s="32"/>
      <c r="U3508" s="32"/>
      <c r="X3508" s="32"/>
      <c r="Y3508" s="32"/>
      <c r="Z3508" s="32"/>
      <c r="AA3508" s="32"/>
      <c r="AB3508" s="32"/>
    </row>
    <row r="3509" spans="2:28" ht="23.25" customHeight="1" x14ac:dyDescent="0.2">
      <c r="B3509" s="75"/>
      <c r="C3509" s="67"/>
      <c r="D3509" s="75"/>
      <c r="E3509" s="67"/>
      <c r="F3509" s="67"/>
      <c r="G3509" s="70"/>
      <c r="H3509" s="70"/>
      <c r="I3509" s="70"/>
      <c r="J3509" s="70"/>
      <c r="K3509" s="70"/>
      <c r="L3509" s="67"/>
      <c r="M3509" s="67"/>
      <c r="N3509" s="72"/>
      <c r="O3509" s="72"/>
      <c r="P3509" s="67"/>
      <c r="Q3509" s="67"/>
      <c r="R3509" s="67"/>
      <c r="S3509" s="67"/>
      <c r="T3509" s="32"/>
      <c r="U3509" s="32"/>
      <c r="X3509" s="32"/>
      <c r="Y3509" s="32"/>
      <c r="Z3509" s="32"/>
      <c r="AA3509" s="32"/>
      <c r="AB3509" s="32"/>
    </row>
    <row r="3510" spans="2:28" ht="23.25" customHeight="1" x14ac:dyDescent="0.2">
      <c r="B3510" s="75"/>
      <c r="C3510" s="67"/>
      <c r="D3510" s="75"/>
      <c r="E3510" s="67"/>
      <c r="F3510" s="67"/>
      <c r="G3510" s="70"/>
      <c r="H3510" s="70"/>
      <c r="I3510" s="70"/>
      <c r="J3510" s="70"/>
      <c r="K3510" s="70"/>
      <c r="L3510" s="67"/>
      <c r="M3510" s="67"/>
      <c r="N3510" s="72"/>
      <c r="O3510" s="72"/>
      <c r="P3510" s="67"/>
      <c r="Q3510" s="67"/>
      <c r="R3510" s="67"/>
      <c r="S3510" s="67"/>
      <c r="T3510" s="32"/>
      <c r="U3510" s="32"/>
      <c r="X3510" s="32"/>
      <c r="Y3510" s="32"/>
      <c r="Z3510" s="32"/>
      <c r="AA3510" s="32"/>
      <c r="AB3510" s="32"/>
    </row>
    <row r="3511" spans="2:28" ht="23.25" customHeight="1" x14ac:dyDescent="0.2">
      <c r="B3511" s="75"/>
      <c r="C3511" s="67"/>
      <c r="D3511" s="75"/>
      <c r="E3511" s="67"/>
      <c r="F3511" s="67"/>
      <c r="G3511" s="70"/>
      <c r="H3511" s="70"/>
      <c r="I3511" s="70"/>
      <c r="J3511" s="70"/>
      <c r="K3511" s="70"/>
      <c r="L3511" s="67"/>
      <c r="M3511" s="67"/>
      <c r="N3511" s="72"/>
      <c r="O3511" s="72"/>
      <c r="P3511" s="67"/>
      <c r="Q3511" s="67"/>
      <c r="R3511" s="67"/>
      <c r="S3511" s="67"/>
      <c r="T3511" s="32"/>
      <c r="U3511" s="32"/>
      <c r="X3511" s="32"/>
      <c r="Y3511" s="32"/>
      <c r="Z3511" s="32"/>
      <c r="AA3511" s="32"/>
      <c r="AB3511" s="32"/>
    </row>
    <row r="3512" spans="2:28" ht="23.25" customHeight="1" x14ac:dyDescent="0.2">
      <c r="B3512" s="75"/>
      <c r="C3512" s="67"/>
      <c r="D3512" s="75"/>
      <c r="E3512" s="67"/>
      <c r="F3512" s="67"/>
      <c r="G3512" s="70"/>
      <c r="H3512" s="70"/>
      <c r="I3512" s="70"/>
      <c r="J3512" s="70"/>
      <c r="K3512" s="70"/>
      <c r="L3512" s="67"/>
      <c r="M3512" s="67"/>
      <c r="N3512" s="72"/>
      <c r="O3512" s="72"/>
      <c r="P3512" s="67"/>
      <c r="Q3512" s="67"/>
      <c r="R3512" s="67"/>
      <c r="S3512" s="67"/>
      <c r="T3512" s="32"/>
      <c r="U3512" s="32"/>
      <c r="X3512" s="32"/>
      <c r="Y3512" s="32"/>
      <c r="Z3512" s="32"/>
      <c r="AA3512" s="32"/>
      <c r="AB3512" s="32"/>
    </row>
    <row r="3513" spans="2:28" ht="23.25" customHeight="1" x14ac:dyDescent="0.2">
      <c r="B3513" s="75"/>
      <c r="C3513" s="67"/>
      <c r="D3513" s="75"/>
      <c r="E3513" s="67"/>
      <c r="F3513" s="67"/>
      <c r="G3513" s="70"/>
      <c r="H3513" s="70"/>
      <c r="I3513" s="70"/>
      <c r="J3513" s="70"/>
      <c r="K3513" s="70"/>
      <c r="L3513" s="67"/>
      <c r="M3513" s="67"/>
      <c r="N3513" s="72"/>
      <c r="O3513" s="72"/>
      <c r="P3513" s="67"/>
      <c r="Q3513" s="67"/>
      <c r="R3513" s="67"/>
      <c r="S3513" s="67"/>
      <c r="T3513" s="32"/>
      <c r="U3513" s="32"/>
      <c r="X3513" s="32"/>
      <c r="Y3513" s="32"/>
      <c r="Z3513" s="32"/>
      <c r="AA3513" s="32"/>
      <c r="AB3513" s="32"/>
    </row>
    <row r="3514" spans="2:28" ht="23.25" customHeight="1" x14ac:dyDescent="0.2">
      <c r="B3514" s="75"/>
      <c r="C3514" s="67"/>
      <c r="D3514" s="75"/>
      <c r="E3514" s="67"/>
      <c r="F3514" s="67"/>
      <c r="G3514" s="70"/>
      <c r="H3514" s="70"/>
      <c r="I3514" s="70"/>
      <c r="J3514" s="70"/>
      <c r="K3514" s="70"/>
      <c r="L3514" s="67"/>
      <c r="M3514" s="67"/>
      <c r="N3514" s="72"/>
      <c r="O3514" s="72"/>
      <c r="P3514" s="67"/>
      <c r="Q3514" s="67"/>
      <c r="R3514" s="67"/>
      <c r="S3514" s="67"/>
      <c r="T3514" s="32"/>
      <c r="U3514" s="32"/>
      <c r="X3514" s="32"/>
      <c r="Y3514" s="32"/>
      <c r="Z3514" s="32"/>
      <c r="AA3514" s="32"/>
      <c r="AB3514" s="32"/>
    </row>
    <row r="3515" spans="2:28" ht="23.25" customHeight="1" x14ac:dyDescent="0.2">
      <c r="B3515" s="75"/>
      <c r="C3515" s="67"/>
      <c r="D3515" s="75"/>
      <c r="E3515" s="67"/>
      <c r="F3515" s="67"/>
      <c r="G3515" s="70"/>
      <c r="H3515" s="70"/>
      <c r="I3515" s="70"/>
      <c r="J3515" s="70"/>
      <c r="K3515" s="70"/>
      <c r="L3515" s="67"/>
      <c r="M3515" s="67"/>
      <c r="N3515" s="72"/>
      <c r="O3515" s="72"/>
      <c r="P3515" s="67"/>
      <c r="Q3515" s="67"/>
      <c r="R3515" s="67"/>
      <c r="S3515" s="67"/>
      <c r="T3515" s="32"/>
      <c r="U3515" s="32"/>
      <c r="X3515" s="32"/>
      <c r="Y3515" s="32"/>
      <c r="Z3515" s="32"/>
      <c r="AA3515" s="32"/>
      <c r="AB3515" s="32"/>
    </row>
    <row r="3516" spans="2:28" ht="23.25" customHeight="1" x14ac:dyDescent="0.2">
      <c r="B3516" s="75"/>
      <c r="C3516" s="67"/>
      <c r="D3516" s="75"/>
      <c r="E3516" s="67"/>
      <c r="F3516" s="67"/>
      <c r="G3516" s="70"/>
      <c r="H3516" s="70"/>
      <c r="I3516" s="70"/>
      <c r="J3516" s="70"/>
      <c r="K3516" s="70"/>
      <c r="L3516" s="67"/>
      <c r="M3516" s="67"/>
      <c r="N3516" s="72"/>
      <c r="O3516" s="72"/>
      <c r="P3516" s="67"/>
      <c r="Q3516" s="67"/>
      <c r="R3516" s="67"/>
      <c r="S3516" s="67"/>
      <c r="T3516" s="32"/>
      <c r="U3516" s="32"/>
      <c r="X3516" s="32"/>
      <c r="Y3516" s="32"/>
      <c r="Z3516" s="32"/>
      <c r="AA3516" s="32"/>
      <c r="AB3516" s="32"/>
    </row>
    <row r="3517" spans="2:28" ht="23.25" customHeight="1" x14ac:dyDescent="0.2">
      <c r="B3517" s="75"/>
      <c r="C3517" s="67"/>
      <c r="D3517" s="75"/>
      <c r="E3517" s="67"/>
      <c r="F3517" s="67"/>
      <c r="G3517" s="70"/>
      <c r="H3517" s="70"/>
      <c r="I3517" s="70"/>
      <c r="J3517" s="70"/>
      <c r="K3517" s="70"/>
      <c r="L3517" s="67"/>
      <c r="M3517" s="67"/>
      <c r="N3517" s="72"/>
      <c r="O3517" s="72"/>
      <c r="P3517" s="67"/>
      <c r="Q3517" s="67"/>
      <c r="R3517" s="67"/>
      <c r="S3517" s="67"/>
      <c r="T3517" s="32"/>
      <c r="U3517" s="32"/>
      <c r="X3517" s="32"/>
      <c r="Y3517" s="32"/>
      <c r="Z3517" s="32"/>
      <c r="AA3517" s="32"/>
      <c r="AB3517" s="32"/>
    </row>
    <row r="3518" spans="2:28" ht="23.25" customHeight="1" x14ac:dyDescent="0.2">
      <c r="B3518" s="75"/>
      <c r="C3518" s="67"/>
      <c r="D3518" s="75"/>
      <c r="E3518" s="67"/>
      <c r="F3518" s="67"/>
      <c r="G3518" s="70"/>
      <c r="H3518" s="70"/>
      <c r="I3518" s="70"/>
      <c r="J3518" s="70"/>
      <c r="K3518" s="70"/>
      <c r="L3518" s="67"/>
      <c r="M3518" s="67"/>
      <c r="N3518" s="72"/>
      <c r="O3518" s="72"/>
      <c r="P3518" s="67"/>
      <c r="Q3518" s="67"/>
      <c r="R3518" s="67"/>
      <c r="S3518" s="67"/>
      <c r="T3518" s="32"/>
      <c r="U3518" s="32"/>
      <c r="X3518" s="32"/>
      <c r="Y3518" s="32"/>
      <c r="Z3518" s="32"/>
      <c r="AA3518" s="32"/>
      <c r="AB3518" s="32"/>
    </row>
    <row r="3519" spans="2:28" ht="23.25" customHeight="1" x14ac:dyDescent="0.2">
      <c r="B3519" s="75"/>
      <c r="C3519" s="67"/>
      <c r="D3519" s="75"/>
      <c r="E3519" s="67"/>
      <c r="F3519" s="67"/>
      <c r="G3519" s="70"/>
      <c r="H3519" s="70"/>
      <c r="I3519" s="70"/>
      <c r="J3519" s="70"/>
      <c r="K3519" s="70"/>
      <c r="L3519" s="67"/>
      <c r="M3519" s="67"/>
      <c r="N3519" s="72"/>
      <c r="O3519" s="72"/>
      <c r="P3519" s="67"/>
      <c r="Q3519" s="67"/>
      <c r="R3519" s="67"/>
      <c r="S3519" s="67"/>
      <c r="T3519" s="32"/>
      <c r="U3519" s="32"/>
      <c r="X3519" s="32"/>
      <c r="Y3519" s="32"/>
      <c r="Z3519" s="32"/>
      <c r="AA3519" s="32"/>
      <c r="AB3519" s="32"/>
    </row>
    <row r="3520" spans="2:28" ht="23.25" customHeight="1" x14ac:dyDescent="0.2">
      <c r="B3520" s="75"/>
      <c r="C3520" s="67"/>
      <c r="D3520" s="75"/>
      <c r="E3520" s="67"/>
      <c r="F3520" s="67"/>
      <c r="G3520" s="70"/>
      <c r="H3520" s="70"/>
      <c r="I3520" s="70"/>
      <c r="J3520" s="70"/>
      <c r="K3520" s="70"/>
      <c r="L3520" s="67"/>
      <c r="M3520" s="67"/>
      <c r="N3520" s="72"/>
      <c r="O3520" s="72"/>
      <c r="P3520" s="67"/>
      <c r="Q3520" s="67"/>
      <c r="R3520" s="67"/>
      <c r="S3520" s="67"/>
      <c r="T3520" s="32"/>
      <c r="U3520" s="32"/>
      <c r="X3520" s="32"/>
      <c r="Y3520" s="32"/>
      <c r="Z3520" s="32"/>
      <c r="AA3520" s="32"/>
      <c r="AB3520" s="32"/>
    </row>
    <row r="3521" spans="2:28" ht="23.25" customHeight="1" x14ac:dyDescent="0.2">
      <c r="B3521" s="75"/>
      <c r="C3521" s="67"/>
      <c r="D3521" s="75"/>
      <c r="E3521" s="67"/>
      <c r="F3521" s="67"/>
      <c r="G3521" s="70"/>
      <c r="H3521" s="70"/>
      <c r="I3521" s="70"/>
      <c r="J3521" s="70"/>
      <c r="K3521" s="70"/>
      <c r="L3521" s="67"/>
      <c r="M3521" s="67"/>
      <c r="N3521" s="72"/>
      <c r="O3521" s="72"/>
      <c r="P3521" s="67"/>
      <c r="Q3521" s="67"/>
      <c r="R3521" s="67"/>
      <c r="S3521" s="67"/>
      <c r="T3521" s="32"/>
      <c r="U3521" s="32"/>
      <c r="X3521" s="32"/>
      <c r="Y3521" s="32"/>
      <c r="Z3521" s="32"/>
      <c r="AA3521" s="32"/>
      <c r="AB3521" s="32"/>
    </row>
    <row r="3522" spans="2:28" ht="23.25" customHeight="1" x14ac:dyDescent="0.2">
      <c r="B3522" s="75"/>
      <c r="C3522" s="67"/>
      <c r="D3522" s="75"/>
      <c r="E3522" s="67"/>
      <c r="F3522" s="67"/>
      <c r="G3522" s="70"/>
      <c r="H3522" s="70"/>
      <c r="I3522" s="70"/>
      <c r="J3522" s="70"/>
      <c r="K3522" s="70"/>
      <c r="L3522" s="67"/>
      <c r="M3522" s="67"/>
      <c r="N3522" s="72"/>
      <c r="O3522" s="72"/>
      <c r="P3522" s="67"/>
      <c r="Q3522" s="67"/>
      <c r="R3522" s="67"/>
      <c r="S3522" s="67"/>
      <c r="T3522" s="32"/>
      <c r="U3522" s="32"/>
      <c r="X3522" s="32"/>
      <c r="Y3522" s="32"/>
      <c r="Z3522" s="32"/>
      <c r="AA3522" s="32"/>
      <c r="AB3522" s="32"/>
    </row>
    <row r="3523" spans="2:28" ht="23.25" customHeight="1" x14ac:dyDescent="0.2">
      <c r="B3523" s="75"/>
      <c r="C3523" s="67"/>
      <c r="D3523" s="75"/>
      <c r="E3523" s="67"/>
      <c r="F3523" s="67"/>
      <c r="G3523" s="70"/>
      <c r="H3523" s="70"/>
      <c r="I3523" s="70"/>
      <c r="J3523" s="70"/>
      <c r="K3523" s="70"/>
      <c r="L3523" s="67"/>
      <c r="M3523" s="67"/>
      <c r="N3523" s="72"/>
      <c r="O3523" s="72"/>
      <c r="P3523" s="67"/>
      <c r="Q3523" s="67"/>
      <c r="R3523" s="67"/>
      <c r="S3523" s="67"/>
      <c r="T3523" s="32"/>
      <c r="U3523" s="32"/>
      <c r="X3523" s="32"/>
      <c r="Y3523" s="32"/>
      <c r="Z3523" s="32"/>
      <c r="AA3523" s="32"/>
      <c r="AB3523" s="32"/>
    </row>
    <row r="3524" spans="2:28" ht="23.25" customHeight="1" x14ac:dyDescent="0.2">
      <c r="B3524" s="75"/>
      <c r="C3524" s="67"/>
      <c r="D3524" s="75"/>
      <c r="E3524" s="67"/>
      <c r="F3524" s="67"/>
      <c r="G3524" s="70"/>
      <c r="H3524" s="70"/>
      <c r="I3524" s="70"/>
      <c r="J3524" s="70"/>
      <c r="K3524" s="70"/>
      <c r="L3524" s="67"/>
      <c r="M3524" s="67"/>
      <c r="N3524" s="72"/>
      <c r="O3524" s="72"/>
      <c r="P3524" s="67"/>
      <c r="Q3524" s="67"/>
      <c r="R3524" s="67"/>
      <c r="S3524" s="67"/>
      <c r="T3524" s="32"/>
      <c r="U3524" s="32"/>
      <c r="X3524" s="32"/>
      <c r="Y3524" s="32"/>
      <c r="Z3524" s="32"/>
      <c r="AA3524" s="32"/>
      <c r="AB3524" s="32"/>
    </row>
    <row r="3525" spans="2:28" ht="23.25" customHeight="1" x14ac:dyDescent="0.2">
      <c r="B3525" s="75"/>
      <c r="C3525" s="67"/>
      <c r="D3525" s="75"/>
      <c r="E3525" s="67"/>
      <c r="F3525" s="67"/>
      <c r="G3525" s="70"/>
      <c r="H3525" s="70"/>
      <c r="I3525" s="70"/>
      <c r="J3525" s="70"/>
      <c r="K3525" s="70"/>
      <c r="L3525" s="67"/>
      <c r="M3525" s="67"/>
      <c r="N3525" s="72"/>
      <c r="O3525" s="72"/>
      <c r="P3525" s="67"/>
      <c r="Q3525" s="67"/>
      <c r="R3525" s="67"/>
      <c r="S3525" s="67"/>
      <c r="T3525" s="32"/>
      <c r="U3525" s="32"/>
      <c r="X3525" s="32"/>
      <c r="Y3525" s="32"/>
      <c r="Z3525" s="32"/>
      <c r="AA3525" s="32"/>
      <c r="AB3525" s="32"/>
    </row>
    <row r="3526" spans="2:28" ht="23.25" customHeight="1" x14ac:dyDescent="0.2">
      <c r="B3526" s="75"/>
      <c r="C3526" s="67"/>
      <c r="D3526" s="75"/>
      <c r="E3526" s="67"/>
      <c r="F3526" s="67"/>
      <c r="G3526" s="70"/>
      <c r="H3526" s="70"/>
      <c r="I3526" s="70"/>
      <c r="J3526" s="70"/>
      <c r="K3526" s="70"/>
      <c r="L3526" s="67"/>
      <c r="M3526" s="67"/>
      <c r="N3526" s="72"/>
      <c r="O3526" s="72"/>
      <c r="P3526" s="67"/>
      <c r="Q3526" s="67"/>
      <c r="R3526" s="67"/>
      <c r="S3526" s="67"/>
      <c r="T3526" s="32"/>
      <c r="U3526" s="32"/>
      <c r="X3526" s="32"/>
      <c r="Y3526" s="32"/>
      <c r="Z3526" s="32"/>
      <c r="AA3526" s="32"/>
      <c r="AB3526" s="32"/>
    </row>
    <row r="3527" spans="2:28" ht="23.25" customHeight="1" x14ac:dyDescent="0.2">
      <c r="B3527" s="75"/>
      <c r="C3527" s="67"/>
      <c r="D3527" s="75"/>
      <c r="E3527" s="67"/>
      <c r="F3527" s="67"/>
      <c r="G3527" s="70"/>
      <c r="H3527" s="70"/>
      <c r="I3527" s="70"/>
      <c r="J3527" s="70"/>
      <c r="K3527" s="70"/>
      <c r="L3527" s="67"/>
      <c r="M3527" s="67"/>
      <c r="N3527" s="72"/>
      <c r="O3527" s="72"/>
      <c r="P3527" s="67"/>
      <c r="Q3527" s="67"/>
      <c r="R3527" s="67"/>
      <c r="S3527" s="67"/>
      <c r="T3527" s="32"/>
      <c r="U3527" s="32"/>
      <c r="X3527" s="32"/>
      <c r="Y3527" s="32"/>
      <c r="Z3527" s="32"/>
      <c r="AA3527" s="32"/>
      <c r="AB3527" s="32"/>
    </row>
    <row r="3528" spans="2:28" ht="23.25" customHeight="1" x14ac:dyDescent="0.2">
      <c r="B3528" s="75"/>
      <c r="C3528" s="67"/>
      <c r="D3528" s="75"/>
      <c r="E3528" s="67"/>
      <c r="F3528" s="67"/>
      <c r="G3528" s="70"/>
      <c r="H3528" s="70"/>
      <c r="I3528" s="70"/>
      <c r="J3528" s="70"/>
      <c r="K3528" s="70"/>
      <c r="L3528" s="67"/>
      <c r="M3528" s="67"/>
      <c r="N3528" s="72"/>
      <c r="O3528" s="72"/>
      <c r="P3528" s="67"/>
      <c r="Q3528" s="67"/>
      <c r="R3528" s="67"/>
      <c r="S3528" s="67"/>
      <c r="T3528" s="32"/>
      <c r="U3528" s="32"/>
      <c r="X3528" s="32"/>
      <c r="Y3528" s="32"/>
      <c r="Z3528" s="32"/>
      <c r="AA3528" s="32"/>
      <c r="AB3528" s="32"/>
    </row>
    <row r="3529" spans="2:28" ht="23.25" customHeight="1" x14ac:dyDescent="0.2">
      <c r="B3529" s="75"/>
      <c r="C3529" s="67"/>
      <c r="D3529" s="75"/>
      <c r="E3529" s="67"/>
      <c r="F3529" s="67"/>
      <c r="G3529" s="70"/>
      <c r="H3529" s="70"/>
      <c r="I3529" s="70"/>
      <c r="J3529" s="70"/>
      <c r="K3529" s="70"/>
      <c r="L3529" s="67"/>
      <c r="M3529" s="67"/>
      <c r="N3529" s="72"/>
      <c r="O3529" s="72"/>
      <c r="P3529" s="67"/>
      <c r="Q3529" s="67"/>
      <c r="R3529" s="67"/>
      <c r="S3529" s="67"/>
      <c r="T3529" s="32"/>
      <c r="U3529" s="32"/>
      <c r="X3529" s="32"/>
      <c r="Y3529" s="32"/>
      <c r="Z3529" s="32"/>
      <c r="AA3529" s="32"/>
      <c r="AB3529" s="32"/>
    </row>
    <row r="3530" spans="2:28" ht="23.25" customHeight="1" x14ac:dyDescent="0.2">
      <c r="B3530" s="75"/>
      <c r="C3530" s="67"/>
      <c r="D3530" s="75"/>
      <c r="E3530" s="67"/>
      <c r="F3530" s="67"/>
      <c r="G3530" s="70"/>
      <c r="H3530" s="70"/>
      <c r="I3530" s="70"/>
      <c r="J3530" s="70"/>
      <c r="K3530" s="70"/>
      <c r="L3530" s="67"/>
      <c r="M3530" s="67"/>
      <c r="N3530" s="72"/>
      <c r="O3530" s="72"/>
      <c r="P3530" s="67"/>
      <c r="Q3530" s="67"/>
      <c r="R3530" s="67"/>
      <c r="S3530" s="67"/>
      <c r="T3530" s="32"/>
      <c r="U3530" s="32"/>
      <c r="X3530" s="32"/>
      <c r="Y3530" s="32"/>
      <c r="Z3530" s="32"/>
      <c r="AA3530" s="32"/>
      <c r="AB3530" s="32"/>
    </row>
    <row r="3531" spans="2:28" ht="23.25" customHeight="1" x14ac:dyDescent="0.2">
      <c r="B3531" s="75"/>
      <c r="C3531" s="67"/>
      <c r="D3531" s="75"/>
      <c r="E3531" s="67"/>
      <c r="F3531" s="67"/>
      <c r="G3531" s="70"/>
      <c r="H3531" s="70"/>
      <c r="I3531" s="70"/>
      <c r="J3531" s="70"/>
      <c r="K3531" s="70"/>
      <c r="L3531" s="67"/>
      <c r="M3531" s="67"/>
      <c r="N3531" s="72"/>
      <c r="O3531" s="72"/>
      <c r="P3531" s="67"/>
      <c r="Q3531" s="67"/>
      <c r="R3531" s="67"/>
      <c r="S3531" s="67"/>
      <c r="T3531" s="32"/>
      <c r="U3531" s="32"/>
      <c r="X3531" s="32"/>
      <c r="Y3531" s="32"/>
      <c r="Z3531" s="32"/>
      <c r="AA3531" s="32"/>
      <c r="AB3531" s="32"/>
    </row>
    <row r="3532" spans="2:28" ht="23.25" customHeight="1" x14ac:dyDescent="0.2">
      <c r="B3532" s="75"/>
      <c r="C3532" s="67"/>
      <c r="D3532" s="75"/>
      <c r="E3532" s="67"/>
      <c r="F3532" s="67"/>
      <c r="G3532" s="70"/>
      <c r="H3532" s="70"/>
      <c r="I3532" s="70"/>
      <c r="J3532" s="70"/>
      <c r="K3532" s="70"/>
      <c r="L3532" s="67"/>
      <c r="M3532" s="67"/>
      <c r="N3532" s="72"/>
      <c r="O3532" s="72"/>
      <c r="P3532" s="67"/>
      <c r="Q3532" s="67"/>
      <c r="R3532" s="67"/>
      <c r="S3532" s="67"/>
      <c r="T3532" s="32"/>
      <c r="U3532" s="32"/>
      <c r="X3532" s="32"/>
      <c r="Y3532" s="32"/>
      <c r="Z3532" s="32"/>
      <c r="AA3532" s="32"/>
      <c r="AB3532" s="32"/>
    </row>
    <row r="3533" spans="2:28" ht="23.25" customHeight="1" x14ac:dyDescent="0.2">
      <c r="B3533" s="75"/>
      <c r="C3533" s="67"/>
      <c r="D3533" s="75"/>
      <c r="E3533" s="67"/>
      <c r="F3533" s="67"/>
      <c r="G3533" s="70"/>
      <c r="H3533" s="70"/>
      <c r="I3533" s="70"/>
      <c r="J3533" s="70"/>
      <c r="K3533" s="70"/>
      <c r="L3533" s="67"/>
      <c r="M3533" s="67"/>
      <c r="N3533" s="72"/>
      <c r="O3533" s="72"/>
      <c r="P3533" s="67"/>
      <c r="Q3533" s="67"/>
      <c r="R3533" s="67"/>
      <c r="S3533" s="67"/>
      <c r="T3533" s="32"/>
      <c r="U3533" s="32"/>
      <c r="X3533" s="32"/>
      <c r="Y3533" s="32"/>
      <c r="Z3533" s="32"/>
      <c r="AA3533" s="32"/>
      <c r="AB3533" s="32"/>
    </row>
    <row r="3534" spans="2:28" ht="23.25" customHeight="1" x14ac:dyDescent="0.2">
      <c r="B3534" s="75"/>
      <c r="C3534" s="67"/>
      <c r="D3534" s="75"/>
      <c r="E3534" s="67"/>
      <c r="F3534" s="67"/>
      <c r="G3534" s="70"/>
      <c r="H3534" s="70"/>
      <c r="I3534" s="70"/>
      <c r="J3534" s="70"/>
      <c r="K3534" s="70"/>
      <c r="L3534" s="67"/>
      <c r="M3534" s="67"/>
      <c r="N3534" s="72"/>
      <c r="O3534" s="72"/>
      <c r="P3534" s="67"/>
      <c r="Q3534" s="67"/>
      <c r="R3534" s="67"/>
      <c r="S3534" s="67"/>
      <c r="T3534" s="32"/>
      <c r="U3534" s="32"/>
      <c r="X3534" s="32"/>
      <c r="Y3534" s="32"/>
      <c r="Z3534" s="32"/>
      <c r="AA3534" s="32"/>
      <c r="AB3534" s="32"/>
    </row>
    <row r="3535" spans="2:28" ht="23.25" customHeight="1" x14ac:dyDescent="0.2">
      <c r="B3535" s="75"/>
      <c r="C3535" s="67"/>
      <c r="D3535" s="75"/>
      <c r="E3535" s="67"/>
      <c r="F3535" s="67"/>
      <c r="G3535" s="70"/>
      <c r="H3535" s="70"/>
      <c r="I3535" s="70"/>
      <c r="J3535" s="70"/>
      <c r="K3535" s="70"/>
      <c r="L3535" s="67"/>
      <c r="M3535" s="67"/>
      <c r="N3535" s="72"/>
      <c r="O3535" s="72"/>
      <c r="P3535" s="67"/>
      <c r="Q3535" s="67"/>
      <c r="R3535" s="67"/>
      <c r="S3535" s="67"/>
      <c r="T3535" s="32"/>
      <c r="U3535" s="32"/>
      <c r="X3535" s="32"/>
      <c r="Y3535" s="32"/>
      <c r="Z3535" s="32"/>
      <c r="AA3535" s="32"/>
      <c r="AB3535" s="32"/>
    </row>
    <row r="3536" spans="2:28" ht="23.25" customHeight="1" x14ac:dyDescent="0.2">
      <c r="B3536" s="75"/>
      <c r="C3536" s="67"/>
      <c r="D3536" s="75"/>
      <c r="E3536" s="67"/>
      <c r="F3536" s="67"/>
      <c r="G3536" s="70"/>
      <c r="H3536" s="70"/>
      <c r="I3536" s="70"/>
      <c r="J3536" s="70"/>
      <c r="K3536" s="70"/>
      <c r="L3536" s="67"/>
      <c r="M3536" s="67"/>
      <c r="N3536" s="72"/>
      <c r="O3536" s="72"/>
      <c r="P3536" s="67"/>
      <c r="Q3536" s="67"/>
      <c r="R3536" s="67"/>
      <c r="S3536" s="67"/>
      <c r="T3536" s="32"/>
      <c r="U3536" s="32"/>
      <c r="X3536" s="32"/>
      <c r="Y3536" s="32"/>
      <c r="Z3536" s="32"/>
      <c r="AA3536" s="32"/>
      <c r="AB3536" s="32"/>
    </row>
    <row r="3537" spans="2:28" ht="23.25" customHeight="1" x14ac:dyDescent="0.2">
      <c r="B3537" s="75"/>
      <c r="C3537" s="67"/>
      <c r="D3537" s="75"/>
      <c r="E3537" s="67"/>
      <c r="F3537" s="67"/>
      <c r="G3537" s="70"/>
      <c r="H3537" s="70"/>
      <c r="I3537" s="70"/>
      <c r="J3537" s="70"/>
      <c r="K3537" s="70"/>
      <c r="L3537" s="67"/>
      <c r="M3537" s="67"/>
      <c r="N3537" s="72"/>
      <c r="O3537" s="72"/>
      <c r="P3537" s="67"/>
      <c r="Q3537" s="67"/>
      <c r="R3537" s="67"/>
      <c r="S3537" s="67"/>
      <c r="T3537" s="32"/>
      <c r="U3537" s="32"/>
      <c r="X3537" s="32"/>
      <c r="Y3537" s="32"/>
      <c r="Z3537" s="32"/>
      <c r="AA3537" s="32"/>
      <c r="AB3537" s="32"/>
    </row>
    <row r="3538" spans="2:28" ht="23.25" customHeight="1" x14ac:dyDescent="0.2">
      <c r="B3538" s="75"/>
      <c r="C3538" s="67"/>
      <c r="D3538" s="75"/>
      <c r="E3538" s="67"/>
      <c r="F3538" s="67"/>
      <c r="G3538" s="70"/>
      <c r="H3538" s="70"/>
      <c r="I3538" s="70"/>
      <c r="J3538" s="70"/>
      <c r="K3538" s="70"/>
      <c r="L3538" s="67"/>
      <c r="M3538" s="67"/>
      <c r="N3538" s="72"/>
      <c r="O3538" s="72"/>
      <c r="P3538" s="67"/>
      <c r="Q3538" s="67"/>
      <c r="R3538" s="67"/>
      <c r="S3538" s="67"/>
      <c r="T3538" s="32"/>
      <c r="U3538" s="32"/>
      <c r="X3538" s="32"/>
      <c r="Y3538" s="32"/>
      <c r="Z3538" s="32"/>
      <c r="AA3538" s="32"/>
      <c r="AB3538" s="32"/>
    </row>
    <row r="3539" spans="2:28" ht="23.25" customHeight="1" x14ac:dyDescent="0.2">
      <c r="B3539" s="75"/>
      <c r="C3539" s="67"/>
      <c r="D3539" s="75"/>
      <c r="E3539" s="67"/>
      <c r="F3539" s="67"/>
      <c r="G3539" s="70"/>
      <c r="H3539" s="70"/>
      <c r="I3539" s="70"/>
      <c r="J3539" s="70"/>
      <c r="K3539" s="70"/>
      <c r="L3539" s="67"/>
      <c r="M3539" s="67"/>
      <c r="N3539" s="72"/>
      <c r="O3539" s="72"/>
      <c r="P3539" s="67"/>
      <c r="Q3539" s="67"/>
      <c r="R3539" s="67"/>
      <c r="S3539" s="67"/>
      <c r="T3539" s="32"/>
      <c r="U3539" s="32"/>
      <c r="X3539" s="32"/>
      <c r="Y3539" s="32"/>
      <c r="Z3539" s="32"/>
      <c r="AA3539" s="32"/>
      <c r="AB3539" s="32"/>
    </row>
    <row r="3540" spans="2:28" ht="23.25" customHeight="1" x14ac:dyDescent="0.2">
      <c r="B3540" s="75"/>
      <c r="C3540" s="67"/>
      <c r="D3540" s="75"/>
      <c r="E3540" s="67"/>
      <c r="F3540" s="67"/>
      <c r="G3540" s="70"/>
      <c r="H3540" s="70"/>
      <c r="I3540" s="70"/>
      <c r="J3540" s="70"/>
      <c r="K3540" s="70"/>
      <c r="L3540" s="67"/>
      <c r="M3540" s="67"/>
      <c r="N3540" s="72"/>
      <c r="O3540" s="72"/>
      <c r="P3540" s="67"/>
      <c r="Q3540" s="67"/>
      <c r="R3540" s="67"/>
      <c r="S3540" s="67"/>
      <c r="T3540" s="32"/>
      <c r="U3540" s="32"/>
      <c r="X3540" s="32"/>
      <c r="Y3540" s="32"/>
      <c r="Z3540" s="32"/>
      <c r="AA3540" s="32"/>
      <c r="AB3540" s="32"/>
    </row>
    <row r="3541" spans="2:28" ht="23.25" customHeight="1" x14ac:dyDescent="0.2">
      <c r="B3541" s="75"/>
      <c r="C3541" s="67"/>
      <c r="D3541" s="75"/>
      <c r="E3541" s="67"/>
      <c r="F3541" s="67"/>
      <c r="G3541" s="70"/>
      <c r="H3541" s="70"/>
      <c r="I3541" s="70"/>
      <c r="J3541" s="70"/>
      <c r="K3541" s="70"/>
      <c r="L3541" s="67"/>
      <c r="M3541" s="67"/>
      <c r="N3541" s="72"/>
      <c r="O3541" s="72"/>
      <c r="P3541" s="67"/>
      <c r="Q3541" s="67"/>
      <c r="R3541" s="67"/>
      <c r="S3541" s="67"/>
      <c r="T3541" s="32"/>
      <c r="U3541" s="32"/>
      <c r="X3541" s="32"/>
      <c r="Y3541" s="32"/>
      <c r="Z3541" s="32"/>
      <c r="AA3541" s="32"/>
      <c r="AB3541" s="32"/>
    </row>
    <row r="3542" spans="2:28" ht="23.25" customHeight="1" x14ac:dyDescent="0.2">
      <c r="B3542" s="75"/>
      <c r="C3542" s="67"/>
      <c r="D3542" s="75"/>
      <c r="E3542" s="67"/>
      <c r="F3542" s="67"/>
      <c r="G3542" s="70"/>
      <c r="H3542" s="70"/>
      <c r="I3542" s="70"/>
      <c r="J3542" s="70"/>
      <c r="K3542" s="70"/>
      <c r="L3542" s="67"/>
      <c r="M3542" s="67"/>
      <c r="N3542" s="72"/>
      <c r="O3542" s="72"/>
      <c r="P3542" s="67"/>
      <c r="Q3542" s="67"/>
      <c r="R3542" s="67"/>
      <c r="S3542" s="67"/>
      <c r="T3542" s="32"/>
      <c r="U3542" s="32"/>
      <c r="X3542" s="32"/>
      <c r="Y3542" s="32"/>
      <c r="Z3542" s="32"/>
      <c r="AA3542" s="32"/>
      <c r="AB3542" s="32"/>
    </row>
    <row r="3543" spans="2:28" ht="23.25" customHeight="1" x14ac:dyDescent="0.2">
      <c r="B3543" s="75"/>
      <c r="C3543" s="67"/>
      <c r="D3543" s="75"/>
      <c r="E3543" s="67"/>
      <c r="F3543" s="67"/>
      <c r="G3543" s="70"/>
      <c r="H3543" s="70"/>
      <c r="I3543" s="70"/>
      <c r="J3543" s="70"/>
      <c r="K3543" s="70"/>
      <c r="L3543" s="67"/>
      <c r="M3543" s="67"/>
      <c r="N3543" s="72"/>
      <c r="O3543" s="72"/>
      <c r="P3543" s="67"/>
      <c r="Q3543" s="67"/>
      <c r="R3543" s="67"/>
      <c r="S3543" s="67"/>
      <c r="T3543" s="32"/>
      <c r="U3543" s="32"/>
      <c r="X3543" s="32"/>
      <c r="Y3543" s="32"/>
      <c r="Z3543" s="32"/>
      <c r="AA3543" s="32"/>
      <c r="AB3543" s="32"/>
    </row>
    <row r="3544" spans="2:28" ht="23.25" customHeight="1" x14ac:dyDescent="0.2">
      <c r="B3544" s="75"/>
      <c r="C3544" s="67"/>
      <c r="D3544" s="75"/>
      <c r="E3544" s="67"/>
      <c r="F3544" s="67"/>
      <c r="G3544" s="70"/>
      <c r="H3544" s="70"/>
      <c r="I3544" s="70"/>
      <c r="J3544" s="70"/>
      <c r="K3544" s="70"/>
      <c r="L3544" s="67"/>
      <c r="M3544" s="67"/>
      <c r="N3544" s="72"/>
      <c r="O3544" s="72"/>
      <c r="P3544" s="67"/>
      <c r="Q3544" s="67"/>
      <c r="R3544" s="67"/>
      <c r="S3544" s="67"/>
      <c r="T3544" s="32"/>
      <c r="U3544" s="32"/>
      <c r="X3544" s="32"/>
      <c r="Y3544" s="32"/>
      <c r="Z3544" s="32"/>
      <c r="AA3544" s="32"/>
      <c r="AB3544" s="32"/>
    </row>
    <row r="3545" spans="2:28" ht="23.25" customHeight="1" x14ac:dyDescent="0.2">
      <c r="B3545" s="75"/>
      <c r="C3545" s="67"/>
      <c r="D3545" s="75"/>
      <c r="E3545" s="67"/>
      <c r="F3545" s="67"/>
      <c r="G3545" s="70"/>
      <c r="H3545" s="70"/>
      <c r="I3545" s="70"/>
      <c r="J3545" s="70"/>
      <c r="K3545" s="70"/>
      <c r="L3545" s="67"/>
      <c r="M3545" s="67"/>
      <c r="N3545" s="72"/>
      <c r="O3545" s="72"/>
      <c r="P3545" s="67"/>
      <c r="Q3545" s="67"/>
      <c r="R3545" s="67"/>
      <c r="S3545" s="67"/>
      <c r="T3545" s="32"/>
      <c r="U3545" s="32"/>
      <c r="X3545" s="32"/>
      <c r="Y3545" s="32"/>
      <c r="Z3545" s="32"/>
      <c r="AA3545" s="32"/>
      <c r="AB3545" s="32"/>
    </row>
    <row r="3546" spans="2:28" ht="23.25" customHeight="1" x14ac:dyDescent="0.2">
      <c r="B3546" s="75"/>
      <c r="C3546" s="67"/>
      <c r="D3546" s="75"/>
      <c r="E3546" s="67"/>
      <c r="F3546" s="67"/>
      <c r="G3546" s="70"/>
      <c r="H3546" s="70"/>
      <c r="I3546" s="70"/>
      <c r="J3546" s="70"/>
      <c r="K3546" s="70"/>
      <c r="L3546" s="67"/>
      <c r="M3546" s="67"/>
      <c r="N3546" s="72"/>
      <c r="O3546" s="72"/>
      <c r="P3546" s="67"/>
      <c r="Q3546" s="67"/>
      <c r="R3546" s="67"/>
      <c r="S3546" s="67"/>
      <c r="T3546" s="32"/>
      <c r="U3546" s="32"/>
      <c r="X3546" s="32"/>
      <c r="Y3546" s="32"/>
      <c r="Z3546" s="32"/>
      <c r="AA3546" s="32"/>
      <c r="AB3546" s="32"/>
    </row>
    <row r="3547" spans="2:28" ht="23.25" customHeight="1" x14ac:dyDescent="0.2">
      <c r="B3547" s="75"/>
      <c r="C3547" s="67"/>
      <c r="D3547" s="75"/>
      <c r="E3547" s="67"/>
      <c r="F3547" s="67"/>
      <c r="G3547" s="70"/>
      <c r="H3547" s="70"/>
      <c r="I3547" s="70"/>
      <c r="J3547" s="70"/>
      <c r="K3547" s="70"/>
      <c r="L3547" s="67"/>
      <c r="M3547" s="67"/>
      <c r="N3547" s="72"/>
      <c r="O3547" s="72"/>
      <c r="P3547" s="67"/>
      <c r="Q3547" s="67"/>
      <c r="R3547" s="67"/>
      <c r="S3547" s="67"/>
      <c r="T3547" s="32"/>
      <c r="U3547" s="32"/>
      <c r="X3547" s="32"/>
      <c r="Y3547" s="32"/>
      <c r="Z3547" s="32"/>
      <c r="AA3547" s="32"/>
      <c r="AB3547" s="32"/>
    </row>
    <row r="3548" spans="2:28" ht="23.25" customHeight="1" x14ac:dyDescent="0.2">
      <c r="B3548" s="75"/>
      <c r="C3548" s="67"/>
      <c r="D3548" s="75"/>
      <c r="E3548" s="67"/>
      <c r="F3548" s="67"/>
      <c r="G3548" s="70"/>
      <c r="H3548" s="70"/>
      <c r="I3548" s="70"/>
      <c r="J3548" s="70"/>
      <c r="K3548" s="70"/>
      <c r="L3548" s="67"/>
      <c r="M3548" s="67"/>
      <c r="N3548" s="72"/>
      <c r="O3548" s="72"/>
      <c r="P3548" s="67"/>
      <c r="Q3548" s="67"/>
      <c r="R3548" s="67"/>
      <c r="S3548" s="67"/>
      <c r="T3548" s="32"/>
      <c r="U3548" s="32"/>
      <c r="X3548" s="32"/>
      <c r="Y3548" s="32"/>
      <c r="Z3548" s="32"/>
      <c r="AA3548" s="32"/>
      <c r="AB3548" s="32"/>
    </row>
    <row r="3549" spans="2:28" ht="23.25" customHeight="1" x14ac:dyDescent="0.2">
      <c r="B3549" s="75"/>
      <c r="C3549" s="67"/>
      <c r="D3549" s="75"/>
      <c r="E3549" s="67"/>
      <c r="F3549" s="67"/>
      <c r="G3549" s="70"/>
      <c r="H3549" s="70"/>
      <c r="I3549" s="70"/>
      <c r="J3549" s="70"/>
      <c r="K3549" s="70"/>
      <c r="L3549" s="67"/>
      <c r="M3549" s="67"/>
      <c r="N3549" s="72"/>
      <c r="O3549" s="72"/>
      <c r="P3549" s="67"/>
      <c r="Q3549" s="67"/>
      <c r="R3549" s="67"/>
      <c r="S3549" s="67"/>
      <c r="T3549" s="32"/>
      <c r="U3549" s="32"/>
      <c r="X3549" s="32"/>
      <c r="Y3549" s="32"/>
      <c r="Z3549" s="32"/>
      <c r="AA3549" s="32"/>
      <c r="AB3549" s="32"/>
    </row>
    <row r="3550" spans="2:28" ht="23.25" customHeight="1" x14ac:dyDescent="0.2">
      <c r="B3550" s="75"/>
      <c r="C3550" s="67"/>
      <c r="D3550" s="75"/>
      <c r="E3550" s="67"/>
      <c r="F3550" s="67"/>
      <c r="G3550" s="70"/>
      <c r="H3550" s="70"/>
      <c r="I3550" s="70"/>
      <c r="J3550" s="70"/>
      <c r="K3550" s="70"/>
      <c r="L3550" s="67"/>
      <c r="M3550" s="67"/>
      <c r="N3550" s="72"/>
      <c r="O3550" s="72"/>
      <c r="P3550" s="67"/>
      <c r="Q3550" s="67"/>
      <c r="R3550" s="67"/>
      <c r="S3550" s="67"/>
      <c r="T3550" s="32"/>
      <c r="U3550" s="32"/>
      <c r="X3550" s="32"/>
      <c r="Y3550" s="32"/>
      <c r="Z3550" s="32"/>
      <c r="AA3550" s="32"/>
      <c r="AB3550" s="32"/>
    </row>
    <row r="3551" spans="2:28" ht="23.25" customHeight="1" x14ac:dyDescent="0.2">
      <c r="B3551" s="75"/>
      <c r="C3551" s="67"/>
      <c r="D3551" s="75"/>
      <c r="E3551" s="67"/>
      <c r="F3551" s="67"/>
      <c r="G3551" s="70"/>
      <c r="H3551" s="70"/>
      <c r="I3551" s="70"/>
      <c r="J3551" s="70"/>
      <c r="K3551" s="70"/>
      <c r="L3551" s="67"/>
      <c r="M3551" s="67"/>
      <c r="N3551" s="72"/>
      <c r="O3551" s="72"/>
      <c r="P3551" s="67"/>
      <c r="Q3551" s="67"/>
      <c r="R3551" s="67"/>
      <c r="S3551" s="67"/>
      <c r="T3551" s="32"/>
      <c r="U3551" s="32"/>
      <c r="X3551" s="32"/>
      <c r="Y3551" s="32"/>
      <c r="Z3551" s="32"/>
      <c r="AA3551" s="32"/>
      <c r="AB3551" s="32"/>
    </row>
    <row r="3552" spans="2:28" ht="23.25" customHeight="1" x14ac:dyDescent="0.2">
      <c r="B3552" s="75"/>
      <c r="C3552" s="67"/>
      <c r="D3552" s="75"/>
      <c r="E3552" s="67"/>
      <c r="F3552" s="67"/>
      <c r="G3552" s="70"/>
      <c r="H3552" s="70"/>
      <c r="I3552" s="70"/>
      <c r="J3552" s="70"/>
      <c r="K3552" s="70"/>
      <c r="L3552" s="67"/>
      <c r="M3552" s="67"/>
      <c r="N3552" s="72"/>
      <c r="O3552" s="72"/>
      <c r="P3552" s="67"/>
      <c r="Q3552" s="67"/>
      <c r="R3552" s="67"/>
      <c r="S3552" s="67"/>
      <c r="T3552" s="32"/>
      <c r="U3552" s="32"/>
      <c r="X3552" s="32"/>
      <c r="Y3552" s="32"/>
      <c r="Z3552" s="32"/>
      <c r="AA3552" s="32"/>
      <c r="AB3552" s="32"/>
    </row>
    <row r="3553" spans="2:28" ht="23.25" customHeight="1" x14ac:dyDescent="0.2">
      <c r="B3553" s="75"/>
      <c r="C3553" s="67"/>
      <c r="D3553" s="75"/>
      <c r="E3553" s="67"/>
      <c r="F3553" s="67"/>
      <c r="G3553" s="70"/>
      <c r="H3553" s="70"/>
      <c r="I3553" s="70"/>
      <c r="J3553" s="70"/>
      <c r="K3553" s="70"/>
      <c r="L3553" s="67"/>
      <c r="M3553" s="67"/>
      <c r="N3553" s="72"/>
      <c r="O3553" s="72"/>
      <c r="P3553" s="67"/>
      <c r="Q3553" s="67"/>
      <c r="R3553" s="67"/>
      <c r="S3553" s="67"/>
      <c r="T3553" s="32"/>
      <c r="U3553" s="32"/>
      <c r="X3553" s="32"/>
      <c r="Y3553" s="32"/>
      <c r="Z3553" s="32"/>
      <c r="AA3553" s="32"/>
      <c r="AB3553" s="32"/>
    </row>
    <row r="3554" spans="2:28" ht="23.25" customHeight="1" x14ac:dyDescent="0.2">
      <c r="B3554" s="75"/>
      <c r="C3554" s="67"/>
      <c r="D3554" s="75"/>
      <c r="E3554" s="67"/>
      <c r="F3554" s="67"/>
      <c r="G3554" s="70"/>
      <c r="H3554" s="70"/>
      <c r="I3554" s="70"/>
      <c r="J3554" s="70"/>
      <c r="K3554" s="70"/>
      <c r="L3554" s="67"/>
      <c r="M3554" s="67"/>
      <c r="N3554" s="72"/>
      <c r="O3554" s="72"/>
      <c r="P3554" s="67"/>
      <c r="Q3554" s="67"/>
      <c r="R3554" s="67"/>
      <c r="S3554" s="67"/>
      <c r="T3554" s="32"/>
      <c r="U3554" s="32"/>
      <c r="X3554" s="32"/>
      <c r="Y3554" s="32"/>
      <c r="Z3554" s="32"/>
      <c r="AA3554" s="32"/>
      <c r="AB3554" s="32"/>
    </row>
    <row r="3555" spans="2:28" ht="23.25" customHeight="1" x14ac:dyDescent="0.2">
      <c r="B3555" s="75"/>
      <c r="C3555" s="67"/>
      <c r="D3555" s="75"/>
      <c r="E3555" s="67"/>
      <c r="F3555" s="67"/>
      <c r="G3555" s="70"/>
      <c r="H3555" s="70"/>
      <c r="I3555" s="70"/>
      <c r="J3555" s="70"/>
      <c r="K3555" s="70"/>
      <c r="L3555" s="67"/>
      <c r="M3555" s="67"/>
      <c r="N3555" s="72"/>
      <c r="O3555" s="72"/>
      <c r="P3555" s="67"/>
      <c r="Q3555" s="67"/>
      <c r="R3555" s="67"/>
      <c r="S3555" s="67"/>
      <c r="T3555" s="32"/>
      <c r="U3555" s="32"/>
      <c r="X3555" s="32"/>
      <c r="Y3555" s="32"/>
      <c r="Z3555" s="32"/>
      <c r="AA3555" s="32"/>
      <c r="AB3555" s="32"/>
    </row>
    <row r="3556" spans="2:28" ht="23.25" customHeight="1" x14ac:dyDescent="0.2">
      <c r="B3556" s="75"/>
      <c r="C3556" s="67"/>
      <c r="D3556" s="75"/>
      <c r="E3556" s="67"/>
      <c r="F3556" s="67"/>
      <c r="G3556" s="70"/>
      <c r="H3556" s="70"/>
      <c r="I3556" s="70"/>
      <c r="J3556" s="70"/>
      <c r="K3556" s="70"/>
      <c r="L3556" s="67"/>
      <c r="M3556" s="67"/>
      <c r="N3556" s="72"/>
      <c r="O3556" s="72"/>
      <c r="P3556" s="67"/>
      <c r="Q3556" s="67"/>
      <c r="R3556" s="67"/>
      <c r="S3556" s="67"/>
      <c r="T3556" s="32"/>
      <c r="U3556" s="32"/>
      <c r="X3556" s="32"/>
      <c r="Y3556" s="32"/>
      <c r="Z3556" s="32"/>
      <c r="AA3556" s="32"/>
      <c r="AB3556" s="32"/>
    </row>
    <row r="3557" spans="2:28" ht="23.25" customHeight="1" x14ac:dyDescent="0.2">
      <c r="B3557" s="75"/>
      <c r="C3557" s="67"/>
      <c r="D3557" s="75"/>
      <c r="E3557" s="67"/>
      <c r="F3557" s="67"/>
      <c r="G3557" s="70"/>
      <c r="H3557" s="70"/>
      <c r="I3557" s="70"/>
      <c r="J3557" s="70"/>
      <c r="K3557" s="70"/>
      <c r="L3557" s="67"/>
      <c r="M3557" s="67"/>
      <c r="N3557" s="72"/>
      <c r="O3557" s="72"/>
      <c r="P3557" s="67"/>
      <c r="Q3557" s="67"/>
      <c r="R3557" s="67"/>
      <c r="S3557" s="67"/>
      <c r="T3557" s="32"/>
      <c r="U3557" s="32"/>
      <c r="X3557" s="32"/>
      <c r="Y3557" s="32"/>
      <c r="Z3557" s="32"/>
      <c r="AA3557" s="32"/>
      <c r="AB3557" s="32"/>
    </row>
    <row r="3558" spans="2:28" ht="23.25" customHeight="1" x14ac:dyDescent="0.2">
      <c r="B3558" s="75"/>
      <c r="C3558" s="67"/>
      <c r="D3558" s="75"/>
      <c r="E3558" s="67"/>
      <c r="F3558" s="67"/>
      <c r="G3558" s="70"/>
      <c r="H3558" s="70"/>
      <c r="I3558" s="70"/>
      <c r="J3558" s="70"/>
      <c r="K3558" s="70"/>
      <c r="L3558" s="67"/>
      <c r="M3558" s="67"/>
      <c r="N3558" s="72"/>
      <c r="O3558" s="72"/>
      <c r="P3558" s="67"/>
      <c r="Q3558" s="67"/>
      <c r="R3558" s="67"/>
      <c r="S3558" s="67"/>
      <c r="T3558" s="32"/>
      <c r="U3558" s="32"/>
      <c r="X3558" s="32"/>
      <c r="Y3558" s="32"/>
      <c r="Z3558" s="32"/>
      <c r="AA3558" s="32"/>
      <c r="AB3558" s="32"/>
    </row>
    <row r="3559" spans="2:28" ht="23.25" customHeight="1" x14ac:dyDescent="0.2">
      <c r="B3559" s="75"/>
      <c r="C3559" s="67"/>
      <c r="D3559" s="75"/>
      <c r="E3559" s="67"/>
      <c r="F3559" s="67"/>
      <c r="G3559" s="70"/>
      <c r="H3559" s="70"/>
      <c r="I3559" s="70"/>
      <c r="J3559" s="70"/>
      <c r="K3559" s="70"/>
      <c r="L3559" s="67"/>
      <c r="M3559" s="67"/>
      <c r="N3559" s="72"/>
      <c r="O3559" s="72"/>
      <c r="P3559" s="67"/>
      <c r="Q3559" s="67"/>
      <c r="R3559" s="67"/>
      <c r="S3559" s="67"/>
      <c r="T3559" s="32"/>
      <c r="U3559" s="32"/>
      <c r="X3559" s="32"/>
      <c r="Y3559" s="32"/>
      <c r="Z3559" s="32"/>
      <c r="AA3559" s="32"/>
      <c r="AB3559" s="32"/>
    </row>
    <row r="3560" spans="2:28" ht="23.25" customHeight="1" x14ac:dyDescent="0.2">
      <c r="B3560" s="75"/>
      <c r="C3560" s="67"/>
      <c r="D3560" s="75"/>
      <c r="E3560" s="67"/>
      <c r="F3560" s="67"/>
      <c r="G3560" s="70"/>
      <c r="H3560" s="70"/>
      <c r="I3560" s="70"/>
      <c r="J3560" s="70"/>
      <c r="K3560" s="70"/>
      <c r="L3560" s="67"/>
      <c r="M3560" s="67"/>
      <c r="N3560" s="72"/>
      <c r="O3560" s="72"/>
      <c r="P3560" s="67"/>
      <c r="Q3560" s="67"/>
      <c r="R3560" s="67"/>
      <c r="S3560" s="67"/>
      <c r="T3560" s="32"/>
      <c r="U3560" s="32"/>
      <c r="X3560" s="32"/>
      <c r="Y3560" s="32"/>
      <c r="Z3560" s="32"/>
      <c r="AA3560" s="32"/>
      <c r="AB3560" s="32"/>
    </row>
    <row r="3561" spans="2:28" ht="23.25" customHeight="1" x14ac:dyDescent="0.2">
      <c r="B3561" s="75"/>
      <c r="C3561" s="67"/>
      <c r="D3561" s="75"/>
      <c r="E3561" s="67"/>
      <c r="F3561" s="67"/>
      <c r="G3561" s="70"/>
      <c r="H3561" s="70"/>
      <c r="I3561" s="70"/>
      <c r="J3561" s="70"/>
      <c r="K3561" s="70"/>
      <c r="L3561" s="67"/>
      <c r="M3561" s="67"/>
      <c r="N3561" s="72"/>
      <c r="O3561" s="72"/>
      <c r="P3561" s="67"/>
      <c r="Q3561" s="67"/>
      <c r="R3561" s="67"/>
      <c r="S3561" s="67"/>
      <c r="T3561" s="32"/>
      <c r="U3561" s="32"/>
      <c r="X3561" s="32"/>
      <c r="Y3561" s="32"/>
      <c r="Z3561" s="32"/>
      <c r="AA3561" s="32"/>
      <c r="AB3561" s="32"/>
    </row>
    <row r="3562" spans="2:28" ht="23.25" customHeight="1" x14ac:dyDescent="0.2">
      <c r="B3562" s="75"/>
      <c r="C3562" s="67"/>
      <c r="D3562" s="75"/>
      <c r="E3562" s="67"/>
      <c r="F3562" s="67"/>
      <c r="G3562" s="70"/>
      <c r="H3562" s="70"/>
      <c r="I3562" s="70"/>
      <c r="J3562" s="70"/>
      <c r="K3562" s="70"/>
      <c r="L3562" s="67"/>
      <c r="M3562" s="67"/>
      <c r="N3562" s="72"/>
      <c r="O3562" s="72"/>
      <c r="P3562" s="67"/>
      <c r="Q3562" s="67"/>
      <c r="R3562" s="67"/>
      <c r="S3562" s="67"/>
      <c r="T3562" s="32"/>
      <c r="U3562" s="32"/>
      <c r="X3562" s="32"/>
      <c r="Y3562" s="32"/>
      <c r="Z3562" s="32"/>
      <c r="AA3562" s="32"/>
      <c r="AB3562" s="32"/>
    </row>
    <row r="3563" spans="2:28" ht="23.25" customHeight="1" x14ac:dyDescent="0.2">
      <c r="B3563" s="75"/>
      <c r="C3563" s="67"/>
      <c r="D3563" s="75"/>
      <c r="E3563" s="67"/>
      <c r="F3563" s="67"/>
      <c r="G3563" s="70"/>
      <c r="H3563" s="70"/>
      <c r="I3563" s="70"/>
      <c r="J3563" s="70"/>
      <c r="K3563" s="70"/>
      <c r="L3563" s="67"/>
      <c r="M3563" s="67"/>
      <c r="N3563" s="72"/>
      <c r="O3563" s="72"/>
      <c r="P3563" s="67"/>
      <c r="Q3563" s="67"/>
      <c r="R3563" s="67"/>
      <c r="S3563" s="67"/>
      <c r="T3563" s="32"/>
      <c r="U3563" s="32"/>
      <c r="X3563" s="32"/>
      <c r="Y3563" s="32"/>
      <c r="Z3563" s="32"/>
      <c r="AA3563" s="32"/>
      <c r="AB3563" s="32"/>
    </row>
    <row r="3564" spans="2:28" ht="23.25" customHeight="1" x14ac:dyDescent="0.2">
      <c r="B3564" s="75"/>
      <c r="C3564" s="67"/>
      <c r="D3564" s="75"/>
      <c r="E3564" s="67"/>
      <c r="F3564" s="67"/>
      <c r="G3564" s="70"/>
      <c r="H3564" s="70"/>
      <c r="I3564" s="70"/>
      <c r="J3564" s="70"/>
      <c r="K3564" s="70"/>
      <c r="L3564" s="67"/>
      <c r="M3564" s="67"/>
      <c r="N3564" s="72"/>
      <c r="O3564" s="72"/>
      <c r="P3564" s="67"/>
      <c r="Q3564" s="67"/>
      <c r="R3564" s="67"/>
      <c r="S3564" s="67"/>
      <c r="T3564" s="32"/>
      <c r="U3564" s="32"/>
      <c r="X3564" s="32"/>
      <c r="Y3564" s="32"/>
      <c r="Z3564" s="32"/>
      <c r="AA3564" s="32"/>
      <c r="AB3564" s="32"/>
    </row>
    <row r="3565" spans="2:28" ht="23.25" customHeight="1" x14ac:dyDescent="0.2">
      <c r="B3565" s="75"/>
      <c r="C3565" s="67"/>
      <c r="D3565" s="75"/>
      <c r="E3565" s="67"/>
      <c r="F3565" s="67"/>
      <c r="G3565" s="70"/>
      <c r="H3565" s="70"/>
      <c r="I3565" s="70"/>
      <c r="J3565" s="70"/>
      <c r="K3565" s="70"/>
      <c r="L3565" s="67"/>
      <c r="M3565" s="67"/>
      <c r="N3565" s="72"/>
      <c r="O3565" s="72"/>
      <c r="P3565" s="67"/>
      <c r="Q3565" s="67"/>
      <c r="R3565" s="67"/>
      <c r="S3565" s="67"/>
      <c r="T3565" s="32"/>
      <c r="U3565" s="32"/>
      <c r="X3565" s="32"/>
      <c r="Y3565" s="32"/>
      <c r="Z3565" s="32"/>
      <c r="AA3565" s="32"/>
      <c r="AB3565" s="32"/>
    </row>
    <row r="3566" spans="2:28" ht="23.25" customHeight="1" x14ac:dyDescent="0.2">
      <c r="B3566" s="75"/>
      <c r="C3566" s="67"/>
      <c r="D3566" s="75"/>
      <c r="E3566" s="67"/>
      <c r="F3566" s="67"/>
      <c r="G3566" s="70"/>
      <c r="H3566" s="70"/>
      <c r="I3566" s="70"/>
      <c r="J3566" s="70"/>
      <c r="K3566" s="70"/>
      <c r="L3566" s="67"/>
      <c r="M3566" s="67"/>
      <c r="N3566" s="72"/>
      <c r="O3566" s="72"/>
      <c r="P3566" s="67"/>
      <c r="Q3566" s="67"/>
      <c r="R3566" s="67"/>
      <c r="S3566" s="67"/>
      <c r="T3566" s="32"/>
      <c r="U3566" s="32"/>
      <c r="X3566" s="32"/>
      <c r="Y3566" s="32"/>
      <c r="Z3566" s="32"/>
      <c r="AA3566" s="32"/>
      <c r="AB3566" s="32"/>
    </row>
    <row r="3567" spans="2:28" ht="23.25" customHeight="1" x14ac:dyDescent="0.2">
      <c r="B3567" s="75"/>
      <c r="C3567" s="67"/>
      <c r="D3567" s="75"/>
      <c r="E3567" s="67"/>
      <c r="F3567" s="67"/>
      <c r="G3567" s="70"/>
      <c r="H3567" s="70"/>
      <c r="I3567" s="70"/>
      <c r="J3567" s="70"/>
      <c r="K3567" s="70"/>
      <c r="L3567" s="67"/>
      <c r="M3567" s="67"/>
      <c r="N3567" s="72"/>
      <c r="O3567" s="72"/>
      <c r="P3567" s="67"/>
      <c r="Q3567" s="67"/>
      <c r="R3567" s="67"/>
      <c r="S3567" s="67"/>
      <c r="T3567" s="32"/>
      <c r="U3567" s="32"/>
      <c r="X3567" s="32"/>
      <c r="Y3567" s="32"/>
      <c r="Z3567" s="32"/>
      <c r="AA3567" s="32"/>
      <c r="AB3567" s="32"/>
    </row>
    <row r="3568" spans="2:28" ht="23.25" customHeight="1" x14ac:dyDescent="0.2">
      <c r="B3568" s="75"/>
      <c r="C3568" s="67"/>
      <c r="D3568" s="75"/>
      <c r="E3568" s="67"/>
      <c r="F3568" s="67"/>
      <c r="G3568" s="70"/>
      <c r="H3568" s="70"/>
      <c r="I3568" s="70"/>
      <c r="J3568" s="70"/>
      <c r="K3568" s="70"/>
      <c r="L3568" s="67"/>
      <c r="M3568" s="67"/>
      <c r="N3568" s="72"/>
      <c r="O3568" s="72"/>
      <c r="P3568" s="67"/>
      <c r="Q3568" s="67"/>
      <c r="R3568" s="67"/>
      <c r="S3568" s="67"/>
      <c r="T3568" s="32"/>
      <c r="U3568" s="32"/>
      <c r="X3568" s="32"/>
      <c r="Y3568" s="32"/>
      <c r="Z3568" s="32"/>
      <c r="AA3568" s="32"/>
      <c r="AB3568" s="32"/>
    </row>
    <row r="3569" spans="2:28" ht="23.25" customHeight="1" x14ac:dyDescent="0.2">
      <c r="B3569" s="75"/>
      <c r="C3569" s="67"/>
      <c r="D3569" s="75"/>
      <c r="E3569" s="67"/>
      <c r="F3569" s="67"/>
      <c r="G3569" s="70"/>
      <c r="H3569" s="70"/>
      <c r="I3569" s="70"/>
      <c r="J3569" s="70"/>
      <c r="K3569" s="70"/>
      <c r="L3569" s="67"/>
      <c r="M3569" s="67"/>
      <c r="N3569" s="72"/>
      <c r="O3569" s="72"/>
      <c r="P3569" s="67"/>
      <c r="Q3569" s="67"/>
      <c r="R3569" s="67"/>
      <c r="S3569" s="67"/>
      <c r="T3569" s="32"/>
      <c r="U3569" s="32"/>
      <c r="X3569" s="32"/>
      <c r="Y3569" s="32"/>
      <c r="Z3569" s="32"/>
      <c r="AA3569" s="32"/>
      <c r="AB3569" s="32"/>
    </row>
    <row r="3570" spans="2:28" ht="23.25" customHeight="1" x14ac:dyDescent="0.2">
      <c r="B3570" s="75"/>
      <c r="C3570" s="67"/>
      <c r="D3570" s="75"/>
      <c r="E3570" s="67"/>
      <c r="F3570" s="67"/>
      <c r="G3570" s="70"/>
      <c r="H3570" s="70"/>
      <c r="I3570" s="70"/>
      <c r="J3570" s="70"/>
      <c r="K3570" s="70"/>
      <c r="L3570" s="67"/>
      <c r="M3570" s="67"/>
      <c r="N3570" s="72"/>
      <c r="O3570" s="72"/>
      <c r="P3570" s="67"/>
      <c r="Q3570" s="67"/>
      <c r="R3570" s="67"/>
      <c r="S3570" s="67"/>
      <c r="T3570" s="32"/>
      <c r="U3570" s="32"/>
      <c r="X3570" s="32"/>
      <c r="Y3570" s="32"/>
      <c r="Z3570" s="32"/>
      <c r="AA3570" s="32"/>
      <c r="AB3570" s="32"/>
    </row>
    <row r="3571" spans="2:28" ht="23.25" customHeight="1" x14ac:dyDescent="0.2">
      <c r="B3571" s="75"/>
      <c r="C3571" s="67"/>
      <c r="D3571" s="75"/>
      <c r="E3571" s="67"/>
      <c r="F3571" s="67"/>
      <c r="G3571" s="70"/>
      <c r="H3571" s="70"/>
      <c r="I3571" s="70"/>
      <c r="J3571" s="70"/>
      <c r="K3571" s="70"/>
      <c r="L3571" s="67"/>
      <c r="M3571" s="67"/>
      <c r="N3571" s="72"/>
      <c r="O3571" s="72"/>
      <c r="P3571" s="67"/>
      <c r="Q3571" s="67"/>
      <c r="R3571" s="67"/>
      <c r="S3571" s="67"/>
      <c r="T3571" s="32"/>
      <c r="U3571" s="32"/>
      <c r="X3571" s="32"/>
      <c r="Y3571" s="32"/>
      <c r="Z3571" s="32"/>
      <c r="AA3571" s="32"/>
      <c r="AB3571" s="32"/>
    </row>
    <row r="3572" spans="2:28" ht="23.25" customHeight="1" x14ac:dyDescent="0.2">
      <c r="B3572" s="75"/>
      <c r="C3572" s="67"/>
      <c r="D3572" s="75"/>
      <c r="E3572" s="67"/>
      <c r="F3572" s="67"/>
      <c r="G3572" s="70"/>
      <c r="H3572" s="70"/>
      <c r="I3572" s="70"/>
      <c r="J3572" s="70"/>
      <c r="K3572" s="70"/>
      <c r="L3572" s="67"/>
      <c r="M3572" s="67"/>
      <c r="N3572" s="72"/>
      <c r="O3572" s="72"/>
      <c r="P3572" s="67"/>
      <c r="Q3572" s="67"/>
      <c r="R3572" s="67"/>
      <c r="S3572" s="67"/>
      <c r="T3572" s="32"/>
      <c r="U3572" s="32"/>
      <c r="X3572" s="32"/>
      <c r="Y3572" s="32"/>
      <c r="Z3572" s="32"/>
      <c r="AA3572" s="32"/>
      <c r="AB3572" s="32"/>
    </row>
    <row r="3573" spans="2:28" ht="23.25" customHeight="1" x14ac:dyDescent="0.2">
      <c r="B3573" s="75"/>
      <c r="C3573" s="67"/>
      <c r="D3573" s="75"/>
      <c r="E3573" s="67"/>
      <c r="F3573" s="67"/>
      <c r="G3573" s="70"/>
      <c r="H3573" s="70"/>
      <c r="I3573" s="70"/>
      <c r="J3573" s="70"/>
      <c r="K3573" s="70"/>
      <c r="L3573" s="67"/>
      <c r="M3573" s="67"/>
      <c r="N3573" s="72"/>
      <c r="O3573" s="72"/>
      <c r="P3573" s="67"/>
      <c r="Q3573" s="67"/>
      <c r="R3573" s="67"/>
      <c r="S3573" s="67"/>
      <c r="T3573" s="32"/>
      <c r="U3573" s="32"/>
      <c r="X3573" s="32"/>
      <c r="Y3573" s="32"/>
      <c r="Z3573" s="32"/>
      <c r="AA3573" s="32"/>
      <c r="AB3573" s="32"/>
    </row>
    <row r="3574" spans="2:28" ht="23.25" customHeight="1" x14ac:dyDescent="0.2">
      <c r="B3574" s="75"/>
      <c r="C3574" s="67"/>
      <c r="D3574" s="75"/>
      <c r="E3574" s="67"/>
      <c r="F3574" s="67"/>
      <c r="G3574" s="70"/>
      <c r="H3574" s="70"/>
      <c r="I3574" s="70"/>
      <c r="J3574" s="70"/>
      <c r="K3574" s="70"/>
      <c r="L3574" s="67"/>
      <c r="M3574" s="67"/>
      <c r="N3574" s="72"/>
      <c r="O3574" s="72"/>
      <c r="P3574" s="67"/>
      <c r="Q3574" s="67"/>
      <c r="R3574" s="67"/>
      <c r="S3574" s="67"/>
      <c r="T3574" s="32"/>
      <c r="U3574" s="32"/>
      <c r="X3574" s="32"/>
      <c r="Y3574" s="32"/>
      <c r="Z3574" s="32"/>
      <c r="AA3574" s="32"/>
      <c r="AB3574" s="32"/>
    </row>
    <row r="3575" spans="2:28" ht="23.25" customHeight="1" x14ac:dyDescent="0.2">
      <c r="B3575" s="75"/>
      <c r="C3575" s="67"/>
      <c r="D3575" s="75"/>
      <c r="E3575" s="67"/>
      <c r="F3575" s="67"/>
      <c r="G3575" s="70"/>
      <c r="H3575" s="70"/>
      <c r="I3575" s="70"/>
      <c r="J3575" s="70"/>
      <c r="K3575" s="70"/>
      <c r="L3575" s="67"/>
      <c r="M3575" s="67"/>
      <c r="N3575" s="72"/>
      <c r="O3575" s="72"/>
      <c r="P3575" s="67"/>
      <c r="Q3575" s="67"/>
      <c r="R3575" s="67"/>
      <c r="S3575" s="67"/>
      <c r="T3575" s="32"/>
      <c r="U3575" s="32"/>
      <c r="X3575" s="32"/>
      <c r="Y3575" s="32"/>
      <c r="Z3575" s="32"/>
      <c r="AA3575" s="32"/>
      <c r="AB3575" s="32"/>
    </row>
    <row r="3576" spans="2:28" ht="23.25" customHeight="1" x14ac:dyDescent="0.2">
      <c r="B3576" s="75"/>
      <c r="C3576" s="67"/>
      <c r="D3576" s="75"/>
      <c r="E3576" s="67"/>
      <c r="F3576" s="67"/>
      <c r="G3576" s="70"/>
      <c r="H3576" s="70"/>
      <c r="I3576" s="70"/>
      <c r="J3576" s="70"/>
      <c r="K3576" s="70"/>
      <c r="L3576" s="67"/>
      <c r="M3576" s="67"/>
      <c r="N3576" s="72"/>
      <c r="O3576" s="72"/>
      <c r="P3576" s="67"/>
      <c r="Q3576" s="67"/>
      <c r="R3576" s="67"/>
      <c r="S3576" s="67"/>
      <c r="T3576" s="32"/>
      <c r="U3576" s="32"/>
      <c r="X3576" s="32"/>
      <c r="Y3576" s="32"/>
      <c r="Z3576" s="32"/>
      <c r="AA3576" s="32"/>
      <c r="AB3576" s="32"/>
    </row>
    <row r="3577" spans="2:28" ht="23.25" customHeight="1" x14ac:dyDescent="0.2">
      <c r="B3577" s="75"/>
      <c r="C3577" s="67"/>
      <c r="D3577" s="75"/>
      <c r="E3577" s="67"/>
      <c r="F3577" s="67"/>
      <c r="G3577" s="70"/>
      <c r="H3577" s="70"/>
      <c r="I3577" s="70"/>
      <c r="J3577" s="70"/>
      <c r="K3577" s="70"/>
      <c r="L3577" s="67"/>
      <c r="M3577" s="67"/>
      <c r="N3577" s="72"/>
      <c r="O3577" s="72"/>
      <c r="P3577" s="67"/>
      <c r="Q3577" s="67"/>
      <c r="R3577" s="67"/>
      <c r="S3577" s="67"/>
      <c r="T3577" s="32"/>
      <c r="U3577" s="32"/>
      <c r="X3577" s="32"/>
      <c r="Y3577" s="32"/>
      <c r="Z3577" s="32"/>
      <c r="AA3577" s="32"/>
      <c r="AB3577" s="32"/>
    </row>
    <row r="3578" spans="2:28" ht="23.25" customHeight="1" x14ac:dyDescent="0.2">
      <c r="B3578" s="75"/>
      <c r="C3578" s="67"/>
      <c r="D3578" s="75"/>
      <c r="E3578" s="67"/>
      <c r="F3578" s="67"/>
      <c r="G3578" s="70"/>
      <c r="H3578" s="70"/>
      <c r="I3578" s="70"/>
      <c r="J3578" s="70"/>
      <c r="K3578" s="70"/>
      <c r="L3578" s="67"/>
      <c r="M3578" s="67"/>
      <c r="N3578" s="72"/>
      <c r="O3578" s="72"/>
      <c r="P3578" s="67"/>
      <c r="Q3578" s="67"/>
      <c r="R3578" s="67"/>
      <c r="S3578" s="67"/>
      <c r="T3578" s="32"/>
      <c r="U3578" s="32"/>
      <c r="X3578" s="32"/>
      <c r="Y3578" s="32"/>
      <c r="Z3578" s="32"/>
      <c r="AA3578" s="32"/>
      <c r="AB3578" s="32"/>
    </row>
    <row r="3579" spans="2:28" ht="23.25" customHeight="1" x14ac:dyDescent="0.2">
      <c r="B3579" s="75"/>
      <c r="C3579" s="67"/>
      <c r="D3579" s="75"/>
      <c r="E3579" s="67"/>
      <c r="F3579" s="67"/>
      <c r="G3579" s="70"/>
      <c r="H3579" s="70"/>
      <c r="I3579" s="70"/>
      <c r="J3579" s="70"/>
      <c r="K3579" s="70"/>
      <c r="L3579" s="67"/>
      <c r="M3579" s="67"/>
      <c r="N3579" s="72"/>
      <c r="O3579" s="72"/>
      <c r="P3579" s="67"/>
      <c r="Q3579" s="67"/>
      <c r="R3579" s="67"/>
      <c r="S3579" s="67"/>
      <c r="T3579" s="32"/>
      <c r="U3579" s="32"/>
      <c r="X3579" s="32"/>
      <c r="Y3579" s="32"/>
      <c r="Z3579" s="32"/>
      <c r="AA3579" s="32"/>
      <c r="AB3579" s="32"/>
    </row>
    <row r="3580" spans="2:28" ht="23.25" customHeight="1" x14ac:dyDescent="0.2">
      <c r="B3580" s="75"/>
      <c r="C3580" s="67"/>
      <c r="D3580" s="75"/>
      <c r="E3580" s="67"/>
      <c r="F3580" s="67"/>
      <c r="G3580" s="70"/>
      <c r="H3580" s="70"/>
      <c r="I3580" s="70"/>
      <c r="J3580" s="70"/>
      <c r="K3580" s="70"/>
      <c r="L3580" s="67"/>
      <c r="M3580" s="67"/>
      <c r="N3580" s="72"/>
      <c r="O3580" s="72"/>
      <c r="P3580" s="67"/>
      <c r="Q3580" s="67"/>
      <c r="R3580" s="67"/>
      <c r="S3580" s="67"/>
      <c r="T3580" s="32"/>
      <c r="U3580" s="32"/>
      <c r="X3580" s="32"/>
      <c r="Y3580" s="32"/>
      <c r="Z3580" s="32"/>
      <c r="AA3580" s="32"/>
      <c r="AB3580" s="32"/>
    </row>
    <row r="3581" spans="2:28" ht="23.25" customHeight="1" x14ac:dyDescent="0.2">
      <c r="B3581" s="75"/>
      <c r="C3581" s="67"/>
      <c r="D3581" s="75"/>
      <c r="E3581" s="67"/>
      <c r="F3581" s="67"/>
      <c r="G3581" s="70"/>
      <c r="H3581" s="70"/>
      <c r="I3581" s="70"/>
      <c r="J3581" s="70"/>
      <c r="K3581" s="70"/>
      <c r="L3581" s="67"/>
      <c r="M3581" s="67"/>
      <c r="N3581" s="72"/>
      <c r="O3581" s="72"/>
      <c r="P3581" s="67"/>
      <c r="Q3581" s="67"/>
      <c r="R3581" s="67"/>
      <c r="S3581" s="67"/>
      <c r="T3581" s="32"/>
      <c r="U3581" s="32"/>
      <c r="X3581" s="32"/>
      <c r="Y3581" s="32"/>
      <c r="Z3581" s="32"/>
      <c r="AA3581" s="32"/>
      <c r="AB3581" s="32"/>
    </row>
    <row r="3582" spans="2:28" ht="23.25" customHeight="1" x14ac:dyDescent="0.2">
      <c r="B3582" s="75"/>
      <c r="C3582" s="67"/>
      <c r="D3582" s="75"/>
      <c r="E3582" s="67"/>
      <c r="F3582" s="67"/>
      <c r="G3582" s="70"/>
      <c r="H3582" s="70"/>
      <c r="I3582" s="70"/>
      <c r="J3582" s="70"/>
      <c r="K3582" s="70"/>
      <c r="L3582" s="67"/>
      <c r="M3582" s="67"/>
      <c r="N3582" s="72"/>
      <c r="O3582" s="72"/>
      <c r="P3582" s="67"/>
      <c r="Q3582" s="67"/>
      <c r="R3582" s="67"/>
      <c r="S3582" s="67"/>
      <c r="T3582" s="32"/>
      <c r="U3582" s="32"/>
      <c r="X3582" s="32"/>
      <c r="Y3582" s="32"/>
      <c r="Z3582" s="32"/>
      <c r="AA3582" s="32"/>
      <c r="AB3582" s="32"/>
    </row>
    <row r="3583" spans="2:28" ht="23.25" customHeight="1" x14ac:dyDescent="0.2">
      <c r="B3583" s="75"/>
      <c r="C3583" s="67"/>
      <c r="D3583" s="75"/>
      <c r="E3583" s="67"/>
      <c r="F3583" s="67"/>
      <c r="G3583" s="70"/>
      <c r="H3583" s="70"/>
      <c r="I3583" s="70"/>
      <c r="J3583" s="70"/>
      <c r="K3583" s="70"/>
      <c r="L3583" s="67"/>
      <c r="M3583" s="67"/>
      <c r="N3583" s="72"/>
      <c r="O3583" s="72"/>
      <c r="P3583" s="67"/>
      <c r="Q3583" s="67"/>
      <c r="R3583" s="67"/>
      <c r="S3583" s="67"/>
      <c r="T3583" s="32"/>
      <c r="U3583" s="32"/>
      <c r="X3583" s="32"/>
      <c r="Y3583" s="32"/>
      <c r="Z3583" s="32"/>
      <c r="AA3583" s="32"/>
      <c r="AB3583" s="32"/>
    </row>
    <row r="3584" spans="2:28" ht="23.25" customHeight="1" x14ac:dyDescent="0.2">
      <c r="B3584" s="75"/>
      <c r="C3584" s="67"/>
      <c r="D3584" s="75"/>
      <c r="E3584" s="67"/>
      <c r="F3584" s="67"/>
      <c r="G3584" s="70"/>
      <c r="H3584" s="70"/>
      <c r="I3584" s="70"/>
      <c r="J3584" s="70"/>
      <c r="K3584" s="70"/>
      <c r="L3584" s="67"/>
      <c r="M3584" s="67"/>
      <c r="N3584" s="72"/>
      <c r="O3584" s="72"/>
      <c r="P3584" s="67"/>
      <c r="Q3584" s="67"/>
      <c r="R3584" s="67"/>
      <c r="S3584" s="67"/>
      <c r="T3584" s="32"/>
      <c r="U3584" s="32"/>
      <c r="X3584" s="32"/>
      <c r="Y3584" s="32"/>
      <c r="Z3584" s="32"/>
      <c r="AA3584" s="32"/>
      <c r="AB3584" s="32"/>
    </row>
    <row r="3585" spans="2:28" ht="23.25" customHeight="1" x14ac:dyDescent="0.2">
      <c r="B3585" s="75"/>
      <c r="C3585" s="67"/>
      <c r="D3585" s="75"/>
      <c r="E3585" s="67"/>
      <c r="F3585" s="67"/>
      <c r="G3585" s="70"/>
      <c r="H3585" s="70"/>
      <c r="I3585" s="70"/>
      <c r="J3585" s="70"/>
      <c r="K3585" s="70"/>
      <c r="L3585" s="67"/>
      <c r="M3585" s="67"/>
      <c r="N3585" s="72"/>
      <c r="O3585" s="72"/>
      <c r="P3585" s="67"/>
      <c r="Q3585" s="67"/>
      <c r="R3585" s="67"/>
      <c r="S3585" s="67"/>
      <c r="T3585" s="32"/>
      <c r="U3585" s="32"/>
      <c r="X3585" s="32"/>
      <c r="Y3585" s="32"/>
      <c r="Z3585" s="32"/>
      <c r="AA3585" s="32"/>
      <c r="AB3585" s="32"/>
    </row>
    <row r="3586" spans="2:28" ht="23.25" customHeight="1" x14ac:dyDescent="0.2">
      <c r="B3586" s="75"/>
      <c r="C3586" s="67"/>
      <c r="D3586" s="75"/>
      <c r="E3586" s="67"/>
      <c r="F3586" s="67"/>
      <c r="G3586" s="70"/>
      <c r="H3586" s="70"/>
      <c r="I3586" s="70"/>
      <c r="J3586" s="70"/>
      <c r="K3586" s="70"/>
      <c r="L3586" s="67"/>
      <c r="M3586" s="67"/>
      <c r="N3586" s="72"/>
      <c r="O3586" s="72"/>
      <c r="P3586" s="67"/>
      <c r="Q3586" s="67"/>
      <c r="R3586" s="67"/>
      <c r="S3586" s="67"/>
      <c r="T3586" s="32"/>
      <c r="U3586" s="32"/>
      <c r="X3586" s="32"/>
      <c r="Y3586" s="32"/>
      <c r="Z3586" s="32"/>
      <c r="AA3586" s="32"/>
      <c r="AB3586" s="32"/>
    </row>
    <row r="3587" spans="2:28" ht="23.25" customHeight="1" x14ac:dyDescent="0.2">
      <c r="B3587" s="75"/>
      <c r="C3587" s="67"/>
      <c r="D3587" s="75"/>
      <c r="E3587" s="67"/>
      <c r="F3587" s="67"/>
      <c r="G3587" s="70"/>
      <c r="H3587" s="70"/>
      <c r="I3587" s="70"/>
      <c r="J3587" s="70"/>
      <c r="K3587" s="70"/>
      <c r="L3587" s="67"/>
      <c r="M3587" s="67"/>
      <c r="N3587" s="72"/>
      <c r="O3587" s="72"/>
      <c r="P3587" s="67"/>
      <c r="Q3587" s="67"/>
      <c r="R3587" s="67"/>
      <c r="S3587" s="67"/>
      <c r="T3587" s="32"/>
      <c r="U3587" s="32"/>
      <c r="X3587" s="32"/>
      <c r="Y3587" s="32"/>
      <c r="Z3587" s="32"/>
      <c r="AA3587" s="32"/>
      <c r="AB3587" s="32"/>
    </row>
    <row r="3588" spans="2:28" ht="23.25" customHeight="1" x14ac:dyDescent="0.2">
      <c r="B3588" s="75"/>
      <c r="C3588" s="67"/>
      <c r="D3588" s="75"/>
      <c r="E3588" s="67"/>
      <c r="F3588" s="67"/>
      <c r="G3588" s="70"/>
      <c r="H3588" s="70"/>
      <c r="I3588" s="70"/>
      <c r="J3588" s="70"/>
      <c r="K3588" s="70"/>
      <c r="L3588" s="67"/>
      <c r="M3588" s="67"/>
      <c r="N3588" s="72"/>
      <c r="O3588" s="72"/>
      <c r="P3588" s="67"/>
      <c r="Q3588" s="67"/>
      <c r="R3588" s="67"/>
      <c r="S3588" s="67"/>
      <c r="T3588" s="32"/>
      <c r="U3588" s="32"/>
      <c r="X3588" s="32"/>
      <c r="Y3588" s="32"/>
      <c r="Z3588" s="32"/>
      <c r="AA3588" s="32"/>
      <c r="AB3588" s="32"/>
    </row>
    <row r="3589" spans="2:28" ht="23.25" customHeight="1" x14ac:dyDescent="0.2">
      <c r="B3589" s="75"/>
      <c r="C3589" s="67"/>
      <c r="D3589" s="75"/>
      <c r="E3589" s="67"/>
      <c r="F3589" s="67"/>
      <c r="G3589" s="70"/>
      <c r="H3589" s="70"/>
      <c r="I3589" s="70"/>
      <c r="J3589" s="70"/>
      <c r="K3589" s="70"/>
      <c r="L3589" s="67"/>
      <c r="M3589" s="67"/>
      <c r="N3589" s="72"/>
      <c r="O3589" s="72"/>
      <c r="P3589" s="67"/>
      <c r="Q3589" s="67"/>
      <c r="R3589" s="67"/>
      <c r="S3589" s="67"/>
      <c r="T3589" s="32"/>
      <c r="U3589" s="32"/>
      <c r="X3589" s="32"/>
      <c r="Y3589" s="32"/>
      <c r="Z3589" s="32"/>
      <c r="AA3589" s="32"/>
      <c r="AB3589" s="32"/>
    </row>
    <row r="3590" spans="2:28" ht="23.25" customHeight="1" x14ac:dyDescent="0.2">
      <c r="B3590" s="75"/>
      <c r="C3590" s="67"/>
      <c r="D3590" s="75"/>
      <c r="E3590" s="67"/>
      <c r="F3590" s="67"/>
      <c r="G3590" s="70"/>
      <c r="H3590" s="70"/>
      <c r="I3590" s="70"/>
      <c r="J3590" s="70"/>
      <c r="K3590" s="70"/>
      <c r="L3590" s="67"/>
      <c r="M3590" s="67"/>
      <c r="N3590" s="72"/>
      <c r="O3590" s="72"/>
      <c r="P3590" s="67"/>
      <c r="Q3590" s="67"/>
      <c r="R3590" s="67"/>
      <c r="S3590" s="67"/>
      <c r="T3590" s="32"/>
      <c r="U3590" s="32"/>
      <c r="X3590" s="32"/>
      <c r="Y3590" s="32"/>
      <c r="Z3590" s="32"/>
      <c r="AA3590" s="32"/>
      <c r="AB3590" s="32"/>
    </row>
    <row r="3591" spans="2:28" ht="23.25" customHeight="1" x14ac:dyDescent="0.2">
      <c r="B3591" s="75"/>
      <c r="C3591" s="67"/>
      <c r="D3591" s="75"/>
      <c r="E3591" s="67"/>
      <c r="F3591" s="67"/>
      <c r="G3591" s="70"/>
      <c r="H3591" s="70"/>
      <c r="I3591" s="70"/>
      <c r="J3591" s="70"/>
      <c r="K3591" s="70"/>
      <c r="L3591" s="67"/>
      <c r="M3591" s="67"/>
      <c r="N3591" s="72"/>
      <c r="O3591" s="72"/>
      <c r="P3591" s="67"/>
      <c r="Q3591" s="67"/>
      <c r="R3591" s="67"/>
      <c r="S3591" s="67"/>
      <c r="T3591" s="32"/>
      <c r="U3591" s="32"/>
      <c r="X3591" s="32"/>
      <c r="Y3591" s="32"/>
      <c r="Z3591" s="32"/>
      <c r="AA3591" s="32"/>
      <c r="AB3591" s="32"/>
    </row>
    <row r="3592" spans="2:28" ht="23.25" customHeight="1" x14ac:dyDescent="0.2">
      <c r="B3592" s="75"/>
      <c r="C3592" s="67"/>
      <c r="D3592" s="75"/>
      <c r="E3592" s="67"/>
      <c r="F3592" s="67"/>
      <c r="G3592" s="70"/>
      <c r="H3592" s="70"/>
      <c r="I3592" s="70"/>
      <c r="J3592" s="70"/>
      <c r="K3592" s="70"/>
      <c r="L3592" s="67"/>
      <c r="M3592" s="67"/>
      <c r="N3592" s="72"/>
      <c r="O3592" s="72"/>
      <c r="P3592" s="67"/>
      <c r="Q3592" s="67"/>
      <c r="R3592" s="67"/>
      <c r="S3592" s="67"/>
      <c r="T3592" s="32"/>
      <c r="U3592" s="32"/>
      <c r="X3592" s="32"/>
      <c r="Y3592" s="32"/>
      <c r="Z3592" s="32"/>
      <c r="AA3592" s="32"/>
      <c r="AB3592" s="32"/>
    </row>
    <row r="3593" spans="2:28" ht="23.25" customHeight="1" x14ac:dyDescent="0.2">
      <c r="B3593" s="75"/>
      <c r="C3593" s="67"/>
      <c r="D3593" s="75"/>
      <c r="E3593" s="67"/>
      <c r="F3593" s="67"/>
      <c r="G3593" s="70"/>
      <c r="H3593" s="70"/>
      <c r="I3593" s="70"/>
      <c r="J3593" s="70"/>
      <c r="K3593" s="70"/>
      <c r="L3593" s="67"/>
      <c r="M3593" s="67"/>
      <c r="N3593" s="72"/>
      <c r="O3593" s="72"/>
      <c r="P3593" s="67"/>
      <c r="Q3593" s="67"/>
      <c r="R3593" s="67"/>
      <c r="S3593" s="67"/>
      <c r="T3593" s="32"/>
      <c r="U3593" s="32"/>
      <c r="X3593" s="32"/>
      <c r="Y3593" s="32"/>
      <c r="Z3593" s="32"/>
      <c r="AA3593" s="32"/>
      <c r="AB3593" s="32"/>
    </row>
    <row r="3594" spans="2:28" ht="23.25" customHeight="1" x14ac:dyDescent="0.2">
      <c r="B3594" s="75"/>
      <c r="C3594" s="67"/>
      <c r="D3594" s="75"/>
      <c r="E3594" s="67"/>
      <c r="F3594" s="67"/>
      <c r="G3594" s="70"/>
      <c r="H3594" s="70"/>
      <c r="I3594" s="70"/>
      <c r="J3594" s="70"/>
      <c r="K3594" s="70"/>
      <c r="L3594" s="67"/>
      <c r="M3594" s="67"/>
      <c r="N3594" s="72"/>
      <c r="O3594" s="72"/>
      <c r="P3594" s="67"/>
      <c r="Q3594" s="67"/>
      <c r="R3594" s="67"/>
      <c r="S3594" s="67"/>
      <c r="T3594" s="32"/>
      <c r="U3594" s="32"/>
      <c r="X3594" s="32"/>
      <c r="Y3594" s="32"/>
      <c r="Z3594" s="32"/>
      <c r="AA3594" s="32"/>
      <c r="AB3594" s="32"/>
    </row>
    <row r="3595" spans="2:28" ht="23.25" customHeight="1" x14ac:dyDescent="0.2">
      <c r="B3595" s="75"/>
      <c r="C3595" s="67"/>
      <c r="D3595" s="75"/>
      <c r="E3595" s="67"/>
      <c r="F3595" s="67"/>
      <c r="G3595" s="70"/>
      <c r="H3595" s="70"/>
      <c r="I3595" s="70"/>
      <c r="J3595" s="70"/>
      <c r="K3595" s="70"/>
      <c r="L3595" s="67"/>
      <c r="M3595" s="67"/>
      <c r="N3595" s="72"/>
      <c r="O3595" s="72"/>
      <c r="P3595" s="67"/>
      <c r="Q3595" s="67"/>
      <c r="R3595" s="67"/>
      <c r="S3595" s="67"/>
      <c r="T3595" s="32"/>
      <c r="U3595" s="32"/>
      <c r="X3595" s="32"/>
      <c r="Y3595" s="32"/>
      <c r="Z3595" s="32"/>
      <c r="AA3595" s="32"/>
      <c r="AB3595" s="32"/>
    </row>
    <row r="3596" spans="2:28" ht="23.25" customHeight="1" x14ac:dyDescent="0.2">
      <c r="B3596" s="75"/>
      <c r="C3596" s="67"/>
      <c r="D3596" s="75"/>
      <c r="E3596" s="67"/>
      <c r="F3596" s="67"/>
      <c r="G3596" s="70"/>
      <c r="H3596" s="70"/>
      <c r="I3596" s="70"/>
      <c r="J3596" s="70"/>
      <c r="K3596" s="70"/>
      <c r="L3596" s="67"/>
      <c r="M3596" s="67"/>
      <c r="N3596" s="72"/>
      <c r="O3596" s="72"/>
      <c r="P3596" s="67"/>
      <c r="Q3596" s="67"/>
      <c r="R3596" s="67"/>
      <c r="S3596" s="67"/>
      <c r="T3596" s="32"/>
      <c r="U3596" s="32"/>
      <c r="X3596" s="32"/>
      <c r="Y3596" s="32"/>
      <c r="Z3596" s="32"/>
      <c r="AA3596" s="32"/>
      <c r="AB3596" s="32"/>
    </row>
    <row r="3597" spans="2:28" ht="23.25" customHeight="1" x14ac:dyDescent="0.2">
      <c r="B3597" s="75"/>
      <c r="C3597" s="67"/>
      <c r="D3597" s="75"/>
      <c r="E3597" s="67"/>
      <c r="F3597" s="67"/>
      <c r="G3597" s="70"/>
      <c r="H3597" s="70"/>
      <c r="I3597" s="70"/>
      <c r="J3597" s="70"/>
      <c r="K3597" s="70"/>
      <c r="L3597" s="67"/>
      <c r="M3597" s="67"/>
      <c r="N3597" s="72"/>
      <c r="O3597" s="72"/>
      <c r="P3597" s="67"/>
      <c r="Q3597" s="67"/>
      <c r="R3597" s="67"/>
      <c r="S3597" s="67"/>
      <c r="T3597" s="32"/>
      <c r="U3597" s="32"/>
      <c r="X3597" s="32"/>
      <c r="Y3597" s="32"/>
      <c r="Z3597" s="32"/>
      <c r="AA3597" s="32"/>
      <c r="AB3597" s="32"/>
    </row>
    <row r="3598" spans="2:28" ht="23.25" customHeight="1" x14ac:dyDescent="0.2">
      <c r="B3598" s="75"/>
      <c r="C3598" s="67"/>
      <c r="D3598" s="75"/>
      <c r="E3598" s="67"/>
      <c r="F3598" s="67"/>
      <c r="G3598" s="70"/>
      <c r="H3598" s="70"/>
      <c r="I3598" s="70"/>
      <c r="J3598" s="70"/>
      <c r="K3598" s="70"/>
      <c r="L3598" s="67"/>
      <c r="M3598" s="67"/>
      <c r="N3598" s="72"/>
      <c r="O3598" s="72"/>
      <c r="P3598" s="67"/>
      <c r="Q3598" s="67"/>
      <c r="R3598" s="67"/>
      <c r="S3598" s="67"/>
      <c r="T3598" s="32"/>
      <c r="U3598" s="32"/>
      <c r="X3598" s="32"/>
      <c r="Y3598" s="32"/>
      <c r="Z3598" s="32"/>
      <c r="AA3598" s="32"/>
      <c r="AB3598" s="32"/>
    </row>
    <row r="3599" spans="2:28" ht="23.25" customHeight="1" x14ac:dyDescent="0.2">
      <c r="B3599" s="75"/>
      <c r="C3599" s="67"/>
      <c r="D3599" s="75"/>
      <c r="E3599" s="67"/>
      <c r="F3599" s="67"/>
      <c r="G3599" s="70"/>
      <c r="H3599" s="70"/>
      <c r="I3599" s="70"/>
      <c r="J3599" s="70"/>
      <c r="K3599" s="70"/>
      <c r="L3599" s="67"/>
      <c r="M3599" s="67"/>
      <c r="N3599" s="72"/>
      <c r="O3599" s="72"/>
      <c r="P3599" s="67"/>
      <c r="Q3599" s="67"/>
      <c r="R3599" s="67"/>
      <c r="S3599" s="67"/>
      <c r="T3599" s="32"/>
      <c r="U3599" s="32"/>
      <c r="X3599" s="32"/>
      <c r="Y3599" s="32"/>
      <c r="Z3599" s="32"/>
      <c r="AA3599" s="32"/>
      <c r="AB3599" s="32"/>
    </row>
    <row r="3600" spans="2:28" ht="23.25" customHeight="1" x14ac:dyDescent="0.2">
      <c r="B3600" s="75"/>
      <c r="C3600" s="67"/>
      <c r="D3600" s="75"/>
      <c r="E3600" s="67"/>
      <c r="F3600" s="67"/>
      <c r="G3600" s="70"/>
      <c r="H3600" s="70"/>
      <c r="I3600" s="70"/>
      <c r="J3600" s="70"/>
      <c r="K3600" s="70"/>
      <c r="L3600" s="67"/>
      <c r="M3600" s="67"/>
      <c r="N3600" s="72"/>
      <c r="O3600" s="72"/>
      <c r="P3600" s="67"/>
      <c r="Q3600" s="67"/>
      <c r="R3600" s="67"/>
      <c r="S3600" s="67"/>
      <c r="T3600" s="32"/>
      <c r="U3600" s="32"/>
      <c r="X3600" s="32"/>
      <c r="Y3600" s="32"/>
      <c r="Z3600" s="32"/>
      <c r="AA3600" s="32"/>
      <c r="AB3600" s="32"/>
    </row>
    <row r="3601" spans="2:28" ht="23.25" customHeight="1" x14ac:dyDescent="0.2">
      <c r="B3601" s="75"/>
      <c r="C3601" s="67"/>
      <c r="D3601" s="75"/>
      <c r="E3601" s="67"/>
      <c r="F3601" s="67"/>
      <c r="G3601" s="70"/>
      <c r="H3601" s="70"/>
      <c r="I3601" s="70"/>
      <c r="J3601" s="70"/>
      <c r="K3601" s="70"/>
      <c r="L3601" s="67"/>
      <c r="M3601" s="67"/>
      <c r="N3601" s="72"/>
      <c r="O3601" s="72"/>
      <c r="P3601" s="67"/>
      <c r="Q3601" s="67"/>
      <c r="R3601" s="67"/>
      <c r="S3601" s="67"/>
      <c r="T3601" s="32"/>
      <c r="U3601" s="32"/>
      <c r="X3601" s="32"/>
      <c r="Y3601" s="32"/>
      <c r="Z3601" s="32"/>
      <c r="AA3601" s="32"/>
      <c r="AB3601" s="32"/>
    </row>
    <row r="3602" spans="2:28" ht="23.25" customHeight="1" x14ac:dyDescent="0.2">
      <c r="B3602" s="75"/>
      <c r="C3602" s="67"/>
      <c r="D3602" s="75"/>
      <c r="E3602" s="67"/>
      <c r="F3602" s="67"/>
      <c r="G3602" s="70"/>
      <c r="H3602" s="70"/>
      <c r="I3602" s="70"/>
      <c r="J3602" s="70"/>
      <c r="K3602" s="70"/>
      <c r="L3602" s="67"/>
      <c r="M3602" s="67"/>
      <c r="N3602" s="72"/>
      <c r="O3602" s="72"/>
      <c r="P3602" s="67"/>
      <c r="Q3602" s="67"/>
      <c r="R3602" s="67"/>
      <c r="S3602" s="67"/>
      <c r="T3602" s="32"/>
      <c r="U3602" s="32"/>
      <c r="X3602" s="32"/>
      <c r="Y3602" s="32"/>
      <c r="Z3602" s="32"/>
      <c r="AA3602" s="32"/>
      <c r="AB3602" s="32"/>
    </row>
    <row r="3603" spans="2:28" ht="23.25" customHeight="1" x14ac:dyDescent="0.2">
      <c r="B3603" s="75"/>
      <c r="C3603" s="67"/>
      <c r="D3603" s="75"/>
      <c r="E3603" s="67"/>
      <c r="F3603" s="67"/>
      <c r="G3603" s="70"/>
      <c r="H3603" s="70"/>
      <c r="I3603" s="70"/>
      <c r="J3603" s="70"/>
      <c r="K3603" s="70"/>
      <c r="L3603" s="67"/>
      <c r="M3603" s="67"/>
      <c r="N3603" s="72"/>
      <c r="O3603" s="72"/>
      <c r="P3603" s="67"/>
      <c r="Q3603" s="67"/>
      <c r="R3603" s="67"/>
      <c r="S3603" s="67"/>
      <c r="T3603" s="32"/>
      <c r="U3603" s="32"/>
      <c r="X3603" s="32"/>
      <c r="Y3603" s="32"/>
      <c r="Z3603" s="32"/>
      <c r="AA3603" s="32"/>
      <c r="AB3603" s="32"/>
    </row>
    <row r="3604" spans="2:28" ht="23.25" customHeight="1" x14ac:dyDescent="0.2">
      <c r="B3604" s="75"/>
      <c r="C3604" s="67"/>
      <c r="D3604" s="75"/>
      <c r="E3604" s="67"/>
      <c r="F3604" s="67"/>
      <c r="G3604" s="70"/>
      <c r="H3604" s="70"/>
      <c r="I3604" s="70"/>
      <c r="J3604" s="70"/>
      <c r="K3604" s="70"/>
      <c r="L3604" s="67"/>
      <c r="M3604" s="67"/>
      <c r="N3604" s="72"/>
      <c r="O3604" s="72"/>
      <c r="P3604" s="67"/>
      <c r="Q3604" s="67"/>
      <c r="R3604" s="67"/>
      <c r="S3604" s="67"/>
      <c r="T3604" s="32"/>
      <c r="U3604" s="32"/>
      <c r="X3604" s="32"/>
      <c r="Y3604" s="32"/>
      <c r="Z3604" s="32"/>
      <c r="AA3604" s="32"/>
      <c r="AB3604" s="32"/>
    </row>
    <row r="3605" spans="2:28" ht="23.25" customHeight="1" x14ac:dyDescent="0.2">
      <c r="B3605" s="75"/>
      <c r="C3605" s="67"/>
      <c r="D3605" s="75"/>
      <c r="E3605" s="67"/>
      <c r="F3605" s="67"/>
      <c r="G3605" s="70"/>
      <c r="H3605" s="70"/>
      <c r="I3605" s="70"/>
      <c r="J3605" s="70"/>
      <c r="K3605" s="70"/>
      <c r="L3605" s="67"/>
      <c r="M3605" s="67"/>
      <c r="N3605" s="72"/>
      <c r="O3605" s="72"/>
      <c r="P3605" s="67"/>
      <c r="Q3605" s="67"/>
      <c r="R3605" s="67"/>
      <c r="S3605" s="67"/>
      <c r="T3605" s="32"/>
      <c r="U3605" s="32"/>
      <c r="X3605" s="32"/>
      <c r="Y3605" s="32"/>
      <c r="Z3605" s="32"/>
      <c r="AA3605" s="32"/>
      <c r="AB3605" s="32"/>
    </row>
    <row r="3606" spans="2:28" ht="23.25" customHeight="1" x14ac:dyDescent="0.2">
      <c r="B3606" s="75"/>
      <c r="C3606" s="67"/>
      <c r="D3606" s="75"/>
      <c r="E3606" s="67"/>
      <c r="F3606" s="67"/>
      <c r="G3606" s="70"/>
      <c r="H3606" s="70"/>
      <c r="I3606" s="70"/>
      <c r="J3606" s="70"/>
      <c r="K3606" s="70"/>
      <c r="L3606" s="67"/>
      <c r="M3606" s="67"/>
      <c r="N3606" s="72"/>
      <c r="O3606" s="72"/>
      <c r="P3606" s="67"/>
      <c r="Q3606" s="67"/>
      <c r="R3606" s="67"/>
      <c r="S3606" s="67"/>
      <c r="T3606" s="32"/>
      <c r="U3606" s="32"/>
      <c r="X3606" s="32"/>
      <c r="Y3606" s="32"/>
      <c r="Z3606" s="32"/>
      <c r="AA3606" s="32"/>
      <c r="AB3606" s="32"/>
    </row>
    <row r="3607" spans="2:28" ht="23.25" customHeight="1" x14ac:dyDescent="0.2">
      <c r="B3607" s="75"/>
      <c r="C3607" s="67"/>
      <c r="D3607" s="75"/>
      <c r="E3607" s="67"/>
      <c r="F3607" s="67"/>
      <c r="G3607" s="70"/>
      <c r="H3607" s="70"/>
      <c r="I3607" s="70"/>
      <c r="J3607" s="70"/>
      <c r="K3607" s="70"/>
      <c r="L3607" s="67"/>
      <c r="M3607" s="67"/>
      <c r="N3607" s="72"/>
      <c r="O3607" s="72"/>
      <c r="P3607" s="67"/>
      <c r="Q3607" s="67"/>
      <c r="R3607" s="67"/>
      <c r="S3607" s="67"/>
      <c r="T3607" s="32"/>
      <c r="U3607" s="32"/>
      <c r="X3607" s="32"/>
      <c r="Y3607" s="32"/>
      <c r="Z3607" s="32"/>
      <c r="AA3607" s="32"/>
      <c r="AB3607" s="32"/>
    </row>
    <row r="3608" spans="2:28" ht="23.25" customHeight="1" x14ac:dyDescent="0.2">
      <c r="B3608" s="75"/>
      <c r="C3608" s="67"/>
      <c r="D3608" s="75"/>
      <c r="E3608" s="67"/>
      <c r="F3608" s="67"/>
      <c r="G3608" s="70"/>
      <c r="H3608" s="70"/>
      <c r="I3608" s="70"/>
      <c r="J3608" s="70"/>
      <c r="K3608" s="70"/>
      <c r="L3608" s="67"/>
      <c r="M3608" s="67"/>
      <c r="N3608" s="72"/>
      <c r="O3608" s="72"/>
      <c r="P3608" s="67"/>
      <c r="Q3608" s="67"/>
      <c r="R3608" s="67"/>
      <c r="S3608" s="67"/>
      <c r="T3608" s="32"/>
      <c r="U3608" s="32"/>
      <c r="X3608" s="32"/>
      <c r="Y3608" s="32"/>
      <c r="Z3608" s="32"/>
      <c r="AA3608" s="32"/>
      <c r="AB3608" s="32"/>
    </row>
    <row r="3609" spans="2:28" ht="23.25" customHeight="1" x14ac:dyDescent="0.2">
      <c r="B3609" s="75"/>
      <c r="C3609" s="67"/>
      <c r="D3609" s="75"/>
      <c r="E3609" s="67"/>
      <c r="F3609" s="67"/>
      <c r="G3609" s="70"/>
      <c r="H3609" s="70"/>
      <c r="I3609" s="70"/>
      <c r="J3609" s="70"/>
      <c r="K3609" s="70"/>
      <c r="L3609" s="67"/>
      <c r="M3609" s="67"/>
      <c r="N3609" s="72"/>
      <c r="O3609" s="72"/>
      <c r="P3609" s="67"/>
      <c r="Q3609" s="67"/>
      <c r="R3609" s="67"/>
      <c r="S3609" s="67"/>
      <c r="T3609" s="32"/>
      <c r="U3609" s="32"/>
      <c r="X3609" s="32"/>
      <c r="Y3609" s="32"/>
      <c r="Z3609" s="32"/>
      <c r="AA3609" s="32"/>
      <c r="AB3609" s="32"/>
    </row>
    <row r="3610" spans="2:28" ht="23.25" customHeight="1" x14ac:dyDescent="0.2">
      <c r="B3610" s="75"/>
      <c r="C3610" s="67"/>
      <c r="D3610" s="75"/>
      <c r="E3610" s="67"/>
      <c r="F3610" s="67"/>
      <c r="G3610" s="70"/>
      <c r="H3610" s="70"/>
      <c r="I3610" s="70"/>
      <c r="J3610" s="70"/>
      <c r="K3610" s="70"/>
      <c r="L3610" s="67"/>
      <c r="M3610" s="67"/>
      <c r="N3610" s="72"/>
      <c r="O3610" s="72"/>
      <c r="P3610" s="67"/>
      <c r="Q3610" s="67"/>
      <c r="R3610" s="67"/>
      <c r="S3610" s="67"/>
      <c r="T3610" s="32"/>
      <c r="U3610" s="32"/>
      <c r="X3610" s="32"/>
      <c r="Y3610" s="32"/>
      <c r="Z3610" s="32"/>
      <c r="AA3610" s="32"/>
      <c r="AB3610" s="32"/>
    </row>
    <row r="3611" spans="2:28" ht="23.25" customHeight="1" x14ac:dyDescent="0.2">
      <c r="B3611" s="75"/>
      <c r="C3611" s="67"/>
      <c r="D3611" s="75"/>
      <c r="E3611" s="67"/>
      <c r="F3611" s="67"/>
      <c r="G3611" s="70"/>
      <c r="H3611" s="70"/>
      <c r="I3611" s="70"/>
      <c r="J3611" s="70"/>
      <c r="K3611" s="70"/>
      <c r="L3611" s="67"/>
      <c r="M3611" s="67"/>
      <c r="N3611" s="72"/>
      <c r="O3611" s="72"/>
      <c r="P3611" s="67"/>
      <c r="Q3611" s="67"/>
      <c r="R3611" s="67"/>
      <c r="S3611" s="67"/>
      <c r="T3611" s="32"/>
      <c r="U3611" s="32"/>
      <c r="X3611" s="32"/>
      <c r="Y3611" s="32"/>
      <c r="Z3611" s="32"/>
      <c r="AA3611" s="32"/>
      <c r="AB3611" s="32"/>
    </row>
    <row r="3612" spans="2:28" ht="23.25" customHeight="1" x14ac:dyDescent="0.2">
      <c r="B3612" s="75"/>
      <c r="C3612" s="67"/>
      <c r="D3612" s="75"/>
      <c r="E3612" s="67"/>
      <c r="F3612" s="67"/>
      <c r="G3612" s="70"/>
      <c r="H3612" s="70"/>
      <c r="I3612" s="70"/>
      <c r="J3612" s="70"/>
      <c r="K3612" s="70"/>
      <c r="L3612" s="67"/>
      <c r="M3612" s="67"/>
      <c r="N3612" s="72"/>
      <c r="O3612" s="72"/>
      <c r="P3612" s="67"/>
      <c r="Q3612" s="67"/>
      <c r="R3612" s="67"/>
      <c r="S3612" s="67"/>
      <c r="T3612" s="32"/>
      <c r="U3612" s="32"/>
      <c r="X3612" s="32"/>
      <c r="Y3612" s="32"/>
      <c r="Z3612" s="32"/>
      <c r="AA3612" s="32"/>
      <c r="AB3612" s="32"/>
    </row>
    <row r="3613" spans="2:28" ht="23.25" customHeight="1" x14ac:dyDescent="0.2">
      <c r="B3613" s="75"/>
      <c r="C3613" s="67"/>
      <c r="D3613" s="75"/>
      <c r="E3613" s="67"/>
      <c r="F3613" s="67"/>
      <c r="G3613" s="70"/>
      <c r="H3613" s="70"/>
      <c r="I3613" s="70"/>
      <c r="J3613" s="70"/>
      <c r="K3613" s="70"/>
      <c r="L3613" s="67"/>
      <c r="M3613" s="67"/>
      <c r="N3613" s="72"/>
      <c r="O3613" s="72"/>
      <c r="P3613" s="67"/>
      <c r="Q3613" s="67"/>
      <c r="R3613" s="67"/>
      <c r="S3613" s="67"/>
      <c r="T3613" s="32"/>
      <c r="U3613" s="32"/>
      <c r="X3613" s="32"/>
      <c r="Y3613" s="32"/>
      <c r="Z3613" s="32"/>
      <c r="AA3613" s="32"/>
      <c r="AB3613" s="32"/>
    </row>
    <row r="3614" spans="2:28" ht="23.25" customHeight="1" x14ac:dyDescent="0.2">
      <c r="B3614" s="75"/>
      <c r="C3614" s="67"/>
      <c r="D3614" s="75"/>
      <c r="E3614" s="67"/>
      <c r="F3614" s="67"/>
      <c r="G3614" s="70"/>
      <c r="H3614" s="70"/>
      <c r="I3614" s="70"/>
      <c r="J3614" s="70"/>
      <c r="K3614" s="70"/>
      <c r="L3614" s="67"/>
      <c r="M3614" s="67"/>
      <c r="N3614" s="72"/>
      <c r="O3614" s="72"/>
      <c r="P3614" s="67"/>
      <c r="Q3614" s="67"/>
      <c r="R3614" s="67"/>
      <c r="S3614" s="67"/>
      <c r="T3614" s="32"/>
      <c r="U3614" s="32"/>
      <c r="X3614" s="32"/>
      <c r="Y3614" s="32"/>
      <c r="Z3614" s="32"/>
      <c r="AA3614" s="32"/>
      <c r="AB3614" s="32"/>
    </row>
    <row r="3615" spans="2:28" ht="23.25" customHeight="1" x14ac:dyDescent="0.2">
      <c r="B3615" s="75"/>
      <c r="C3615" s="67"/>
      <c r="D3615" s="75"/>
      <c r="E3615" s="67"/>
      <c r="F3615" s="67"/>
      <c r="G3615" s="70"/>
      <c r="H3615" s="70"/>
      <c r="I3615" s="70"/>
      <c r="J3615" s="70"/>
      <c r="K3615" s="70"/>
      <c r="L3615" s="67"/>
      <c r="M3615" s="67"/>
      <c r="N3615" s="72"/>
      <c r="O3615" s="72"/>
      <c r="P3615" s="67"/>
      <c r="Q3615" s="67"/>
      <c r="R3615" s="67"/>
      <c r="S3615" s="67"/>
      <c r="T3615" s="32"/>
      <c r="U3615" s="32"/>
      <c r="X3615" s="32"/>
      <c r="Y3615" s="32"/>
      <c r="Z3615" s="32"/>
      <c r="AA3615" s="32"/>
      <c r="AB3615" s="32"/>
    </row>
    <row r="3616" spans="2:28" ht="23.25" customHeight="1" x14ac:dyDescent="0.2">
      <c r="B3616" s="75"/>
      <c r="C3616" s="67"/>
      <c r="D3616" s="75"/>
      <c r="E3616" s="67"/>
      <c r="F3616" s="67"/>
      <c r="G3616" s="70"/>
      <c r="H3616" s="70"/>
      <c r="I3616" s="70"/>
      <c r="J3616" s="70"/>
      <c r="K3616" s="70"/>
      <c r="L3616" s="67"/>
      <c r="M3616" s="67"/>
      <c r="N3616" s="72"/>
      <c r="O3616" s="72"/>
      <c r="P3616" s="67"/>
      <c r="Q3616" s="67"/>
      <c r="R3616" s="67"/>
      <c r="S3616" s="67"/>
      <c r="T3616" s="32"/>
      <c r="U3616" s="32"/>
      <c r="X3616" s="32"/>
      <c r="Y3616" s="32"/>
      <c r="Z3616" s="32"/>
      <c r="AA3616" s="32"/>
      <c r="AB3616" s="32"/>
    </row>
    <row r="3617" spans="2:28" ht="23.25" customHeight="1" x14ac:dyDescent="0.2">
      <c r="B3617" s="75"/>
      <c r="C3617" s="67"/>
      <c r="D3617" s="75"/>
      <c r="E3617" s="67"/>
      <c r="F3617" s="67"/>
      <c r="G3617" s="70"/>
      <c r="H3617" s="70"/>
      <c r="I3617" s="70"/>
      <c r="J3617" s="70"/>
      <c r="K3617" s="70"/>
      <c r="L3617" s="67"/>
      <c r="M3617" s="67"/>
      <c r="N3617" s="72"/>
      <c r="O3617" s="72"/>
      <c r="P3617" s="67"/>
      <c r="Q3617" s="67"/>
      <c r="R3617" s="67"/>
      <c r="S3617" s="67"/>
      <c r="T3617" s="32"/>
      <c r="U3617" s="32"/>
      <c r="X3617" s="32"/>
      <c r="Y3617" s="32"/>
      <c r="Z3617" s="32"/>
      <c r="AA3617" s="32"/>
      <c r="AB3617" s="32"/>
    </row>
    <row r="3618" spans="2:28" ht="23.25" customHeight="1" x14ac:dyDescent="0.2">
      <c r="B3618" s="75"/>
      <c r="C3618" s="67"/>
      <c r="D3618" s="75"/>
      <c r="E3618" s="67"/>
      <c r="F3618" s="67"/>
      <c r="G3618" s="70"/>
      <c r="H3618" s="70"/>
      <c r="I3618" s="70"/>
      <c r="J3618" s="70"/>
      <c r="K3618" s="70"/>
      <c r="L3618" s="67"/>
      <c r="M3618" s="67"/>
      <c r="N3618" s="72"/>
      <c r="O3618" s="72"/>
      <c r="P3618" s="67"/>
      <c r="Q3618" s="67"/>
      <c r="R3618" s="67"/>
      <c r="S3618" s="67"/>
      <c r="T3618" s="32"/>
      <c r="U3618" s="32"/>
      <c r="X3618" s="32"/>
      <c r="Y3618" s="32"/>
      <c r="Z3618" s="32"/>
      <c r="AA3618" s="32"/>
      <c r="AB3618" s="32"/>
    </row>
    <row r="3619" spans="2:28" ht="23.25" customHeight="1" x14ac:dyDescent="0.2">
      <c r="B3619" s="75"/>
      <c r="C3619" s="67"/>
      <c r="D3619" s="75"/>
      <c r="E3619" s="67"/>
      <c r="F3619" s="67"/>
      <c r="G3619" s="70"/>
      <c r="H3619" s="70"/>
      <c r="I3619" s="70"/>
      <c r="J3619" s="70"/>
      <c r="K3619" s="70"/>
      <c r="L3619" s="67"/>
      <c r="M3619" s="67"/>
      <c r="N3619" s="72"/>
      <c r="O3619" s="72"/>
      <c r="P3619" s="67"/>
      <c r="Q3619" s="67"/>
      <c r="R3619" s="67"/>
      <c r="S3619" s="67"/>
      <c r="T3619" s="32"/>
      <c r="U3619" s="32"/>
      <c r="X3619" s="32"/>
      <c r="Y3619" s="32"/>
      <c r="Z3619" s="32"/>
      <c r="AA3619" s="32"/>
      <c r="AB3619" s="32"/>
    </row>
    <row r="3620" spans="2:28" ht="23.25" customHeight="1" x14ac:dyDescent="0.2">
      <c r="B3620" s="75"/>
      <c r="C3620" s="67"/>
      <c r="D3620" s="75"/>
      <c r="E3620" s="67"/>
      <c r="F3620" s="67"/>
      <c r="G3620" s="70"/>
      <c r="H3620" s="70"/>
      <c r="I3620" s="70"/>
      <c r="J3620" s="70"/>
      <c r="K3620" s="70"/>
      <c r="L3620" s="67"/>
      <c r="M3620" s="67"/>
      <c r="N3620" s="72"/>
      <c r="O3620" s="72"/>
      <c r="P3620" s="67"/>
      <c r="Q3620" s="67"/>
      <c r="R3620" s="67"/>
      <c r="S3620" s="67"/>
      <c r="T3620" s="32"/>
      <c r="U3620" s="32"/>
      <c r="X3620" s="32"/>
      <c r="Y3620" s="32"/>
      <c r="Z3620" s="32"/>
      <c r="AA3620" s="32"/>
      <c r="AB3620" s="32"/>
    </row>
    <row r="3621" spans="2:28" ht="23.25" customHeight="1" x14ac:dyDescent="0.2">
      <c r="B3621" s="75"/>
      <c r="C3621" s="67"/>
      <c r="D3621" s="75"/>
      <c r="E3621" s="67"/>
      <c r="F3621" s="67"/>
      <c r="G3621" s="70"/>
      <c r="H3621" s="70"/>
      <c r="I3621" s="70"/>
      <c r="J3621" s="70"/>
      <c r="K3621" s="70"/>
      <c r="L3621" s="67"/>
      <c r="M3621" s="67"/>
      <c r="N3621" s="72"/>
      <c r="O3621" s="72"/>
      <c r="P3621" s="67"/>
      <c r="Q3621" s="67"/>
      <c r="R3621" s="67"/>
      <c r="S3621" s="67"/>
      <c r="T3621" s="32"/>
      <c r="U3621" s="32"/>
      <c r="X3621" s="32"/>
      <c r="Y3621" s="32"/>
      <c r="Z3621" s="32"/>
      <c r="AA3621" s="32"/>
      <c r="AB3621" s="32"/>
    </row>
    <row r="3622" spans="2:28" ht="23.25" customHeight="1" x14ac:dyDescent="0.2">
      <c r="B3622" s="75"/>
      <c r="C3622" s="67"/>
      <c r="D3622" s="75"/>
      <c r="E3622" s="67"/>
      <c r="F3622" s="67"/>
      <c r="G3622" s="70"/>
      <c r="H3622" s="70"/>
      <c r="I3622" s="70"/>
      <c r="J3622" s="70"/>
      <c r="K3622" s="70"/>
      <c r="L3622" s="67"/>
      <c r="M3622" s="67"/>
      <c r="N3622" s="72"/>
      <c r="O3622" s="72"/>
      <c r="P3622" s="67"/>
      <c r="Q3622" s="67"/>
      <c r="R3622" s="67"/>
      <c r="S3622" s="67"/>
      <c r="T3622" s="32"/>
      <c r="U3622" s="32"/>
      <c r="X3622" s="32"/>
      <c r="Y3622" s="32"/>
      <c r="Z3622" s="32"/>
      <c r="AA3622" s="32"/>
      <c r="AB3622" s="32"/>
    </row>
    <row r="3623" spans="2:28" ht="23.25" customHeight="1" x14ac:dyDescent="0.2">
      <c r="B3623" s="75"/>
      <c r="C3623" s="67"/>
      <c r="D3623" s="75"/>
      <c r="E3623" s="67"/>
      <c r="F3623" s="67"/>
      <c r="G3623" s="70"/>
      <c r="H3623" s="70"/>
      <c r="I3623" s="70"/>
      <c r="J3623" s="70"/>
      <c r="K3623" s="70"/>
      <c r="L3623" s="67"/>
      <c r="M3623" s="67"/>
      <c r="N3623" s="72"/>
      <c r="O3623" s="72"/>
      <c r="P3623" s="67"/>
      <c r="Q3623" s="67"/>
      <c r="R3623" s="67"/>
      <c r="S3623" s="67"/>
      <c r="T3623" s="32"/>
      <c r="U3623" s="32"/>
      <c r="X3623" s="32"/>
      <c r="Y3623" s="32"/>
      <c r="Z3623" s="32"/>
      <c r="AA3623" s="32"/>
      <c r="AB3623" s="32"/>
    </row>
    <row r="3624" spans="2:28" ht="23.25" customHeight="1" x14ac:dyDescent="0.2">
      <c r="B3624" s="75"/>
      <c r="C3624" s="67"/>
      <c r="D3624" s="75"/>
      <c r="E3624" s="67"/>
      <c r="F3624" s="67"/>
      <c r="G3624" s="70"/>
      <c r="H3624" s="70"/>
      <c r="I3624" s="70"/>
      <c r="J3624" s="70"/>
      <c r="K3624" s="70"/>
      <c r="L3624" s="67"/>
      <c r="M3624" s="67"/>
      <c r="N3624" s="72"/>
      <c r="O3624" s="72"/>
      <c r="P3624" s="67"/>
      <c r="Q3624" s="67"/>
      <c r="R3624" s="67"/>
      <c r="S3624" s="67"/>
      <c r="T3624" s="32"/>
      <c r="U3624" s="32"/>
      <c r="X3624" s="32"/>
      <c r="Y3624" s="32"/>
      <c r="Z3624" s="32"/>
      <c r="AA3624" s="32"/>
      <c r="AB3624" s="32"/>
    </row>
    <row r="3625" spans="2:28" ht="23.25" customHeight="1" x14ac:dyDescent="0.2">
      <c r="B3625" s="75"/>
      <c r="C3625" s="67"/>
      <c r="D3625" s="75"/>
      <c r="E3625" s="67"/>
      <c r="F3625" s="67"/>
      <c r="G3625" s="70"/>
      <c r="H3625" s="70"/>
      <c r="I3625" s="70"/>
      <c r="J3625" s="70"/>
      <c r="K3625" s="70"/>
      <c r="L3625" s="67"/>
      <c r="M3625" s="67"/>
      <c r="N3625" s="72"/>
      <c r="O3625" s="72"/>
      <c r="P3625" s="67"/>
      <c r="Q3625" s="67"/>
      <c r="R3625" s="67"/>
      <c r="S3625" s="67"/>
      <c r="T3625" s="32"/>
      <c r="U3625" s="32"/>
      <c r="X3625" s="32"/>
      <c r="Y3625" s="32"/>
      <c r="Z3625" s="32"/>
      <c r="AA3625" s="32"/>
      <c r="AB3625" s="32"/>
    </row>
    <row r="3626" spans="2:28" ht="23.25" customHeight="1" x14ac:dyDescent="0.2">
      <c r="B3626" s="75"/>
      <c r="C3626" s="67"/>
      <c r="D3626" s="75"/>
      <c r="E3626" s="67"/>
      <c r="F3626" s="67"/>
      <c r="G3626" s="70"/>
      <c r="H3626" s="70"/>
      <c r="I3626" s="70"/>
      <c r="J3626" s="70"/>
      <c r="K3626" s="70"/>
      <c r="L3626" s="67"/>
      <c r="M3626" s="67"/>
      <c r="N3626" s="72"/>
      <c r="O3626" s="72"/>
      <c r="P3626" s="67"/>
      <c r="Q3626" s="67"/>
      <c r="R3626" s="67"/>
      <c r="S3626" s="67"/>
      <c r="T3626" s="32"/>
      <c r="U3626" s="32"/>
      <c r="X3626" s="32"/>
      <c r="Y3626" s="32"/>
      <c r="Z3626" s="32"/>
      <c r="AA3626" s="32"/>
      <c r="AB3626" s="32"/>
    </row>
    <row r="3627" spans="2:28" ht="23.25" customHeight="1" x14ac:dyDescent="0.2">
      <c r="B3627" s="75"/>
      <c r="C3627" s="67"/>
      <c r="D3627" s="75"/>
      <c r="E3627" s="67"/>
      <c r="F3627" s="67"/>
      <c r="G3627" s="70"/>
      <c r="H3627" s="70"/>
      <c r="I3627" s="70"/>
      <c r="J3627" s="70"/>
      <c r="K3627" s="70"/>
      <c r="L3627" s="67"/>
      <c r="M3627" s="67"/>
      <c r="N3627" s="72"/>
      <c r="O3627" s="72"/>
      <c r="P3627" s="67"/>
      <c r="Q3627" s="67"/>
      <c r="R3627" s="67"/>
      <c r="S3627" s="67"/>
      <c r="T3627" s="32"/>
      <c r="U3627" s="32"/>
      <c r="X3627" s="32"/>
      <c r="Y3627" s="32"/>
      <c r="Z3627" s="32"/>
      <c r="AA3627" s="32"/>
      <c r="AB3627" s="32"/>
    </row>
    <row r="3628" spans="2:28" ht="23.25" customHeight="1" x14ac:dyDescent="0.2">
      <c r="B3628" s="75"/>
      <c r="C3628" s="67"/>
      <c r="D3628" s="75"/>
      <c r="E3628" s="67"/>
      <c r="F3628" s="67"/>
      <c r="G3628" s="70"/>
      <c r="H3628" s="70"/>
      <c r="I3628" s="70"/>
      <c r="J3628" s="70"/>
      <c r="K3628" s="70"/>
      <c r="L3628" s="67"/>
      <c r="M3628" s="67"/>
      <c r="N3628" s="72"/>
      <c r="O3628" s="72"/>
      <c r="P3628" s="67"/>
      <c r="Q3628" s="67"/>
      <c r="R3628" s="67"/>
      <c r="S3628" s="67"/>
      <c r="T3628" s="32"/>
      <c r="U3628" s="32"/>
      <c r="X3628" s="32"/>
      <c r="Y3628" s="32"/>
      <c r="Z3628" s="32"/>
      <c r="AA3628" s="32"/>
      <c r="AB3628" s="32"/>
    </row>
    <row r="3629" spans="2:28" ht="23.25" customHeight="1" x14ac:dyDescent="0.2">
      <c r="B3629" s="75"/>
      <c r="C3629" s="67"/>
      <c r="D3629" s="75"/>
      <c r="E3629" s="67"/>
      <c r="F3629" s="67"/>
      <c r="G3629" s="70"/>
      <c r="H3629" s="70"/>
      <c r="I3629" s="70"/>
      <c r="J3629" s="70"/>
      <c r="K3629" s="70"/>
      <c r="L3629" s="67"/>
      <c r="M3629" s="67"/>
      <c r="N3629" s="72"/>
      <c r="O3629" s="72"/>
      <c r="P3629" s="67"/>
      <c r="Q3629" s="67"/>
      <c r="R3629" s="67"/>
      <c r="S3629" s="67"/>
      <c r="T3629" s="32"/>
      <c r="U3629" s="32"/>
      <c r="X3629" s="32"/>
      <c r="Y3629" s="32"/>
      <c r="Z3629" s="32"/>
      <c r="AA3629" s="32"/>
      <c r="AB3629" s="32"/>
    </row>
    <row r="3630" spans="2:28" ht="23.25" customHeight="1" x14ac:dyDescent="0.2">
      <c r="B3630" s="75"/>
      <c r="C3630" s="67"/>
      <c r="D3630" s="75"/>
      <c r="E3630" s="67"/>
      <c r="F3630" s="67"/>
      <c r="G3630" s="70"/>
      <c r="H3630" s="70"/>
      <c r="I3630" s="70"/>
      <c r="J3630" s="70"/>
      <c r="K3630" s="70"/>
      <c r="L3630" s="67"/>
      <c r="M3630" s="67"/>
      <c r="N3630" s="72"/>
      <c r="O3630" s="72"/>
      <c r="P3630" s="67"/>
      <c r="Q3630" s="67"/>
      <c r="R3630" s="67"/>
      <c r="S3630" s="67"/>
      <c r="T3630" s="32"/>
      <c r="U3630" s="32"/>
      <c r="X3630" s="32"/>
      <c r="Y3630" s="32"/>
      <c r="Z3630" s="32"/>
      <c r="AA3630" s="32"/>
      <c r="AB3630" s="32"/>
    </row>
    <row r="3631" spans="2:28" ht="23.25" customHeight="1" x14ac:dyDescent="0.2">
      <c r="B3631" s="75"/>
      <c r="C3631" s="67"/>
      <c r="D3631" s="75"/>
      <c r="E3631" s="67"/>
      <c r="F3631" s="67"/>
      <c r="G3631" s="70"/>
      <c r="H3631" s="70"/>
      <c r="I3631" s="70"/>
      <c r="J3631" s="70"/>
      <c r="K3631" s="70"/>
      <c r="L3631" s="67"/>
      <c r="M3631" s="67"/>
      <c r="N3631" s="72"/>
      <c r="O3631" s="72"/>
      <c r="P3631" s="67"/>
      <c r="Q3631" s="67"/>
      <c r="R3631" s="67"/>
      <c r="S3631" s="67"/>
      <c r="T3631" s="32"/>
      <c r="U3631" s="32"/>
      <c r="X3631" s="32"/>
      <c r="Y3631" s="32"/>
      <c r="Z3631" s="32"/>
      <c r="AA3631" s="32"/>
      <c r="AB3631" s="32"/>
    </row>
    <row r="3632" spans="2:28" ht="23.25" customHeight="1" x14ac:dyDescent="0.2">
      <c r="B3632" s="75"/>
      <c r="C3632" s="67"/>
      <c r="D3632" s="75"/>
      <c r="E3632" s="67"/>
      <c r="F3632" s="67"/>
      <c r="G3632" s="70"/>
      <c r="H3632" s="70"/>
      <c r="I3632" s="70"/>
      <c r="J3632" s="70"/>
      <c r="K3632" s="70"/>
      <c r="L3632" s="67"/>
      <c r="M3632" s="67"/>
      <c r="N3632" s="72"/>
      <c r="O3632" s="72"/>
      <c r="P3632" s="67"/>
      <c r="Q3632" s="67"/>
      <c r="R3632" s="67"/>
      <c r="S3632" s="67"/>
      <c r="T3632" s="32"/>
      <c r="U3632" s="32"/>
      <c r="X3632" s="32"/>
      <c r="Y3632" s="32"/>
      <c r="Z3632" s="32"/>
      <c r="AA3632" s="32"/>
      <c r="AB3632" s="32"/>
    </row>
    <row r="3633" spans="2:28" ht="23.25" customHeight="1" x14ac:dyDescent="0.2">
      <c r="B3633" s="75"/>
      <c r="C3633" s="67"/>
      <c r="D3633" s="75"/>
      <c r="E3633" s="67"/>
      <c r="F3633" s="67"/>
      <c r="G3633" s="70"/>
      <c r="H3633" s="70"/>
      <c r="I3633" s="70"/>
      <c r="J3633" s="70"/>
      <c r="K3633" s="70"/>
      <c r="L3633" s="67"/>
      <c r="M3633" s="67"/>
      <c r="N3633" s="72"/>
      <c r="O3633" s="72"/>
      <c r="P3633" s="67"/>
      <c r="Q3633" s="67"/>
      <c r="R3633" s="67"/>
      <c r="S3633" s="67"/>
      <c r="T3633" s="32"/>
      <c r="U3633" s="32"/>
      <c r="X3633" s="32"/>
      <c r="Y3633" s="32"/>
      <c r="Z3633" s="32"/>
      <c r="AA3633" s="32"/>
      <c r="AB3633" s="32"/>
    </row>
    <row r="3634" spans="2:28" ht="23.25" customHeight="1" x14ac:dyDescent="0.2">
      <c r="B3634" s="75"/>
      <c r="C3634" s="67"/>
      <c r="D3634" s="75"/>
      <c r="E3634" s="67"/>
      <c r="F3634" s="67"/>
      <c r="G3634" s="70"/>
      <c r="H3634" s="70"/>
      <c r="I3634" s="70"/>
      <c r="J3634" s="70"/>
      <c r="K3634" s="70"/>
      <c r="L3634" s="67"/>
      <c r="M3634" s="67"/>
      <c r="N3634" s="72"/>
      <c r="O3634" s="72"/>
      <c r="P3634" s="67"/>
      <c r="Q3634" s="67"/>
      <c r="R3634" s="67"/>
      <c r="S3634" s="67"/>
      <c r="T3634" s="32"/>
      <c r="U3634" s="32"/>
      <c r="X3634" s="32"/>
      <c r="Y3634" s="32"/>
      <c r="Z3634" s="32"/>
      <c r="AA3634" s="32"/>
      <c r="AB3634" s="32"/>
    </row>
    <row r="3635" spans="2:28" ht="23.25" customHeight="1" x14ac:dyDescent="0.2">
      <c r="B3635" s="75"/>
      <c r="C3635" s="67"/>
      <c r="D3635" s="75"/>
      <c r="E3635" s="67"/>
      <c r="F3635" s="67"/>
      <c r="G3635" s="70"/>
      <c r="H3635" s="70"/>
      <c r="I3635" s="70"/>
      <c r="J3635" s="70"/>
      <c r="K3635" s="70"/>
      <c r="L3635" s="67"/>
      <c r="M3635" s="67"/>
      <c r="N3635" s="72"/>
      <c r="O3635" s="72"/>
      <c r="P3635" s="67"/>
      <c r="Q3635" s="67"/>
      <c r="R3635" s="67"/>
      <c r="S3635" s="67"/>
      <c r="T3635" s="32"/>
      <c r="U3635" s="32"/>
      <c r="X3635" s="32"/>
      <c r="Y3635" s="32"/>
      <c r="Z3635" s="32"/>
      <c r="AA3635" s="32"/>
      <c r="AB3635" s="32"/>
    </row>
    <row r="3636" spans="2:28" ht="23.25" customHeight="1" x14ac:dyDescent="0.2">
      <c r="B3636" s="75"/>
      <c r="C3636" s="67"/>
      <c r="D3636" s="75"/>
      <c r="E3636" s="67"/>
      <c r="F3636" s="67"/>
      <c r="G3636" s="70"/>
      <c r="H3636" s="70"/>
      <c r="I3636" s="70"/>
      <c r="J3636" s="70"/>
      <c r="K3636" s="70"/>
      <c r="L3636" s="67"/>
      <c r="M3636" s="67"/>
      <c r="N3636" s="72"/>
      <c r="O3636" s="72"/>
      <c r="P3636" s="67"/>
      <c r="Q3636" s="67"/>
      <c r="R3636" s="67"/>
      <c r="S3636" s="67"/>
      <c r="T3636" s="32"/>
      <c r="U3636" s="32"/>
      <c r="X3636" s="32"/>
      <c r="Y3636" s="32"/>
      <c r="Z3636" s="32"/>
      <c r="AA3636" s="32"/>
      <c r="AB3636" s="32"/>
    </row>
    <row r="3637" spans="2:28" ht="23.25" customHeight="1" x14ac:dyDescent="0.2">
      <c r="B3637" s="75"/>
      <c r="C3637" s="67"/>
      <c r="D3637" s="75"/>
      <c r="E3637" s="67"/>
      <c r="F3637" s="67"/>
      <c r="G3637" s="70"/>
      <c r="H3637" s="70"/>
      <c r="I3637" s="70"/>
      <c r="J3637" s="70"/>
      <c r="K3637" s="70"/>
      <c r="L3637" s="67"/>
      <c r="M3637" s="67"/>
      <c r="N3637" s="72"/>
      <c r="O3637" s="72"/>
      <c r="P3637" s="67"/>
      <c r="Q3637" s="67"/>
      <c r="R3637" s="67"/>
      <c r="S3637" s="67"/>
      <c r="T3637" s="32"/>
      <c r="U3637" s="32"/>
      <c r="X3637" s="32"/>
      <c r="Y3637" s="32"/>
      <c r="Z3637" s="32"/>
      <c r="AA3637" s="32"/>
      <c r="AB3637" s="32"/>
    </row>
    <row r="3638" spans="2:28" ht="23.25" customHeight="1" x14ac:dyDescent="0.2">
      <c r="B3638" s="75"/>
      <c r="C3638" s="67"/>
      <c r="D3638" s="75"/>
      <c r="E3638" s="67"/>
      <c r="F3638" s="67"/>
      <c r="G3638" s="70"/>
      <c r="H3638" s="70"/>
      <c r="I3638" s="70"/>
      <c r="J3638" s="70"/>
      <c r="K3638" s="70"/>
      <c r="L3638" s="67"/>
      <c r="M3638" s="67"/>
      <c r="N3638" s="72"/>
      <c r="O3638" s="72"/>
      <c r="P3638" s="67"/>
      <c r="Q3638" s="67"/>
      <c r="R3638" s="67"/>
      <c r="S3638" s="67"/>
      <c r="T3638" s="32"/>
      <c r="U3638" s="32"/>
      <c r="X3638" s="32"/>
      <c r="Y3638" s="32"/>
      <c r="Z3638" s="32"/>
      <c r="AA3638" s="32"/>
      <c r="AB3638" s="32"/>
    </row>
    <row r="3639" spans="2:28" ht="23.25" customHeight="1" x14ac:dyDescent="0.2">
      <c r="B3639" s="75"/>
      <c r="C3639" s="67"/>
      <c r="D3639" s="75"/>
      <c r="E3639" s="67"/>
      <c r="F3639" s="67"/>
      <c r="G3639" s="70"/>
      <c r="H3639" s="70"/>
      <c r="I3639" s="70"/>
      <c r="J3639" s="70"/>
      <c r="K3639" s="70"/>
      <c r="L3639" s="67"/>
      <c r="M3639" s="67"/>
      <c r="N3639" s="72"/>
      <c r="O3639" s="72"/>
      <c r="P3639" s="67"/>
      <c r="Q3639" s="67"/>
      <c r="R3639" s="67"/>
      <c r="S3639" s="67"/>
      <c r="T3639" s="32"/>
      <c r="U3639" s="32"/>
      <c r="X3639" s="32"/>
      <c r="Y3639" s="32"/>
      <c r="Z3639" s="32"/>
      <c r="AA3639" s="32"/>
      <c r="AB3639" s="32"/>
    </row>
    <row r="3640" spans="2:28" ht="23.25" customHeight="1" x14ac:dyDescent="0.2">
      <c r="B3640" s="75"/>
      <c r="C3640" s="67"/>
      <c r="D3640" s="75"/>
      <c r="E3640" s="67"/>
      <c r="F3640" s="67"/>
      <c r="G3640" s="70"/>
      <c r="H3640" s="70"/>
      <c r="I3640" s="70"/>
      <c r="J3640" s="70"/>
      <c r="K3640" s="70"/>
      <c r="L3640" s="67"/>
      <c r="M3640" s="67"/>
      <c r="N3640" s="72"/>
      <c r="O3640" s="72"/>
      <c r="P3640" s="67"/>
      <c r="Q3640" s="67"/>
      <c r="R3640" s="67"/>
      <c r="S3640" s="67"/>
      <c r="T3640" s="32"/>
      <c r="U3640" s="32"/>
      <c r="X3640" s="32"/>
      <c r="Y3640" s="32"/>
      <c r="Z3640" s="32"/>
      <c r="AA3640" s="32"/>
      <c r="AB3640" s="32"/>
    </row>
    <row r="3641" spans="2:28" ht="23.25" customHeight="1" x14ac:dyDescent="0.2">
      <c r="B3641" s="75"/>
      <c r="C3641" s="67"/>
      <c r="D3641" s="75"/>
      <c r="E3641" s="67"/>
      <c r="F3641" s="67"/>
      <c r="G3641" s="70"/>
      <c r="H3641" s="70"/>
      <c r="I3641" s="70"/>
      <c r="J3641" s="70"/>
      <c r="K3641" s="70"/>
      <c r="L3641" s="67"/>
      <c r="M3641" s="67"/>
      <c r="N3641" s="72"/>
      <c r="O3641" s="72"/>
      <c r="P3641" s="67"/>
      <c r="Q3641" s="67"/>
      <c r="R3641" s="67"/>
      <c r="S3641" s="67"/>
      <c r="T3641" s="32"/>
      <c r="U3641" s="32"/>
      <c r="X3641" s="32"/>
      <c r="Y3641" s="32"/>
      <c r="Z3641" s="32"/>
      <c r="AA3641" s="32"/>
      <c r="AB3641" s="32"/>
    </row>
    <row r="3642" spans="2:28" ht="23.25" customHeight="1" x14ac:dyDescent="0.2">
      <c r="B3642" s="75"/>
      <c r="C3642" s="67"/>
      <c r="D3642" s="75"/>
      <c r="E3642" s="67"/>
      <c r="F3642" s="67"/>
      <c r="G3642" s="70"/>
      <c r="H3642" s="70"/>
      <c r="I3642" s="70"/>
      <c r="J3642" s="70"/>
      <c r="K3642" s="70"/>
      <c r="L3642" s="67"/>
      <c r="M3642" s="67"/>
      <c r="N3642" s="72"/>
      <c r="O3642" s="72"/>
      <c r="P3642" s="67"/>
      <c r="Q3642" s="67"/>
      <c r="R3642" s="67"/>
      <c r="S3642" s="67"/>
      <c r="T3642" s="32"/>
      <c r="U3642" s="32"/>
      <c r="X3642" s="32"/>
      <c r="Y3642" s="32"/>
      <c r="Z3642" s="32"/>
      <c r="AA3642" s="32"/>
      <c r="AB3642" s="32"/>
    </row>
    <row r="3643" spans="2:28" ht="23.25" customHeight="1" x14ac:dyDescent="0.2">
      <c r="B3643" s="75"/>
      <c r="C3643" s="67"/>
      <c r="D3643" s="75"/>
      <c r="E3643" s="67"/>
      <c r="F3643" s="67"/>
      <c r="G3643" s="70"/>
      <c r="H3643" s="70"/>
      <c r="I3643" s="70"/>
      <c r="J3643" s="70"/>
      <c r="K3643" s="70"/>
      <c r="L3643" s="67"/>
      <c r="M3643" s="67"/>
      <c r="N3643" s="72"/>
      <c r="O3643" s="72"/>
      <c r="P3643" s="67"/>
      <c r="Q3643" s="67"/>
      <c r="R3643" s="67"/>
      <c r="S3643" s="67"/>
      <c r="T3643" s="32"/>
      <c r="U3643" s="32"/>
      <c r="X3643" s="32"/>
      <c r="Y3643" s="32"/>
      <c r="Z3643" s="32"/>
      <c r="AA3643" s="32"/>
      <c r="AB3643" s="32"/>
    </row>
    <row r="3644" spans="2:28" ht="23.25" customHeight="1" x14ac:dyDescent="0.2">
      <c r="B3644" s="75"/>
      <c r="C3644" s="67"/>
      <c r="D3644" s="75"/>
      <c r="E3644" s="67"/>
      <c r="F3644" s="67"/>
      <c r="G3644" s="70"/>
      <c r="H3644" s="70"/>
      <c r="I3644" s="70"/>
      <c r="J3644" s="70"/>
      <c r="K3644" s="70"/>
      <c r="L3644" s="67"/>
      <c r="M3644" s="67"/>
      <c r="N3644" s="72"/>
      <c r="O3644" s="72"/>
      <c r="P3644" s="67"/>
      <c r="Q3644" s="67"/>
      <c r="R3644" s="67"/>
      <c r="S3644" s="67"/>
      <c r="T3644" s="32"/>
      <c r="U3644" s="32"/>
      <c r="X3644" s="32"/>
      <c r="Y3644" s="32"/>
      <c r="Z3644" s="32"/>
      <c r="AA3644" s="32"/>
      <c r="AB3644" s="32"/>
    </row>
    <row r="3645" spans="2:28" ht="23.25" customHeight="1" x14ac:dyDescent="0.2">
      <c r="B3645" s="75"/>
      <c r="C3645" s="67"/>
      <c r="D3645" s="75"/>
      <c r="E3645" s="67"/>
      <c r="F3645" s="67"/>
      <c r="G3645" s="70"/>
      <c r="H3645" s="70"/>
      <c r="I3645" s="70"/>
      <c r="J3645" s="70"/>
      <c r="K3645" s="70"/>
      <c r="L3645" s="67"/>
      <c r="M3645" s="67"/>
      <c r="N3645" s="72"/>
      <c r="O3645" s="72"/>
      <c r="P3645" s="67"/>
      <c r="Q3645" s="67"/>
      <c r="R3645" s="67"/>
      <c r="S3645" s="67"/>
      <c r="T3645" s="32"/>
      <c r="U3645" s="32"/>
      <c r="X3645" s="32"/>
      <c r="Y3645" s="32"/>
      <c r="Z3645" s="32"/>
      <c r="AA3645" s="32"/>
      <c r="AB3645" s="32"/>
    </row>
    <row r="3646" spans="2:28" ht="23.25" customHeight="1" x14ac:dyDescent="0.2">
      <c r="B3646" s="75"/>
      <c r="C3646" s="67"/>
      <c r="D3646" s="75"/>
      <c r="E3646" s="67"/>
      <c r="F3646" s="67"/>
      <c r="G3646" s="70"/>
      <c r="H3646" s="70"/>
      <c r="I3646" s="70"/>
      <c r="J3646" s="70"/>
      <c r="K3646" s="70"/>
      <c r="L3646" s="67"/>
      <c r="M3646" s="67"/>
      <c r="N3646" s="72"/>
      <c r="O3646" s="72"/>
      <c r="P3646" s="67"/>
      <c r="Q3646" s="67"/>
      <c r="R3646" s="67"/>
      <c r="S3646" s="67"/>
      <c r="T3646" s="32"/>
      <c r="U3646" s="32"/>
      <c r="X3646" s="32"/>
      <c r="Y3646" s="32"/>
      <c r="Z3646" s="32"/>
      <c r="AA3646" s="32"/>
      <c r="AB3646" s="32"/>
    </row>
    <row r="3647" spans="2:28" ht="23.25" customHeight="1" x14ac:dyDescent="0.2">
      <c r="B3647" s="75"/>
      <c r="C3647" s="67"/>
      <c r="D3647" s="75"/>
      <c r="E3647" s="67"/>
      <c r="F3647" s="67"/>
      <c r="G3647" s="70"/>
      <c r="H3647" s="70"/>
      <c r="I3647" s="70"/>
      <c r="J3647" s="70"/>
      <c r="K3647" s="70"/>
      <c r="L3647" s="67"/>
      <c r="M3647" s="67"/>
      <c r="N3647" s="72"/>
      <c r="O3647" s="72"/>
      <c r="P3647" s="67"/>
      <c r="Q3647" s="67"/>
      <c r="R3647" s="67"/>
      <c r="S3647" s="67"/>
      <c r="T3647" s="32"/>
      <c r="U3647" s="32"/>
      <c r="X3647" s="32"/>
      <c r="Y3647" s="32"/>
      <c r="Z3647" s="32"/>
      <c r="AA3647" s="32"/>
      <c r="AB3647" s="32"/>
    </row>
    <row r="3648" spans="2:28" ht="23.25" customHeight="1" x14ac:dyDescent="0.2">
      <c r="B3648" s="75"/>
      <c r="C3648" s="67"/>
      <c r="D3648" s="75"/>
      <c r="E3648" s="67"/>
      <c r="F3648" s="67"/>
      <c r="G3648" s="70"/>
      <c r="H3648" s="70"/>
      <c r="I3648" s="70"/>
      <c r="J3648" s="70"/>
      <c r="K3648" s="70"/>
      <c r="L3648" s="67"/>
      <c r="M3648" s="67"/>
      <c r="N3648" s="72"/>
      <c r="O3648" s="72"/>
      <c r="P3648" s="67"/>
      <c r="Q3648" s="67"/>
      <c r="R3648" s="67"/>
      <c r="S3648" s="67"/>
      <c r="T3648" s="32"/>
      <c r="U3648" s="32"/>
      <c r="X3648" s="32"/>
      <c r="Y3648" s="32"/>
      <c r="Z3648" s="32"/>
      <c r="AA3648" s="32"/>
      <c r="AB3648" s="32"/>
    </row>
    <row r="3649" spans="2:28" ht="23.25" customHeight="1" x14ac:dyDescent="0.2">
      <c r="B3649" s="75"/>
      <c r="C3649" s="67"/>
      <c r="D3649" s="75"/>
      <c r="E3649" s="67"/>
      <c r="F3649" s="67"/>
      <c r="G3649" s="70"/>
      <c r="H3649" s="70"/>
      <c r="I3649" s="70"/>
      <c r="J3649" s="70"/>
      <c r="K3649" s="70"/>
      <c r="L3649" s="67"/>
      <c r="M3649" s="67"/>
      <c r="N3649" s="72"/>
      <c r="O3649" s="72"/>
      <c r="P3649" s="67"/>
      <c r="Q3649" s="67"/>
      <c r="R3649" s="67"/>
      <c r="S3649" s="67"/>
      <c r="T3649" s="32"/>
      <c r="U3649" s="32"/>
      <c r="X3649" s="32"/>
      <c r="Y3649" s="32"/>
      <c r="Z3649" s="32"/>
      <c r="AA3649" s="32"/>
      <c r="AB3649" s="32"/>
    </row>
    <row r="3650" spans="2:28" ht="23.25" customHeight="1" x14ac:dyDescent="0.2">
      <c r="B3650" s="75"/>
      <c r="C3650" s="67"/>
      <c r="D3650" s="75"/>
      <c r="E3650" s="67"/>
      <c r="F3650" s="67"/>
      <c r="G3650" s="70"/>
      <c r="H3650" s="70"/>
      <c r="I3650" s="70"/>
      <c r="J3650" s="70"/>
      <c r="K3650" s="70"/>
      <c r="L3650" s="67"/>
      <c r="M3650" s="67"/>
      <c r="N3650" s="72"/>
      <c r="O3650" s="72"/>
      <c r="P3650" s="67"/>
      <c r="Q3650" s="67"/>
      <c r="R3650" s="67"/>
      <c r="S3650" s="67"/>
      <c r="T3650" s="32"/>
      <c r="U3650" s="32"/>
      <c r="X3650" s="32"/>
      <c r="Y3650" s="32"/>
      <c r="Z3650" s="32"/>
      <c r="AA3650" s="32"/>
      <c r="AB3650" s="32"/>
    </row>
    <row r="3651" spans="2:28" ht="23.25" customHeight="1" x14ac:dyDescent="0.2">
      <c r="B3651" s="75"/>
      <c r="C3651" s="67"/>
      <c r="D3651" s="75"/>
      <c r="E3651" s="67"/>
      <c r="F3651" s="67"/>
      <c r="G3651" s="70"/>
      <c r="H3651" s="70"/>
      <c r="I3651" s="70"/>
      <c r="J3651" s="70"/>
      <c r="K3651" s="70"/>
      <c r="L3651" s="67"/>
      <c r="M3651" s="67"/>
      <c r="N3651" s="72"/>
      <c r="O3651" s="72"/>
      <c r="P3651" s="67"/>
      <c r="Q3651" s="67"/>
      <c r="R3651" s="67"/>
      <c r="S3651" s="67"/>
      <c r="T3651" s="32"/>
      <c r="U3651" s="32"/>
      <c r="X3651" s="32"/>
      <c r="Y3651" s="32"/>
      <c r="Z3651" s="32"/>
      <c r="AA3651" s="32"/>
      <c r="AB3651" s="32"/>
    </row>
    <row r="3652" spans="2:28" ht="23.25" customHeight="1" x14ac:dyDescent="0.2">
      <c r="B3652" s="75"/>
      <c r="C3652" s="67"/>
      <c r="D3652" s="75"/>
      <c r="E3652" s="67"/>
      <c r="F3652" s="67"/>
      <c r="G3652" s="70"/>
      <c r="H3652" s="70"/>
      <c r="I3652" s="70"/>
      <c r="J3652" s="70"/>
      <c r="K3652" s="70"/>
      <c r="L3652" s="67"/>
      <c r="M3652" s="67"/>
      <c r="N3652" s="72"/>
      <c r="O3652" s="72"/>
      <c r="P3652" s="67"/>
      <c r="Q3652" s="67"/>
      <c r="R3652" s="67"/>
      <c r="S3652" s="67"/>
      <c r="T3652" s="32"/>
      <c r="U3652" s="32"/>
      <c r="X3652" s="32"/>
      <c r="Y3652" s="32"/>
      <c r="Z3652" s="32"/>
      <c r="AA3652" s="32"/>
      <c r="AB3652" s="32"/>
    </row>
    <row r="3653" spans="2:28" ht="23.25" customHeight="1" x14ac:dyDescent="0.2">
      <c r="B3653" s="75"/>
      <c r="C3653" s="67"/>
      <c r="D3653" s="75"/>
      <c r="E3653" s="67"/>
      <c r="F3653" s="67"/>
      <c r="G3653" s="70"/>
      <c r="H3653" s="70"/>
      <c r="I3653" s="70"/>
      <c r="J3653" s="70"/>
      <c r="K3653" s="70"/>
      <c r="L3653" s="67"/>
      <c r="M3653" s="67"/>
      <c r="N3653" s="72"/>
      <c r="O3653" s="72"/>
      <c r="P3653" s="67"/>
      <c r="Q3653" s="67"/>
      <c r="R3653" s="67"/>
      <c r="S3653" s="67"/>
      <c r="T3653" s="32"/>
      <c r="U3653" s="32"/>
      <c r="X3653" s="32"/>
      <c r="Y3653" s="32"/>
      <c r="Z3653" s="32"/>
      <c r="AA3653" s="32"/>
      <c r="AB3653" s="32"/>
    </row>
    <row r="3654" spans="2:28" ht="23.25" customHeight="1" x14ac:dyDescent="0.2">
      <c r="B3654" s="75"/>
      <c r="C3654" s="67"/>
      <c r="D3654" s="75"/>
      <c r="E3654" s="67"/>
      <c r="F3654" s="67"/>
      <c r="G3654" s="70"/>
      <c r="H3654" s="70"/>
      <c r="I3654" s="70"/>
      <c r="J3654" s="70"/>
      <c r="K3654" s="70"/>
      <c r="L3654" s="67"/>
      <c r="M3654" s="67"/>
      <c r="N3654" s="72"/>
      <c r="O3654" s="72"/>
      <c r="P3654" s="67"/>
      <c r="Q3654" s="67"/>
      <c r="R3654" s="67"/>
      <c r="S3654" s="67"/>
      <c r="T3654" s="32"/>
      <c r="U3654" s="32"/>
      <c r="X3654" s="32"/>
      <c r="Y3654" s="32"/>
      <c r="Z3654" s="32"/>
      <c r="AA3654" s="32"/>
      <c r="AB3654" s="32"/>
    </row>
    <row r="3655" spans="2:28" ht="23.25" customHeight="1" x14ac:dyDescent="0.2">
      <c r="B3655" s="75"/>
      <c r="C3655" s="67"/>
      <c r="D3655" s="75"/>
      <c r="E3655" s="67"/>
      <c r="F3655" s="67"/>
      <c r="G3655" s="70"/>
      <c r="H3655" s="70"/>
      <c r="I3655" s="70"/>
      <c r="J3655" s="70"/>
      <c r="K3655" s="70"/>
      <c r="L3655" s="67"/>
      <c r="M3655" s="67"/>
      <c r="N3655" s="72"/>
      <c r="O3655" s="72"/>
      <c r="P3655" s="67"/>
      <c r="Q3655" s="67"/>
      <c r="R3655" s="67"/>
      <c r="S3655" s="67"/>
      <c r="T3655" s="32"/>
      <c r="U3655" s="32"/>
      <c r="X3655" s="32"/>
      <c r="Y3655" s="32"/>
      <c r="Z3655" s="32"/>
      <c r="AA3655" s="32"/>
      <c r="AB3655" s="32"/>
    </row>
    <row r="3656" spans="2:28" ht="23.25" customHeight="1" x14ac:dyDescent="0.2">
      <c r="B3656" s="75"/>
      <c r="C3656" s="67"/>
      <c r="D3656" s="75"/>
      <c r="E3656" s="67"/>
      <c r="F3656" s="67"/>
      <c r="G3656" s="70"/>
      <c r="H3656" s="70"/>
      <c r="I3656" s="70"/>
      <c r="J3656" s="70"/>
      <c r="K3656" s="70"/>
      <c r="L3656" s="67"/>
      <c r="M3656" s="67"/>
      <c r="N3656" s="72"/>
      <c r="O3656" s="72"/>
      <c r="P3656" s="67"/>
      <c r="Q3656" s="67"/>
      <c r="R3656" s="67"/>
      <c r="S3656" s="67"/>
      <c r="T3656" s="32"/>
      <c r="U3656" s="32"/>
      <c r="X3656" s="32"/>
      <c r="Y3656" s="32"/>
      <c r="Z3656" s="32"/>
      <c r="AA3656" s="32"/>
      <c r="AB3656" s="32"/>
    </row>
    <row r="3657" spans="2:28" ht="23.25" customHeight="1" x14ac:dyDescent="0.2">
      <c r="B3657" s="75"/>
      <c r="C3657" s="67"/>
      <c r="D3657" s="75"/>
      <c r="E3657" s="67"/>
      <c r="F3657" s="67"/>
      <c r="G3657" s="70"/>
      <c r="H3657" s="70"/>
      <c r="I3657" s="70"/>
      <c r="J3657" s="70"/>
      <c r="K3657" s="70"/>
      <c r="L3657" s="67"/>
      <c r="M3657" s="67"/>
      <c r="N3657" s="72"/>
      <c r="O3657" s="72"/>
      <c r="P3657" s="67"/>
      <c r="Q3657" s="67"/>
      <c r="R3657" s="67"/>
      <c r="S3657" s="67"/>
      <c r="T3657" s="32"/>
      <c r="U3657" s="32"/>
      <c r="X3657" s="32"/>
      <c r="Y3657" s="32"/>
      <c r="Z3657" s="32"/>
      <c r="AA3657" s="32"/>
      <c r="AB3657" s="32"/>
    </row>
    <row r="3658" spans="2:28" ht="23.25" customHeight="1" x14ac:dyDescent="0.2">
      <c r="B3658" s="75"/>
      <c r="C3658" s="67"/>
      <c r="D3658" s="75"/>
      <c r="E3658" s="67"/>
      <c r="F3658" s="67"/>
      <c r="G3658" s="70"/>
      <c r="H3658" s="70"/>
      <c r="I3658" s="70"/>
      <c r="J3658" s="70"/>
      <c r="K3658" s="70"/>
      <c r="L3658" s="67"/>
      <c r="M3658" s="67"/>
      <c r="N3658" s="72"/>
      <c r="O3658" s="72"/>
      <c r="P3658" s="67"/>
      <c r="Q3658" s="67"/>
      <c r="R3658" s="67"/>
      <c r="S3658" s="67"/>
      <c r="T3658" s="32"/>
      <c r="U3658" s="32"/>
      <c r="X3658" s="32"/>
      <c r="Y3658" s="32"/>
      <c r="Z3658" s="32"/>
      <c r="AA3658" s="32"/>
      <c r="AB3658" s="32"/>
    </row>
    <row r="3659" spans="2:28" ht="23.25" customHeight="1" x14ac:dyDescent="0.2">
      <c r="B3659" s="75"/>
      <c r="C3659" s="67"/>
      <c r="D3659" s="75"/>
      <c r="E3659" s="67"/>
      <c r="F3659" s="67"/>
      <c r="G3659" s="70"/>
      <c r="H3659" s="70"/>
      <c r="I3659" s="70"/>
      <c r="J3659" s="70"/>
      <c r="K3659" s="70"/>
      <c r="L3659" s="67"/>
      <c r="M3659" s="67"/>
      <c r="N3659" s="72"/>
      <c r="O3659" s="72"/>
      <c r="P3659" s="67"/>
      <c r="Q3659" s="67"/>
      <c r="R3659" s="67"/>
      <c r="S3659" s="67"/>
      <c r="T3659" s="32"/>
      <c r="U3659" s="32"/>
      <c r="X3659" s="32"/>
      <c r="Y3659" s="32"/>
      <c r="Z3659" s="32"/>
      <c r="AA3659" s="32"/>
      <c r="AB3659" s="32"/>
    </row>
    <row r="3660" spans="2:28" ht="23.25" customHeight="1" x14ac:dyDescent="0.2">
      <c r="B3660" s="75"/>
      <c r="C3660" s="67"/>
      <c r="D3660" s="75"/>
      <c r="E3660" s="67"/>
      <c r="F3660" s="67"/>
      <c r="G3660" s="70"/>
      <c r="H3660" s="70"/>
      <c r="I3660" s="70"/>
      <c r="J3660" s="70"/>
      <c r="K3660" s="70"/>
      <c r="L3660" s="67"/>
      <c r="M3660" s="67"/>
      <c r="N3660" s="72"/>
      <c r="O3660" s="72"/>
      <c r="P3660" s="67"/>
      <c r="Q3660" s="67"/>
      <c r="R3660" s="67"/>
      <c r="S3660" s="67"/>
      <c r="T3660" s="32"/>
      <c r="U3660" s="32"/>
      <c r="X3660" s="32"/>
      <c r="Y3660" s="32"/>
      <c r="Z3660" s="32"/>
      <c r="AA3660" s="32"/>
      <c r="AB3660" s="32"/>
    </row>
    <row r="3661" spans="2:28" ht="23.25" customHeight="1" x14ac:dyDescent="0.2">
      <c r="B3661" s="75"/>
      <c r="C3661" s="67"/>
      <c r="D3661" s="75"/>
      <c r="E3661" s="67"/>
      <c r="F3661" s="67"/>
      <c r="G3661" s="70"/>
      <c r="H3661" s="70"/>
      <c r="I3661" s="70"/>
      <c r="J3661" s="70"/>
      <c r="K3661" s="70"/>
      <c r="L3661" s="67"/>
      <c r="M3661" s="67"/>
      <c r="N3661" s="72"/>
      <c r="O3661" s="72"/>
      <c r="P3661" s="67"/>
      <c r="Q3661" s="67"/>
      <c r="R3661" s="67"/>
      <c r="S3661" s="67"/>
      <c r="T3661" s="32"/>
      <c r="U3661" s="32"/>
      <c r="X3661" s="32"/>
      <c r="Y3661" s="32"/>
      <c r="Z3661" s="32"/>
      <c r="AA3661" s="32"/>
      <c r="AB3661" s="32"/>
    </row>
    <row r="3662" spans="2:28" ht="23.25" customHeight="1" x14ac:dyDescent="0.2">
      <c r="B3662" s="75"/>
      <c r="C3662" s="67"/>
      <c r="D3662" s="75"/>
      <c r="E3662" s="67"/>
      <c r="F3662" s="67"/>
      <c r="G3662" s="70"/>
      <c r="H3662" s="70"/>
      <c r="I3662" s="70"/>
      <c r="J3662" s="70"/>
      <c r="K3662" s="70"/>
      <c r="L3662" s="67"/>
      <c r="M3662" s="67"/>
      <c r="N3662" s="72"/>
      <c r="O3662" s="72"/>
      <c r="P3662" s="67"/>
      <c r="Q3662" s="67"/>
      <c r="R3662" s="67"/>
      <c r="S3662" s="67"/>
      <c r="T3662" s="32"/>
      <c r="U3662" s="32"/>
      <c r="X3662" s="32"/>
      <c r="Y3662" s="32"/>
      <c r="Z3662" s="32"/>
      <c r="AA3662" s="32"/>
      <c r="AB3662" s="32"/>
    </row>
    <row r="3663" spans="2:28" ht="23.25" customHeight="1" x14ac:dyDescent="0.2">
      <c r="B3663" s="75"/>
      <c r="C3663" s="67"/>
      <c r="D3663" s="75"/>
      <c r="E3663" s="67"/>
      <c r="F3663" s="67"/>
      <c r="G3663" s="70"/>
      <c r="H3663" s="70"/>
      <c r="I3663" s="70"/>
      <c r="J3663" s="70"/>
      <c r="K3663" s="70"/>
      <c r="L3663" s="67"/>
      <c r="M3663" s="67"/>
      <c r="N3663" s="72"/>
      <c r="O3663" s="72"/>
      <c r="P3663" s="67"/>
      <c r="Q3663" s="67"/>
      <c r="R3663" s="67"/>
      <c r="S3663" s="67"/>
      <c r="T3663" s="32"/>
      <c r="U3663" s="32"/>
      <c r="X3663" s="32"/>
      <c r="Y3663" s="32"/>
      <c r="Z3663" s="32"/>
      <c r="AA3663" s="32"/>
      <c r="AB3663" s="32"/>
    </row>
    <row r="3664" spans="2:28" ht="23.25" customHeight="1" x14ac:dyDescent="0.2">
      <c r="B3664" s="75"/>
      <c r="C3664" s="67"/>
      <c r="D3664" s="75"/>
      <c r="E3664" s="67"/>
      <c r="F3664" s="67"/>
      <c r="G3664" s="70"/>
      <c r="H3664" s="70"/>
      <c r="I3664" s="70"/>
      <c r="J3664" s="70"/>
      <c r="K3664" s="70"/>
      <c r="L3664" s="67"/>
      <c r="M3664" s="67"/>
      <c r="N3664" s="72"/>
      <c r="O3664" s="72"/>
      <c r="P3664" s="67"/>
      <c r="Q3664" s="67"/>
      <c r="R3664" s="67"/>
      <c r="S3664" s="67"/>
      <c r="T3664" s="32"/>
      <c r="U3664" s="32"/>
      <c r="X3664" s="32"/>
      <c r="Y3664" s="32"/>
      <c r="Z3664" s="32"/>
      <c r="AA3664" s="32"/>
      <c r="AB3664" s="32"/>
    </row>
    <row r="3665" spans="2:28" ht="23.25" customHeight="1" x14ac:dyDescent="0.2">
      <c r="B3665" s="75"/>
      <c r="C3665" s="67"/>
      <c r="D3665" s="75"/>
      <c r="E3665" s="67"/>
      <c r="F3665" s="67"/>
      <c r="G3665" s="70"/>
      <c r="H3665" s="70"/>
      <c r="I3665" s="70"/>
      <c r="J3665" s="70"/>
      <c r="K3665" s="70"/>
      <c r="L3665" s="67"/>
      <c r="M3665" s="67"/>
      <c r="N3665" s="72"/>
      <c r="O3665" s="72"/>
      <c r="P3665" s="67"/>
      <c r="Q3665" s="67"/>
      <c r="R3665" s="67"/>
      <c r="S3665" s="67"/>
      <c r="T3665" s="32"/>
      <c r="U3665" s="32"/>
      <c r="X3665" s="32"/>
      <c r="Y3665" s="32"/>
      <c r="Z3665" s="32"/>
      <c r="AA3665" s="32"/>
      <c r="AB3665" s="32"/>
    </row>
    <row r="3666" spans="2:28" ht="23.25" customHeight="1" x14ac:dyDescent="0.2">
      <c r="B3666" s="75"/>
      <c r="C3666" s="67"/>
      <c r="D3666" s="75"/>
      <c r="E3666" s="67"/>
      <c r="F3666" s="67"/>
      <c r="G3666" s="70"/>
      <c r="H3666" s="70"/>
      <c r="I3666" s="70"/>
      <c r="J3666" s="70"/>
      <c r="K3666" s="70"/>
      <c r="L3666" s="67"/>
      <c r="M3666" s="67"/>
      <c r="N3666" s="72"/>
      <c r="O3666" s="72"/>
      <c r="P3666" s="67"/>
      <c r="Q3666" s="67"/>
      <c r="R3666" s="67"/>
      <c r="S3666" s="67"/>
      <c r="T3666" s="32"/>
      <c r="U3666" s="32"/>
      <c r="X3666" s="32"/>
      <c r="Y3666" s="32"/>
      <c r="Z3666" s="32"/>
      <c r="AA3666" s="32"/>
      <c r="AB3666" s="32"/>
    </row>
    <row r="3667" spans="2:28" ht="23.25" customHeight="1" x14ac:dyDescent="0.2">
      <c r="B3667" s="75"/>
      <c r="C3667" s="67"/>
      <c r="D3667" s="75"/>
      <c r="E3667" s="67"/>
      <c r="F3667" s="67"/>
      <c r="G3667" s="70"/>
      <c r="H3667" s="70"/>
      <c r="I3667" s="70"/>
      <c r="J3667" s="70"/>
      <c r="K3667" s="70"/>
      <c r="L3667" s="67"/>
      <c r="M3667" s="67"/>
      <c r="N3667" s="72"/>
      <c r="O3667" s="72"/>
      <c r="P3667" s="67"/>
      <c r="Q3667" s="67"/>
      <c r="R3667" s="67"/>
      <c r="S3667" s="67"/>
      <c r="T3667" s="32"/>
      <c r="U3667" s="32"/>
      <c r="X3667" s="32"/>
      <c r="Y3667" s="32"/>
      <c r="Z3667" s="32"/>
      <c r="AA3667" s="32"/>
      <c r="AB3667" s="32"/>
    </row>
    <row r="3668" spans="2:28" ht="23.25" customHeight="1" x14ac:dyDescent="0.2">
      <c r="B3668" s="75"/>
      <c r="C3668" s="67"/>
      <c r="D3668" s="75"/>
      <c r="E3668" s="67"/>
      <c r="F3668" s="67"/>
      <c r="G3668" s="70"/>
      <c r="H3668" s="70"/>
      <c r="I3668" s="70"/>
      <c r="J3668" s="70"/>
      <c r="K3668" s="70"/>
      <c r="L3668" s="67"/>
      <c r="M3668" s="67"/>
      <c r="N3668" s="72"/>
      <c r="O3668" s="72"/>
      <c r="P3668" s="67"/>
      <c r="Q3668" s="67"/>
      <c r="R3668" s="67"/>
      <c r="S3668" s="67"/>
      <c r="T3668" s="32"/>
      <c r="U3668" s="32"/>
      <c r="X3668" s="32"/>
      <c r="Y3668" s="32"/>
      <c r="Z3668" s="32"/>
      <c r="AA3668" s="32"/>
      <c r="AB3668" s="32"/>
    </row>
    <row r="3669" spans="2:28" ht="23.25" customHeight="1" x14ac:dyDescent="0.2">
      <c r="B3669" s="75"/>
      <c r="C3669" s="67"/>
      <c r="D3669" s="75"/>
      <c r="E3669" s="67"/>
      <c r="F3669" s="67"/>
      <c r="G3669" s="70"/>
      <c r="H3669" s="70"/>
      <c r="I3669" s="70"/>
      <c r="J3669" s="70"/>
      <c r="K3669" s="70"/>
      <c r="L3669" s="67"/>
      <c r="M3669" s="67"/>
      <c r="N3669" s="72"/>
      <c r="O3669" s="72"/>
      <c r="P3669" s="67"/>
      <c r="Q3669" s="67"/>
      <c r="R3669" s="67"/>
      <c r="S3669" s="67"/>
      <c r="T3669" s="32"/>
      <c r="U3669" s="32"/>
      <c r="X3669" s="32"/>
      <c r="Y3669" s="32"/>
      <c r="Z3669" s="32"/>
      <c r="AA3669" s="32"/>
      <c r="AB3669" s="32"/>
    </row>
    <row r="3670" spans="2:28" ht="23.25" customHeight="1" x14ac:dyDescent="0.2">
      <c r="B3670" s="75"/>
      <c r="C3670" s="67"/>
      <c r="D3670" s="75"/>
      <c r="E3670" s="67"/>
      <c r="F3670" s="67"/>
      <c r="G3670" s="70"/>
      <c r="H3670" s="70"/>
      <c r="I3670" s="70"/>
      <c r="J3670" s="70"/>
      <c r="K3670" s="70"/>
      <c r="L3670" s="67"/>
      <c r="M3670" s="67"/>
      <c r="N3670" s="72"/>
      <c r="O3670" s="72"/>
      <c r="P3670" s="67"/>
      <c r="Q3670" s="67"/>
      <c r="R3670" s="67"/>
      <c r="S3670" s="67"/>
      <c r="T3670" s="32"/>
      <c r="U3670" s="32"/>
      <c r="X3670" s="32"/>
      <c r="Y3670" s="32"/>
      <c r="Z3670" s="32"/>
      <c r="AA3670" s="32"/>
      <c r="AB3670" s="32"/>
    </row>
    <row r="3671" spans="2:28" ht="23.25" customHeight="1" x14ac:dyDescent="0.2">
      <c r="B3671" s="75"/>
      <c r="C3671" s="67"/>
      <c r="D3671" s="75"/>
      <c r="E3671" s="67"/>
      <c r="F3671" s="67"/>
      <c r="G3671" s="70"/>
      <c r="H3671" s="70"/>
      <c r="I3671" s="70"/>
      <c r="J3671" s="70"/>
      <c r="K3671" s="70"/>
      <c r="L3671" s="67"/>
      <c r="M3671" s="67"/>
      <c r="N3671" s="72"/>
      <c r="O3671" s="72"/>
      <c r="P3671" s="67"/>
      <c r="Q3671" s="67"/>
      <c r="R3671" s="67"/>
      <c r="S3671" s="67"/>
      <c r="T3671" s="32"/>
      <c r="U3671" s="32"/>
      <c r="X3671" s="32"/>
      <c r="Y3671" s="32"/>
      <c r="Z3671" s="32"/>
      <c r="AA3671" s="32"/>
      <c r="AB3671" s="32"/>
    </row>
    <row r="3672" spans="2:28" ht="23.25" customHeight="1" x14ac:dyDescent="0.2">
      <c r="B3672" s="75"/>
      <c r="C3672" s="67"/>
      <c r="D3672" s="75"/>
      <c r="E3672" s="67"/>
      <c r="F3672" s="67"/>
      <c r="G3672" s="70"/>
      <c r="H3672" s="70"/>
      <c r="I3672" s="70"/>
      <c r="J3672" s="70"/>
      <c r="K3672" s="70"/>
      <c r="L3672" s="67"/>
      <c r="M3672" s="67"/>
      <c r="N3672" s="72"/>
      <c r="O3672" s="72"/>
      <c r="P3672" s="67"/>
      <c r="Q3672" s="67"/>
      <c r="R3672" s="67"/>
      <c r="S3672" s="67"/>
      <c r="T3672" s="32"/>
      <c r="U3672" s="32"/>
      <c r="X3672" s="32"/>
      <c r="Y3672" s="32"/>
      <c r="Z3672" s="32"/>
      <c r="AA3672" s="32"/>
      <c r="AB3672" s="32"/>
    </row>
    <row r="3673" spans="2:28" ht="23.25" customHeight="1" x14ac:dyDescent="0.2">
      <c r="B3673" s="75"/>
      <c r="C3673" s="67"/>
      <c r="D3673" s="75"/>
      <c r="E3673" s="67"/>
      <c r="F3673" s="67"/>
      <c r="G3673" s="70"/>
      <c r="H3673" s="70"/>
      <c r="I3673" s="70"/>
      <c r="J3673" s="70"/>
      <c r="K3673" s="70"/>
      <c r="L3673" s="67"/>
      <c r="M3673" s="67"/>
      <c r="N3673" s="72"/>
      <c r="O3673" s="72"/>
      <c r="P3673" s="67"/>
      <c r="Q3673" s="67"/>
      <c r="R3673" s="67"/>
      <c r="S3673" s="67"/>
      <c r="T3673" s="32"/>
      <c r="U3673" s="32"/>
      <c r="X3673" s="32"/>
      <c r="Y3673" s="32"/>
      <c r="Z3673" s="32"/>
      <c r="AA3673" s="32"/>
      <c r="AB3673" s="32"/>
    </row>
    <row r="3674" spans="2:28" ht="23.25" customHeight="1" x14ac:dyDescent="0.2">
      <c r="B3674" s="75"/>
      <c r="C3674" s="67"/>
      <c r="D3674" s="75"/>
      <c r="E3674" s="67"/>
      <c r="F3674" s="67"/>
      <c r="G3674" s="70"/>
      <c r="H3674" s="70"/>
      <c r="I3674" s="70"/>
      <c r="J3674" s="70"/>
      <c r="K3674" s="70"/>
      <c r="L3674" s="67"/>
      <c r="M3674" s="67"/>
      <c r="N3674" s="72"/>
      <c r="O3674" s="72"/>
      <c r="P3674" s="67"/>
      <c r="Q3674" s="67"/>
      <c r="R3674" s="67"/>
      <c r="S3674" s="67"/>
      <c r="T3674" s="32"/>
      <c r="U3674" s="32"/>
      <c r="X3674" s="32"/>
      <c r="Y3674" s="32"/>
      <c r="Z3674" s="32"/>
      <c r="AA3674" s="32"/>
      <c r="AB3674" s="32"/>
    </row>
    <row r="3675" spans="2:28" ht="23.25" customHeight="1" x14ac:dyDescent="0.2">
      <c r="B3675" s="75"/>
      <c r="C3675" s="67"/>
      <c r="D3675" s="75"/>
      <c r="E3675" s="67"/>
      <c r="F3675" s="67"/>
      <c r="G3675" s="70"/>
      <c r="H3675" s="70"/>
      <c r="I3675" s="70"/>
      <c r="J3675" s="70"/>
      <c r="K3675" s="70"/>
      <c r="L3675" s="67"/>
      <c r="M3675" s="67"/>
      <c r="N3675" s="72"/>
      <c r="O3675" s="72"/>
      <c r="P3675" s="67"/>
      <c r="Q3675" s="67"/>
      <c r="R3675" s="67"/>
      <c r="S3675" s="67"/>
      <c r="T3675" s="32"/>
      <c r="U3675" s="32"/>
      <c r="X3675" s="32"/>
      <c r="Y3675" s="32"/>
      <c r="Z3675" s="32"/>
      <c r="AA3675" s="32"/>
      <c r="AB3675" s="32"/>
    </row>
    <row r="3676" spans="2:28" ht="23.25" customHeight="1" x14ac:dyDescent="0.2">
      <c r="B3676" s="75"/>
      <c r="C3676" s="67"/>
      <c r="D3676" s="75"/>
      <c r="E3676" s="67"/>
      <c r="F3676" s="67"/>
      <c r="G3676" s="70"/>
      <c r="H3676" s="70"/>
      <c r="I3676" s="70"/>
      <c r="J3676" s="70"/>
      <c r="K3676" s="70"/>
      <c r="L3676" s="67"/>
      <c r="M3676" s="67"/>
      <c r="N3676" s="72"/>
      <c r="O3676" s="72"/>
      <c r="P3676" s="67"/>
      <c r="Q3676" s="67"/>
      <c r="R3676" s="67"/>
      <c r="S3676" s="67"/>
      <c r="T3676" s="32"/>
      <c r="U3676" s="32"/>
      <c r="X3676" s="32"/>
      <c r="Y3676" s="32"/>
      <c r="Z3676" s="32"/>
      <c r="AA3676" s="32"/>
      <c r="AB3676" s="32"/>
    </row>
    <row r="3677" spans="2:28" ht="23.25" customHeight="1" x14ac:dyDescent="0.2">
      <c r="B3677" s="75"/>
      <c r="C3677" s="67"/>
      <c r="D3677" s="75"/>
      <c r="E3677" s="67"/>
      <c r="F3677" s="67"/>
      <c r="G3677" s="70"/>
      <c r="H3677" s="70"/>
      <c r="I3677" s="70"/>
      <c r="J3677" s="70"/>
      <c r="K3677" s="70"/>
      <c r="L3677" s="67"/>
      <c r="M3677" s="67"/>
      <c r="N3677" s="72"/>
      <c r="O3677" s="72"/>
      <c r="P3677" s="67"/>
      <c r="Q3677" s="67"/>
      <c r="R3677" s="67"/>
      <c r="S3677" s="67"/>
      <c r="T3677" s="32"/>
      <c r="U3677" s="32"/>
      <c r="X3677" s="32"/>
      <c r="Y3677" s="32"/>
      <c r="Z3677" s="32"/>
      <c r="AA3677" s="32"/>
      <c r="AB3677" s="32"/>
    </row>
    <row r="3678" spans="2:28" ht="23.25" customHeight="1" x14ac:dyDescent="0.2">
      <c r="B3678" s="75"/>
      <c r="C3678" s="67"/>
      <c r="D3678" s="75"/>
      <c r="E3678" s="67"/>
      <c r="F3678" s="67"/>
      <c r="G3678" s="70"/>
      <c r="H3678" s="70"/>
      <c r="I3678" s="70"/>
      <c r="J3678" s="70"/>
      <c r="K3678" s="70"/>
      <c r="L3678" s="67"/>
      <c r="M3678" s="67"/>
      <c r="N3678" s="72"/>
      <c r="O3678" s="72"/>
      <c r="P3678" s="67"/>
      <c r="Q3678" s="67"/>
      <c r="R3678" s="67"/>
      <c r="S3678" s="67"/>
      <c r="T3678" s="32"/>
      <c r="U3678" s="32"/>
      <c r="X3678" s="32"/>
      <c r="Y3678" s="32"/>
      <c r="Z3678" s="32"/>
      <c r="AA3678" s="32"/>
      <c r="AB3678" s="32"/>
    </row>
    <row r="3679" spans="2:28" ht="23.25" customHeight="1" x14ac:dyDescent="0.2">
      <c r="B3679" s="75"/>
      <c r="C3679" s="67"/>
      <c r="D3679" s="75"/>
      <c r="E3679" s="67"/>
      <c r="F3679" s="67"/>
      <c r="G3679" s="70"/>
      <c r="H3679" s="70"/>
      <c r="I3679" s="70"/>
      <c r="J3679" s="70"/>
      <c r="K3679" s="70"/>
      <c r="L3679" s="67"/>
      <c r="M3679" s="67"/>
      <c r="N3679" s="72"/>
      <c r="O3679" s="72"/>
      <c r="P3679" s="67"/>
      <c r="Q3679" s="67"/>
      <c r="R3679" s="67"/>
      <c r="S3679" s="67"/>
      <c r="T3679" s="32"/>
      <c r="U3679" s="32"/>
      <c r="X3679" s="32"/>
      <c r="Y3679" s="32"/>
      <c r="Z3679" s="32"/>
      <c r="AA3679" s="32"/>
      <c r="AB3679" s="32"/>
    </row>
    <row r="3680" spans="2:28" ht="23.25" customHeight="1" x14ac:dyDescent="0.2">
      <c r="B3680" s="75"/>
      <c r="C3680" s="67"/>
      <c r="D3680" s="75"/>
      <c r="E3680" s="67"/>
      <c r="F3680" s="67"/>
      <c r="G3680" s="70"/>
      <c r="H3680" s="70"/>
      <c r="I3680" s="70"/>
      <c r="J3680" s="70"/>
      <c r="K3680" s="70"/>
      <c r="L3680" s="67"/>
      <c r="M3680" s="67"/>
      <c r="N3680" s="72"/>
      <c r="O3680" s="72"/>
      <c r="P3680" s="67"/>
      <c r="Q3680" s="67"/>
      <c r="R3680" s="67"/>
      <c r="S3680" s="67"/>
      <c r="T3680" s="32"/>
      <c r="U3680" s="32"/>
      <c r="X3680" s="32"/>
      <c r="Y3680" s="32"/>
      <c r="Z3680" s="32"/>
      <c r="AA3680" s="32"/>
      <c r="AB3680" s="32"/>
    </row>
    <row r="3681" spans="2:28" ht="23.25" customHeight="1" x14ac:dyDescent="0.2">
      <c r="B3681" s="75"/>
      <c r="C3681" s="67"/>
      <c r="D3681" s="75"/>
      <c r="E3681" s="67"/>
      <c r="F3681" s="67"/>
      <c r="G3681" s="70"/>
      <c r="H3681" s="70"/>
      <c r="I3681" s="70"/>
      <c r="J3681" s="70"/>
      <c r="K3681" s="70"/>
      <c r="L3681" s="67"/>
      <c r="M3681" s="67"/>
      <c r="N3681" s="72"/>
      <c r="O3681" s="72"/>
      <c r="P3681" s="67"/>
      <c r="Q3681" s="67"/>
      <c r="R3681" s="67"/>
      <c r="S3681" s="67"/>
      <c r="T3681" s="32"/>
      <c r="U3681" s="32"/>
      <c r="X3681" s="32"/>
      <c r="Y3681" s="32"/>
      <c r="Z3681" s="32"/>
      <c r="AA3681" s="32"/>
      <c r="AB3681" s="32"/>
    </row>
    <row r="3682" spans="2:28" ht="23.25" customHeight="1" x14ac:dyDescent="0.2">
      <c r="B3682" s="75"/>
      <c r="C3682" s="67"/>
      <c r="D3682" s="75"/>
      <c r="E3682" s="67"/>
      <c r="F3682" s="67"/>
      <c r="G3682" s="70"/>
      <c r="H3682" s="70"/>
      <c r="I3682" s="70"/>
      <c r="J3682" s="70"/>
      <c r="K3682" s="70"/>
      <c r="L3682" s="67"/>
      <c r="M3682" s="67"/>
      <c r="N3682" s="72"/>
      <c r="O3682" s="72"/>
      <c r="P3682" s="67"/>
      <c r="Q3682" s="67"/>
      <c r="R3682" s="67"/>
      <c r="S3682" s="67"/>
      <c r="T3682" s="32"/>
      <c r="U3682" s="32"/>
      <c r="X3682" s="32"/>
      <c r="Y3682" s="32"/>
      <c r="Z3682" s="32"/>
      <c r="AA3682" s="32"/>
      <c r="AB3682" s="32"/>
    </row>
    <row r="3683" spans="2:28" ht="23.25" customHeight="1" x14ac:dyDescent="0.2">
      <c r="B3683" s="75"/>
      <c r="C3683" s="67"/>
      <c r="D3683" s="75"/>
      <c r="E3683" s="67"/>
      <c r="F3683" s="67"/>
      <c r="G3683" s="70"/>
      <c r="H3683" s="70"/>
      <c r="I3683" s="70"/>
      <c r="J3683" s="70"/>
      <c r="K3683" s="70"/>
      <c r="L3683" s="67"/>
      <c r="M3683" s="67"/>
      <c r="N3683" s="72"/>
      <c r="O3683" s="72"/>
      <c r="P3683" s="67"/>
      <c r="Q3683" s="67"/>
      <c r="R3683" s="67"/>
      <c r="S3683" s="67"/>
      <c r="T3683" s="32"/>
      <c r="U3683" s="32"/>
      <c r="X3683" s="32"/>
      <c r="Y3683" s="32"/>
      <c r="Z3683" s="32"/>
      <c r="AA3683" s="32"/>
      <c r="AB3683" s="32"/>
    </row>
    <row r="3684" spans="2:28" ht="23.25" customHeight="1" x14ac:dyDescent="0.2">
      <c r="B3684" s="75"/>
      <c r="C3684" s="67"/>
      <c r="D3684" s="75"/>
      <c r="E3684" s="67"/>
      <c r="F3684" s="67"/>
      <c r="G3684" s="70"/>
      <c r="H3684" s="70"/>
      <c r="I3684" s="70"/>
      <c r="J3684" s="70"/>
      <c r="K3684" s="70"/>
      <c r="L3684" s="67"/>
      <c r="M3684" s="67"/>
      <c r="N3684" s="72"/>
      <c r="O3684" s="72"/>
      <c r="P3684" s="67"/>
      <c r="Q3684" s="67"/>
      <c r="R3684" s="67"/>
      <c r="S3684" s="67"/>
      <c r="T3684" s="32"/>
      <c r="U3684" s="32"/>
      <c r="X3684" s="32"/>
      <c r="Y3684" s="32"/>
      <c r="Z3684" s="32"/>
      <c r="AA3684" s="32"/>
      <c r="AB3684" s="32"/>
    </row>
    <row r="3685" spans="2:28" ht="23.25" customHeight="1" x14ac:dyDescent="0.2">
      <c r="B3685" s="75"/>
      <c r="C3685" s="67"/>
      <c r="D3685" s="75"/>
      <c r="E3685" s="67"/>
      <c r="F3685" s="67"/>
      <c r="G3685" s="70"/>
      <c r="H3685" s="70"/>
      <c r="I3685" s="70"/>
      <c r="J3685" s="70"/>
      <c r="K3685" s="70"/>
      <c r="L3685" s="67"/>
      <c r="M3685" s="67"/>
      <c r="N3685" s="72"/>
      <c r="O3685" s="72"/>
      <c r="P3685" s="67"/>
      <c r="Q3685" s="67"/>
      <c r="R3685" s="67"/>
      <c r="S3685" s="67"/>
      <c r="T3685" s="32"/>
      <c r="U3685" s="32"/>
      <c r="X3685" s="32"/>
      <c r="Y3685" s="32"/>
      <c r="Z3685" s="32"/>
      <c r="AA3685" s="32"/>
      <c r="AB3685" s="32"/>
    </row>
    <row r="3686" spans="2:28" ht="23.25" customHeight="1" x14ac:dyDescent="0.2">
      <c r="B3686" s="75"/>
      <c r="C3686" s="67"/>
      <c r="D3686" s="75"/>
      <c r="E3686" s="67"/>
      <c r="F3686" s="67"/>
      <c r="G3686" s="70"/>
      <c r="H3686" s="70"/>
      <c r="I3686" s="70"/>
      <c r="J3686" s="70"/>
      <c r="K3686" s="70"/>
      <c r="L3686" s="67"/>
      <c r="M3686" s="67"/>
      <c r="N3686" s="72"/>
      <c r="O3686" s="72"/>
      <c r="P3686" s="67"/>
      <c r="Q3686" s="67"/>
      <c r="R3686" s="67"/>
      <c r="S3686" s="67"/>
      <c r="T3686" s="32"/>
      <c r="U3686" s="32"/>
      <c r="X3686" s="32"/>
      <c r="Y3686" s="32"/>
      <c r="Z3686" s="32"/>
      <c r="AA3686" s="32"/>
      <c r="AB3686" s="32"/>
    </row>
    <row r="3687" spans="2:28" ht="23.25" customHeight="1" x14ac:dyDescent="0.2">
      <c r="B3687" s="75"/>
      <c r="C3687" s="67"/>
      <c r="D3687" s="75"/>
      <c r="E3687" s="67"/>
      <c r="F3687" s="67"/>
      <c r="G3687" s="70"/>
      <c r="H3687" s="70"/>
      <c r="I3687" s="70"/>
      <c r="J3687" s="70"/>
      <c r="K3687" s="70"/>
      <c r="L3687" s="67"/>
      <c r="M3687" s="67"/>
      <c r="N3687" s="72"/>
      <c r="O3687" s="72"/>
      <c r="P3687" s="67"/>
      <c r="Q3687" s="67"/>
      <c r="R3687" s="67"/>
      <c r="S3687" s="67"/>
      <c r="T3687" s="32"/>
      <c r="U3687" s="32"/>
      <c r="X3687" s="32"/>
      <c r="Y3687" s="32"/>
      <c r="Z3687" s="32"/>
      <c r="AA3687" s="32"/>
      <c r="AB3687" s="32"/>
    </row>
    <row r="3688" spans="2:28" ht="23.25" customHeight="1" x14ac:dyDescent="0.2">
      <c r="B3688" s="75"/>
      <c r="C3688" s="67"/>
      <c r="D3688" s="75"/>
      <c r="E3688" s="67"/>
      <c r="F3688" s="67"/>
      <c r="G3688" s="70"/>
      <c r="H3688" s="70"/>
      <c r="I3688" s="70"/>
      <c r="J3688" s="70"/>
      <c r="K3688" s="70"/>
      <c r="L3688" s="67"/>
      <c r="M3688" s="67"/>
      <c r="N3688" s="72"/>
      <c r="O3688" s="72"/>
      <c r="P3688" s="67"/>
      <c r="Q3688" s="67"/>
      <c r="R3688" s="67"/>
      <c r="S3688" s="67"/>
      <c r="T3688" s="32"/>
      <c r="U3688" s="32"/>
      <c r="X3688" s="32"/>
      <c r="Y3688" s="32"/>
      <c r="Z3688" s="32"/>
      <c r="AA3688" s="32"/>
      <c r="AB3688" s="32"/>
    </row>
    <row r="3689" spans="2:28" ht="23.25" customHeight="1" x14ac:dyDescent="0.2">
      <c r="B3689" s="75"/>
      <c r="C3689" s="67"/>
      <c r="D3689" s="75"/>
      <c r="E3689" s="67"/>
      <c r="F3689" s="67"/>
      <c r="G3689" s="70"/>
      <c r="H3689" s="70"/>
      <c r="I3689" s="70"/>
      <c r="J3689" s="70"/>
      <c r="K3689" s="70"/>
      <c r="L3689" s="67"/>
      <c r="M3689" s="67"/>
      <c r="N3689" s="72"/>
      <c r="O3689" s="72"/>
      <c r="P3689" s="67"/>
      <c r="Q3689" s="67"/>
      <c r="R3689" s="67"/>
      <c r="S3689" s="67"/>
      <c r="T3689" s="32"/>
      <c r="U3689" s="32"/>
      <c r="X3689" s="32"/>
      <c r="Y3689" s="32"/>
      <c r="Z3689" s="32"/>
      <c r="AA3689" s="32"/>
      <c r="AB3689" s="32"/>
    </row>
    <row r="3690" spans="2:28" ht="23.25" customHeight="1" x14ac:dyDescent="0.2">
      <c r="B3690" s="75"/>
      <c r="C3690" s="67"/>
      <c r="D3690" s="75"/>
      <c r="E3690" s="67"/>
      <c r="F3690" s="67"/>
      <c r="G3690" s="70"/>
      <c r="H3690" s="70"/>
      <c r="I3690" s="70"/>
      <c r="J3690" s="70"/>
      <c r="K3690" s="70"/>
      <c r="L3690" s="67"/>
      <c r="M3690" s="67"/>
      <c r="N3690" s="72"/>
      <c r="O3690" s="72"/>
      <c r="P3690" s="67"/>
      <c r="Q3690" s="67"/>
      <c r="R3690" s="67"/>
      <c r="S3690" s="67"/>
      <c r="T3690" s="32"/>
      <c r="U3690" s="32"/>
      <c r="X3690" s="32"/>
      <c r="Y3690" s="32"/>
      <c r="Z3690" s="32"/>
      <c r="AA3690" s="32"/>
      <c r="AB3690" s="32"/>
    </row>
    <row r="3691" spans="2:28" ht="23.25" customHeight="1" x14ac:dyDescent="0.2">
      <c r="B3691" s="75"/>
      <c r="C3691" s="67"/>
      <c r="D3691" s="75"/>
      <c r="E3691" s="67"/>
      <c r="F3691" s="67"/>
      <c r="G3691" s="70"/>
      <c r="H3691" s="70"/>
      <c r="I3691" s="70"/>
      <c r="J3691" s="70"/>
      <c r="K3691" s="70"/>
      <c r="L3691" s="67"/>
      <c r="M3691" s="67"/>
      <c r="N3691" s="72"/>
      <c r="O3691" s="72"/>
      <c r="P3691" s="67"/>
      <c r="Q3691" s="67"/>
      <c r="R3691" s="67"/>
      <c r="S3691" s="67"/>
      <c r="T3691" s="32"/>
      <c r="U3691" s="32"/>
      <c r="X3691" s="32"/>
      <c r="Y3691" s="32"/>
      <c r="Z3691" s="32"/>
      <c r="AA3691" s="32"/>
      <c r="AB3691" s="32"/>
    </row>
    <row r="3692" spans="2:28" ht="23.25" customHeight="1" x14ac:dyDescent="0.2">
      <c r="B3692" s="75"/>
      <c r="C3692" s="67"/>
      <c r="D3692" s="75"/>
      <c r="E3692" s="67"/>
      <c r="F3692" s="67"/>
      <c r="G3692" s="70"/>
      <c r="H3692" s="70"/>
      <c r="I3692" s="70"/>
      <c r="J3692" s="70"/>
      <c r="K3692" s="70"/>
      <c r="L3692" s="67"/>
      <c r="M3692" s="67"/>
      <c r="N3692" s="72"/>
      <c r="O3692" s="72"/>
      <c r="P3692" s="67"/>
      <c r="Q3692" s="67"/>
      <c r="R3692" s="67"/>
      <c r="S3692" s="67"/>
      <c r="T3692" s="32"/>
      <c r="U3692" s="32"/>
      <c r="X3692" s="32"/>
      <c r="Y3692" s="32"/>
      <c r="Z3692" s="32"/>
      <c r="AA3692" s="32"/>
      <c r="AB3692" s="32"/>
    </row>
    <row r="3693" spans="2:28" ht="23.25" customHeight="1" x14ac:dyDescent="0.2">
      <c r="B3693" s="75"/>
      <c r="C3693" s="67"/>
      <c r="D3693" s="75"/>
      <c r="E3693" s="67"/>
      <c r="F3693" s="67"/>
      <c r="G3693" s="70"/>
      <c r="H3693" s="70"/>
      <c r="I3693" s="70"/>
      <c r="J3693" s="70"/>
      <c r="K3693" s="70"/>
      <c r="L3693" s="67"/>
      <c r="M3693" s="67"/>
      <c r="N3693" s="72"/>
      <c r="O3693" s="72"/>
      <c r="P3693" s="67"/>
      <c r="Q3693" s="67"/>
      <c r="R3693" s="67"/>
      <c r="S3693" s="67"/>
      <c r="T3693" s="32"/>
      <c r="U3693" s="32"/>
      <c r="X3693" s="32"/>
      <c r="Y3693" s="32"/>
      <c r="Z3693" s="32"/>
      <c r="AA3693" s="32"/>
      <c r="AB3693" s="32"/>
    </row>
    <row r="3694" spans="2:28" ht="23.25" customHeight="1" x14ac:dyDescent="0.2">
      <c r="B3694" s="75"/>
      <c r="C3694" s="67"/>
      <c r="D3694" s="75"/>
      <c r="E3694" s="67"/>
      <c r="F3694" s="67"/>
      <c r="G3694" s="70"/>
      <c r="H3694" s="70"/>
      <c r="I3694" s="70"/>
      <c r="J3694" s="70"/>
      <c r="K3694" s="70"/>
      <c r="L3694" s="67"/>
      <c r="M3694" s="67"/>
      <c r="N3694" s="72"/>
      <c r="O3694" s="72"/>
      <c r="P3694" s="67"/>
      <c r="Q3694" s="67"/>
      <c r="R3694" s="67"/>
      <c r="S3694" s="67"/>
      <c r="T3694" s="32"/>
      <c r="U3694" s="32"/>
      <c r="X3694" s="32"/>
      <c r="Y3694" s="32"/>
      <c r="Z3694" s="32"/>
      <c r="AA3694" s="32"/>
      <c r="AB3694" s="32"/>
    </row>
    <row r="3695" spans="2:28" ht="23.25" customHeight="1" x14ac:dyDescent="0.2">
      <c r="B3695" s="75"/>
      <c r="C3695" s="67"/>
      <c r="D3695" s="75"/>
      <c r="E3695" s="67"/>
      <c r="F3695" s="67"/>
      <c r="G3695" s="70"/>
      <c r="H3695" s="70"/>
      <c r="I3695" s="70"/>
      <c r="J3695" s="70"/>
      <c r="K3695" s="70"/>
      <c r="L3695" s="67"/>
      <c r="M3695" s="67"/>
      <c r="N3695" s="72"/>
      <c r="O3695" s="72"/>
      <c r="P3695" s="67"/>
      <c r="Q3695" s="67"/>
      <c r="R3695" s="67"/>
      <c r="S3695" s="67"/>
      <c r="T3695" s="32"/>
      <c r="U3695" s="32"/>
      <c r="X3695" s="32"/>
      <c r="Y3695" s="32"/>
      <c r="Z3695" s="32"/>
      <c r="AA3695" s="32"/>
      <c r="AB3695" s="32"/>
    </row>
    <row r="3696" spans="2:28" ht="23.25" customHeight="1" x14ac:dyDescent="0.2">
      <c r="B3696" s="75"/>
      <c r="C3696" s="67"/>
      <c r="D3696" s="75"/>
      <c r="E3696" s="67"/>
      <c r="F3696" s="67"/>
      <c r="G3696" s="70"/>
      <c r="H3696" s="70"/>
      <c r="I3696" s="70"/>
      <c r="J3696" s="70"/>
      <c r="K3696" s="70"/>
      <c r="L3696" s="67"/>
      <c r="M3696" s="67"/>
      <c r="N3696" s="72"/>
      <c r="O3696" s="72"/>
      <c r="P3696" s="67"/>
      <c r="Q3696" s="67"/>
      <c r="R3696" s="67"/>
      <c r="S3696" s="67"/>
      <c r="T3696" s="32"/>
      <c r="U3696" s="32"/>
      <c r="X3696" s="32"/>
      <c r="Y3696" s="32"/>
      <c r="Z3696" s="32"/>
      <c r="AA3696" s="32"/>
      <c r="AB3696" s="32"/>
    </row>
    <row r="3697" spans="2:28" ht="23.25" customHeight="1" x14ac:dyDescent="0.2">
      <c r="B3697" s="75"/>
      <c r="C3697" s="67"/>
      <c r="D3697" s="75"/>
      <c r="E3697" s="67"/>
      <c r="F3697" s="67"/>
      <c r="G3697" s="70"/>
      <c r="H3697" s="70"/>
      <c r="I3697" s="70"/>
      <c r="J3697" s="70"/>
      <c r="K3697" s="70"/>
      <c r="L3697" s="67"/>
      <c r="M3697" s="67"/>
      <c r="N3697" s="72"/>
      <c r="O3697" s="72"/>
      <c r="P3697" s="67"/>
      <c r="Q3697" s="67"/>
      <c r="R3697" s="67"/>
      <c r="S3697" s="67"/>
      <c r="T3697" s="32"/>
      <c r="U3697" s="32"/>
      <c r="X3697" s="32"/>
      <c r="Y3697" s="32"/>
      <c r="Z3697" s="32"/>
      <c r="AA3697" s="32"/>
      <c r="AB3697" s="32"/>
    </row>
    <row r="3698" spans="2:28" ht="23.25" customHeight="1" x14ac:dyDescent="0.2">
      <c r="B3698" s="75"/>
      <c r="C3698" s="67"/>
      <c r="D3698" s="75"/>
      <c r="E3698" s="67"/>
      <c r="F3698" s="67"/>
      <c r="G3698" s="70"/>
      <c r="H3698" s="70"/>
      <c r="I3698" s="70"/>
      <c r="J3698" s="70"/>
      <c r="K3698" s="70"/>
      <c r="L3698" s="67"/>
      <c r="M3698" s="67"/>
      <c r="N3698" s="72"/>
      <c r="O3698" s="72"/>
      <c r="P3698" s="67"/>
      <c r="Q3698" s="67"/>
      <c r="R3698" s="67"/>
      <c r="S3698" s="67"/>
      <c r="T3698" s="32"/>
      <c r="U3698" s="32"/>
      <c r="X3698" s="32"/>
      <c r="Y3698" s="32"/>
      <c r="Z3698" s="32"/>
      <c r="AA3698" s="32"/>
      <c r="AB3698" s="32"/>
    </row>
    <row r="3699" spans="2:28" ht="23.25" customHeight="1" x14ac:dyDescent="0.2">
      <c r="B3699" s="75"/>
      <c r="C3699" s="67"/>
      <c r="D3699" s="75"/>
      <c r="E3699" s="67"/>
      <c r="F3699" s="67"/>
      <c r="G3699" s="70"/>
      <c r="H3699" s="70"/>
      <c r="I3699" s="70"/>
      <c r="J3699" s="70"/>
      <c r="K3699" s="70"/>
      <c r="L3699" s="67"/>
      <c r="M3699" s="67"/>
      <c r="N3699" s="72"/>
      <c r="O3699" s="72"/>
      <c r="P3699" s="67"/>
      <c r="Q3699" s="67"/>
      <c r="R3699" s="67"/>
      <c r="S3699" s="67"/>
      <c r="T3699" s="32"/>
      <c r="U3699" s="32"/>
      <c r="X3699" s="32"/>
      <c r="Y3699" s="32"/>
      <c r="Z3699" s="32"/>
      <c r="AA3699" s="32"/>
      <c r="AB3699" s="32"/>
    </row>
    <row r="3700" spans="2:28" ht="23.25" customHeight="1" x14ac:dyDescent="0.2">
      <c r="B3700" s="75"/>
      <c r="C3700" s="67"/>
      <c r="D3700" s="75"/>
      <c r="E3700" s="67"/>
      <c r="F3700" s="67"/>
      <c r="G3700" s="70"/>
      <c r="H3700" s="70"/>
      <c r="I3700" s="70"/>
      <c r="J3700" s="70"/>
      <c r="K3700" s="70"/>
      <c r="L3700" s="67"/>
      <c r="M3700" s="67"/>
      <c r="N3700" s="72"/>
      <c r="O3700" s="72"/>
      <c r="P3700" s="67"/>
      <c r="Q3700" s="67"/>
      <c r="R3700" s="67"/>
      <c r="S3700" s="67"/>
      <c r="T3700" s="32"/>
      <c r="U3700" s="32"/>
      <c r="X3700" s="32"/>
      <c r="Y3700" s="32"/>
      <c r="Z3700" s="32"/>
      <c r="AA3700" s="32"/>
      <c r="AB3700" s="32"/>
    </row>
    <row r="3701" spans="2:28" ht="23.25" customHeight="1" x14ac:dyDescent="0.2">
      <c r="B3701" s="75"/>
      <c r="C3701" s="67"/>
      <c r="D3701" s="75"/>
      <c r="E3701" s="67"/>
      <c r="F3701" s="67"/>
      <c r="G3701" s="70"/>
      <c r="H3701" s="70"/>
      <c r="I3701" s="70"/>
      <c r="J3701" s="70"/>
      <c r="K3701" s="70"/>
      <c r="L3701" s="67"/>
      <c r="M3701" s="67"/>
      <c r="N3701" s="72"/>
      <c r="O3701" s="72"/>
      <c r="P3701" s="67"/>
      <c r="Q3701" s="67"/>
      <c r="R3701" s="67"/>
      <c r="S3701" s="67"/>
      <c r="T3701" s="32"/>
      <c r="U3701" s="32"/>
      <c r="X3701" s="32"/>
      <c r="Y3701" s="32"/>
      <c r="Z3701" s="32"/>
      <c r="AA3701" s="32"/>
      <c r="AB3701" s="32"/>
    </row>
    <row r="3702" spans="2:28" ht="23.25" customHeight="1" x14ac:dyDescent="0.2">
      <c r="B3702" s="75"/>
      <c r="C3702" s="67"/>
      <c r="D3702" s="75"/>
      <c r="E3702" s="67"/>
      <c r="F3702" s="67"/>
      <c r="G3702" s="70"/>
      <c r="H3702" s="70"/>
      <c r="I3702" s="70"/>
      <c r="J3702" s="70"/>
      <c r="K3702" s="70"/>
      <c r="L3702" s="67"/>
      <c r="M3702" s="67"/>
      <c r="N3702" s="72"/>
      <c r="O3702" s="72"/>
      <c r="P3702" s="67"/>
      <c r="Q3702" s="67"/>
      <c r="R3702" s="67"/>
      <c r="S3702" s="67"/>
      <c r="T3702" s="32"/>
      <c r="U3702" s="32"/>
      <c r="X3702" s="32"/>
      <c r="Y3702" s="32"/>
      <c r="Z3702" s="32"/>
      <c r="AA3702" s="32"/>
      <c r="AB3702" s="32"/>
    </row>
    <row r="3703" spans="2:28" ht="23.25" customHeight="1" x14ac:dyDescent="0.2">
      <c r="B3703" s="75"/>
      <c r="C3703" s="67"/>
      <c r="D3703" s="75"/>
      <c r="E3703" s="67"/>
      <c r="F3703" s="67"/>
      <c r="G3703" s="70"/>
      <c r="H3703" s="70"/>
      <c r="I3703" s="70"/>
      <c r="J3703" s="70"/>
      <c r="K3703" s="70"/>
      <c r="L3703" s="67"/>
      <c r="M3703" s="67"/>
      <c r="N3703" s="72"/>
      <c r="O3703" s="72"/>
      <c r="P3703" s="67"/>
      <c r="Q3703" s="67"/>
      <c r="R3703" s="67"/>
      <c r="S3703" s="67"/>
      <c r="T3703" s="32"/>
      <c r="U3703" s="32"/>
      <c r="X3703" s="32"/>
      <c r="Y3703" s="32"/>
      <c r="Z3703" s="32"/>
      <c r="AA3703" s="32"/>
      <c r="AB3703" s="32"/>
    </row>
    <row r="3704" spans="2:28" ht="23.25" customHeight="1" x14ac:dyDescent="0.2">
      <c r="B3704" s="75"/>
      <c r="C3704" s="67"/>
      <c r="D3704" s="75"/>
      <c r="E3704" s="67"/>
      <c r="F3704" s="67"/>
      <c r="G3704" s="70"/>
      <c r="H3704" s="70"/>
      <c r="I3704" s="70"/>
      <c r="J3704" s="70"/>
      <c r="K3704" s="70"/>
      <c r="L3704" s="67"/>
      <c r="M3704" s="67"/>
      <c r="N3704" s="72"/>
      <c r="O3704" s="72"/>
      <c r="P3704" s="67"/>
      <c r="Q3704" s="67"/>
      <c r="R3704" s="67"/>
      <c r="S3704" s="67"/>
      <c r="T3704" s="32"/>
      <c r="U3704" s="32"/>
      <c r="X3704" s="32"/>
      <c r="Y3704" s="32"/>
      <c r="Z3704" s="32"/>
      <c r="AA3704" s="32"/>
      <c r="AB3704" s="32"/>
    </row>
    <row r="3705" spans="2:28" ht="23.25" customHeight="1" x14ac:dyDescent="0.2">
      <c r="B3705" s="75"/>
      <c r="C3705" s="67"/>
      <c r="D3705" s="75"/>
      <c r="E3705" s="67"/>
      <c r="F3705" s="67"/>
      <c r="G3705" s="70"/>
      <c r="H3705" s="70"/>
      <c r="I3705" s="70"/>
      <c r="J3705" s="70"/>
      <c r="K3705" s="70"/>
      <c r="L3705" s="67"/>
      <c r="M3705" s="67"/>
      <c r="N3705" s="72"/>
      <c r="O3705" s="72"/>
      <c r="P3705" s="67"/>
      <c r="Q3705" s="67"/>
      <c r="R3705" s="67"/>
      <c r="S3705" s="67"/>
      <c r="T3705" s="32"/>
      <c r="U3705" s="32"/>
      <c r="X3705" s="32"/>
      <c r="Y3705" s="32"/>
      <c r="Z3705" s="32"/>
      <c r="AA3705" s="32"/>
      <c r="AB3705" s="32"/>
    </row>
    <row r="3706" spans="2:28" ht="23.25" customHeight="1" x14ac:dyDescent="0.2">
      <c r="B3706" s="75"/>
      <c r="C3706" s="67"/>
      <c r="D3706" s="75"/>
      <c r="E3706" s="67"/>
      <c r="F3706" s="67"/>
      <c r="G3706" s="70"/>
      <c r="H3706" s="70"/>
      <c r="I3706" s="70"/>
      <c r="J3706" s="70"/>
      <c r="K3706" s="70"/>
      <c r="L3706" s="67"/>
      <c r="M3706" s="67"/>
      <c r="N3706" s="72"/>
      <c r="O3706" s="72"/>
      <c r="P3706" s="67"/>
      <c r="Q3706" s="67"/>
      <c r="R3706" s="67"/>
      <c r="S3706" s="67"/>
      <c r="T3706" s="32"/>
      <c r="U3706" s="32"/>
      <c r="X3706" s="32"/>
      <c r="Y3706" s="32"/>
      <c r="Z3706" s="32"/>
      <c r="AA3706" s="32"/>
      <c r="AB3706" s="32"/>
    </row>
    <row r="3707" spans="2:28" ht="23.25" customHeight="1" x14ac:dyDescent="0.2">
      <c r="B3707" s="75"/>
      <c r="C3707" s="67"/>
      <c r="D3707" s="75"/>
      <c r="E3707" s="67"/>
      <c r="F3707" s="67"/>
      <c r="G3707" s="70"/>
      <c r="H3707" s="70"/>
      <c r="I3707" s="70"/>
      <c r="J3707" s="70"/>
      <c r="K3707" s="70"/>
      <c r="L3707" s="67"/>
      <c r="M3707" s="67"/>
      <c r="N3707" s="72"/>
      <c r="O3707" s="72"/>
      <c r="P3707" s="67"/>
      <c r="Q3707" s="67"/>
      <c r="R3707" s="67"/>
      <c r="S3707" s="67"/>
      <c r="T3707" s="32"/>
      <c r="U3707" s="32"/>
      <c r="X3707" s="32"/>
      <c r="Y3707" s="32"/>
      <c r="Z3707" s="32"/>
      <c r="AA3707" s="32"/>
      <c r="AB3707" s="32"/>
    </row>
    <row r="3708" spans="2:28" ht="23.25" customHeight="1" x14ac:dyDescent="0.2">
      <c r="B3708" s="75"/>
      <c r="C3708" s="67"/>
      <c r="D3708" s="75"/>
      <c r="E3708" s="67"/>
      <c r="F3708" s="67"/>
      <c r="G3708" s="70"/>
      <c r="H3708" s="70"/>
      <c r="I3708" s="70"/>
      <c r="J3708" s="70"/>
      <c r="K3708" s="70"/>
      <c r="L3708" s="67"/>
      <c r="M3708" s="67"/>
      <c r="N3708" s="72"/>
      <c r="O3708" s="72"/>
      <c r="P3708" s="67"/>
      <c r="Q3708" s="67"/>
      <c r="R3708" s="67"/>
      <c r="S3708" s="67"/>
      <c r="T3708" s="32"/>
      <c r="U3708" s="32"/>
      <c r="X3708" s="32"/>
      <c r="Y3708" s="32"/>
      <c r="Z3708" s="32"/>
      <c r="AA3708" s="32"/>
      <c r="AB3708" s="32"/>
    </row>
    <row r="3709" spans="2:28" ht="23.25" customHeight="1" x14ac:dyDescent="0.2">
      <c r="B3709" s="75"/>
      <c r="C3709" s="67"/>
      <c r="D3709" s="75"/>
      <c r="E3709" s="67"/>
      <c r="F3709" s="67"/>
      <c r="G3709" s="70"/>
      <c r="H3709" s="70"/>
      <c r="I3709" s="70"/>
      <c r="J3709" s="70"/>
      <c r="K3709" s="70"/>
      <c r="L3709" s="67"/>
      <c r="M3709" s="67"/>
      <c r="N3709" s="72"/>
      <c r="O3709" s="72"/>
      <c r="P3709" s="67"/>
      <c r="Q3709" s="67"/>
      <c r="R3709" s="67"/>
      <c r="S3709" s="67"/>
      <c r="T3709" s="32"/>
      <c r="U3709" s="32"/>
      <c r="X3709" s="32"/>
      <c r="Y3709" s="32"/>
      <c r="Z3709" s="32"/>
      <c r="AA3709" s="32"/>
      <c r="AB3709" s="32"/>
    </row>
    <row r="3710" spans="2:28" ht="23.25" customHeight="1" x14ac:dyDescent="0.2">
      <c r="B3710" s="75"/>
      <c r="C3710" s="67"/>
      <c r="D3710" s="75"/>
      <c r="E3710" s="67"/>
      <c r="F3710" s="67"/>
      <c r="G3710" s="70"/>
      <c r="H3710" s="70"/>
      <c r="I3710" s="70"/>
      <c r="J3710" s="70"/>
      <c r="K3710" s="70"/>
      <c r="L3710" s="67"/>
      <c r="M3710" s="67"/>
      <c r="N3710" s="72"/>
      <c r="O3710" s="72"/>
      <c r="P3710" s="67"/>
      <c r="Q3710" s="67"/>
      <c r="R3710" s="67"/>
      <c r="S3710" s="67"/>
      <c r="T3710" s="32"/>
      <c r="U3710" s="32"/>
      <c r="X3710" s="32"/>
      <c r="Y3710" s="32"/>
      <c r="Z3710" s="32"/>
      <c r="AA3710" s="32"/>
      <c r="AB3710" s="32"/>
    </row>
    <row r="3711" spans="2:28" ht="23.25" customHeight="1" x14ac:dyDescent="0.2">
      <c r="B3711" s="75"/>
      <c r="C3711" s="67"/>
      <c r="D3711" s="75"/>
      <c r="E3711" s="67"/>
      <c r="F3711" s="67"/>
      <c r="G3711" s="70"/>
      <c r="H3711" s="70"/>
      <c r="I3711" s="70"/>
      <c r="J3711" s="70"/>
      <c r="K3711" s="70"/>
      <c r="L3711" s="67"/>
      <c r="M3711" s="67"/>
      <c r="N3711" s="72"/>
      <c r="O3711" s="72"/>
      <c r="P3711" s="67"/>
      <c r="Q3711" s="67"/>
      <c r="R3711" s="67"/>
      <c r="S3711" s="67"/>
      <c r="T3711" s="32"/>
      <c r="U3711" s="32"/>
      <c r="X3711" s="32"/>
      <c r="Y3711" s="32"/>
      <c r="Z3711" s="32"/>
      <c r="AA3711" s="32"/>
      <c r="AB3711" s="32"/>
    </row>
    <row r="3712" spans="2:28" ht="23.25" customHeight="1" x14ac:dyDescent="0.2">
      <c r="B3712" s="75"/>
      <c r="C3712" s="67"/>
      <c r="D3712" s="75"/>
      <c r="E3712" s="67"/>
      <c r="F3712" s="67"/>
      <c r="G3712" s="70"/>
      <c r="H3712" s="70"/>
      <c r="I3712" s="70"/>
      <c r="J3712" s="70"/>
      <c r="K3712" s="70"/>
      <c r="L3712" s="67"/>
      <c r="M3712" s="67"/>
      <c r="N3712" s="72"/>
      <c r="O3712" s="72"/>
      <c r="P3712" s="67"/>
      <c r="Q3712" s="67"/>
      <c r="R3712" s="67"/>
      <c r="S3712" s="67"/>
      <c r="T3712" s="32"/>
      <c r="U3712" s="32"/>
      <c r="X3712" s="32"/>
      <c r="Y3712" s="32"/>
      <c r="Z3712" s="32"/>
      <c r="AA3712" s="32"/>
      <c r="AB3712" s="32"/>
    </row>
    <row r="3713" spans="2:28" ht="23.25" customHeight="1" x14ac:dyDescent="0.2">
      <c r="B3713" s="75"/>
      <c r="C3713" s="67"/>
      <c r="D3713" s="75"/>
      <c r="E3713" s="67"/>
      <c r="F3713" s="67"/>
      <c r="G3713" s="70"/>
      <c r="H3713" s="70"/>
      <c r="I3713" s="70"/>
      <c r="J3713" s="70"/>
      <c r="K3713" s="70"/>
      <c r="L3713" s="67"/>
      <c r="M3713" s="67"/>
      <c r="N3713" s="72"/>
      <c r="O3713" s="72"/>
      <c r="P3713" s="67"/>
      <c r="Q3713" s="67"/>
      <c r="R3713" s="67"/>
      <c r="S3713" s="67"/>
      <c r="T3713" s="32"/>
      <c r="U3713" s="32"/>
      <c r="X3713" s="32"/>
      <c r="Y3713" s="32"/>
      <c r="Z3713" s="32"/>
      <c r="AA3713" s="32"/>
      <c r="AB3713" s="32"/>
    </row>
    <row r="3714" spans="2:28" ht="23.25" customHeight="1" x14ac:dyDescent="0.2">
      <c r="B3714" s="75"/>
      <c r="C3714" s="67"/>
      <c r="D3714" s="75"/>
      <c r="E3714" s="67"/>
      <c r="F3714" s="67"/>
      <c r="G3714" s="70"/>
      <c r="H3714" s="70"/>
      <c r="I3714" s="70"/>
      <c r="J3714" s="70"/>
      <c r="K3714" s="70"/>
      <c r="L3714" s="67"/>
      <c r="M3714" s="67"/>
      <c r="N3714" s="72"/>
      <c r="O3714" s="72"/>
      <c r="P3714" s="67"/>
      <c r="Q3714" s="67"/>
      <c r="R3714" s="67"/>
      <c r="S3714" s="67"/>
      <c r="T3714" s="32"/>
      <c r="U3714" s="32"/>
      <c r="X3714" s="32"/>
      <c r="Y3714" s="32"/>
      <c r="Z3714" s="32"/>
      <c r="AA3714" s="32"/>
      <c r="AB3714" s="32"/>
    </row>
    <row r="3715" spans="2:28" ht="23.25" customHeight="1" x14ac:dyDescent="0.2">
      <c r="B3715" s="75"/>
      <c r="C3715" s="67"/>
      <c r="D3715" s="75"/>
      <c r="E3715" s="67"/>
      <c r="F3715" s="67"/>
      <c r="G3715" s="70"/>
      <c r="H3715" s="70"/>
      <c r="I3715" s="70"/>
      <c r="J3715" s="70"/>
      <c r="K3715" s="70"/>
      <c r="L3715" s="67"/>
      <c r="M3715" s="67"/>
      <c r="N3715" s="72"/>
      <c r="O3715" s="72"/>
      <c r="P3715" s="67"/>
      <c r="Q3715" s="67"/>
      <c r="R3715" s="67"/>
      <c r="S3715" s="67"/>
      <c r="T3715" s="32"/>
      <c r="U3715" s="32"/>
      <c r="X3715" s="32"/>
      <c r="Y3715" s="32"/>
      <c r="Z3715" s="32"/>
      <c r="AA3715" s="32"/>
      <c r="AB3715" s="32"/>
    </row>
    <row r="3716" spans="2:28" ht="23.25" customHeight="1" x14ac:dyDescent="0.2">
      <c r="B3716" s="75"/>
      <c r="C3716" s="67"/>
      <c r="D3716" s="75"/>
      <c r="E3716" s="67"/>
      <c r="F3716" s="67"/>
      <c r="G3716" s="70"/>
      <c r="H3716" s="70"/>
      <c r="I3716" s="70"/>
      <c r="J3716" s="70"/>
      <c r="K3716" s="70"/>
      <c r="L3716" s="67"/>
      <c r="M3716" s="67"/>
      <c r="N3716" s="72"/>
      <c r="O3716" s="72"/>
      <c r="P3716" s="67"/>
      <c r="Q3716" s="67"/>
      <c r="R3716" s="67"/>
      <c r="S3716" s="67"/>
      <c r="T3716" s="32"/>
      <c r="U3716" s="32"/>
      <c r="X3716" s="32"/>
      <c r="Y3716" s="32"/>
      <c r="Z3716" s="32"/>
      <c r="AA3716" s="32"/>
      <c r="AB3716" s="32"/>
    </row>
    <row r="3717" spans="2:28" ht="23.25" customHeight="1" x14ac:dyDescent="0.2">
      <c r="B3717" s="75"/>
      <c r="C3717" s="67"/>
      <c r="D3717" s="75"/>
      <c r="E3717" s="67"/>
      <c r="F3717" s="67"/>
      <c r="G3717" s="70"/>
      <c r="H3717" s="70"/>
      <c r="I3717" s="70"/>
      <c r="J3717" s="70"/>
      <c r="K3717" s="70"/>
      <c r="L3717" s="67"/>
      <c r="M3717" s="67"/>
      <c r="N3717" s="72"/>
      <c r="O3717" s="72"/>
      <c r="P3717" s="67"/>
      <c r="Q3717" s="67"/>
      <c r="R3717" s="67"/>
      <c r="S3717" s="67"/>
      <c r="T3717" s="32"/>
      <c r="U3717" s="32"/>
      <c r="X3717" s="32"/>
      <c r="Y3717" s="32"/>
      <c r="Z3717" s="32"/>
      <c r="AA3717" s="32"/>
      <c r="AB3717" s="32"/>
    </row>
    <row r="3718" spans="2:28" ht="23.25" customHeight="1" x14ac:dyDescent="0.2">
      <c r="B3718" s="75"/>
      <c r="C3718" s="67"/>
      <c r="D3718" s="75"/>
      <c r="E3718" s="67"/>
      <c r="F3718" s="67"/>
      <c r="G3718" s="70"/>
      <c r="H3718" s="70"/>
      <c r="I3718" s="70"/>
      <c r="J3718" s="70"/>
      <c r="K3718" s="70"/>
      <c r="L3718" s="67"/>
      <c r="M3718" s="67"/>
      <c r="N3718" s="72"/>
      <c r="O3718" s="72"/>
      <c r="P3718" s="67"/>
      <c r="Q3718" s="67"/>
      <c r="R3718" s="67"/>
      <c r="S3718" s="67"/>
      <c r="T3718" s="32"/>
      <c r="U3718" s="32"/>
      <c r="X3718" s="32"/>
      <c r="Y3718" s="32"/>
      <c r="Z3718" s="32"/>
      <c r="AA3718" s="32"/>
      <c r="AB3718" s="32"/>
    </row>
    <row r="3719" spans="2:28" ht="23.25" customHeight="1" x14ac:dyDescent="0.2">
      <c r="B3719" s="75"/>
      <c r="C3719" s="67"/>
      <c r="D3719" s="75"/>
      <c r="E3719" s="67"/>
      <c r="F3719" s="67"/>
      <c r="G3719" s="70"/>
      <c r="H3719" s="70"/>
      <c r="I3719" s="70"/>
      <c r="J3719" s="70"/>
      <c r="K3719" s="70"/>
      <c r="L3719" s="67"/>
      <c r="M3719" s="67"/>
      <c r="N3719" s="72"/>
      <c r="O3719" s="72"/>
      <c r="P3719" s="67"/>
      <c r="Q3719" s="67"/>
      <c r="R3719" s="67"/>
      <c r="S3719" s="67"/>
      <c r="T3719" s="32"/>
      <c r="U3719" s="32"/>
      <c r="X3719" s="32"/>
      <c r="Y3719" s="32"/>
      <c r="Z3719" s="32"/>
      <c r="AA3719" s="32"/>
      <c r="AB3719" s="32"/>
    </row>
    <row r="3720" spans="2:28" ht="23.25" customHeight="1" x14ac:dyDescent="0.2">
      <c r="B3720" s="75"/>
      <c r="C3720" s="67"/>
      <c r="D3720" s="75"/>
      <c r="E3720" s="67"/>
      <c r="F3720" s="67"/>
      <c r="G3720" s="70"/>
      <c r="H3720" s="70"/>
      <c r="I3720" s="70"/>
      <c r="J3720" s="70"/>
      <c r="K3720" s="70"/>
      <c r="L3720" s="67"/>
      <c r="M3720" s="67"/>
      <c r="N3720" s="72"/>
      <c r="O3720" s="72"/>
      <c r="P3720" s="67"/>
      <c r="Q3720" s="67"/>
      <c r="R3720" s="67"/>
      <c r="S3720" s="67"/>
      <c r="T3720" s="32"/>
      <c r="U3720" s="32"/>
      <c r="X3720" s="32"/>
      <c r="Y3720" s="32"/>
      <c r="Z3720" s="32"/>
      <c r="AA3720" s="32"/>
      <c r="AB3720" s="32"/>
    </row>
    <row r="3721" spans="2:28" ht="23.25" customHeight="1" x14ac:dyDescent="0.2">
      <c r="B3721" s="75"/>
      <c r="C3721" s="67"/>
      <c r="D3721" s="75"/>
      <c r="E3721" s="67"/>
      <c r="F3721" s="67"/>
      <c r="G3721" s="70"/>
      <c r="H3721" s="70"/>
      <c r="I3721" s="70"/>
      <c r="J3721" s="70"/>
      <c r="K3721" s="70"/>
      <c r="L3721" s="67"/>
      <c r="M3721" s="67"/>
      <c r="N3721" s="72"/>
      <c r="O3721" s="72"/>
      <c r="P3721" s="67"/>
      <c r="Q3721" s="67"/>
      <c r="R3721" s="67"/>
      <c r="S3721" s="67"/>
      <c r="T3721" s="32"/>
      <c r="U3721" s="32"/>
      <c r="X3721" s="32"/>
      <c r="Y3721" s="32"/>
      <c r="Z3721" s="32"/>
      <c r="AA3721" s="32"/>
      <c r="AB3721" s="32"/>
    </row>
    <row r="3722" spans="2:28" ht="23.25" customHeight="1" x14ac:dyDescent="0.2">
      <c r="B3722" s="75"/>
      <c r="C3722" s="67"/>
      <c r="D3722" s="75"/>
      <c r="E3722" s="67"/>
      <c r="F3722" s="67"/>
      <c r="G3722" s="70"/>
      <c r="H3722" s="70"/>
      <c r="I3722" s="70"/>
      <c r="J3722" s="70"/>
      <c r="K3722" s="70"/>
      <c r="L3722" s="67"/>
      <c r="M3722" s="67"/>
      <c r="N3722" s="72"/>
      <c r="O3722" s="72"/>
      <c r="P3722" s="67"/>
      <c r="Q3722" s="67"/>
      <c r="R3722" s="67"/>
      <c r="S3722" s="67"/>
      <c r="T3722" s="32"/>
      <c r="U3722" s="32"/>
      <c r="X3722" s="32"/>
      <c r="Y3722" s="32"/>
      <c r="Z3722" s="32"/>
      <c r="AA3722" s="32"/>
      <c r="AB3722" s="32"/>
    </row>
    <row r="3723" spans="2:28" ht="23.25" customHeight="1" x14ac:dyDescent="0.2">
      <c r="B3723" s="75"/>
      <c r="C3723" s="67"/>
      <c r="D3723" s="75"/>
      <c r="E3723" s="67"/>
      <c r="F3723" s="67"/>
      <c r="G3723" s="70"/>
      <c r="H3723" s="70"/>
      <c r="I3723" s="70"/>
      <c r="J3723" s="70"/>
      <c r="K3723" s="70"/>
      <c r="L3723" s="67"/>
      <c r="M3723" s="67"/>
      <c r="N3723" s="72"/>
      <c r="O3723" s="72"/>
      <c r="P3723" s="67"/>
      <c r="Q3723" s="67"/>
      <c r="R3723" s="67"/>
      <c r="S3723" s="67"/>
      <c r="T3723" s="32"/>
      <c r="U3723" s="32"/>
      <c r="X3723" s="32"/>
      <c r="Y3723" s="32"/>
      <c r="Z3723" s="32"/>
      <c r="AA3723" s="32"/>
      <c r="AB3723" s="32"/>
    </row>
    <row r="3724" spans="2:28" ht="23.25" customHeight="1" x14ac:dyDescent="0.2">
      <c r="B3724" s="75"/>
      <c r="C3724" s="67"/>
      <c r="D3724" s="75"/>
      <c r="E3724" s="67"/>
      <c r="F3724" s="67"/>
      <c r="G3724" s="70"/>
      <c r="H3724" s="70"/>
      <c r="I3724" s="70"/>
      <c r="J3724" s="70"/>
      <c r="K3724" s="70"/>
      <c r="L3724" s="67"/>
      <c r="M3724" s="67"/>
      <c r="N3724" s="72"/>
      <c r="O3724" s="72"/>
      <c r="P3724" s="67"/>
      <c r="Q3724" s="67"/>
      <c r="R3724" s="67"/>
      <c r="S3724" s="67"/>
      <c r="T3724" s="32"/>
      <c r="U3724" s="32"/>
      <c r="X3724" s="32"/>
      <c r="Y3724" s="32"/>
      <c r="Z3724" s="32"/>
      <c r="AA3724" s="32"/>
      <c r="AB3724" s="32"/>
    </row>
    <row r="3725" spans="2:28" ht="23.25" customHeight="1" x14ac:dyDescent="0.2">
      <c r="B3725" s="75"/>
      <c r="C3725" s="67"/>
      <c r="D3725" s="75"/>
      <c r="E3725" s="67"/>
      <c r="F3725" s="67"/>
      <c r="G3725" s="70"/>
      <c r="H3725" s="70"/>
      <c r="I3725" s="70"/>
      <c r="J3725" s="70"/>
      <c r="K3725" s="70"/>
      <c r="L3725" s="67"/>
      <c r="M3725" s="67"/>
      <c r="N3725" s="72"/>
      <c r="O3725" s="72"/>
      <c r="P3725" s="67"/>
      <c r="Q3725" s="67"/>
      <c r="R3725" s="67"/>
      <c r="S3725" s="67"/>
      <c r="T3725" s="32"/>
      <c r="U3725" s="32"/>
      <c r="X3725" s="32"/>
      <c r="Y3725" s="32"/>
      <c r="Z3725" s="32"/>
      <c r="AA3725" s="32"/>
      <c r="AB3725" s="32"/>
    </row>
    <row r="3726" spans="2:28" ht="23.25" customHeight="1" x14ac:dyDescent="0.2">
      <c r="B3726" s="75"/>
      <c r="C3726" s="67"/>
      <c r="D3726" s="75"/>
      <c r="E3726" s="67"/>
      <c r="F3726" s="67"/>
      <c r="G3726" s="70"/>
      <c r="H3726" s="70"/>
      <c r="I3726" s="70"/>
      <c r="J3726" s="70"/>
      <c r="K3726" s="70"/>
      <c r="L3726" s="67"/>
      <c r="M3726" s="67"/>
      <c r="N3726" s="72"/>
      <c r="O3726" s="72"/>
      <c r="P3726" s="67"/>
      <c r="Q3726" s="67"/>
      <c r="R3726" s="67"/>
      <c r="S3726" s="67"/>
      <c r="T3726" s="32"/>
      <c r="U3726" s="32"/>
      <c r="X3726" s="32"/>
      <c r="Y3726" s="32"/>
      <c r="Z3726" s="32"/>
      <c r="AA3726" s="32"/>
      <c r="AB3726" s="32"/>
    </row>
    <row r="3727" spans="2:28" ht="23.25" customHeight="1" x14ac:dyDescent="0.2">
      <c r="B3727" s="75"/>
      <c r="C3727" s="67"/>
      <c r="D3727" s="75"/>
      <c r="E3727" s="67"/>
      <c r="F3727" s="67"/>
      <c r="G3727" s="70"/>
      <c r="H3727" s="70"/>
      <c r="I3727" s="70"/>
      <c r="J3727" s="70"/>
      <c r="K3727" s="70"/>
      <c r="L3727" s="67"/>
      <c r="M3727" s="67"/>
      <c r="N3727" s="72"/>
      <c r="O3727" s="72"/>
      <c r="P3727" s="67"/>
      <c r="Q3727" s="67"/>
      <c r="R3727" s="67"/>
      <c r="S3727" s="67"/>
      <c r="T3727" s="32"/>
      <c r="U3727" s="32"/>
      <c r="X3727" s="32"/>
      <c r="Y3727" s="32"/>
      <c r="Z3727" s="32"/>
      <c r="AA3727" s="32"/>
      <c r="AB3727" s="32"/>
    </row>
    <row r="3728" spans="2:28" ht="23.25" customHeight="1" x14ac:dyDescent="0.2">
      <c r="B3728" s="75"/>
      <c r="C3728" s="67"/>
      <c r="D3728" s="75"/>
      <c r="E3728" s="67"/>
      <c r="F3728" s="67"/>
      <c r="G3728" s="70"/>
      <c r="H3728" s="70"/>
      <c r="I3728" s="70"/>
      <c r="J3728" s="70"/>
      <c r="K3728" s="70"/>
      <c r="L3728" s="67"/>
      <c r="M3728" s="67"/>
      <c r="N3728" s="72"/>
      <c r="O3728" s="72"/>
      <c r="P3728" s="67"/>
      <c r="Q3728" s="67"/>
      <c r="R3728" s="67"/>
      <c r="S3728" s="67"/>
      <c r="T3728" s="32"/>
      <c r="U3728" s="32"/>
      <c r="X3728" s="32"/>
      <c r="Y3728" s="32"/>
      <c r="Z3728" s="32"/>
      <c r="AA3728" s="32"/>
      <c r="AB3728" s="32"/>
    </row>
    <row r="3729" spans="2:28" ht="23.25" customHeight="1" x14ac:dyDescent="0.2">
      <c r="B3729" s="75"/>
      <c r="C3729" s="67"/>
      <c r="D3729" s="75"/>
      <c r="E3729" s="67"/>
      <c r="F3729" s="67"/>
      <c r="G3729" s="70"/>
      <c r="H3729" s="70"/>
      <c r="I3729" s="70"/>
      <c r="J3729" s="70"/>
      <c r="K3729" s="70"/>
      <c r="L3729" s="67"/>
      <c r="M3729" s="67"/>
      <c r="N3729" s="72"/>
      <c r="O3729" s="72"/>
      <c r="P3729" s="67"/>
      <c r="Q3729" s="67"/>
      <c r="R3729" s="67"/>
      <c r="S3729" s="67"/>
      <c r="T3729" s="32"/>
      <c r="U3729" s="32"/>
      <c r="X3729" s="32"/>
      <c r="Y3729" s="32"/>
      <c r="Z3729" s="32"/>
      <c r="AA3729" s="32"/>
      <c r="AB3729" s="32"/>
    </row>
    <row r="3730" spans="2:28" ht="23.25" customHeight="1" x14ac:dyDescent="0.2">
      <c r="B3730" s="75"/>
      <c r="C3730" s="67"/>
      <c r="D3730" s="75"/>
      <c r="E3730" s="67"/>
      <c r="F3730" s="67"/>
      <c r="G3730" s="70"/>
      <c r="H3730" s="70"/>
      <c r="I3730" s="70"/>
      <c r="J3730" s="70"/>
      <c r="K3730" s="70"/>
      <c r="L3730" s="67"/>
      <c r="M3730" s="67"/>
      <c r="N3730" s="72"/>
      <c r="O3730" s="72"/>
      <c r="P3730" s="67"/>
      <c r="Q3730" s="67"/>
      <c r="R3730" s="67"/>
      <c r="S3730" s="67"/>
      <c r="T3730" s="32"/>
      <c r="U3730" s="32"/>
      <c r="X3730" s="32"/>
      <c r="Y3730" s="32"/>
      <c r="Z3730" s="32"/>
      <c r="AA3730" s="32"/>
      <c r="AB3730" s="32"/>
    </row>
    <row r="3731" spans="2:28" ht="23.25" customHeight="1" x14ac:dyDescent="0.2">
      <c r="B3731" s="75"/>
      <c r="C3731" s="67"/>
      <c r="D3731" s="75"/>
      <c r="E3731" s="67"/>
      <c r="F3731" s="67"/>
      <c r="G3731" s="70"/>
      <c r="H3731" s="70"/>
      <c r="I3731" s="70"/>
      <c r="J3731" s="70"/>
      <c r="K3731" s="70"/>
      <c r="L3731" s="67"/>
      <c r="M3731" s="67"/>
      <c r="N3731" s="72"/>
      <c r="O3731" s="72"/>
      <c r="P3731" s="67"/>
      <c r="Q3731" s="67"/>
      <c r="R3731" s="67"/>
      <c r="S3731" s="67"/>
      <c r="T3731" s="32"/>
      <c r="U3731" s="32"/>
      <c r="X3731" s="32"/>
      <c r="Y3731" s="32"/>
      <c r="Z3731" s="32"/>
      <c r="AA3731" s="32"/>
      <c r="AB3731" s="32"/>
    </row>
    <row r="3732" spans="2:28" ht="23.25" customHeight="1" x14ac:dyDescent="0.2">
      <c r="B3732" s="75"/>
      <c r="C3732" s="67"/>
      <c r="D3732" s="75"/>
      <c r="E3732" s="67"/>
      <c r="F3732" s="67"/>
      <c r="G3732" s="70"/>
      <c r="H3732" s="70"/>
      <c r="I3732" s="70"/>
      <c r="J3732" s="70"/>
      <c r="K3732" s="70"/>
      <c r="L3732" s="67"/>
      <c r="M3732" s="67"/>
      <c r="N3732" s="72"/>
      <c r="O3732" s="72"/>
      <c r="P3732" s="67"/>
      <c r="Q3732" s="67"/>
      <c r="R3732" s="67"/>
      <c r="S3732" s="67"/>
      <c r="T3732" s="32"/>
      <c r="U3732" s="32"/>
      <c r="X3732" s="32"/>
      <c r="Y3732" s="32"/>
      <c r="Z3732" s="32"/>
      <c r="AA3732" s="32"/>
      <c r="AB3732" s="32"/>
    </row>
    <row r="3733" spans="2:28" ht="23.25" customHeight="1" x14ac:dyDescent="0.2">
      <c r="B3733" s="75"/>
      <c r="C3733" s="67"/>
      <c r="D3733" s="75"/>
      <c r="E3733" s="67"/>
      <c r="F3733" s="67"/>
      <c r="G3733" s="70"/>
      <c r="H3733" s="70"/>
      <c r="I3733" s="70"/>
      <c r="J3733" s="70"/>
      <c r="K3733" s="70"/>
      <c r="L3733" s="67"/>
      <c r="M3733" s="67"/>
      <c r="N3733" s="72"/>
      <c r="O3733" s="72"/>
      <c r="P3733" s="67"/>
      <c r="Q3733" s="67"/>
      <c r="R3733" s="67"/>
      <c r="S3733" s="67"/>
      <c r="T3733" s="32"/>
      <c r="U3733" s="32"/>
      <c r="X3733" s="32"/>
      <c r="Y3733" s="32"/>
      <c r="Z3733" s="32"/>
      <c r="AA3733" s="32"/>
      <c r="AB3733" s="32"/>
    </row>
    <row r="3734" spans="2:28" ht="23.25" customHeight="1" x14ac:dyDescent="0.2">
      <c r="B3734" s="75"/>
      <c r="C3734" s="67"/>
      <c r="D3734" s="75"/>
      <c r="E3734" s="67"/>
      <c r="F3734" s="67"/>
      <c r="G3734" s="70"/>
      <c r="H3734" s="70"/>
      <c r="I3734" s="70"/>
      <c r="J3734" s="70"/>
      <c r="K3734" s="70"/>
      <c r="L3734" s="67"/>
      <c r="M3734" s="67"/>
      <c r="N3734" s="72"/>
      <c r="O3734" s="72"/>
      <c r="P3734" s="67"/>
      <c r="Q3734" s="67"/>
      <c r="R3734" s="67"/>
      <c r="S3734" s="67"/>
      <c r="T3734" s="32"/>
      <c r="U3734" s="32"/>
      <c r="X3734" s="32"/>
      <c r="Y3734" s="32"/>
      <c r="Z3734" s="32"/>
      <c r="AA3734" s="32"/>
      <c r="AB3734" s="32"/>
    </row>
    <row r="3735" spans="2:28" ht="23.25" customHeight="1" x14ac:dyDescent="0.2">
      <c r="B3735" s="75"/>
      <c r="C3735" s="67"/>
      <c r="D3735" s="75"/>
      <c r="E3735" s="67"/>
      <c r="F3735" s="67"/>
      <c r="G3735" s="70"/>
      <c r="H3735" s="70"/>
      <c r="I3735" s="70"/>
      <c r="J3735" s="70"/>
      <c r="K3735" s="70"/>
      <c r="L3735" s="67"/>
      <c r="M3735" s="67"/>
      <c r="N3735" s="72"/>
      <c r="O3735" s="72"/>
      <c r="P3735" s="67"/>
      <c r="Q3735" s="67"/>
      <c r="R3735" s="67"/>
      <c r="S3735" s="67"/>
      <c r="T3735" s="32"/>
      <c r="U3735" s="32"/>
      <c r="X3735" s="32"/>
      <c r="Y3735" s="32"/>
      <c r="Z3735" s="32"/>
      <c r="AA3735" s="32"/>
      <c r="AB3735" s="32"/>
    </row>
    <row r="3736" spans="2:28" ht="23.25" customHeight="1" x14ac:dyDescent="0.2">
      <c r="B3736" s="75"/>
      <c r="C3736" s="67"/>
      <c r="D3736" s="75"/>
      <c r="E3736" s="67"/>
      <c r="F3736" s="67"/>
      <c r="G3736" s="70"/>
      <c r="H3736" s="70"/>
      <c r="I3736" s="70"/>
      <c r="J3736" s="70"/>
      <c r="K3736" s="70"/>
      <c r="L3736" s="67"/>
      <c r="M3736" s="67"/>
      <c r="N3736" s="72"/>
      <c r="O3736" s="72"/>
      <c r="P3736" s="67"/>
      <c r="Q3736" s="67"/>
      <c r="R3736" s="67"/>
      <c r="S3736" s="67"/>
      <c r="T3736" s="32"/>
      <c r="U3736" s="32"/>
      <c r="X3736" s="32"/>
      <c r="Y3736" s="32"/>
      <c r="Z3736" s="32"/>
      <c r="AA3736" s="32"/>
      <c r="AB3736" s="32"/>
    </row>
    <row r="3737" spans="2:28" ht="23.25" customHeight="1" x14ac:dyDescent="0.2">
      <c r="B3737" s="75"/>
      <c r="C3737" s="67"/>
      <c r="D3737" s="75"/>
      <c r="E3737" s="67"/>
      <c r="F3737" s="67"/>
      <c r="G3737" s="70"/>
      <c r="H3737" s="70"/>
      <c r="I3737" s="70"/>
      <c r="J3737" s="70"/>
      <c r="K3737" s="70"/>
      <c r="L3737" s="67"/>
      <c r="M3737" s="67"/>
      <c r="N3737" s="72"/>
      <c r="O3737" s="72"/>
      <c r="P3737" s="67"/>
      <c r="Q3737" s="67"/>
      <c r="R3737" s="67"/>
      <c r="S3737" s="67"/>
      <c r="T3737" s="32"/>
      <c r="U3737" s="32"/>
      <c r="X3737" s="32"/>
      <c r="Y3737" s="32"/>
      <c r="Z3737" s="32"/>
      <c r="AA3737" s="32"/>
      <c r="AB3737" s="32"/>
    </row>
    <row r="3738" spans="2:28" ht="23.25" customHeight="1" x14ac:dyDescent="0.2">
      <c r="B3738" s="75"/>
      <c r="C3738" s="67"/>
      <c r="D3738" s="75"/>
      <c r="E3738" s="67"/>
      <c r="F3738" s="67"/>
      <c r="G3738" s="70"/>
      <c r="H3738" s="70"/>
      <c r="I3738" s="70"/>
      <c r="J3738" s="70"/>
      <c r="K3738" s="70"/>
      <c r="L3738" s="67"/>
      <c r="M3738" s="67"/>
      <c r="N3738" s="72"/>
      <c r="O3738" s="72"/>
      <c r="P3738" s="67"/>
      <c r="Q3738" s="67"/>
      <c r="R3738" s="67"/>
      <c r="S3738" s="67"/>
      <c r="T3738" s="32"/>
      <c r="U3738" s="32"/>
      <c r="X3738" s="32"/>
      <c r="Y3738" s="32"/>
      <c r="Z3738" s="32"/>
      <c r="AA3738" s="32"/>
      <c r="AB3738" s="32"/>
    </row>
    <row r="3739" spans="2:28" ht="23.25" customHeight="1" x14ac:dyDescent="0.2">
      <c r="B3739" s="75"/>
      <c r="C3739" s="67"/>
      <c r="D3739" s="75"/>
      <c r="E3739" s="67"/>
      <c r="F3739" s="67"/>
      <c r="G3739" s="70"/>
      <c r="H3739" s="70"/>
      <c r="I3739" s="70"/>
      <c r="J3739" s="70"/>
      <c r="K3739" s="70"/>
      <c r="L3739" s="67"/>
      <c r="M3739" s="67"/>
      <c r="N3739" s="72"/>
      <c r="O3739" s="72"/>
      <c r="P3739" s="67"/>
      <c r="Q3739" s="67"/>
      <c r="R3739" s="67"/>
      <c r="S3739" s="67"/>
      <c r="T3739" s="32"/>
      <c r="U3739" s="32"/>
      <c r="X3739" s="32"/>
      <c r="Y3739" s="32"/>
      <c r="Z3739" s="32"/>
      <c r="AA3739" s="32"/>
      <c r="AB3739" s="32"/>
    </row>
    <row r="3740" spans="2:28" ht="23.25" customHeight="1" x14ac:dyDescent="0.2">
      <c r="B3740" s="75"/>
      <c r="C3740" s="67"/>
      <c r="D3740" s="75"/>
      <c r="E3740" s="67"/>
      <c r="F3740" s="67"/>
      <c r="G3740" s="70"/>
      <c r="H3740" s="70"/>
      <c r="I3740" s="70"/>
      <c r="J3740" s="70"/>
      <c r="K3740" s="70"/>
      <c r="L3740" s="67"/>
      <c r="M3740" s="67"/>
      <c r="N3740" s="72"/>
      <c r="O3740" s="72"/>
      <c r="P3740" s="67"/>
      <c r="Q3740" s="67"/>
      <c r="R3740" s="67"/>
      <c r="S3740" s="67"/>
      <c r="T3740" s="32"/>
      <c r="U3740" s="32"/>
      <c r="X3740" s="32"/>
      <c r="Y3740" s="32"/>
      <c r="Z3740" s="32"/>
      <c r="AA3740" s="32"/>
      <c r="AB3740" s="32"/>
    </row>
    <row r="3741" spans="2:28" ht="23.25" customHeight="1" x14ac:dyDescent="0.2">
      <c r="B3741" s="75"/>
      <c r="C3741" s="67"/>
      <c r="D3741" s="75"/>
      <c r="E3741" s="67"/>
      <c r="F3741" s="67"/>
      <c r="G3741" s="70"/>
      <c r="H3741" s="70"/>
      <c r="I3741" s="70"/>
      <c r="J3741" s="70"/>
      <c r="K3741" s="70"/>
      <c r="L3741" s="67"/>
      <c r="M3741" s="67"/>
      <c r="N3741" s="72"/>
      <c r="O3741" s="72"/>
      <c r="P3741" s="67"/>
      <c r="Q3741" s="67"/>
      <c r="R3741" s="67"/>
      <c r="S3741" s="67"/>
      <c r="T3741" s="32"/>
      <c r="U3741" s="32"/>
      <c r="X3741" s="32"/>
      <c r="Y3741" s="32"/>
      <c r="Z3741" s="32"/>
      <c r="AA3741" s="32"/>
      <c r="AB3741" s="32"/>
    </row>
    <row r="3742" spans="2:28" ht="23.25" customHeight="1" x14ac:dyDescent="0.2">
      <c r="B3742" s="75"/>
      <c r="C3742" s="67"/>
      <c r="D3742" s="75"/>
      <c r="E3742" s="67"/>
      <c r="F3742" s="67"/>
      <c r="G3742" s="70"/>
      <c r="H3742" s="70"/>
      <c r="I3742" s="70"/>
      <c r="J3742" s="70"/>
      <c r="K3742" s="70"/>
      <c r="L3742" s="67"/>
      <c r="M3742" s="67"/>
      <c r="N3742" s="72"/>
      <c r="O3742" s="72"/>
      <c r="P3742" s="67"/>
      <c r="Q3742" s="67"/>
      <c r="R3742" s="67"/>
      <c r="S3742" s="67"/>
      <c r="T3742" s="32"/>
      <c r="U3742" s="32"/>
      <c r="X3742" s="32"/>
      <c r="Y3742" s="32"/>
      <c r="Z3742" s="32"/>
      <c r="AA3742" s="32"/>
      <c r="AB3742" s="32"/>
    </row>
    <row r="3743" spans="2:28" ht="23.25" customHeight="1" x14ac:dyDescent="0.2">
      <c r="B3743" s="75"/>
      <c r="C3743" s="67"/>
      <c r="D3743" s="75"/>
      <c r="E3743" s="67"/>
      <c r="F3743" s="67"/>
      <c r="G3743" s="70"/>
      <c r="H3743" s="70"/>
      <c r="I3743" s="70"/>
      <c r="J3743" s="70"/>
      <c r="K3743" s="70"/>
      <c r="L3743" s="67"/>
      <c r="M3743" s="67"/>
      <c r="N3743" s="72"/>
      <c r="O3743" s="72"/>
      <c r="P3743" s="67"/>
      <c r="Q3743" s="67"/>
      <c r="R3743" s="67"/>
      <c r="S3743" s="67"/>
      <c r="T3743" s="32"/>
      <c r="U3743" s="32"/>
      <c r="X3743" s="32"/>
      <c r="Y3743" s="32"/>
      <c r="Z3743" s="32"/>
      <c r="AA3743" s="32"/>
      <c r="AB3743" s="32"/>
    </row>
    <row r="3744" spans="2:28" ht="23.25" customHeight="1" x14ac:dyDescent="0.2">
      <c r="B3744" s="75"/>
      <c r="C3744" s="67"/>
      <c r="D3744" s="75"/>
      <c r="E3744" s="67"/>
      <c r="F3744" s="67"/>
      <c r="G3744" s="70"/>
      <c r="H3744" s="70"/>
      <c r="I3744" s="70"/>
      <c r="J3744" s="70"/>
      <c r="K3744" s="70"/>
      <c r="L3744" s="67"/>
      <c r="M3744" s="67"/>
      <c r="N3744" s="72"/>
      <c r="O3744" s="72"/>
      <c r="P3744" s="67"/>
      <c r="Q3744" s="67"/>
      <c r="R3744" s="67"/>
      <c r="S3744" s="67"/>
      <c r="T3744" s="32"/>
      <c r="U3744" s="32"/>
      <c r="X3744" s="32"/>
      <c r="Y3744" s="32"/>
      <c r="Z3744" s="32"/>
      <c r="AA3744" s="32"/>
      <c r="AB3744" s="32"/>
    </row>
    <row r="3745" spans="2:28" ht="23.25" customHeight="1" x14ac:dyDescent="0.2">
      <c r="B3745" s="75"/>
      <c r="C3745" s="67"/>
      <c r="D3745" s="75"/>
      <c r="E3745" s="67"/>
      <c r="F3745" s="67"/>
      <c r="G3745" s="70"/>
      <c r="H3745" s="70"/>
      <c r="I3745" s="70"/>
      <c r="J3745" s="70"/>
      <c r="K3745" s="70"/>
      <c r="L3745" s="67"/>
      <c r="M3745" s="67"/>
      <c r="N3745" s="72"/>
      <c r="O3745" s="72"/>
      <c r="P3745" s="67"/>
      <c r="Q3745" s="67"/>
      <c r="R3745" s="67"/>
      <c r="S3745" s="67"/>
      <c r="T3745" s="32"/>
      <c r="U3745" s="32"/>
      <c r="X3745" s="32"/>
      <c r="Y3745" s="32"/>
      <c r="Z3745" s="32"/>
      <c r="AA3745" s="32"/>
      <c r="AB3745" s="32"/>
    </row>
    <row r="3746" spans="2:28" ht="23.25" customHeight="1" x14ac:dyDescent="0.2">
      <c r="B3746" s="75"/>
      <c r="C3746" s="67"/>
      <c r="D3746" s="75"/>
      <c r="E3746" s="67"/>
      <c r="F3746" s="67"/>
      <c r="G3746" s="70"/>
      <c r="H3746" s="70"/>
      <c r="I3746" s="70"/>
      <c r="J3746" s="70"/>
      <c r="K3746" s="70"/>
      <c r="L3746" s="67"/>
      <c r="M3746" s="67"/>
      <c r="N3746" s="72"/>
      <c r="O3746" s="72"/>
      <c r="P3746" s="67"/>
      <c r="Q3746" s="67"/>
      <c r="R3746" s="67"/>
      <c r="S3746" s="67"/>
      <c r="T3746" s="32"/>
      <c r="U3746" s="32"/>
      <c r="X3746" s="32"/>
      <c r="Y3746" s="32"/>
      <c r="Z3746" s="32"/>
      <c r="AA3746" s="32"/>
      <c r="AB3746" s="32"/>
    </row>
    <row r="3747" spans="2:28" ht="23.25" customHeight="1" x14ac:dyDescent="0.2">
      <c r="B3747" s="75"/>
      <c r="C3747" s="67"/>
      <c r="D3747" s="75"/>
      <c r="E3747" s="67"/>
      <c r="F3747" s="67"/>
      <c r="G3747" s="70"/>
      <c r="H3747" s="70"/>
      <c r="I3747" s="70"/>
      <c r="J3747" s="70"/>
      <c r="K3747" s="70"/>
      <c r="L3747" s="67"/>
      <c r="M3747" s="67"/>
      <c r="N3747" s="72"/>
      <c r="O3747" s="72"/>
      <c r="P3747" s="67"/>
      <c r="Q3747" s="67"/>
      <c r="R3747" s="67"/>
      <c r="S3747" s="67"/>
      <c r="T3747" s="32"/>
      <c r="U3747" s="32"/>
      <c r="X3747" s="32"/>
      <c r="Y3747" s="32"/>
      <c r="Z3747" s="32"/>
      <c r="AA3747" s="32"/>
      <c r="AB3747" s="32"/>
    </row>
    <row r="3748" spans="2:28" ht="23.25" customHeight="1" x14ac:dyDescent="0.2">
      <c r="B3748" s="75"/>
      <c r="C3748" s="67"/>
      <c r="D3748" s="75"/>
      <c r="E3748" s="67"/>
      <c r="F3748" s="67"/>
      <c r="G3748" s="70"/>
      <c r="H3748" s="70"/>
      <c r="I3748" s="70"/>
      <c r="J3748" s="70"/>
      <c r="K3748" s="70"/>
      <c r="L3748" s="67"/>
      <c r="M3748" s="67"/>
      <c r="N3748" s="72"/>
      <c r="O3748" s="72"/>
      <c r="P3748" s="67"/>
      <c r="Q3748" s="67"/>
      <c r="R3748" s="67"/>
      <c r="S3748" s="67"/>
      <c r="T3748" s="32"/>
      <c r="U3748" s="32"/>
      <c r="X3748" s="32"/>
      <c r="Y3748" s="32"/>
      <c r="Z3748" s="32"/>
      <c r="AA3748" s="32"/>
      <c r="AB3748" s="32"/>
    </row>
    <row r="3749" spans="2:28" ht="23.25" customHeight="1" x14ac:dyDescent="0.2">
      <c r="B3749" s="75"/>
      <c r="C3749" s="67"/>
      <c r="D3749" s="75"/>
      <c r="E3749" s="67"/>
      <c r="F3749" s="67"/>
      <c r="G3749" s="70"/>
      <c r="H3749" s="70"/>
      <c r="I3749" s="70"/>
      <c r="J3749" s="70"/>
      <c r="K3749" s="70"/>
      <c r="L3749" s="67"/>
      <c r="M3749" s="67"/>
      <c r="N3749" s="72"/>
      <c r="O3749" s="72"/>
      <c r="P3749" s="67"/>
      <c r="Q3749" s="67"/>
      <c r="R3749" s="67"/>
      <c r="S3749" s="67"/>
      <c r="T3749" s="32"/>
      <c r="U3749" s="32"/>
      <c r="X3749" s="32"/>
      <c r="Y3749" s="32"/>
      <c r="Z3749" s="32"/>
      <c r="AA3749" s="32"/>
      <c r="AB3749" s="32"/>
    </row>
    <row r="3750" spans="2:28" ht="23.25" customHeight="1" x14ac:dyDescent="0.2">
      <c r="B3750" s="75"/>
      <c r="C3750" s="67"/>
      <c r="D3750" s="75"/>
      <c r="E3750" s="67"/>
      <c r="F3750" s="67"/>
      <c r="G3750" s="70"/>
      <c r="H3750" s="70"/>
      <c r="I3750" s="70"/>
      <c r="J3750" s="70"/>
      <c r="K3750" s="70"/>
      <c r="L3750" s="67"/>
      <c r="M3750" s="67"/>
      <c r="N3750" s="72"/>
      <c r="O3750" s="72"/>
      <c r="P3750" s="67"/>
      <c r="Q3750" s="67"/>
      <c r="R3750" s="67"/>
      <c r="S3750" s="67"/>
      <c r="T3750" s="32"/>
      <c r="U3750" s="32"/>
      <c r="X3750" s="32"/>
      <c r="Y3750" s="32"/>
      <c r="Z3750" s="32"/>
      <c r="AA3750" s="32"/>
      <c r="AB3750" s="32"/>
    </row>
    <row r="3751" spans="2:28" ht="23.25" customHeight="1" x14ac:dyDescent="0.2">
      <c r="B3751" s="75"/>
      <c r="C3751" s="67"/>
      <c r="D3751" s="75"/>
      <c r="E3751" s="67"/>
      <c r="F3751" s="67"/>
      <c r="G3751" s="70"/>
      <c r="H3751" s="70"/>
      <c r="I3751" s="70"/>
      <c r="J3751" s="70"/>
      <c r="K3751" s="70"/>
      <c r="L3751" s="67"/>
      <c r="M3751" s="67"/>
      <c r="N3751" s="72"/>
      <c r="O3751" s="72"/>
      <c r="P3751" s="67"/>
      <c r="Q3751" s="67"/>
      <c r="R3751" s="67"/>
      <c r="S3751" s="67"/>
      <c r="T3751" s="32"/>
      <c r="U3751" s="32"/>
      <c r="X3751" s="32"/>
      <c r="Y3751" s="32"/>
      <c r="Z3751" s="32"/>
      <c r="AA3751" s="32"/>
      <c r="AB3751" s="32"/>
    </row>
    <row r="3752" spans="2:28" ht="23.25" customHeight="1" x14ac:dyDescent="0.2">
      <c r="B3752" s="75"/>
      <c r="C3752" s="67"/>
      <c r="D3752" s="75"/>
      <c r="E3752" s="67"/>
      <c r="F3752" s="67"/>
      <c r="G3752" s="70"/>
      <c r="H3752" s="70"/>
      <c r="I3752" s="70"/>
      <c r="J3752" s="70"/>
      <c r="K3752" s="70"/>
      <c r="L3752" s="67"/>
      <c r="M3752" s="67"/>
      <c r="N3752" s="72"/>
      <c r="O3752" s="72"/>
      <c r="P3752" s="67"/>
      <c r="Q3752" s="67"/>
      <c r="R3752" s="67"/>
      <c r="S3752" s="67"/>
      <c r="T3752" s="32"/>
      <c r="U3752" s="32"/>
      <c r="X3752" s="32"/>
      <c r="Y3752" s="32"/>
      <c r="Z3752" s="32"/>
      <c r="AA3752" s="32"/>
      <c r="AB3752" s="32"/>
    </row>
    <row r="3753" spans="2:28" ht="23.25" customHeight="1" x14ac:dyDescent="0.2">
      <c r="B3753" s="75"/>
      <c r="C3753" s="67"/>
      <c r="D3753" s="75"/>
      <c r="E3753" s="67"/>
      <c r="F3753" s="67"/>
      <c r="G3753" s="70"/>
      <c r="H3753" s="70"/>
      <c r="I3753" s="70"/>
      <c r="J3753" s="70"/>
      <c r="K3753" s="70"/>
      <c r="L3753" s="67"/>
      <c r="M3753" s="67"/>
      <c r="N3753" s="72"/>
      <c r="O3753" s="72"/>
      <c r="P3753" s="67"/>
      <c r="Q3753" s="67"/>
      <c r="R3753" s="67"/>
      <c r="S3753" s="67"/>
      <c r="T3753" s="32"/>
      <c r="U3753" s="32"/>
      <c r="X3753" s="32"/>
      <c r="Y3753" s="32"/>
      <c r="Z3753" s="32"/>
      <c r="AA3753" s="32"/>
      <c r="AB3753" s="32"/>
    </row>
    <row r="3754" spans="2:28" ht="23.25" customHeight="1" x14ac:dyDescent="0.2">
      <c r="B3754" s="75"/>
      <c r="C3754" s="67"/>
      <c r="D3754" s="75"/>
      <c r="E3754" s="67"/>
      <c r="F3754" s="67"/>
      <c r="G3754" s="70"/>
      <c r="H3754" s="70"/>
      <c r="I3754" s="70"/>
      <c r="J3754" s="70"/>
      <c r="K3754" s="70"/>
      <c r="L3754" s="67"/>
      <c r="M3754" s="67"/>
      <c r="N3754" s="72"/>
      <c r="O3754" s="72"/>
      <c r="P3754" s="67"/>
      <c r="Q3754" s="67"/>
      <c r="R3754" s="67"/>
      <c r="S3754" s="67"/>
      <c r="T3754" s="32"/>
      <c r="U3754" s="32"/>
      <c r="X3754" s="32"/>
      <c r="Y3754" s="32"/>
      <c r="Z3754" s="32"/>
      <c r="AA3754" s="32"/>
      <c r="AB3754" s="32"/>
    </row>
    <row r="3755" spans="2:28" ht="23.25" customHeight="1" x14ac:dyDescent="0.2">
      <c r="B3755" s="75"/>
      <c r="C3755" s="67"/>
      <c r="D3755" s="75"/>
      <c r="E3755" s="67"/>
      <c r="F3755" s="67"/>
      <c r="G3755" s="70"/>
      <c r="H3755" s="70"/>
      <c r="I3755" s="70"/>
      <c r="J3755" s="70"/>
      <c r="K3755" s="70"/>
      <c r="L3755" s="67"/>
      <c r="M3755" s="67"/>
      <c r="N3755" s="72"/>
      <c r="O3755" s="72"/>
      <c r="P3755" s="67"/>
      <c r="Q3755" s="67"/>
      <c r="R3755" s="67"/>
      <c r="S3755" s="67"/>
      <c r="T3755" s="32"/>
      <c r="U3755" s="32"/>
      <c r="X3755" s="32"/>
      <c r="Y3755" s="32"/>
      <c r="Z3755" s="32"/>
      <c r="AA3755" s="32"/>
      <c r="AB3755" s="32"/>
    </row>
    <row r="3756" spans="2:28" ht="23.25" customHeight="1" x14ac:dyDescent="0.2">
      <c r="B3756" s="75"/>
      <c r="C3756" s="67"/>
      <c r="D3756" s="75"/>
      <c r="E3756" s="67"/>
      <c r="F3756" s="67"/>
      <c r="G3756" s="70"/>
      <c r="H3756" s="70"/>
      <c r="I3756" s="70"/>
      <c r="J3756" s="70"/>
      <c r="K3756" s="70"/>
      <c r="L3756" s="67"/>
      <c r="M3756" s="67"/>
      <c r="N3756" s="72"/>
      <c r="O3756" s="72"/>
      <c r="P3756" s="67"/>
      <c r="Q3756" s="67"/>
      <c r="R3756" s="67"/>
      <c r="S3756" s="67"/>
      <c r="T3756" s="32"/>
      <c r="U3756" s="32"/>
      <c r="X3756" s="32"/>
      <c r="Y3756" s="32"/>
      <c r="Z3756" s="32"/>
      <c r="AA3756" s="32"/>
      <c r="AB3756" s="32"/>
    </row>
    <row r="3757" spans="2:28" ht="23.25" customHeight="1" x14ac:dyDescent="0.2">
      <c r="B3757" s="75"/>
      <c r="C3757" s="67"/>
      <c r="D3757" s="75"/>
      <c r="E3757" s="67"/>
      <c r="F3757" s="67"/>
      <c r="G3757" s="70"/>
      <c r="H3757" s="70"/>
      <c r="I3757" s="70"/>
      <c r="J3757" s="70"/>
      <c r="K3757" s="70"/>
      <c r="L3757" s="67"/>
      <c r="M3757" s="67"/>
      <c r="N3757" s="72"/>
      <c r="O3757" s="72"/>
      <c r="P3757" s="67"/>
      <c r="Q3757" s="67"/>
      <c r="R3757" s="67"/>
      <c r="S3757" s="67"/>
      <c r="T3757" s="32"/>
      <c r="U3757" s="32"/>
      <c r="X3757" s="32"/>
      <c r="Y3757" s="32"/>
      <c r="Z3757" s="32"/>
      <c r="AA3757" s="32"/>
      <c r="AB3757" s="32"/>
    </row>
    <row r="3758" spans="2:28" ht="23.25" customHeight="1" x14ac:dyDescent="0.2">
      <c r="B3758" s="75"/>
      <c r="C3758" s="67"/>
      <c r="D3758" s="75"/>
      <c r="E3758" s="67"/>
      <c r="F3758" s="67"/>
      <c r="G3758" s="70"/>
      <c r="H3758" s="70"/>
      <c r="I3758" s="70"/>
      <c r="J3758" s="70"/>
      <c r="K3758" s="70"/>
      <c r="L3758" s="67"/>
      <c r="M3758" s="67"/>
      <c r="N3758" s="72"/>
      <c r="O3758" s="72"/>
      <c r="P3758" s="67"/>
      <c r="Q3758" s="67"/>
      <c r="R3758" s="67"/>
      <c r="S3758" s="67"/>
      <c r="T3758" s="32"/>
      <c r="U3758" s="32"/>
      <c r="X3758" s="32"/>
      <c r="Y3758" s="32"/>
      <c r="Z3758" s="32"/>
      <c r="AA3758" s="32"/>
      <c r="AB3758" s="32"/>
    </row>
    <row r="3759" spans="2:28" ht="23.25" customHeight="1" x14ac:dyDescent="0.2">
      <c r="B3759" s="75"/>
      <c r="C3759" s="67"/>
      <c r="D3759" s="75"/>
      <c r="E3759" s="67"/>
      <c r="F3759" s="67"/>
      <c r="G3759" s="70"/>
      <c r="H3759" s="70"/>
      <c r="I3759" s="70"/>
      <c r="J3759" s="70"/>
      <c r="K3759" s="70"/>
      <c r="L3759" s="67"/>
      <c r="M3759" s="67"/>
      <c r="N3759" s="72"/>
      <c r="O3759" s="72"/>
      <c r="P3759" s="67"/>
      <c r="Q3759" s="67"/>
      <c r="R3759" s="67"/>
      <c r="S3759" s="67"/>
      <c r="T3759" s="32"/>
      <c r="U3759" s="32"/>
      <c r="X3759" s="32"/>
      <c r="Y3759" s="32"/>
      <c r="Z3759" s="32"/>
      <c r="AA3759" s="32"/>
      <c r="AB3759" s="32"/>
    </row>
    <row r="3760" spans="2:28" ht="23.25" customHeight="1" x14ac:dyDescent="0.2">
      <c r="B3760" s="75"/>
      <c r="C3760" s="67"/>
      <c r="D3760" s="75"/>
      <c r="E3760" s="67"/>
      <c r="F3760" s="67"/>
      <c r="G3760" s="70"/>
      <c r="H3760" s="70"/>
      <c r="I3760" s="70"/>
      <c r="J3760" s="70"/>
      <c r="K3760" s="70"/>
      <c r="L3760" s="67"/>
      <c r="M3760" s="67"/>
      <c r="N3760" s="72"/>
      <c r="O3760" s="72"/>
      <c r="P3760" s="67"/>
      <c r="Q3760" s="67"/>
      <c r="R3760" s="67"/>
      <c r="S3760" s="67"/>
      <c r="T3760" s="32"/>
      <c r="U3760" s="32"/>
      <c r="X3760" s="32"/>
      <c r="Y3760" s="32"/>
      <c r="Z3760" s="32"/>
      <c r="AA3760" s="32"/>
      <c r="AB3760" s="32"/>
    </row>
    <row r="3761" spans="2:28" ht="23.25" customHeight="1" x14ac:dyDescent="0.2">
      <c r="B3761" s="75"/>
      <c r="C3761" s="67"/>
      <c r="D3761" s="75"/>
      <c r="E3761" s="67"/>
      <c r="F3761" s="67"/>
      <c r="G3761" s="70"/>
      <c r="H3761" s="70"/>
      <c r="I3761" s="70"/>
      <c r="J3761" s="70"/>
      <c r="K3761" s="70"/>
      <c r="L3761" s="67"/>
      <c r="M3761" s="67"/>
      <c r="N3761" s="72"/>
      <c r="O3761" s="72"/>
      <c r="P3761" s="67"/>
      <c r="Q3761" s="67"/>
      <c r="R3761" s="67"/>
      <c r="S3761" s="67"/>
      <c r="T3761" s="32"/>
      <c r="U3761" s="32"/>
      <c r="X3761" s="32"/>
      <c r="Y3761" s="32"/>
      <c r="Z3761" s="32"/>
      <c r="AA3761" s="32"/>
      <c r="AB3761" s="32"/>
    </row>
    <row r="3762" spans="2:28" ht="23.25" customHeight="1" x14ac:dyDescent="0.2">
      <c r="B3762" s="75"/>
      <c r="C3762" s="67"/>
      <c r="D3762" s="75"/>
      <c r="E3762" s="67"/>
      <c r="F3762" s="67"/>
      <c r="G3762" s="70"/>
      <c r="H3762" s="70"/>
      <c r="I3762" s="70"/>
      <c r="J3762" s="70"/>
      <c r="K3762" s="70"/>
      <c r="L3762" s="67"/>
      <c r="M3762" s="67"/>
      <c r="N3762" s="72"/>
      <c r="O3762" s="72"/>
      <c r="P3762" s="67"/>
      <c r="Q3762" s="67"/>
      <c r="R3762" s="67"/>
      <c r="S3762" s="67"/>
      <c r="T3762" s="32"/>
      <c r="U3762" s="32"/>
      <c r="X3762" s="32"/>
      <c r="Y3762" s="32"/>
      <c r="Z3762" s="32"/>
      <c r="AA3762" s="32"/>
      <c r="AB3762" s="32"/>
    </row>
    <row r="3763" spans="2:28" ht="23.25" customHeight="1" x14ac:dyDescent="0.2">
      <c r="B3763" s="75"/>
      <c r="C3763" s="67"/>
      <c r="D3763" s="75"/>
      <c r="E3763" s="67"/>
      <c r="F3763" s="67"/>
      <c r="G3763" s="70"/>
      <c r="H3763" s="70"/>
      <c r="I3763" s="70"/>
      <c r="J3763" s="70"/>
      <c r="K3763" s="70"/>
      <c r="L3763" s="67"/>
      <c r="M3763" s="67"/>
      <c r="N3763" s="72"/>
      <c r="O3763" s="72"/>
      <c r="P3763" s="67"/>
      <c r="Q3763" s="67"/>
      <c r="R3763" s="67"/>
      <c r="S3763" s="67"/>
      <c r="T3763" s="32"/>
      <c r="U3763" s="32"/>
      <c r="X3763" s="32"/>
      <c r="Y3763" s="32"/>
      <c r="Z3763" s="32"/>
      <c r="AA3763" s="32"/>
      <c r="AB3763" s="32"/>
    </row>
    <row r="3764" spans="2:28" ht="23.25" customHeight="1" x14ac:dyDescent="0.2">
      <c r="B3764" s="75"/>
      <c r="C3764" s="67"/>
      <c r="D3764" s="75"/>
      <c r="E3764" s="67"/>
      <c r="F3764" s="67"/>
      <c r="G3764" s="70"/>
      <c r="H3764" s="70"/>
      <c r="I3764" s="70"/>
      <c r="J3764" s="70"/>
      <c r="K3764" s="70"/>
      <c r="L3764" s="67"/>
      <c r="M3764" s="67"/>
      <c r="N3764" s="72"/>
      <c r="O3764" s="72"/>
      <c r="P3764" s="67"/>
      <c r="Q3764" s="67"/>
      <c r="R3764" s="67"/>
      <c r="S3764" s="67"/>
      <c r="T3764" s="32"/>
      <c r="U3764" s="32"/>
      <c r="X3764" s="32"/>
      <c r="Y3764" s="32"/>
      <c r="Z3764" s="32"/>
      <c r="AA3764" s="32"/>
      <c r="AB3764" s="32"/>
    </row>
    <row r="3765" spans="2:28" ht="23.25" customHeight="1" x14ac:dyDescent="0.2">
      <c r="B3765" s="75"/>
      <c r="C3765" s="67"/>
      <c r="D3765" s="75"/>
      <c r="E3765" s="67"/>
      <c r="F3765" s="67"/>
      <c r="G3765" s="70"/>
      <c r="H3765" s="70"/>
      <c r="I3765" s="70"/>
      <c r="J3765" s="70"/>
      <c r="K3765" s="70"/>
      <c r="L3765" s="67"/>
      <c r="M3765" s="67"/>
      <c r="N3765" s="72"/>
      <c r="O3765" s="72"/>
      <c r="P3765" s="67"/>
      <c r="Q3765" s="67"/>
      <c r="R3765" s="67"/>
      <c r="S3765" s="67"/>
      <c r="T3765" s="32"/>
      <c r="U3765" s="32"/>
      <c r="X3765" s="32"/>
      <c r="Y3765" s="32"/>
      <c r="Z3765" s="32"/>
      <c r="AA3765" s="32"/>
      <c r="AB3765" s="32"/>
    </row>
    <row r="3766" spans="2:28" ht="23.25" customHeight="1" x14ac:dyDescent="0.2">
      <c r="B3766" s="75"/>
      <c r="C3766" s="67"/>
      <c r="D3766" s="75"/>
      <c r="E3766" s="67"/>
      <c r="F3766" s="67"/>
      <c r="G3766" s="70"/>
      <c r="H3766" s="70"/>
      <c r="I3766" s="70"/>
      <c r="J3766" s="70"/>
      <c r="K3766" s="70"/>
      <c r="L3766" s="67"/>
      <c r="M3766" s="67"/>
      <c r="N3766" s="72"/>
      <c r="O3766" s="72"/>
      <c r="P3766" s="67"/>
      <c r="Q3766" s="67"/>
      <c r="R3766" s="67"/>
      <c r="S3766" s="67"/>
      <c r="T3766" s="32"/>
      <c r="U3766" s="32"/>
      <c r="X3766" s="32"/>
      <c r="Y3766" s="32"/>
      <c r="Z3766" s="32"/>
      <c r="AA3766" s="32"/>
      <c r="AB3766" s="32"/>
    </row>
    <row r="3767" spans="2:28" ht="23.25" customHeight="1" x14ac:dyDescent="0.2">
      <c r="B3767" s="75"/>
      <c r="C3767" s="67"/>
      <c r="D3767" s="75"/>
      <c r="E3767" s="67"/>
      <c r="F3767" s="67"/>
      <c r="G3767" s="70"/>
      <c r="H3767" s="70"/>
      <c r="I3767" s="70"/>
      <c r="J3767" s="70"/>
      <c r="K3767" s="70"/>
      <c r="L3767" s="67"/>
      <c r="M3767" s="67"/>
      <c r="N3767" s="72"/>
      <c r="O3767" s="72"/>
      <c r="P3767" s="67"/>
      <c r="Q3767" s="67"/>
      <c r="R3767" s="67"/>
      <c r="S3767" s="67"/>
      <c r="T3767" s="32"/>
      <c r="U3767" s="32"/>
      <c r="X3767" s="32"/>
      <c r="Y3767" s="32"/>
      <c r="Z3767" s="32"/>
      <c r="AA3767" s="32"/>
      <c r="AB3767" s="32"/>
    </row>
    <row r="3768" spans="2:28" ht="23.25" customHeight="1" x14ac:dyDescent="0.2">
      <c r="B3768" s="75"/>
      <c r="C3768" s="67"/>
      <c r="D3768" s="75"/>
      <c r="E3768" s="67"/>
      <c r="F3768" s="67"/>
      <c r="G3768" s="70"/>
      <c r="H3768" s="70"/>
      <c r="I3768" s="70"/>
      <c r="J3768" s="70"/>
      <c r="K3768" s="70"/>
      <c r="L3768" s="67"/>
      <c r="M3768" s="67"/>
      <c r="N3768" s="72"/>
      <c r="O3768" s="72"/>
      <c r="P3768" s="67"/>
      <c r="Q3768" s="67"/>
      <c r="R3768" s="67"/>
      <c r="S3768" s="67"/>
      <c r="T3768" s="32"/>
      <c r="U3768" s="32"/>
      <c r="X3768" s="32"/>
      <c r="Y3768" s="32"/>
      <c r="Z3768" s="32"/>
      <c r="AA3768" s="32"/>
      <c r="AB3768" s="32"/>
    </row>
    <row r="3769" spans="2:28" ht="23.25" customHeight="1" x14ac:dyDescent="0.2">
      <c r="B3769" s="75"/>
      <c r="C3769" s="67"/>
      <c r="D3769" s="75"/>
      <c r="E3769" s="67"/>
      <c r="F3769" s="67"/>
      <c r="G3769" s="70"/>
      <c r="H3769" s="70"/>
      <c r="I3769" s="70"/>
      <c r="J3769" s="70"/>
      <c r="K3769" s="70"/>
      <c r="L3769" s="67"/>
      <c r="M3769" s="67"/>
      <c r="N3769" s="72"/>
      <c r="O3769" s="72"/>
      <c r="P3769" s="67"/>
      <c r="Q3769" s="67"/>
      <c r="R3769" s="67"/>
      <c r="S3769" s="67"/>
      <c r="T3769" s="32"/>
      <c r="U3769" s="32"/>
      <c r="X3769" s="32"/>
      <c r="Y3769" s="32"/>
      <c r="Z3769" s="32"/>
      <c r="AA3769" s="32"/>
      <c r="AB3769" s="32"/>
    </row>
    <row r="3770" spans="2:28" ht="23.25" customHeight="1" x14ac:dyDescent="0.2">
      <c r="B3770" s="75"/>
      <c r="C3770" s="67"/>
      <c r="D3770" s="75"/>
      <c r="E3770" s="67"/>
      <c r="F3770" s="67"/>
      <c r="G3770" s="70"/>
      <c r="H3770" s="70"/>
      <c r="I3770" s="70"/>
      <c r="J3770" s="70"/>
      <c r="K3770" s="70"/>
      <c r="L3770" s="67"/>
      <c r="M3770" s="67"/>
      <c r="N3770" s="72"/>
      <c r="O3770" s="72"/>
      <c r="P3770" s="67"/>
      <c r="Q3770" s="67"/>
      <c r="R3770" s="67"/>
      <c r="S3770" s="67"/>
      <c r="T3770" s="32"/>
      <c r="U3770" s="32"/>
      <c r="X3770" s="32"/>
      <c r="Y3770" s="32"/>
      <c r="Z3770" s="32"/>
      <c r="AA3770" s="32"/>
      <c r="AB3770" s="32"/>
    </row>
    <row r="3771" spans="2:28" ht="23.25" customHeight="1" x14ac:dyDescent="0.2">
      <c r="B3771" s="75"/>
      <c r="C3771" s="67"/>
      <c r="D3771" s="75"/>
      <c r="E3771" s="67"/>
      <c r="F3771" s="67"/>
      <c r="G3771" s="70"/>
      <c r="H3771" s="70"/>
      <c r="I3771" s="70"/>
      <c r="J3771" s="70"/>
      <c r="K3771" s="70"/>
      <c r="L3771" s="67"/>
      <c r="M3771" s="67"/>
      <c r="N3771" s="72"/>
      <c r="O3771" s="72"/>
      <c r="P3771" s="67"/>
      <c r="Q3771" s="67"/>
      <c r="R3771" s="67"/>
      <c r="S3771" s="67"/>
      <c r="T3771" s="32"/>
      <c r="U3771" s="32"/>
      <c r="X3771" s="32"/>
      <c r="Y3771" s="32"/>
      <c r="Z3771" s="32"/>
      <c r="AA3771" s="32"/>
      <c r="AB3771" s="32"/>
    </row>
    <row r="3772" spans="2:28" ht="23.25" customHeight="1" x14ac:dyDescent="0.2">
      <c r="B3772" s="75"/>
      <c r="C3772" s="67"/>
      <c r="D3772" s="75"/>
      <c r="E3772" s="67"/>
      <c r="F3772" s="67"/>
      <c r="G3772" s="70"/>
      <c r="H3772" s="70"/>
      <c r="I3772" s="70"/>
      <c r="J3772" s="70"/>
      <c r="K3772" s="70"/>
      <c r="L3772" s="67"/>
      <c r="M3772" s="67"/>
      <c r="N3772" s="72"/>
      <c r="O3772" s="72"/>
      <c r="P3772" s="67"/>
      <c r="Q3772" s="67"/>
      <c r="R3772" s="67"/>
      <c r="S3772" s="67"/>
      <c r="T3772" s="32"/>
      <c r="U3772" s="32"/>
      <c r="X3772" s="32"/>
      <c r="Y3772" s="32"/>
      <c r="Z3772" s="32"/>
      <c r="AA3772" s="32"/>
      <c r="AB3772" s="32"/>
    </row>
    <row r="3773" spans="2:28" ht="23.25" customHeight="1" x14ac:dyDescent="0.2">
      <c r="B3773" s="75"/>
      <c r="C3773" s="67"/>
      <c r="D3773" s="75"/>
      <c r="E3773" s="67"/>
      <c r="F3773" s="67"/>
      <c r="G3773" s="70"/>
      <c r="H3773" s="70"/>
      <c r="I3773" s="70"/>
      <c r="J3773" s="70"/>
      <c r="K3773" s="70"/>
      <c r="L3773" s="67"/>
      <c r="M3773" s="67"/>
      <c r="N3773" s="72"/>
      <c r="O3773" s="72"/>
      <c r="P3773" s="67"/>
      <c r="Q3773" s="67"/>
      <c r="R3773" s="67"/>
      <c r="S3773" s="67"/>
      <c r="T3773" s="32"/>
      <c r="U3773" s="32"/>
      <c r="X3773" s="32"/>
      <c r="Y3773" s="32"/>
      <c r="Z3773" s="32"/>
      <c r="AA3773" s="32"/>
      <c r="AB3773" s="32"/>
    </row>
    <row r="3774" spans="2:28" ht="23.25" customHeight="1" x14ac:dyDescent="0.2">
      <c r="B3774" s="75"/>
      <c r="C3774" s="67"/>
      <c r="D3774" s="75"/>
      <c r="E3774" s="67"/>
      <c r="F3774" s="67"/>
      <c r="G3774" s="70"/>
      <c r="H3774" s="70"/>
      <c r="I3774" s="70"/>
      <c r="J3774" s="70"/>
      <c r="K3774" s="70"/>
      <c r="L3774" s="67"/>
      <c r="M3774" s="67"/>
      <c r="N3774" s="72"/>
      <c r="O3774" s="72"/>
      <c r="P3774" s="67"/>
      <c r="Q3774" s="67"/>
      <c r="R3774" s="67"/>
      <c r="S3774" s="67"/>
      <c r="T3774" s="32"/>
      <c r="U3774" s="32"/>
      <c r="X3774" s="32"/>
      <c r="Y3774" s="32"/>
      <c r="Z3774" s="32"/>
      <c r="AA3774" s="32"/>
      <c r="AB3774" s="32"/>
    </row>
    <row r="3775" spans="2:28" ht="23.25" customHeight="1" x14ac:dyDescent="0.2">
      <c r="B3775" s="75"/>
      <c r="C3775" s="67"/>
      <c r="D3775" s="75"/>
      <c r="E3775" s="67"/>
      <c r="F3775" s="67"/>
      <c r="G3775" s="70"/>
      <c r="H3775" s="70"/>
      <c r="I3775" s="70"/>
      <c r="J3775" s="70"/>
      <c r="K3775" s="70"/>
      <c r="L3775" s="67"/>
      <c r="M3775" s="67"/>
      <c r="N3775" s="72"/>
      <c r="O3775" s="72"/>
      <c r="P3775" s="67"/>
      <c r="Q3775" s="67"/>
      <c r="R3775" s="67"/>
      <c r="S3775" s="67"/>
      <c r="T3775" s="32"/>
      <c r="U3775" s="32"/>
      <c r="X3775" s="32"/>
      <c r="Y3775" s="32"/>
      <c r="Z3775" s="32"/>
      <c r="AA3775" s="32"/>
      <c r="AB3775" s="32"/>
    </row>
    <row r="3776" spans="2:28" ht="23.25" customHeight="1" x14ac:dyDescent="0.2">
      <c r="B3776" s="75"/>
      <c r="C3776" s="67"/>
      <c r="D3776" s="75"/>
      <c r="E3776" s="67"/>
      <c r="F3776" s="67"/>
      <c r="G3776" s="70"/>
      <c r="H3776" s="70"/>
      <c r="I3776" s="70"/>
      <c r="J3776" s="70"/>
      <c r="K3776" s="70"/>
      <c r="L3776" s="67"/>
      <c r="M3776" s="67"/>
      <c r="N3776" s="72"/>
      <c r="O3776" s="72"/>
      <c r="P3776" s="67"/>
      <c r="Q3776" s="67"/>
      <c r="R3776" s="67"/>
      <c r="S3776" s="67"/>
      <c r="T3776" s="32"/>
      <c r="U3776" s="32"/>
      <c r="X3776" s="32"/>
      <c r="Y3776" s="32"/>
      <c r="Z3776" s="32"/>
      <c r="AA3776" s="32"/>
      <c r="AB3776" s="32"/>
    </row>
    <row r="3777" spans="2:28" ht="23.25" customHeight="1" x14ac:dyDescent="0.2">
      <c r="B3777" s="75"/>
      <c r="C3777" s="67"/>
      <c r="D3777" s="75"/>
      <c r="E3777" s="67"/>
      <c r="F3777" s="67"/>
      <c r="G3777" s="70"/>
      <c r="H3777" s="70"/>
      <c r="I3777" s="70"/>
      <c r="J3777" s="70"/>
      <c r="K3777" s="70"/>
      <c r="L3777" s="67"/>
      <c r="M3777" s="67"/>
      <c r="N3777" s="72"/>
      <c r="O3777" s="72"/>
      <c r="P3777" s="67"/>
      <c r="Q3777" s="67"/>
      <c r="R3777" s="67"/>
      <c r="S3777" s="67"/>
      <c r="T3777" s="32"/>
      <c r="U3777" s="32"/>
      <c r="X3777" s="32"/>
      <c r="Y3777" s="32"/>
      <c r="Z3777" s="32"/>
      <c r="AA3777" s="32"/>
      <c r="AB3777" s="32"/>
    </row>
    <row r="3778" spans="2:28" ht="23.25" customHeight="1" x14ac:dyDescent="0.2">
      <c r="B3778" s="75"/>
      <c r="C3778" s="67"/>
      <c r="D3778" s="75"/>
      <c r="E3778" s="67"/>
      <c r="F3778" s="67"/>
      <c r="G3778" s="70"/>
      <c r="H3778" s="70"/>
      <c r="I3778" s="70"/>
      <c r="J3778" s="70"/>
      <c r="K3778" s="70"/>
      <c r="L3778" s="67"/>
      <c r="M3778" s="67"/>
      <c r="N3778" s="72"/>
      <c r="O3778" s="72"/>
      <c r="P3778" s="67"/>
      <c r="Q3778" s="67"/>
      <c r="R3778" s="67"/>
      <c r="S3778" s="67"/>
      <c r="T3778" s="32"/>
      <c r="U3778" s="32"/>
      <c r="X3778" s="32"/>
      <c r="Y3778" s="32"/>
      <c r="Z3778" s="32"/>
      <c r="AA3778" s="32"/>
      <c r="AB3778" s="32"/>
    </row>
    <row r="3779" spans="2:28" ht="23.25" customHeight="1" x14ac:dyDescent="0.2">
      <c r="B3779" s="75"/>
      <c r="C3779" s="67"/>
      <c r="D3779" s="75"/>
      <c r="E3779" s="67"/>
      <c r="F3779" s="67"/>
      <c r="G3779" s="70"/>
      <c r="H3779" s="70"/>
      <c r="I3779" s="70"/>
      <c r="J3779" s="70"/>
      <c r="K3779" s="70"/>
      <c r="L3779" s="67"/>
      <c r="M3779" s="67"/>
      <c r="N3779" s="72"/>
      <c r="O3779" s="72"/>
      <c r="P3779" s="67"/>
      <c r="Q3779" s="67"/>
      <c r="R3779" s="67"/>
      <c r="S3779" s="67"/>
      <c r="T3779" s="32"/>
      <c r="U3779" s="32"/>
      <c r="X3779" s="32"/>
      <c r="Y3779" s="32"/>
      <c r="Z3779" s="32"/>
      <c r="AA3779" s="32"/>
      <c r="AB3779" s="32"/>
    </row>
    <row r="3780" spans="2:28" ht="23.25" customHeight="1" x14ac:dyDescent="0.2">
      <c r="B3780" s="75"/>
      <c r="C3780" s="67"/>
      <c r="D3780" s="75"/>
      <c r="E3780" s="67"/>
      <c r="F3780" s="67"/>
      <c r="G3780" s="70"/>
      <c r="H3780" s="70"/>
      <c r="I3780" s="70"/>
      <c r="J3780" s="70"/>
      <c r="K3780" s="70"/>
      <c r="L3780" s="67"/>
      <c r="M3780" s="67"/>
      <c r="N3780" s="72"/>
      <c r="O3780" s="72"/>
      <c r="P3780" s="67"/>
      <c r="Q3780" s="67"/>
      <c r="R3780" s="67"/>
      <c r="S3780" s="67"/>
      <c r="T3780" s="32"/>
      <c r="U3780" s="32"/>
      <c r="X3780" s="32"/>
      <c r="Y3780" s="32"/>
      <c r="Z3780" s="32"/>
      <c r="AA3780" s="32"/>
      <c r="AB3780" s="32"/>
    </row>
    <row r="3781" spans="2:28" ht="23.25" customHeight="1" x14ac:dyDescent="0.2">
      <c r="B3781" s="75"/>
      <c r="C3781" s="67"/>
      <c r="D3781" s="75"/>
      <c r="E3781" s="67"/>
      <c r="F3781" s="67"/>
      <c r="G3781" s="70"/>
      <c r="H3781" s="70"/>
      <c r="I3781" s="70"/>
      <c r="J3781" s="70"/>
      <c r="K3781" s="70"/>
      <c r="L3781" s="67"/>
      <c r="M3781" s="67"/>
      <c r="N3781" s="72"/>
      <c r="O3781" s="72"/>
      <c r="P3781" s="67"/>
      <c r="Q3781" s="67"/>
      <c r="R3781" s="67"/>
      <c r="S3781" s="67"/>
      <c r="T3781" s="32"/>
      <c r="U3781" s="32"/>
      <c r="X3781" s="32"/>
      <c r="Y3781" s="32"/>
      <c r="Z3781" s="32"/>
      <c r="AA3781" s="32"/>
      <c r="AB3781" s="32"/>
    </row>
    <row r="3782" spans="2:28" ht="23.25" customHeight="1" x14ac:dyDescent="0.2">
      <c r="B3782" s="75"/>
      <c r="C3782" s="67"/>
      <c r="D3782" s="75"/>
      <c r="E3782" s="67"/>
      <c r="F3782" s="67"/>
      <c r="G3782" s="70"/>
      <c r="H3782" s="70"/>
      <c r="I3782" s="70"/>
      <c r="J3782" s="70"/>
      <c r="K3782" s="70"/>
      <c r="L3782" s="67"/>
      <c r="M3782" s="67"/>
      <c r="N3782" s="72"/>
      <c r="O3782" s="72"/>
      <c r="P3782" s="67"/>
      <c r="Q3782" s="67"/>
      <c r="R3782" s="67"/>
      <c r="S3782" s="67"/>
      <c r="T3782" s="32"/>
      <c r="U3782" s="32"/>
      <c r="X3782" s="32"/>
      <c r="Y3782" s="32"/>
      <c r="Z3782" s="32"/>
      <c r="AA3782" s="32"/>
      <c r="AB3782" s="32"/>
    </row>
    <row r="3783" spans="2:28" ht="23.25" customHeight="1" x14ac:dyDescent="0.2">
      <c r="B3783" s="75"/>
      <c r="C3783" s="67"/>
      <c r="D3783" s="75"/>
      <c r="E3783" s="67"/>
      <c r="F3783" s="67"/>
      <c r="G3783" s="70"/>
      <c r="H3783" s="70"/>
      <c r="I3783" s="70"/>
      <c r="J3783" s="70"/>
      <c r="K3783" s="70"/>
      <c r="L3783" s="67"/>
      <c r="M3783" s="67"/>
      <c r="N3783" s="72"/>
      <c r="O3783" s="72"/>
      <c r="P3783" s="67"/>
      <c r="Q3783" s="67"/>
      <c r="R3783" s="67"/>
      <c r="S3783" s="67"/>
      <c r="T3783" s="32"/>
      <c r="U3783" s="32"/>
      <c r="X3783" s="32"/>
      <c r="Y3783" s="32"/>
      <c r="Z3783" s="32"/>
      <c r="AA3783" s="32"/>
      <c r="AB3783" s="32"/>
    </row>
    <row r="3784" spans="2:28" ht="23.25" customHeight="1" x14ac:dyDescent="0.2">
      <c r="B3784" s="75"/>
      <c r="C3784" s="67"/>
      <c r="D3784" s="75"/>
      <c r="E3784" s="67"/>
      <c r="F3784" s="67"/>
      <c r="G3784" s="70"/>
      <c r="H3784" s="70"/>
      <c r="I3784" s="70"/>
      <c r="J3784" s="70"/>
      <c r="K3784" s="70"/>
      <c r="L3784" s="67"/>
      <c r="M3784" s="67"/>
      <c r="N3784" s="72"/>
      <c r="O3784" s="72"/>
      <c r="P3784" s="67"/>
      <c r="Q3784" s="67"/>
      <c r="R3784" s="67"/>
      <c r="S3784" s="67"/>
      <c r="T3784" s="32"/>
      <c r="U3784" s="32"/>
      <c r="X3784" s="32"/>
      <c r="Y3784" s="32"/>
      <c r="Z3784" s="32"/>
      <c r="AA3784" s="32"/>
      <c r="AB3784" s="32"/>
    </row>
    <row r="3785" spans="2:28" ht="23.25" customHeight="1" x14ac:dyDescent="0.2">
      <c r="B3785" s="75"/>
      <c r="C3785" s="67"/>
      <c r="D3785" s="75"/>
      <c r="E3785" s="67"/>
      <c r="F3785" s="67"/>
      <c r="G3785" s="70"/>
      <c r="H3785" s="70"/>
      <c r="I3785" s="70"/>
      <c r="J3785" s="70"/>
      <c r="K3785" s="70"/>
      <c r="L3785" s="67"/>
      <c r="M3785" s="67"/>
      <c r="N3785" s="72"/>
      <c r="O3785" s="72"/>
      <c r="P3785" s="67"/>
      <c r="Q3785" s="67"/>
      <c r="R3785" s="67"/>
      <c r="S3785" s="67"/>
      <c r="T3785" s="32"/>
      <c r="U3785" s="32"/>
      <c r="X3785" s="32"/>
      <c r="Y3785" s="32"/>
      <c r="Z3785" s="32"/>
      <c r="AA3785" s="32"/>
      <c r="AB3785" s="32"/>
    </row>
    <row r="3786" spans="2:28" ht="23.25" customHeight="1" x14ac:dyDescent="0.2">
      <c r="B3786" s="75"/>
      <c r="C3786" s="67"/>
      <c r="D3786" s="75"/>
      <c r="E3786" s="67"/>
      <c r="F3786" s="67"/>
      <c r="G3786" s="70"/>
      <c r="H3786" s="70"/>
      <c r="I3786" s="70"/>
      <c r="J3786" s="70"/>
      <c r="K3786" s="70"/>
      <c r="L3786" s="67"/>
      <c r="M3786" s="67"/>
      <c r="N3786" s="72"/>
      <c r="O3786" s="72"/>
      <c r="P3786" s="67"/>
      <c r="Q3786" s="67"/>
      <c r="R3786" s="67"/>
      <c r="S3786" s="67"/>
      <c r="T3786" s="32"/>
      <c r="U3786" s="32"/>
      <c r="X3786" s="32"/>
      <c r="Y3786" s="32"/>
      <c r="Z3786" s="32"/>
      <c r="AA3786" s="32"/>
      <c r="AB3786" s="32"/>
    </row>
    <row r="3787" spans="2:28" ht="23.25" customHeight="1" x14ac:dyDescent="0.2">
      <c r="B3787" s="75"/>
      <c r="C3787" s="67"/>
      <c r="D3787" s="75"/>
      <c r="E3787" s="67"/>
      <c r="F3787" s="67"/>
      <c r="G3787" s="70"/>
      <c r="H3787" s="70"/>
      <c r="I3787" s="70"/>
      <c r="J3787" s="70"/>
      <c r="K3787" s="70"/>
      <c r="L3787" s="67"/>
      <c r="M3787" s="67"/>
      <c r="N3787" s="72"/>
      <c r="O3787" s="72"/>
      <c r="P3787" s="67"/>
      <c r="Q3787" s="67"/>
      <c r="R3787" s="67"/>
      <c r="S3787" s="67"/>
      <c r="T3787" s="32"/>
      <c r="U3787" s="32"/>
      <c r="X3787" s="32"/>
      <c r="Y3787" s="32"/>
      <c r="Z3787" s="32"/>
      <c r="AA3787" s="32"/>
      <c r="AB3787" s="32"/>
    </row>
    <row r="3788" spans="2:28" ht="23.25" customHeight="1" x14ac:dyDescent="0.2">
      <c r="B3788" s="75"/>
      <c r="C3788" s="67"/>
      <c r="D3788" s="75"/>
      <c r="E3788" s="67"/>
      <c r="F3788" s="67"/>
      <c r="G3788" s="70"/>
      <c r="H3788" s="70"/>
      <c r="I3788" s="70"/>
      <c r="J3788" s="70"/>
      <c r="K3788" s="70"/>
      <c r="L3788" s="67"/>
      <c r="M3788" s="67"/>
      <c r="N3788" s="72"/>
      <c r="O3788" s="72"/>
      <c r="P3788" s="67"/>
      <c r="Q3788" s="67"/>
      <c r="R3788" s="67"/>
      <c r="S3788" s="67"/>
      <c r="T3788" s="32"/>
      <c r="U3788" s="32"/>
      <c r="X3788" s="32"/>
      <c r="Y3788" s="32"/>
      <c r="Z3788" s="32"/>
      <c r="AA3788" s="32"/>
      <c r="AB3788" s="32"/>
    </row>
    <row r="3789" spans="2:28" ht="23.25" customHeight="1" x14ac:dyDescent="0.2">
      <c r="B3789" s="75"/>
      <c r="C3789" s="67"/>
      <c r="D3789" s="75"/>
      <c r="E3789" s="67"/>
      <c r="F3789" s="67"/>
      <c r="G3789" s="70"/>
      <c r="H3789" s="70"/>
      <c r="I3789" s="70"/>
      <c r="J3789" s="70"/>
      <c r="K3789" s="70"/>
      <c r="L3789" s="67"/>
      <c r="M3789" s="67"/>
      <c r="N3789" s="72"/>
      <c r="O3789" s="72"/>
      <c r="P3789" s="67"/>
      <c r="Q3789" s="67"/>
      <c r="R3789" s="67"/>
      <c r="S3789" s="67"/>
      <c r="T3789" s="32"/>
      <c r="U3789" s="32"/>
      <c r="X3789" s="32"/>
      <c r="Y3789" s="32"/>
      <c r="Z3789" s="32"/>
      <c r="AA3789" s="32"/>
      <c r="AB3789" s="32"/>
    </row>
    <row r="3790" spans="2:28" ht="23.25" customHeight="1" x14ac:dyDescent="0.2">
      <c r="B3790" s="75"/>
      <c r="C3790" s="67"/>
      <c r="D3790" s="75"/>
      <c r="E3790" s="67"/>
      <c r="F3790" s="67"/>
      <c r="G3790" s="70"/>
      <c r="H3790" s="70"/>
      <c r="I3790" s="70"/>
      <c r="J3790" s="70"/>
      <c r="K3790" s="70"/>
      <c r="L3790" s="67"/>
      <c r="M3790" s="67"/>
      <c r="N3790" s="72"/>
      <c r="O3790" s="72"/>
      <c r="P3790" s="67"/>
      <c r="Q3790" s="67"/>
      <c r="R3790" s="67"/>
      <c r="S3790" s="67"/>
      <c r="T3790" s="32"/>
      <c r="U3790" s="32"/>
      <c r="X3790" s="32"/>
      <c r="Y3790" s="32"/>
      <c r="Z3790" s="32"/>
      <c r="AA3790" s="32"/>
      <c r="AB3790" s="32"/>
    </row>
    <row r="3791" spans="2:28" ht="23.25" customHeight="1" x14ac:dyDescent="0.2">
      <c r="B3791" s="75"/>
      <c r="C3791" s="67"/>
      <c r="D3791" s="75"/>
      <c r="E3791" s="67"/>
      <c r="F3791" s="67"/>
      <c r="G3791" s="70"/>
      <c r="H3791" s="70"/>
      <c r="I3791" s="70"/>
      <c r="J3791" s="70"/>
      <c r="K3791" s="70"/>
      <c r="L3791" s="67"/>
      <c r="M3791" s="67"/>
      <c r="N3791" s="72"/>
      <c r="O3791" s="72"/>
      <c r="P3791" s="67"/>
      <c r="Q3791" s="67"/>
      <c r="R3791" s="67"/>
      <c r="S3791" s="67"/>
      <c r="T3791" s="32"/>
      <c r="U3791" s="32"/>
      <c r="X3791" s="32"/>
      <c r="Y3791" s="32"/>
      <c r="Z3791" s="32"/>
      <c r="AA3791" s="32"/>
      <c r="AB3791" s="32"/>
    </row>
    <row r="3792" spans="2:28" ht="23.25" customHeight="1" x14ac:dyDescent="0.2">
      <c r="B3792" s="75"/>
      <c r="C3792" s="67"/>
      <c r="D3792" s="75"/>
      <c r="E3792" s="67"/>
      <c r="F3792" s="67"/>
      <c r="G3792" s="70"/>
      <c r="H3792" s="70"/>
      <c r="I3792" s="70"/>
      <c r="J3792" s="70"/>
      <c r="K3792" s="70"/>
      <c r="L3792" s="67"/>
      <c r="M3792" s="67"/>
      <c r="N3792" s="72"/>
      <c r="O3792" s="72"/>
      <c r="P3792" s="67"/>
      <c r="Q3792" s="67"/>
      <c r="R3792" s="67"/>
      <c r="S3792" s="67"/>
      <c r="T3792" s="32"/>
      <c r="U3792" s="32"/>
      <c r="X3792" s="32"/>
      <c r="Y3792" s="32"/>
      <c r="Z3792" s="32"/>
      <c r="AA3792" s="32"/>
      <c r="AB3792" s="32"/>
    </row>
    <row r="3793" spans="2:28" ht="23.25" customHeight="1" x14ac:dyDescent="0.2">
      <c r="B3793" s="75"/>
      <c r="C3793" s="67"/>
      <c r="D3793" s="75"/>
      <c r="E3793" s="67"/>
      <c r="F3793" s="67"/>
      <c r="G3793" s="70"/>
      <c r="H3793" s="70"/>
      <c r="I3793" s="70"/>
      <c r="J3793" s="70"/>
      <c r="K3793" s="70"/>
      <c r="L3793" s="67"/>
      <c r="M3793" s="67"/>
      <c r="N3793" s="72"/>
      <c r="O3793" s="72"/>
      <c r="P3793" s="67"/>
      <c r="Q3793" s="67"/>
      <c r="R3793" s="67"/>
      <c r="S3793" s="67"/>
      <c r="T3793" s="32"/>
      <c r="U3793" s="32"/>
      <c r="X3793" s="32"/>
      <c r="Y3793" s="32"/>
      <c r="Z3793" s="32"/>
      <c r="AA3793" s="32"/>
      <c r="AB3793" s="32"/>
    </row>
    <row r="3794" spans="2:28" ht="23.25" customHeight="1" x14ac:dyDescent="0.2">
      <c r="B3794" s="75"/>
      <c r="C3794" s="67"/>
      <c r="D3794" s="75"/>
      <c r="E3794" s="67"/>
      <c r="F3794" s="67"/>
      <c r="G3794" s="70"/>
      <c r="H3794" s="70"/>
      <c r="I3794" s="70"/>
      <c r="J3794" s="70"/>
      <c r="K3794" s="70"/>
      <c r="L3794" s="67"/>
      <c r="M3794" s="67"/>
      <c r="N3794" s="72"/>
      <c r="O3794" s="72"/>
      <c r="P3794" s="67"/>
      <c r="Q3794" s="67"/>
      <c r="R3794" s="67"/>
      <c r="S3794" s="67"/>
      <c r="T3794" s="32"/>
      <c r="U3794" s="32"/>
      <c r="X3794" s="32"/>
      <c r="Y3794" s="32"/>
      <c r="Z3794" s="32"/>
      <c r="AA3794" s="32"/>
      <c r="AB3794" s="32"/>
    </row>
    <row r="3795" spans="2:28" ht="23.25" customHeight="1" x14ac:dyDescent="0.2">
      <c r="B3795" s="75"/>
      <c r="C3795" s="67"/>
      <c r="D3795" s="75"/>
      <c r="E3795" s="67"/>
      <c r="F3795" s="67"/>
      <c r="G3795" s="70"/>
      <c r="H3795" s="70"/>
      <c r="I3795" s="70"/>
      <c r="J3795" s="70"/>
      <c r="K3795" s="70"/>
      <c r="L3795" s="67"/>
      <c r="M3795" s="67"/>
      <c r="N3795" s="72"/>
      <c r="O3795" s="72"/>
      <c r="P3795" s="67"/>
      <c r="Q3795" s="67"/>
      <c r="R3795" s="67"/>
      <c r="S3795" s="67"/>
      <c r="T3795" s="32"/>
      <c r="U3795" s="32"/>
      <c r="X3795" s="32"/>
      <c r="Y3795" s="32"/>
      <c r="Z3795" s="32"/>
      <c r="AA3795" s="32"/>
      <c r="AB3795" s="32"/>
    </row>
    <row r="3796" spans="2:28" ht="23.25" customHeight="1" x14ac:dyDescent="0.2">
      <c r="B3796" s="75"/>
      <c r="C3796" s="67"/>
      <c r="D3796" s="75"/>
      <c r="E3796" s="67"/>
      <c r="F3796" s="67"/>
      <c r="G3796" s="70"/>
      <c r="H3796" s="70"/>
      <c r="I3796" s="70"/>
      <c r="J3796" s="70"/>
      <c r="K3796" s="70"/>
      <c r="L3796" s="67"/>
      <c r="M3796" s="67"/>
      <c r="N3796" s="72"/>
      <c r="O3796" s="72"/>
      <c r="P3796" s="67"/>
      <c r="Q3796" s="67"/>
      <c r="R3796" s="67"/>
      <c r="S3796" s="67"/>
      <c r="T3796" s="32"/>
      <c r="U3796" s="32"/>
      <c r="X3796" s="32"/>
      <c r="Y3796" s="32"/>
      <c r="Z3796" s="32"/>
      <c r="AA3796" s="32"/>
      <c r="AB3796" s="32"/>
    </row>
    <row r="3797" spans="2:28" ht="23.25" customHeight="1" x14ac:dyDescent="0.2">
      <c r="B3797" s="75"/>
      <c r="C3797" s="67"/>
      <c r="D3797" s="75"/>
      <c r="E3797" s="67"/>
      <c r="F3797" s="67"/>
      <c r="G3797" s="70"/>
      <c r="H3797" s="70"/>
      <c r="I3797" s="70"/>
      <c r="J3797" s="70"/>
      <c r="K3797" s="70"/>
      <c r="L3797" s="67"/>
      <c r="M3797" s="67"/>
      <c r="N3797" s="72"/>
      <c r="O3797" s="72"/>
      <c r="P3797" s="67"/>
      <c r="Q3797" s="67"/>
      <c r="R3797" s="67"/>
      <c r="S3797" s="67"/>
      <c r="T3797" s="32"/>
      <c r="U3797" s="32"/>
      <c r="X3797" s="32"/>
      <c r="Y3797" s="32"/>
      <c r="Z3797" s="32"/>
      <c r="AA3797" s="32"/>
      <c r="AB3797" s="32"/>
    </row>
    <row r="3798" spans="2:28" ht="23.25" customHeight="1" x14ac:dyDescent="0.2">
      <c r="B3798" s="75"/>
      <c r="C3798" s="67"/>
      <c r="D3798" s="75"/>
      <c r="E3798" s="67"/>
      <c r="F3798" s="67"/>
      <c r="G3798" s="70"/>
      <c r="H3798" s="70"/>
      <c r="I3798" s="70"/>
      <c r="J3798" s="70"/>
      <c r="K3798" s="70"/>
      <c r="L3798" s="67"/>
      <c r="M3798" s="67"/>
      <c r="N3798" s="72"/>
      <c r="O3798" s="72"/>
      <c r="P3798" s="67"/>
      <c r="Q3798" s="67"/>
      <c r="R3798" s="67"/>
      <c r="S3798" s="67"/>
      <c r="T3798" s="32"/>
      <c r="U3798" s="32"/>
      <c r="X3798" s="32"/>
      <c r="Y3798" s="32"/>
      <c r="Z3798" s="32"/>
      <c r="AA3798" s="32"/>
      <c r="AB3798" s="32"/>
    </row>
    <row r="3799" spans="2:28" ht="23.25" customHeight="1" x14ac:dyDescent="0.2">
      <c r="B3799" s="75"/>
      <c r="C3799" s="67"/>
      <c r="D3799" s="75"/>
      <c r="E3799" s="67"/>
      <c r="F3799" s="67"/>
      <c r="G3799" s="70"/>
      <c r="H3799" s="70"/>
      <c r="I3799" s="70"/>
      <c r="J3799" s="70"/>
      <c r="K3799" s="70"/>
      <c r="L3799" s="67"/>
      <c r="M3799" s="67"/>
      <c r="N3799" s="72"/>
      <c r="O3799" s="72"/>
      <c r="P3799" s="67"/>
      <c r="Q3799" s="67"/>
      <c r="R3799" s="67"/>
      <c r="S3799" s="67"/>
      <c r="T3799" s="32"/>
      <c r="U3799" s="32"/>
      <c r="X3799" s="32"/>
      <c r="Y3799" s="32"/>
      <c r="Z3799" s="32"/>
      <c r="AA3799" s="32"/>
      <c r="AB3799" s="32"/>
    </row>
    <row r="3800" spans="2:28" ht="23.25" customHeight="1" x14ac:dyDescent="0.2">
      <c r="B3800" s="75"/>
      <c r="C3800" s="67"/>
      <c r="D3800" s="75"/>
      <c r="E3800" s="67"/>
      <c r="F3800" s="67"/>
      <c r="G3800" s="70"/>
      <c r="H3800" s="70"/>
      <c r="I3800" s="70"/>
      <c r="J3800" s="70"/>
      <c r="K3800" s="70"/>
      <c r="L3800" s="67"/>
      <c r="M3800" s="67"/>
      <c r="N3800" s="72"/>
      <c r="O3800" s="72"/>
      <c r="P3800" s="67"/>
      <c r="Q3800" s="67"/>
      <c r="R3800" s="67"/>
      <c r="S3800" s="67"/>
      <c r="T3800" s="32"/>
      <c r="U3800" s="32"/>
      <c r="X3800" s="32"/>
      <c r="Y3800" s="32"/>
      <c r="Z3800" s="32"/>
      <c r="AA3800" s="32"/>
      <c r="AB3800" s="32"/>
    </row>
    <row r="3801" spans="2:28" ht="23.25" customHeight="1" x14ac:dyDescent="0.2">
      <c r="B3801" s="75"/>
      <c r="C3801" s="67"/>
      <c r="D3801" s="75"/>
      <c r="E3801" s="67"/>
      <c r="F3801" s="67"/>
      <c r="G3801" s="70"/>
      <c r="H3801" s="70"/>
      <c r="I3801" s="70"/>
      <c r="J3801" s="70"/>
      <c r="K3801" s="70"/>
      <c r="L3801" s="67"/>
      <c r="M3801" s="67"/>
      <c r="N3801" s="72"/>
      <c r="O3801" s="72"/>
      <c r="P3801" s="67"/>
      <c r="Q3801" s="67"/>
      <c r="R3801" s="67"/>
      <c r="S3801" s="67"/>
      <c r="T3801" s="32"/>
      <c r="U3801" s="32"/>
      <c r="X3801" s="32"/>
      <c r="Y3801" s="32"/>
      <c r="Z3801" s="32"/>
      <c r="AA3801" s="32"/>
      <c r="AB3801" s="32"/>
    </row>
    <row r="3802" spans="2:28" ht="23.25" customHeight="1" x14ac:dyDescent="0.2">
      <c r="B3802" s="75"/>
      <c r="C3802" s="67"/>
      <c r="D3802" s="75"/>
      <c r="E3802" s="67"/>
      <c r="F3802" s="67"/>
      <c r="G3802" s="70"/>
      <c r="H3802" s="70"/>
      <c r="I3802" s="70"/>
      <c r="J3802" s="70"/>
      <c r="K3802" s="70"/>
      <c r="L3802" s="67"/>
      <c r="M3802" s="67"/>
      <c r="N3802" s="72"/>
      <c r="O3802" s="72"/>
      <c r="P3802" s="67"/>
      <c r="Q3802" s="67"/>
      <c r="R3802" s="67"/>
      <c r="S3802" s="67"/>
      <c r="T3802" s="32"/>
      <c r="U3802" s="32"/>
      <c r="X3802" s="32"/>
      <c r="Y3802" s="32"/>
      <c r="Z3802" s="32"/>
      <c r="AA3802" s="32"/>
      <c r="AB3802" s="32"/>
    </row>
    <row r="3803" spans="2:28" ht="23.25" customHeight="1" x14ac:dyDescent="0.2">
      <c r="B3803" s="75"/>
      <c r="C3803" s="67"/>
      <c r="D3803" s="75"/>
      <c r="E3803" s="67"/>
      <c r="F3803" s="67"/>
      <c r="G3803" s="70"/>
      <c r="H3803" s="70"/>
      <c r="I3803" s="70"/>
      <c r="J3803" s="70"/>
      <c r="K3803" s="70"/>
      <c r="L3803" s="67"/>
      <c r="M3803" s="67"/>
      <c r="N3803" s="72"/>
      <c r="O3803" s="72"/>
      <c r="P3803" s="67"/>
      <c r="Q3803" s="67"/>
      <c r="R3803" s="67"/>
      <c r="S3803" s="67"/>
      <c r="T3803" s="32"/>
      <c r="U3803" s="32"/>
      <c r="X3803" s="32"/>
      <c r="Y3803" s="32"/>
      <c r="Z3803" s="32"/>
      <c r="AA3803" s="32"/>
      <c r="AB3803" s="32"/>
    </row>
    <row r="3804" spans="2:28" ht="23.25" customHeight="1" x14ac:dyDescent="0.2">
      <c r="B3804" s="75"/>
      <c r="C3804" s="67"/>
      <c r="D3804" s="75"/>
      <c r="E3804" s="67"/>
      <c r="F3804" s="67"/>
      <c r="G3804" s="70"/>
      <c r="H3804" s="70"/>
      <c r="I3804" s="70"/>
      <c r="J3804" s="70"/>
      <c r="K3804" s="70"/>
      <c r="L3804" s="67"/>
      <c r="M3804" s="67"/>
      <c r="N3804" s="72"/>
      <c r="O3804" s="72"/>
      <c r="P3804" s="67"/>
      <c r="Q3804" s="67"/>
      <c r="R3804" s="67"/>
      <c r="S3804" s="67"/>
      <c r="T3804" s="32"/>
      <c r="U3804" s="32"/>
      <c r="X3804" s="32"/>
      <c r="Y3804" s="32"/>
      <c r="Z3804" s="32"/>
      <c r="AA3804" s="32"/>
      <c r="AB3804" s="32"/>
    </row>
    <row r="3805" spans="2:28" ht="23.25" customHeight="1" x14ac:dyDescent="0.2">
      <c r="B3805" s="75"/>
      <c r="C3805" s="67"/>
      <c r="D3805" s="75"/>
      <c r="E3805" s="67"/>
      <c r="F3805" s="67"/>
      <c r="G3805" s="70"/>
      <c r="H3805" s="70"/>
      <c r="I3805" s="70"/>
      <c r="J3805" s="70"/>
      <c r="K3805" s="70"/>
      <c r="L3805" s="67"/>
      <c r="M3805" s="67"/>
      <c r="N3805" s="72"/>
      <c r="O3805" s="72"/>
      <c r="P3805" s="67"/>
      <c r="Q3805" s="67"/>
      <c r="R3805" s="67"/>
      <c r="S3805" s="67"/>
      <c r="T3805" s="32"/>
      <c r="U3805" s="32"/>
      <c r="X3805" s="32"/>
      <c r="Y3805" s="32"/>
      <c r="Z3805" s="32"/>
      <c r="AA3805" s="32"/>
      <c r="AB3805" s="32"/>
    </row>
    <row r="3806" spans="2:28" ht="23.25" customHeight="1" x14ac:dyDescent="0.2">
      <c r="B3806" s="75"/>
      <c r="C3806" s="67"/>
      <c r="D3806" s="75"/>
      <c r="E3806" s="67"/>
      <c r="F3806" s="67"/>
      <c r="G3806" s="70"/>
      <c r="H3806" s="70"/>
      <c r="I3806" s="70"/>
      <c r="J3806" s="70"/>
      <c r="K3806" s="70"/>
      <c r="L3806" s="67"/>
      <c r="M3806" s="67"/>
      <c r="N3806" s="72"/>
      <c r="O3806" s="72"/>
      <c r="P3806" s="67"/>
      <c r="Q3806" s="67"/>
      <c r="R3806" s="67"/>
      <c r="S3806" s="67"/>
      <c r="T3806" s="32"/>
      <c r="U3806" s="32"/>
      <c r="X3806" s="32"/>
      <c r="Y3806" s="32"/>
      <c r="Z3806" s="32"/>
      <c r="AA3806" s="32"/>
      <c r="AB3806" s="32"/>
    </row>
    <row r="3807" spans="2:28" ht="23.25" customHeight="1" x14ac:dyDescent="0.2">
      <c r="B3807" s="75"/>
      <c r="C3807" s="67"/>
      <c r="D3807" s="75"/>
      <c r="E3807" s="67"/>
      <c r="F3807" s="67"/>
      <c r="G3807" s="70"/>
      <c r="H3807" s="70"/>
      <c r="I3807" s="70"/>
      <c r="J3807" s="70"/>
      <c r="K3807" s="70"/>
      <c r="L3807" s="67"/>
      <c r="M3807" s="67"/>
      <c r="N3807" s="72"/>
      <c r="O3807" s="72"/>
      <c r="P3807" s="67"/>
      <c r="Q3807" s="67"/>
      <c r="R3807" s="67"/>
      <c r="S3807" s="67"/>
      <c r="T3807" s="32"/>
      <c r="U3807" s="32"/>
      <c r="X3807" s="32"/>
      <c r="Y3807" s="32"/>
      <c r="Z3807" s="32"/>
      <c r="AA3807" s="32"/>
      <c r="AB3807" s="32"/>
    </row>
    <row r="3808" spans="2:28" ht="23.25" customHeight="1" x14ac:dyDescent="0.2">
      <c r="B3808" s="75"/>
      <c r="C3808" s="67"/>
      <c r="D3808" s="75"/>
      <c r="E3808" s="67"/>
      <c r="F3808" s="67"/>
      <c r="G3808" s="70"/>
      <c r="H3808" s="70"/>
      <c r="I3808" s="70"/>
      <c r="J3808" s="70"/>
      <c r="K3808" s="70"/>
      <c r="L3808" s="67"/>
      <c r="M3808" s="67"/>
      <c r="N3808" s="72"/>
      <c r="O3808" s="72"/>
      <c r="P3808" s="67"/>
      <c r="Q3808" s="67"/>
      <c r="R3808" s="67"/>
      <c r="S3808" s="67"/>
      <c r="T3808" s="32"/>
      <c r="U3808" s="32"/>
      <c r="X3808" s="32"/>
      <c r="Y3808" s="32"/>
      <c r="Z3808" s="32"/>
      <c r="AA3808" s="32"/>
      <c r="AB3808" s="32"/>
    </row>
    <row r="3809" spans="2:28" ht="23.25" customHeight="1" x14ac:dyDescent="0.2">
      <c r="B3809" s="75"/>
      <c r="C3809" s="67"/>
      <c r="D3809" s="75"/>
      <c r="E3809" s="67"/>
      <c r="F3809" s="67"/>
      <c r="G3809" s="70"/>
      <c r="H3809" s="70"/>
      <c r="I3809" s="70"/>
      <c r="J3809" s="70"/>
      <c r="K3809" s="70"/>
      <c r="L3809" s="67"/>
      <c r="M3809" s="67"/>
      <c r="N3809" s="72"/>
      <c r="O3809" s="72"/>
      <c r="P3809" s="67"/>
      <c r="Q3809" s="67"/>
      <c r="R3809" s="67"/>
      <c r="S3809" s="67"/>
      <c r="T3809" s="32"/>
      <c r="U3809" s="32"/>
      <c r="X3809" s="32"/>
      <c r="Y3809" s="32"/>
      <c r="Z3809" s="32"/>
      <c r="AA3809" s="32"/>
      <c r="AB3809" s="32"/>
    </row>
    <row r="3810" spans="2:28" ht="23.25" customHeight="1" x14ac:dyDescent="0.2">
      <c r="B3810" s="75"/>
      <c r="C3810" s="67"/>
      <c r="D3810" s="75"/>
      <c r="E3810" s="67"/>
      <c r="F3810" s="67"/>
      <c r="G3810" s="70"/>
      <c r="H3810" s="70"/>
      <c r="I3810" s="70"/>
      <c r="J3810" s="70"/>
      <c r="K3810" s="70"/>
      <c r="L3810" s="67"/>
      <c r="M3810" s="67"/>
      <c r="N3810" s="72"/>
      <c r="O3810" s="72"/>
      <c r="P3810" s="67"/>
      <c r="Q3810" s="67"/>
      <c r="R3810" s="67"/>
      <c r="S3810" s="67"/>
      <c r="T3810" s="32"/>
      <c r="U3810" s="32"/>
      <c r="X3810" s="32"/>
      <c r="Y3810" s="32"/>
      <c r="Z3810" s="32"/>
      <c r="AA3810" s="32"/>
      <c r="AB3810" s="32"/>
    </row>
    <row r="3811" spans="2:28" ht="23.25" customHeight="1" x14ac:dyDescent="0.2">
      <c r="B3811" s="75"/>
      <c r="C3811" s="67"/>
      <c r="D3811" s="75"/>
      <c r="E3811" s="67"/>
      <c r="F3811" s="67"/>
      <c r="G3811" s="70"/>
      <c r="H3811" s="70"/>
      <c r="I3811" s="70"/>
      <c r="J3811" s="70"/>
      <c r="K3811" s="70"/>
      <c r="L3811" s="67"/>
      <c r="M3811" s="67"/>
      <c r="N3811" s="72"/>
      <c r="O3811" s="72"/>
      <c r="P3811" s="67"/>
      <c r="Q3811" s="67"/>
      <c r="R3811" s="67"/>
      <c r="S3811" s="67"/>
      <c r="T3811" s="32"/>
      <c r="U3811" s="32"/>
      <c r="X3811" s="32"/>
      <c r="Y3811" s="32"/>
      <c r="Z3811" s="32"/>
      <c r="AA3811" s="32"/>
      <c r="AB3811" s="32"/>
    </row>
    <row r="3812" spans="2:28" ht="23.25" customHeight="1" x14ac:dyDescent="0.2">
      <c r="B3812" s="75"/>
      <c r="C3812" s="67"/>
      <c r="D3812" s="75"/>
      <c r="E3812" s="67"/>
      <c r="F3812" s="67"/>
      <c r="G3812" s="70"/>
      <c r="H3812" s="70"/>
      <c r="I3812" s="70"/>
      <c r="J3812" s="70"/>
      <c r="K3812" s="70"/>
      <c r="L3812" s="67"/>
      <c r="M3812" s="67"/>
      <c r="N3812" s="72"/>
      <c r="O3812" s="72"/>
      <c r="P3812" s="67"/>
      <c r="Q3812" s="67"/>
      <c r="R3812" s="67"/>
      <c r="S3812" s="67"/>
      <c r="T3812" s="32"/>
      <c r="U3812" s="32"/>
      <c r="X3812" s="32"/>
      <c r="Y3812" s="32"/>
      <c r="Z3812" s="32"/>
      <c r="AA3812" s="32"/>
      <c r="AB3812" s="32"/>
    </row>
    <row r="3813" spans="2:28" ht="23.25" customHeight="1" x14ac:dyDescent="0.2">
      <c r="B3813" s="75"/>
      <c r="C3813" s="67"/>
      <c r="D3813" s="75"/>
      <c r="E3813" s="67"/>
      <c r="F3813" s="67"/>
      <c r="G3813" s="70"/>
      <c r="H3813" s="70"/>
      <c r="I3813" s="70"/>
      <c r="J3813" s="70"/>
      <c r="K3813" s="70"/>
      <c r="L3813" s="67"/>
      <c r="M3813" s="67"/>
      <c r="N3813" s="72"/>
      <c r="O3813" s="72"/>
      <c r="P3813" s="67"/>
      <c r="Q3813" s="67"/>
      <c r="R3813" s="67"/>
      <c r="S3813" s="67"/>
      <c r="T3813" s="32"/>
      <c r="U3813" s="32"/>
      <c r="X3813" s="32"/>
      <c r="Y3813" s="32"/>
      <c r="Z3813" s="32"/>
      <c r="AA3813" s="32"/>
      <c r="AB3813" s="32"/>
    </row>
    <row r="3814" spans="2:28" ht="23.25" customHeight="1" x14ac:dyDescent="0.2">
      <c r="B3814" s="75"/>
      <c r="C3814" s="67"/>
      <c r="D3814" s="75"/>
      <c r="E3814" s="67"/>
      <c r="F3814" s="67"/>
      <c r="G3814" s="70"/>
      <c r="H3814" s="70"/>
      <c r="I3814" s="70"/>
      <c r="J3814" s="70"/>
      <c r="K3814" s="70"/>
      <c r="L3814" s="67"/>
      <c r="M3814" s="67"/>
      <c r="N3814" s="72"/>
      <c r="O3814" s="72"/>
      <c r="P3814" s="67"/>
      <c r="Q3814" s="67"/>
      <c r="R3814" s="67"/>
      <c r="S3814" s="67"/>
      <c r="T3814" s="32"/>
      <c r="U3814" s="32"/>
      <c r="X3814" s="32"/>
      <c r="Y3814" s="32"/>
      <c r="Z3814" s="32"/>
      <c r="AA3814" s="32"/>
      <c r="AB3814" s="32"/>
    </row>
    <row r="3815" spans="2:28" ht="23.25" customHeight="1" x14ac:dyDescent="0.2">
      <c r="B3815" s="75"/>
      <c r="C3815" s="67"/>
      <c r="D3815" s="75"/>
      <c r="E3815" s="67"/>
      <c r="F3815" s="67"/>
      <c r="G3815" s="70"/>
      <c r="H3815" s="70"/>
      <c r="I3815" s="70"/>
      <c r="J3815" s="70"/>
      <c r="K3815" s="70"/>
      <c r="L3815" s="67"/>
      <c r="M3815" s="67"/>
      <c r="N3815" s="72"/>
      <c r="O3815" s="72"/>
      <c r="P3815" s="67"/>
      <c r="Q3815" s="67"/>
      <c r="R3815" s="67"/>
      <c r="S3815" s="67"/>
      <c r="T3815" s="32"/>
      <c r="U3815" s="32"/>
      <c r="X3815" s="32"/>
      <c r="Y3815" s="32"/>
      <c r="Z3815" s="32"/>
      <c r="AA3815" s="32"/>
      <c r="AB3815" s="32"/>
    </row>
    <row r="3816" spans="2:28" ht="23.25" customHeight="1" x14ac:dyDescent="0.2">
      <c r="B3816" s="75"/>
      <c r="C3816" s="67"/>
      <c r="D3816" s="75"/>
      <c r="E3816" s="67"/>
      <c r="F3816" s="67"/>
      <c r="G3816" s="70"/>
      <c r="H3816" s="70"/>
      <c r="I3816" s="70"/>
      <c r="J3816" s="70"/>
      <c r="K3816" s="70"/>
      <c r="L3816" s="67"/>
      <c r="M3816" s="67"/>
      <c r="N3816" s="72"/>
      <c r="O3816" s="72"/>
      <c r="P3816" s="67"/>
      <c r="Q3816" s="67"/>
      <c r="R3816" s="67"/>
      <c r="S3816" s="67"/>
      <c r="T3816" s="32"/>
      <c r="U3816" s="32"/>
      <c r="X3816" s="32"/>
      <c r="Y3816" s="32"/>
      <c r="Z3816" s="32"/>
      <c r="AA3816" s="32"/>
      <c r="AB3816" s="32"/>
    </row>
    <row r="3817" spans="2:28" ht="23.25" customHeight="1" x14ac:dyDescent="0.2">
      <c r="B3817" s="75"/>
      <c r="C3817" s="67"/>
      <c r="D3817" s="75"/>
      <c r="E3817" s="67"/>
      <c r="F3817" s="67"/>
      <c r="G3817" s="70"/>
      <c r="H3817" s="70"/>
      <c r="I3817" s="70"/>
      <c r="J3817" s="70"/>
      <c r="K3817" s="70"/>
      <c r="L3817" s="67"/>
      <c r="M3817" s="67"/>
      <c r="N3817" s="72"/>
      <c r="O3817" s="72"/>
      <c r="P3817" s="67"/>
      <c r="Q3817" s="67"/>
      <c r="R3817" s="67"/>
      <c r="S3817" s="67"/>
      <c r="T3817" s="32"/>
      <c r="U3817" s="32"/>
      <c r="X3817" s="32"/>
      <c r="Y3817" s="32"/>
      <c r="Z3817" s="32"/>
      <c r="AA3817" s="32"/>
      <c r="AB3817" s="32"/>
    </row>
    <row r="3818" spans="2:28" ht="23.25" customHeight="1" x14ac:dyDescent="0.2">
      <c r="B3818" s="75"/>
      <c r="C3818" s="67"/>
      <c r="D3818" s="75"/>
      <c r="E3818" s="67"/>
      <c r="F3818" s="67"/>
      <c r="G3818" s="70"/>
      <c r="H3818" s="70"/>
      <c r="I3818" s="70"/>
      <c r="J3818" s="70"/>
      <c r="K3818" s="70"/>
      <c r="L3818" s="67"/>
      <c r="M3818" s="67"/>
      <c r="N3818" s="72"/>
      <c r="O3818" s="72"/>
      <c r="P3818" s="67"/>
      <c r="Q3818" s="67"/>
      <c r="R3818" s="67"/>
      <c r="S3818" s="67"/>
      <c r="T3818" s="32"/>
      <c r="U3818" s="32"/>
      <c r="X3818" s="32"/>
      <c r="Y3818" s="32"/>
      <c r="Z3818" s="32"/>
      <c r="AA3818" s="32"/>
      <c r="AB3818" s="32"/>
    </row>
    <row r="3819" spans="2:28" ht="23.25" customHeight="1" x14ac:dyDescent="0.2">
      <c r="B3819" s="75"/>
      <c r="C3819" s="67"/>
      <c r="D3819" s="75"/>
      <c r="E3819" s="67"/>
      <c r="F3819" s="67"/>
      <c r="G3819" s="70"/>
      <c r="H3819" s="70"/>
      <c r="I3819" s="70"/>
      <c r="J3819" s="70"/>
      <c r="K3819" s="70"/>
      <c r="L3819" s="67"/>
      <c r="M3819" s="67"/>
      <c r="N3819" s="72"/>
      <c r="O3819" s="72"/>
      <c r="P3819" s="67"/>
      <c r="Q3819" s="67"/>
      <c r="R3819" s="67"/>
      <c r="S3819" s="67"/>
      <c r="T3819" s="32"/>
      <c r="U3819" s="32"/>
      <c r="X3819" s="32"/>
      <c r="Y3819" s="32"/>
      <c r="Z3819" s="32"/>
      <c r="AA3819" s="32"/>
      <c r="AB3819" s="32"/>
    </row>
    <row r="3820" spans="2:28" ht="23.25" customHeight="1" x14ac:dyDescent="0.2">
      <c r="B3820" s="75"/>
      <c r="C3820" s="67"/>
      <c r="D3820" s="75"/>
      <c r="E3820" s="67"/>
      <c r="F3820" s="67"/>
      <c r="G3820" s="70"/>
      <c r="H3820" s="70"/>
      <c r="I3820" s="70"/>
      <c r="J3820" s="70"/>
      <c r="K3820" s="70"/>
      <c r="L3820" s="67"/>
      <c r="M3820" s="67"/>
      <c r="N3820" s="72"/>
      <c r="O3820" s="72"/>
      <c r="P3820" s="67"/>
      <c r="Q3820" s="67"/>
      <c r="R3820" s="67"/>
      <c r="S3820" s="67"/>
      <c r="T3820" s="32"/>
      <c r="U3820" s="32"/>
      <c r="X3820" s="32"/>
      <c r="Y3820" s="32"/>
      <c r="Z3820" s="32"/>
      <c r="AA3820" s="32"/>
      <c r="AB3820" s="32"/>
    </row>
    <row r="3821" spans="2:28" ht="23.25" customHeight="1" x14ac:dyDescent="0.2">
      <c r="B3821" s="75"/>
      <c r="C3821" s="67"/>
      <c r="D3821" s="75"/>
      <c r="E3821" s="67"/>
      <c r="F3821" s="67"/>
      <c r="G3821" s="70"/>
      <c r="H3821" s="70"/>
      <c r="I3821" s="70"/>
      <c r="J3821" s="70"/>
      <c r="K3821" s="70"/>
      <c r="L3821" s="67"/>
      <c r="M3821" s="67"/>
      <c r="N3821" s="72"/>
      <c r="O3821" s="72"/>
      <c r="P3821" s="67"/>
      <c r="Q3821" s="67"/>
      <c r="R3821" s="67"/>
      <c r="S3821" s="67"/>
      <c r="T3821" s="32"/>
      <c r="U3821" s="32"/>
      <c r="X3821" s="32"/>
      <c r="Y3821" s="32"/>
      <c r="Z3821" s="32"/>
      <c r="AA3821" s="32"/>
      <c r="AB3821" s="32"/>
    </row>
    <row r="3822" spans="2:28" ht="23.25" customHeight="1" x14ac:dyDescent="0.2">
      <c r="B3822" s="75"/>
      <c r="C3822" s="67"/>
      <c r="D3822" s="75"/>
      <c r="E3822" s="67"/>
      <c r="F3822" s="67"/>
      <c r="G3822" s="70"/>
      <c r="H3822" s="70"/>
      <c r="I3822" s="70"/>
      <c r="J3822" s="70"/>
      <c r="K3822" s="70"/>
      <c r="L3822" s="67"/>
      <c r="M3822" s="67"/>
      <c r="N3822" s="72"/>
      <c r="O3822" s="72"/>
      <c r="P3822" s="67"/>
      <c r="Q3822" s="67"/>
      <c r="R3822" s="67"/>
      <c r="S3822" s="67"/>
      <c r="T3822" s="32"/>
      <c r="U3822" s="32"/>
      <c r="X3822" s="32"/>
      <c r="Y3822" s="32"/>
      <c r="Z3822" s="32"/>
      <c r="AA3822" s="32"/>
      <c r="AB3822" s="32"/>
    </row>
    <row r="3823" spans="2:28" ht="23.25" customHeight="1" x14ac:dyDescent="0.2">
      <c r="B3823" s="75"/>
      <c r="C3823" s="67"/>
      <c r="D3823" s="75"/>
      <c r="E3823" s="67"/>
      <c r="F3823" s="67"/>
      <c r="G3823" s="70"/>
      <c r="H3823" s="70"/>
      <c r="I3823" s="70"/>
      <c r="J3823" s="70"/>
      <c r="K3823" s="70"/>
      <c r="L3823" s="67"/>
      <c r="M3823" s="67"/>
      <c r="N3823" s="72"/>
      <c r="O3823" s="72"/>
      <c r="P3823" s="67"/>
      <c r="Q3823" s="67"/>
      <c r="R3823" s="67"/>
      <c r="S3823" s="67"/>
      <c r="T3823" s="32"/>
      <c r="U3823" s="32"/>
      <c r="X3823" s="32"/>
      <c r="Y3823" s="32"/>
      <c r="Z3823" s="32"/>
      <c r="AA3823" s="32"/>
      <c r="AB3823" s="32"/>
    </row>
    <row r="3824" spans="2:28" ht="23.25" customHeight="1" x14ac:dyDescent="0.2">
      <c r="B3824" s="75"/>
      <c r="C3824" s="67"/>
      <c r="D3824" s="75"/>
      <c r="E3824" s="67"/>
      <c r="F3824" s="67"/>
      <c r="G3824" s="70"/>
      <c r="H3824" s="70"/>
      <c r="I3824" s="70"/>
      <c r="J3824" s="70"/>
      <c r="K3824" s="70"/>
      <c r="L3824" s="67"/>
      <c r="M3824" s="67"/>
      <c r="N3824" s="72"/>
      <c r="O3824" s="72"/>
      <c r="P3824" s="67"/>
      <c r="Q3824" s="67"/>
      <c r="R3824" s="67"/>
      <c r="S3824" s="67"/>
      <c r="T3824" s="32"/>
      <c r="U3824" s="32"/>
      <c r="X3824" s="32"/>
      <c r="Y3824" s="32"/>
      <c r="Z3824" s="32"/>
      <c r="AA3824" s="32"/>
      <c r="AB3824" s="32"/>
    </row>
    <row r="3825" spans="2:28" ht="23.25" customHeight="1" x14ac:dyDescent="0.2">
      <c r="B3825" s="75"/>
      <c r="C3825" s="67"/>
      <c r="D3825" s="75"/>
      <c r="E3825" s="67"/>
      <c r="F3825" s="67"/>
      <c r="G3825" s="70"/>
      <c r="H3825" s="70"/>
      <c r="I3825" s="70"/>
      <c r="J3825" s="70"/>
      <c r="K3825" s="70"/>
      <c r="L3825" s="67"/>
      <c r="M3825" s="67"/>
      <c r="N3825" s="72"/>
      <c r="O3825" s="72"/>
      <c r="P3825" s="67"/>
      <c r="Q3825" s="67"/>
      <c r="R3825" s="67"/>
      <c r="S3825" s="67"/>
      <c r="T3825" s="32"/>
      <c r="U3825" s="32"/>
      <c r="X3825" s="32"/>
      <c r="Y3825" s="32"/>
      <c r="Z3825" s="32"/>
      <c r="AA3825" s="32"/>
      <c r="AB3825" s="32"/>
    </row>
    <row r="3826" spans="2:28" ht="23.25" customHeight="1" x14ac:dyDescent="0.2">
      <c r="B3826" s="75"/>
      <c r="C3826" s="67"/>
      <c r="D3826" s="75"/>
      <c r="E3826" s="67"/>
      <c r="F3826" s="67"/>
      <c r="G3826" s="70"/>
      <c r="H3826" s="70"/>
      <c r="I3826" s="70"/>
      <c r="J3826" s="70"/>
      <c r="K3826" s="70"/>
      <c r="L3826" s="67"/>
      <c r="M3826" s="67"/>
      <c r="N3826" s="72"/>
      <c r="O3826" s="72"/>
      <c r="P3826" s="67"/>
      <c r="Q3826" s="67"/>
      <c r="R3826" s="67"/>
      <c r="S3826" s="67"/>
      <c r="T3826" s="32"/>
      <c r="U3826" s="32"/>
      <c r="X3826" s="32"/>
      <c r="Y3826" s="32"/>
      <c r="Z3826" s="32"/>
      <c r="AA3826" s="32"/>
      <c r="AB3826" s="32"/>
    </row>
    <row r="3827" spans="2:28" ht="23.25" customHeight="1" x14ac:dyDescent="0.2">
      <c r="B3827" s="75"/>
      <c r="C3827" s="67"/>
      <c r="D3827" s="75"/>
      <c r="E3827" s="67"/>
      <c r="F3827" s="67"/>
      <c r="G3827" s="70"/>
      <c r="H3827" s="70"/>
      <c r="I3827" s="70"/>
      <c r="J3827" s="70"/>
      <c r="K3827" s="70"/>
      <c r="L3827" s="67"/>
      <c r="M3827" s="67"/>
      <c r="N3827" s="72"/>
      <c r="O3827" s="72"/>
      <c r="P3827" s="67"/>
      <c r="Q3827" s="67"/>
      <c r="R3827" s="67"/>
      <c r="S3827" s="67"/>
      <c r="T3827" s="32"/>
      <c r="U3827" s="32"/>
      <c r="X3827" s="32"/>
      <c r="Y3827" s="32"/>
      <c r="Z3827" s="32"/>
      <c r="AA3827" s="32"/>
      <c r="AB3827" s="32"/>
    </row>
    <row r="3828" spans="2:28" ht="23.25" customHeight="1" x14ac:dyDescent="0.2">
      <c r="B3828" s="75"/>
      <c r="C3828" s="67"/>
      <c r="D3828" s="75"/>
      <c r="E3828" s="67"/>
      <c r="F3828" s="67"/>
      <c r="G3828" s="70"/>
      <c r="H3828" s="70"/>
      <c r="I3828" s="70"/>
      <c r="J3828" s="70"/>
      <c r="K3828" s="70"/>
      <c r="L3828" s="67"/>
      <c r="M3828" s="67"/>
      <c r="N3828" s="72"/>
      <c r="O3828" s="72"/>
      <c r="P3828" s="67"/>
      <c r="Q3828" s="67"/>
      <c r="R3828" s="67"/>
      <c r="S3828" s="67"/>
      <c r="T3828" s="32"/>
      <c r="U3828" s="32"/>
      <c r="X3828" s="32"/>
      <c r="Y3828" s="32"/>
      <c r="Z3828" s="32"/>
      <c r="AA3828" s="32"/>
      <c r="AB3828" s="32"/>
    </row>
    <row r="3829" spans="2:28" ht="23.25" customHeight="1" x14ac:dyDescent="0.2">
      <c r="B3829" s="75"/>
      <c r="C3829" s="67"/>
      <c r="D3829" s="75"/>
      <c r="E3829" s="67"/>
      <c r="F3829" s="67"/>
      <c r="G3829" s="70"/>
      <c r="H3829" s="70"/>
      <c r="I3829" s="70"/>
      <c r="J3829" s="70"/>
      <c r="K3829" s="70"/>
      <c r="L3829" s="67"/>
      <c r="M3829" s="67"/>
      <c r="N3829" s="72"/>
      <c r="O3829" s="72"/>
      <c r="P3829" s="67"/>
      <c r="Q3829" s="67"/>
      <c r="R3829" s="67"/>
      <c r="S3829" s="67"/>
      <c r="T3829" s="32"/>
      <c r="U3829" s="32"/>
      <c r="X3829" s="32"/>
      <c r="Y3829" s="32"/>
      <c r="Z3829" s="32"/>
      <c r="AA3829" s="32"/>
      <c r="AB3829" s="32"/>
    </row>
    <row r="3830" spans="2:28" ht="23.25" customHeight="1" x14ac:dyDescent="0.2">
      <c r="B3830" s="75"/>
      <c r="C3830" s="67"/>
      <c r="D3830" s="75"/>
      <c r="E3830" s="67"/>
      <c r="F3830" s="67"/>
      <c r="G3830" s="70"/>
      <c r="H3830" s="70"/>
      <c r="I3830" s="70"/>
      <c r="J3830" s="70"/>
      <c r="K3830" s="70"/>
      <c r="L3830" s="67"/>
      <c r="M3830" s="67"/>
      <c r="N3830" s="72"/>
      <c r="O3830" s="72"/>
      <c r="P3830" s="67"/>
      <c r="Q3830" s="67"/>
      <c r="R3830" s="67"/>
      <c r="S3830" s="67"/>
      <c r="T3830" s="32"/>
      <c r="U3830" s="32"/>
      <c r="X3830" s="32"/>
      <c r="Y3830" s="32"/>
      <c r="Z3830" s="32"/>
      <c r="AA3830" s="32"/>
      <c r="AB3830" s="32"/>
    </row>
    <row r="3831" spans="2:28" ht="23.25" customHeight="1" x14ac:dyDescent="0.2">
      <c r="B3831" s="75"/>
      <c r="C3831" s="67"/>
      <c r="D3831" s="75"/>
      <c r="E3831" s="67"/>
      <c r="F3831" s="67"/>
      <c r="G3831" s="70"/>
      <c r="H3831" s="70"/>
      <c r="I3831" s="70"/>
      <c r="J3831" s="70"/>
      <c r="K3831" s="70"/>
      <c r="L3831" s="67"/>
      <c r="M3831" s="67"/>
      <c r="N3831" s="72"/>
      <c r="O3831" s="72"/>
      <c r="P3831" s="67"/>
      <c r="Q3831" s="67"/>
      <c r="R3831" s="67"/>
      <c r="S3831" s="67"/>
      <c r="T3831" s="32"/>
      <c r="U3831" s="32"/>
      <c r="X3831" s="32"/>
      <c r="Y3831" s="32"/>
      <c r="Z3831" s="32"/>
      <c r="AA3831" s="32"/>
      <c r="AB3831" s="32"/>
    </row>
    <row r="3832" spans="2:28" ht="23.25" customHeight="1" x14ac:dyDescent="0.2">
      <c r="B3832" s="75"/>
      <c r="C3832" s="67"/>
      <c r="D3832" s="75"/>
      <c r="E3832" s="67"/>
      <c r="F3832" s="67"/>
      <c r="G3832" s="70"/>
      <c r="H3832" s="70"/>
      <c r="I3832" s="70"/>
      <c r="J3832" s="70"/>
      <c r="K3832" s="70"/>
      <c r="L3832" s="67"/>
      <c r="M3832" s="67"/>
      <c r="N3832" s="72"/>
      <c r="O3832" s="72"/>
      <c r="P3832" s="67"/>
      <c r="Q3832" s="67"/>
      <c r="R3832" s="67"/>
      <c r="S3832" s="67"/>
      <c r="T3832" s="32"/>
      <c r="U3832" s="32"/>
      <c r="X3832" s="32"/>
      <c r="Y3832" s="32"/>
      <c r="Z3832" s="32"/>
      <c r="AA3832" s="32"/>
      <c r="AB3832" s="32"/>
    </row>
    <row r="3833" spans="2:28" ht="23.25" customHeight="1" x14ac:dyDescent="0.2">
      <c r="B3833" s="75"/>
      <c r="C3833" s="67"/>
      <c r="D3833" s="75"/>
      <c r="E3833" s="67"/>
      <c r="F3833" s="67"/>
      <c r="G3833" s="70"/>
      <c r="H3833" s="70"/>
      <c r="I3833" s="70"/>
      <c r="J3833" s="70"/>
      <c r="K3833" s="70"/>
      <c r="L3833" s="67"/>
      <c r="M3833" s="67"/>
      <c r="N3833" s="72"/>
      <c r="O3833" s="72"/>
      <c r="P3833" s="67"/>
      <c r="Q3833" s="67"/>
      <c r="R3833" s="67"/>
      <c r="S3833" s="67"/>
      <c r="T3833" s="32"/>
      <c r="U3833" s="32"/>
      <c r="X3833" s="32"/>
      <c r="Y3833" s="32"/>
      <c r="Z3833" s="32"/>
      <c r="AA3833" s="32"/>
      <c r="AB3833" s="32"/>
    </row>
    <row r="3834" spans="2:28" ht="23.25" customHeight="1" x14ac:dyDescent="0.2">
      <c r="B3834" s="75"/>
      <c r="C3834" s="67"/>
      <c r="D3834" s="75"/>
      <c r="E3834" s="67"/>
      <c r="F3834" s="67"/>
      <c r="G3834" s="70"/>
      <c r="H3834" s="70"/>
      <c r="I3834" s="70"/>
      <c r="J3834" s="70"/>
      <c r="K3834" s="70"/>
      <c r="L3834" s="67"/>
      <c r="M3834" s="67"/>
      <c r="N3834" s="72"/>
      <c r="O3834" s="72"/>
      <c r="P3834" s="67"/>
      <c r="Q3834" s="67"/>
      <c r="R3834" s="67"/>
      <c r="S3834" s="67"/>
      <c r="T3834" s="32"/>
      <c r="U3834" s="32"/>
      <c r="X3834" s="32"/>
      <c r="Y3834" s="32"/>
      <c r="Z3834" s="32"/>
      <c r="AA3834" s="32"/>
      <c r="AB3834" s="32"/>
    </row>
    <row r="3835" spans="2:28" ht="23.25" customHeight="1" x14ac:dyDescent="0.2">
      <c r="B3835" s="75"/>
      <c r="C3835" s="67"/>
      <c r="D3835" s="75"/>
      <c r="E3835" s="67"/>
      <c r="F3835" s="67"/>
      <c r="G3835" s="70"/>
      <c r="H3835" s="70"/>
      <c r="I3835" s="70"/>
      <c r="J3835" s="70"/>
      <c r="K3835" s="70"/>
      <c r="L3835" s="67"/>
      <c r="M3835" s="67"/>
      <c r="N3835" s="72"/>
      <c r="O3835" s="72"/>
      <c r="P3835" s="67"/>
      <c r="Q3835" s="67"/>
      <c r="R3835" s="67"/>
      <c r="S3835" s="67"/>
      <c r="T3835" s="32"/>
      <c r="U3835" s="32"/>
      <c r="X3835" s="32"/>
      <c r="Y3835" s="32"/>
      <c r="Z3835" s="32"/>
      <c r="AA3835" s="32"/>
      <c r="AB3835" s="32"/>
    </row>
    <row r="3836" spans="2:28" ht="23.25" customHeight="1" x14ac:dyDescent="0.2">
      <c r="B3836" s="75"/>
      <c r="C3836" s="67"/>
      <c r="D3836" s="75"/>
      <c r="E3836" s="67"/>
      <c r="F3836" s="67"/>
      <c r="G3836" s="70"/>
      <c r="H3836" s="70"/>
      <c r="I3836" s="70"/>
      <c r="J3836" s="70"/>
      <c r="K3836" s="70"/>
      <c r="L3836" s="67"/>
      <c r="M3836" s="67"/>
      <c r="N3836" s="72"/>
      <c r="O3836" s="72"/>
      <c r="P3836" s="67"/>
      <c r="Q3836" s="67"/>
      <c r="R3836" s="67"/>
      <c r="S3836" s="67"/>
      <c r="T3836" s="32"/>
      <c r="U3836" s="32"/>
      <c r="X3836" s="32"/>
      <c r="Y3836" s="32"/>
      <c r="Z3836" s="32"/>
      <c r="AA3836" s="32"/>
      <c r="AB3836" s="32"/>
    </row>
    <row r="3837" spans="2:28" ht="23.25" customHeight="1" x14ac:dyDescent="0.2">
      <c r="B3837" s="75"/>
      <c r="C3837" s="67"/>
      <c r="D3837" s="75"/>
      <c r="E3837" s="67"/>
      <c r="F3837" s="67"/>
      <c r="G3837" s="70"/>
      <c r="H3837" s="70"/>
      <c r="I3837" s="70"/>
      <c r="J3837" s="70"/>
      <c r="K3837" s="70"/>
      <c r="L3837" s="67"/>
      <c r="M3837" s="67"/>
      <c r="N3837" s="72"/>
      <c r="O3837" s="72"/>
      <c r="P3837" s="67"/>
      <c r="Q3837" s="67"/>
      <c r="R3837" s="67"/>
      <c r="S3837" s="67"/>
      <c r="T3837" s="32"/>
      <c r="U3837" s="32"/>
      <c r="X3837" s="32"/>
      <c r="Y3837" s="32"/>
      <c r="Z3837" s="32"/>
      <c r="AA3837" s="32"/>
      <c r="AB3837" s="32"/>
    </row>
    <row r="3838" spans="2:28" ht="23.25" customHeight="1" x14ac:dyDescent="0.2">
      <c r="B3838" s="75"/>
      <c r="C3838" s="67"/>
      <c r="D3838" s="75"/>
      <c r="E3838" s="67"/>
      <c r="F3838" s="67"/>
      <c r="G3838" s="70"/>
      <c r="H3838" s="70"/>
      <c r="I3838" s="70"/>
      <c r="J3838" s="70"/>
      <c r="K3838" s="70"/>
      <c r="L3838" s="67"/>
      <c r="M3838" s="67"/>
      <c r="N3838" s="72"/>
      <c r="O3838" s="72"/>
      <c r="P3838" s="67"/>
      <c r="Q3838" s="67"/>
      <c r="R3838" s="67"/>
      <c r="S3838" s="67"/>
      <c r="T3838" s="32"/>
      <c r="U3838" s="32"/>
      <c r="X3838" s="32"/>
      <c r="Y3838" s="32"/>
      <c r="Z3838" s="32"/>
      <c r="AA3838" s="32"/>
      <c r="AB3838" s="32"/>
    </row>
    <row r="3839" spans="2:28" ht="23.25" customHeight="1" x14ac:dyDescent="0.2">
      <c r="B3839" s="75"/>
      <c r="C3839" s="67"/>
      <c r="D3839" s="75"/>
      <c r="E3839" s="67"/>
      <c r="F3839" s="67"/>
      <c r="G3839" s="70"/>
      <c r="H3839" s="70"/>
      <c r="I3839" s="70"/>
      <c r="J3839" s="70"/>
      <c r="K3839" s="70"/>
      <c r="L3839" s="67"/>
      <c r="M3839" s="67"/>
      <c r="N3839" s="72"/>
      <c r="O3839" s="72"/>
      <c r="P3839" s="67"/>
      <c r="Q3839" s="67"/>
      <c r="R3839" s="67"/>
      <c r="S3839" s="67"/>
      <c r="T3839" s="32"/>
      <c r="U3839" s="32"/>
      <c r="X3839" s="32"/>
      <c r="Y3839" s="32"/>
      <c r="Z3839" s="32"/>
      <c r="AA3839" s="32"/>
      <c r="AB3839" s="32"/>
    </row>
    <row r="3840" spans="2:28" ht="23.25" customHeight="1" x14ac:dyDescent="0.2">
      <c r="B3840" s="75"/>
      <c r="C3840" s="67"/>
      <c r="D3840" s="75"/>
      <c r="E3840" s="67"/>
      <c r="F3840" s="67"/>
      <c r="G3840" s="70"/>
      <c r="H3840" s="70"/>
      <c r="I3840" s="70"/>
      <c r="J3840" s="70"/>
      <c r="K3840" s="70"/>
      <c r="L3840" s="67"/>
      <c r="M3840" s="67"/>
      <c r="N3840" s="72"/>
      <c r="O3840" s="72"/>
      <c r="P3840" s="67"/>
      <c r="Q3840" s="67"/>
      <c r="R3840" s="67"/>
      <c r="S3840" s="67"/>
      <c r="T3840" s="32"/>
      <c r="U3840" s="32"/>
      <c r="X3840" s="32"/>
      <c r="Y3840" s="32"/>
      <c r="Z3840" s="32"/>
      <c r="AA3840" s="32"/>
      <c r="AB3840" s="32"/>
    </row>
    <row r="3841" spans="2:28" ht="23.25" customHeight="1" x14ac:dyDescent="0.2">
      <c r="B3841" s="75"/>
      <c r="C3841" s="67"/>
      <c r="D3841" s="75"/>
      <c r="E3841" s="67"/>
      <c r="F3841" s="67"/>
      <c r="G3841" s="70"/>
      <c r="H3841" s="70"/>
      <c r="I3841" s="70"/>
      <c r="J3841" s="70"/>
      <c r="K3841" s="70"/>
      <c r="L3841" s="67"/>
      <c r="M3841" s="67"/>
      <c r="N3841" s="72"/>
      <c r="O3841" s="72"/>
      <c r="P3841" s="67"/>
      <c r="Q3841" s="67"/>
      <c r="R3841" s="67"/>
      <c r="S3841" s="67"/>
      <c r="T3841" s="32"/>
      <c r="U3841" s="32"/>
      <c r="X3841" s="32"/>
      <c r="Y3841" s="32"/>
      <c r="Z3841" s="32"/>
      <c r="AA3841" s="32"/>
      <c r="AB3841" s="32"/>
    </row>
    <row r="3842" spans="2:28" ht="23.25" customHeight="1" x14ac:dyDescent="0.2">
      <c r="B3842" s="75"/>
      <c r="C3842" s="67"/>
      <c r="D3842" s="75"/>
      <c r="E3842" s="67"/>
      <c r="F3842" s="67"/>
      <c r="G3842" s="70"/>
      <c r="H3842" s="70"/>
      <c r="I3842" s="70"/>
      <c r="J3842" s="70"/>
      <c r="K3842" s="70"/>
      <c r="L3842" s="67"/>
      <c r="M3842" s="67"/>
      <c r="N3842" s="72"/>
      <c r="O3842" s="72"/>
      <c r="P3842" s="67"/>
      <c r="Q3842" s="67"/>
      <c r="R3842" s="67"/>
      <c r="S3842" s="67"/>
      <c r="T3842" s="32"/>
      <c r="U3842" s="32"/>
      <c r="X3842" s="32"/>
      <c r="Y3842" s="32"/>
      <c r="Z3842" s="32"/>
      <c r="AA3842" s="32"/>
      <c r="AB3842" s="32"/>
    </row>
    <row r="3843" spans="2:28" ht="23.25" customHeight="1" x14ac:dyDescent="0.2">
      <c r="B3843" s="75"/>
      <c r="C3843" s="67"/>
      <c r="D3843" s="75"/>
      <c r="E3843" s="67"/>
      <c r="F3843" s="67"/>
      <c r="G3843" s="70"/>
      <c r="H3843" s="70"/>
      <c r="I3843" s="70"/>
      <c r="J3843" s="70"/>
      <c r="K3843" s="70"/>
      <c r="L3843" s="67"/>
      <c r="M3843" s="67"/>
      <c r="N3843" s="72"/>
      <c r="O3843" s="72"/>
      <c r="P3843" s="67"/>
      <c r="Q3843" s="67"/>
      <c r="R3843" s="67"/>
      <c r="S3843" s="67"/>
      <c r="T3843" s="32"/>
      <c r="U3843" s="32"/>
      <c r="X3843" s="32"/>
      <c r="Y3843" s="32"/>
      <c r="Z3843" s="32"/>
      <c r="AA3843" s="32"/>
      <c r="AB3843" s="32"/>
    </row>
    <row r="3844" spans="2:28" ht="23.25" customHeight="1" x14ac:dyDescent="0.2">
      <c r="B3844" s="75"/>
      <c r="C3844" s="67"/>
      <c r="D3844" s="75"/>
      <c r="E3844" s="67"/>
      <c r="F3844" s="67"/>
      <c r="G3844" s="70"/>
      <c r="H3844" s="70"/>
      <c r="I3844" s="70"/>
      <c r="J3844" s="70"/>
      <c r="K3844" s="70"/>
      <c r="L3844" s="67"/>
      <c r="M3844" s="67"/>
      <c r="N3844" s="72"/>
      <c r="O3844" s="72"/>
      <c r="P3844" s="67"/>
      <c r="Q3844" s="67"/>
      <c r="R3844" s="67"/>
      <c r="S3844" s="67"/>
      <c r="T3844" s="32"/>
      <c r="U3844" s="32"/>
      <c r="X3844" s="32"/>
      <c r="Y3844" s="32"/>
      <c r="Z3844" s="32"/>
      <c r="AA3844" s="32"/>
      <c r="AB3844" s="32"/>
    </row>
    <row r="3845" spans="2:28" ht="23.25" customHeight="1" x14ac:dyDescent="0.2">
      <c r="B3845" s="75"/>
      <c r="C3845" s="67"/>
      <c r="D3845" s="75"/>
      <c r="E3845" s="67"/>
      <c r="F3845" s="67"/>
      <c r="G3845" s="70"/>
      <c r="H3845" s="70"/>
      <c r="I3845" s="70"/>
      <c r="J3845" s="70"/>
      <c r="K3845" s="70"/>
      <c r="L3845" s="67"/>
      <c r="M3845" s="67"/>
      <c r="N3845" s="72"/>
      <c r="O3845" s="72"/>
      <c r="P3845" s="67"/>
      <c r="Q3845" s="67"/>
      <c r="R3845" s="67"/>
      <c r="S3845" s="67"/>
      <c r="T3845" s="32"/>
      <c r="U3845" s="32"/>
      <c r="X3845" s="32"/>
      <c r="Y3845" s="32"/>
      <c r="Z3845" s="32"/>
      <c r="AA3845" s="32"/>
      <c r="AB3845" s="32"/>
    </row>
    <row r="3846" spans="2:28" ht="23.25" customHeight="1" x14ac:dyDescent="0.2">
      <c r="B3846" s="75"/>
      <c r="C3846" s="67"/>
      <c r="D3846" s="75"/>
      <c r="E3846" s="67"/>
      <c r="F3846" s="67"/>
      <c r="G3846" s="70"/>
      <c r="H3846" s="70"/>
      <c r="I3846" s="70"/>
      <c r="J3846" s="70"/>
      <c r="K3846" s="70"/>
      <c r="L3846" s="67"/>
      <c r="M3846" s="67"/>
      <c r="N3846" s="72"/>
      <c r="O3846" s="72"/>
      <c r="P3846" s="67"/>
      <c r="Q3846" s="67"/>
      <c r="R3846" s="67"/>
      <c r="S3846" s="67"/>
      <c r="T3846" s="32"/>
      <c r="U3846" s="32"/>
      <c r="X3846" s="32"/>
      <c r="Y3846" s="32"/>
      <c r="Z3846" s="32"/>
      <c r="AA3846" s="32"/>
      <c r="AB3846" s="32"/>
    </row>
    <row r="3847" spans="2:28" ht="23.25" customHeight="1" x14ac:dyDescent="0.2">
      <c r="B3847" s="75"/>
      <c r="C3847" s="67"/>
      <c r="D3847" s="75"/>
      <c r="E3847" s="67"/>
      <c r="F3847" s="67"/>
      <c r="G3847" s="70"/>
      <c r="H3847" s="70"/>
      <c r="I3847" s="70"/>
      <c r="J3847" s="70"/>
      <c r="K3847" s="70"/>
      <c r="L3847" s="67"/>
      <c r="M3847" s="67"/>
      <c r="N3847" s="72"/>
      <c r="O3847" s="72"/>
      <c r="P3847" s="67"/>
      <c r="Q3847" s="67"/>
      <c r="R3847" s="67"/>
      <c r="S3847" s="67"/>
      <c r="T3847" s="32"/>
      <c r="U3847" s="32"/>
      <c r="X3847" s="32"/>
      <c r="Y3847" s="32"/>
      <c r="Z3847" s="32"/>
      <c r="AA3847" s="32"/>
      <c r="AB3847" s="32"/>
    </row>
    <row r="3848" spans="2:28" ht="23.25" customHeight="1" x14ac:dyDescent="0.2">
      <c r="B3848" s="75"/>
      <c r="C3848" s="67"/>
      <c r="D3848" s="75"/>
      <c r="E3848" s="67"/>
      <c r="F3848" s="67"/>
      <c r="G3848" s="70"/>
      <c r="H3848" s="70"/>
      <c r="I3848" s="70"/>
      <c r="J3848" s="70"/>
      <c r="K3848" s="70"/>
      <c r="L3848" s="67"/>
      <c r="M3848" s="67"/>
      <c r="N3848" s="72"/>
      <c r="O3848" s="72"/>
      <c r="P3848" s="67"/>
      <c r="Q3848" s="67"/>
      <c r="R3848" s="67"/>
      <c r="S3848" s="67"/>
      <c r="T3848" s="32"/>
      <c r="U3848" s="32"/>
      <c r="X3848" s="32"/>
      <c r="Y3848" s="32"/>
      <c r="Z3848" s="32"/>
      <c r="AA3848" s="32"/>
      <c r="AB3848" s="32"/>
    </row>
    <row r="3849" spans="2:28" ht="23.25" customHeight="1" x14ac:dyDescent="0.2">
      <c r="B3849" s="75"/>
      <c r="C3849" s="67"/>
      <c r="D3849" s="75"/>
      <c r="E3849" s="67"/>
      <c r="F3849" s="67"/>
      <c r="G3849" s="70"/>
      <c r="H3849" s="70"/>
      <c r="I3849" s="70"/>
      <c r="J3849" s="70"/>
      <c r="K3849" s="70"/>
      <c r="L3849" s="67"/>
      <c r="M3849" s="67"/>
      <c r="N3849" s="72"/>
      <c r="O3849" s="72"/>
      <c r="P3849" s="67"/>
      <c r="Q3849" s="67"/>
      <c r="R3849" s="67"/>
      <c r="S3849" s="67"/>
      <c r="T3849" s="32"/>
      <c r="U3849" s="32"/>
      <c r="X3849" s="32"/>
      <c r="Y3849" s="32"/>
      <c r="Z3849" s="32"/>
      <c r="AA3849" s="32"/>
      <c r="AB3849" s="32"/>
    </row>
    <row r="3850" spans="2:28" ht="23.25" customHeight="1" x14ac:dyDescent="0.2">
      <c r="B3850" s="75"/>
      <c r="C3850" s="67"/>
      <c r="D3850" s="75"/>
      <c r="E3850" s="67"/>
      <c r="F3850" s="67"/>
      <c r="G3850" s="70"/>
      <c r="H3850" s="70"/>
      <c r="I3850" s="70"/>
      <c r="J3850" s="70"/>
      <c r="K3850" s="70"/>
      <c r="L3850" s="67"/>
      <c r="M3850" s="67"/>
      <c r="N3850" s="72"/>
      <c r="O3850" s="72"/>
      <c r="P3850" s="67"/>
      <c r="Q3850" s="67"/>
      <c r="R3850" s="67"/>
      <c r="S3850" s="67"/>
      <c r="T3850" s="32"/>
      <c r="U3850" s="32"/>
      <c r="X3850" s="32"/>
      <c r="Y3850" s="32"/>
      <c r="Z3850" s="32"/>
      <c r="AA3850" s="32"/>
      <c r="AB3850" s="32"/>
    </row>
    <row r="3851" spans="2:28" ht="23.25" customHeight="1" x14ac:dyDescent="0.2">
      <c r="B3851" s="75"/>
      <c r="C3851" s="67"/>
      <c r="D3851" s="75"/>
      <c r="E3851" s="67"/>
      <c r="F3851" s="67"/>
      <c r="G3851" s="70"/>
      <c r="H3851" s="70"/>
      <c r="I3851" s="70"/>
      <c r="J3851" s="70"/>
      <c r="K3851" s="70"/>
      <c r="L3851" s="67"/>
      <c r="M3851" s="67"/>
      <c r="N3851" s="72"/>
      <c r="O3851" s="72"/>
      <c r="P3851" s="67"/>
      <c r="Q3851" s="67"/>
      <c r="R3851" s="67"/>
      <c r="S3851" s="67"/>
      <c r="T3851" s="32"/>
      <c r="U3851" s="32"/>
      <c r="X3851" s="32"/>
      <c r="Y3851" s="32"/>
      <c r="Z3851" s="32"/>
      <c r="AA3851" s="32"/>
      <c r="AB3851" s="32"/>
    </row>
    <row r="3852" spans="2:28" ht="23.25" customHeight="1" x14ac:dyDescent="0.2">
      <c r="B3852" s="75"/>
      <c r="C3852" s="67"/>
      <c r="D3852" s="75"/>
      <c r="E3852" s="67"/>
      <c r="F3852" s="67"/>
      <c r="G3852" s="70"/>
      <c r="H3852" s="70"/>
      <c r="I3852" s="70"/>
      <c r="J3852" s="70"/>
      <c r="K3852" s="70"/>
      <c r="L3852" s="67"/>
      <c r="M3852" s="67"/>
      <c r="N3852" s="72"/>
      <c r="O3852" s="72"/>
      <c r="P3852" s="67"/>
      <c r="Q3852" s="67"/>
      <c r="R3852" s="67"/>
      <c r="S3852" s="67"/>
      <c r="T3852" s="32"/>
      <c r="U3852" s="32"/>
      <c r="X3852" s="32"/>
      <c r="Y3852" s="32"/>
      <c r="Z3852" s="32"/>
      <c r="AA3852" s="32"/>
      <c r="AB3852" s="32"/>
    </row>
    <row r="3853" spans="2:28" ht="23.25" customHeight="1" x14ac:dyDescent="0.2">
      <c r="B3853" s="75"/>
      <c r="C3853" s="67"/>
      <c r="D3853" s="75"/>
      <c r="E3853" s="67"/>
      <c r="F3853" s="67"/>
      <c r="G3853" s="70"/>
      <c r="H3853" s="70"/>
      <c r="I3853" s="70"/>
      <c r="J3853" s="70"/>
      <c r="K3853" s="70"/>
      <c r="L3853" s="67"/>
      <c r="M3853" s="67"/>
      <c r="N3853" s="72"/>
      <c r="O3853" s="72"/>
      <c r="P3853" s="67"/>
      <c r="Q3853" s="67"/>
      <c r="R3853" s="67"/>
      <c r="S3853" s="67"/>
      <c r="T3853" s="32"/>
      <c r="U3853" s="32"/>
      <c r="X3853" s="32"/>
      <c r="Y3853" s="32"/>
      <c r="Z3853" s="32"/>
      <c r="AA3853" s="32"/>
      <c r="AB3853" s="32"/>
    </row>
    <row r="3854" spans="2:28" ht="23.25" customHeight="1" x14ac:dyDescent="0.2">
      <c r="B3854" s="75"/>
      <c r="C3854" s="67"/>
      <c r="D3854" s="75"/>
      <c r="E3854" s="67"/>
      <c r="F3854" s="67"/>
      <c r="G3854" s="70"/>
      <c r="H3854" s="70"/>
      <c r="I3854" s="70"/>
      <c r="J3854" s="70"/>
      <c r="K3854" s="70"/>
      <c r="L3854" s="67"/>
      <c r="M3854" s="67"/>
      <c r="N3854" s="72"/>
      <c r="O3854" s="72"/>
      <c r="P3854" s="67"/>
      <c r="Q3854" s="67"/>
      <c r="R3854" s="67"/>
      <c r="S3854" s="67"/>
      <c r="T3854" s="32"/>
      <c r="U3854" s="32"/>
      <c r="X3854" s="32"/>
      <c r="Y3854" s="32"/>
      <c r="Z3854" s="32"/>
      <c r="AA3854" s="32"/>
      <c r="AB3854" s="32"/>
    </row>
    <row r="3855" spans="2:28" ht="23.25" customHeight="1" x14ac:dyDescent="0.2">
      <c r="B3855" s="75"/>
      <c r="C3855" s="67"/>
      <c r="D3855" s="75"/>
      <c r="E3855" s="67"/>
      <c r="F3855" s="67"/>
      <c r="G3855" s="70"/>
      <c r="H3855" s="70"/>
      <c r="I3855" s="70"/>
      <c r="J3855" s="70"/>
      <c r="K3855" s="70"/>
      <c r="L3855" s="67"/>
      <c r="M3855" s="67"/>
      <c r="N3855" s="72"/>
      <c r="O3855" s="72"/>
      <c r="P3855" s="67"/>
      <c r="Q3855" s="67"/>
      <c r="R3855" s="67"/>
      <c r="S3855" s="67"/>
      <c r="T3855" s="32"/>
      <c r="U3855" s="32"/>
      <c r="X3855" s="32"/>
      <c r="Y3855" s="32"/>
      <c r="Z3855" s="32"/>
      <c r="AA3855" s="32"/>
      <c r="AB3855" s="32"/>
    </row>
    <row r="3856" spans="2:28" ht="23.25" customHeight="1" x14ac:dyDescent="0.2">
      <c r="B3856" s="75"/>
      <c r="C3856" s="67"/>
      <c r="D3856" s="75"/>
      <c r="E3856" s="67"/>
      <c r="F3856" s="67"/>
      <c r="G3856" s="70"/>
      <c r="H3856" s="70"/>
      <c r="I3856" s="70"/>
      <c r="J3856" s="70"/>
      <c r="K3856" s="70"/>
      <c r="L3856" s="67"/>
      <c r="M3856" s="67"/>
      <c r="N3856" s="72"/>
      <c r="O3856" s="72"/>
      <c r="P3856" s="67"/>
      <c r="Q3856" s="67"/>
      <c r="R3856" s="67"/>
      <c r="S3856" s="67"/>
      <c r="T3856" s="32"/>
      <c r="U3856" s="32"/>
      <c r="X3856" s="32"/>
      <c r="Y3856" s="32"/>
      <c r="Z3856" s="32"/>
      <c r="AA3856" s="32"/>
      <c r="AB3856" s="32"/>
    </row>
    <row r="3857" spans="2:28" ht="23.25" customHeight="1" x14ac:dyDescent="0.2">
      <c r="B3857" s="75"/>
      <c r="C3857" s="67"/>
      <c r="D3857" s="75"/>
      <c r="E3857" s="67"/>
      <c r="F3857" s="67"/>
      <c r="G3857" s="70"/>
      <c r="H3857" s="70"/>
      <c r="I3857" s="70"/>
      <c r="J3857" s="70"/>
      <c r="K3857" s="70"/>
      <c r="L3857" s="67"/>
      <c r="M3857" s="67"/>
      <c r="N3857" s="72"/>
      <c r="O3857" s="72"/>
      <c r="P3857" s="67"/>
      <c r="Q3857" s="67"/>
      <c r="R3857" s="67"/>
      <c r="S3857" s="67"/>
      <c r="T3857" s="32"/>
      <c r="U3857" s="32"/>
      <c r="X3857" s="32"/>
      <c r="Y3857" s="32"/>
      <c r="Z3857" s="32"/>
      <c r="AA3857" s="32"/>
      <c r="AB3857" s="32"/>
    </row>
    <row r="3858" spans="2:28" ht="23.25" customHeight="1" x14ac:dyDescent="0.2">
      <c r="B3858" s="75"/>
      <c r="C3858" s="67"/>
      <c r="D3858" s="75"/>
      <c r="E3858" s="67"/>
      <c r="F3858" s="67"/>
      <c r="G3858" s="70"/>
      <c r="H3858" s="70"/>
      <c r="I3858" s="70"/>
      <c r="J3858" s="70"/>
      <c r="K3858" s="70"/>
      <c r="L3858" s="67"/>
      <c r="M3858" s="67"/>
      <c r="N3858" s="72"/>
      <c r="O3858" s="72"/>
      <c r="P3858" s="67"/>
      <c r="Q3858" s="67"/>
      <c r="R3858" s="67"/>
      <c r="S3858" s="67"/>
      <c r="T3858" s="32"/>
      <c r="U3858" s="32"/>
      <c r="X3858" s="32"/>
      <c r="Y3858" s="32"/>
      <c r="Z3858" s="32"/>
      <c r="AA3858" s="32"/>
      <c r="AB3858" s="32"/>
    </row>
    <row r="3859" spans="2:28" ht="23.25" customHeight="1" x14ac:dyDescent="0.2">
      <c r="B3859" s="75"/>
      <c r="C3859" s="67"/>
      <c r="D3859" s="75"/>
      <c r="E3859" s="67"/>
      <c r="F3859" s="67"/>
      <c r="G3859" s="70"/>
      <c r="H3859" s="70"/>
      <c r="I3859" s="70"/>
      <c r="J3859" s="70"/>
      <c r="K3859" s="70"/>
      <c r="L3859" s="67"/>
      <c r="M3859" s="67"/>
      <c r="N3859" s="72"/>
      <c r="O3859" s="72"/>
      <c r="P3859" s="67"/>
      <c r="Q3859" s="67"/>
      <c r="R3859" s="67"/>
      <c r="S3859" s="67"/>
      <c r="T3859" s="32"/>
      <c r="U3859" s="32"/>
      <c r="X3859" s="32"/>
      <c r="Y3859" s="32"/>
      <c r="Z3859" s="32"/>
      <c r="AA3859" s="32"/>
      <c r="AB3859" s="32"/>
    </row>
    <row r="3860" spans="2:28" ht="23.25" customHeight="1" x14ac:dyDescent="0.2">
      <c r="B3860" s="75"/>
      <c r="C3860" s="67"/>
      <c r="D3860" s="75"/>
      <c r="E3860" s="67"/>
      <c r="F3860" s="67"/>
      <c r="G3860" s="70"/>
      <c r="H3860" s="70"/>
      <c r="I3860" s="70"/>
      <c r="J3860" s="70"/>
      <c r="K3860" s="70"/>
      <c r="L3860" s="67"/>
      <c r="M3860" s="67"/>
      <c r="N3860" s="72"/>
      <c r="O3860" s="72"/>
      <c r="P3860" s="67"/>
      <c r="Q3860" s="67"/>
      <c r="R3860" s="67"/>
      <c r="S3860" s="67"/>
      <c r="T3860" s="32"/>
      <c r="U3860" s="32"/>
      <c r="X3860" s="32"/>
      <c r="Y3860" s="32"/>
      <c r="Z3860" s="32"/>
      <c r="AA3860" s="32"/>
      <c r="AB3860" s="32"/>
    </row>
    <row r="3861" spans="2:28" ht="23.25" customHeight="1" x14ac:dyDescent="0.2">
      <c r="B3861" s="75"/>
      <c r="C3861" s="67"/>
      <c r="D3861" s="75"/>
      <c r="E3861" s="67"/>
      <c r="F3861" s="67"/>
      <c r="G3861" s="70"/>
      <c r="H3861" s="70"/>
      <c r="I3861" s="70"/>
      <c r="J3861" s="70"/>
      <c r="K3861" s="70"/>
      <c r="L3861" s="67"/>
      <c r="M3861" s="67"/>
      <c r="N3861" s="72"/>
      <c r="O3861" s="72"/>
      <c r="P3861" s="67"/>
      <c r="Q3861" s="67"/>
      <c r="R3861" s="67"/>
      <c r="S3861" s="67"/>
      <c r="T3861" s="32"/>
      <c r="U3861" s="32"/>
      <c r="X3861" s="32"/>
      <c r="Y3861" s="32"/>
      <c r="Z3861" s="32"/>
      <c r="AA3861" s="32"/>
      <c r="AB3861" s="32"/>
    </row>
    <row r="3862" spans="2:28" ht="23.25" customHeight="1" x14ac:dyDescent="0.2">
      <c r="B3862" s="75"/>
      <c r="C3862" s="67"/>
      <c r="D3862" s="75"/>
      <c r="E3862" s="67"/>
      <c r="F3862" s="67"/>
      <c r="G3862" s="70"/>
      <c r="H3862" s="70"/>
      <c r="I3862" s="70"/>
      <c r="J3862" s="70"/>
      <c r="K3862" s="70"/>
      <c r="L3862" s="67"/>
      <c r="M3862" s="67"/>
      <c r="N3862" s="72"/>
      <c r="O3862" s="72"/>
      <c r="P3862" s="67"/>
      <c r="Q3862" s="67"/>
      <c r="R3862" s="67"/>
      <c r="S3862" s="67"/>
      <c r="T3862" s="32"/>
      <c r="U3862" s="32"/>
      <c r="X3862" s="32"/>
      <c r="Y3862" s="32"/>
      <c r="Z3862" s="32"/>
      <c r="AA3862" s="32"/>
      <c r="AB3862" s="32"/>
    </row>
    <row r="3863" spans="2:28" ht="23.25" customHeight="1" x14ac:dyDescent="0.2">
      <c r="B3863" s="75"/>
      <c r="C3863" s="67"/>
      <c r="D3863" s="75"/>
      <c r="E3863" s="67"/>
      <c r="F3863" s="67"/>
      <c r="G3863" s="70"/>
      <c r="H3863" s="70"/>
      <c r="I3863" s="70"/>
      <c r="J3863" s="70"/>
      <c r="K3863" s="70"/>
      <c r="L3863" s="67"/>
      <c r="M3863" s="67"/>
      <c r="N3863" s="72"/>
      <c r="O3863" s="72"/>
      <c r="P3863" s="67"/>
      <c r="Q3863" s="67"/>
      <c r="R3863" s="67"/>
      <c r="S3863" s="67"/>
      <c r="T3863" s="32"/>
      <c r="U3863" s="32"/>
      <c r="X3863" s="32"/>
      <c r="Y3863" s="32"/>
      <c r="Z3863" s="32"/>
      <c r="AA3863" s="32"/>
      <c r="AB3863" s="32"/>
    </row>
    <row r="3864" spans="2:28" ht="23.25" customHeight="1" x14ac:dyDescent="0.2">
      <c r="B3864" s="75"/>
      <c r="C3864" s="67"/>
      <c r="D3864" s="75"/>
      <c r="E3864" s="67"/>
      <c r="F3864" s="67"/>
      <c r="G3864" s="70"/>
      <c r="H3864" s="70"/>
      <c r="I3864" s="70"/>
      <c r="J3864" s="70"/>
      <c r="K3864" s="70"/>
      <c r="L3864" s="67"/>
      <c r="M3864" s="67"/>
      <c r="N3864" s="72"/>
      <c r="O3864" s="72"/>
      <c r="P3864" s="67"/>
      <c r="Q3864" s="67"/>
      <c r="R3864" s="67"/>
      <c r="S3864" s="67"/>
      <c r="T3864" s="32"/>
      <c r="U3864" s="32"/>
      <c r="X3864" s="32"/>
      <c r="Y3864" s="32"/>
      <c r="Z3864" s="32"/>
      <c r="AA3864" s="32"/>
      <c r="AB3864" s="32"/>
    </row>
    <row r="3865" spans="2:28" ht="23.25" customHeight="1" x14ac:dyDescent="0.2">
      <c r="B3865" s="75"/>
      <c r="C3865" s="67"/>
      <c r="D3865" s="75"/>
      <c r="E3865" s="67"/>
      <c r="F3865" s="67"/>
      <c r="G3865" s="70"/>
      <c r="H3865" s="70"/>
      <c r="I3865" s="70"/>
      <c r="J3865" s="70"/>
      <c r="K3865" s="70"/>
      <c r="L3865" s="67"/>
      <c r="M3865" s="67"/>
      <c r="N3865" s="72"/>
      <c r="O3865" s="72"/>
      <c r="P3865" s="67"/>
      <c r="Q3865" s="67"/>
      <c r="R3865" s="67"/>
      <c r="S3865" s="67"/>
      <c r="T3865" s="32"/>
      <c r="U3865" s="32"/>
      <c r="X3865" s="32"/>
      <c r="Y3865" s="32"/>
      <c r="Z3865" s="32"/>
      <c r="AA3865" s="32"/>
      <c r="AB3865" s="32"/>
    </row>
    <row r="3866" spans="2:28" ht="23.25" customHeight="1" x14ac:dyDescent="0.2">
      <c r="B3866" s="75"/>
      <c r="C3866" s="67"/>
      <c r="D3866" s="75"/>
      <c r="E3866" s="67"/>
      <c r="F3866" s="67"/>
      <c r="G3866" s="70"/>
      <c r="H3866" s="70"/>
      <c r="I3866" s="70"/>
      <c r="J3866" s="70"/>
      <c r="K3866" s="70"/>
      <c r="L3866" s="67"/>
      <c r="M3866" s="67"/>
      <c r="N3866" s="72"/>
      <c r="O3866" s="72"/>
      <c r="P3866" s="67"/>
      <c r="Q3866" s="67"/>
      <c r="R3866" s="67"/>
      <c r="S3866" s="67"/>
      <c r="T3866" s="32"/>
      <c r="U3866" s="32"/>
      <c r="X3866" s="32"/>
      <c r="Y3866" s="32"/>
      <c r="Z3866" s="32"/>
      <c r="AA3866" s="32"/>
      <c r="AB3866" s="32"/>
    </row>
    <row r="3867" spans="2:28" ht="23.25" customHeight="1" x14ac:dyDescent="0.2">
      <c r="B3867" s="75"/>
      <c r="C3867" s="67"/>
      <c r="D3867" s="75"/>
      <c r="E3867" s="67"/>
      <c r="F3867" s="67"/>
      <c r="G3867" s="70"/>
      <c r="H3867" s="70"/>
      <c r="I3867" s="70"/>
      <c r="J3867" s="70"/>
      <c r="K3867" s="70"/>
      <c r="L3867" s="67"/>
      <c r="M3867" s="67"/>
      <c r="N3867" s="72"/>
      <c r="O3867" s="72"/>
      <c r="P3867" s="67"/>
      <c r="Q3867" s="67"/>
      <c r="R3867" s="67"/>
      <c r="S3867" s="67"/>
      <c r="T3867" s="32"/>
      <c r="U3867" s="32"/>
      <c r="X3867" s="32"/>
      <c r="Y3867" s="32"/>
      <c r="Z3867" s="32"/>
      <c r="AA3867" s="32"/>
      <c r="AB3867" s="32"/>
    </row>
    <row r="3868" spans="2:28" ht="23.25" customHeight="1" x14ac:dyDescent="0.2">
      <c r="B3868" s="75"/>
      <c r="C3868" s="67"/>
      <c r="D3868" s="75"/>
      <c r="E3868" s="67"/>
      <c r="F3868" s="67"/>
      <c r="G3868" s="70"/>
      <c r="H3868" s="70"/>
      <c r="I3868" s="70"/>
      <c r="J3868" s="70"/>
      <c r="K3868" s="70"/>
      <c r="L3868" s="67"/>
      <c r="M3868" s="67"/>
      <c r="N3868" s="72"/>
      <c r="O3868" s="72"/>
      <c r="P3868" s="67"/>
      <c r="Q3868" s="67"/>
      <c r="R3868" s="67"/>
      <c r="S3868" s="67"/>
      <c r="T3868" s="32"/>
      <c r="U3868" s="32"/>
      <c r="X3868" s="32"/>
      <c r="Y3868" s="32"/>
      <c r="Z3868" s="32"/>
      <c r="AA3868" s="32"/>
      <c r="AB3868" s="32"/>
    </row>
    <row r="3869" spans="2:28" ht="23.25" customHeight="1" x14ac:dyDescent="0.2">
      <c r="B3869" s="75"/>
      <c r="C3869" s="67"/>
      <c r="D3869" s="75"/>
      <c r="E3869" s="67"/>
      <c r="F3869" s="67"/>
      <c r="G3869" s="70"/>
      <c r="H3869" s="70"/>
      <c r="I3869" s="70"/>
      <c r="J3869" s="70"/>
      <c r="K3869" s="70"/>
      <c r="L3869" s="67"/>
      <c r="M3869" s="67"/>
      <c r="N3869" s="72"/>
      <c r="O3869" s="72"/>
      <c r="P3869" s="67"/>
      <c r="Q3869" s="67"/>
      <c r="R3869" s="67"/>
      <c r="S3869" s="67"/>
      <c r="T3869" s="32"/>
      <c r="U3869" s="32"/>
      <c r="X3869" s="32"/>
      <c r="Y3869" s="32"/>
      <c r="Z3869" s="32"/>
      <c r="AA3869" s="32"/>
      <c r="AB3869" s="32"/>
    </row>
    <row r="3870" spans="2:28" ht="23.25" customHeight="1" x14ac:dyDescent="0.2">
      <c r="B3870" s="75"/>
      <c r="C3870" s="67"/>
      <c r="D3870" s="75"/>
      <c r="E3870" s="67"/>
      <c r="F3870" s="67"/>
      <c r="G3870" s="70"/>
      <c r="H3870" s="70"/>
      <c r="I3870" s="70"/>
      <c r="J3870" s="70"/>
      <c r="K3870" s="70"/>
      <c r="L3870" s="67"/>
      <c r="M3870" s="67"/>
      <c r="N3870" s="72"/>
      <c r="O3870" s="72"/>
      <c r="P3870" s="67"/>
      <c r="Q3870" s="67"/>
      <c r="R3870" s="67"/>
      <c r="S3870" s="67"/>
      <c r="T3870" s="32"/>
      <c r="U3870" s="32"/>
      <c r="X3870" s="32"/>
      <c r="Y3870" s="32"/>
      <c r="Z3870" s="32"/>
      <c r="AA3870" s="32"/>
      <c r="AB3870" s="32"/>
    </row>
    <row r="3871" spans="2:28" ht="23.25" customHeight="1" x14ac:dyDescent="0.2">
      <c r="B3871" s="75"/>
      <c r="C3871" s="67"/>
      <c r="D3871" s="75"/>
      <c r="E3871" s="67"/>
      <c r="F3871" s="67"/>
      <c r="G3871" s="70"/>
      <c r="H3871" s="70"/>
      <c r="I3871" s="70"/>
      <c r="J3871" s="70"/>
      <c r="K3871" s="70"/>
      <c r="L3871" s="67"/>
      <c r="M3871" s="67"/>
      <c r="N3871" s="72"/>
      <c r="O3871" s="72"/>
      <c r="P3871" s="67"/>
      <c r="Q3871" s="67"/>
      <c r="R3871" s="67"/>
      <c r="S3871" s="67"/>
      <c r="T3871" s="32"/>
      <c r="U3871" s="32"/>
      <c r="X3871" s="32"/>
      <c r="Y3871" s="32"/>
      <c r="Z3871" s="32"/>
      <c r="AA3871" s="32"/>
      <c r="AB3871" s="32"/>
    </row>
    <row r="3872" spans="2:28" ht="23.25" customHeight="1" x14ac:dyDescent="0.2">
      <c r="B3872" s="75"/>
      <c r="C3872" s="67"/>
      <c r="D3872" s="75"/>
      <c r="E3872" s="67"/>
      <c r="F3872" s="67"/>
      <c r="G3872" s="70"/>
      <c r="H3872" s="70"/>
      <c r="I3872" s="70"/>
      <c r="J3872" s="70"/>
      <c r="K3872" s="70"/>
      <c r="L3872" s="67"/>
      <c r="M3872" s="67"/>
      <c r="N3872" s="72"/>
      <c r="O3872" s="72"/>
      <c r="P3872" s="67"/>
      <c r="Q3872" s="67"/>
      <c r="R3872" s="67"/>
      <c r="S3872" s="67"/>
      <c r="T3872" s="32"/>
      <c r="U3872" s="32"/>
      <c r="X3872" s="32"/>
      <c r="Y3872" s="32"/>
      <c r="Z3872" s="32"/>
      <c r="AA3872" s="32"/>
      <c r="AB3872" s="32"/>
    </row>
    <row r="3873" spans="2:28" ht="23.25" customHeight="1" x14ac:dyDescent="0.2">
      <c r="B3873" s="75"/>
      <c r="C3873" s="67"/>
      <c r="D3873" s="75"/>
      <c r="E3873" s="67"/>
      <c r="F3873" s="67"/>
      <c r="G3873" s="70"/>
      <c r="H3873" s="70"/>
      <c r="I3873" s="70"/>
      <c r="J3873" s="70"/>
      <c r="K3873" s="70"/>
      <c r="L3873" s="67"/>
      <c r="M3873" s="67"/>
      <c r="N3873" s="72"/>
      <c r="O3873" s="72"/>
      <c r="P3873" s="67"/>
      <c r="Q3873" s="67"/>
      <c r="R3873" s="67"/>
      <c r="S3873" s="67"/>
      <c r="T3873" s="32"/>
      <c r="U3873" s="32"/>
      <c r="X3873" s="32"/>
      <c r="Y3873" s="32"/>
      <c r="Z3873" s="32"/>
      <c r="AA3873" s="32"/>
      <c r="AB3873" s="32"/>
    </row>
    <row r="3874" spans="2:28" ht="23.25" customHeight="1" x14ac:dyDescent="0.2">
      <c r="B3874" s="75"/>
      <c r="C3874" s="67"/>
      <c r="D3874" s="75"/>
      <c r="E3874" s="67"/>
      <c r="F3874" s="67"/>
      <c r="G3874" s="70"/>
      <c r="H3874" s="70"/>
      <c r="I3874" s="70"/>
      <c r="J3874" s="70"/>
      <c r="K3874" s="70"/>
      <c r="L3874" s="67"/>
      <c r="M3874" s="67"/>
      <c r="N3874" s="72"/>
      <c r="O3874" s="72"/>
      <c r="P3874" s="67"/>
      <c r="Q3874" s="67"/>
      <c r="R3874" s="67"/>
      <c r="S3874" s="67"/>
      <c r="T3874" s="32"/>
      <c r="U3874" s="32"/>
      <c r="X3874" s="32"/>
      <c r="Y3874" s="32"/>
      <c r="Z3874" s="32"/>
      <c r="AA3874" s="32"/>
      <c r="AB3874" s="32"/>
    </row>
    <row r="3875" spans="2:28" ht="23.25" customHeight="1" x14ac:dyDescent="0.2">
      <c r="B3875" s="75"/>
      <c r="C3875" s="67"/>
      <c r="D3875" s="75"/>
      <c r="E3875" s="67"/>
      <c r="F3875" s="67"/>
      <c r="G3875" s="70"/>
      <c r="H3875" s="70"/>
      <c r="I3875" s="70"/>
      <c r="J3875" s="70"/>
      <c r="K3875" s="70"/>
      <c r="L3875" s="67"/>
      <c r="M3875" s="67"/>
      <c r="N3875" s="72"/>
      <c r="O3875" s="72"/>
      <c r="P3875" s="67"/>
      <c r="Q3875" s="67"/>
      <c r="R3875" s="67"/>
      <c r="S3875" s="67"/>
      <c r="T3875" s="32"/>
      <c r="U3875" s="32"/>
      <c r="X3875" s="32"/>
      <c r="Y3875" s="32"/>
      <c r="Z3875" s="32"/>
      <c r="AA3875" s="32"/>
      <c r="AB3875" s="32"/>
    </row>
    <row r="3876" spans="2:28" ht="23.25" customHeight="1" x14ac:dyDescent="0.2">
      <c r="B3876" s="75"/>
      <c r="C3876" s="67"/>
      <c r="D3876" s="75"/>
      <c r="E3876" s="67"/>
      <c r="F3876" s="67"/>
      <c r="G3876" s="70"/>
      <c r="H3876" s="70"/>
      <c r="I3876" s="70"/>
      <c r="J3876" s="70"/>
      <c r="K3876" s="70"/>
      <c r="L3876" s="67"/>
      <c r="M3876" s="67"/>
      <c r="N3876" s="72"/>
      <c r="O3876" s="72"/>
      <c r="P3876" s="67"/>
      <c r="Q3876" s="67"/>
      <c r="R3876" s="67"/>
      <c r="S3876" s="67"/>
      <c r="T3876" s="32"/>
      <c r="U3876" s="32"/>
      <c r="X3876" s="32"/>
      <c r="Y3876" s="32"/>
      <c r="Z3876" s="32"/>
      <c r="AA3876" s="32"/>
      <c r="AB3876" s="32"/>
    </row>
    <row r="3877" spans="2:28" ht="23.25" customHeight="1" x14ac:dyDescent="0.2">
      <c r="B3877" s="75"/>
      <c r="C3877" s="67"/>
      <c r="D3877" s="75"/>
      <c r="E3877" s="67"/>
      <c r="F3877" s="67"/>
      <c r="G3877" s="70"/>
      <c r="H3877" s="70"/>
      <c r="I3877" s="70"/>
      <c r="J3877" s="70"/>
      <c r="K3877" s="70"/>
      <c r="L3877" s="67"/>
      <c r="M3877" s="67"/>
      <c r="N3877" s="72"/>
      <c r="O3877" s="72"/>
      <c r="P3877" s="67"/>
      <c r="Q3877" s="67"/>
      <c r="R3877" s="67"/>
      <c r="S3877" s="67"/>
      <c r="T3877" s="32"/>
      <c r="U3877" s="32"/>
      <c r="X3877" s="32"/>
      <c r="Y3877" s="32"/>
      <c r="Z3877" s="32"/>
      <c r="AA3877" s="32"/>
      <c r="AB3877" s="32"/>
    </row>
    <row r="3878" spans="2:28" ht="23.25" customHeight="1" x14ac:dyDescent="0.2">
      <c r="B3878" s="75"/>
      <c r="C3878" s="67"/>
      <c r="D3878" s="75"/>
      <c r="E3878" s="67"/>
      <c r="F3878" s="67"/>
      <c r="G3878" s="70"/>
      <c r="H3878" s="70"/>
      <c r="I3878" s="70"/>
      <c r="J3878" s="70"/>
      <c r="K3878" s="70"/>
      <c r="L3878" s="67"/>
      <c r="M3878" s="67"/>
      <c r="N3878" s="72"/>
      <c r="O3878" s="72"/>
      <c r="P3878" s="67"/>
      <c r="Q3878" s="67"/>
      <c r="R3878" s="67"/>
      <c r="S3878" s="67"/>
      <c r="T3878" s="32"/>
      <c r="U3878" s="32"/>
      <c r="X3878" s="32"/>
      <c r="Y3878" s="32"/>
      <c r="Z3878" s="32"/>
      <c r="AA3878" s="32"/>
      <c r="AB3878" s="32"/>
    </row>
    <row r="3879" spans="2:28" ht="23.25" customHeight="1" x14ac:dyDescent="0.2">
      <c r="B3879" s="75"/>
      <c r="C3879" s="67"/>
      <c r="D3879" s="75"/>
      <c r="E3879" s="67"/>
      <c r="F3879" s="67"/>
      <c r="G3879" s="70"/>
      <c r="H3879" s="70"/>
      <c r="I3879" s="70"/>
      <c r="J3879" s="70"/>
      <c r="K3879" s="70"/>
      <c r="L3879" s="67"/>
      <c r="M3879" s="67"/>
      <c r="N3879" s="72"/>
      <c r="O3879" s="72"/>
      <c r="P3879" s="67"/>
      <c r="Q3879" s="67"/>
      <c r="R3879" s="67"/>
      <c r="S3879" s="67"/>
      <c r="T3879" s="32"/>
      <c r="U3879" s="32"/>
      <c r="X3879" s="32"/>
      <c r="Y3879" s="32"/>
      <c r="Z3879" s="32"/>
      <c r="AA3879" s="32"/>
      <c r="AB3879" s="32"/>
    </row>
    <row r="3880" spans="2:28" ht="23.25" customHeight="1" x14ac:dyDescent="0.2">
      <c r="B3880" s="75"/>
      <c r="C3880" s="67"/>
      <c r="D3880" s="75"/>
      <c r="E3880" s="67"/>
      <c r="F3880" s="67"/>
      <c r="G3880" s="70"/>
      <c r="H3880" s="70"/>
      <c r="I3880" s="70"/>
      <c r="J3880" s="70"/>
      <c r="K3880" s="70"/>
      <c r="L3880" s="67"/>
      <c r="M3880" s="67"/>
      <c r="N3880" s="72"/>
      <c r="O3880" s="72"/>
      <c r="P3880" s="67"/>
      <c r="Q3880" s="67"/>
      <c r="R3880" s="67"/>
      <c r="S3880" s="67"/>
      <c r="T3880" s="32"/>
      <c r="U3880" s="32"/>
      <c r="X3880" s="32"/>
      <c r="Y3880" s="32"/>
      <c r="Z3880" s="32"/>
      <c r="AA3880" s="32"/>
      <c r="AB3880" s="32"/>
    </row>
    <row r="3881" spans="2:28" ht="23.25" customHeight="1" x14ac:dyDescent="0.2">
      <c r="B3881" s="75"/>
      <c r="C3881" s="67"/>
      <c r="D3881" s="75"/>
      <c r="E3881" s="67"/>
      <c r="F3881" s="67"/>
      <c r="G3881" s="70"/>
      <c r="H3881" s="70"/>
      <c r="I3881" s="70"/>
      <c r="J3881" s="70"/>
      <c r="K3881" s="70"/>
      <c r="L3881" s="67"/>
      <c r="M3881" s="67"/>
      <c r="N3881" s="72"/>
      <c r="O3881" s="72"/>
      <c r="P3881" s="67"/>
      <c r="Q3881" s="67"/>
      <c r="R3881" s="67"/>
      <c r="S3881" s="67"/>
      <c r="T3881" s="32"/>
      <c r="U3881" s="32"/>
      <c r="X3881" s="32"/>
      <c r="Y3881" s="32"/>
      <c r="Z3881" s="32"/>
      <c r="AA3881" s="32"/>
      <c r="AB3881" s="32"/>
    </row>
    <row r="3882" spans="2:28" ht="23.25" customHeight="1" x14ac:dyDescent="0.2">
      <c r="B3882" s="75"/>
      <c r="C3882" s="67"/>
      <c r="D3882" s="75"/>
      <c r="E3882" s="67"/>
      <c r="F3882" s="67"/>
      <c r="G3882" s="70"/>
      <c r="H3882" s="70"/>
      <c r="I3882" s="70"/>
      <c r="J3882" s="70"/>
      <c r="K3882" s="70"/>
      <c r="L3882" s="67"/>
      <c r="M3882" s="67"/>
      <c r="N3882" s="72"/>
      <c r="O3882" s="72"/>
      <c r="P3882" s="67"/>
      <c r="Q3882" s="67"/>
      <c r="R3882" s="67"/>
      <c r="S3882" s="67"/>
      <c r="T3882" s="32"/>
      <c r="U3882" s="32"/>
      <c r="X3882" s="32"/>
      <c r="Y3882" s="32"/>
      <c r="Z3882" s="32"/>
      <c r="AA3882" s="32"/>
      <c r="AB3882" s="32"/>
    </row>
    <row r="3883" spans="2:28" ht="23.25" customHeight="1" x14ac:dyDescent="0.2">
      <c r="B3883" s="75"/>
      <c r="C3883" s="67"/>
      <c r="D3883" s="75"/>
      <c r="E3883" s="67"/>
      <c r="F3883" s="67"/>
      <c r="G3883" s="70"/>
      <c r="H3883" s="70"/>
      <c r="I3883" s="70"/>
      <c r="J3883" s="70"/>
      <c r="K3883" s="70"/>
      <c r="L3883" s="67"/>
      <c r="M3883" s="67"/>
      <c r="N3883" s="72"/>
      <c r="O3883" s="72"/>
      <c r="P3883" s="67"/>
      <c r="Q3883" s="67"/>
      <c r="R3883" s="67"/>
      <c r="S3883" s="67"/>
      <c r="T3883" s="32"/>
      <c r="U3883" s="32"/>
      <c r="X3883" s="32"/>
      <c r="Y3883" s="32"/>
      <c r="Z3883" s="32"/>
      <c r="AA3883" s="32"/>
      <c r="AB3883" s="32"/>
    </row>
    <row r="3884" spans="2:28" ht="23.25" customHeight="1" x14ac:dyDescent="0.2">
      <c r="B3884" s="75"/>
      <c r="C3884" s="67"/>
      <c r="D3884" s="75"/>
      <c r="E3884" s="67"/>
      <c r="F3884" s="67"/>
      <c r="G3884" s="70"/>
      <c r="H3884" s="70"/>
      <c r="I3884" s="70"/>
      <c r="J3884" s="70"/>
      <c r="K3884" s="70"/>
      <c r="L3884" s="67"/>
      <c r="M3884" s="67"/>
      <c r="N3884" s="72"/>
      <c r="O3884" s="72"/>
      <c r="P3884" s="67"/>
      <c r="Q3884" s="67"/>
      <c r="R3884" s="67"/>
      <c r="S3884" s="67"/>
      <c r="T3884" s="32"/>
      <c r="U3884" s="32"/>
      <c r="X3884" s="32"/>
      <c r="Y3884" s="32"/>
      <c r="Z3884" s="32"/>
      <c r="AA3884" s="32"/>
      <c r="AB3884" s="32"/>
    </row>
    <row r="3885" spans="2:28" ht="23.25" customHeight="1" x14ac:dyDescent="0.2">
      <c r="B3885" s="75"/>
      <c r="C3885" s="67"/>
      <c r="D3885" s="75"/>
      <c r="E3885" s="67"/>
      <c r="F3885" s="67"/>
      <c r="G3885" s="70"/>
      <c r="H3885" s="70"/>
      <c r="I3885" s="70"/>
      <c r="J3885" s="70"/>
      <c r="K3885" s="70"/>
      <c r="L3885" s="67"/>
      <c r="M3885" s="67"/>
      <c r="N3885" s="72"/>
      <c r="O3885" s="72"/>
      <c r="P3885" s="67"/>
      <c r="Q3885" s="67"/>
      <c r="R3885" s="67"/>
      <c r="S3885" s="67"/>
      <c r="T3885" s="32"/>
      <c r="U3885" s="32"/>
      <c r="X3885" s="32"/>
      <c r="Y3885" s="32"/>
      <c r="Z3885" s="32"/>
      <c r="AA3885" s="32"/>
      <c r="AB3885" s="32"/>
    </row>
    <row r="3886" spans="2:28" ht="23.25" customHeight="1" x14ac:dyDescent="0.2">
      <c r="B3886" s="75"/>
      <c r="C3886" s="67"/>
      <c r="D3886" s="75"/>
      <c r="E3886" s="67"/>
      <c r="F3886" s="67"/>
      <c r="G3886" s="70"/>
      <c r="H3886" s="70"/>
      <c r="I3886" s="70"/>
      <c r="J3886" s="70"/>
      <c r="K3886" s="70"/>
      <c r="L3886" s="67"/>
      <c r="M3886" s="67"/>
      <c r="N3886" s="72"/>
      <c r="O3886" s="72"/>
      <c r="P3886" s="67"/>
      <c r="Q3886" s="67"/>
      <c r="R3886" s="67"/>
      <c r="S3886" s="67"/>
      <c r="T3886" s="32"/>
      <c r="U3886" s="32"/>
      <c r="X3886" s="32"/>
      <c r="Y3886" s="32"/>
      <c r="Z3886" s="32"/>
      <c r="AA3886" s="32"/>
      <c r="AB3886" s="32"/>
    </row>
    <row r="3887" spans="2:28" ht="23.25" customHeight="1" x14ac:dyDescent="0.2">
      <c r="B3887" s="75"/>
      <c r="C3887" s="67"/>
      <c r="D3887" s="75"/>
      <c r="E3887" s="67"/>
      <c r="F3887" s="67"/>
      <c r="G3887" s="70"/>
      <c r="H3887" s="70"/>
      <c r="I3887" s="70"/>
      <c r="J3887" s="70"/>
      <c r="K3887" s="70"/>
      <c r="L3887" s="67"/>
      <c r="M3887" s="67"/>
      <c r="N3887" s="72"/>
      <c r="O3887" s="72"/>
      <c r="P3887" s="67"/>
      <c r="Q3887" s="67"/>
      <c r="R3887" s="67"/>
      <c r="S3887" s="67"/>
      <c r="T3887" s="32"/>
      <c r="U3887" s="32"/>
      <c r="X3887" s="32"/>
      <c r="Y3887" s="32"/>
      <c r="Z3887" s="32"/>
      <c r="AA3887" s="32"/>
      <c r="AB3887" s="32"/>
    </row>
    <row r="3888" spans="2:28" ht="23.25" customHeight="1" x14ac:dyDescent="0.2">
      <c r="B3888" s="75"/>
      <c r="C3888" s="67"/>
      <c r="D3888" s="75"/>
      <c r="E3888" s="67"/>
      <c r="F3888" s="67"/>
      <c r="G3888" s="70"/>
      <c r="H3888" s="70"/>
      <c r="I3888" s="70"/>
      <c r="J3888" s="70"/>
      <c r="K3888" s="70"/>
      <c r="L3888" s="67"/>
      <c r="M3888" s="67"/>
      <c r="N3888" s="72"/>
      <c r="O3888" s="72"/>
      <c r="P3888" s="67"/>
      <c r="Q3888" s="67"/>
      <c r="R3888" s="67"/>
      <c r="S3888" s="67"/>
      <c r="T3888" s="32"/>
      <c r="U3888" s="32"/>
      <c r="X3888" s="32"/>
      <c r="Y3888" s="32"/>
      <c r="Z3888" s="32"/>
      <c r="AA3888" s="32"/>
      <c r="AB3888" s="32"/>
    </row>
    <row r="3889" spans="2:28" ht="23.25" customHeight="1" x14ac:dyDescent="0.2">
      <c r="B3889" s="75"/>
      <c r="C3889" s="67"/>
      <c r="D3889" s="75"/>
      <c r="E3889" s="67"/>
      <c r="F3889" s="67"/>
      <c r="G3889" s="70"/>
      <c r="H3889" s="70"/>
      <c r="I3889" s="70"/>
      <c r="J3889" s="70"/>
      <c r="K3889" s="70"/>
      <c r="L3889" s="67"/>
      <c r="M3889" s="67"/>
      <c r="N3889" s="72"/>
      <c r="O3889" s="72"/>
      <c r="P3889" s="67"/>
      <c r="Q3889" s="67"/>
      <c r="R3889" s="67"/>
      <c r="S3889" s="67"/>
      <c r="T3889" s="32"/>
      <c r="U3889" s="32"/>
      <c r="X3889" s="32"/>
      <c r="Y3889" s="32"/>
      <c r="Z3889" s="32"/>
      <c r="AA3889" s="32"/>
      <c r="AB3889" s="32"/>
    </row>
    <row r="3890" spans="2:28" ht="23.25" customHeight="1" x14ac:dyDescent="0.2">
      <c r="B3890" s="75"/>
      <c r="C3890" s="67"/>
      <c r="D3890" s="75"/>
      <c r="E3890" s="67"/>
      <c r="F3890" s="67"/>
      <c r="G3890" s="70"/>
      <c r="H3890" s="70"/>
      <c r="I3890" s="70"/>
      <c r="J3890" s="70"/>
      <c r="K3890" s="70"/>
      <c r="L3890" s="67"/>
      <c r="M3890" s="67"/>
      <c r="N3890" s="72"/>
      <c r="O3890" s="72"/>
      <c r="P3890" s="67"/>
      <c r="Q3890" s="67"/>
      <c r="R3890" s="67"/>
      <c r="S3890" s="67"/>
      <c r="T3890" s="32"/>
      <c r="U3890" s="32"/>
      <c r="X3890" s="32"/>
      <c r="Y3890" s="32"/>
      <c r="Z3890" s="32"/>
      <c r="AA3890" s="32"/>
      <c r="AB3890" s="32"/>
    </row>
    <row r="3891" spans="2:28" ht="23.25" customHeight="1" x14ac:dyDescent="0.2">
      <c r="B3891" s="75"/>
      <c r="C3891" s="67"/>
      <c r="D3891" s="75"/>
      <c r="E3891" s="67"/>
      <c r="F3891" s="67"/>
      <c r="G3891" s="70"/>
      <c r="H3891" s="70"/>
      <c r="I3891" s="70"/>
      <c r="J3891" s="70"/>
      <c r="K3891" s="70"/>
      <c r="L3891" s="67"/>
      <c r="M3891" s="67"/>
      <c r="N3891" s="72"/>
      <c r="O3891" s="72"/>
      <c r="P3891" s="67"/>
      <c r="Q3891" s="67"/>
      <c r="R3891" s="67"/>
      <c r="S3891" s="67"/>
      <c r="T3891" s="32"/>
      <c r="U3891" s="32"/>
      <c r="X3891" s="32"/>
      <c r="Y3891" s="32"/>
      <c r="Z3891" s="32"/>
      <c r="AA3891" s="32"/>
      <c r="AB3891" s="32"/>
    </row>
    <row r="3892" spans="2:28" ht="23.25" customHeight="1" x14ac:dyDescent="0.2">
      <c r="B3892" s="75"/>
      <c r="C3892" s="67"/>
      <c r="D3892" s="75"/>
      <c r="E3892" s="67"/>
      <c r="F3892" s="67"/>
      <c r="G3892" s="70"/>
      <c r="H3892" s="70"/>
      <c r="I3892" s="70"/>
      <c r="J3892" s="70"/>
      <c r="K3892" s="70"/>
      <c r="L3892" s="67"/>
      <c r="M3892" s="67"/>
      <c r="N3892" s="72"/>
      <c r="O3892" s="72"/>
      <c r="P3892" s="67"/>
      <c r="Q3892" s="67"/>
      <c r="R3892" s="67"/>
      <c r="S3892" s="67"/>
      <c r="T3892" s="32"/>
      <c r="U3892" s="32"/>
      <c r="X3892" s="32"/>
      <c r="Y3892" s="32"/>
      <c r="Z3892" s="32"/>
      <c r="AA3892" s="32"/>
      <c r="AB3892" s="32"/>
    </row>
    <row r="3893" spans="2:28" ht="23.25" customHeight="1" x14ac:dyDescent="0.2">
      <c r="B3893" s="75"/>
      <c r="C3893" s="67"/>
      <c r="D3893" s="75"/>
      <c r="E3893" s="67"/>
      <c r="F3893" s="67"/>
      <c r="G3893" s="70"/>
      <c r="H3893" s="70"/>
      <c r="I3893" s="70"/>
      <c r="J3893" s="70"/>
      <c r="K3893" s="70"/>
      <c r="L3893" s="67"/>
      <c r="M3893" s="67"/>
      <c r="N3893" s="72"/>
      <c r="O3893" s="72"/>
      <c r="P3893" s="67"/>
      <c r="Q3893" s="67"/>
      <c r="R3893" s="67"/>
      <c r="S3893" s="67"/>
      <c r="T3893" s="32"/>
      <c r="U3893" s="32"/>
      <c r="X3893" s="32"/>
      <c r="Y3893" s="32"/>
      <c r="Z3893" s="32"/>
      <c r="AA3893" s="32"/>
      <c r="AB3893" s="32"/>
    </row>
    <row r="3894" spans="2:28" ht="23.25" customHeight="1" x14ac:dyDescent="0.2">
      <c r="B3894" s="75"/>
      <c r="C3894" s="67"/>
      <c r="D3894" s="75"/>
      <c r="E3894" s="67"/>
      <c r="F3894" s="67"/>
      <c r="G3894" s="70"/>
      <c r="H3894" s="70"/>
      <c r="I3894" s="70"/>
      <c r="J3894" s="70"/>
      <c r="K3894" s="70"/>
      <c r="L3894" s="67"/>
      <c r="M3894" s="67"/>
      <c r="N3894" s="72"/>
      <c r="O3894" s="72"/>
      <c r="P3894" s="67"/>
      <c r="Q3894" s="67"/>
      <c r="R3894" s="67"/>
      <c r="S3894" s="67"/>
      <c r="T3894" s="32"/>
      <c r="U3894" s="32"/>
      <c r="X3894" s="32"/>
      <c r="Y3894" s="32"/>
      <c r="Z3894" s="32"/>
      <c r="AA3894" s="32"/>
      <c r="AB3894" s="32"/>
    </row>
    <row r="3895" spans="2:28" ht="23.25" customHeight="1" x14ac:dyDescent="0.2">
      <c r="B3895" s="75"/>
      <c r="C3895" s="67"/>
      <c r="D3895" s="75"/>
      <c r="E3895" s="67"/>
      <c r="F3895" s="67"/>
      <c r="G3895" s="70"/>
      <c r="H3895" s="70"/>
      <c r="I3895" s="70"/>
      <c r="J3895" s="70"/>
      <c r="K3895" s="70"/>
      <c r="L3895" s="67"/>
      <c r="M3895" s="67"/>
      <c r="N3895" s="72"/>
      <c r="O3895" s="72"/>
      <c r="P3895" s="67"/>
      <c r="Q3895" s="67"/>
      <c r="R3895" s="67"/>
      <c r="S3895" s="67"/>
      <c r="T3895" s="32"/>
      <c r="U3895" s="32"/>
      <c r="X3895" s="32"/>
      <c r="Y3895" s="32"/>
      <c r="Z3895" s="32"/>
      <c r="AA3895" s="32"/>
      <c r="AB3895" s="32"/>
    </row>
    <row r="3896" spans="2:28" ht="23.25" customHeight="1" x14ac:dyDescent="0.2">
      <c r="B3896" s="75"/>
      <c r="C3896" s="67"/>
      <c r="D3896" s="75"/>
      <c r="E3896" s="67"/>
      <c r="F3896" s="67"/>
      <c r="G3896" s="70"/>
      <c r="H3896" s="70"/>
      <c r="I3896" s="70"/>
      <c r="J3896" s="70"/>
      <c r="K3896" s="70"/>
      <c r="L3896" s="67"/>
      <c r="M3896" s="67"/>
      <c r="N3896" s="72"/>
      <c r="O3896" s="72"/>
      <c r="P3896" s="67"/>
      <c r="Q3896" s="67"/>
      <c r="R3896" s="67"/>
      <c r="S3896" s="67"/>
      <c r="T3896" s="32"/>
      <c r="U3896" s="32"/>
      <c r="X3896" s="32"/>
      <c r="Y3896" s="32"/>
      <c r="Z3896" s="32"/>
      <c r="AA3896" s="32"/>
      <c r="AB3896" s="32"/>
    </row>
    <row r="3897" spans="2:28" ht="23.25" customHeight="1" x14ac:dyDescent="0.2">
      <c r="B3897" s="75"/>
      <c r="C3897" s="67"/>
      <c r="D3897" s="75"/>
      <c r="E3897" s="67"/>
      <c r="F3897" s="67"/>
      <c r="G3897" s="70"/>
      <c r="H3897" s="70"/>
      <c r="I3897" s="70"/>
      <c r="J3897" s="70"/>
      <c r="K3897" s="70"/>
      <c r="L3897" s="67"/>
      <c r="M3897" s="67"/>
      <c r="N3897" s="72"/>
      <c r="O3897" s="72"/>
      <c r="P3897" s="67"/>
      <c r="Q3897" s="67"/>
      <c r="R3897" s="67"/>
      <c r="S3897" s="67"/>
      <c r="T3897" s="32"/>
      <c r="U3897" s="32"/>
      <c r="X3897" s="32"/>
      <c r="Y3897" s="32"/>
      <c r="Z3897" s="32"/>
      <c r="AA3897" s="32"/>
      <c r="AB3897" s="32"/>
    </row>
    <row r="3898" spans="2:28" ht="23.25" customHeight="1" x14ac:dyDescent="0.2">
      <c r="B3898" s="75"/>
      <c r="C3898" s="67"/>
      <c r="D3898" s="75"/>
      <c r="E3898" s="67"/>
      <c r="F3898" s="67"/>
      <c r="G3898" s="70"/>
      <c r="H3898" s="70"/>
      <c r="I3898" s="70"/>
      <c r="J3898" s="70"/>
      <c r="K3898" s="70"/>
      <c r="L3898" s="67"/>
      <c r="M3898" s="67"/>
      <c r="N3898" s="72"/>
      <c r="O3898" s="72"/>
      <c r="P3898" s="67"/>
      <c r="Q3898" s="67"/>
      <c r="R3898" s="67"/>
      <c r="S3898" s="67"/>
      <c r="T3898" s="32"/>
      <c r="U3898" s="32"/>
      <c r="X3898" s="32"/>
      <c r="Y3898" s="32"/>
      <c r="Z3898" s="32"/>
      <c r="AA3898" s="32"/>
      <c r="AB3898" s="32"/>
    </row>
    <row r="3899" spans="2:28" ht="23.25" customHeight="1" x14ac:dyDescent="0.2">
      <c r="B3899" s="75"/>
      <c r="C3899" s="67"/>
      <c r="D3899" s="75"/>
      <c r="E3899" s="67"/>
      <c r="F3899" s="67"/>
      <c r="G3899" s="70"/>
      <c r="H3899" s="70"/>
      <c r="I3899" s="70"/>
      <c r="J3899" s="70"/>
      <c r="K3899" s="70"/>
      <c r="L3899" s="67"/>
      <c r="M3899" s="67"/>
      <c r="N3899" s="72"/>
      <c r="O3899" s="72"/>
      <c r="P3899" s="67"/>
      <c r="Q3899" s="67"/>
      <c r="R3899" s="67"/>
      <c r="S3899" s="67"/>
      <c r="T3899" s="32"/>
      <c r="U3899" s="32"/>
      <c r="X3899" s="32"/>
      <c r="Y3899" s="32"/>
      <c r="Z3899" s="32"/>
      <c r="AA3899" s="32"/>
      <c r="AB3899" s="32"/>
    </row>
    <row r="3900" spans="2:28" ht="23.25" customHeight="1" x14ac:dyDescent="0.2">
      <c r="B3900" s="75"/>
      <c r="C3900" s="67"/>
      <c r="D3900" s="75"/>
      <c r="E3900" s="67"/>
      <c r="F3900" s="67"/>
      <c r="G3900" s="70"/>
      <c r="H3900" s="70"/>
      <c r="I3900" s="70"/>
      <c r="J3900" s="70"/>
      <c r="K3900" s="70"/>
      <c r="L3900" s="67"/>
      <c r="M3900" s="67"/>
      <c r="N3900" s="72"/>
      <c r="O3900" s="72"/>
      <c r="P3900" s="67"/>
      <c r="Q3900" s="67"/>
      <c r="R3900" s="67"/>
      <c r="S3900" s="67"/>
      <c r="T3900" s="32"/>
      <c r="U3900" s="32"/>
      <c r="X3900" s="32"/>
      <c r="Y3900" s="32"/>
      <c r="Z3900" s="32"/>
      <c r="AA3900" s="32"/>
      <c r="AB3900" s="32"/>
    </row>
    <row r="3901" spans="2:28" ht="23.25" customHeight="1" x14ac:dyDescent="0.2">
      <c r="B3901" s="75"/>
      <c r="C3901" s="67"/>
      <c r="D3901" s="75"/>
      <c r="E3901" s="67"/>
      <c r="F3901" s="67"/>
      <c r="G3901" s="70"/>
      <c r="H3901" s="70"/>
      <c r="I3901" s="70"/>
      <c r="J3901" s="70"/>
      <c r="K3901" s="70"/>
      <c r="L3901" s="67"/>
      <c r="M3901" s="67"/>
      <c r="N3901" s="72"/>
      <c r="O3901" s="72"/>
      <c r="P3901" s="67"/>
      <c r="Q3901" s="67"/>
      <c r="R3901" s="67"/>
      <c r="S3901" s="67"/>
      <c r="T3901" s="32"/>
      <c r="U3901" s="32"/>
      <c r="X3901" s="32"/>
      <c r="Y3901" s="32"/>
      <c r="Z3901" s="32"/>
      <c r="AA3901" s="32"/>
      <c r="AB3901" s="32"/>
    </row>
    <row r="3902" spans="2:28" ht="23.25" customHeight="1" x14ac:dyDescent="0.2">
      <c r="B3902" s="75"/>
      <c r="C3902" s="67"/>
      <c r="D3902" s="75"/>
      <c r="E3902" s="67"/>
      <c r="F3902" s="67"/>
      <c r="G3902" s="70"/>
      <c r="H3902" s="70"/>
      <c r="I3902" s="70"/>
      <c r="J3902" s="70"/>
      <c r="K3902" s="70"/>
      <c r="L3902" s="67"/>
      <c r="M3902" s="67"/>
      <c r="N3902" s="72"/>
      <c r="O3902" s="72"/>
      <c r="P3902" s="67"/>
      <c r="Q3902" s="67"/>
      <c r="R3902" s="67"/>
      <c r="S3902" s="67"/>
      <c r="T3902" s="32"/>
      <c r="U3902" s="32"/>
      <c r="X3902" s="32"/>
      <c r="Y3902" s="32"/>
      <c r="Z3902" s="32"/>
      <c r="AA3902" s="32"/>
      <c r="AB3902" s="32"/>
    </row>
    <row r="3903" spans="2:28" ht="23.25" customHeight="1" x14ac:dyDescent="0.2">
      <c r="B3903" s="75"/>
      <c r="C3903" s="67"/>
      <c r="D3903" s="75"/>
      <c r="E3903" s="67"/>
      <c r="F3903" s="67"/>
      <c r="G3903" s="70"/>
      <c r="H3903" s="70"/>
      <c r="I3903" s="70"/>
      <c r="J3903" s="70"/>
      <c r="K3903" s="70"/>
      <c r="L3903" s="67"/>
      <c r="M3903" s="67"/>
      <c r="N3903" s="72"/>
      <c r="O3903" s="72"/>
      <c r="P3903" s="67"/>
      <c r="Q3903" s="67"/>
      <c r="R3903" s="67"/>
      <c r="S3903" s="67"/>
      <c r="T3903" s="32"/>
      <c r="U3903" s="32"/>
      <c r="X3903" s="32"/>
      <c r="Y3903" s="32"/>
      <c r="Z3903" s="32"/>
      <c r="AA3903" s="32"/>
      <c r="AB3903" s="32"/>
    </row>
    <row r="3904" spans="2:28" ht="23.25" customHeight="1" x14ac:dyDescent="0.2">
      <c r="B3904" s="75"/>
      <c r="C3904" s="67"/>
      <c r="D3904" s="75"/>
      <c r="E3904" s="67"/>
      <c r="F3904" s="67"/>
      <c r="G3904" s="70"/>
      <c r="H3904" s="70"/>
      <c r="I3904" s="70"/>
      <c r="J3904" s="70"/>
      <c r="K3904" s="70"/>
      <c r="L3904" s="67"/>
      <c r="M3904" s="67"/>
      <c r="N3904" s="72"/>
      <c r="O3904" s="72"/>
      <c r="P3904" s="67"/>
      <c r="Q3904" s="67"/>
      <c r="R3904" s="67"/>
      <c r="S3904" s="67"/>
      <c r="T3904" s="32"/>
      <c r="U3904" s="32"/>
      <c r="X3904" s="32"/>
      <c r="Y3904" s="32"/>
      <c r="Z3904" s="32"/>
      <c r="AA3904" s="32"/>
      <c r="AB3904" s="32"/>
    </row>
    <row r="3905" spans="2:28" ht="23.25" customHeight="1" x14ac:dyDescent="0.2">
      <c r="B3905" s="75"/>
      <c r="C3905" s="67"/>
      <c r="D3905" s="75"/>
      <c r="E3905" s="67"/>
      <c r="F3905" s="67"/>
      <c r="G3905" s="70"/>
      <c r="H3905" s="70"/>
      <c r="I3905" s="70"/>
      <c r="J3905" s="70"/>
      <c r="K3905" s="70"/>
      <c r="L3905" s="67"/>
      <c r="M3905" s="67"/>
      <c r="N3905" s="72"/>
      <c r="O3905" s="72"/>
      <c r="P3905" s="67"/>
      <c r="Q3905" s="67"/>
      <c r="R3905" s="67"/>
      <c r="S3905" s="67"/>
      <c r="T3905" s="32"/>
      <c r="U3905" s="32"/>
      <c r="X3905" s="32"/>
      <c r="Y3905" s="32"/>
      <c r="Z3905" s="32"/>
      <c r="AA3905" s="32"/>
      <c r="AB3905" s="32"/>
    </row>
    <row r="3906" spans="2:28" ht="23.25" customHeight="1" x14ac:dyDescent="0.2">
      <c r="B3906" s="75"/>
      <c r="C3906" s="67"/>
      <c r="D3906" s="75"/>
      <c r="E3906" s="67"/>
      <c r="F3906" s="67"/>
      <c r="G3906" s="70"/>
      <c r="H3906" s="70"/>
      <c r="I3906" s="70"/>
      <c r="J3906" s="70"/>
      <c r="K3906" s="70"/>
      <c r="L3906" s="67"/>
      <c r="M3906" s="67"/>
      <c r="N3906" s="72"/>
      <c r="O3906" s="72"/>
      <c r="P3906" s="67"/>
      <c r="Q3906" s="67"/>
      <c r="R3906" s="67"/>
      <c r="S3906" s="67"/>
      <c r="T3906" s="32"/>
      <c r="U3906" s="32"/>
      <c r="X3906" s="32"/>
      <c r="Y3906" s="32"/>
      <c r="Z3906" s="32"/>
      <c r="AA3906" s="32"/>
      <c r="AB3906" s="32"/>
    </row>
    <row r="3907" spans="2:28" ht="23.25" customHeight="1" x14ac:dyDescent="0.2">
      <c r="B3907" s="75"/>
      <c r="C3907" s="67"/>
      <c r="D3907" s="75"/>
      <c r="E3907" s="67"/>
      <c r="F3907" s="67"/>
      <c r="G3907" s="70"/>
      <c r="H3907" s="70"/>
      <c r="I3907" s="70"/>
      <c r="J3907" s="70"/>
      <c r="K3907" s="70"/>
      <c r="L3907" s="67"/>
      <c r="M3907" s="67"/>
      <c r="N3907" s="72"/>
      <c r="O3907" s="72"/>
      <c r="P3907" s="67"/>
      <c r="Q3907" s="67"/>
      <c r="R3907" s="67"/>
      <c r="S3907" s="67"/>
      <c r="T3907" s="32"/>
      <c r="U3907" s="32"/>
      <c r="X3907" s="32"/>
      <c r="Y3907" s="32"/>
      <c r="Z3907" s="32"/>
      <c r="AA3907" s="32"/>
      <c r="AB3907" s="32"/>
    </row>
    <row r="3908" spans="2:28" ht="23.25" customHeight="1" x14ac:dyDescent="0.2">
      <c r="B3908" s="75"/>
      <c r="C3908" s="67"/>
      <c r="D3908" s="75"/>
      <c r="E3908" s="67"/>
      <c r="F3908" s="67"/>
      <c r="G3908" s="70"/>
      <c r="H3908" s="70"/>
      <c r="I3908" s="70"/>
      <c r="J3908" s="70"/>
      <c r="K3908" s="70"/>
      <c r="L3908" s="67"/>
      <c r="M3908" s="67"/>
      <c r="N3908" s="72"/>
      <c r="O3908" s="72"/>
      <c r="P3908" s="67"/>
      <c r="Q3908" s="67"/>
      <c r="R3908" s="67"/>
      <c r="S3908" s="67"/>
      <c r="T3908" s="32"/>
      <c r="U3908" s="32"/>
      <c r="X3908" s="32"/>
      <c r="Y3908" s="32"/>
      <c r="Z3908" s="32"/>
      <c r="AA3908" s="32"/>
      <c r="AB3908" s="32"/>
    </row>
    <row r="3909" spans="2:28" ht="23.25" customHeight="1" x14ac:dyDescent="0.2">
      <c r="B3909" s="75"/>
      <c r="C3909" s="67"/>
      <c r="D3909" s="75"/>
      <c r="E3909" s="67"/>
      <c r="F3909" s="67"/>
      <c r="G3909" s="70"/>
      <c r="H3909" s="70"/>
      <c r="I3909" s="70"/>
      <c r="J3909" s="70"/>
      <c r="K3909" s="70"/>
      <c r="L3909" s="67"/>
      <c r="M3909" s="67"/>
      <c r="N3909" s="72"/>
      <c r="O3909" s="72"/>
      <c r="P3909" s="67"/>
      <c r="Q3909" s="67"/>
      <c r="R3909" s="67"/>
      <c r="S3909" s="67"/>
      <c r="T3909" s="32"/>
      <c r="U3909" s="32"/>
      <c r="X3909" s="32"/>
      <c r="Y3909" s="32"/>
      <c r="Z3909" s="32"/>
      <c r="AA3909" s="32"/>
      <c r="AB3909" s="32"/>
    </row>
    <row r="3910" spans="2:28" ht="23.25" customHeight="1" x14ac:dyDescent="0.2">
      <c r="B3910" s="75"/>
      <c r="C3910" s="67"/>
      <c r="D3910" s="75"/>
      <c r="E3910" s="67"/>
      <c r="F3910" s="67"/>
      <c r="G3910" s="70"/>
      <c r="H3910" s="70"/>
      <c r="I3910" s="70"/>
      <c r="J3910" s="70"/>
      <c r="K3910" s="70"/>
      <c r="L3910" s="67"/>
      <c r="M3910" s="67"/>
      <c r="N3910" s="72"/>
      <c r="O3910" s="72"/>
      <c r="P3910" s="67"/>
      <c r="Q3910" s="67"/>
      <c r="R3910" s="67"/>
      <c r="S3910" s="67"/>
      <c r="T3910" s="32"/>
      <c r="U3910" s="32"/>
      <c r="X3910" s="32"/>
      <c r="Y3910" s="32"/>
      <c r="Z3910" s="32"/>
      <c r="AA3910" s="32"/>
      <c r="AB3910" s="32"/>
    </row>
    <row r="3911" spans="2:28" ht="23.25" customHeight="1" x14ac:dyDescent="0.2">
      <c r="B3911" s="75"/>
      <c r="C3911" s="67"/>
      <c r="D3911" s="75"/>
      <c r="E3911" s="67"/>
      <c r="F3911" s="67"/>
      <c r="G3911" s="70"/>
      <c r="H3911" s="70"/>
      <c r="I3911" s="70"/>
      <c r="J3911" s="70"/>
      <c r="K3911" s="70"/>
      <c r="L3911" s="67"/>
      <c r="M3911" s="67"/>
      <c r="N3911" s="72"/>
      <c r="O3911" s="72"/>
      <c r="P3911" s="67"/>
      <c r="Q3911" s="67"/>
      <c r="R3911" s="67"/>
      <c r="S3911" s="67"/>
      <c r="T3911" s="32"/>
      <c r="U3911" s="32"/>
      <c r="X3911" s="32"/>
      <c r="Y3911" s="32"/>
      <c r="Z3911" s="32"/>
      <c r="AA3911" s="32"/>
      <c r="AB3911" s="32"/>
    </row>
    <row r="3912" spans="2:28" ht="23.25" customHeight="1" x14ac:dyDescent="0.2">
      <c r="B3912" s="75"/>
      <c r="C3912" s="67"/>
      <c r="D3912" s="75"/>
      <c r="E3912" s="67"/>
      <c r="F3912" s="67"/>
      <c r="G3912" s="70"/>
      <c r="H3912" s="70"/>
      <c r="I3912" s="70"/>
      <c r="J3912" s="70"/>
      <c r="K3912" s="70"/>
      <c r="L3912" s="67"/>
      <c r="M3912" s="67"/>
      <c r="N3912" s="72"/>
      <c r="O3912" s="72"/>
      <c r="P3912" s="67"/>
      <c r="Q3912" s="67"/>
      <c r="R3912" s="67"/>
      <c r="S3912" s="67"/>
      <c r="T3912" s="32"/>
      <c r="U3912" s="32"/>
      <c r="X3912" s="32"/>
      <c r="Y3912" s="32"/>
      <c r="Z3912" s="32"/>
      <c r="AA3912" s="32"/>
      <c r="AB3912" s="32"/>
    </row>
    <row r="3913" spans="2:28" ht="23.25" customHeight="1" x14ac:dyDescent="0.2">
      <c r="B3913" s="75"/>
      <c r="C3913" s="67"/>
      <c r="D3913" s="75"/>
      <c r="E3913" s="67"/>
      <c r="F3913" s="67"/>
      <c r="G3913" s="70"/>
      <c r="H3913" s="70"/>
      <c r="I3913" s="70"/>
      <c r="J3913" s="70"/>
      <c r="K3913" s="70"/>
      <c r="L3913" s="67"/>
      <c r="M3913" s="67"/>
      <c r="N3913" s="72"/>
      <c r="O3913" s="72"/>
      <c r="P3913" s="67"/>
      <c r="Q3913" s="67"/>
      <c r="R3913" s="67"/>
      <c r="S3913" s="67"/>
      <c r="T3913" s="32"/>
      <c r="U3913" s="32"/>
      <c r="X3913" s="32"/>
      <c r="Y3913" s="32"/>
      <c r="Z3913" s="32"/>
      <c r="AA3913" s="32"/>
      <c r="AB3913" s="32"/>
    </row>
    <row r="3914" spans="2:28" ht="23.25" customHeight="1" x14ac:dyDescent="0.2">
      <c r="B3914" s="75"/>
      <c r="C3914" s="67"/>
      <c r="D3914" s="75"/>
      <c r="E3914" s="67"/>
      <c r="F3914" s="67"/>
      <c r="G3914" s="70"/>
      <c r="H3914" s="70"/>
      <c r="I3914" s="70"/>
      <c r="J3914" s="70"/>
      <c r="K3914" s="70"/>
      <c r="L3914" s="67"/>
      <c r="M3914" s="67"/>
      <c r="N3914" s="72"/>
      <c r="O3914" s="72"/>
      <c r="P3914" s="67"/>
      <c r="Q3914" s="67"/>
      <c r="R3914" s="67"/>
      <c r="S3914" s="67"/>
      <c r="T3914" s="32"/>
      <c r="U3914" s="32"/>
      <c r="X3914" s="32"/>
      <c r="Y3914" s="32"/>
      <c r="Z3914" s="32"/>
      <c r="AA3914" s="32"/>
      <c r="AB3914" s="32"/>
    </row>
    <row r="3915" spans="2:28" ht="23.25" customHeight="1" x14ac:dyDescent="0.2">
      <c r="B3915" s="75"/>
      <c r="C3915" s="67"/>
      <c r="D3915" s="75"/>
      <c r="E3915" s="67"/>
      <c r="F3915" s="67"/>
      <c r="G3915" s="70"/>
      <c r="H3915" s="70"/>
      <c r="I3915" s="70"/>
      <c r="J3915" s="70"/>
      <c r="K3915" s="70"/>
      <c r="L3915" s="67"/>
      <c r="M3915" s="67"/>
      <c r="N3915" s="72"/>
      <c r="O3915" s="72"/>
      <c r="P3915" s="67"/>
      <c r="Q3915" s="67"/>
      <c r="R3915" s="67"/>
      <c r="S3915" s="67"/>
      <c r="T3915" s="32"/>
      <c r="U3915" s="32"/>
      <c r="X3915" s="32"/>
      <c r="Y3915" s="32"/>
      <c r="Z3915" s="32"/>
      <c r="AA3915" s="32"/>
      <c r="AB3915" s="32"/>
    </row>
    <row r="3916" spans="2:28" ht="23.25" customHeight="1" x14ac:dyDescent="0.2">
      <c r="B3916" s="75"/>
      <c r="C3916" s="67"/>
      <c r="D3916" s="75"/>
      <c r="E3916" s="67"/>
      <c r="F3916" s="67"/>
      <c r="G3916" s="70"/>
      <c r="H3916" s="70"/>
      <c r="I3916" s="70"/>
      <c r="J3916" s="70"/>
      <c r="K3916" s="70"/>
      <c r="L3916" s="67"/>
      <c r="M3916" s="67"/>
      <c r="N3916" s="72"/>
      <c r="O3916" s="72"/>
      <c r="P3916" s="67"/>
      <c r="Q3916" s="67"/>
      <c r="R3916" s="67"/>
      <c r="S3916" s="67"/>
      <c r="T3916" s="32"/>
      <c r="U3916" s="32"/>
      <c r="X3916" s="32"/>
      <c r="Y3916" s="32"/>
      <c r="Z3916" s="32"/>
      <c r="AA3916" s="32"/>
      <c r="AB3916" s="32"/>
    </row>
    <row r="3917" spans="2:28" ht="23.25" customHeight="1" x14ac:dyDescent="0.2">
      <c r="B3917" s="75"/>
      <c r="C3917" s="67"/>
      <c r="D3917" s="75"/>
      <c r="E3917" s="67"/>
      <c r="F3917" s="67"/>
      <c r="G3917" s="70"/>
      <c r="H3917" s="70"/>
      <c r="I3917" s="70"/>
      <c r="J3917" s="70"/>
      <c r="K3917" s="70"/>
      <c r="L3917" s="67"/>
      <c r="M3917" s="67"/>
      <c r="N3917" s="72"/>
      <c r="O3917" s="72"/>
      <c r="P3917" s="67"/>
      <c r="Q3917" s="67"/>
      <c r="R3917" s="67"/>
      <c r="S3917" s="67"/>
      <c r="T3917" s="32"/>
      <c r="U3917" s="32"/>
      <c r="X3917" s="32"/>
      <c r="Y3917" s="32"/>
      <c r="Z3917" s="32"/>
      <c r="AA3917" s="32"/>
      <c r="AB3917" s="32"/>
    </row>
    <row r="3918" spans="2:28" ht="23.25" customHeight="1" x14ac:dyDescent="0.2">
      <c r="B3918" s="75"/>
      <c r="C3918" s="67"/>
      <c r="D3918" s="75"/>
      <c r="E3918" s="67"/>
      <c r="F3918" s="67"/>
      <c r="G3918" s="70"/>
      <c r="H3918" s="70"/>
      <c r="I3918" s="70"/>
      <c r="J3918" s="70"/>
      <c r="K3918" s="70"/>
      <c r="L3918" s="67"/>
      <c r="M3918" s="67"/>
      <c r="N3918" s="72"/>
      <c r="O3918" s="72"/>
      <c r="P3918" s="67"/>
      <c r="Q3918" s="67"/>
      <c r="R3918" s="67"/>
      <c r="S3918" s="67"/>
      <c r="T3918" s="32"/>
      <c r="U3918" s="32"/>
      <c r="X3918" s="32"/>
      <c r="Y3918" s="32"/>
      <c r="Z3918" s="32"/>
      <c r="AA3918" s="32"/>
      <c r="AB3918" s="32"/>
    </row>
    <row r="3919" spans="2:28" ht="23.25" customHeight="1" x14ac:dyDescent="0.2">
      <c r="B3919" s="75"/>
      <c r="C3919" s="67"/>
      <c r="D3919" s="75"/>
      <c r="E3919" s="67"/>
      <c r="F3919" s="67"/>
      <c r="G3919" s="70"/>
      <c r="H3919" s="70"/>
      <c r="I3919" s="70"/>
      <c r="J3919" s="70"/>
      <c r="K3919" s="70"/>
      <c r="L3919" s="67"/>
      <c r="M3919" s="67"/>
      <c r="N3919" s="72"/>
      <c r="O3919" s="72"/>
      <c r="P3919" s="67"/>
      <c r="Q3919" s="67"/>
      <c r="R3919" s="67"/>
      <c r="S3919" s="67"/>
      <c r="T3919" s="32"/>
      <c r="U3919" s="32"/>
      <c r="X3919" s="32"/>
      <c r="Y3919" s="32"/>
      <c r="Z3919" s="32"/>
      <c r="AA3919" s="32"/>
      <c r="AB3919" s="32"/>
    </row>
    <row r="3920" spans="2:28" ht="23.25" customHeight="1" x14ac:dyDescent="0.2">
      <c r="B3920" s="75"/>
      <c r="C3920" s="67"/>
      <c r="D3920" s="75"/>
      <c r="E3920" s="67"/>
      <c r="F3920" s="67"/>
      <c r="G3920" s="70"/>
      <c r="H3920" s="70"/>
      <c r="I3920" s="70"/>
      <c r="J3920" s="70"/>
      <c r="K3920" s="70"/>
      <c r="L3920" s="67"/>
      <c r="M3920" s="67"/>
      <c r="N3920" s="72"/>
      <c r="O3920" s="72"/>
      <c r="P3920" s="67"/>
      <c r="Q3920" s="67"/>
      <c r="R3920" s="67"/>
      <c r="S3920" s="67"/>
      <c r="T3920" s="32"/>
      <c r="U3920" s="32"/>
      <c r="X3920" s="32"/>
      <c r="Y3920" s="32"/>
      <c r="Z3920" s="32"/>
      <c r="AA3920" s="32"/>
      <c r="AB3920" s="32"/>
    </row>
    <row r="3921" spans="2:28" ht="23.25" customHeight="1" x14ac:dyDescent="0.2">
      <c r="B3921" s="75"/>
      <c r="C3921" s="67"/>
      <c r="D3921" s="75"/>
      <c r="E3921" s="67"/>
      <c r="F3921" s="67"/>
      <c r="G3921" s="70"/>
      <c r="H3921" s="70"/>
      <c r="I3921" s="70"/>
      <c r="J3921" s="70"/>
      <c r="K3921" s="70"/>
      <c r="L3921" s="67"/>
      <c r="M3921" s="67"/>
      <c r="N3921" s="72"/>
      <c r="O3921" s="72"/>
      <c r="P3921" s="67"/>
      <c r="Q3921" s="67"/>
      <c r="R3921" s="67"/>
      <c r="S3921" s="67"/>
      <c r="T3921" s="32"/>
      <c r="U3921" s="32"/>
      <c r="X3921" s="32"/>
      <c r="Y3921" s="32"/>
      <c r="Z3921" s="32"/>
      <c r="AA3921" s="32"/>
      <c r="AB3921" s="32"/>
    </row>
    <row r="3922" spans="2:28" ht="23.25" customHeight="1" x14ac:dyDescent="0.2">
      <c r="B3922" s="75"/>
      <c r="C3922" s="67"/>
      <c r="D3922" s="75"/>
      <c r="E3922" s="67"/>
      <c r="F3922" s="67"/>
      <c r="G3922" s="70"/>
      <c r="H3922" s="70"/>
      <c r="I3922" s="70"/>
      <c r="J3922" s="70"/>
      <c r="K3922" s="70"/>
      <c r="L3922" s="67"/>
      <c r="M3922" s="67"/>
      <c r="N3922" s="72"/>
      <c r="O3922" s="72"/>
      <c r="P3922" s="67"/>
      <c r="Q3922" s="67"/>
      <c r="R3922" s="67"/>
      <c r="S3922" s="67"/>
      <c r="T3922" s="32"/>
      <c r="U3922" s="32"/>
      <c r="X3922" s="32"/>
      <c r="Y3922" s="32"/>
      <c r="Z3922" s="32"/>
      <c r="AA3922" s="32"/>
      <c r="AB3922" s="32"/>
    </row>
    <row r="3923" spans="2:28" ht="23.25" customHeight="1" x14ac:dyDescent="0.2">
      <c r="B3923" s="75"/>
      <c r="C3923" s="67"/>
      <c r="D3923" s="75"/>
      <c r="E3923" s="67"/>
      <c r="F3923" s="67"/>
      <c r="G3923" s="70"/>
      <c r="H3923" s="70"/>
      <c r="I3923" s="70"/>
      <c r="J3923" s="70"/>
      <c r="K3923" s="70"/>
      <c r="L3923" s="67"/>
      <c r="M3923" s="67"/>
      <c r="N3923" s="72"/>
      <c r="O3923" s="72"/>
      <c r="P3923" s="67"/>
      <c r="Q3923" s="67"/>
      <c r="R3923" s="67"/>
      <c r="S3923" s="67"/>
      <c r="T3923" s="32"/>
      <c r="U3923" s="32"/>
      <c r="X3923" s="32"/>
      <c r="Y3923" s="32"/>
      <c r="Z3923" s="32"/>
      <c r="AA3923" s="32"/>
      <c r="AB3923" s="32"/>
    </row>
    <row r="3924" spans="2:28" ht="23.25" customHeight="1" x14ac:dyDescent="0.2">
      <c r="B3924" s="75"/>
      <c r="C3924" s="67"/>
      <c r="D3924" s="75"/>
      <c r="E3924" s="67"/>
      <c r="F3924" s="67"/>
      <c r="G3924" s="70"/>
      <c r="H3924" s="70"/>
      <c r="I3924" s="70"/>
      <c r="J3924" s="70"/>
      <c r="K3924" s="70"/>
      <c r="L3924" s="67"/>
      <c r="M3924" s="67"/>
      <c r="N3924" s="72"/>
      <c r="O3924" s="72"/>
      <c r="P3924" s="67"/>
      <c r="Q3924" s="67"/>
      <c r="R3924" s="67"/>
      <c r="S3924" s="67"/>
      <c r="T3924" s="32"/>
      <c r="U3924" s="32"/>
      <c r="X3924" s="32"/>
      <c r="Y3924" s="32"/>
      <c r="Z3924" s="32"/>
      <c r="AA3924" s="32"/>
      <c r="AB3924" s="32"/>
    </row>
    <row r="3925" spans="2:28" ht="23.25" customHeight="1" x14ac:dyDescent="0.2">
      <c r="B3925" s="75"/>
      <c r="C3925" s="67"/>
      <c r="D3925" s="75"/>
      <c r="E3925" s="67"/>
      <c r="F3925" s="67"/>
      <c r="G3925" s="70"/>
      <c r="H3925" s="70"/>
      <c r="I3925" s="70"/>
      <c r="J3925" s="70"/>
      <c r="K3925" s="70"/>
      <c r="L3925" s="67"/>
      <c r="M3925" s="67"/>
      <c r="N3925" s="72"/>
      <c r="O3925" s="72"/>
      <c r="P3925" s="67"/>
      <c r="Q3925" s="67"/>
      <c r="R3925" s="67"/>
      <c r="S3925" s="67"/>
      <c r="T3925" s="32"/>
      <c r="U3925" s="32"/>
      <c r="X3925" s="32"/>
      <c r="Y3925" s="32"/>
      <c r="Z3925" s="32"/>
      <c r="AA3925" s="32"/>
      <c r="AB3925" s="32"/>
    </row>
    <row r="3926" spans="2:28" ht="23.25" customHeight="1" x14ac:dyDescent="0.2">
      <c r="B3926" s="75"/>
      <c r="C3926" s="67"/>
      <c r="D3926" s="75"/>
      <c r="E3926" s="67"/>
      <c r="F3926" s="67"/>
      <c r="G3926" s="70"/>
      <c r="H3926" s="70"/>
      <c r="I3926" s="70"/>
      <c r="J3926" s="70"/>
      <c r="K3926" s="70"/>
      <c r="L3926" s="67"/>
      <c r="M3926" s="67"/>
      <c r="N3926" s="72"/>
      <c r="O3926" s="72"/>
      <c r="P3926" s="67"/>
      <c r="Q3926" s="67"/>
      <c r="R3926" s="67"/>
      <c r="S3926" s="67"/>
      <c r="T3926" s="32"/>
      <c r="U3926" s="32"/>
      <c r="X3926" s="32"/>
      <c r="Y3926" s="32"/>
      <c r="Z3926" s="32"/>
      <c r="AA3926" s="32"/>
      <c r="AB3926" s="32"/>
    </row>
    <row r="3927" spans="2:28" ht="23.25" customHeight="1" x14ac:dyDescent="0.2">
      <c r="B3927" s="75"/>
      <c r="C3927" s="67"/>
      <c r="D3927" s="75"/>
      <c r="E3927" s="67"/>
      <c r="F3927" s="67"/>
      <c r="G3927" s="70"/>
      <c r="H3927" s="70"/>
      <c r="I3927" s="70"/>
      <c r="J3927" s="70"/>
      <c r="K3927" s="70"/>
      <c r="L3927" s="67"/>
      <c r="M3927" s="67"/>
      <c r="N3927" s="72"/>
      <c r="O3927" s="72"/>
      <c r="P3927" s="67"/>
      <c r="Q3927" s="67"/>
      <c r="R3927" s="67"/>
      <c r="S3927" s="67"/>
      <c r="T3927" s="32"/>
      <c r="U3927" s="32"/>
      <c r="X3927" s="32"/>
      <c r="Y3927" s="32"/>
      <c r="Z3927" s="32"/>
      <c r="AA3927" s="32"/>
      <c r="AB3927" s="32"/>
    </row>
    <row r="3928" spans="2:28" ht="23.25" customHeight="1" x14ac:dyDescent="0.2">
      <c r="B3928" s="75"/>
      <c r="C3928" s="67"/>
      <c r="D3928" s="75"/>
      <c r="E3928" s="67"/>
      <c r="F3928" s="67"/>
      <c r="G3928" s="70"/>
      <c r="H3928" s="70"/>
      <c r="I3928" s="70"/>
      <c r="J3928" s="70"/>
      <c r="K3928" s="70"/>
      <c r="L3928" s="67"/>
      <c r="M3928" s="67"/>
      <c r="N3928" s="72"/>
      <c r="O3928" s="72"/>
      <c r="P3928" s="67"/>
      <c r="Q3928" s="67"/>
      <c r="R3928" s="67"/>
      <c r="S3928" s="67"/>
      <c r="T3928" s="32"/>
      <c r="U3928" s="32"/>
      <c r="X3928" s="32"/>
      <c r="Y3928" s="32"/>
      <c r="Z3928" s="32"/>
      <c r="AA3928" s="32"/>
      <c r="AB3928" s="32"/>
    </row>
    <row r="3929" spans="2:28" ht="23.25" customHeight="1" x14ac:dyDescent="0.2">
      <c r="B3929" s="75"/>
      <c r="C3929" s="67"/>
      <c r="D3929" s="75"/>
      <c r="E3929" s="67"/>
      <c r="F3929" s="67"/>
      <c r="G3929" s="70"/>
      <c r="H3929" s="70"/>
      <c r="I3929" s="70"/>
      <c r="J3929" s="70"/>
      <c r="K3929" s="70"/>
      <c r="L3929" s="67"/>
      <c r="M3929" s="67"/>
      <c r="N3929" s="72"/>
      <c r="O3929" s="72"/>
      <c r="P3929" s="67"/>
      <c r="Q3929" s="67"/>
      <c r="R3929" s="67"/>
      <c r="S3929" s="67"/>
      <c r="T3929" s="32"/>
      <c r="U3929" s="32"/>
      <c r="X3929" s="32"/>
      <c r="Y3929" s="32"/>
      <c r="Z3929" s="32"/>
      <c r="AA3929" s="32"/>
      <c r="AB3929" s="32"/>
    </row>
    <row r="3930" spans="2:28" ht="23.25" customHeight="1" x14ac:dyDescent="0.2">
      <c r="B3930" s="75"/>
      <c r="C3930" s="67"/>
      <c r="D3930" s="75"/>
      <c r="E3930" s="67"/>
      <c r="F3930" s="67"/>
      <c r="G3930" s="70"/>
      <c r="H3930" s="70"/>
      <c r="I3930" s="70"/>
      <c r="J3930" s="70"/>
      <c r="K3930" s="70"/>
      <c r="L3930" s="67"/>
      <c r="M3930" s="67"/>
      <c r="N3930" s="72"/>
      <c r="O3930" s="72"/>
      <c r="P3930" s="67"/>
      <c r="Q3930" s="67"/>
      <c r="R3930" s="67"/>
      <c r="S3930" s="67"/>
      <c r="T3930" s="32"/>
      <c r="U3930" s="32"/>
      <c r="X3930" s="32"/>
      <c r="Y3930" s="32"/>
      <c r="Z3930" s="32"/>
      <c r="AA3930" s="32"/>
      <c r="AB3930" s="32"/>
    </row>
    <row r="3931" spans="2:28" ht="23.25" customHeight="1" x14ac:dyDescent="0.2">
      <c r="B3931" s="75"/>
      <c r="C3931" s="67"/>
      <c r="D3931" s="75"/>
      <c r="E3931" s="67"/>
      <c r="F3931" s="67"/>
      <c r="G3931" s="70"/>
      <c r="H3931" s="70"/>
      <c r="I3931" s="70"/>
      <c r="J3931" s="70"/>
      <c r="K3931" s="70"/>
      <c r="L3931" s="67"/>
      <c r="M3931" s="67"/>
      <c r="N3931" s="72"/>
      <c r="O3931" s="72"/>
      <c r="P3931" s="67"/>
      <c r="Q3931" s="67"/>
      <c r="R3931" s="67"/>
      <c r="S3931" s="67"/>
      <c r="T3931" s="32"/>
      <c r="U3931" s="32"/>
      <c r="X3931" s="32"/>
      <c r="Y3931" s="32"/>
      <c r="Z3931" s="32"/>
      <c r="AA3931" s="32"/>
      <c r="AB3931" s="32"/>
    </row>
    <row r="3932" spans="2:28" ht="23.25" customHeight="1" x14ac:dyDescent="0.2">
      <c r="B3932" s="75"/>
      <c r="C3932" s="67"/>
      <c r="D3932" s="75"/>
      <c r="E3932" s="67"/>
      <c r="F3932" s="67"/>
      <c r="G3932" s="70"/>
      <c r="H3932" s="70"/>
      <c r="I3932" s="70"/>
      <c r="J3932" s="70"/>
      <c r="K3932" s="70"/>
      <c r="L3932" s="67"/>
      <c r="M3932" s="67"/>
      <c r="N3932" s="72"/>
      <c r="O3932" s="72"/>
      <c r="P3932" s="67"/>
      <c r="Q3932" s="67"/>
      <c r="R3932" s="67"/>
      <c r="S3932" s="67"/>
      <c r="T3932" s="32"/>
      <c r="U3932" s="32"/>
      <c r="X3932" s="32"/>
      <c r="Y3932" s="32"/>
      <c r="Z3932" s="32"/>
      <c r="AA3932" s="32"/>
      <c r="AB3932" s="32"/>
    </row>
    <row r="3933" spans="2:28" ht="23.25" customHeight="1" x14ac:dyDescent="0.2">
      <c r="B3933" s="75"/>
      <c r="C3933" s="67"/>
      <c r="D3933" s="75"/>
      <c r="E3933" s="67"/>
      <c r="F3933" s="67"/>
      <c r="G3933" s="70"/>
      <c r="H3933" s="70"/>
      <c r="I3933" s="70"/>
      <c r="J3933" s="70"/>
      <c r="K3933" s="70"/>
      <c r="L3933" s="67"/>
      <c r="M3933" s="67"/>
      <c r="N3933" s="72"/>
      <c r="O3933" s="72"/>
      <c r="P3933" s="67"/>
      <c r="Q3933" s="67"/>
      <c r="R3933" s="67"/>
      <c r="S3933" s="67"/>
      <c r="T3933" s="32"/>
      <c r="U3933" s="32"/>
      <c r="X3933" s="32"/>
      <c r="Y3933" s="32"/>
      <c r="Z3933" s="32"/>
      <c r="AA3933" s="32"/>
      <c r="AB3933" s="32"/>
    </row>
    <row r="3934" spans="2:28" ht="23.25" customHeight="1" x14ac:dyDescent="0.2">
      <c r="B3934" s="75"/>
      <c r="C3934" s="67"/>
      <c r="D3934" s="75"/>
      <c r="E3934" s="67"/>
      <c r="F3934" s="67"/>
      <c r="G3934" s="70"/>
      <c r="H3934" s="70"/>
      <c r="I3934" s="70"/>
      <c r="J3934" s="70"/>
      <c r="K3934" s="70"/>
      <c r="L3934" s="67"/>
      <c r="M3934" s="67"/>
      <c r="N3934" s="72"/>
      <c r="O3934" s="72"/>
      <c r="P3934" s="67"/>
      <c r="Q3934" s="67"/>
      <c r="R3934" s="67"/>
      <c r="S3934" s="67"/>
      <c r="T3934" s="32"/>
      <c r="U3934" s="32"/>
      <c r="X3934" s="32"/>
      <c r="Y3934" s="32"/>
      <c r="Z3934" s="32"/>
      <c r="AA3934" s="32"/>
      <c r="AB3934" s="32"/>
    </row>
    <row r="3935" spans="2:28" ht="23.25" customHeight="1" x14ac:dyDescent="0.2">
      <c r="B3935" s="75"/>
      <c r="C3935" s="67"/>
      <c r="D3935" s="75"/>
      <c r="E3935" s="67"/>
      <c r="F3935" s="67"/>
      <c r="G3935" s="70"/>
      <c r="H3935" s="70"/>
      <c r="I3935" s="70"/>
      <c r="J3935" s="70"/>
      <c r="K3935" s="70"/>
      <c r="L3935" s="67"/>
      <c r="M3935" s="67"/>
      <c r="N3935" s="72"/>
      <c r="O3935" s="72"/>
      <c r="P3935" s="67"/>
      <c r="Q3935" s="67"/>
      <c r="R3935" s="67"/>
      <c r="S3935" s="67"/>
      <c r="T3935" s="32"/>
      <c r="U3935" s="32"/>
      <c r="X3935" s="32"/>
      <c r="Y3935" s="32"/>
      <c r="Z3935" s="32"/>
      <c r="AA3935" s="32"/>
      <c r="AB3935" s="32"/>
    </row>
    <row r="3936" spans="2:28" ht="23.25" customHeight="1" x14ac:dyDescent="0.2">
      <c r="B3936" s="75"/>
      <c r="C3936" s="67"/>
      <c r="D3936" s="75"/>
      <c r="E3936" s="67"/>
      <c r="F3936" s="67"/>
      <c r="G3936" s="70"/>
      <c r="H3936" s="70"/>
      <c r="I3936" s="70"/>
      <c r="J3936" s="70"/>
      <c r="K3936" s="70"/>
      <c r="L3936" s="67"/>
      <c r="M3936" s="67"/>
      <c r="N3936" s="72"/>
      <c r="O3936" s="72"/>
      <c r="P3936" s="67"/>
      <c r="Q3936" s="67"/>
      <c r="R3936" s="67"/>
      <c r="S3936" s="67"/>
      <c r="T3936" s="32"/>
      <c r="U3936" s="32"/>
      <c r="X3936" s="32"/>
      <c r="Y3936" s="32"/>
      <c r="Z3936" s="32"/>
      <c r="AA3936" s="32"/>
      <c r="AB3936" s="32"/>
    </row>
    <row r="3937" spans="2:28" ht="23.25" customHeight="1" x14ac:dyDescent="0.2">
      <c r="B3937" s="75"/>
      <c r="C3937" s="67"/>
      <c r="D3937" s="75"/>
      <c r="E3937" s="67"/>
      <c r="F3937" s="67"/>
      <c r="G3937" s="70"/>
      <c r="H3937" s="70"/>
      <c r="I3937" s="70"/>
      <c r="J3937" s="70"/>
      <c r="K3937" s="70"/>
      <c r="L3937" s="67"/>
      <c r="M3937" s="67"/>
      <c r="N3937" s="72"/>
      <c r="O3937" s="72"/>
      <c r="P3937" s="67"/>
      <c r="Q3937" s="67"/>
      <c r="R3937" s="67"/>
      <c r="S3937" s="67"/>
      <c r="T3937" s="32"/>
      <c r="U3937" s="32"/>
      <c r="X3937" s="32"/>
      <c r="Y3937" s="32"/>
      <c r="Z3937" s="32"/>
      <c r="AA3937" s="32"/>
      <c r="AB3937" s="32"/>
    </row>
    <row r="3938" spans="2:28" ht="23.25" customHeight="1" x14ac:dyDescent="0.2">
      <c r="B3938" s="75"/>
      <c r="C3938" s="67"/>
      <c r="D3938" s="75"/>
      <c r="E3938" s="67"/>
      <c r="F3938" s="67"/>
      <c r="G3938" s="70"/>
      <c r="H3938" s="70"/>
      <c r="I3938" s="70"/>
      <c r="J3938" s="70"/>
      <c r="K3938" s="70"/>
      <c r="L3938" s="67"/>
      <c r="M3938" s="67"/>
      <c r="N3938" s="72"/>
      <c r="O3938" s="72"/>
      <c r="P3938" s="67"/>
      <c r="Q3938" s="67"/>
      <c r="R3938" s="67"/>
      <c r="S3938" s="67"/>
      <c r="T3938" s="32"/>
      <c r="U3938" s="32"/>
      <c r="X3938" s="32"/>
      <c r="Y3938" s="32"/>
      <c r="Z3938" s="32"/>
      <c r="AA3938" s="32"/>
      <c r="AB3938" s="32"/>
    </row>
    <row r="3939" spans="2:28" ht="23.25" customHeight="1" x14ac:dyDescent="0.2">
      <c r="B3939" s="75"/>
      <c r="C3939" s="67"/>
      <c r="D3939" s="75"/>
      <c r="E3939" s="67"/>
      <c r="F3939" s="67"/>
      <c r="G3939" s="70"/>
      <c r="H3939" s="70"/>
      <c r="I3939" s="70"/>
      <c r="J3939" s="70"/>
      <c r="K3939" s="70"/>
      <c r="L3939" s="67"/>
      <c r="M3939" s="67"/>
      <c r="N3939" s="72"/>
      <c r="O3939" s="72"/>
      <c r="P3939" s="67"/>
      <c r="Q3939" s="67"/>
      <c r="R3939" s="67"/>
      <c r="S3939" s="67"/>
      <c r="T3939" s="32"/>
      <c r="U3939" s="32"/>
      <c r="X3939" s="32"/>
      <c r="Y3939" s="32"/>
      <c r="Z3939" s="32"/>
      <c r="AA3939" s="32"/>
      <c r="AB3939" s="32"/>
    </row>
    <row r="3940" spans="2:28" ht="23.25" customHeight="1" x14ac:dyDescent="0.2">
      <c r="B3940" s="75"/>
      <c r="C3940" s="67"/>
      <c r="D3940" s="75"/>
      <c r="E3940" s="67"/>
      <c r="F3940" s="67"/>
      <c r="G3940" s="70"/>
      <c r="H3940" s="70"/>
      <c r="I3940" s="70"/>
      <c r="J3940" s="70"/>
      <c r="K3940" s="70"/>
      <c r="L3940" s="67"/>
      <c r="M3940" s="67"/>
      <c r="N3940" s="72"/>
      <c r="O3940" s="72"/>
      <c r="P3940" s="67"/>
      <c r="Q3940" s="67"/>
      <c r="R3940" s="67"/>
      <c r="S3940" s="67"/>
      <c r="T3940" s="32"/>
      <c r="U3940" s="32"/>
      <c r="X3940" s="32"/>
      <c r="Y3940" s="32"/>
      <c r="Z3940" s="32"/>
      <c r="AA3940" s="32"/>
      <c r="AB3940" s="32"/>
    </row>
    <row r="3941" spans="2:28" ht="23.25" customHeight="1" x14ac:dyDescent="0.2">
      <c r="B3941" s="75"/>
      <c r="C3941" s="67"/>
      <c r="D3941" s="75"/>
      <c r="E3941" s="67"/>
      <c r="F3941" s="67"/>
      <c r="G3941" s="70"/>
      <c r="H3941" s="70"/>
      <c r="I3941" s="70"/>
      <c r="J3941" s="70"/>
      <c r="K3941" s="70"/>
      <c r="L3941" s="67"/>
      <c r="M3941" s="67"/>
      <c r="N3941" s="72"/>
      <c r="O3941" s="72"/>
      <c r="P3941" s="67"/>
      <c r="Q3941" s="67"/>
      <c r="R3941" s="67"/>
      <c r="S3941" s="67"/>
      <c r="T3941" s="32"/>
      <c r="U3941" s="32"/>
      <c r="X3941" s="32"/>
      <c r="Y3941" s="32"/>
      <c r="Z3941" s="32"/>
      <c r="AA3941" s="32"/>
      <c r="AB3941" s="32"/>
    </row>
    <row r="3942" spans="2:28" ht="23.25" customHeight="1" x14ac:dyDescent="0.2">
      <c r="B3942" s="75"/>
      <c r="C3942" s="67"/>
      <c r="D3942" s="75"/>
      <c r="E3942" s="67"/>
      <c r="F3942" s="67"/>
      <c r="G3942" s="70"/>
      <c r="H3942" s="70"/>
      <c r="I3942" s="70"/>
      <c r="J3942" s="70"/>
      <c r="K3942" s="70"/>
      <c r="L3942" s="67"/>
      <c r="M3942" s="67"/>
      <c r="N3942" s="72"/>
      <c r="O3942" s="72"/>
      <c r="P3942" s="67"/>
      <c r="Q3942" s="67"/>
      <c r="R3942" s="67"/>
      <c r="S3942" s="67"/>
      <c r="T3942" s="32"/>
      <c r="U3942" s="32"/>
      <c r="X3942" s="32"/>
      <c r="Y3942" s="32"/>
      <c r="Z3942" s="32"/>
      <c r="AA3942" s="32"/>
      <c r="AB3942" s="32"/>
    </row>
    <row r="3943" spans="2:28" ht="23.25" customHeight="1" x14ac:dyDescent="0.2">
      <c r="B3943" s="75"/>
      <c r="C3943" s="67"/>
      <c r="D3943" s="75"/>
      <c r="E3943" s="67"/>
      <c r="F3943" s="67"/>
      <c r="G3943" s="70"/>
      <c r="H3943" s="70"/>
      <c r="I3943" s="70"/>
      <c r="J3943" s="70"/>
      <c r="K3943" s="70"/>
      <c r="L3943" s="67"/>
      <c r="M3943" s="67"/>
      <c r="N3943" s="72"/>
      <c r="O3943" s="72"/>
      <c r="P3943" s="67"/>
      <c r="Q3943" s="67"/>
      <c r="R3943" s="67"/>
      <c r="S3943" s="67"/>
      <c r="T3943" s="32"/>
      <c r="U3943" s="32"/>
      <c r="X3943" s="32"/>
      <c r="Y3943" s="32"/>
      <c r="Z3943" s="32"/>
      <c r="AA3943" s="32"/>
      <c r="AB3943" s="32"/>
    </row>
    <row r="3944" spans="2:28" ht="23.25" customHeight="1" x14ac:dyDescent="0.2">
      <c r="B3944" s="75"/>
      <c r="C3944" s="67"/>
      <c r="D3944" s="75"/>
      <c r="E3944" s="67"/>
      <c r="F3944" s="67"/>
      <c r="G3944" s="70"/>
      <c r="H3944" s="70"/>
      <c r="I3944" s="70"/>
      <c r="J3944" s="70"/>
      <c r="K3944" s="70"/>
      <c r="L3944" s="67"/>
      <c r="M3944" s="67"/>
      <c r="N3944" s="72"/>
      <c r="O3944" s="72"/>
      <c r="P3944" s="67"/>
      <c r="Q3944" s="67"/>
      <c r="R3944" s="67"/>
      <c r="S3944" s="67"/>
      <c r="T3944" s="32"/>
      <c r="U3944" s="32"/>
      <c r="X3944" s="32"/>
      <c r="Y3944" s="32"/>
      <c r="Z3944" s="32"/>
      <c r="AA3944" s="32"/>
      <c r="AB3944" s="32"/>
    </row>
    <row r="3945" spans="2:28" ht="23.25" customHeight="1" x14ac:dyDescent="0.2">
      <c r="B3945" s="75"/>
      <c r="C3945" s="67"/>
      <c r="D3945" s="75"/>
      <c r="E3945" s="67"/>
      <c r="F3945" s="67"/>
      <c r="G3945" s="70"/>
      <c r="H3945" s="70"/>
      <c r="I3945" s="70"/>
      <c r="J3945" s="70"/>
      <c r="K3945" s="70"/>
      <c r="L3945" s="67"/>
      <c r="M3945" s="67"/>
      <c r="N3945" s="72"/>
      <c r="O3945" s="72"/>
      <c r="P3945" s="67"/>
      <c r="Q3945" s="67"/>
      <c r="R3945" s="67"/>
      <c r="S3945" s="67"/>
      <c r="T3945" s="32"/>
      <c r="U3945" s="32"/>
      <c r="X3945" s="32"/>
      <c r="Y3945" s="32"/>
      <c r="Z3945" s="32"/>
      <c r="AA3945" s="32"/>
      <c r="AB3945" s="32"/>
    </row>
    <row r="3946" spans="2:28" ht="23.25" customHeight="1" x14ac:dyDescent="0.2">
      <c r="B3946" s="75"/>
      <c r="C3946" s="67"/>
      <c r="D3946" s="75"/>
      <c r="E3946" s="67"/>
      <c r="F3946" s="67"/>
      <c r="G3946" s="70"/>
      <c r="H3946" s="70"/>
      <c r="I3946" s="70"/>
      <c r="J3946" s="70"/>
      <c r="K3946" s="70"/>
      <c r="L3946" s="67"/>
      <c r="M3946" s="67"/>
      <c r="N3946" s="72"/>
      <c r="O3946" s="72"/>
      <c r="P3946" s="67"/>
      <c r="Q3946" s="67"/>
      <c r="R3946" s="67"/>
      <c r="S3946" s="67"/>
      <c r="T3946" s="32"/>
      <c r="U3946" s="32"/>
      <c r="X3946" s="32"/>
      <c r="Y3946" s="32"/>
      <c r="Z3946" s="32"/>
      <c r="AA3946" s="32"/>
      <c r="AB3946" s="32"/>
    </row>
    <row r="3947" spans="2:28" ht="23.25" customHeight="1" x14ac:dyDescent="0.2">
      <c r="B3947" s="75"/>
      <c r="C3947" s="67"/>
      <c r="D3947" s="75"/>
      <c r="E3947" s="67"/>
      <c r="F3947" s="67"/>
      <c r="G3947" s="70"/>
      <c r="H3947" s="70"/>
      <c r="I3947" s="70"/>
      <c r="J3947" s="70"/>
      <c r="K3947" s="70"/>
      <c r="L3947" s="67"/>
      <c r="M3947" s="67"/>
      <c r="N3947" s="72"/>
      <c r="O3947" s="72"/>
      <c r="P3947" s="67"/>
      <c r="Q3947" s="67"/>
      <c r="R3947" s="67"/>
      <c r="S3947" s="67"/>
      <c r="T3947" s="32"/>
      <c r="U3947" s="32"/>
      <c r="X3947" s="32"/>
      <c r="Y3947" s="32"/>
      <c r="Z3947" s="32"/>
      <c r="AA3947" s="32"/>
      <c r="AB3947" s="32"/>
    </row>
    <row r="3948" spans="2:28" ht="23.25" customHeight="1" x14ac:dyDescent="0.2">
      <c r="B3948" s="75"/>
      <c r="C3948" s="67"/>
      <c r="D3948" s="75"/>
      <c r="E3948" s="67"/>
      <c r="F3948" s="67"/>
      <c r="G3948" s="70"/>
      <c r="H3948" s="70"/>
      <c r="I3948" s="70"/>
      <c r="J3948" s="70"/>
      <c r="K3948" s="70"/>
      <c r="L3948" s="67"/>
      <c r="M3948" s="67"/>
      <c r="N3948" s="72"/>
      <c r="O3948" s="72"/>
      <c r="P3948" s="67"/>
      <c r="Q3948" s="67"/>
      <c r="R3948" s="67"/>
      <c r="S3948" s="67"/>
      <c r="T3948" s="32"/>
      <c r="U3948" s="32"/>
      <c r="X3948" s="32"/>
      <c r="Y3948" s="32"/>
      <c r="Z3948" s="32"/>
      <c r="AA3948" s="32"/>
      <c r="AB3948" s="32"/>
    </row>
    <row r="3949" spans="2:28" ht="23.25" customHeight="1" x14ac:dyDescent="0.2">
      <c r="B3949" s="75"/>
      <c r="C3949" s="67"/>
      <c r="D3949" s="75"/>
      <c r="E3949" s="67"/>
      <c r="F3949" s="67"/>
      <c r="G3949" s="70"/>
      <c r="H3949" s="70"/>
      <c r="I3949" s="70"/>
      <c r="J3949" s="70"/>
      <c r="K3949" s="70"/>
      <c r="L3949" s="67"/>
      <c r="M3949" s="67"/>
      <c r="N3949" s="72"/>
      <c r="O3949" s="72"/>
      <c r="P3949" s="67"/>
      <c r="Q3949" s="67"/>
      <c r="R3949" s="67"/>
      <c r="S3949" s="67"/>
      <c r="T3949" s="32"/>
      <c r="U3949" s="32"/>
      <c r="X3949" s="32"/>
      <c r="Y3949" s="32"/>
      <c r="Z3949" s="32"/>
      <c r="AA3949" s="32"/>
      <c r="AB3949" s="32"/>
    </row>
    <row r="3950" spans="2:28" ht="23.25" customHeight="1" x14ac:dyDescent="0.2">
      <c r="B3950" s="75"/>
      <c r="C3950" s="67"/>
      <c r="D3950" s="75"/>
      <c r="E3950" s="67"/>
      <c r="F3950" s="67"/>
      <c r="G3950" s="70"/>
      <c r="H3950" s="70"/>
      <c r="I3950" s="70"/>
      <c r="J3950" s="70"/>
      <c r="K3950" s="70"/>
      <c r="L3950" s="67"/>
      <c r="M3950" s="67"/>
      <c r="N3950" s="72"/>
      <c r="O3950" s="72"/>
      <c r="P3950" s="67"/>
      <c r="Q3950" s="67"/>
      <c r="R3950" s="67"/>
      <c r="S3950" s="67"/>
      <c r="T3950" s="32"/>
      <c r="U3950" s="32"/>
      <c r="X3950" s="32"/>
      <c r="Y3950" s="32"/>
      <c r="Z3950" s="32"/>
      <c r="AA3950" s="32"/>
      <c r="AB3950" s="32"/>
    </row>
    <row r="3951" spans="2:28" ht="23.25" customHeight="1" x14ac:dyDescent="0.2">
      <c r="B3951" s="75"/>
      <c r="C3951" s="67"/>
      <c r="D3951" s="75"/>
      <c r="E3951" s="67"/>
      <c r="F3951" s="67"/>
      <c r="G3951" s="70"/>
      <c r="H3951" s="70"/>
      <c r="I3951" s="70"/>
      <c r="J3951" s="70"/>
      <c r="K3951" s="70"/>
      <c r="L3951" s="67"/>
      <c r="M3951" s="67"/>
      <c r="N3951" s="72"/>
      <c r="O3951" s="72"/>
      <c r="P3951" s="67"/>
      <c r="Q3951" s="67"/>
      <c r="R3951" s="67"/>
      <c r="S3951" s="67"/>
      <c r="T3951" s="32"/>
      <c r="U3951" s="32"/>
      <c r="X3951" s="32"/>
      <c r="Y3951" s="32"/>
      <c r="Z3951" s="32"/>
      <c r="AA3951" s="32"/>
      <c r="AB3951" s="32"/>
    </row>
    <row r="3952" spans="2:28" ht="23.25" customHeight="1" x14ac:dyDescent="0.2">
      <c r="B3952" s="75"/>
      <c r="C3952" s="67"/>
      <c r="D3952" s="75"/>
      <c r="E3952" s="67"/>
      <c r="F3952" s="67"/>
      <c r="G3952" s="70"/>
      <c r="H3952" s="70"/>
      <c r="I3952" s="70"/>
      <c r="J3952" s="70"/>
      <c r="K3952" s="70"/>
      <c r="L3952" s="67"/>
      <c r="M3952" s="67"/>
      <c r="N3952" s="72"/>
      <c r="O3952" s="72"/>
      <c r="P3952" s="67"/>
      <c r="Q3952" s="67"/>
      <c r="R3952" s="67"/>
      <c r="S3952" s="67"/>
      <c r="T3952" s="32"/>
      <c r="U3952" s="32"/>
      <c r="X3952" s="32"/>
      <c r="Y3952" s="32"/>
      <c r="Z3952" s="32"/>
      <c r="AA3952" s="32"/>
      <c r="AB3952" s="32"/>
    </row>
    <row r="3953" spans="2:28" ht="23.25" customHeight="1" x14ac:dyDescent="0.2">
      <c r="B3953" s="75"/>
      <c r="C3953" s="67"/>
      <c r="D3953" s="75"/>
      <c r="E3953" s="67"/>
      <c r="F3953" s="67"/>
      <c r="G3953" s="70"/>
      <c r="H3953" s="70"/>
      <c r="I3953" s="70"/>
      <c r="J3953" s="70"/>
      <c r="K3953" s="70"/>
      <c r="L3953" s="67"/>
      <c r="M3953" s="67"/>
      <c r="N3953" s="72"/>
      <c r="O3953" s="72"/>
      <c r="P3953" s="67"/>
      <c r="Q3953" s="67"/>
      <c r="R3953" s="67"/>
      <c r="S3953" s="67"/>
      <c r="T3953" s="32"/>
      <c r="U3953" s="32"/>
      <c r="X3953" s="32"/>
      <c r="Y3953" s="32"/>
      <c r="Z3953" s="32"/>
      <c r="AA3953" s="32"/>
      <c r="AB3953" s="32"/>
    </row>
    <row r="3954" spans="2:28" ht="23.25" customHeight="1" x14ac:dyDescent="0.2">
      <c r="B3954" s="75"/>
      <c r="C3954" s="67"/>
      <c r="D3954" s="75"/>
      <c r="E3954" s="67"/>
      <c r="F3954" s="67"/>
      <c r="G3954" s="70"/>
      <c r="H3954" s="70"/>
      <c r="I3954" s="70"/>
      <c r="J3954" s="70"/>
      <c r="K3954" s="70"/>
      <c r="L3954" s="67"/>
      <c r="M3954" s="67"/>
      <c r="N3954" s="72"/>
      <c r="O3954" s="72"/>
      <c r="P3954" s="67"/>
      <c r="Q3954" s="67"/>
      <c r="R3954" s="67"/>
      <c r="S3954" s="67"/>
      <c r="T3954" s="32"/>
      <c r="U3954" s="32"/>
      <c r="X3954" s="32"/>
      <c r="Y3954" s="32"/>
      <c r="Z3954" s="32"/>
      <c r="AA3954" s="32"/>
      <c r="AB3954" s="32"/>
    </row>
    <row r="3955" spans="2:28" ht="23.25" customHeight="1" x14ac:dyDescent="0.2">
      <c r="B3955" s="75"/>
      <c r="C3955" s="67"/>
      <c r="D3955" s="75"/>
      <c r="E3955" s="67"/>
      <c r="F3955" s="67"/>
      <c r="G3955" s="70"/>
      <c r="H3955" s="70"/>
      <c r="I3955" s="70"/>
      <c r="J3955" s="70"/>
      <c r="K3955" s="70"/>
      <c r="L3955" s="67"/>
      <c r="M3955" s="67"/>
      <c r="N3955" s="72"/>
      <c r="O3955" s="72"/>
      <c r="P3955" s="67"/>
      <c r="Q3955" s="67"/>
      <c r="R3955" s="67"/>
      <c r="S3955" s="67"/>
      <c r="T3955" s="32"/>
      <c r="U3955" s="32"/>
      <c r="X3955" s="32"/>
      <c r="Y3955" s="32"/>
      <c r="Z3955" s="32"/>
      <c r="AA3955" s="32"/>
      <c r="AB3955" s="32"/>
    </row>
    <row r="3956" spans="2:28" ht="23.25" customHeight="1" x14ac:dyDescent="0.2">
      <c r="B3956" s="75"/>
      <c r="C3956" s="67"/>
      <c r="D3956" s="75"/>
      <c r="E3956" s="67"/>
      <c r="F3956" s="67"/>
      <c r="G3956" s="70"/>
      <c r="H3956" s="70"/>
      <c r="I3956" s="70"/>
      <c r="J3956" s="70"/>
      <c r="K3956" s="70"/>
      <c r="L3956" s="67"/>
      <c r="M3956" s="67"/>
      <c r="N3956" s="72"/>
      <c r="O3956" s="72"/>
      <c r="P3956" s="67"/>
      <c r="Q3956" s="67"/>
      <c r="R3956" s="67"/>
      <c r="S3956" s="67"/>
      <c r="T3956" s="32"/>
      <c r="U3956" s="32"/>
      <c r="X3956" s="32"/>
      <c r="Y3956" s="32"/>
      <c r="Z3956" s="32"/>
      <c r="AA3956" s="32"/>
      <c r="AB3956" s="32"/>
    </row>
    <row r="3957" spans="2:28" ht="23.25" customHeight="1" x14ac:dyDescent="0.2">
      <c r="B3957" s="75"/>
      <c r="C3957" s="67"/>
      <c r="D3957" s="75"/>
      <c r="E3957" s="67"/>
      <c r="F3957" s="67"/>
      <c r="G3957" s="70"/>
      <c r="H3957" s="70"/>
      <c r="I3957" s="70"/>
      <c r="J3957" s="70"/>
      <c r="K3957" s="70"/>
      <c r="L3957" s="67"/>
      <c r="M3957" s="67"/>
      <c r="N3957" s="72"/>
      <c r="O3957" s="72"/>
      <c r="P3957" s="67"/>
      <c r="Q3957" s="67"/>
      <c r="R3957" s="67"/>
      <c r="S3957" s="67"/>
      <c r="T3957" s="32"/>
      <c r="U3957" s="32"/>
      <c r="X3957" s="32"/>
      <c r="Y3957" s="32"/>
      <c r="Z3957" s="32"/>
      <c r="AA3957" s="32"/>
      <c r="AB3957" s="32"/>
    </row>
    <row r="3958" spans="2:28" ht="23.25" customHeight="1" x14ac:dyDescent="0.2">
      <c r="B3958" s="75"/>
      <c r="C3958" s="67"/>
      <c r="D3958" s="75"/>
      <c r="E3958" s="67"/>
      <c r="F3958" s="67"/>
      <c r="G3958" s="70"/>
      <c r="H3958" s="70"/>
      <c r="I3958" s="70"/>
      <c r="J3958" s="70"/>
      <c r="K3958" s="70"/>
      <c r="L3958" s="67"/>
      <c r="M3958" s="67"/>
      <c r="N3958" s="72"/>
      <c r="O3958" s="72"/>
      <c r="P3958" s="67"/>
      <c r="Q3958" s="67"/>
      <c r="R3958" s="67"/>
      <c r="S3958" s="67"/>
      <c r="T3958" s="32"/>
      <c r="U3958" s="32"/>
      <c r="X3958" s="32"/>
      <c r="Y3958" s="32"/>
      <c r="Z3958" s="32"/>
      <c r="AA3958" s="32"/>
      <c r="AB3958" s="32"/>
    </row>
    <row r="3959" spans="2:28" ht="23.25" customHeight="1" x14ac:dyDescent="0.2">
      <c r="B3959" s="75"/>
      <c r="C3959" s="67"/>
      <c r="D3959" s="75"/>
      <c r="E3959" s="67"/>
      <c r="F3959" s="67"/>
      <c r="G3959" s="70"/>
      <c r="H3959" s="70"/>
      <c r="I3959" s="70"/>
      <c r="J3959" s="70"/>
      <c r="K3959" s="70"/>
      <c r="L3959" s="67"/>
      <c r="M3959" s="67"/>
      <c r="N3959" s="72"/>
      <c r="O3959" s="72"/>
      <c r="P3959" s="67"/>
      <c r="Q3959" s="67"/>
      <c r="R3959" s="67"/>
      <c r="S3959" s="67"/>
      <c r="T3959" s="32"/>
      <c r="U3959" s="32"/>
      <c r="X3959" s="32"/>
      <c r="Y3959" s="32"/>
      <c r="Z3959" s="32"/>
      <c r="AA3959" s="32"/>
      <c r="AB3959" s="32"/>
    </row>
    <row r="3960" spans="2:28" ht="23.25" customHeight="1" x14ac:dyDescent="0.2">
      <c r="B3960" s="75"/>
      <c r="C3960" s="67"/>
      <c r="D3960" s="75"/>
      <c r="E3960" s="67"/>
      <c r="F3960" s="67"/>
      <c r="G3960" s="70"/>
      <c r="H3960" s="70"/>
      <c r="I3960" s="70"/>
      <c r="J3960" s="70"/>
      <c r="K3960" s="70"/>
      <c r="L3960" s="67"/>
      <c r="M3960" s="67"/>
      <c r="N3960" s="72"/>
      <c r="O3960" s="72"/>
      <c r="P3960" s="67"/>
      <c r="Q3960" s="67"/>
      <c r="R3960" s="67"/>
      <c r="S3960" s="67"/>
      <c r="T3960" s="32"/>
      <c r="U3960" s="32"/>
      <c r="X3960" s="32"/>
      <c r="Y3960" s="32"/>
      <c r="Z3960" s="32"/>
      <c r="AA3960" s="32"/>
      <c r="AB3960" s="32"/>
    </row>
    <row r="3961" spans="2:28" ht="23.25" customHeight="1" x14ac:dyDescent="0.2">
      <c r="B3961" s="75"/>
      <c r="C3961" s="67"/>
      <c r="D3961" s="75"/>
      <c r="E3961" s="67"/>
      <c r="F3961" s="67"/>
      <c r="G3961" s="70"/>
      <c r="H3961" s="70"/>
      <c r="I3961" s="70"/>
      <c r="J3961" s="70"/>
      <c r="K3961" s="70"/>
      <c r="L3961" s="67"/>
      <c r="M3961" s="67"/>
      <c r="N3961" s="72"/>
      <c r="O3961" s="72"/>
      <c r="P3961" s="67"/>
      <c r="Q3961" s="67"/>
      <c r="R3961" s="67"/>
      <c r="S3961" s="67"/>
      <c r="T3961" s="32"/>
      <c r="U3961" s="32"/>
      <c r="X3961" s="32"/>
      <c r="Y3961" s="32"/>
      <c r="Z3961" s="32"/>
      <c r="AA3961" s="32"/>
      <c r="AB3961" s="32"/>
    </row>
    <row r="3962" spans="2:28" ht="23.25" customHeight="1" x14ac:dyDescent="0.2">
      <c r="B3962" s="75"/>
      <c r="C3962" s="67"/>
      <c r="D3962" s="75"/>
      <c r="E3962" s="67"/>
      <c r="F3962" s="67"/>
      <c r="G3962" s="70"/>
      <c r="H3962" s="70"/>
      <c r="I3962" s="70"/>
      <c r="J3962" s="70"/>
      <c r="K3962" s="70"/>
      <c r="L3962" s="67"/>
      <c r="M3962" s="67"/>
      <c r="N3962" s="72"/>
      <c r="O3962" s="72"/>
      <c r="P3962" s="67"/>
      <c r="Q3962" s="67"/>
      <c r="R3962" s="67"/>
      <c r="S3962" s="67"/>
      <c r="T3962" s="32"/>
      <c r="U3962" s="32"/>
      <c r="X3962" s="32"/>
      <c r="Y3962" s="32"/>
      <c r="Z3962" s="32"/>
      <c r="AA3962" s="32"/>
      <c r="AB3962" s="32"/>
    </row>
    <row r="3963" spans="2:28" ht="23.25" customHeight="1" x14ac:dyDescent="0.2">
      <c r="B3963" s="75"/>
      <c r="C3963" s="67"/>
      <c r="D3963" s="75"/>
      <c r="E3963" s="67"/>
      <c r="F3963" s="67"/>
      <c r="G3963" s="70"/>
      <c r="H3963" s="70"/>
      <c r="I3963" s="70"/>
      <c r="J3963" s="70"/>
      <c r="K3963" s="70"/>
      <c r="L3963" s="67"/>
      <c r="M3963" s="67"/>
      <c r="N3963" s="72"/>
      <c r="O3963" s="72"/>
      <c r="P3963" s="67"/>
      <c r="Q3963" s="67"/>
      <c r="R3963" s="67"/>
      <c r="S3963" s="67"/>
      <c r="T3963" s="32"/>
      <c r="U3963" s="32"/>
      <c r="X3963" s="32"/>
      <c r="Y3963" s="32"/>
      <c r="Z3963" s="32"/>
      <c r="AA3963" s="32"/>
      <c r="AB3963" s="32"/>
    </row>
    <row r="3964" spans="2:28" ht="23.25" customHeight="1" x14ac:dyDescent="0.2">
      <c r="B3964" s="75"/>
      <c r="C3964" s="67"/>
      <c r="D3964" s="75"/>
      <c r="E3964" s="67"/>
      <c r="F3964" s="67"/>
      <c r="G3964" s="70"/>
      <c r="H3964" s="70"/>
      <c r="I3964" s="70"/>
      <c r="J3964" s="70"/>
      <c r="K3964" s="70"/>
      <c r="L3964" s="67"/>
      <c r="M3964" s="67"/>
      <c r="N3964" s="72"/>
      <c r="O3964" s="72"/>
      <c r="P3964" s="67"/>
      <c r="Q3964" s="67"/>
      <c r="R3964" s="67"/>
      <c r="S3964" s="67"/>
      <c r="T3964" s="32"/>
      <c r="U3964" s="32"/>
      <c r="X3964" s="32"/>
      <c r="Y3964" s="32"/>
      <c r="Z3964" s="32"/>
      <c r="AA3964" s="32"/>
      <c r="AB3964" s="32"/>
    </row>
    <row r="3965" spans="2:28" ht="23.25" customHeight="1" x14ac:dyDescent="0.2">
      <c r="B3965" s="75"/>
      <c r="C3965" s="67"/>
      <c r="D3965" s="75"/>
      <c r="E3965" s="67"/>
      <c r="F3965" s="67"/>
      <c r="G3965" s="70"/>
      <c r="H3965" s="70"/>
      <c r="I3965" s="70"/>
      <c r="J3965" s="70"/>
      <c r="K3965" s="70"/>
      <c r="L3965" s="67"/>
      <c r="M3965" s="67"/>
      <c r="N3965" s="72"/>
      <c r="O3965" s="72"/>
      <c r="P3965" s="67"/>
      <c r="Q3965" s="67"/>
      <c r="R3965" s="67"/>
      <c r="S3965" s="67"/>
      <c r="T3965" s="32"/>
      <c r="U3965" s="32"/>
      <c r="X3965" s="32"/>
      <c r="Y3965" s="32"/>
      <c r="Z3965" s="32"/>
      <c r="AA3965" s="32"/>
      <c r="AB3965" s="32"/>
    </row>
    <row r="3966" spans="2:28" ht="23.25" customHeight="1" x14ac:dyDescent="0.2">
      <c r="B3966" s="75"/>
      <c r="C3966" s="67"/>
      <c r="D3966" s="75"/>
      <c r="E3966" s="67"/>
      <c r="F3966" s="67"/>
      <c r="G3966" s="70"/>
      <c r="H3966" s="70"/>
      <c r="I3966" s="70"/>
      <c r="J3966" s="70"/>
      <c r="K3966" s="70"/>
      <c r="L3966" s="67"/>
      <c r="M3966" s="67"/>
      <c r="N3966" s="72"/>
      <c r="O3966" s="72"/>
      <c r="P3966" s="67"/>
      <c r="Q3966" s="67"/>
      <c r="R3966" s="67"/>
      <c r="S3966" s="67"/>
      <c r="T3966" s="32"/>
      <c r="U3966" s="32"/>
      <c r="X3966" s="32"/>
      <c r="Y3966" s="32"/>
      <c r="Z3966" s="32"/>
      <c r="AA3966" s="32"/>
      <c r="AB3966" s="32"/>
    </row>
    <row r="3967" spans="2:28" ht="23.25" customHeight="1" x14ac:dyDescent="0.2">
      <c r="B3967" s="75"/>
      <c r="C3967" s="67"/>
      <c r="D3967" s="75"/>
      <c r="E3967" s="67"/>
      <c r="F3967" s="67"/>
      <c r="G3967" s="70"/>
      <c r="H3967" s="70"/>
      <c r="I3967" s="70"/>
      <c r="J3967" s="70"/>
      <c r="K3967" s="70"/>
      <c r="L3967" s="67"/>
      <c r="M3967" s="67"/>
      <c r="N3967" s="72"/>
      <c r="O3967" s="72"/>
      <c r="P3967" s="67"/>
      <c r="Q3967" s="67"/>
      <c r="R3967" s="67"/>
      <c r="S3967" s="67"/>
      <c r="T3967" s="32"/>
      <c r="U3967" s="32"/>
      <c r="X3967" s="32"/>
      <c r="Y3967" s="32"/>
      <c r="Z3967" s="32"/>
      <c r="AA3967" s="32"/>
      <c r="AB3967" s="32"/>
    </row>
    <row r="3968" spans="2:28" ht="23.25" customHeight="1" x14ac:dyDescent="0.2">
      <c r="B3968" s="75"/>
      <c r="C3968" s="67"/>
      <c r="D3968" s="75"/>
      <c r="E3968" s="67"/>
      <c r="F3968" s="67"/>
      <c r="G3968" s="70"/>
      <c r="H3968" s="70"/>
      <c r="I3968" s="70"/>
      <c r="J3968" s="70"/>
      <c r="K3968" s="70"/>
      <c r="L3968" s="67"/>
      <c r="M3968" s="67"/>
      <c r="N3968" s="72"/>
      <c r="O3968" s="72"/>
      <c r="P3968" s="67"/>
      <c r="Q3968" s="67"/>
      <c r="R3968" s="67"/>
      <c r="S3968" s="67"/>
      <c r="T3968" s="32"/>
      <c r="U3968" s="32"/>
      <c r="X3968" s="32"/>
      <c r="Y3968" s="32"/>
      <c r="Z3968" s="32"/>
      <c r="AA3968" s="32"/>
      <c r="AB3968" s="32"/>
    </row>
    <row r="3969" spans="2:28" ht="23.25" customHeight="1" x14ac:dyDescent="0.2">
      <c r="B3969" s="75"/>
      <c r="C3969" s="67"/>
      <c r="D3969" s="75"/>
      <c r="E3969" s="67"/>
      <c r="F3969" s="67"/>
      <c r="G3969" s="70"/>
      <c r="H3969" s="70"/>
      <c r="I3969" s="70"/>
      <c r="J3969" s="70"/>
      <c r="K3969" s="70"/>
      <c r="L3969" s="67"/>
      <c r="M3969" s="67"/>
      <c r="N3969" s="72"/>
      <c r="O3969" s="72"/>
      <c r="P3969" s="67"/>
      <c r="Q3969" s="67"/>
      <c r="R3969" s="67"/>
      <c r="S3969" s="67"/>
      <c r="T3969" s="32"/>
      <c r="U3969" s="32"/>
      <c r="X3969" s="32"/>
      <c r="Y3969" s="32"/>
      <c r="Z3969" s="32"/>
      <c r="AA3969" s="32"/>
      <c r="AB3969" s="32"/>
    </row>
    <row r="3970" spans="2:28" ht="23.25" customHeight="1" x14ac:dyDescent="0.2">
      <c r="B3970" s="75"/>
      <c r="C3970" s="67"/>
      <c r="D3970" s="75"/>
      <c r="E3970" s="67"/>
      <c r="F3970" s="67"/>
      <c r="G3970" s="70"/>
      <c r="H3970" s="70"/>
      <c r="I3970" s="70"/>
      <c r="J3970" s="70"/>
      <c r="K3970" s="70"/>
      <c r="L3970" s="67"/>
      <c r="M3970" s="67"/>
      <c r="N3970" s="72"/>
      <c r="O3970" s="72"/>
      <c r="P3970" s="67"/>
      <c r="Q3970" s="67"/>
      <c r="R3970" s="67"/>
      <c r="S3970" s="67"/>
      <c r="T3970" s="32"/>
      <c r="U3970" s="32"/>
      <c r="X3970" s="32"/>
      <c r="Y3970" s="32"/>
      <c r="Z3970" s="32"/>
      <c r="AA3970" s="32"/>
      <c r="AB3970" s="32"/>
    </row>
    <row r="3971" spans="2:28" ht="23.25" customHeight="1" x14ac:dyDescent="0.2">
      <c r="B3971" s="75"/>
      <c r="C3971" s="67"/>
      <c r="D3971" s="75"/>
      <c r="E3971" s="67"/>
      <c r="F3971" s="67"/>
      <c r="G3971" s="70"/>
      <c r="H3971" s="70"/>
      <c r="I3971" s="70"/>
      <c r="J3971" s="70"/>
      <c r="K3971" s="70"/>
      <c r="L3971" s="67"/>
      <c r="M3971" s="67"/>
      <c r="N3971" s="72"/>
      <c r="O3971" s="72"/>
      <c r="P3971" s="67"/>
      <c r="Q3971" s="67"/>
      <c r="R3971" s="67"/>
      <c r="S3971" s="67"/>
      <c r="T3971" s="32"/>
      <c r="U3971" s="32"/>
      <c r="X3971" s="32"/>
      <c r="Y3971" s="32"/>
      <c r="Z3971" s="32"/>
      <c r="AA3971" s="32"/>
      <c r="AB3971" s="32"/>
    </row>
    <row r="3972" spans="2:28" ht="23.25" customHeight="1" x14ac:dyDescent="0.2">
      <c r="B3972" s="75"/>
      <c r="C3972" s="67"/>
      <c r="D3972" s="75"/>
      <c r="E3972" s="67"/>
      <c r="F3972" s="67"/>
      <c r="G3972" s="70"/>
      <c r="H3972" s="70"/>
      <c r="I3972" s="70"/>
      <c r="J3972" s="70"/>
      <c r="K3972" s="70"/>
      <c r="L3972" s="67"/>
      <c r="M3972" s="67"/>
      <c r="N3972" s="72"/>
      <c r="O3972" s="72"/>
      <c r="P3972" s="67"/>
      <c r="Q3972" s="67"/>
      <c r="R3972" s="67"/>
      <c r="S3972" s="67"/>
      <c r="T3972" s="32"/>
      <c r="U3972" s="32"/>
      <c r="X3972" s="32"/>
      <c r="Y3972" s="32"/>
      <c r="Z3972" s="32"/>
      <c r="AA3972" s="32"/>
      <c r="AB3972" s="32"/>
    </row>
    <row r="3973" spans="2:28" ht="23.25" customHeight="1" x14ac:dyDescent="0.2">
      <c r="B3973" s="75"/>
      <c r="C3973" s="67"/>
      <c r="D3973" s="75"/>
      <c r="E3973" s="67"/>
      <c r="F3973" s="67"/>
      <c r="G3973" s="70"/>
      <c r="H3973" s="70"/>
      <c r="I3973" s="70"/>
      <c r="J3973" s="70"/>
      <c r="K3973" s="70"/>
      <c r="L3973" s="67"/>
      <c r="M3973" s="67"/>
      <c r="N3973" s="72"/>
      <c r="O3973" s="72"/>
      <c r="P3973" s="67"/>
      <c r="Q3973" s="67"/>
      <c r="R3973" s="67"/>
      <c r="S3973" s="67"/>
      <c r="T3973" s="32"/>
      <c r="U3973" s="32"/>
      <c r="X3973" s="32"/>
      <c r="Y3973" s="32"/>
      <c r="Z3973" s="32"/>
      <c r="AA3973" s="32"/>
      <c r="AB3973" s="32"/>
    </row>
    <row r="3974" spans="2:28" ht="23.25" customHeight="1" x14ac:dyDescent="0.2">
      <c r="B3974" s="75"/>
      <c r="C3974" s="67"/>
      <c r="D3974" s="75"/>
      <c r="E3974" s="67"/>
      <c r="F3974" s="67"/>
      <c r="G3974" s="70"/>
      <c r="H3974" s="70"/>
      <c r="I3974" s="70"/>
      <c r="J3974" s="70"/>
      <c r="K3974" s="70"/>
      <c r="L3974" s="67"/>
      <c r="M3974" s="67"/>
      <c r="N3974" s="72"/>
      <c r="O3974" s="72"/>
      <c r="P3974" s="67"/>
      <c r="Q3974" s="67"/>
      <c r="R3974" s="67"/>
      <c r="S3974" s="67"/>
      <c r="T3974" s="32"/>
      <c r="U3974" s="32"/>
      <c r="X3974" s="32"/>
      <c r="Y3974" s="32"/>
      <c r="Z3974" s="32"/>
      <c r="AA3974" s="32"/>
      <c r="AB3974" s="32"/>
    </row>
    <row r="3975" spans="2:28" ht="23.25" customHeight="1" x14ac:dyDescent="0.2">
      <c r="B3975" s="75"/>
      <c r="C3975" s="67"/>
      <c r="D3975" s="75"/>
      <c r="E3975" s="67"/>
      <c r="F3975" s="67"/>
      <c r="G3975" s="70"/>
      <c r="H3975" s="70"/>
      <c r="I3975" s="70"/>
      <c r="J3975" s="70"/>
      <c r="K3975" s="70"/>
      <c r="L3975" s="67"/>
      <c r="M3975" s="67"/>
      <c r="N3975" s="72"/>
      <c r="O3975" s="72"/>
      <c r="P3975" s="67"/>
      <c r="Q3975" s="67"/>
      <c r="R3975" s="67"/>
      <c r="S3975" s="67"/>
      <c r="T3975" s="32"/>
      <c r="U3975" s="32"/>
      <c r="X3975" s="32"/>
      <c r="Y3975" s="32"/>
      <c r="Z3975" s="32"/>
      <c r="AA3975" s="32"/>
      <c r="AB3975" s="32"/>
    </row>
    <row r="3976" spans="2:28" ht="23.25" customHeight="1" x14ac:dyDescent="0.2">
      <c r="B3976" s="75"/>
      <c r="C3976" s="67"/>
      <c r="D3976" s="75"/>
      <c r="E3976" s="67"/>
      <c r="F3976" s="67"/>
      <c r="G3976" s="70"/>
      <c r="H3976" s="70"/>
      <c r="I3976" s="70"/>
      <c r="J3976" s="70"/>
      <c r="K3976" s="70"/>
      <c r="L3976" s="67"/>
      <c r="M3976" s="67"/>
      <c r="N3976" s="72"/>
      <c r="O3976" s="72"/>
      <c r="P3976" s="67"/>
      <c r="Q3976" s="67"/>
      <c r="R3976" s="67"/>
      <c r="S3976" s="67"/>
      <c r="T3976" s="32"/>
      <c r="U3976" s="32"/>
      <c r="X3976" s="32"/>
      <c r="Y3976" s="32"/>
      <c r="Z3976" s="32"/>
      <c r="AA3976" s="32"/>
      <c r="AB3976" s="32"/>
    </row>
    <row r="3977" spans="2:28" ht="23.25" customHeight="1" x14ac:dyDescent="0.2">
      <c r="B3977" s="75"/>
      <c r="C3977" s="67"/>
      <c r="D3977" s="75"/>
      <c r="E3977" s="67"/>
      <c r="F3977" s="67"/>
      <c r="G3977" s="70"/>
      <c r="H3977" s="70"/>
      <c r="I3977" s="70"/>
      <c r="J3977" s="70"/>
      <c r="K3977" s="70"/>
      <c r="L3977" s="67"/>
      <c r="M3977" s="67"/>
      <c r="N3977" s="72"/>
      <c r="O3977" s="72"/>
      <c r="P3977" s="67"/>
      <c r="Q3977" s="67"/>
      <c r="R3977" s="67"/>
      <c r="S3977" s="67"/>
      <c r="T3977" s="32"/>
      <c r="U3977" s="32"/>
      <c r="X3977" s="32"/>
      <c r="Y3977" s="32"/>
      <c r="Z3977" s="32"/>
      <c r="AA3977" s="32"/>
      <c r="AB3977" s="32"/>
    </row>
    <row r="3978" spans="2:28" ht="23.25" customHeight="1" x14ac:dyDescent="0.2">
      <c r="B3978" s="75"/>
      <c r="C3978" s="67"/>
      <c r="D3978" s="75"/>
      <c r="E3978" s="67"/>
      <c r="F3978" s="67"/>
      <c r="G3978" s="70"/>
      <c r="H3978" s="70"/>
      <c r="I3978" s="70"/>
      <c r="J3978" s="70"/>
      <c r="K3978" s="70"/>
      <c r="L3978" s="67"/>
      <c r="M3978" s="67"/>
      <c r="N3978" s="72"/>
      <c r="O3978" s="72"/>
      <c r="P3978" s="67"/>
      <c r="Q3978" s="67"/>
      <c r="R3978" s="67"/>
      <c r="S3978" s="67"/>
      <c r="T3978" s="32"/>
      <c r="U3978" s="32"/>
      <c r="X3978" s="32"/>
      <c r="Y3978" s="32"/>
      <c r="Z3978" s="32"/>
      <c r="AA3978" s="32"/>
      <c r="AB3978" s="32"/>
    </row>
    <row r="3979" spans="2:28" ht="23.25" customHeight="1" x14ac:dyDescent="0.2">
      <c r="B3979" s="75"/>
      <c r="C3979" s="67"/>
      <c r="D3979" s="75"/>
      <c r="E3979" s="67"/>
      <c r="F3979" s="67"/>
      <c r="G3979" s="70"/>
      <c r="H3979" s="70"/>
      <c r="I3979" s="70"/>
      <c r="J3979" s="70"/>
      <c r="K3979" s="70"/>
      <c r="L3979" s="67"/>
      <c r="M3979" s="67"/>
      <c r="N3979" s="72"/>
      <c r="O3979" s="72"/>
      <c r="P3979" s="67"/>
      <c r="Q3979" s="67"/>
      <c r="R3979" s="67"/>
      <c r="S3979" s="67"/>
      <c r="T3979" s="32"/>
      <c r="U3979" s="32"/>
      <c r="X3979" s="32"/>
      <c r="Y3979" s="32"/>
      <c r="Z3979" s="32"/>
      <c r="AA3979" s="32"/>
      <c r="AB3979" s="32"/>
    </row>
    <row r="3980" spans="2:28" ht="23.25" customHeight="1" x14ac:dyDescent="0.2">
      <c r="B3980" s="75"/>
      <c r="C3980" s="67"/>
      <c r="D3980" s="75"/>
      <c r="E3980" s="67"/>
      <c r="F3980" s="67"/>
      <c r="G3980" s="70"/>
      <c r="H3980" s="70"/>
      <c r="I3980" s="70"/>
      <c r="J3980" s="70"/>
      <c r="K3980" s="70"/>
      <c r="L3980" s="67"/>
      <c r="M3980" s="67"/>
      <c r="N3980" s="72"/>
      <c r="O3980" s="72"/>
      <c r="P3980" s="67"/>
      <c r="Q3980" s="67"/>
      <c r="R3980" s="67"/>
      <c r="S3980" s="67"/>
      <c r="T3980" s="32"/>
      <c r="U3980" s="32"/>
      <c r="X3980" s="32"/>
      <c r="Y3980" s="32"/>
      <c r="Z3980" s="32"/>
      <c r="AA3980" s="32"/>
      <c r="AB3980" s="32"/>
    </row>
    <row r="3981" spans="2:28" ht="23.25" customHeight="1" x14ac:dyDescent="0.2">
      <c r="B3981" s="75"/>
      <c r="C3981" s="67"/>
      <c r="D3981" s="75"/>
      <c r="E3981" s="67"/>
      <c r="F3981" s="67"/>
      <c r="G3981" s="70"/>
      <c r="H3981" s="70"/>
      <c r="I3981" s="70"/>
      <c r="J3981" s="70"/>
      <c r="K3981" s="70"/>
      <c r="L3981" s="67"/>
      <c r="M3981" s="67"/>
      <c r="N3981" s="72"/>
      <c r="O3981" s="72"/>
      <c r="P3981" s="67"/>
      <c r="Q3981" s="67"/>
      <c r="R3981" s="67"/>
      <c r="S3981" s="67"/>
      <c r="T3981" s="32"/>
      <c r="U3981" s="32"/>
      <c r="X3981" s="32"/>
      <c r="Y3981" s="32"/>
      <c r="Z3981" s="32"/>
      <c r="AA3981" s="32"/>
      <c r="AB3981" s="32"/>
    </row>
    <row r="3982" spans="2:28" ht="23.25" customHeight="1" x14ac:dyDescent="0.2">
      <c r="B3982" s="75"/>
      <c r="C3982" s="67"/>
      <c r="D3982" s="75"/>
      <c r="E3982" s="67"/>
      <c r="F3982" s="67"/>
      <c r="G3982" s="70"/>
      <c r="H3982" s="70"/>
      <c r="I3982" s="70"/>
      <c r="J3982" s="70"/>
      <c r="K3982" s="70"/>
      <c r="L3982" s="67"/>
      <c r="M3982" s="67"/>
      <c r="N3982" s="72"/>
      <c r="O3982" s="72"/>
      <c r="P3982" s="67"/>
      <c r="Q3982" s="67"/>
      <c r="R3982" s="67"/>
      <c r="S3982" s="67"/>
      <c r="T3982" s="32"/>
      <c r="U3982" s="32"/>
      <c r="X3982" s="32"/>
      <c r="Y3982" s="32"/>
      <c r="Z3982" s="32"/>
      <c r="AA3982" s="32"/>
      <c r="AB3982" s="32"/>
    </row>
    <row r="3983" spans="2:28" ht="23.25" customHeight="1" x14ac:dyDescent="0.2">
      <c r="B3983" s="75"/>
      <c r="C3983" s="67"/>
      <c r="D3983" s="75"/>
      <c r="E3983" s="67"/>
      <c r="F3983" s="67"/>
      <c r="G3983" s="70"/>
      <c r="H3983" s="70"/>
      <c r="I3983" s="70"/>
      <c r="J3983" s="70"/>
      <c r="K3983" s="70"/>
      <c r="L3983" s="67"/>
      <c r="M3983" s="67"/>
      <c r="N3983" s="72"/>
      <c r="O3983" s="72"/>
      <c r="P3983" s="67"/>
      <c r="Q3983" s="67"/>
      <c r="R3983" s="67"/>
      <c r="S3983" s="67"/>
      <c r="T3983" s="32"/>
      <c r="U3983" s="32"/>
      <c r="X3983" s="32"/>
      <c r="Y3983" s="32"/>
      <c r="Z3983" s="32"/>
      <c r="AA3983" s="32"/>
      <c r="AB3983" s="32"/>
    </row>
    <row r="3984" spans="2:28" ht="23.25" customHeight="1" x14ac:dyDescent="0.2">
      <c r="B3984" s="75"/>
      <c r="C3984" s="67"/>
      <c r="D3984" s="75"/>
      <c r="E3984" s="67"/>
      <c r="F3984" s="67"/>
      <c r="G3984" s="70"/>
      <c r="H3984" s="70"/>
      <c r="I3984" s="70"/>
      <c r="J3984" s="70"/>
      <c r="K3984" s="70"/>
      <c r="L3984" s="67"/>
      <c r="M3984" s="67"/>
      <c r="N3984" s="72"/>
      <c r="O3984" s="72"/>
      <c r="P3984" s="67"/>
      <c r="Q3984" s="67"/>
      <c r="R3984" s="67"/>
      <c r="S3984" s="67"/>
      <c r="T3984" s="32"/>
      <c r="U3984" s="32"/>
      <c r="X3984" s="32"/>
      <c r="Y3984" s="32"/>
      <c r="Z3984" s="32"/>
      <c r="AA3984" s="32"/>
      <c r="AB3984" s="32"/>
    </row>
    <row r="3985" spans="2:28" ht="23.25" customHeight="1" x14ac:dyDescent="0.2">
      <c r="B3985" s="75"/>
      <c r="C3985" s="67"/>
      <c r="D3985" s="75"/>
      <c r="E3985" s="67"/>
      <c r="F3985" s="67"/>
      <c r="G3985" s="70"/>
      <c r="H3985" s="70"/>
      <c r="I3985" s="70"/>
      <c r="J3985" s="70"/>
      <c r="K3985" s="70"/>
      <c r="L3985" s="67"/>
      <c r="M3985" s="67"/>
      <c r="N3985" s="72"/>
      <c r="O3985" s="72"/>
      <c r="P3985" s="67"/>
      <c r="Q3985" s="67"/>
      <c r="R3985" s="67"/>
      <c r="S3985" s="67"/>
      <c r="T3985" s="32"/>
      <c r="U3985" s="32"/>
      <c r="X3985" s="32"/>
      <c r="Y3985" s="32"/>
      <c r="Z3985" s="32"/>
      <c r="AA3985" s="32"/>
      <c r="AB3985" s="32"/>
    </row>
    <row r="3986" spans="2:28" ht="23.25" customHeight="1" x14ac:dyDescent="0.2">
      <c r="B3986" s="75"/>
      <c r="C3986" s="67"/>
      <c r="D3986" s="75"/>
      <c r="E3986" s="67"/>
      <c r="F3986" s="67"/>
      <c r="G3986" s="70"/>
      <c r="H3986" s="70"/>
      <c r="I3986" s="70"/>
      <c r="J3986" s="70"/>
      <c r="K3986" s="70"/>
      <c r="L3986" s="67"/>
      <c r="M3986" s="67"/>
      <c r="N3986" s="72"/>
      <c r="O3986" s="72"/>
      <c r="P3986" s="67"/>
      <c r="Q3986" s="67"/>
      <c r="R3986" s="67"/>
      <c r="S3986" s="67"/>
      <c r="T3986" s="32"/>
      <c r="U3986" s="32"/>
      <c r="X3986" s="32"/>
      <c r="Y3986" s="32"/>
      <c r="Z3986" s="32"/>
      <c r="AA3986" s="32"/>
      <c r="AB3986" s="32"/>
    </row>
    <row r="3987" spans="2:28" ht="23.25" customHeight="1" x14ac:dyDescent="0.2">
      <c r="B3987" s="75"/>
      <c r="C3987" s="67"/>
      <c r="D3987" s="75"/>
      <c r="E3987" s="67"/>
      <c r="F3987" s="67"/>
      <c r="G3987" s="70"/>
      <c r="H3987" s="70"/>
      <c r="I3987" s="70"/>
      <c r="J3987" s="70"/>
      <c r="K3987" s="70"/>
      <c r="L3987" s="67"/>
      <c r="M3987" s="67"/>
      <c r="N3987" s="72"/>
      <c r="O3987" s="72"/>
      <c r="P3987" s="67"/>
      <c r="Q3987" s="67"/>
      <c r="R3987" s="67"/>
      <c r="S3987" s="67"/>
      <c r="T3987" s="32"/>
      <c r="U3987" s="32"/>
      <c r="X3987" s="32"/>
      <c r="Y3987" s="32"/>
      <c r="Z3987" s="32"/>
      <c r="AA3987" s="32"/>
      <c r="AB3987" s="32"/>
    </row>
    <row r="3988" spans="2:28" ht="23.25" customHeight="1" x14ac:dyDescent="0.2">
      <c r="B3988" s="75"/>
      <c r="C3988" s="67"/>
      <c r="D3988" s="75"/>
      <c r="E3988" s="67"/>
      <c r="F3988" s="67"/>
      <c r="G3988" s="70"/>
      <c r="H3988" s="70"/>
      <c r="I3988" s="70"/>
      <c r="J3988" s="70"/>
      <c r="K3988" s="70"/>
      <c r="L3988" s="67"/>
      <c r="M3988" s="67"/>
      <c r="N3988" s="72"/>
      <c r="O3988" s="72"/>
      <c r="P3988" s="67"/>
      <c r="Q3988" s="67"/>
      <c r="R3988" s="67"/>
      <c r="S3988" s="67"/>
      <c r="T3988" s="32"/>
      <c r="U3988" s="32"/>
      <c r="X3988" s="32"/>
      <c r="Y3988" s="32"/>
      <c r="Z3988" s="32"/>
      <c r="AA3988" s="32"/>
      <c r="AB3988" s="32"/>
    </row>
    <row r="3989" spans="2:28" ht="23.25" customHeight="1" x14ac:dyDescent="0.2">
      <c r="B3989" s="75"/>
      <c r="C3989" s="67"/>
      <c r="D3989" s="75"/>
      <c r="E3989" s="67"/>
      <c r="F3989" s="67"/>
      <c r="G3989" s="70"/>
      <c r="H3989" s="70"/>
      <c r="I3989" s="70"/>
      <c r="J3989" s="70"/>
      <c r="K3989" s="70"/>
      <c r="L3989" s="67"/>
      <c r="M3989" s="67"/>
      <c r="N3989" s="72"/>
      <c r="O3989" s="72"/>
      <c r="P3989" s="67"/>
      <c r="Q3989" s="67"/>
      <c r="R3989" s="67"/>
      <c r="S3989" s="67"/>
      <c r="T3989" s="32"/>
      <c r="U3989" s="32"/>
      <c r="X3989" s="32"/>
      <c r="Y3989" s="32"/>
      <c r="Z3989" s="32"/>
      <c r="AA3989" s="32"/>
      <c r="AB3989" s="32"/>
    </row>
    <row r="3990" spans="2:28" ht="23.25" customHeight="1" x14ac:dyDescent="0.2">
      <c r="B3990" s="75"/>
      <c r="C3990" s="67"/>
      <c r="D3990" s="75"/>
      <c r="E3990" s="67"/>
      <c r="F3990" s="67"/>
      <c r="G3990" s="70"/>
      <c r="H3990" s="70"/>
      <c r="I3990" s="70"/>
      <c r="J3990" s="70"/>
      <c r="K3990" s="70"/>
      <c r="L3990" s="67"/>
      <c r="M3990" s="67"/>
      <c r="N3990" s="72"/>
      <c r="O3990" s="72"/>
      <c r="P3990" s="67"/>
      <c r="Q3990" s="67"/>
      <c r="R3990" s="67"/>
      <c r="S3990" s="67"/>
      <c r="T3990" s="32"/>
      <c r="U3990" s="32"/>
      <c r="X3990" s="32"/>
      <c r="Y3990" s="32"/>
      <c r="Z3990" s="32"/>
      <c r="AA3990" s="32"/>
      <c r="AB3990" s="32"/>
    </row>
    <row r="3991" spans="2:28" ht="23.25" customHeight="1" x14ac:dyDescent="0.2">
      <c r="B3991" s="75"/>
      <c r="C3991" s="67"/>
      <c r="D3991" s="75"/>
      <c r="E3991" s="67"/>
      <c r="F3991" s="67"/>
      <c r="G3991" s="70"/>
      <c r="H3991" s="70"/>
      <c r="I3991" s="70"/>
      <c r="J3991" s="70"/>
      <c r="K3991" s="70"/>
      <c r="L3991" s="67"/>
      <c r="M3991" s="67"/>
      <c r="N3991" s="72"/>
      <c r="O3991" s="72"/>
      <c r="P3991" s="67"/>
      <c r="Q3991" s="67"/>
      <c r="R3991" s="67"/>
      <c r="S3991" s="67"/>
      <c r="T3991" s="32"/>
      <c r="U3991" s="32"/>
      <c r="X3991" s="32"/>
      <c r="Y3991" s="32"/>
      <c r="Z3991" s="32"/>
      <c r="AA3991" s="32"/>
      <c r="AB3991" s="32"/>
    </row>
    <row r="3992" spans="2:28" ht="23.25" customHeight="1" x14ac:dyDescent="0.2">
      <c r="B3992" s="75"/>
      <c r="C3992" s="67"/>
      <c r="D3992" s="75"/>
      <c r="E3992" s="67"/>
      <c r="F3992" s="67"/>
      <c r="G3992" s="70"/>
      <c r="H3992" s="70"/>
      <c r="I3992" s="70"/>
      <c r="J3992" s="70"/>
      <c r="K3992" s="70"/>
      <c r="L3992" s="67"/>
      <c r="M3992" s="67"/>
      <c r="N3992" s="72"/>
      <c r="O3992" s="72"/>
      <c r="P3992" s="67"/>
      <c r="Q3992" s="67"/>
      <c r="R3992" s="67"/>
      <c r="S3992" s="67"/>
      <c r="T3992" s="32"/>
      <c r="U3992" s="32"/>
      <c r="X3992" s="32"/>
      <c r="Y3992" s="32"/>
      <c r="Z3992" s="32"/>
      <c r="AA3992" s="32"/>
      <c r="AB3992" s="32"/>
    </row>
    <row r="3993" spans="2:28" ht="23.25" customHeight="1" x14ac:dyDescent="0.2">
      <c r="B3993" s="75"/>
      <c r="C3993" s="67"/>
      <c r="D3993" s="75"/>
      <c r="E3993" s="67"/>
      <c r="F3993" s="67"/>
      <c r="G3993" s="70"/>
      <c r="H3993" s="70"/>
      <c r="I3993" s="70"/>
      <c r="J3993" s="70"/>
      <c r="K3993" s="70"/>
      <c r="L3993" s="67"/>
      <c r="M3993" s="67"/>
      <c r="N3993" s="72"/>
      <c r="O3993" s="72"/>
      <c r="P3993" s="67"/>
      <c r="Q3993" s="67"/>
      <c r="R3993" s="67"/>
      <c r="S3993" s="67"/>
      <c r="T3993" s="32"/>
      <c r="U3993" s="32"/>
      <c r="X3993" s="32"/>
      <c r="Y3993" s="32"/>
      <c r="Z3993" s="32"/>
      <c r="AA3993" s="32"/>
      <c r="AB3993" s="32"/>
    </row>
    <row r="3994" spans="2:28" ht="23.25" customHeight="1" x14ac:dyDescent="0.2">
      <c r="B3994" s="75"/>
      <c r="C3994" s="67"/>
      <c r="D3994" s="75"/>
      <c r="E3994" s="67"/>
      <c r="F3994" s="67"/>
      <c r="G3994" s="70"/>
      <c r="H3994" s="70"/>
      <c r="I3994" s="70"/>
      <c r="J3994" s="70"/>
      <c r="K3994" s="70"/>
      <c r="L3994" s="67"/>
      <c r="M3994" s="67"/>
      <c r="N3994" s="72"/>
      <c r="O3994" s="72"/>
      <c r="P3994" s="67"/>
      <c r="Q3994" s="67"/>
      <c r="R3994" s="67"/>
      <c r="S3994" s="67"/>
      <c r="T3994" s="32"/>
      <c r="U3994" s="32"/>
      <c r="X3994" s="32"/>
      <c r="Y3994" s="32"/>
      <c r="Z3994" s="32"/>
      <c r="AA3994" s="32"/>
      <c r="AB3994" s="32"/>
    </row>
    <row r="3995" spans="2:28" ht="23.25" customHeight="1" x14ac:dyDescent="0.2">
      <c r="B3995" s="75"/>
      <c r="C3995" s="67"/>
      <c r="D3995" s="75"/>
      <c r="E3995" s="67"/>
      <c r="F3995" s="67"/>
      <c r="G3995" s="70"/>
      <c r="H3995" s="70"/>
      <c r="I3995" s="70"/>
      <c r="J3995" s="70"/>
      <c r="K3995" s="70"/>
      <c r="L3995" s="67"/>
      <c r="M3995" s="67"/>
      <c r="N3995" s="72"/>
      <c r="O3995" s="72"/>
      <c r="P3995" s="67"/>
      <c r="Q3995" s="67"/>
      <c r="R3995" s="67"/>
      <c r="S3995" s="67"/>
      <c r="T3995" s="32"/>
      <c r="U3995" s="32"/>
      <c r="X3995" s="32"/>
      <c r="Y3995" s="32"/>
      <c r="Z3995" s="32"/>
      <c r="AA3995" s="32"/>
      <c r="AB3995" s="32"/>
    </row>
    <row r="3996" spans="2:28" ht="23.25" customHeight="1" x14ac:dyDescent="0.2">
      <c r="B3996" s="75"/>
      <c r="C3996" s="67"/>
      <c r="D3996" s="75"/>
      <c r="E3996" s="67"/>
      <c r="F3996" s="67"/>
      <c r="G3996" s="70"/>
      <c r="H3996" s="70"/>
      <c r="I3996" s="70"/>
      <c r="J3996" s="70"/>
      <c r="K3996" s="70"/>
      <c r="L3996" s="67"/>
      <c r="M3996" s="67"/>
      <c r="N3996" s="72"/>
      <c r="O3996" s="72"/>
      <c r="P3996" s="67"/>
      <c r="Q3996" s="67"/>
      <c r="R3996" s="67"/>
      <c r="S3996" s="67"/>
      <c r="T3996" s="32"/>
      <c r="U3996" s="32"/>
      <c r="X3996" s="32"/>
      <c r="Y3996" s="32"/>
      <c r="Z3996" s="32"/>
      <c r="AA3996" s="32"/>
      <c r="AB3996" s="32"/>
    </row>
    <row r="3997" spans="2:28" ht="23.25" customHeight="1" x14ac:dyDescent="0.2">
      <c r="B3997" s="75"/>
      <c r="C3997" s="67"/>
      <c r="D3997" s="75"/>
      <c r="E3997" s="67"/>
      <c r="F3997" s="67"/>
      <c r="G3997" s="70"/>
      <c r="H3997" s="70"/>
      <c r="I3997" s="70"/>
      <c r="J3997" s="70"/>
      <c r="K3997" s="70"/>
      <c r="L3997" s="67"/>
      <c r="M3997" s="67"/>
      <c r="N3997" s="72"/>
      <c r="O3997" s="72"/>
      <c r="P3997" s="67"/>
      <c r="Q3997" s="67"/>
      <c r="R3997" s="67"/>
      <c r="S3997" s="67"/>
      <c r="T3997" s="32"/>
      <c r="U3997" s="32"/>
      <c r="X3997" s="32"/>
      <c r="Y3997" s="32"/>
      <c r="Z3997" s="32"/>
      <c r="AA3997" s="32"/>
      <c r="AB3997" s="32"/>
    </row>
    <row r="3998" spans="2:28" ht="23.25" customHeight="1" x14ac:dyDescent="0.2">
      <c r="B3998" s="75"/>
      <c r="C3998" s="67"/>
      <c r="D3998" s="75"/>
      <c r="E3998" s="67"/>
      <c r="F3998" s="67"/>
      <c r="G3998" s="70"/>
      <c r="H3998" s="70"/>
      <c r="I3998" s="70"/>
      <c r="J3998" s="70"/>
      <c r="K3998" s="70"/>
      <c r="L3998" s="67"/>
      <c r="M3998" s="67"/>
      <c r="N3998" s="72"/>
      <c r="O3998" s="72"/>
      <c r="P3998" s="67"/>
      <c r="Q3998" s="67"/>
      <c r="R3998" s="67"/>
      <c r="S3998" s="67"/>
      <c r="T3998" s="32"/>
      <c r="U3998" s="32"/>
      <c r="X3998" s="32"/>
      <c r="Y3998" s="32"/>
      <c r="Z3998" s="32"/>
      <c r="AA3998" s="32"/>
      <c r="AB3998" s="32"/>
    </row>
    <row r="3999" spans="2:28" ht="23.25" customHeight="1" x14ac:dyDescent="0.2">
      <c r="B3999" s="75"/>
      <c r="C3999" s="67"/>
      <c r="D3999" s="75"/>
      <c r="E3999" s="67"/>
      <c r="F3999" s="67"/>
      <c r="G3999" s="70"/>
      <c r="H3999" s="70"/>
      <c r="I3999" s="70"/>
      <c r="J3999" s="70"/>
      <c r="K3999" s="70"/>
      <c r="L3999" s="67"/>
      <c r="M3999" s="67"/>
      <c r="N3999" s="72"/>
      <c r="O3999" s="72"/>
      <c r="P3999" s="67"/>
      <c r="Q3999" s="67"/>
      <c r="R3999" s="67"/>
      <c r="S3999" s="67"/>
      <c r="T3999" s="32"/>
      <c r="U3999" s="32"/>
      <c r="X3999" s="32"/>
      <c r="Y3999" s="32"/>
      <c r="Z3999" s="32"/>
      <c r="AA3999" s="32"/>
      <c r="AB3999" s="32"/>
    </row>
    <row r="4000" spans="2:28" ht="23.25" customHeight="1" x14ac:dyDescent="0.2">
      <c r="B4000" s="75"/>
      <c r="C4000" s="67"/>
      <c r="D4000" s="75"/>
      <c r="E4000" s="67"/>
      <c r="F4000" s="67"/>
      <c r="G4000" s="70"/>
      <c r="H4000" s="70"/>
      <c r="I4000" s="70"/>
      <c r="J4000" s="70"/>
      <c r="K4000" s="70"/>
      <c r="L4000" s="67"/>
      <c r="M4000" s="67"/>
      <c r="N4000" s="72"/>
      <c r="O4000" s="72"/>
      <c r="P4000" s="67"/>
      <c r="Q4000" s="67"/>
      <c r="R4000" s="67"/>
      <c r="S4000" s="67"/>
      <c r="T4000" s="32"/>
      <c r="U4000" s="32"/>
      <c r="X4000" s="32"/>
      <c r="Y4000" s="32"/>
      <c r="Z4000" s="32"/>
      <c r="AA4000" s="32"/>
      <c r="AB4000" s="32"/>
    </row>
    <row r="4001" spans="2:28" ht="23.25" customHeight="1" x14ac:dyDescent="0.2">
      <c r="B4001" s="75"/>
      <c r="C4001" s="67"/>
      <c r="D4001" s="75"/>
      <c r="E4001" s="67"/>
      <c r="F4001" s="67"/>
      <c r="G4001" s="70"/>
      <c r="H4001" s="70"/>
      <c r="I4001" s="70"/>
      <c r="J4001" s="70"/>
      <c r="K4001" s="70"/>
      <c r="L4001" s="67"/>
      <c r="M4001" s="67"/>
      <c r="N4001" s="72"/>
      <c r="O4001" s="72"/>
      <c r="P4001" s="67"/>
      <c r="Q4001" s="67"/>
      <c r="R4001" s="67"/>
      <c r="S4001" s="67"/>
      <c r="T4001" s="32"/>
      <c r="U4001" s="32"/>
      <c r="X4001" s="32"/>
      <c r="Y4001" s="32"/>
      <c r="Z4001" s="32"/>
      <c r="AA4001" s="32"/>
      <c r="AB4001" s="32"/>
    </row>
    <row r="4002" spans="2:28" ht="23.25" customHeight="1" x14ac:dyDescent="0.2">
      <c r="B4002" s="75"/>
      <c r="C4002" s="67"/>
      <c r="D4002" s="75"/>
      <c r="E4002" s="67"/>
      <c r="F4002" s="67"/>
      <c r="G4002" s="70"/>
      <c r="H4002" s="70"/>
      <c r="I4002" s="70"/>
      <c r="J4002" s="70"/>
      <c r="K4002" s="70"/>
      <c r="L4002" s="67"/>
      <c r="M4002" s="67"/>
      <c r="N4002" s="72"/>
      <c r="O4002" s="72"/>
      <c r="P4002" s="67"/>
      <c r="Q4002" s="67"/>
      <c r="R4002" s="67"/>
      <c r="S4002" s="67"/>
      <c r="T4002" s="32"/>
      <c r="U4002" s="32"/>
      <c r="X4002" s="32"/>
      <c r="Y4002" s="32"/>
      <c r="Z4002" s="32"/>
      <c r="AA4002" s="32"/>
      <c r="AB4002" s="32"/>
    </row>
    <row r="4003" spans="2:28" ht="23.25" customHeight="1" x14ac:dyDescent="0.2">
      <c r="B4003" s="75"/>
      <c r="C4003" s="67"/>
      <c r="D4003" s="75"/>
      <c r="E4003" s="67"/>
      <c r="F4003" s="67"/>
      <c r="G4003" s="70"/>
      <c r="H4003" s="70"/>
      <c r="I4003" s="70"/>
      <c r="J4003" s="70"/>
      <c r="K4003" s="70"/>
      <c r="L4003" s="67"/>
      <c r="M4003" s="67"/>
      <c r="N4003" s="72"/>
      <c r="O4003" s="72"/>
      <c r="P4003" s="67"/>
      <c r="Q4003" s="67"/>
      <c r="R4003" s="67"/>
      <c r="S4003" s="67"/>
      <c r="T4003" s="32"/>
      <c r="U4003" s="32"/>
      <c r="X4003" s="32"/>
      <c r="Y4003" s="32"/>
      <c r="Z4003" s="32"/>
      <c r="AA4003" s="32"/>
      <c r="AB4003" s="32"/>
    </row>
    <row r="4004" spans="2:28" ht="23.25" customHeight="1" x14ac:dyDescent="0.2">
      <c r="B4004" s="75"/>
      <c r="C4004" s="67"/>
      <c r="D4004" s="75"/>
      <c r="E4004" s="67"/>
      <c r="F4004" s="67"/>
      <c r="G4004" s="70"/>
      <c r="H4004" s="70"/>
      <c r="I4004" s="70"/>
      <c r="J4004" s="70"/>
      <c r="K4004" s="70"/>
      <c r="L4004" s="67"/>
      <c r="M4004" s="67"/>
      <c r="N4004" s="72"/>
      <c r="O4004" s="72"/>
      <c r="P4004" s="67"/>
      <c r="Q4004" s="67"/>
      <c r="R4004" s="67"/>
      <c r="S4004" s="67"/>
      <c r="T4004" s="32"/>
      <c r="U4004" s="32"/>
      <c r="X4004" s="32"/>
      <c r="Y4004" s="32"/>
      <c r="Z4004" s="32"/>
      <c r="AA4004" s="32"/>
      <c r="AB4004" s="32"/>
    </row>
    <row r="4005" spans="2:28" ht="23.25" customHeight="1" x14ac:dyDescent="0.2">
      <c r="B4005" s="75"/>
      <c r="C4005" s="67"/>
      <c r="D4005" s="75"/>
      <c r="E4005" s="67"/>
      <c r="F4005" s="67"/>
      <c r="G4005" s="70"/>
      <c r="H4005" s="70"/>
      <c r="I4005" s="70"/>
      <c r="J4005" s="70"/>
      <c r="K4005" s="70"/>
      <c r="L4005" s="67"/>
      <c r="M4005" s="67"/>
      <c r="N4005" s="72"/>
      <c r="O4005" s="72"/>
      <c r="P4005" s="67"/>
      <c r="Q4005" s="67"/>
      <c r="R4005" s="67"/>
      <c r="S4005" s="67"/>
      <c r="T4005" s="32"/>
      <c r="U4005" s="32"/>
      <c r="X4005" s="32"/>
      <c r="Y4005" s="32"/>
      <c r="Z4005" s="32"/>
      <c r="AA4005" s="32"/>
      <c r="AB4005" s="32"/>
    </row>
    <row r="4006" spans="2:28" ht="23.25" customHeight="1" x14ac:dyDescent="0.2">
      <c r="B4006" s="75"/>
      <c r="C4006" s="67"/>
      <c r="D4006" s="75"/>
      <c r="E4006" s="67"/>
      <c r="F4006" s="67"/>
      <c r="G4006" s="70"/>
      <c r="H4006" s="70"/>
      <c r="I4006" s="70"/>
      <c r="J4006" s="70"/>
      <c r="K4006" s="70"/>
      <c r="L4006" s="67"/>
      <c r="M4006" s="67"/>
      <c r="N4006" s="72"/>
      <c r="O4006" s="72"/>
      <c r="P4006" s="67"/>
      <c r="Q4006" s="67"/>
      <c r="R4006" s="67"/>
      <c r="S4006" s="67"/>
      <c r="T4006" s="32"/>
      <c r="U4006" s="32"/>
      <c r="X4006" s="32"/>
      <c r="Y4006" s="32"/>
      <c r="Z4006" s="32"/>
      <c r="AA4006" s="32"/>
      <c r="AB4006" s="32"/>
    </row>
    <row r="4007" spans="2:28" ht="23.25" customHeight="1" x14ac:dyDescent="0.2">
      <c r="B4007" s="75"/>
      <c r="C4007" s="67"/>
      <c r="D4007" s="75"/>
      <c r="E4007" s="67"/>
      <c r="F4007" s="67"/>
      <c r="G4007" s="70"/>
      <c r="H4007" s="70"/>
      <c r="I4007" s="70"/>
      <c r="J4007" s="70"/>
      <c r="K4007" s="70"/>
      <c r="L4007" s="67"/>
      <c r="M4007" s="67"/>
      <c r="N4007" s="72"/>
      <c r="O4007" s="72"/>
      <c r="P4007" s="67"/>
      <c r="Q4007" s="67"/>
      <c r="R4007" s="67"/>
      <c r="S4007" s="67"/>
      <c r="T4007" s="32"/>
      <c r="U4007" s="32"/>
      <c r="X4007" s="32"/>
      <c r="Y4007" s="32"/>
      <c r="Z4007" s="32"/>
      <c r="AA4007" s="32"/>
      <c r="AB4007" s="32"/>
    </row>
    <row r="4008" spans="2:28" ht="23.25" customHeight="1" x14ac:dyDescent="0.2">
      <c r="B4008" s="75"/>
      <c r="C4008" s="67"/>
      <c r="D4008" s="75"/>
      <c r="E4008" s="67"/>
      <c r="F4008" s="67"/>
      <c r="G4008" s="70"/>
      <c r="H4008" s="70"/>
      <c r="I4008" s="70"/>
      <c r="J4008" s="70"/>
      <c r="K4008" s="70"/>
      <c r="L4008" s="67"/>
      <c r="M4008" s="67"/>
      <c r="N4008" s="72"/>
      <c r="O4008" s="72"/>
      <c r="P4008" s="67"/>
      <c r="Q4008" s="67"/>
      <c r="R4008" s="67"/>
      <c r="S4008" s="67"/>
      <c r="T4008" s="32"/>
      <c r="U4008" s="32"/>
      <c r="X4008" s="32"/>
      <c r="Y4008" s="32"/>
      <c r="Z4008" s="32"/>
      <c r="AA4008" s="32"/>
      <c r="AB4008" s="32"/>
    </row>
    <row r="4009" spans="2:28" ht="23.25" customHeight="1" x14ac:dyDescent="0.2">
      <c r="B4009" s="75"/>
      <c r="C4009" s="67"/>
      <c r="D4009" s="75"/>
      <c r="E4009" s="67"/>
      <c r="F4009" s="67"/>
      <c r="G4009" s="70"/>
      <c r="H4009" s="70"/>
      <c r="I4009" s="70"/>
      <c r="J4009" s="70"/>
      <c r="K4009" s="70"/>
      <c r="L4009" s="67"/>
      <c r="M4009" s="67"/>
      <c r="N4009" s="72"/>
      <c r="O4009" s="72"/>
      <c r="P4009" s="67"/>
      <c r="Q4009" s="67"/>
      <c r="R4009" s="67"/>
      <c r="S4009" s="67"/>
      <c r="T4009" s="32"/>
      <c r="U4009" s="32"/>
      <c r="X4009" s="32"/>
      <c r="Y4009" s="32"/>
      <c r="Z4009" s="32"/>
      <c r="AA4009" s="32"/>
      <c r="AB4009" s="32"/>
    </row>
    <row r="4010" spans="2:28" ht="23.25" customHeight="1" x14ac:dyDescent="0.2">
      <c r="B4010" s="75"/>
      <c r="C4010" s="67"/>
      <c r="D4010" s="75"/>
      <c r="E4010" s="67"/>
      <c r="F4010" s="67"/>
      <c r="G4010" s="70"/>
      <c r="H4010" s="70"/>
      <c r="I4010" s="70"/>
      <c r="J4010" s="70"/>
      <c r="K4010" s="70"/>
      <c r="L4010" s="67"/>
      <c r="M4010" s="67"/>
      <c r="N4010" s="72"/>
      <c r="O4010" s="72"/>
      <c r="P4010" s="67"/>
      <c r="Q4010" s="67"/>
      <c r="R4010" s="67"/>
      <c r="S4010" s="67"/>
      <c r="T4010" s="32"/>
      <c r="U4010" s="32"/>
      <c r="X4010" s="32"/>
      <c r="Y4010" s="32"/>
      <c r="Z4010" s="32"/>
      <c r="AA4010" s="32"/>
      <c r="AB4010" s="32"/>
    </row>
    <row r="4011" spans="2:28" ht="23.25" customHeight="1" x14ac:dyDescent="0.2">
      <c r="B4011" s="75"/>
      <c r="C4011" s="67"/>
      <c r="D4011" s="75"/>
      <c r="E4011" s="67"/>
      <c r="F4011" s="67"/>
      <c r="G4011" s="70"/>
      <c r="H4011" s="70"/>
      <c r="I4011" s="70"/>
      <c r="J4011" s="70"/>
      <c r="K4011" s="70"/>
      <c r="L4011" s="67"/>
      <c r="M4011" s="67"/>
      <c r="N4011" s="72"/>
      <c r="O4011" s="72"/>
      <c r="P4011" s="67"/>
      <c r="Q4011" s="67"/>
      <c r="R4011" s="67"/>
      <c r="S4011" s="67"/>
      <c r="T4011" s="32"/>
      <c r="U4011" s="32"/>
      <c r="X4011" s="32"/>
      <c r="Y4011" s="32"/>
      <c r="Z4011" s="32"/>
      <c r="AA4011" s="32"/>
      <c r="AB4011" s="32"/>
    </row>
    <row r="4012" spans="2:28" ht="23.25" customHeight="1" x14ac:dyDescent="0.2">
      <c r="B4012" s="75"/>
      <c r="C4012" s="67"/>
      <c r="D4012" s="75"/>
      <c r="E4012" s="67"/>
      <c r="F4012" s="67"/>
      <c r="G4012" s="70"/>
      <c r="H4012" s="70"/>
      <c r="I4012" s="70"/>
      <c r="J4012" s="70"/>
      <c r="K4012" s="70"/>
      <c r="L4012" s="67"/>
      <c r="M4012" s="67"/>
      <c r="N4012" s="72"/>
      <c r="O4012" s="72"/>
      <c r="P4012" s="67"/>
      <c r="Q4012" s="67"/>
      <c r="R4012" s="67"/>
      <c r="S4012" s="67"/>
      <c r="T4012" s="32"/>
      <c r="U4012" s="32"/>
      <c r="X4012" s="32"/>
      <c r="Y4012" s="32"/>
      <c r="Z4012" s="32"/>
      <c r="AA4012" s="32"/>
      <c r="AB4012" s="32"/>
    </row>
    <row r="4013" spans="2:28" ht="23.25" customHeight="1" x14ac:dyDescent="0.2">
      <c r="B4013" s="75"/>
      <c r="C4013" s="67"/>
      <c r="D4013" s="75"/>
      <c r="E4013" s="67"/>
      <c r="F4013" s="67"/>
      <c r="G4013" s="70"/>
      <c r="H4013" s="70"/>
      <c r="I4013" s="70"/>
      <c r="J4013" s="70"/>
      <c r="K4013" s="70"/>
      <c r="L4013" s="67"/>
      <c r="M4013" s="67"/>
      <c r="N4013" s="72"/>
      <c r="O4013" s="72"/>
      <c r="P4013" s="67"/>
      <c r="Q4013" s="67"/>
      <c r="R4013" s="67"/>
      <c r="S4013" s="67"/>
      <c r="T4013" s="32"/>
      <c r="U4013" s="32"/>
      <c r="X4013" s="32"/>
      <c r="Y4013" s="32"/>
      <c r="Z4013" s="32"/>
      <c r="AA4013" s="32"/>
      <c r="AB4013" s="32"/>
    </row>
    <row r="4014" spans="2:28" ht="23.25" customHeight="1" x14ac:dyDescent="0.2">
      <c r="B4014" s="75"/>
      <c r="C4014" s="67"/>
      <c r="D4014" s="75"/>
      <c r="E4014" s="67"/>
      <c r="F4014" s="67"/>
      <c r="G4014" s="70"/>
      <c r="H4014" s="70"/>
      <c r="I4014" s="70"/>
      <c r="J4014" s="70"/>
      <c r="K4014" s="70"/>
      <c r="L4014" s="67"/>
      <c r="M4014" s="67"/>
      <c r="N4014" s="72"/>
      <c r="O4014" s="72"/>
      <c r="P4014" s="67"/>
      <c r="Q4014" s="67"/>
      <c r="R4014" s="67"/>
      <c r="S4014" s="67"/>
      <c r="T4014" s="32"/>
      <c r="U4014" s="32"/>
      <c r="X4014" s="32"/>
      <c r="Y4014" s="32"/>
      <c r="Z4014" s="32"/>
      <c r="AA4014" s="32"/>
      <c r="AB4014" s="32"/>
    </row>
    <row r="4015" spans="2:28" ht="23.25" customHeight="1" x14ac:dyDescent="0.2">
      <c r="B4015" s="75"/>
      <c r="C4015" s="67"/>
      <c r="D4015" s="75"/>
      <c r="E4015" s="67"/>
      <c r="F4015" s="67"/>
      <c r="G4015" s="70"/>
      <c r="H4015" s="70"/>
      <c r="I4015" s="70"/>
      <c r="J4015" s="70"/>
      <c r="K4015" s="70"/>
      <c r="L4015" s="67"/>
      <c r="M4015" s="67"/>
      <c r="N4015" s="72"/>
      <c r="O4015" s="72"/>
      <c r="P4015" s="67"/>
      <c r="Q4015" s="67"/>
      <c r="R4015" s="67"/>
      <c r="S4015" s="67"/>
      <c r="T4015" s="32"/>
      <c r="U4015" s="32"/>
      <c r="X4015" s="32"/>
      <c r="Y4015" s="32"/>
      <c r="Z4015" s="32"/>
      <c r="AA4015" s="32"/>
      <c r="AB4015" s="32"/>
    </row>
    <row r="4016" spans="2:28" ht="23.25" customHeight="1" x14ac:dyDescent="0.2">
      <c r="B4016" s="75"/>
      <c r="C4016" s="67"/>
      <c r="D4016" s="75"/>
      <c r="E4016" s="67"/>
      <c r="F4016" s="67"/>
      <c r="G4016" s="70"/>
      <c r="H4016" s="70"/>
      <c r="I4016" s="70"/>
      <c r="J4016" s="70"/>
      <c r="K4016" s="70"/>
      <c r="L4016" s="67"/>
      <c r="M4016" s="67"/>
      <c r="N4016" s="72"/>
      <c r="O4016" s="72"/>
      <c r="P4016" s="67"/>
      <c r="Q4016" s="67"/>
      <c r="R4016" s="67"/>
      <c r="S4016" s="67"/>
      <c r="T4016" s="32"/>
      <c r="U4016" s="32"/>
      <c r="X4016" s="32"/>
      <c r="Y4016" s="32"/>
      <c r="Z4016" s="32"/>
      <c r="AA4016" s="32"/>
      <c r="AB4016" s="32"/>
    </row>
    <row r="4017" spans="2:28" ht="23.25" customHeight="1" x14ac:dyDescent="0.2">
      <c r="B4017" s="75"/>
      <c r="C4017" s="67"/>
      <c r="D4017" s="75"/>
      <c r="E4017" s="67"/>
      <c r="F4017" s="67"/>
      <c r="G4017" s="70"/>
      <c r="H4017" s="70"/>
      <c r="I4017" s="70"/>
      <c r="J4017" s="70"/>
      <c r="K4017" s="70"/>
      <c r="L4017" s="67"/>
      <c r="M4017" s="67"/>
      <c r="N4017" s="72"/>
      <c r="O4017" s="72"/>
      <c r="P4017" s="67"/>
      <c r="Q4017" s="67"/>
      <c r="R4017" s="67"/>
      <c r="S4017" s="67"/>
      <c r="T4017" s="32"/>
      <c r="U4017" s="32"/>
      <c r="X4017" s="32"/>
      <c r="Y4017" s="32"/>
      <c r="Z4017" s="32"/>
      <c r="AA4017" s="32"/>
      <c r="AB4017" s="32"/>
    </row>
    <row r="4018" spans="2:28" ht="23.25" customHeight="1" x14ac:dyDescent="0.2">
      <c r="B4018" s="75"/>
      <c r="C4018" s="67"/>
      <c r="D4018" s="75"/>
      <c r="E4018" s="67"/>
      <c r="F4018" s="67"/>
      <c r="G4018" s="70"/>
      <c r="H4018" s="70"/>
      <c r="I4018" s="70"/>
      <c r="J4018" s="70"/>
      <c r="K4018" s="70"/>
      <c r="L4018" s="67"/>
      <c r="M4018" s="67"/>
      <c r="N4018" s="72"/>
      <c r="O4018" s="72"/>
      <c r="P4018" s="67"/>
      <c r="Q4018" s="67"/>
      <c r="R4018" s="67"/>
      <c r="S4018" s="67"/>
      <c r="T4018" s="32"/>
      <c r="U4018" s="32"/>
      <c r="X4018" s="32"/>
      <c r="Y4018" s="32"/>
      <c r="Z4018" s="32"/>
      <c r="AA4018" s="32"/>
      <c r="AB4018" s="32"/>
    </row>
    <row r="4019" spans="2:28" ht="23.25" customHeight="1" x14ac:dyDescent="0.2">
      <c r="B4019" s="75"/>
      <c r="C4019" s="67"/>
      <c r="D4019" s="75"/>
      <c r="E4019" s="67"/>
      <c r="F4019" s="67"/>
      <c r="G4019" s="70"/>
      <c r="H4019" s="70"/>
      <c r="I4019" s="70"/>
      <c r="J4019" s="70"/>
      <c r="K4019" s="70"/>
      <c r="L4019" s="67"/>
      <c r="M4019" s="67"/>
      <c r="N4019" s="72"/>
      <c r="O4019" s="72"/>
      <c r="P4019" s="67"/>
      <c r="Q4019" s="67"/>
      <c r="R4019" s="67"/>
      <c r="S4019" s="67"/>
      <c r="T4019" s="32"/>
      <c r="U4019" s="32"/>
      <c r="X4019" s="32"/>
      <c r="Y4019" s="32"/>
      <c r="Z4019" s="32"/>
      <c r="AA4019" s="32"/>
      <c r="AB4019" s="32"/>
    </row>
    <row r="4020" spans="2:28" ht="23.25" customHeight="1" x14ac:dyDescent="0.2">
      <c r="B4020" s="75"/>
      <c r="C4020" s="67"/>
      <c r="D4020" s="75"/>
      <c r="E4020" s="67"/>
      <c r="F4020" s="67"/>
      <c r="G4020" s="70"/>
      <c r="H4020" s="70"/>
      <c r="I4020" s="70"/>
      <c r="J4020" s="70"/>
      <c r="K4020" s="70"/>
      <c r="L4020" s="67"/>
      <c r="M4020" s="67"/>
      <c r="N4020" s="72"/>
      <c r="O4020" s="72"/>
      <c r="P4020" s="67"/>
      <c r="Q4020" s="67"/>
      <c r="R4020" s="67"/>
      <c r="S4020" s="67"/>
      <c r="T4020" s="32"/>
      <c r="U4020" s="32"/>
      <c r="X4020" s="32"/>
      <c r="Y4020" s="32"/>
      <c r="Z4020" s="32"/>
      <c r="AA4020" s="32"/>
      <c r="AB4020" s="32"/>
    </row>
    <row r="4021" spans="2:28" ht="23.25" customHeight="1" x14ac:dyDescent="0.2">
      <c r="B4021" s="75"/>
      <c r="C4021" s="67"/>
      <c r="D4021" s="75"/>
      <c r="E4021" s="67"/>
      <c r="F4021" s="67"/>
      <c r="G4021" s="70"/>
      <c r="H4021" s="70"/>
      <c r="I4021" s="70"/>
      <c r="J4021" s="70"/>
      <c r="K4021" s="70"/>
      <c r="L4021" s="67"/>
      <c r="M4021" s="67"/>
      <c r="N4021" s="72"/>
      <c r="O4021" s="72"/>
      <c r="P4021" s="67"/>
      <c r="Q4021" s="67"/>
      <c r="R4021" s="67"/>
      <c r="S4021" s="67"/>
      <c r="T4021" s="32"/>
      <c r="U4021" s="32"/>
      <c r="X4021" s="32"/>
      <c r="Y4021" s="32"/>
      <c r="Z4021" s="32"/>
      <c r="AA4021" s="32"/>
      <c r="AB4021" s="32"/>
    </row>
    <row r="4022" spans="2:28" ht="23.25" customHeight="1" x14ac:dyDescent="0.2">
      <c r="B4022" s="75"/>
      <c r="C4022" s="67"/>
      <c r="D4022" s="75"/>
      <c r="E4022" s="67"/>
      <c r="F4022" s="67"/>
      <c r="G4022" s="70"/>
      <c r="H4022" s="70"/>
      <c r="I4022" s="70"/>
      <c r="J4022" s="70"/>
      <c r="K4022" s="70"/>
      <c r="L4022" s="67"/>
      <c r="M4022" s="67"/>
      <c r="N4022" s="72"/>
      <c r="O4022" s="72"/>
      <c r="P4022" s="67"/>
      <c r="Q4022" s="67"/>
      <c r="R4022" s="67"/>
      <c r="S4022" s="67"/>
      <c r="T4022" s="32"/>
      <c r="U4022" s="32"/>
      <c r="X4022" s="32"/>
      <c r="Y4022" s="32"/>
      <c r="Z4022" s="32"/>
      <c r="AA4022" s="32"/>
      <c r="AB4022" s="32"/>
    </row>
    <row r="4023" spans="2:28" ht="23.25" customHeight="1" x14ac:dyDescent="0.2">
      <c r="B4023" s="75"/>
      <c r="C4023" s="67"/>
      <c r="D4023" s="75"/>
      <c r="E4023" s="67"/>
      <c r="F4023" s="67"/>
      <c r="G4023" s="70"/>
      <c r="H4023" s="70"/>
      <c r="I4023" s="70"/>
      <c r="J4023" s="70"/>
      <c r="K4023" s="70"/>
      <c r="L4023" s="67"/>
      <c r="M4023" s="67"/>
      <c r="N4023" s="72"/>
      <c r="O4023" s="72"/>
      <c r="P4023" s="67"/>
      <c r="Q4023" s="67"/>
      <c r="R4023" s="67"/>
      <c r="S4023" s="67"/>
      <c r="T4023" s="32"/>
      <c r="U4023" s="32"/>
      <c r="X4023" s="32"/>
      <c r="Y4023" s="32"/>
      <c r="Z4023" s="32"/>
      <c r="AA4023" s="32"/>
      <c r="AB4023" s="32"/>
    </row>
    <row r="4024" spans="2:28" ht="23.25" customHeight="1" x14ac:dyDescent="0.2">
      <c r="B4024" s="75"/>
      <c r="C4024" s="67"/>
      <c r="D4024" s="75"/>
      <c r="E4024" s="67"/>
      <c r="F4024" s="67"/>
      <c r="G4024" s="70"/>
      <c r="H4024" s="70"/>
      <c r="I4024" s="70"/>
      <c r="J4024" s="70"/>
      <c r="K4024" s="70"/>
      <c r="L4024" s="67"/>
      <c r="M4024" s="67"/>
      <c r="N4024" s="72"/>
      <c r="O4024" s="72"/>
      <c r="P4024" s="67"/>
      <c r="Q4024" s="67"/>
      <c r="R4024" s="67"/>
      <c r="S4024" s="67"/>
      <c r="T4024" s="32"/>
      <c r="U4024" s="32"/>
      <c r="X4024" s="32"/>
      <c r="Y4024" s="32"/>
      <c r="Z4024" s="32"/>
      <c r="AA4024" s="32"/>
      <c r="AB4024" s="32"/>
    </row>
    <row r="4025" spans="2:28" ht="23.25" customHeight="1" x14ac:dyDescent="0.2">
      <c r="B4025" s="75"/>
      <c r="C4025" s="67"/>
      <c r="D4025" s="75"/>
      <c r="E4025" s="67"/>
      <c r="F4025" s="67"/>
      <c r="G4025" s="70"/>
      <c r="H4025" s="70"/>
      <c r="I4025" s="70"/>
      <c r="J4025" s="70"/>
      <c r="K4025" s="70"/>
      <c r="L4025" s="67"/>
      <c r="M4025" s="67"/>
      <c r="N4025" s="72"/>
      <c r="O4025" s="72"/>
      <c r="P4025" s="67"/>
      <c r="Q4025" s="67"/>
      <c r="R4025" s="67"/>
      <c r="S4025" s="67"/>
      <c r="T4025" s="32"/>
      <c r="U4025" s="32"/>
      <c r="X4025" s="32"/>
      <c r="Y4025" s="32"/>
      <c r="Z4025" s="32"/>
      <c r="AA4025" s="32"/>
      <c r="AB4025" s="32"/>
    </row>
    <row r="4026" spans="2:28" ht="23.25" customHeight="1" x14ac:dyDescent="0.2">
      <c r="B4026" s="75"/>
      <c r="C4026" s="67"/>
      <c r="D4026" s="75"/>
      <c r="E4026" s="67"/>
      <c r="F4026" s="67"/>
      <c r="G4026" s="70"/>
      <c r="H4026" s="70"/>
      <c r="I4026" s="70"/>
      <c r="J4026" s="70"/>
      <c r="K4026" s="70"/>
      <c r="L4026" s="67"/>
      <c r="M4026" s="67"/>
      <c r="N4026" s="72"/>
      <c r="O4026" s="72"/>
      <c r="P4026" s="67"/>
      <c r="Q4026" s="67"/>
      <c r="R4026" s="67"/>
      <c r="S4026" s="67"/>
      <c r="T4026" s="32"/>
      <c r="U4026" s="32"/>
      <c r="X4026" s="32"/>
      <c r="Y4026" s="32"/>
      <c r="Z4026" s="32"/>
      <c r="AA4026" s="32"/>
      <c r="AB4026" s="32"/>
    </row>
    <row r="4027" spans="2:28" ht="23.25" customHeight="1" x14ac:dyDescent="0.2">
      <c r="B4027" s="75"/>
      <c r="C4027" s="67"/>
      <c r="D4027" s="75"/>
      <c r="E4027" s="67"/>
      <c r="F4027" s="67"/>
      <c r="G4027" s="70"/>
      <c r="H4027" s="70"/>
      <c r="I4027" s="70"/>
      <c r="J4027" s="70"/>
      <c r="K4027" s="70"/>
      <c r="L4027" s="67"/>
      <c r="M4027" s="67"/>
      <c r="N4027" s="72"/>
      <c r="O4027" s="72"/>
      <c r="P4027" s="67"/>
      <c r="Q4027" s="67"/>
      <c r="R4027" s="67"/>
      <c r="S4027" s="67"/>
      <c r="T4027" s="32"/>
      <c r="U4027" s="32"/>
      <c r="X4027" s="32"/>
      <c r="Y4027" s="32"/>
      <c r="Z4027" s="32"/>
      <c r="AA4027" s="32"/>
      <c r="AB4027" s="32"/>
    </row>
    <row r="4028" spans="2:28" ht="23.25" customHeight="1" x14ac:dyDescent="0.2">
      <c r="B4028" s="75"/>
      <c r="C4028" s="67"/>
      <c r="D4028" s="75"/>
      <c r="E4028" s="67"/>
      <c r="F4028" s="67"/>
      <c r="G4028" s="70"/>
      <c r="H4028" s="70"/>
      <c r="I4028" s="70"/>
      <c r="J4028" s="70"/>
      <c r="K4028" s="70"/>
      <c r="L4028" s="67"/>
      <c r="M4028" s="67"/>
      <c r="N4028" s="72"/>
      <c r="O4028" s="72"/>
      <c r="P4028" s="67"/>
      <c r="Q4028" s="67"/>
      <c r="R4028" s="67"/>
      <c r="S4028" s="67"/>
      <c r="T4028" s="32"/>
      <c r="U4028" s="32"/>
      <c r="X4028" s="32"/>
      <c r="Y4028" s="32"/>
      <c r="Z4028" s="32"/>
      <c r="AA4028" s="32"/>
      <c r="AB4028" s="32"/>
    </row>
    <row r="4029" spans="2:28" ht="23.25" customHeight="1" x14ac:dyDescent="0.2">
      <c r="B4029" s="75"/>
      <c r="C4029" s="67"/>
      <c r="D4029" s="75"/>
      <c r="E4029" s="67"/>
      <c r="F4029" s="67"/>
      <c r="G4029" s="70"/>
      <c r="H4029" s="70"/>
      <c r="I4029" s="70"/>
      <c r="J4029" s="70"/>
      <c r="K4029" s="70"/>
      <c r="L4029" s="67"/>
      <c r="M4029" s="67"/>
      <c r="N4029" s="72"/>
      <c r="O4029" s="72"/>
      <c r="P4029" s="67"/>
      <c r="Q4029" s="67"/>
      <c r="R4029" s="67"/>
      <c r="S4029" s="67"/>
      <c r="T4029" s="32"/>
      <c r="U4029" s="32"/>
      <c r="X4029" s="32"/>
      <c r="Y4029" s="32"/>
      <c r="Z4029" s="32"/>
      <c r="AA4029" s="32"/>
      <c r="AB4029" s="32"/>
    </row>
    <row r="4030" spans="2:28" ht="23.25" customHeight="1" x14ac:dyDescent="0.2">
      <c r="B4030" s="75"/>
      <c r="C4030" s="67"/>
      <c r="D4030" s="75"/>
      <c r="E4030" s="67"/>
      <c r="F4030" s="67"/>
      <c r="G4030" s="70"/>
      <c r="H4030" s="70"/>
      <c r="I4030" s="70"/>
      <c r="J4030" s="70"/>
      <c r="K4030" s="70"/>
      <c r="L4030" s="67"/>
      <c r="M4030" s="67"/>
      <c r="N4030" s="72"/>
      <c r="O4030" s="72"/>
      <c r="P4030" s="67"/>
      <c r="Q4030" s="67"/>
      <c r="R4030" s="67"/>
      <c r="S4030" s="67"/>
      <c r="T4030" s="32"/>
      <c r="U4030" s="32"/>
      <c r="X4030" s="32"/>
      <c r="Y4030" s="32"/>
      <c r="Z4030" s="32"/>
      <c r="AA4030" s="32"/>
      <c r="AB4030" s="32"/>
    </row>
    <row r="4031" spans="2:28" ht="23.25" customHeight="1" x14ac:dyDescent="0.2">
      <c r="B4031" s="75"/>
      <c r="C4031" s="67"/>
      <c r="D4031" s="75"/>
      <c r="E4031" s="67"/>
      <c r="F4031" s="67"/>
      <c r="G4031" s="70"/>
      <c r="H4031" s="70"/>
      <c r="I4031" s="70"/>
      <c r="J4031" s="70"/>
      <c r="K4031" s="70"/>
      <c r="L4031" s="67"/>
      <c r="M4031" s="67"/>
      <c r="N4031" s="72"/>
      <c r="O4031" s="72"/>
      <c r="P4031" s="67"/>
      <c r="Q4031" s="67"/>
      <c r="R4031" s="67"/>
      <c r="S4031" s="67"/>
      <c r="T4031" s="32"/>
      <c r="U4031" s="32"/>
      <c r="X4031" s="32"/>
      <c r="Y4031" s="32"/>
      <c r="Z4031" s="32"/>
      <c r="AA4031" s="32"/>
      <c r="AB4031" s="32"/>
    </row>
    <row r="4032" spans="2:28" ht="23.25" customHeight="1" x14ac:dyDescent="0.2">
      <c r="B4032" s="75"/>
      <c r="C4032" s="67"/>
      <c r="D4032" s="75"/>
      <c r="E4032" s="67"/>
      <c r="F4032" s="67"/>
      <c r="G4032" s="70"/>
      <c r="H4032" s="70"/>
      <c r="I4032" s="70"/>
      <c r="J4032" s="70"/>
      <c r="K4032" s="70"/>
      <c r="L4032" s="67"/>
      <c r="M4032" s="67"/>
      <c r="N4032" s="72"/>
      <c r="O4032" s="72"/>
      <c r="P4032" s="67"/>
      <c r="Q4032" s="67"/>
      <c r="R4032" s="67"/>
      <c r="S4032" s="67"/>
      <c r="T4032" s="32"/>
      <c r="U4032" s="32"/>
      <c r="X4032" s="32"/>
      <c r="Y4032" s="32"/>
      <c r="Z4032" s="32"/>
      <c r="AA4032" s="32"/>
      <c r="AB4032" s="32"/>
    </row>
    <row r="4033" spans="2:28" ht="23.25" customHeight="1" x14ac:dyDescent="0.2">
      <c r="B4033" s="75"/>
      <c r="C4033" s="67"/>
      <c r="D4033" s="75"/>
      <c r="E4033" s="67"/>
      <c r="F4033" s="67"/>
      <c r="G4033" s="70"/>
      <c r="H4033" s="70"/>
      <c r="I4033" s="70"/>
      <c r="J4033" s="70"/>
      <c r="K4033" s="70"/>
      <c r="L4033" s="67"/>
      <c r="M4033" s="67"/>
      <c r="N4033" s="72"/>
      <c r="O4033" s="72"/>
      <c r="P4033" s="67"/>
      <c r="Q4033" s="67"/>
      <c r="R4033" s="67"/>
      <c r="S4033" s="67"/>
      <c r="T4033" s="32"/>
      <c r="U4033" s="32"/>
      <c r="X4033" s="32"/>
      <c r="Y4033" s="32"/>
      <c r="Z4033" s="32"/>
      <c r="AA4033" s="32"/>
      <c r="AB4033" s="32"/>
    </row>
    <row r="4034" spans="2:28" ht="23.25" customHeight="1" x14ac:dyDescent="0.2">
      <c r="B4034" s="75"/>
      <c r="C4034" s="67"/>
      <c r="D4034" s="75"/>
      <c r="E4034" s="67"/>
      <c r="F4034" s="67"/>
      <c r="G4034" s="70"/>
      <c r="H4034" s="70"/>
      <c r="I4034" s="70"/>
      <c r="J4034" s="70"/>
      <c r="K4034" s="70"/>
      <c r="L4034" s="67"/>
      <c r="M4034" s="67"/>
      <c r="N4034" s="72"/>
      <c r="O4034" s="72"/>
      <c r="P4034" s="67"/>
      <c r="Q4034" s="67"/>
      <c r="R4034" s="67"/>
      <c r="S4034" s="67"/>
      <c r="T4034" s="32"/>
      <c r="U4034" s="32"/>
      <c r="X4034" s="32"/>
      <c r="Y4034" s="32"/>
      <c r="Z4034" s="32"/>
      <c r="AA4034" s="32"/>
      <c r="AB4034" s="32"/>
    </row>
    <row r="4035" spans="2:28" ht="23.25" customHeight="1" x14ac:dyDescent="0.2">
      <c r="B4035" s="75"/>
      <c r="C4035" s="67"/>
      <c r="D4035" s="75"/>
      <c r="E4035" s="67"/>
      <c r="F4035" s="67"/>
      <c r="G4035" s="70"/>
      <c r="H4035" s="70"/>
      <c r="I4035" s="70"/>
      <c r="J4035" s="70"/>
      <c r="K4035" s="70"/>
      <c r="L4035" s="67"/>
      <c r="M4035" s="67"/>
      <c r="N4035" s="72"/>
      <c r="O4035" s="72"/>
      <c r="P4035" s="67"/>
      <c r="Q4035" s="67"/>
      <c r="R4035" s="67"/>
      <c r="S4035" s="67"/>
      <c r="T4035" s="32"/>
      <c r="U4035" s="32"/>
      <c r="X4035" s="32"/>
      <c r="Y4035" s="32"/>
      <c r="Z4035" s="32"/>
      <c r="AA4035" s="32"/>
      <c r="AB4035" s="32"/>
    </row>
    <row r="4036" spans="2:28" ht="23.25" customHeight="1" x14ac:dyDescent="0.2">
      <c r="B4036" s="75"/>
      <c r="C4036" s="67"/>
      <c r="D4036" s="75"/>
      <c r="E4036" s="67"/>
      <c r="F4036" s="67"/>
      <c r="G4036" s="70"/>
      <c r="H4036" s="70"/>
      <c r="I4036" s="70"/>
      <c r="J4036" s="70"/>
      <c r="K4036" s="70"/>
      <c r="L4036" s="67"/>
      <c r="M4036" s="67"/>
      <c r="N4036" s="72"/>
      <c r="O4036" s="72"/>
      <c r="P4036" s="67"/>
      <c r="Q4036" s="67"/>
      <c r="R4036" s="67"/>
      <c r="S4036" s="67"/>
      <c r="T4036" s="32"/>
      <c r="U4036" s="32"/>
      <c r="X4036" s="32"/>
      <c r="Y4036" s="32"/>
      <c r="Z4036" s="32"/>
      <c r="AA4036" s="32"/>
      <c r="AB4036" s="32"/>
    </row>
    <row r="4037" spans="2:28" ht="23.25" customHeight="1" x14ac:dyDescent="0.2">
      <c r="B4037" s="75"/>
      <c r="C4037" s="67"/>
      <c r="D4037" s="75"/>
      <c r="E4037" s="67"/>
      <c r="F4037" s="67"/>
      <c r="G4037" s="70"/>
      <c r="H4037" s="70"/>
      <c r="I4037" s="70"/>
      <c r="J4037" s="70"/>
      <c r="K4037" s="70"/>
      <c r="L4037" s="67"/>
      <c r="M4037" s="67"/>
      <c r="N4037" s="72"/>
      <c r="O4037" s="72"/>
      <c r="P4037" s="67"/>
      <c r="Q4037" s="67"/>
      <c r="R4037" s="67"/>
      <c r="S4037" s="67"/>
      <c r="T4037" s="32"/>
      <c r="U4037" s="32"/>
      <c r="X4037" s="32"/>
      <c r="Y4037" s="32"/>
      <c r="Z4037" s="32"/>
      <c r="AA4037" s="32"/>
      <c r="AB4037" s="32"/>
    </row>
    <row r="4038" spans="2:28" ht="23.25" customHeight="1" x14ac:dyDescent="0.2">
      <c r="B4038" s="75"/>
      <c r="C4038" s="67"/>
      <c r="D4038" s="75"/>
      <c r="E4038" s="67"/>
      <c r="F4038" s="67"/>
      <c r="G4038" s="70"/>
      <c r="H4038" s="70"/>
      <c r="I4038" s="70"/>
      <c r="J4038" s="70"/>
      <c r="K4038" s="70"/>
      <c r="L4038" s="67"/>
      <c r="M4038" s="67"/>
      <c r="N4038" s="72"/>
      <c r="O4038" s="72"/>
      <c r="P4038" s="67"/>
      <c r="Q4038" s="67"/>
      <c r="R4038" s="67"/>
      <c r="S4038" s="67"/>
      <c r="T4038" s="32"/>
      <c r="U4038" s="32"/>
      <c r="X4038" s="32"/>
      <c r="Y4038" s="32"/>
      <c r="Z4038" s="32"/>
      <c r="AA4038" s="32"/>
      <c r="AB4038" s="32"/>
    </row>
    <row r="4039" spans="2:28" ht="23.25" customHeight="1" x14ac:dyDescent="0.2">
      <c r="B4039" s="75"/>
      <c r="C4039" s="67"/>
      <c r="D4039" s="75"/>
      <c r="E4039" s="67"/>
      <c r="F4039" s="67"/>
      <c r="G4039" s="70"/>
      <c r="H4039" s="70"/>
      <c r="I4039" s="70"/>
      <c r="J4039" s="70"/>
      <c r="K4039" s="70"/>
      <c r="L4039" s="67"/>
      <c r="M4039" s="67"/>
      <c r="N4039" s="72"/>
      <c r="O4039" s="72"/>
      <c r="P4039" s="67"/>
      <c r="Q4039" s="67"/>
      <c r="R4039" s="67"/>
      <c r="S4039" s="67"/>
      <c r="T4039" s="32"/>
      <c r="U4039" s="32"/>
      <c r="X4039" s="32"/>
      <c r="Y4039" s="32"/>
      <c r="Z4039" s="32"/>
      <c r="AA4039" s="32"/>
      <c r="AB4039" s="32"/>
    </row>
    <row r="4040" spans="2:28" ht="23.25" customHeight="1" x14ac:dyDescent="0.2">
      <c r="B4040" s="75"/>
      <c r="C4040" s="67"/>
      <c r="D4040" s="75"/>
      <c r="E4040" s="67"/>
      <c r="F4040" s="67"/>
      <c r="G4040" s="70"/>
      <c r="H4040" s="70"/>
      <c r="I4040" s="70"/>
      <c r="J4040" s="70"/>
      <c r="K4040" s="70"/>
      <c r="L4040" s="67"/>
      <c r="M4040" s="67"/>
      <c r="N4040" s="72"/>
      <c r="O4040" s="72"/>
      <c r="P4040" s="67"/>
      <c r="Q4040" s="67"/>
      <c r="R4040" s="67"/>
      <c r="S4040" s="67"/>
      <c r="T4040" s="32"/>
      <c r="U4040" s="32"/>
      <c r="X4040" s="32"/>
      <c r="Y4040" s="32"/>
      <c r="Z4040" s="32"/>
      <c r="AA4040" s="32"/>
      <c r="AB4040" s="32"/>
    </row>
    <row r="4041" spans="2:28" ht="23.25" customHeight="1" x14ac:dyDescent="0.2">
      <c r="B4041" s="75"/>
      <c r="C4041" s="67"/>
      <c r="D4041" s="75"/>
      <c r="E4041" s="67"/>
      <c r="F4041" s="67"/>
      <c r="G4041" s="70"/>
      <c r="H4041" s="70"/>
      <c r="I4041" s="70"/>
      <c r="J4041" s="70"/>
      <c r="K4041" s="70"/>
      <c r="L4041" s="67"/>
      <c r="M4041" s="67"/>
      <c r="N4041" s="72"/>
      <c r="O4041" s="72"/>
      <c r="P4041" s="67"/>
      <c r="Q4041" s="67"/>
      <c r="R4041" s="67"/>
      <c r="S4041" s="67"/>
      <c r="T4041" s="32"/>
      <c r="U4041" s="32"/>
      <c r="X4041" s="32"/>
      <c r="Y4041" s="32"/>
      <c r="Z4041" s="32"/>
      <c r="AA4041" s="32"/>
      <c r="AB4041" s="32"/>
    </row>
    <row r="4042" spans="2:28" ht="23.25" customHeight="1" x14ac:dyDescent="0.2">
      <c r="B4042" s="75"/>
      <c r="C4042" s="67"/>
      <c r="D4042" s="75"/>
      <c r="E4042" s="67"/>
      <c r="F4042" s="67"/>
      <c r="G4042" s="70"/>
      <c r="H4042" s="70"/>
      <c r="I4042" s="70"/>
      <c r="J4042" s="70"/>
      <c r="K4042" s="70"/>
      <c r="L4042" s="67"/>
      <c r="M4042" s="67"/>
      <c r="N4042" s="72"/>
      <c r="O4042" s="72"/>
      <c r="P4042" s="67"/>
      <c r="Q4042" s="67"/>
      <c r="R4042" s="67"/>
      <c r="S4042" s="67"/>
      <c r="T4042" s="32"/>
      <c r="U4042" s="32"/>
      <c r="X4042" s="32"/>
      <c r="Y4042" s="32"/>
      <c r="Z4042" s="32"/>
      <c r="AA4042" s="32"/>
      <c r="AB4042" s="32"/>
    </row>
    <row r="4043" spans="2:28" ht="23.25" customHeight="1" x14ac:dyDescent="0.2">
      <c r="B4043" s="75"/>
      <c r="C4043" s="67"/>
      <c r="D4043" s="75"/>
      <c r="E4043" s="67"/>
      <c r="F4043" s="67"/>
      <c r="G4043" s="70"/>
      <c r="H4043" s="70"/>
      <c r="I4043" s="70"/>
      <c r="J4043" s="70"/>
      <c r="K4043" s="70"/>
      <c r="L4043" s="67"/>
      <c r="M4043" s="67"/>
      <c r="N4043" s="72"/>
      <c r="O4043" s="72"/>
      <c r="P4043" s="67"/>
      <c r="Q4043" s="67"/>
      <c r="R4043" s="67"/>
      <c r="S4043" s="67"/>
      <c r="T4043" s="32"/>
      <c r="U4043" s="32"/>
      <c r="X4043" s="32"/>
      <c r="Y4043" s="32"/>
      <c r="Z4043" s="32"/>
      <c r="AA4043" s="32"/>
      <c r="AB4043" s="32"/>
    </row>
    <row r="4044" spans="2:28" ht="23.25" customHeight="1" x14ac:dyDescent="0.2">
      <c r="B4044" s="75"/>
      <c r="C4044" s="67"/>
      <c r="D4044" s="75"/>
      <c r="E4044" s="67"/>
      <c r="F4044" s="67"/>
      <c r="G4044" s="70"/>
      <c r="H4044" s="70"/>
      <c r="I4044" s="70"/>
      <c r="J4044" s="70"/>
      <c r="K4044" s="70"/>
      <c r="L4044" s="67"/>
      <c r="M4044" s="67"/>
      <c r="N4044" s="72"/>
      <c r="O4044" s="72"/>
      <c r="P4044" s="67"/>
      <c r="Q4044" s="67"/>
      <c r="R4044" s="67"/>
      <c r="S4044" s="67"/>
      <c r="T4044" s="32"/>
      <c r="U4044" s="32"/>
      <c r="X4044" s="32"/>
      <c r="Y4044" s="32"/>
      <c r="Z4044" s="32"/>
      <c r="AA4044" s="32"/>
      <c r="AB4044" s="32"/>
    </row>
    <row r="4045" spans="2:28" ht="23.25" customHeight="1" x14ac:dyDescent="0.2">
      <c r="B4045" s="75"/>
      <c r="C4045" s="67"/>
      <c r="D4045" s="75"/>
      <c r="E4045" s="67"/>
      <c r="F4045" s="67"/>
      <c r="G4045" s="70"/>
      <c r="H4045" s="70"/>
      <c r="I4045" s="70"/>
      <c r="J4045" s="70"/>
      <c r="K4045" s="70"/>
      <c r="L4045" s="67"/>
      <c r="M4045" s="67"/>
      <c r="N4045" s="72"/>
      <c r="O4045" s="72"/>
      <c r="P4045" s="67"/>
      <c r="Q4045" s="67"/>
      <c r="R4045" s="67"/>
      <c r="S4045" s="67"/>
      <c r="T4045" s="32"/>
      <c r="U4045" s="32"/>
      <c r="X4045" s="32"/>
      <c r="Y4045" s="32"/>
      <c r="Z4045" s="32"/>
      <c r="AA4045" s="32"/>
      <c r="AB4045" s="32"/>
    </row>
    <row r="4046" spans="2:28" ht="23.25" customHeight="1" x14ac:dyDescent="0.2">
      <c r="B4046" s="75"/>
      <c r="C4046" s="67"/>
      <c r="D4046" s="75"/>
      <c r="E4046" s="67"/>
      <c r="F4046" s="67"/>
      <c r="G4046" s="70"/>
      <c r="H4046" s="70"/>
      <c r="I4046" s="70"/>
      <c r="J4046" s="70"/>
      <c r="K4046" s="70"/>
      <c r="L4046" s="67"/>
      <c r="M4046" s="67"/>
      <c r="N4046" s="72"/>
      <c r="O4046" s="72"/>
      <c r="P4046" s="67"/>
      <c r="Q4046" s="67"/>
      <c r="R4046" s="67"/>
      <c r="S4046" s="67"/>
      <c r="T4046" s="32"/>
      <c r="U4046" s="32"/>
      <c r="X4046" s="32"/>
      <c r="Y4046" s="32"/>
      <c r="Z4046" s="32"/>
      <c r="AA4046" s="32"/>
      <c r="AB4046" s="32"/>
    </row>
    <row r="4047" spans="2:28" ht="23.25" customHeight="1" x14ac:dyDescent="0.2">
      <c r="B4047" s="75"/>
      <c r="C4047" s="67"/>
      <c r="D4047" s="75"/>
      <c r="E4047" s="67"/>
      <c r="F4047" s="67"/>
      <c r="G4047" s="70"/>
      <c r="H4047" s="70"/>
      <c r="I4047" s="70"/>
      <c r="J4047" s="70"/>
      <c r="K4047" s="70"/>
      <c r="L4047" s="67"/>
      <c r="M4047" s="67"/>
      <c r="N4047" s="72"/>
      <c r="O4047" s="72"/>
      <c r="P4047" s="67"/>
      <c r="Q4047" s="67"/>
      <c r="R4047" s="67"/>
      <c r="S4047" s="67"/>
      <c r="T4047" s="32"/>
      <c r="U4047" s="32"/>
      <c r="X4047" s="32"/>
      <c r="Y4047" s="32"/>
      <c r="Z4047" s="32"/>
      <c r="AA4047" s="32"/>
      <c r="AB4047" s="32"/>
    </row>
    <row r="4048" spans="2:28" ht="23.25" customHeight="1" x14ac:dyDescent="0.2">
      <c r="B4048" s="75"/>
      <c r="C4048" s="67"/>
      <c r="D4048" s="75"/>
      <c r="E4048" s="67"/>
      <c r="F4048" s="67"/>
      <c r="G4048" s="70"/>
      <c r="H4048" s="70"/>
      <c r="I4048" s="70"/>
      <c r="J4048" s="70"/>
      <c r="K4048" s="70"/>
      <c r="L4048" s="67"/>
      <c r="M4048" s="67"/>
      <c r="N4048" s="72"/>
      <c r="O4048" s="72"/>
      <c r="P4048" s="67"/>
      <c r="Q4048" s="67"/>
      <c r="R4048" s="67"/>
      <c r="S4048" s="67"/>
      <c r="T4048" s="32"/>
      <c r="U4048" s="32"/>
      <c r="X4048" s="32"/>
      <c r="Y4048" s="32"/>
      <c r="Z4048" s="32"/>
      <c r="AA4048" s="32"/>
      <c r="AB4048" s="32"/>
    </row>
    <row r="4049" spans="2:28" ht="23.25" customHeight="1" x14ac:dyDescent="0.2">
      <c r="B4049" s="75"/>
      <c r="C4049" s="67"/>
      <c r="D4049" s="75"/>
      <c r="E4049" s="67"/>
      <c r="F4049" s="67"/>
      <c r="G4049" s="70"/>
      <c r="H4049" s="70"/>
      <c r="I4049" s="70"/>
      <c r="J4049" s="70"/>
      <c r="K4049" s="70"/>
      <c r="L4049" s="67"/>
      <c r="M4049" s="67"/>
      <c r="N4049" s="72"/>
      <c r="O4049" s="72"/>
      <c r="P4049" s="67"/>
      <c r="Q4049" s="67"/>
      <c r="R4049" s="67"/>
      <c r="S4049" s="67"/>
      <c r="T4049" s="32"/>
      <c r="U4049" s="32"/>
      <c r="X4049" s="32"/>
      <c r="Y4049" s="32"/>
      <c r="Z4049" s="32"/>
      <c r="AA4049" s="32"/>
      <c r="AB4049" s="32"/>
    </row>
    <row r="4050" spans="2:28" ht="23.25" customHeight="1" x14ac:dyDescent="0.2">
      <c r="B4050" s="75"/>
      <c r="C4050" s="67"/>
      <c r="D4050" s="75"/>
      <c r="E4050" s="67"/>
      <c r="F4050" s="67"/>
      <c r="G4050" s="70"/>
      <c r="H4050" s="70"/>
      <c r="I4050" s="70"/>
      <c r="J4050" s="70"/>
      <c r="K4050" s="70"/>
      <c r="L4050" s="67"/>
      <c r="M4050" s="67"/>
      <c r="N4050" s="72"/>
      <c r="O4050" s="72"/>
      <c r="P4050" s="67"/>
      <c r="Q4050" s="67"/>
      <c r="R4050" s="67"/>
      <c r="S4050" s="67"/>
      <c r="T4050" s="32"/>
      <c r="U4050" s="32"/>
      <c r="X4050" s="32"/>
      <c r="Y4050" s="32"/>
      <c r="Z4050" s="32"/>
      <c r="AA4050" s="32"/>
      <c r="AB4050" s="32"/>
    </row>
    <row r="4051" spans="2:28" ht="23.25" customHeight="1" x14ac:dyDescent="0.2">
      <c r="B4051" s="75"/>
      <c r="C4051" s="67"/>
      <c r="D4051" s="75"/>
      <c r="E4051" s="67"/>
      <c r="F4051" s="67"/>
      <c r="G4051" s="70"/>
      <c r="H4051" s="70"/>
      <c r="I4051" s="70"/>
      <c r="J4051" s="70"/>
      <c r="K4051" s="70"/>
      <c r="L4051" s="67"/>
      <c r="M4051" s="67"/>
      <c r="N4051" s="72"/>
      <c r="O4051" s="72"/>
      <c r="P4051" s="67"/>
      <c r="Q4051" s="67"/>
      <c r="R4051" s="67"/>
      <c r="S4051" s="67"/>
      <c r="T4051" s="32"/>
      <c r="U4051" s="32"/>
      <c r="X4051" s="32"/>
      <c r="Y4051" s="32"/>
      <c r="Z4051" s="32"/>
      <c r="AA4051" s="32"/>
      <c r="AB4051" s="32"/>
    </row>
    <row r="4052" spans="2:28" ht="23.25" customHeight="1" x14ac:dyDescent="0.2">
      <c r="B4052" s="75"/>
      <c r="C4052" s="67"/>
      <c r="D4052" s="75"/>
      <c r="E4052" s="67"/>
      <c r="F4052" s="67"/>
      <c r="G4052" s="70"/>
      <c r="H4052" s="70"/>
      <c r="I4052" s="70"/>
      <c r="J4052" s="70"/>
      <c r="K4052" s="70"/>
      <c r="L4052" s="67"/>
      <c r="M4052" s="67"/>
      <c r="N4052" s="72"/>
      <c r="O4052" s="72"/>
      <c r="P4052" s="67"/>
      <c r="Q4052" s="67"/>
      <c r="R4052" s="67"/>
      <c r="S4052" s="67"/>
      <c r="T4052" s="32"/>
      <c r="U4052" s="32"/>
      <c r="X4052" s="32"/>
      <c r="Y4052" s="32"/>
      <c r="Z4052" s="32"/>
      <c r="AA4052" s="32"/>
      <c r="AB4052" s="32"/>
    </row>
    <row r="4053" spans="2:28" ht="23.25" customHeight="1" x14ac:dyDescent="0.2">
      <c r="B4053" s="75"/>
      <c r="C4053" s="67"/>
      <c r="D4053" s="75"/>
      <c r="E4053" s="67"/>
      <c r="F4053" s="67"/>
      <c r="G4053" s="70"/>
      <c r="H4053" s="70"/>
      <c r="I4053" s="70"/>
      <c r="J4053" s="70"/>
      <c r="K4053" s="70"/>
      <c r="L4053" s="67"/>
      <c r="M4053" s="67"/>
      <c r="N4053" s="72"/>
      <c r="O4053" s="72"/>
      <c r="P4053" s="67"/>
      <c r="Q4053" s="67"/>
      <c r="R4053" s="67"/>
      <c r="S4053" s="67"/>
      <c r="T4053" s="32"/>
      <c r="U4053" s="32"/>
      <c r="X4053" s="32"/>
      <c r="Y4053" s="32"/>
      <c r="Z4053" s="32"/>
      <c r="AA4053" s="32"/>
      <c r="AB4053" s="32"/>
    </row>
    <row r="4054" spans="2:28" ht="23.25" customHeight="1" x14ac:dyDescent="0.2">
      <c r="B4054" s="75"/>
      <c r="C4054" s="67"/>
      <c r="D4054" s="75"/>
      <c r="E4054" s="67"/>
      <c r="F4054" s="67"/>
      <c r="G4054" s="70"/>
      <c r="H4054" s="70"/>
      <c r="I4054" s="70"/>
      <c r="J4054" s="70"/>
      <c r="K4054" s="70"/>
      <c r="L4054" s="67"/>
      <c r="M4054" s="67"/>
      <c r="N4054" s="72"/>
      <c r="O4054" s="72"/>
      <c r="P4054" s="67"/>
      <c r="Q4054" s="67"/>
      <c r="R4054" s="67"/>
      <c r="S4054" s="67"/>
      <c r="T4054" s="32"/>
      <c r="U4054" s="32"/>
      <c r="X4054" s="32"/>
      <c r="Y4054" s="32"/>
      <c r="Z4054" s="32"/>
      <c r="AA4054" s="32"/>
      <c r="AB4054" s="32"/>
    </row>
    <row r="4055" spans="2:28" ht="23.25" customHeight="1" x14ac:dyDescent="0.2">
      <c r="B4055" s="75"/>
      <c r="C4055" s="67"/>
      <c r="D4055" s="75"/>
      <c r="E4055" s="67"/>
      <c r="F4055" s="67"/>
      <c r="G4055" s="70"/>
      <c r="H4055" s="70"/>
      <c r="I4055" s="70"/>
      <c r="J4055" s="70"/>
      <c r="K4055" s="70"/>
      <c r="L4055" s="67"/>
      <c r="M4055" s="67"/>
      <c r="N4055" s="72"/>
      <c r="O4055" s="72"/>
      <c r="P4055" s="67"/>
      <c r="Q4055" s="67"/>
      <c r="R4055" s="67"/>
      <c r="S4055" s="67"/>
      <c r="T4055" s="32"/>
      <c r="U4055" s="32"/>
      <c r="X4055" s="32"/>
      <c r="Y4055" s="32"/>
      <c r="Z4055" s="32"/>
      <c r="AA4055" s="32"/>
      <c r="AB4055" s="32"/>
    </row>
    <row r="4056" spans="2:28" ht="23.25" customHeight="1" x14ac:dyDescent="0.2">
      <c r="B4056" s="75"/>
      <c r="C4056" s="67"/>
      <c r="D4056" s="75"/>
      <c r="E4056" s="67"/>
      <c r="F4056" s="67"/>
      <c r="G4056" s="70"/>
      <c r="H4056" s="70"/>
      <c r="I4056" s="70"/>
      <c r="J4056" s="70"/>
      <c r="K4056" s="70"/>
      <c r="L4056" s="67"/>
      <c r="M4056" s="67"/>
      <c r="N4056" s="72"/>
      <c r="O4056" s="72"/>
      <c r="P4056" s="67"/>
      <c r="Q4056" s="67"/>
      <c r="R4056" s="67"/>
      <c r="S4056" s="67"/>
      <c r="T4056" s="32"/>
      <c r="U4056" s="32"/>
      <c r="X4056" s="32"/>
      <c r="Y4056" s="32"/>
      <c r="Z4056" s="32"/>
      <c r="AA4056" s="32"/>
      <c r="AB4056" s="32"/>
    </row>
    <row r="4057" spans="2:28" ht="23.25" customHeight="1" x14ac:dyDescent="0.2">
      <c r="B4057" s="75"/>
      <c r="C4057" s="67"/>
      <c r="D4057" s="75"/>
      <c r="E4057" s="67"/>
      <c r="F4057" s="67"/>
      <c r="G4057" s="70"/>
      <c r="H4057" s="70"/>
      <c r="I4057" s="70"/>
      <c r="J4057" s="70"/>
      <c r="K4057" s="70"/>
      <c r="L4057" s="67"/>
      <c r="M4057" s="67"/>
      <c r="N4057" s="72"/>
      <c r="O4057" s="72"/>
      <c r="P4057" s="67"/>
      <c r="Q4057" s="67"/>
      <c r="R4057" s="67"/>
      <c r="S4057" s="67"/>
      <c r="T4057" s="32"/>
      <c r="U4057" s="32"/>
      <c r="X4057" s="32"/>
      <c r="Y4057" s="32"/>
      <c r="Z4057" s="32"/>
      <c r="AA4057" s="32"/>
      <c r="AB4057" s="32"/>
    </row>
    <row r="4058" spans="2:28" ht="23.25" customHeight="1" x14ac:dyDescent="0.2">
      <c r="B4058" s="75"/>
      <c r="C4058" s="67"/>
      <c r="D4058" s="75"/>
      <c r="E4058" s="67"/>
      <c r="F4058" s="67"/>
      <c r="G4058" s="70"/>
      <c r="H4058" s="70"/>
      <c r="I4058" s="70"/>
      <c r="J4058" s="70"/>
      <c r="K4058" s="70"/>
      <c r="L4058" s="67"/>
      <c r="M4058" s="67"/>
      <c r="N4058" s="72"/>
      <c r="O4058" s="72"/>
      <c r="P4058" s="67"/>
      <c r="Q4058" s="67"/>
      <c r="R4058" s="67"/>
      <c r="S4058" s="67"/>
      <c r="T4058" s="32"/>
      <c r="U4058" s="32"/>
      <c r="X4058" s="32"/>
      <c r="Y4058" s="32"/>
      <c r="Z4058" s="32"/>
      <c r="AA4058" s="32"/>
      <c r="AB4058" s="32"/>
    </row>
    <row r="4059" spans="2:28" ht="23.25" customHeight="1" x14ac:dyDescent="0.2">
      <c r="B4059" s="75"/>
      <c r="C4059" s="67"/>
      <c r="D4059" s="75"/>
      <c r="E4059" s="67"/>
      <c r="F4059" s="67"/>
      <c r="G4059" s="70"/>
      <c r="H4059" s="70"/>
      <c r="I4059" s="70"/>
      <c r="J4059" s="70"/>
      <c r="K4059" s="70"/>
      <c r="L4059" s="67"/>
      <c r="M4059" s="67"/>
      <c r="N4059" s="72"/>
      <c r="O4059" s="72"/>
      <c r="P4059" s="67"/>
      <c r="Q4059" s="67"/>
      <c r="R4059" s="67"/>
      <c r="S4059" s="67"/>
      <c r="T4059" s="32"/>
      <c r="U4059" s="32"/>
      <c r="X4059" s="32"/>
      <c r="Y4059" s="32"/>
      <c r="Z4059" s="32"/>
      <c r="AA4059" s="32"/>
      <c r="AB4059" s="32"/>
    </row>
    <row r="4060" spans="2:28" ht="23.25" customHeight="1" x14ac:dyDescent="0.2">
      <c r="B4060" s="75"/>
      <c r="C4060" s="67"/>
      <c r="D4060" s="75"/>
      <c r="E4060" s="67"/>
      <c r="F4060" s="67"/>
      <c r="G4060" s="70"/>
      <c r="H4060" s="70"/>
      <c r="I4060" s="70"/>
      <c r="J4060" s="70"/>
      <c r="K4060" s="70"/>
      <c r="L4060" s="67"/>
      <c r="M4060" s="67"/>
      <c r="N4060" s="72"/>
      <c r="O4060" s="72"/>
      <c r="P4060" s="67"/>
      <c r="Q4060" s="67"/>
      <c r="R4060" s="67"/>
      <c r="S4060" s="67"/>
      <c r="T4060" s="32"/>
      <c r="U4060" s="32"/>
      <c r="X4060" s="32"/>
      <c r="Y4060" s="32"/>
      <c r="Z4060" s="32"/>
      <c r="AA4060" s="32"/>
      <c r="AB4060" s="32"/>
    </row>
    <row r="4061" spans="2:28" ht="23.25" customHeight="1" x14ac:dyDescent="0.2">
      <c r="B4061" s="75"/>
      <c r="C4061" s="67"/>
      <c r="D4061" s="75"/>
      <c r="E4061" s="67"/>
      <c r="F4061" s="67"/>
      <c r="G4061" s="70"/>
      <c r="H4061" s="70"/>
      <c r="I4061" s="70"/>
      <c r="J4061" s="70"/>
      <c r="K4061" s="70"/>
      <c r="L4061" s="67"/>
      <c r="M4061" s="67"/>
      <c r="N4061" s="72"/>
      <c r="O4061" s="72"/>
      <c r="P4061" s="67"/>
      <c r="Q4061" s="67"/>
      <c r="R4061" s="67"/>
      <c r="S4061" s="67"/>
      <c r="T4061" s="32"/>
      <c r="U4061" s="32"/>
      <c r="X4061" s="32"/>
      <c r="Y4061" s="32"/>
      <c r="Z4061" s="32"/>
      <c r="AA4061" s="32"/>
      <c r="AB4061" s="32"/>
    </row>
    <row r="4062" spans="2:28" ht="23.25" customHeight="1" x14ac:dyDescent="0.2">
      <c r="B4062" s="75"/>
      <c r="C4062" s="67"/>
      <c r="D4062" s="75"/>
      <c r="E4062" s="67"/>
      <c r="F4062" s="67"/>
      <c r="G4062" s="70"/>
      <c r="H4062" s="70"/>
      <c r="I4062" s="70"/>
      <c r="J4062" s="70"/>
      <c r="K4062" s="70"/>
      <c r="L4062" s="67"/>
      <c r="M4062" s="67"/>
      <c r="N4062" s="72"/>
      <c r="O4062" s="72"/>
      <c r="P4062" s="67"/>
      <c r="Q4062" s="67"/>
      <c r="R4062" s="67"/>
      <c r="S4062" s="67"/>
      <c r="T4062" s="32"/>
      <c r="U4062" s="32"/>
      <c r="X4062" s="32"/>
      <c r="Y4062" s="32"/>
      <c r="Z4062" s="32"/>
      <c r="AA4062" s="32"/>
      <c r="AB4062" s="32"/>
    </row>
    <row r="4063" spans="2:28" ht="23.25" customHeight="1" x14ac:dyDescent="0.2">
      <c r="B4063" s="75"/>
      <c r="C4063" s="67"/>
      <c r="D4063" s="75"/>
      <c r="E4063" s="67"/>
      <c r="F4063" s="67"/>
      <c r="G4063" s="70"/>
      <c r="H4063" s="70"/>
      <c r="I4063" s="70"/>
      <c r="J4063" s="70"/>
      <c r="K4063" s="70"/>
      <c r="L4063" s="67"/>
      <c r="M4063" s="67"/>
      <c r="N4063" s="72"/>
      <c r="O4063" s="72"/>
      <c r="P4063" s="67"/>
      <c r="Q4063" s="67"/>
      <c r="R4063" s="67"/>
      <c r="S4063" s="67"/>
      <c r="T4063" s="32"/>
      <c r="U4063" s="32"/>
      <c r="X4063" s="32"/>
      <c r="Y4063" s="32"/>
      <c r="Z4063" s="32"/>
      <c r="AA4063" s="32"/>
      <c r="AB4063" s="32"/>
    </row>
    <row r="4064" spans="2:28" ht="23.25" customHeight="1" x14ac:dyDescent="0.2">
      <c r="B4064" s="75"/>
      <c r="C4064" s="67"/>
      <c r="D4064" s="75"/>
      <c r="E4064" s="67"/>
      <c r="F4064" s="67"/>
      <c r="G4064" s="70"/>
      <c r="H4064" s="70"/>
      <c r="I4064" s="70"/>
      <c r="J4064" s="70"/>
      <c r="K4064" s="70"/>
      <c r="L4064" s="67"/>
      <c r="M4064" s="67"/>
      <c r="N4064" s="72"/>
      <c r="O4064" s="72"/>
      <c r="P4064" s="67"/>
      <c r="Q4064" s="67"/>
      <c r="R4064" s="67"/>
      <c r="S4064" s="67"/>
      <c r="T4064" s="32"/>
      <c r="U4064" s="32"/>
      <c r="X4064" s="32"/>
      <c r="Y4064" s="32"/>
      <c r="Z4064" s="32"/>
      <c r="AA4064" s="32"/>
      <c r="AB4064" s="32"/>
    </row>
    <row r="4065" spans="2:28" ht="23.25" customHeight="1" x14ac:dyDescent="0.2">
      <c r="B4065" s="75"/>
      <c r="C4065" s="67"/>
      <c r="D4065" s="75"/>
      <c r="E4065" s="67"/>
      <c r="F4065" s="67"/>
      <c r="G4065" s="70"/>
      <c r="H4065" s="70"/>
      <c r="I4065" s="70"/>
      <c r="J4065" s="70"/>
      <c r="K4065" s="70"/>
      <c r="L4065" s="67"/>
      <c r="M4065" s="67"/>
      <c r="N4065" s="72"/>
      <c r="O4065" s="72"/>
      <c r="P4065" s="67"/>
      <c r="Q4065" s="67"/>
      <c r="R4065" s="67"/>
      <c r="S4065" s="67"/>
      <c r="T4065" s="32"/>
      <c r="U4065" s="32"/>
      <c r="X4065" s="32"/>
      <c r="Y4065" s="32"/>
      <c r="Z4065" s="32"/>
      <c r="AA4065" s="32"/>
      <c r="AB4065" s="32"/>
    </row>
    <row r="4066" spans="2:28" ht="23.25" customHeight="1" x14ac:dyDescent="0.2">
      <c r="B4066" s="75"/>
      <c r="C4066" s="67"/>
      <c r="D4066" s="75"/>
      <c r="E4066" s="67"/>
      <c r="F4066" s="67"/>
      <c r="G4066" s="70"/>
      <c r="H4066" s="70"/>
      <c r="I4066" s="70"/>
      <c r="J4066" s="70"/>
      <c r="K4066" s="70"/>
      <c r="L4066" s="67"/>
      <c r="M4066" s="67"/>
      <c r="N4066" s="72"/>
      <c r="O4066" s="72"/>
      <c r="P4066" s="67"/>
      <c r="Q4066" s="67"/>
      <c r="R4066" s="67"/>
      <c r="S4066" s="67"/>
      <c r="T4066" s="32"/>
      <c r="U4066" s="32"/>
      <c r="X4066" s="32"/>
      <c r="Y4066" s="32"/>
      <c r="Z4066" s="32"/>
      <c r="AA4066" s="32"/>
      <c r="AB4066" s="32"/>
    </row>
    <row r="4067" spans="2:28" ht="23.25" customHeight="1" x14ac:dyDescent="0.2">
      <c r="B4067" s="75"/>
      <c r="C4067" s="67"/>
      <c r="D4067" s="75"/>
      <c r="E4067" s="67"/>
      <c r="F4067" s="67"/>
      <c r="G4067" s="70"/>
      <c r="H4067" s="70"/>
      <c r="I4067" s="70"/>
      <c r="J4067" s="70"/>
      <c r="K4067" s="70"/>
      <c r="L4067" s="67"/>
      <c r="M4067" s="67"/>
      <c r="N4067" s="72"/>
      <c r="O4067" s="72"/>
      <c r="P4067" s="67"/>
      <c r="Q4067" s="67"/>
      <c r="R4067" s="67"/>
      <c r="S4067" s="67"/>
      <c r="T4067" s="32"/>
      <c r="U4067" s="32"/>
      <c r="X4067" s="32"/>
      <c r="Y4067" s="32"/>
      <c r="Z4067" s="32"/>
      <c r="AA4067" s="32"/>
      <c r="AB4067" s="32"/>
    </row>
    <row r="4068" spans="2:28" ht="23.25" customHeight="1" x14ac:dyDescent="0.2">
      <c r="B4068" s="75"/>
      <c r="C4068" s="67"/>
      <c r="D4068" s="75"/>
      <c r="E4068" s="67"/>
      <c r="F4068" s="67"/>
      <c r="G4068" s="70"/>
      <c r="H4068" s="70"/>
      <c r="I4068" s="70"/>
      <c r="J4068" s="70"/>
      <c r="K4068" s="70"/>
      <c r="L4068" s="67"/>
      <c r="M4068" s="67"/>
      <c r="N4068" s="72"/>
      <c r="O4068" s="72"/>
      <c r="P4068" s="67"/>
      <c r="Q4068" s="67"/>
      <c r="R4068" s="67"/>
      <c r="S4068" s="67"/>
      <c r="T4068" s="32"/>
      <c r="U4068" s="32"/>
      <c r="X4068" s="32"/>
      <c r="Y4068" s="32"/>
      <c r="Z4068" s="32"/>
      <c r="AA4068" s="32"/>
      <c r="AB4068" s="32"/>
    </row>
    <row r="4069" spans="2:28" ht="23.25" customHeight="1" x14ac:dyDescent="0.2">
      <c r="B4069" s="75"/>
      <c r="C4069" s="67"/>
      <c r="D4069" s="75"/>
      <c r="E4069" s="67"/>
      <c r="F4069" s="67"/>
      <c r="G4069" s="70"/>
      <c r="H4069" s="70"/>
      <c r="I4069" s="70"/>
      <c r="J4069" s="70"/>
      <c r="K4069" s="70"/>
      <c r="L4069" s="67"/>
      <c r="M4069" s="67"/>
      <c r="N4069" s="72"/>
      <c r="O4069" s="72"/>
      <c r="P4069" s="67"/>
      <c r="Q4069" s="67"/>
      <c r="R4069" s="67"/>
      <c r="S4069" s="67"/>
      <c r="T4069" s="32"/>
      <c r="U4069" s="32"/>
      <c r="X4069" s="32"/>
      <c r="Y4069" s="32"/>
      <c r="Z4069" s="32"/>
      <c r="AA4069" s="32"/>
      <c r="AB4069" s="32"/>
    </row>
    <row r="4070" spans="2:28" ht="23.25" customHeight="1" x14ac:dyDescent="0.2">
      <c r="B4070" s="75"/>
      <c r="C4070" s="67"/>
      <c r="D4070" s="75"/>
      <c r="E4070" s="67"/>
      <c r="F4070" s="67"/>
      <c r="G4070" s="70"/>
      <c r="H4070" s="70"/>
      <c r="I4070" s="70"/>
      <c r="J4070" s="70"/>
      <c r="K4070" s="70"/>
      <c r="L4070" s="67"/>
      <c r="M4070" s="67"/>
      <c r="N4070" s="72"/>
      <c r="O4070" s="72"/>
      <c r="P4070" s="67"/>
      <c r="Q4070" s="67"/>
      <c r="R4070" s="67"/>
      <c r="S4070" s="67"/>
      <c r="T4070" s="32"/>
      <c r="U4070" s="32"/>
      <c r="X4070" s="32"/>
      <c r="Y4070" s="32"/>
      <c r="Z4070" s="32"/>
      <c r="AA4070" s="32"/>
      <c r="AB4070" s="32"/>
    </row>
    <row r="4071" spans="2:28" ht="23.25" customHeight="1" x14ac:dyDescent="0.2">
      <c r="B4071" s="75"/>
      <c r="C4071" s="67"/>
      <c r="D4071" s="75"/>
      <c r="E4071" s="67"/>
      <c r="F4071" s="67"/>
      <c r="G4071" s="70"/>
      <c r="H4071" s="70"/>
      <c r="I4071" s="70"/>
      <c r="J4071" s="70"/>
      <c r="K4071" s="70"/>
      <c r="L4071" s="67"/>
      <c r="M4071" s="67"/>
      <c r="N4071" s="72"/>
      <c r="O4071" s="72"/>
      <c r="P4071" s="67"/>
      <c r="Q4071" s="67"/>
      <c r="R4071" s="67"/>
      <c r="S4071" s="67"/>
      <c r="T4071" s="32"/>
      <c r="U4071" s="32"/>
      <c r="X4071" s="32"/>
      <c r="Y4071" s="32"/>
      <c r="Z4071" s="32"/>
      <c r="AA4071" s="32"/>
      <c r="AB4071" s="32"/>
    </row>
    <row r="4072" spans="2:28" ht="23.25" customHeight="1" x14ac:dyDescent="0.2">
      <c r="B4072" s="75"/>
      <c r="C4072" s="67"/>
      <c r="D4072" s="75"/>
      <c r="E4072" s="67"/>
      <c r="F4072" s="67"/>
      <c r="G4072" s="70"/>
      <c r="H4072" s="70"/>
      <c r="I4072" s="70"/>
      <c r="J4072" s="70"/>
      <c r="K4072" s="70"/>
      <c r="L4072" s="67"/>
      <c r="M4072" s="67"/>
      <c r="N4072" s="72"/>
      <c r="O4072" s="72"/>
      <c r="P4072" s="67"/>
      <c r="Q4072" s="67"/>
      <c r="R4072" s="67"/>
      <c r="S4072" s="67"/>
      <c r="T4072" s="32"/>
      <c r="U4072" s="32"/>
      <c r="X4072" s="32"/>
      <c r="Y4072" s="32"/>
      <c r="Z4072" s="32"/>
      <c r="AA4072" s="32"/>
      <c r="AB4072" s="32"/>
    </row>
    <row r="4073" spans="2:28" ht="23.25" customHeight="1" x14ac:dyDescent="0.2">
      <c r="B4073" s="75"/>
      <c r="C4073" s="67"/>
      <c r="D4073" s="75"/>
      <c r="E4073" s="67"/>
      <c r="F4073" s="67"/>
      <c r="G4073" s="70"/>
      <c r="H4073" s="70"/>
      <c r="I4073" s="70"/>
      <c r="J4073" s="70"/>
      <c r="K4073" s="70"/>
      <c r="L4073" s="67"/>
      <c r="M4073" s="67"/>
      <c r="N4073" s="72"/>
      <c r="O4073" s="72"/>
      <c r="P4073" s="67"/>
      <c r="Q4073" s="67"/>
      <c r="R4073" s="67"/>
      <c r="S4073" s="67"/>
      <c r="T4073" s="32"/>
      <c r="U4073" s="32"/>
      <c r="X4073" s="32"/>
      <c r="Y4073" s="32"/>
      <c r="Z4073" s="32"/>
      <c r="AA4073" s="32"/>
      <c r="AB4073" s="32"/>
    </row>
    <row r="4074" spans="2:28" ht="23.25" customHeight="1" x14ac:dyDescent="0.2">
      <c r="B4074" s="75"/>
      <c r="C4074" s="67"/>
      <c r="D4074" s="75"/>
      <c r="E4074" s="67"/>
      <c r="F4074" s="67"/>
      <c r="G4074" s="70"/>
      <c r="H4074" s="70"/>
      <c r="I4074" s="70"/>
      <c r="J4074" s="70"/>
      <c r="K4074" s="70"/>
      <c r="L4074" s="67"/>
      <c r="M4074" s="67"/>
      <c r="N4074" s="72"/>
      <c r="O4074" s="72"/>
      <c r="P4074" s="67"/>
      <c r="Q4074" s="67"/>
      <c r="R4074" s="67"/>
      <c r="S4074" s="67"/>
      <c r="T4074" s="32"/>
      <c r="U4074" s="32"/>
      <c r="X4074" s="32"/>
      <c r="Y4074" s="32"/>
      <c r="Z4074" s="32"/>
      <c r="AA4074" s="32"/>
      <c r="AB4074" s="32"/>
    </row>
    <row r="4075" spans="2:28" ht="23.25" customHeight="1" x14ac:dyDescent="0.2">
      <c r="B4075" s="75"/>
      <c r="C4075" s="67"/>
      <c r="D4075" s="75"/>
      <c r="E4075" s="67"/>
      <c r="F4075" s="67"/>
      <c r="G4075" s="70"/>
      <c r="H4075" s="70"/>
      <c r="I4075" s="70"/>
      <c r="J4075" s="70"/>
      <c r="K4075" s="70"/>
      <c r="L4075" s="67"/>
      <c r="M4075" s="67"/>
      <c r="N4075" s="72"/>
      <c r="O4075" s="72"/>
      <c r="P4075" s="67"/>
      <c r="Q4075" s="67"/>
      <c r="R4075" s="67"/>
      <c r="S4075" s="67"/>
      <c r="T4075" s="32"/>
      <c r="U4075" s="32"/>
      <c r="X4075" s="32"/>
      <c r="Y4075" s="32"/>
      <c r="Z4075" s="32"/>
      <c r="AA4075" s="32"/>
      <c r="AB4075" s="32"/>
    </row>
    <row r="4076" spans="2:28" ht="23.25" customHeight="1" x14ac:dyDescent="0.2">
      <c r="B4076" s="75"/>
      <c r="C4076" s="67"/>
      <c r="D4076" s="75"/>
      <c r="E4076" s="67"/>
      <c r="F4076" s="67"/>
      <c r="G4076" s="70"/>
      <c r="H4076" s="70"/>
      <c r="I4076" s="70"/>
      <c r="J4076" s="70"/>
      <c r="K4076" s="70"/>
      <c r="L4076" s="67"/>
      <c r="M4076" s="67"/>
      <c r="N4076" s="72"/>
      <c r="O4076" s="72"/>
      <c r="P4076" s="67"/>
      <c r="Q4076" s="67"/>
      <c r="R4076" s="67"/>
      <c r="S4076" s="67"/>
      <c r="T4076" s="32"/>
      <c r="U4076" s="32"/>
      <c r="X4076" s="32"/>
      <c r="Y4076" s="32"/>
      <c r="Z4076" s="32"/>
      <c r="AA4076" s="32"/>
      <c r="AB4076" s="32"/>
    </row>
    <row r="4077" spans="2:28" ht="23.25" customHeight="1" x14ac:dyDescent="0.2">
      <c r="B4077" s="75"/>
      <c r="C4077" s="67"/>
      <c r="D4077" s="75"/>
      <c r="E4077" s="67"/>
      <c r="F4077" s="67"/>
      <c r="G4077" s="70"/>
      <c r="H4077" s="70"/>
      <c r="I4077" s="70"/>
      <c r="J4077" s="70"/>
      <c r="K4077" s="70"/>
      <c r="L4077" s="67"/>
      <c r="M4077" s="67"/>
      <c r="N4077" s="72"/>
      <c r="O4077" s="72"/>
      <c r="P4077" s="67"/>
      <c r="Q4077" s="67"/>
      <c r="R4077" s="67"/>
      <c r="S4077" s="67"/>
      <c r="T4077" s="32"/>
      <c r="U4077" s="32"/>
      <c r="X4077" s="32"/>
      <c r="Y4077" s="32"/>
      <c r="Z4077" s="32"/>
      <c r="AA4077" s="32"/>
      <c r="AB4077" s="32"/>
    </row>
    <row r="4078" spans="2:28" ht="23.25" customHeight="1" x14ac:dyDescent="0.2">
      <c r="B4078" s="75"/>
      <c r="C4078" s="67"/>
      <c r="D4078" s="75"/>
      <c r="E4078" s="67"/>
      <c r="F4078" s="67"/>
      <c r="G4078" s="70"/>
      <c r="H4078" s="70"/>
      <c r="I4078" s="70"/>
      <c r="J4078" s="70"/>
      <c r="K4078" s="70"/>
      <c r="L4078" s="67"/>
      <c r="M4078" s="67"/>
      <c r="N4078" s="72"/>
      <c r="O4078" s="72"/>
      <c r="P4078" s="67"/>
      <c r="Q4078" s="67"/>
      <c r="R4078" s="67"/>
      <c r="S4078" s="67"/>
      <c r="T4078" s="32"/>
      <c r="U4078" s="32"/>
      <c r="X4078" s="32"/>
      <c r="Y4078" s="32"/>
      <c r="Z4078" s="32"/>
      <c r="AA4078" s="32"/>
      <c r="AB4078" s="32"/>
    </row>
    <row r="4079" spans="2:28" ht="23.25" customHeight="1" x14ac:dyDescent="0.2">
      <c r="B4079" s="75"/>
      <c r="C4079" s="67"/>
      <c r="D4079" s="75"/>
      <c r="E4079" s="67"/>
      <c r="F4079" s="67"/>
      <c r="G4079" s="70"/>
      <c r="H4079" s="70"/>
      <c r="I4079" s="70"/>
      <c r="J4079" s="70"/>
      <c r="K4079" s="70"/>
      <c r="L4079" s="67"/>
      <c r="M4079" s="67"/>
      <c r="N4079" s="72"/>
      <c r="O4079" s="72"/>
      <c r="P4079" s="67"/>
      <c r="Q4079" s="67"/>
      <c r="R4079" s="67"/>
      <c r="S4079" s="67"/>
      <c r="T4079" s="32"/>
      <c r="U4079" s="32"/>
      <c r="X4079" s="32"/>
      <c r="Y4079" s="32"/>
      <c r="Z4079" s="32"/>
      <c r="AA4079" s="32"/>
      <c r="AB4079" s="32"/>
    </row>
    <row r="4080" spans="2:28" ht="23.25" customHeight="1" x14ac:dyDescent="0.2">
      <c r="B4080" s="75"/>
      <c r="C4080" s="67"/>
      <c r="D4080" s="75"/>
      <c r="E4080" s="67"/>
      <c r="F4080" s="67"/>
      <c r="G4080" s="70"/>
      <c r="H4080" s="70"/>
      <c r="I4080" s="70"/>
      <c r="J4080" s="70"/>
      <c r="K4080" s="70"/>
      <c r="L4080" s="67"/>
      <c r="M4080" s="67"/>
      <c r="N4080" s="72"/>
      <c r="O4080" s="72"/>
      <c r="P4080" s="67"/>
      <c r="Q4080" s="67"/>
      <c r="R4080" s="67"/>
      <c r="S4080" s="67"/>
      <c r="T4080" s="32"/>
      <c r="U4080" s="32"/>
      <c r="X4080" s="32"/>
      <c r="Y4080" s="32"/>
      <c r="Z4080" s="32"/>
      <c r="AA4080" s="32"/>
      <c r="AB4080" s="32"/>
    </row>
    <row r="4081" spans="2:28" ht="23.25" customHeight="1" x14ac:dyDescent="0.2">
      <c r="B4081" s="75"/>
      <c r="C4081" s="67"/>
      <c r="D4081" s="75"/>
      <c r="E4081" s="67"/>
      <c r="F4081" s="67"/>
      <c r="G4081" s="70"/>
      <c r="H4081" s="70"/>
      <c r="I4081" s="70"/>
      <c r="J4081" s="70"/>
      <c r="K4081" s="70"/>
      <c r="L4081" s="67"/>
      <c r="M4081" s="67"/>
      <c r="N4081" s="72"/>
      <c r="O4081" s="72"/>
      <c r="P4081" s="67"/>
      <c r="Q4081" s="67"/>
      <c r="R4081" s="67"/>
      <c r="S4081" s="67"/>
      <c r="T4081" s="32"/>
      <c r="U4081" s="32"/>
      <c r="X4081" s="32"/>
      <c r="Y4081" s="32"/>
      <c r="Z4081" s="32"/>
      <c r="AA4081" s="32"/>
      <c r="AB4081" s="32"/>
    </row>
    <row r="4082" spans="2:28" ht="23.25" customHeight="1" x14ac:dyDescent="0.2">
      <c r="B4082" s="75"/>
      <c r="C4082" s="67"/>
      <c r="D4082" s="75"/>
      <c r="E4082" s="67"/>
      <c r="F4082" s="67"/>
      <c r="G4082" s="70"/>
      <c r="H4082" s="70"/>
      <c r="I4082" s="70"/>
      <c r="J4082" s="70"/>
      <c r="K4082" s="70"/>
      <c r="L4082" s="67"/>
      <c r="M4082" s="67"/>
      <c r="N4082" s="72"/>
      <c r="O4082" s="72"/>
      <c r="P4082" s="67"/>
      <c r="Q4082" s="67"/>
      <c r="R4082" s="67"/>
      <c r="S4082" s="67"/>
      <c r="T4082" s="32"/>
      <c r="U4082" s="32"/>
      <c r="X4082" s="32"/>
      <c r="Y4082" s="32"/>
      <c r="Z4082" s="32"/>
      <c r="AA4082" s="32"/>
      <c r="AB4082" s="32"/>
    </row>
    <row r="4083" spans="2:28" ht="23.25" customHeight="1" x14ac:dyDescent="0.2">
      <c r="B4083" s="75"/>
      <c r="C4083" s="67"/>
      <c r="D4083" s="75"/>
      <c r="E4083" s="67"/>
      <c r="F4083" s="67"/>
      <c r="G4083" s="70"/>
      <c r="H4083" s="70"/>
      <c r="I4083" s="70"/>
      <c r="J4083" s="70"/>
      <c r="K4083" s="70"/>
      <c r="L4083" s="67"/>
      <c r="M4083" s="67"/>
      <c r="N4083" s="72"/>
      <c r="O4083" s="72"/>
      <c r="P4083" s="67"/>
      <c r="Q4083" s="67"/>
      <c r="R4083" s="67"/>
      <c r="S4083" s="67"/>
      <c r="T4083" s="32"/>
      <c r="U4083" s="32"/>
      <c r="X4083" s="32"/>
      <c r="Y4083" s="32"/>
      <c r="Z4083" s="32"/>
      <c r="AA4083" s="32"/>
      <c r="AB4083" s="32"/>
    </row>
    <row r="4084" spans="2:28" ht="23.25" customHeight="1" x14ac:dyDescent="0.2">
      <c r="B4084" s="75"/>
      <c r="C4084" s="67"/>
      <c r="D4084" s="75"/>
      <c r="E4084" s="67"/>
      <c r="F4084" s="67"/>
      <c r="G4084" s="70"/>
      <c r="H4084" s="70"/>
      <c r="I4084" s="70"/>
      <c r="J4084" s="70"/>
      <c r="K4084" s="70"/>
      <c r="L4084" s="67"/>
      <c r="M4084" s="67"/>
      <c r="N4084" s="72"/>
      <c r="O4084" s="72"/>
      <c r="P4084" s="67"/>
      <c r="Q4084" s="67"/>
      <c r="R4084" s="67"/>
      <c r="S4084" s="67"/>
      <c r="T4084" s="32"/>
      <c r="U4084" s="32"/>
      <c r="X4084" s="32"/>
      <c r="Y4084" s="32"/>
      <c r="Z4084" s="32"/>
      <c r="AA4084" s="32"/>
      <c r="AB4084" s="32"/>
    </row>
    <row r="4085" spans="2:28" ht="23.25" customHeight="1" x14ac:dyDescent="0.2">
      <c r="B4085" s="75"/>
      <c r="C4085" s="67"/>
      <c r="D4085" s="75"/>
      <c r="E4085" s="67"/>
      <c r="F4085" s="67"/>
      <c r="G4085" s="70"/>
      <c r="H4085" s="70"/>
      <c r="I4085" s="70"/>
      <c r="J4085" s="70"/>
      <c r="K4085" s="70"/>
      <c r="L4085" s="67"/>
      <c r="M4085" s="67"/>
      <c r="N4085" s="72"/>
      <c r="O4085" s="72"/>
      <c r="P4085" s="67"/>
      <c r="Q4085" s="67"/>
      <c r="R4085" s="67"/>
      <c r="S4085" s="67"/>
      <c r="T4085" s="32"/>
      <c r="U4085" s="32"/>
      <c r="X4085" s="32"/>
      <c r="Y4085" s="32"/>
      <c r="Z4085" s="32"/>
      <c r="AA4085" s="32"/>
      <c r="AB4085" s="32"/>
    </row>
    <row r="4086" spans="2:28" ht="23.25" customHeight="1" x14ac:dyDescent="0.2">
      <c r="B4086" s="75"/>
      <c r="C4086" s="67"/>
      <c r="D4086" s="75"/>
      <c r="E4086" s="67"/>
      <c r="F4086" s="67"/>
      <c r="G4086" s="70"/>
      <c r="H4086" s="70"/>
      <c r="I4086" s="70"/>
      <c r="J4086" s="70"/>
      <c r="K4086" s="70"/>
      <c r="L4086" s="67"/>
      <c r="M4086" s="67"/>
      <c r="N4086" s="72"/>
      <c r="O4086" s="72"/>
      <c r="P4086" s="67"/>
      <c r="Q4086" s="67"/>
      <c r="R4086" s="67"/>
      <c r="S4086" s="67"/>
      <c r="T4086" s="32"/>
      <c r="U4086" s="32"/>
      <c r="X4086" s="32"/>
      <c r="Y4086" s="32"/>
      <c r="Z4086" s="32"/>
      <c r="AA4086" s="32"/>
      <c r="AB4086" s="32"/>
    </row>
    <row r="4087" spans="2:28" ht="23.25" customHeight="1" x14ac:dyDescent="0.2">
      <c r="B4087" s="75"/>
      <c r="C4087" s="67"/>
      <c r="D4087" s="75"/>
      <c r="E4087" s="67"/>
      <c r="F4087" s="67"/>
      <c r="G4087" s="70"/>
      <c r="H4087" s="70"/>
      <c r="I4087" s="70"/>
      <c r="J4087" s="70"/>
      <c r="K4087" s="70"/>
      <c r="L4087" s="67"/>
      <c r="M4087" s="67"/>
      <c r="N4087" s="72"/>
      <c r="O4087" s="72"/>
      <c r="P4087" s="67"/>
      <c r="Q4087" s="67"/>
      <c r="R4087" s="67"/>
      <c r="S4087" s="67"/>
      <c r="T4087" s="32"/>
      <c r="U4087" s="32"/>
      <c r="X4087" s="32"/>
      <c r="Y4087" s="32"/>
      <c r="Z4087" s="32"/>
      <c r="AA4087" s="32"/>
      <c r="AB4087" s="32"/>
    </row>
    <row r="4088" spans="2:28" ht="23.25" customHeight="1" x14ac:dyDescent="0.2">
      <c r="B4088" s="75"/>
      <c r="C4088" s="67"/>
      <c r="D4088" s="75"/>
      <c r="E4088" s="67"/>
      <c r="F4088" s="67"/>
      <c r="G4088" s="70"/>
      <c r="H4088" s="70"/>
      <c r="I4088" s="70"/>
      <c r="J4088" s="70"/>
      <c r="K4088" s="70"/>
      <c r="L4088" s="67"/>
      <c r="M4088" s="67"/>
      <c r="N4088" s="72"/>
      <c r="O4088" s="72"/>
      <c r="P4088" s="67"/>
      <c r="Q4088" s="67"/>
      <c r="R4088" s="67"/>
      <c r="S4088" s="67"/>
      <c r="T4088" s="32"/>
      <c r="U4088" s="32"/>
      <c r="X4088" s="32"/>
      <c r="Y4088" s="32"/>
      <c r="Z4088" s="32"/>
      <c r="AA4088" s="32"/>
      <c r="AB4088" s="32"/>
    </row>
    <row r="4089" spans="2:28" ht="23.25" customHeight="1" x14ac:dyDescent="0.2">
      <c r="B4089" s="75"/>
      <c r="C4089" s="67"/>
      <c r="D4089" s="75"/>
      <c r="E4089" s="67"/>
      <c r="F4089" s="67"/>
      <c r="G4089" s="70"/>
      <c r="H4089" s="70"/>
      <c r="I4089" s="70"/>
      <c r="J4089" s="70"/>
      <c r="K4089" s="70"/>
      <c r="L4089" s="67"/>
      <c r="M4089" s="67"/>
      <c r="N4089" s="72"/>
      <c r="O4089" s="72"/>
      <c r="P4089" s="67"/>
      <c r="Q4089" s="67"/>
      <c r="R4089" s="67"/>
      <c r="S4089" s="67"/>
      <c r="T4089" s="32"/>
      <c r="U4089" s="32"/>
      <c r="X4089" s="32"/>
      <c r="Y4089" s="32"/>
      <c r="Z4089" s="32"/>
      <c r="AA4089" s="32"/>
      <c r="AB4089" s="32"/>
    </row>
    <row r="4090" spans="2:28" ht="23.25" customHeight="1" x14ac:dyDescent="0.2">
      <c r="B4090" s="75"/>
      <c r="C4090" s="67"/>
      <c r="D4090" s="75"/>
      <c r="E4090" s="67"/>
      <c r="F4090" s="67"/>
      <c r="G4090" s="70"/>
      <c r="H4090" s="70"/>
      <c r="I4090" s="70"/>
      <c r="J4090" s="70"/>
      <c r="K4090" s="70"/>
      <c r="L4090" s="67"/>
      <c r="M4090" s="67"/>
      <c r="N4090" s="72"/>
      <c r="O4090" s="72"/>
      <c r="P4090" s="67"/>
      <c r="Q4090" s="67"/>
      <c r="R4090" s="67"/>
      <c r="S4090" s="67"/>
      <c r="T4090" s="32"/>
      <c r="U4090" s="32"/>
      <c r="X4090" s="32"/>
      <c r="Y4090" s="32"/>
      <c r="Z4090" s="32"/>
      <c r="AA4090" s="32"/>
      <c r="AB4090" s="32"/>
    </row>
    <row r="4091" spans="2:28" ht="23.25" customHeight="1" x14ac:dyDescent="0.2">
      <c r="B4091" s="75"/>
      <c r="C4091" s="67"/>
      <c r="D4091" s="75"/>
      <c r="E4091" s="67"/>
      <c r="F4091" s="67"/>
      <c r="G4091" s="70"/>
      <c r="H4091" s="70"/>
      <c r="I4091" s="70"/>
      <c r="J4091" s="70"/>
      <c r="K4091" s="70"/>
      <c r="L4091" s="67"/>
      <c r="M4091" s="67"/>
      <c r="N4091" s="72"/>
      <c r="O4091" s="72"/>
      <c r="P4091" s="67"/>
      <c r="Q4091" s="67"/>
      <c r="R4091" s="67"/>
      <c r="S4091" s="67"/>
      <c r="T4091" s="32"/>
      <c r="U4091" s="32"/>
      <c r="X4091" s="32"/>
      <c r="Y4091" s="32"/>
      <c r="Z4091" s="32"/>
      <c r="AA4091" s="32"/>
      <c r="AB4091" s="32"/>
    </row>
    <row r="4092" spans="2:28" ht="23.25" customHeight="1" x14ac:dyDescent="0.2">
      <c r="B4092" s="75"/>
      <c r="C4092" s="67"/>
      <c r="D4092" s="75"/>
      <c r="E4092" s="67"/>
      <c r="F4092" s="67"/>
      <c r="G4092" s="70"/>
      <c r="H4092" s="70"/>
      <c r="I4092" s="70"/>
      <c r="J4092" s="70"/>
      <c r="K4092" s="70"/>
      <c r="L4092" s="67"/>
      <c r="M4092" s="67"/>
      <c r="N4092" s="72"/>
      <c r="O4092" s="72"/>
      <c r="P4092" s="67"/>
      <c r="Q4092" s="67"/>
      <c r="R4092" s="67"/>
      <c r="S4092" s="67"/>
      <c r="T4092" s="32"/>
      <c r="U4092" s="32"/>
      <c r="X4092" s="32"/>
      <c r="Y4092" s="32"/>
      <c r="Z4092" s="32"/>
      <c r="AA4092" s="32"/>
      <c r="AB4092" s="32"/>
    </row>
    <row r="4093" spans="2:28" ht="23.25" customHeight="1" x14ac:dyDescent="0.2">
      <c r="B4093" s="75"/>
      <c r="C4093" s="67"/>
      <c r="D4093" s="75"/>
      <c r="E4093" s="67"/>
      <c r="F4093" s="67"/>
      <c r="G4093" s="70"/>
      <c r="H4093" s="70"/>
      <c r="I4093" s="70"/>
      <c r="J4093" s="70"/>
      <c r="K4093" s="70"/>
      <c r="L4093" s="67"/>
      <c r="M4093" s="67"/>
      <c r="N4093" s="72"/>
      <c r="O4093" s="72"/>
      <c r="P4093" s="67"/>
      <c r="Q4093" s="67"/>
      <c r="R4093" s="67"/>
      <c r="S4093" s="67"/>
      <c r="T4093" s="32"/>
      <c r="U4093" s="32"/>
      <c r="X4093" s="32"/>
      <c r="Y4093" s="32"/>
      <c r="Z4093" s="32"/>
      <c r="AA4093" s="32"/>
      <c r="AB4093" s="32"/>
    </row>
    <row r="4094" spans="2:28" ht="23.25" customHeight="1" x14ac:dyDescent="0.2">
      <c r="B4094" s="75"/>
      <c r="C4094" s="67"/>
      <c r="D4094" s="75"/>
      <c r="E4094" s="67"/>
      <c r="F4094" s="67"/>
      <c r="G4094" s="70"/>
      <c r="H4094" s="70"/>
      <c r="I4094" s="70"/>
      <c r="J4094" s="70"/>
      <c r="K4094" s="70"/>
      <c r="L4094" s="67"/>
      <c r="M4094" s="67"/>
      <c r="N4094" s="72"/>
      <c r="O4094" s="72"/>
      <c r="P4094" s="67"/>
      <c r="Q4094" s="67"/>
      <c r="R4094" s="67"/>
      <c r="S4094" s="67"/>
      <c r="T4094" s="32"/>
      <c r="U4094" s="32"/>
      <c r="X4094" s="32"/>
      <c r="Y4094" s="32"/>
      <c r="Z4094" s="32"/>
      <c r="AA4094" s="32"/>
      <c r="AB4094" s="32"/>
    </row>
    <row r="4095" spans="2:28" ht="23.25" customHeight="1" x14ac:dyDescent="0.2">
      <c r="B4095" s="75"/>
      <c r="C4095" s="67"/>
      <c r="D4095" s="75"/>
      <c r="E4095" s="67"/>
      <c r="F4095" s="67"/>
      <c r="G4095" s="70"/>
      <c r="H4095" s="70"/>
      <c r="I4095" s="70"/>
      <c r="J4095" s="70"/>
      <c r="K4095" s="70"/>
      <c r="L4095" s="67"/>
      <c r="M4095" s="67"/>
      <c r="N4095" s="72"/>
      <c r="O4095" s="72"/>
      <c r="P4095" s="67"/>
      <c r="Q4095" s="67"/>
      <c r="R4095" s="67"/>
      <c r="S4095" s="67"/>
      <c r="T4095" s="32"/>
      <c r="U4095" s="32"/>
      <c r="X4095" s="32"/>
      <c r="Y4095" s="32"/>
      <c r="Z4095" s="32"/>
      <c r="AA4095" s="32"/>
      <c r="AB4095" s="32"/>
    </row>
    <row r="4096" spans="2:28" ht="23.25" customHeight="1" x14ac:dyDescent="0.2">
      <c r="B4096" s="75"/>
      <c r="C4096" s="67"/>
      <c r="D4096" s="75"/>
      <c r="E4096" s="67"/>
      <c r="F4096" s="67"/>
      <c r="G4096" s="70"/>
      <c r="H4096" s="70"/>
      <c r="I4096" s="70"/>
      <c r="J4096" s="70"/>
      <c r="K4096" s="70"/>
      <c r="L4096" s="67"/>
      <c r="M4096" s="67"/>
      <c r="N4096" s="72"/>
      <c r="O4096" s="72"/>
      <c r="P4096" s="67"/>
      <c r="Q4096" s="67"/>
      <c r="R4096" s="67"/>
      <c r="S4096" s="67"/>
      <c r="T4096" s="32"/>
      <c r="U4096" s="32"/>
      <c r="X4096" s="32"/>
      <c r="Y4096" s="32"/>
      <c r="Z4096" s="32"/>
      <c r="AA4096" s="32"/>
      <c r="AB4096" s="32"/>
    </row>
    <row r="4097" spans="2:28" ht="23.25" customHeight="1" x14ac:dyDescent="0.2">
      <c r="B4097" s="75"/>
      <c r="C4097" s="67"/>
      <c r="D4097" s="75"/>
      <c r="E4097" s="67"/>
      <c r="F4097" s="67"/>
      <c r="G4097" s="70"/>
      <c r="H4097" s="70"/>
      <c r="I4097" s="70"/>
      <c r="J4097" s="70"/>
      <c r="K4097" s="70"/>
      <c r="L4097" s="67"/>
      <c r="M4097" s="67"/>
      <c r="N4097" s="72"/>
      <c r="O4097" s="72"/>
      <c r="P4097" s="67"/>
      <c r="Q4097" s="67"/>
      <c r="R4097" s="67"/>
      <c r="S4097" s="67"/>
      <c r="T4097" s="32"/>
      <c r="U4097" s="32"/>
      <c r="X4097" s="32"/>
      <c r="Y4097" s="32"/>
      <c r="Z4097" s="32"/>
      <c r="AA4097" s="32"/>
      <c r="AB4097" s="32"/>
    </row>
    <row r="4098" spans="2:28" ht="23.25" customHeight="1" x14ac:dyDescent="0.2">
      <c r="B4098" s="75"/>
      <c r="C4098" s="67"/>
      <c r="D4098" s="75"/>
      <c r="E4098" s="67"/>
      <c r="F4098" s="67"/>
      <c r="G4098" s="70"/>
      <c r="H4098" s="70"/>
      <c r="I4098" s="70"/>
      <c r="J4098" s="70"/>
      <c r="K4098" s="70"/>
      <c r="L4098" s="67"/>
      <c r="M4098" s="67"/>
      <c r="N4098" s="72"/>
      <c r="O4098" s="72"/>
      <c r="P4098" s="67"/>
      <c r="Q4098" s="67"/>
      <c r="R4098" s="67"/>
      <c r="S4098" s="67"/>
      <c r="T4098" s="32"/>
      <c r="U4098" s="32"/>
      <c r="X4098" s="32"/>
      <c r="Y4098" s="32"/>
      <c r="Z4098" s="32"/>
      <c r="AA4098" s="32"/>
      <c r="AB4098" s="32"/>
    </row>
    <row r="4099" spans="2:28" ht="23.25" customHeight="1" x14ac:dyDescent="0.2">
      <c r="B4099" s="75"/>
      <c r="C4099" s="67"/>
      <c r="D4099" s="75"/>
      <c r="E4099" s="67"/>
      <c r="F4099" s="67"/>
      <c r="G4099" s="70"/>
      <c r="H4099" s="70"/>
      <c r="I4099" s="70"/>
      <c r="J4099" s="70"/>
      <c r="K4099" s="70"/>
      <c r="L4099" s="67"/>
      <c r="M4099" s="67"/>
      <c r="N4099" s="72"/>
      <c r="O4099" s="72"/>
      <c r="P4099" s="67"/>
      <c r="Q4099" s="67"/>
      <c r="R4099" s="67"/>
      <c r="S4099" s="67"/>
      <c r="T4099" s="32"/>
      <c r="U4099" s="32"/>
      <c r="X4099" s="32"/>
      <c r="Y4099" s="32"/>
      <c r="Z4099" s="32"/>
      <c r="AA4099" s="32"/>
      <c r="AB4099" s="32"/>
    </row>
    <row r="4100" spans="2:28" ht="23.25" customHeight="1" x14ac:dyDescent="0.2">
      <c r="B4100" s="75"/>
      <c r="C4100" s="67"/>
      <c r="D4100" s="75"/>
      <c r="E4100" s="67"/>
      <c r="F4100" s="67"/>
      <c r="G4100" s="70"/>
      <c r="H4100" s="70"/>
      <c r="I4100" s="70"/>
      <c r="J4100" s="70"/>
      <c r="K4100" s="70"/>
      <c r="L4100" s="67"/>
      <c r="M4100" s="67"/>
      <c r="N4100" s="72"/>
      <c r="O4100" s="72"/>
      <c r="P4100" s="67"/>
      <c r="Q4100" s="67"/>
      <c r="R4100" s="67"/>
      <c r="S4100" s="67"/>
      <c r="T4100" s="32"/>
      <c r="U4100" s="32"/>
      <c r="X4100" s="32"/>
      <c r="Y4100" s="32"/>
      <c r="Z4100" s="32"/>
      <c r="AA4100" s="32"/>
      <c r="AB4100" s="32"/>
    </row>
    <row r="4101" spans="2:28" ht="23.25" customHeight="1" x14ac:dyDescent="0.2">
      <c r="B4101" s="75"/>
      <c r="C4101" s="67"/>
      <c r="D4101" s="75"/>
      <c r="E4101" s="67"/>
      <c r="F4101" s="67"/>
      <c r="G4101" s="70"/>
      <c r="H4101" s="70"/>
      <c r="I4101" s="70"/>
      <c r="J4101" s="70"/>
      <c r="K4101" s="70"/>
      <c r="L4101" s="67"/>
      <c r="M4101" s="67"/>
      <c r="N4101" s="72"/>
      <c r="O4101" s="72"/>
      <c r="P4101" s="67"/>
      <c r="Q4101" s="67"/>
      <c r="R4101" s="67"/>
      <c r="S4101" s="67"/>
      <c r="T4101" s="32"/>
      <c r="U4101" s="32"/>
      <c r="X4101" s="32"/>
      <c r="Y4101" s="32"/>
      <c r="Z4101" s="32"/>
      <c r="AA4101" s="32"/>
      <c r="AB4101" s="32"/>
    </row>
    <row r="4102" spans="2:28" ht="23.25" customHeight="1" x14ac:dyDescent="0.2">
      <c r="B4102" s="75"/>
      <c r="C4102" s="67"/>
      <c r="D4102" s="75"/>
      <c r="E4102" s="67"/>
      <c r="F4102" s="67"/>
      <c r="G4102" s="70"/>
      <c r="H4102" s="70"/>
      <c r="I4102" s="70"/>
      <c r="J4102" s="70"/>
      <c r="K4102" s="70"/>
      <c r="L4102" s="67"/>
      <c r="M4102" s="67"/>
      <c r="N4102" s="72"/>
      <c r="O4102" s="72"/>
      <c r="P4102" s="67"/>
      <c r="Q4102" s="67"/>
      <c r="R4102" s="67"/>
      <c r="S4102" s="67"/>
      <c r="T4102" s="32"/>
      <c r="U4102" s="32"/>
      <c r="X4102" s="32"/>
      <c r="Y4102" s="32"/>
      <c r="Z4102" s="32"/>
      <c r="AA4102" s="32"/>
      <c r="AB4102" s="32"/>
    </row>
    <row r="4103" spans="2:28" ht="23.25" customHeight="1" x14ac:dyDescent="0.2">
      <c r="B4103" s="75"/>
      <c r="C4103" s="67"/>
      <c r="D4103" s="75"/>
      <c r="E4103" s="67"/>
      <c r="F4103" s="67"/>
      <c r="G4103" s="70"/>
      <c r="H4103" s="70"/>
      <c r="I4103" s="70"/>
      <c r="J4103" s="70"/>
      <c r="K4103" s="70"/>
      <c r="L4103" s="67"/>
      <c r="M4103" s="67"/>
      <c r="N4103" s="72"/>
      <c r="O4103" s="72"/>
      <c r="P4103" s="67"/>
      <c r="Q4103" s="67"/>
      <c r="R4103" s="67"/>
      <c r="S4103" s="67"/>
      <c r="T4103" s="32"/>
      <c r="U4103" s="32"/>
      <c r="X4103" s="32"/>
      <c r="Y4103" s="32"/>
      <c r="Z4103" s="32"/>
      <c r="AA4103" s="32"/>
      <c r="AB4103" s="32"/>
    </row>
    <row r="4104" spans="2:28" ht="23.25" customHeight="1" x14ac:dyDescent="0.2">
      <c r="B4104" s="75"/>
      <c r="C4104" s="67"/>
      <c r="D4104" s="75"/>
      <c r="E4104" s="67"/>
      <c r="F4104" s="67"/>
      <c r="G4104" s="70"/>
      <c r="H4104" s="70"/>
      <c r="I4104" s="70"/>
      <c r="J4104" s="70"/>
      <c r="K4104" s="70"/>
      <c r="L4104" s="67"/>
      <c r="M4104" s="67"/>
      <c r="N4104" s="72"/>
      <c r="O4104" s="72"/>
      <c r="P4104" s="67"/>
      <c r="Q4104" s="67"/>
      <c r="R4104" s="67"/>
      <c r="S4104" s="67"/>
      <c r="T4104" s="32"/>
      <c r="U4104" s="32"/>
      <c r="X4104" s="32"/>
      <c r="Y4104" s="32"/>
      <c r="Z4104" s="32"/>
      <c r="AA4104" s="32"/>
      <c r="AB4104" s="32"/>
    </row>
    <row r="4105" spans="2:28" ht="23.25" customHeight="1" x14ac:dyDescent="0.2">
      <c r="B4105" s="75"/>
      <c r="C4105" s="67"/>
      <c r="D4105" s="75"/>
      <c r="E4105" s="67"/>
      <c r="F4105" s="67"/>
      <c r="G4105" s="70"/>
      <c r="H4105" s="70"/>
      <c r="I4105" s="70"/>
      <c r="J4105" s="70"/>
      <c r="K4105" s="70"/>
      <c r="L4105" s="67"/>
      <c r="M4105" s="67"/>
      <c r="N4105" s="72"/>
      <c r="O4105" s="72"/>
      <c r="P4105" s="67"/>
      <c r="Q4105" s="67"/>
      <c r="R4105" s="67"/>
      <c r="S4105" s="67"/>
      <c r="T4105" s="32"/>
      <c r="U4105" s="32"/>
      <c r="X4105" s="32"/>
      <c r="Y4105" s="32"/>
      <c r="Z4105" s="32"/>
      <c r="AA4105" s="32"/>
      <c r="AB4105" s="32"/>
    </row>
    <row r="4106" spans="2:28" ht="23.25" customHeight="1" x14ac:dyDescent="0.2">
      <c r="B4106" s="75"/>
      <c r="C4106" s="67"/>
      <c r="D4106" s="75"/>
      <c r="E4106" s="67"/>
      <c r="F4106" s="67"/>
      <c r="G4106" s="70"/>
      <c r="H4106" s="70"/>
      <c r="I4106" s="70"/>
      <c r="J4106" s="70"/>
      <c r="K4106" s="70"/>
      <c r="L4106" s="67"/>
      <c r="M4106" s="67"/>
      <c r="N4106" s="72"/>
      <c r="O4106" s="72"/>
      <c r="P4106" s="67"/>
      <c r="Q4106" s="67"/>
      <c r="R4106" s="67"/>
      <c r="S4106" s="67"/>
      <c r="T4106" s="32"/>
      <c r="U4106" s="32"/>
      <c r="X4106" s="32"/>
      <c r="Y4106" s="32"/>
      <c r="Z4106" s="32"/>
      <c r="AA4106" s="32"/>
      <c r="AB4106" s="32"/>
    </row>
    <row r="4107" spans="2:28" ht="23.25" customHeight="1" x14ac:dyDescent="0.2">
      <c r="B4107" s="75"/>
      <c r="C4107" s="67"/>
      <c r="D4107" s="75"/>
      <c r="E4107" s="67"/>
      <c r="F4107" s="67"/>
      <c r="G4107" s="70"/>
      <c r="H4107" s="70"/>
      <c r="I4107" s="70"/>
      <c r="J4107" s="70"/>
      <c r="K4107" s="70"/>
      <c r="L4107" s="67"/>
      <c r="M4107" s="67"/>
      <c r="N4107" s="72"/>
      <c r="O4107" s="72"/>
      <c r="P4107" s="67"/>
      <c r="Q4107" s="67"/>
      <c r="R4107" s="67"/>
      <c r="S4107" s="67"/>
      <c r="T4107" s="32"/>
      <c r="U4107" s="32"/>
      <c r="X4107" s="32"/>
      <c r="Y4107" s="32"/>
      <c r="Z4107" s="32"/>
      <c r="AA4107" s="32"/>
      <c r="AB4107" s="32"/>
    </row>
    <row r="4108" spans="2:28" ht="23.25" customHeight="1" x14ac:dyDescent="0.2">
      <c r="B4108" s="75"/>
      <c r="C4108" s="67"/>
      <c r="D4108" s="75"/>
      <c r="E4108" s="67"/>
      <c r="F4108" s="67"/>
      <c r="G4108" s="70"/>
      <c r="H4108" s="70"/>
      <c r="I4108" s="70"/>
      <c r="J4108" s="70"/>
      <c r="K4108" s="70"/>
      <c r="L4108" s="67"/>
      <c r="M4108" s="67"/>
      <c r="N4108" s="72"/>
      <c r="O4108" s="72"/>
      <c r="P4108" s="67"/>
      <c r="Q4108" s="67"/>
      <c r="R4108" s="67"/>
      <c r="S4108" s="67"/>
      <c r="T4108" s="32"/>
      <c r="U4108" s="32"/>
      <c r="X4108" s="32"/>
      <c r="Y4108" s="32"/>
      <c r="Z4108" s="32"/>
      <c r="AA4108" s="32"/>
      <c r="AB4108" s="32"/>
    </row>
    <row r="4109" spans="2:28" ht="23.25" customHeight="1" x14ac:dyDescent="0.2">
      <c r="B4109" s="75"/>
      <c r="C4109" s="67"/>
      <c r="D4109" s="75"/>
      <c r="E4109" s="67"/>
      <c r="F4109" s="67"/>
      <c r="G4109" s="70"/>
      <c r="H4109" s="70"/>
      <c r="I4109" s="70"/>
      <c r="J4109" s="70"/>
      <c r="K4109" s="70"/>
      <c r="L4109" s="67"/>
      <c r="M4109" s="67"/>
      <c r="N4109" s="72"/>
      <c r="O4109" s="72"/>
      <c r="P4109" s="67"/>
      <c r="Q4109" s="67"/>
      <c r="R4109" s="67"/>
      <c r="S4109" s="67"/>
      <c r="T4109" s="32"/>
      <c r="U4109" s="32"/>
      <c r="X4109" s="32"/>
      <c r="Y4109" s="32"/>
      <c r="Z4109" s="32"/>
      <c r="AA4109" s="32"/>
      <c r="AB4109" s="32"/>
    </row>
    <row r="4110" spans="2:28" ht="23.25" customHeight="1" x14ac:dyDescent="0.2">
      <c r="B4110" s="75"/>
      <c r="C4110" s="67"/>
      <c r="D4110" s="75"/>
      <c r="E4110" s="67"/>
      <c r="F4110" s="67"/>
      <c r="G4110" s="70"/>
      <c r="H4110" s="70"/>
      <c r="I4110" s="70"/>
      <c r="J4110" s="70"/>
      <c r="K4110" s="70"/>
      <c r="L4110" s="67"/>
      <c r="M4110" s="67"/>
      <c r="N4110" s="72"/>
      <c r="O4110" s="72"/>
      <c r="P4110" s="67"/>
      <c r="Q4110" s="67"/>
      <c r="R4110" s="67"/>
      <c r="S4110" s="67"/>
      <c r="T4110" s="32"/>
      <c r="U4110" s="32"/>
      <c r="X4110" s="32"/>
      <c r="Y4110" s="32"/>
      <c r="Z4110" s="32"/>
      <c r="AA4110" s="32"/>
      <c r="AB4110" s="32"/>
    </row>
    <row r="4111" spans="2:28" ht="23.25" customHeight="1" x14ac:dyDescent="0.2">
      <c r="B4111" s="75"/>
      <c r="C4111" s="67"/>
      <c r="D4111" s="75"/>
      <c r="E4111" s="67"/>
      <c r="F4111" s="67"/>
      <c r="G4111" s="70"/>
      <c r="H4111" s="70"/>
      <c r="I4111" s="70"/>
      <c r="J4111" s="70"/>
      <c r="K4111" s="70"/>
      <c r="L4111" s="67"/>
      <c r="M4111" s="67"/>
      <c r="N4111" s="72"/>
      <c r="O4111" s="72"/>
      <c r="P4111" s="67"/>
      <c r="Q4111" s="67"/>
      <c r="R4111" s="67"/>
      <c r="S4111" s="67"/>
      <c r="T4111" s="32"/>
      <c r="U4111" s="32"/>
      <c r="X4111" s="32"/>
      <c r="Y4111" s="32"/>
      <c r="Z4111" s="32"/>
      <c r="AA4111" s="32"/>
      <c r="AB4111" s="32"/>
    </row>
    <row r="4112" spans="2:28" ht="23.25" customHeight="1" x14ac:dyDescent="0.2">
      <c r="B4112" s="75"/>
      <c r="C4112" s="67"/>
      <c r="D4112" s="75"/>
      <c r="E4112" s="67"/>
      <c r="F4112" s="67"/>
      <c r="G4112" s="70"/>
      <c r="H4112" s="70"/>
      <c r="I4112" s="70"/>
      <c r="J4112" s="70"/>
      <c r="K4112" s="70"/>
      <c r="L4112" s="67"/>
      <c r="M4112" s="67"/>
      <c r="N4112" s="72"/>
      <c r="O4112" s="72"/>
      <c r="P4112" s="67"/>
      <c r="Q4112" s="67"/>
      <c r="R4112" s="67"/>
      <c r="S4112" s="67"/>
      <c r="T4112" s="32"/>
      <c r="U4112" s="32"/>
      <c r="X4112" s="32"/>
      <c r="Y4112" s="32"/>
      <c r="Z4112" s="32"/>
      <c r="AA4112" s="32"/>
      <c r="AB4112" s="32"/>
    </row>
    <row r="4113" spans="2:28" ht="23.25" customHeight="1" x14ac:dyDescent="0.2">
      <c r="B4113" s="75"/>
      <c r="C4113" s="67"/>
      <c r="D4113" s="75"/>
      <c r="E4113" s="67"/>
      <c r="F4113" s="67"/>
      <c r="G4113" s="70"/>
      <c r="H4113" s="70"/>
      <c r="I4113" s="70"/>
      <c r="J4113" s="70"/>
      <c r="K4113" s="70"/>
      <c r="L4113" s="67"/>
      <c r="M4113" s="67"/>
      <c r="N4113" s="72"/>
      <c r="O4113" s="72"/>
      <c r="P4113" s="67"/>
      <c r="Q4113" s="67"/>
      <c r="R4113" s="67"/>
      <c r="S4113" s="67"/>
      <c r="T4113" s="32"/>
      <c r="U4113" s="32"/>
      <c r="X4113" s="32"/>
      <c r="Y4113" s="32"/>
      <c r="Z4113" s="32"/>
      <c r="AA4113" s="32"/>
      <c r="AB4113" s="32"/>
    </row>
    <row r="4114" spans="2:28" ht="23.25" customHeight="1" x14ac:dyDescent="0.2">
      <c r="B4114" s="75"/>
      <c r="C4114" s="67"/>
      <c r="D4114" s="75"/>
      <c r="E4114" s="67"/>
      <c r="F4114" s="67"/>
      <c r="G4114" s="70"/>
      <c r="H4114" s="70"/>
      <c r="I4114" s="70"/>
      <c r="J4114" s="70"/>
      <c r="K4114" s="70"/>
      <c r="L4114" s="67"/>
      <c r="M4114" s="67"/>
      <c r="N4114" s="72"/>
      <c r="O4114" s="72"/>
      <c r="P4114" s="67"/>
      <c r="Q4114" s="67"/>
      <c r="R4114" s="67"/>
      <c r="S4114" s="67"/>
      <c r="T4114" s="32"/>
      <c r="U4114" s="32"/>
      <c r="X4114" s="32"/>
      <c r="Y4114" s="32"/>
      <c r="Z4114" s="32"/>
      <c r="AA4114" s="32"/>
      <c r="AB4114" s="32"/>
    </row>
    <row r="4115" spans="2:28" ht="23.25" customHeight="1" x14ac:dyDescent="0.2">
      <c r="B4115" s="75"/>
      <c r="C4115" s="67"/>
      <c r="D4115" s="75"/>
      <c r="E4115" s="67"/>
      <c r="F4115" s="67"/>
      <c r="G4115" s="70"/>
      <c r="H4115" s="70"/>
      <c r="I4115" s="70"/>
      <c r="J4115" s="70"/>
      <c r="K4115" s="70"/>
      <c r="L4115" s="67"/>
      <c r="M4115" s="67"/>
      <c r="N4115" s="72"/>
      <c r="O4115" s="72"/>
      <c r="P4115" s="67"/>
      <c r="Q4115" s="67"/>
      <c r="R4115" s="67"/>
      <c r="S4115" s="67"/>
      <c r="T4115" s="32"/>
      <c r="U4115" s="32"/>
      <c r="X4115" s="32"/>
      <c r="Y4115" s="32"/>
      <c r="Z4115" s="32"/>
      <c r="AA4115" s="32"/>
      <c r="AB4115" s="32"/>
    </row>
    <row r="4116" spans="2:28" ht="23.25" customHeight="1" x14ac:dyDescent="0.2">
      <c r="B4116" s="75"/>
      <c r="C4116" s="67"/>
      <c r="D4116" s="75"/>
      <c r="E4116" s="67"/>
      <c r="F4116" s="67"/>
      <c r="G4116" s="70"/>
      <c r="H4116" s="70"/>
      <c r="I4116" s="70"/>
      <c r="J4116" s="70"/>
      <c r="K4116" s="70"/>
      <c r="L4116" s="67"/>
      <c r="M4116" s="67"/>
      <c r="N4116" s="72"/>
      <c r="O4116" s="72"/>
      <c r="P4116" s="67"/>
      <c r="Q4116" s="67"/>
      <c r="R4116" s="67"/>
      <c r="S4116" s="67"/>
      <c r="T4116" s="32"/>
      <c r="U4116" s="32"/>
      <c r="X4116" s="32"/>
      <c r="Y4116" s="32"/>
      <c r="Z4116" s="32"/>
      <c r="AA4116" s="32"/>
      <c r="AB4116" s="32"/>
    </row>
    <row r="4117" spans="2:28" ht="23.25" customHeight="1" x14ac:dyDescent="0.2">
      <c r="B4117" s="75"/>
      <c r="C4117" s="67"/>
      <c r="D4117" s="75"/>
      <c r="E4117" s="67"/>
      <c r="F4117" s="67"/>
      <c r="G4117" s="70"/>
      <c r="H4117" s="70"/>
      <c r="I4117" s="70"/>
      <c r="J4117" s="70"/>
      <c r="K4117" s="70"/>
      <c r="L4117" s="67"/>
      <c r="M4117" s="67"/>
      <c r="N4117" s="72"/>
      <c r="O4117" s="72"/>
      <c r="P4117" s="67"/>
      <c r="Q4117" s="67"/>
      <c r="R4117" s="67"/>
      <c r="S4117" s="67"/>
      <c r="T4117" s="32"/>
      <c r="U4117" s="32"/>
      <c r="X4117" s="32"/>
      <c r="Y4117" s="32"/>
      <c r="Z4117" s="32"/>
      <c r="AA4117" s="32"/>
      <c r="AB4117" s="32"/>
    </row>
    <row r="4118" spans="2:28" ht="23.25" customHeight="1" x14ac:dyDescent="0.2">
      <c r="B4118" s="75"/>
      <c r="C4118" s="67"/>
      <c r="D4118" s="75"/>
      <c r="E4118" s="67"/>
      <c r="F4118" s="67"/>
      <c r="G4118" s="70"/>
      <c r="H4118" s="70"/>
      <c r="I4118" s="70"/>
      <c r="J4118" s="70"/>
      <c r="K4118" s="70"/>
      <c r="L4118" s="67"/>
      <c r="M4118" s="67"/>
      <c r="N4118" s="72"/>
      <c r="O4118" s="72"/>
      <c r="P4118" s="67"/>
      <c r="Q4118" s="67"/>
      <c r="R4118" s="67"/>
      <c r="S4118" s="67"/>
      <c r="T4118" s="32"/>
      <c r="U4118" s="32"/>
      <c r="X4118" s="32"/>
      <c r="Y4118" s="32"/>
      <c r="Z4118" s="32"/>
      <c r="AA4118" s="32"/>
      <c r="AB4118" s="32"/>
    </row>
    <row r="4119" spans="2:28" ht="23.25" customHeight="1" x14ac:dyDescent="0.2">
      <c r="B4119" s="75"/>
      <c r="C4119" s="67"/>
      <c r="D4119" s="75"/>
      <c r="E4119" s="67"/>
      <c r="F4119" s="67"/>
      <c r="G4119" s="70"/>
      <c r="H4119" s="70"/>
      <c r="I4119" s="70"/>
      <c r="J4119" s="70"/>
      <c r="K4119" s="70"/>
      <c r="L4119" s="67"/>
      <c r="M4119" s="67"/>
      <c r="N4119" s="72"/>
      <c r="O4119" s="72"/>
      <c r="P4119" s="67"/>
      <c r="Q4119" s="67"/>
      <c r="R4119" s="67"/>
      <c r="S4119" s="67"/>
      <c r="T4119" s="32"/>
      <c r="U4119" s="32"/>
      <c r="X4119" s="32"/>
      <c r="Y4119" s="32"/>
      <c r="Z4119" s="32"/>
      <c r="AA4119" s="32"/>
      <c r="AB4119" s="32"/>
    </row>
    <row r="4120" spans="2:28" ht="23.25" customHeight="1" x14ac:dyDescent="0.2">
      <c r="B4120" s="75"/>
      <c r="C4120" s="67"/>
      <c r="D4120" s="75"/>
      <c r="E4120" s="67"/>
      <c r="F4120" s="67"/>
      <c r="G4120" s="70"/>
      <c r="H4120" s="70"/>
      <c r="I4120" s="70"/>
      <c r="J4120" s="70"/>
      <c r="K4120" s="70"/>
      <c r="L4120" s="67"/>
      <c r="M4120" s="67"/>
      <c r="N4120" s="72"/>
      <c r="O4120" s="72"/>
      <c r="P4120" s="67"/>
      <c r="Q4120" s="67"/>
      <c r="R4120" s="67"/>
      <c r="S4120" s="67"/>
      <c r="T4120" s="32"/>
      <c r="U4120" s="32"/>
      <c r="X4120" s="32"/>
      <c r="Y4120" s="32"/>
      <c r="Z4120" s="32"/>
      <c r="AA4120" s="32"/>
      <c r="AB4120" s="32"/>
    </row>
    <row r="4121" spans="2:28" ht="23.25" customHeight="1" x14ac:dyDescent="0.2">
      <c r="B4121" s="75"/>
      <c r="C4121" s="67"/>
      <c r="D4121" s="75"/>
      <c r="E4121" s="67"/>
      <c r="F4121" s="67"/>
      <c r="G4121" s="70"/>
      <c r="H4121" s="70"/>
      <c r="I4121" s="70"/>
      <c r="J4121" s="70"/>
      <c r="K4121" s="70"/>
      <c r="L4121" s="67"/>
      <c r="M4121" s="67"/>
      <c r="N4121" s="72"/>
      <c r="O4121" s="72"/>
      <c r="P4121" s="67"/>
      <c r="Q4121" s="67"/>
      <c r="R4121" s="67"/>
      <c r="S4121" s="67"/>
      <c r="T4121" s="32"/>
      <c r="U4121" s="32"/>
      <c r="X4121" s="32"/>
      <c r="Y4121" s="32"/>
      <c r="Z4121" s="32"/>
      <c r="AA4121" s="32"/>
      <c r="AB4121" s="32"/>
    </row>
    <row r="4122" spans="2:28" ht="23.25" customHeight="1" x14ac:dyDescent="0.2">
      <c r="B4122" s="75"/>
      <c r="C4122" s="67"/>
      <c r="D4122" s="75"/>
      <c r="E4122" s="67"/>
      <c r="F4122" s="67"/>
      <c r="G4122" s="70"/>
      <c r="H4122" s="70"/>
      <c r="I4122" s="70"/>
      <c r="J4122" s="70"/>
      <c r="K4122" s="70"/>
      <c r="L4122" s="67"/>
      <c r="M4122" s="67"/>
      <c r="N4122" s="72"/>
      <c r="O4122" s="72"/>
      <c r="P4122" s="67"/>
      <c r="Q4122" s="67"/>
      <c r="R4122" s="67"/>
      <c r="S4122" s="67"/>
      <c r="T4122" s="32"/>
      <c r="U4122" s="32"/>
      <c r="X4122" s="32"/>
      <c r="Y4122" s="32"/>
      <c r="Z4122" s="32"/>
      <c r="AA4122" s="32"/>
      <c r="AB4122" s="32"/>
    </row>
    <row r="4123" spans="2:28" ht="23.25" customHeight="1" x14ac:dyDescent="0.2">
      <c r="B4123" s="75"/>
      <c r="C4123" s="67"/>
      <c r="D4123" s="75"/>
      <c r="E4123" s="67"/>
      <c r="F4123" s="67"/>
      <c r="G4123" s="70"/>
      <c r="H4123" s="70"/>
      <c r="I4123" s="70"/>
      <c r="J4123" s="70"/>
      <c r="K4123" s="70"/>
      <c r="L4123" s="67"/>
      <c r="M4123" s="67"/>
      <c r="N4123" s="72"/>
      <c r="O4123" s="72"/>
      <c r="P4123" s="67"/>
      <c r="Q4123" s="67"/>
      <c r="R4123" s="67"/>
      <c r="S4123" s="67"/>
      <c r="T4123" s="32"/>
      <c r="U4123" s="32"/>
      <c r="X4123" s="32"/>
      <c r="Y4123" s="32"/>
      <c r="Z4123" s="32"/>
      <c r="AA4123" s="32"/>
      <c r="AB4123" s="32"/>
    </row>
    <row r="4124" spans="2:28" ht="23.25" customHeight="1" x14ac:dyDescent="0.2">
      <c r="B4124" s="75"/>
      <c r="C4124" s="67"/>
      <c r="D4124" s="75"/>
      <c r="E4124" s="67"/>
      <c r="F4124" s="67"/>
      <c r="G4124" s="70"/>
      <c r="H4124" s="70"/>
      <c r="I4124" s="70"/>
      <c r="J4124" s="70"/>
      <c r="K4124" s="70"/>
      <c r="L4124" s="67"/>
      <c r="M4124" s="67"/>
      <c r="N4124" s="72"/>
      <c r="O4124" s="72"/>
      <c r="P4124" s="67"/>
      <c r="Q4124" s="67"/>
      <c r="R4124" s="67"/>
      <c r="S4124" s="67"/>
      <c r="T4124" s="32"/>
      <c r="U4124" s="32"/>
      <c r="X4124" s="32"/>
      <c r="Y4124" s="32"/>
      <c r="Z4124" s="32"/>
      <c r="AA4124" s="32"/>
      <c r="AB4124" s="32"/>
    </row>
    <row r="4125" spans="2:28" ht="23.25" customHeight="1" x14ac:dyDescent="0.2">
      <c r="B4125" s="75"/>
      <c r="C4125" s="67"/>
      <c r="D4125" s="75"/>
      <c r="E4125" s="67"/>
      <c r="F4125" s="67"/>
      <c r="G4125" s="70"/>
      <c r="H4125" s="70"/>
      <c r="I4125" s="70"/>
      <c r="J4125" s="70"/>
      <c r="K4125" s="70"/>
      <c r="L4125" s="67"/>
      <c r="M4125" s="67"/>
      <c r="N4125" s="72"/>
      <c r="O4125" s="72"/>
      <c r="P4125" s="67"/>
      <c r="Q4125" s="67"/>
      <c r="R4125" s="67"/>
      <c r="S4125" s="67"/>
      <c r="T4125" s="32"/>
      <c r="U4125" s="32"/>
      <c r="X4125" s="32"/>
      <c r="Y4125" s="32"/>
      <c r="Z4125" s="32"/>
      <c r="AA4125" s="32"/>
      <c r="AB4125" s="32"/>
    </row>
    <row r="4126" spans="2:28" ht="23.25" customHeight="1" x14ac:dyDescent="0.2">
      <c r="B4126" s="75"/>
      <c r="C4126" s="67"/>
      <c r="D4126" s="75"/>
      <c r="E4126" s="67"/>
      <c r="F4126" s="67"/>
      <c r="G4126" s="70"/>
      <c r="H4126" s="70"/>
      <c r="I4126" s="70"/>
      <c r="J4126" s="70"/>
      <c r="K4126" s="70"/>
      <c r="L4126" s="67"/>
      <c r="M4126" s="67"/>
      <c r="N4126" s="72"/>
      <c r="O4126" s="72"/>
      <c r="P4126" s="67"/>
      <c r="Q4126" s="67"/>
      <c r="R4126" s="67"/>
      <c r="S4126" s="67"/>
      <c r="T4126" s="32"/>
      <c r="U4126" s="32"/>
      <c r="X4126" s="32"/>
      <c r="Y4126" s="32"/>
      <c r="Z4126" s="32"/>
      <c r="AA4126" s="32"/>
      <c r="AB4126" s="32"/>
    </row>
    <row r="4127" spans="2:28" ht="23.25" customHeight="1" x14ac:dyDescent="0.2">
      <c r="B4127" s="75"/>
      <c r="C4127" s="67"/>
      <c r="D4127" s="75"/>
      <c r="E4127" s="67"/>
      <c r="F4127" s="67"/>
      <c r="G4127" s="70"/>
      <c r="H4127" s="70"/>
      <c r="I4127" s="70"/>
      <c r="J4127" s="70"/>
      <c r="K4127" s="70"/>
      <c r="L4127" s="67"/>
      <c r="M4127" s="67"/>
      <c r="N4127" s="72"/>
      <c r="O4127" s="72"/>
      <c r="P4127" s="67"/>
      <c r="Q4127" s="67"/>
      <c r="R4127" s="67"/>
      <c r="S4127" s="67"/>
      <c r="T4127" s="32"/>
      <c r="U4127" s="32"/>
      <c r="X4127" s="32"/>
      <c r="Y4127" s="32"/>
      <c r="Z4127" s="32"/>
      <c r="AA4127" s="32"/>
      <c r="AB4127" s="32"/>
    </row>
    <row r="4128" spans="2:28" ht="23.25" customHeight="1" x14ac:dyDescent="0.2">
      <c r="B4128" s="75"/>
      <c r="C4128" s="67"/>
      <c r="D4128" s="75"/>
      <c r="E4128" s="67"/>
      <c r="F4128" s="67"/>
      <c r="G4128" s="70"/>
      <c r="H4128" s="70"/>
      <c r="I4128" s="70"/>
      <c r="J4128" s="70"/>
      <c r="K4128" s="70"/>
      <c r="L4128" s="67"/>
      <c r="M4128" s="67"/>
      <c r="N4128" s="72"/>
      <c r="O4128" s="72"/>
      <c r="P4128" s="67"/>
      <c r="Q4128" s="67"/>
      <c r="R4128" s="67"/>
      <c r="S4128" s="67"/>
      <c r="T4128" s="32"/>
      <c r="U4128" s="32"/>
      <c r="X4128" s="32"/>
      <c r="Y4128" s="32"/>
      <c r="Z4128" s="32"/>
      <c r="AA4128" s="32"/>
      <c r="AB4128" s="32"/>
    </row>
    <row r="4129" spans="2:28" ht="23.25" customHeight="1" x14ac:dyDescent="0.2">
      <c r="B4129" s="75"/>
      <c r="C4129" s="67"/>
      <c r="D4129" s="75"/>
      <c r="E4129" s="67"/>
      <c r="F4129" s="67"/>
      <c r="G4129" s="70"/>
      <c r="H4129" s="70"/>
      <c r="I4129" s="70"/>
      <c r="J4129" s="70"/>
      <c r="K4129" s="70"/>
      <c r="L4129" s="67"/>
      <c r="M4129" s="67"/>
      <c r="N4129" s="72"/>
      <c r="O4129" s="72"/>
      <c r="P4129" s="67"/>
      <c r="Q4129" s="67"/>
      <c r="R4129" s="67"/>
      <c r="S4129" s="67"/>
      <c r="T4129" s="32"/>
      <c r="U4129" s="32"/>
      <c r="X4129" s="32"/>
      <c r="Y4129" s="32"/>
      <c r="Z4129" s="32"/>
      <c r="AA4129" s="32"/>
      <c r="AB4129" s="32"/>
    </row>
    <row r="4130" spans="2:28" ht="23.25" customHeight="1" x14ac:dyDescent="0.2">
      <c r="B4130" s="75"/>
      <c r="C4130" s="67"/>
      <c r="D4130" s="75"/>
      <c r="E4130" s="67"/>
      <c r="F4130" s="67"/>
      <c r="G4130" s="70"/>
      <c r="H4130" s="70"/>
      <c r="I4130" s="70"/>
      <c r="J4130" s="70"/>
      <c r="K4130" s="70"/>
      <c r="L4130" s="67"/>
      <c r="M4130" s="67"/>
      <c r="N4130" s="72"/>
      <c r="O4130" s="72"/>
      <c r="P4130" s="67"/>
      <c r="Q4130" s="67"/>
      <c r="R4130" s="67"/>
      <c r="S4130" s="67"/>
      <c r="T4130" s="32"/>
      <c r="U4130" s="32"/>
      <c r="X4130" s="32"/>
      <c r="Y4130" s="32"/>
      <c r="Z4130" s="32"/>
      <c r="AA4130" s="32"/>
      <c r="AB4130" s="32"/>
    </row>
    <row r="4131" spans="2:28" ht="23.25" customHeight="1" x14ac:dyDescent="0.2">
      <c r="B4131" s="75"/>
      <c r="C4131" s="67"/>
      <c r="D4131" s="75"/>
      <c r="E4131" s="67"/>
      <c r="F4131" s="67"/>
      <c r="G4131" s="70"/>
      <c r="H4131" s="70"/>
      <c r="I4131" s="70"/>
      <c r="J4131" s="70"/>
      <c r="K4131" s="70"/>
      <c r="L4131" s="67"/>
      <c r="M4131" s="67"/>
      <c r="N4131" s="72"/>
      <c r="O4131" s="72"/>
      <c r="P4131" s="67"/>
      <c r="Q4131" s="67"/>
      <c r="R4131" s="67"/>
      <c r="S4131" s="67"/>
      <c r="T4131" s="32"/>
      <c r="U4131" s="32"/>
      <c r="X4131" s="32"/>
      <c r="Y4131" s="32"/>
      <c r="Z4131" s="32"/>
      <c r="AA4131" s="32"/>
      <c r="AB4131" s="32"/>
    </row>
    <row r="4132" spans="2:28" ht="23.25" customHeight="1" x14ac:dyDescent="0.2">
      <c r="B4132" s="75"/>
      <c r="C4132" s="67"/>
      <c r="D4132" s="75"/>
      <c r="E4132" s="67"/>
      <c r="F4132" s="67"/>
      <c r="G4132" s="70"/>
      <c r="H4132" s="70"/>
      <c r="I4132" s="70"/>
      <c r="J4132" s="70"/>
      <c r="K4132" s="70"/>
      <c r="L4132" s="67"/>
      <c r="M4132" s="67"/>
      <c r="N4132" s="72"/>
      <c r="O4132" s="72"/>
      <c r="P4132" s="67"/>
      <c r="Q4132" s="67"/>
      <c r="R4132" s="67"/>
      <c r="S4132" s="67"/>
      <c r="T4132" s="32"/>
      <c r="U4132" s="32"/>
      <c r="X4132" s="32"/>
      <c r="Y4132" s="32"/>
      <c r="Z4132" s="32"/>
      <c r="AA4132" s="32"/>
      <c r="AB4132" s="32"/>
    </row>
    <row r="4133" spans="2:28" ht="23.25" customHeight="1" x14ac:dyDescent="0.2">
      <c r="B4133" s="75"/>
      <c r="C4133" s="67"/>
      <c r="D4133" s="75"/>
      <c r="E4133" s="67"/>
      <c r="F4133" s="67"/>
      <c r="G4133" s="70"/>
      <c r="H4133" s="70"/>
      <c r="I4133" s="70"/>
      <c r="J4133" s="70"/>
      <c r="K4133" s="70"/>
      <c r="L4133" s="67"/>
      <c r="M4133" s="67"/>
      <c r="N4133" s="72"/>
      <c r="O4133" s="72"/>
      <c r="P4133" s="67"/>
      <c r="Q4133" s="67"/>
      <c r="R4133" s="67"/>
      <c r="S4133" s="67"/>
      <c r="T4133" s="32"/>
      <c r="U4133" s="32"/>
      <c r="X4133" s="32"/>
      <c r="Y4133" s="32"/>
      <c r="Z4133" s="32"/>
      <c r="AA4133" s="32"/>
      <c r="AB4133" s="32"/>
    </row>
    <row r="4134" spans="2:28" ht="23.25" customHeight="1" x14ac:dyDescent="0.2">
      <c r="B4134" s="75"/>
      <c r="C4134" s="67"/>
      <c r="D4134" s="75"/>
      <c r="E4134" s="67"/>
      <c r="F4134" s="67"/>
      <c r="G4134" s="70"/>
      <c r="H4134" s="70"/>
      <c r="I4134" s="70"/>
      <c r="J4134" s="70"/>
      <c r="K4134" s="70"/>
      <c r="L4134" s="67"/>
      <c r="M4134" s="67"/>
      <c r="N4134" s="72"/>
      <c r="O4134" s="72"/>
      <c r="P4134" s="67"/>
      <c r="Q4134" s="67"/>
      <c r="R4134" s="67"/>
      <c r="S4134" s="67"/>
      <c r="T4134" s="32"/>
      <c r="U4134" s="32"/>
      <c r="X4134" s="32"/>
      <c r="Y4134" s="32"/>
      <c r="Z4134" s="32"/>
      <c r="AA4134" s="32"/>
      <c r="AB4134" s="32"/>
    </row>
    <row r="4135" spans="2:28" ht="23.25" customHeight="1" x14ac:dyDescent="0.2">
      <c r="B4135" s="75"/>
      <c r="C4135" s="67"/>
      <c r="D4135" s="75"/>
      <c r="E4135" s="67"/>
      <c r="F4135" s="67"/>
      <c r="G4135" s="70"/>
      <c r="H4135" s="70"/>
      <c r="I4135" s="70"/>
      <c r="J4135" s="70"/>
      <c r="K4135" s="70"/>
      <c r="L4135" s="67"/>
      <c r="M4135" s="67"/>
      <c r="N4135" s="72"/>
      <c r="O4135" s="72"/>
      <c r="P4135" s="67"/>
      <c r="Q4135" s="67"/>
      <c r="R4135" s="67"/>
      <c r="S4135" s="67"/>
      <c r="T4135" s="32"/>
      <c r="U4135" s="32"/>
      <c r="X4135" s="32"/>
      <c r="Y4135" s="32"/>
      <c r="Z4135" s="32"/>
      <c r="AA4135" s="32"/>
      <c r="AB4135" s="32"/>
    </row>
    <row r="4136" spans="2:28" ht="23.25" customHeight="1" x14ac:dyDescent="0.2">
      <c r="B4136" s="75"/>
      <c r="C4136" s="67"/>
      <c r="D4136" s="75"/>
      <c r="E4136" s="67"/>
      <c r="F4136" s="67"/>
      <c r="G4136" s="70"/>
      <c r="H4136" s="70"/>
      <c r="I4136" s="70"/>
      <c r="J4136" s="70"/>
      <c r="K4136" s="70"/>
      <c r="L4136" s="67"/>
      <c r="M4136" s="67"/>
      <c r="N4136" s="72"/>
      <c r="O4136" s="72"/>
      <c r="P4136" s="67"/>
      <c r="Q4136" s="67"/>
      <c r="R4136" s="67"/>
      <c r="S4136" s="67"/>
      <c r="T4136" s="32"/>
      <c r="U4136" s="32"/>
      <c r="X4136" s="32"/>
      <c r="Y4136" s="32"/>
      <c r="Z4136" s="32"/>
      <c r="AA4136" s="32"/>
      <c r="AB4136" s="32"/>
    </row>
    <row r="4137" spans="2:28" ht="23.25" customHeight="1" x14ac:dyDescent="0.2">
      <c r="B4137" s="75"/>
      <c r="C4137" s="67"/>
      <c r="D4137" s="75"/>
      <c r="E4137" s="67"/>
      <c r="F4137" s="67"/>
      <c r="G4137" s="70"/>
      <c r="H4137" s="70"/>
      <c r="I4137" s="70"/>
      <c r="J4137" s="70"/>
      <c r="K4137" s="70"/>
      <c r="L4137" s="67"/>
      <c r="M4137" s="67"/>
      <c r="N4137" s="72"/>
      <c r="O4137" s="72"/>
      <c r="P4137" s="67"/>
      <c r="Q4137" s="67"/>
      <c r="R4137" s="67"/>
      <c r="S4137" s="67"/>
      <c r="T4137" s="32"/>
      <c r="U4137" s="32"/>
      <c r="X4137" s="32"/>
      <c r="Y4137" s="32"/>
      <c r="Z4137" s="32"/>
      <c r="AA4137" s="32"/>
      <c r="AB4137" s="32"/>
    </row>
    <row r="4138" spans="2:28" ht="23.25" customHeight="1" x14ac:dyDescent="0.2">
      <c r="B4138" s="75"/>
      <c r="C4138" s="67"/>
      <c r="D4138" s="75"/>
      <c r="E4138" s="67"/>
      <c r="F4138" s="67"/>
      <c r="G4138" s="70"/>
      <c r="H4138" s="70"/>
      <c r="I4138" s="70"/>
      <c r="J4138" s="70"/>
      <c r="K4138" s="70"/>
      <c r="L4138" s="67"/>
      <c r="M4138" s="67"/>
      <c r="N4138" s="72"/>
      <c r="O4138" s="72"/>
      <c r="P4138" s="67"/>
      <c r="Q4138" s="67"/>
      <c r="R4138" s="67"/>
      <c r="S4138" s="67"/>
      <c r="T4138" s="32"/>
      <c r="U4138" s="32"/>
      <c r="X4138" s="32"/>
      <c r="Y4138" s="32"/>
      <c r="Z4138" s="32"/>
      <c r="AA4138" s="32"/>
      <c r="AB4138" s="32"/>
    </row>
    <row r="4139" spans="2:28" ht="23.25" customHeight="1" x14ac:dyDescent="0.2">
      <c r="B4139" s="75"/>
      <c r="C4139" s="67"/>
      <c r="D4139" s="75"/>
      <c r="E4139" s="67"/>
      <c r="F4139" s="67"/>
      <c r="G4139" s="70"/>
      <c r="H4139" s="70"/>
      <c r="I4139" s="70"/>
      <c r="J4139" s="70"/>
      <c r="K4139" s="70"/>
      <c r="L4139" s="67"/>
      <c r="M4139" s="67"/>
      <c r="N4139" s="72"/>
      <c r="O4139" s="72"/>
      <c r="P4139" s="67"/>
      <c r="Q4139" s="67"/>
      <c r="R4139" s="67"/>
      <c r="S4139" s="67"/>
      <c r="T4139" s="32"/>
      <c r="U4139" s="32"/>
      <c r="X4139" s="32"/>
      <c r="Y4139" s="32"/>
      <c r="Z4139" s="32"/>
      <c r="AA4139" s="32"/>
      <c r="AB4139" s="32"/>
    </row>
    <row r="4140" spans="2:28" ht="23.25" customHeight="1" x14ac:dyDescent="0.2">
      <c r="B4140" s="75"/>
      <c r="C4140" s="67"/>
      <c r="D4140" s="75"/>
      <c r="E4140" s="67"/>
      <c r="F4140" s="67"/>
      <c r="G4140" s="70"/>
      <c r="H4140" s="70"/>
      <c r="I4140" s="70"/>
      <c r="J4140" s="70"/>
      <c r="K4140" s="70"/>
      <c r="L4140" s="67"/>
      <c r="M4140" s="67"/>
      <c r="N4140" s="72"/>
      <c r="O4140" s="72"/>
      <c r="P4140" s="67"/>
      <c r="Q4140" s="67"/>
      <c r="R4140" s="67"/>
      <c r="S4140" s="67"/>
      <c r="T4140" s="32"/>
      <c r="U4140" s="32"/>
      <c r="X4140" s="32"/>
      <c r="Y4140" s="32"/>
      <c r="Z4140" s="32"/>
      <c r="AA4140" s="32"/>
      <c r="AB4140" s="32"/>
    </row>
    <row r="4141" spans="2:28" ht="23.25" customHeight="1" x14ac:dyDescent="0.2">
      <c r="B4141" s="75"/>
      <c r="C4141" s="67"/>
      <c r="D4141" s="75"/>
      <c r="E4141" s="67"/>
      <c r="F4141" s="67"/>
      <c r="G4141" s="70"/>
      <c r="H4141" s="70"/>
      <c r="I4141" s="70"/>
      <c r="J4141" s="70"/>
      <c r="K4141" s="70"/>
      <c r="L4141" s="67"/>
      <c r="M4141" s="67"/>
      <c r="N4141" s="72"/>
      <c r="O4141" s="72"/>
      <c r="P4141" s="67"/>
      <c r="Q4141" s="67"/>
      <c r="R4141" s="67"/>
      <c r="S4141" s="67"/>
      <c r="T4141" s="32"/>
      <c r="U4141" s="32"/>
      <c r="X4141" s="32"/>
      <c r="Y4141" s="32"/>
      <c r="Z4141" s="32"/>
      <c r="AA4141" s="32"/>
      <c r="AB4141" s="32"/>
    </row>
    <row r="4142" spans="2:28" ht="23.25" customHeight="1" x14ac:dyDescent="0.2">
      <c r="B4142" s="75"/>
      <c r="C4142" s="67"/>
      <c r="D4142" s="75"/>
      <c r="E4142" s="67"/>
      <c r="F4142" s="67"/>
      <c r="G4142" s="70"/>
      <c r="H4142" s="70"/>
      <c r="I4142" s="70"/>
      <c r="J4142" s="70"/>
      <c r="K4142" s="70"/>
      <c r="L4142" s="67"/>
      <c r="M4142" s="67"/>
      <c r="N4142" s="72"/>
      <c r="O4142" s="72"/>
      <c r="P4142" s="67"/>
      <c r="Q4142" s="67"/>
      <c r="R4142" s="67"/>
      <c r="S4142" s="67"/>
      <c r="T4142" s="32"/>
      <c r="U4142" s="32"/>
      <c r="X4142" s="32"/>
      <c r="Y4142" s="32"/>
      <c r="Z4142" s="32"/>
      <c r="AA4142" s="32"/>
      <c r="AB4142" s="32"/>
    </row>
    <row r="4143" spans="2:28" ht="23.25" customHeight="1" x14ac:dyDescent="0.2">
      <c r="B4143" s="75"/>
      <c r="C4143" s="67"/>
      <c r="D4143" s="75"/>
      <c r="E4143" s="67"/>
      <c r="F4143" s="67"/>
      <c r="G4143" s="70"/>
      <c r="H4143" s="70"/>
      <c r="I4143" s="70"/>
      <c r="J4143" s="70"/>
      <c r="K4143" s="70"/>
      <c r="L4143" s="67"/>
      <c r="M4143" s="67"/>
      <c r="N4143" s="72"/>
      <c r="O4143" s="72"/>
      <c r="P4143" s="67"/>
      <c r="Q4143" s="67"/>
      <c r="R4143" s="67"/>
      <c r="S4143" s="67"/>
      <c r="T4143" s="32"/>
      <c r="U4143" s="32"/>
      <c r="X4143" s="32"/>
      <c r="Y4143" s="32"/>
      <c r="Z4143" s="32"/>
      <c r="AA4143" s="32"/>
      <c r="AB4143" s="32"/>
    </row>
    <row r="4144" spans="2:28" ht="23.25" customHeight="1" x14ac:dyDescent="0.2">
      <c r="B4144" s="75"/>
      <c r="C4144" s="67"/>
      <c r="D4144" s="75"/>
      <c r="E4144" s="67"/>
      <c r="F4144" s="67"/>
      <c r="G4144" s="70"/>
      <c r="H4144" s="70"/>
      <c r="I4144" s="70"/>
      <c r="J4144" s="70"/>
      <c r="K4144" s="70"/>
      <c r="L4144" s="67"/>
      <c r="M4144" s="67"/>
      <c r="N4144" s="72"/>
      <c r="O4144" s="72"/>
      <c r="P4144" s="67"/>
      <c r="Q4144" s="67"/>
      <c r="R4144" s="67"/>
      <c r="S4144" s="67"/>
      <c r="T4144" s="32"/>
      <c r="U4144" s="32"/>
      <c r="X4144" s="32"/>
      <c r="Y4144" s="32"/>
      <c r="Z4144" s="32"/>
      <c r="AA4144" s="32"/>
      <c r="AB4144" s="32"/>
    </row>
    <row r="4145" spans="2:28" ht="23.25" customHeight="1" x14ac:dyDescent="0.2">
      <c r="B4145" s="75"/>
      <c r="C4145" s="67"/>
      <c r="D4145" s="75"/>
      <c r="E4145" s="67"/>
      <c r="F4145" s="67"/>
      <c r="G4145" s="70"/>
      <c r="H4145" s="70"/>
      <c r="I4145" s="70"/>
      <c r="J4145" s="70"/>
      <c r="K4145" s="70"/>
      <c r="L4145" s="67"/>
      <c r="M4145" s="67"/>
      <c r="N4145" s="72"/>
      <c r="O4145" s="72"/>
      <c r="P4145" s="67"/>
      <c r="Q4145" s="67"/>
      <c r="R4145" s="67"/>
      <c r="S4145" s="67"/>
      <c r="T4145" s="32"/>
      <c r="U4145" s="32"/>
      <c r="X4145" s="32"/>
      <c r="Y4145" s="32"/>
      <c r="Z4145" s="32"/>
      <c r="AA4145" s="32"/>
      <c r="AB4145" s="32"/>
    </row>
    <row r="4146" spans="2:28" ht="23.25" customHeight="1" x14ac:dyDescent="0.2">
      <c r="B4146" s="75"/>
      <c r="C4146" s="67"/>
      <c r="D4146" s="75"/>
      <c r="E4146" s="67"/>
      <c r="F4146" s="67"/>
      <c r="G4146" s="70"/>
      <c r="H4146" s="70"/>
      <c r="I4146" s="70"/>
      <c r="J4146" s="70"/>
      <c r="K4146" s="70"/>
      <c r="L4146" s="67"/>
      <c r="M4146" s="67"/>
      <c r="N4146" s="72"/>
      <c r="O4146" s="72"/>
      <c r="P4146" s="67"/>
      <c r="Q4146" s="67"/>
      <c r="R4146" s="67"/>
      <c r="S4146" s="67"/>
      <c r="T4146" s="32"/>
      <c r="U4146" s="32"/>
      <c r="X4146" s="32"/>
      <c r="Y4146" s="32"/>
      <c r="Z4146" s="32"/>
      <c r="AA4146" s="32"/>
      <c r="AB4146" s="32"/>
    </row>
    <row r="4147" spans="2:28" ht="23.25" customHeight="1" x14ac:dyDescent="0.2">
      <c r="B4147" s="75"/>
      <c r="C4147" s="67"/>
      <c r="D4147" s="75"/>
      <c r="E4147" s="67"/>
      <c r="F4147" s="67"/>
      <c r="G4147" s="70"/>
      <c r="H4147" s="70"/>
      <c r="I4147" s="70"/>
      <c r="J4147" s="70"/>
      <c r="K4147" s="70"/>
      <c r="L4147" s="67"/>
      <c r="M4147" s="67"/>
      <c r="N4147" s="72"/>
      <c r="O4147" s="72"/>
      <c r="P4147" s="67"/>
      <c r="Q4147" s="67"/>
      <c r="R4147" s="67"/>
      <c r="S4147" s="67"/>
      <c r="T4147" s="32"/>
      <c r="U4147" s="32"/>
      <c r="X4147" s="32"/>
      <c r="Y4147" s="32"/>
      <c r="Z4147" s="32"/>
      <c r="AA4147" s="32"/>
      <c r="AB4147" s="32"/>
    </row>
    <row r="4148" spans="2:28" ht="23.25" customHeight="1" x14ac:dyDescent="0.2">
      <c r="B4148" s="75"/>
      <c r="C4148" s="67"/>
      <c r="D4148" s="75"/>
      <c r="E4148" s="67"/>
      <c r="F4148" s="67"/>
      <c r="G4148" s="70"/>
      <c r="H4148" s="70"/>
      <c r="I4148" s="70"/>
      <c r="J4148" s="70"/>
      <c r="K4148" s="70"/>
      <c r="L4148" s="67"/>
      <c r="M4148" s="67"/>
      <c r="N4148" s="72"/>
      <c r="O4148" s="72"/>
      <c r="P4148" s="67"/>
      <c r="Q4148" s="67"/>
      <c r="R4148" s="67"/>
      <c r="S4148" s="67"/>
      <c r="T4148" s="32"/>
      <c r="U4148" s="32"/>
      <c r="X4148" s="32"/>
      <c r="Y4148" s="32"/>
      <c r="Z4148" s="32"/>
      <c r="AA4148" s="32"/>
      <c r="AB4148" s="32"/>
    </row>
    <row r="4149" spans="2:28" ht="23.25" customHeight="1" x14ac:dyDescent="0.2">
      <c r="B4149" s="75"/>
      <c r="C4149" s="67"/>
      <c r="D4149" s="75"/>
      <c r="E4149" s="67"/>
      <c r="F4149" s="67"/>
      <c r="G4149" s="70"/>
      <c r="H4149" s="70"/>
      <c r="I4149" s="70"/>
      <c r="J4149" s="70"/>
      <c r="K4149" s="70"/>
      <c r="L4149" s="67"/>
      <c r="M4149" s="67"/>
      <c r="N4149" s="72"/>
      <c r="O4149" s="72"/>
      <c r="P4149" s="67"/>
      <c r="Q4149" s="67"/>
      <c r="R4149" s="67"/>
      <c r="S4149" s="67"/>
      <c r="T4149" s="32"/>
      <c r="U4149" s="32"/>
      <c r="X4149" s="32"/>
      <c r="Y4149" s="32"/>
      <c r="Z4149" s="32"/>
      <c r="AA4149" s="32"/>
      <c r="AB4149" s="32"/>
    </row>
    <row r="4150" spans="2:28" ht="23.25" customHeight="1" x14ac:dyDescent="0.2">
      <c r="B4150" s="75"/>
      <c r="C4150" s="67"/>
      <c r="D4150" s="75"/>
      <c r="E4150" s="67"/>
      <c r="F4150" s="67"/>
      <c r="G4150" s="70"/>
      <c r="H4150" s="70"/>
      <c r="I4150" s="70"/>
      <c r="J4150" s="70"/>
      <c r="K4150" s="70"/>
      <c r="L4150" s="67"/>
      <c r="M4150" s="67"/>
      <c r="N4150" s="72"/>
      <c r="O4150" s="72"/>
      <c r="P4150" s="67"/>
      <c r="Q4150" s="67"/>
      <c r="R4150" s="67"/>
      <c r="S4150" s="67"/>
      <c r="T4150" s="32"/>
      <c r="U4150" s="32"/>
      <c r="X4150" s="32"/>
      <c r="Y4150" s="32"/>
      <c r="Z4150" s="32"/>
      <c r="AA4150" s="32"/>
      <c r="AB4150" s="32"/>
    </row>
    <row r="4151" spans="2:28" ht="23.25" customHeight="1" x14ac:dyDescent="0.2">
      <c r="B4151" s="75"/>
      <c r="C4151" s="67"/>
      <c r="D4151" s="75"/>
      <c r="E4151" s="67"/>
      <c r="F4151" s="67"/>
      <c r="G4151" s="70"/>
      <c r="H4151" s="70"/>
      <c r="I4151" s="70"/>
      <c r="J4151" s="70"/>
      <c r="K4151" s="70"/>
      <c r="L4151" s="67"/>
      <c r="M4151" s="67"/>
      <c r="N4151" s="72"/>
      <c r="O4151" s="72"/>
      <c r="P4151" s="67"/>
      <c r="Q4151" s="67"/>
      <c r="R4151" s="67"/>
      <c r="S4151" s="67"/>
      <c r="T4151" s="32"/>
      <c r="U4151" s="32"/>
      <c r="X4151" s="32"/>
      <c r="Y4151" s="32"/>
      <c r="Z4151" s="32"/>
      <c r="AA4151" s="32"/>
      <c r="AB4151" s="32"/>
    </row>
    <row r="4152" spans="2:28" ht="23.25" customHeight="1" x14ac:dyDescent="0.2">
      <c r="B4152" s="75"/>
      <c r="C4152" s="67"/>
      <c r="D4152" s="75"/>
      <c r="E4152" s="67"/>
      <c r="F4152" s="67"/>
      <c r="G4152" s="70"/>
      <c r="H4152" s="70"/>
      <c r="I4152" s="70"/>
      <c r="J4152" s="70"/>
      <c r="K4152" s="70"/>
      <c r="L4152" s="67"/>
      <c r="M4152" s="67"/>
      <c r="N4152" s="72"/>
      <c r="O4152" s="72"/>
      <c r="P4152" s="67"/>
      <c r="Q4152" s="67"/>
      <c r="R4152" s="67"/>
      <c r="S4152" s="67"/>
      <c r="T4152" s="32"/>
      <c r="U4152" s="32"/>
      <c r="X4152" s="32"/>
      <c r="Y4152" s="32"/>
      <c r="Z4152" s="32"/>
      <c r="AA4152" s="32"/>
      <c r="AB4152" s="32"/>
    </row>
    <row r="4153" spans="2:28" ht="23.25" customHeight="1" x14ac:dyDescent="0.2">
      <c r="B4153" s="75"/>
      <c r="C4153" s="67"/>
      <c r="D4153" s="75"/>
      <c r="E4153" s="67"/>
      <c r="F4153" s="67"/>
      <c r="G4153" s="70"/>
      <c r="H4153" s="70"/>
      <c r="I4153" s="70"/>
      <c r="J4153" s="70"/>
      <c r="K4153" s="70"/>
      <c r="L4153" s="67"/>
      <c r="M4153" s="67"/>
      <c r="N4153" s="72"/>
      <c r="O4153" s="72"/>
      <c r="P4153" s="67"/>
      <c r="Q4153" s="67"/>
      <c r="R4153" s="67"/>
      <c r="S4153" s="67"/>
      <c r="T4153" s="32"/>
      <c r="U4153" s="32"/>
      <c r="X4153" s="32"/>
      <c r="Y4153" s="32"/>
      <c r="Z4153" s="32"/>
      <c r="AA4153" s="32"/>
      <c r="AB4153" s="32"/>
    </row>
    <row r="4154" spans="2:28" ht="23.25" customHeight="1" x14ac:dyDescent="0.2">
      <c r="B4154" s="75"/>
      <c r="C4154" s="67"/>
      <c r="D4154" s="75"/>
      <c r="E4154" s="67"/>
      <c r="F4154" s="67"/>
      <c r="G4154" s="70"/>
      <c r="H4154" s="70"/>
      <c r="I4154" s="70"/>
      <c r="J4154" s="70"/>
      <c r="K4154" s="70"/>
      <c r="L4154" s="67"/>
      <c r="M4154" s="67"/>
      <c r="N4154" s="72"/>
      <c r="O4154" s="72"/>
      <c r="P4154" s="67"/>
      <c r="Q4154" s="67"/>
      <c r="R4154" s="67"/>
      <c r="S4154" s="67"/>
      <c r="T4154" s="32"/>
      <c r="U4154" s="32"/>
      <c r="X4154" s="32"/>
      <c r="Y4154" s="32"/>
      <c r="Z4154" s="32"/>
      <c r="AA4154" s="32"/>
      <c r="AB4154" s="32"/>
    </row>
    <row r="4155" spans="2:28" ht="23.25" customHeight="1" x14ac:dyDescent="0.2">
      <c r="B4155" s="75"/>
      <c r="C4155" s="67"/>
      <c r="D4155" s="75"/>
      <c r="E4155" s="67"/>
      <c r="F4155" s="67"/>
      <c r="G4155" s="70"/>
      <c r="H4155" s="70"/>
      <c r="I4155" s="70"/>
      <c r="J4155" s="70"/>
      <c r="K4155" s="70"/>
      <c r="L4155" s="67"/>
      <c r="M4155" s="67"/>
      <c r="N4155" s="72"/>
      <c r="O4155" s="72"/>
      <c r="P4155" s="67"/>
      <c r="Q4155" s="67"/>
      <c r="R4155" s="67"/>
      <c r="S4155" s="67"/>
      <c r="T4155" s="32"/>
      <c r="U4155" s="32"/>
      <c r="X4155" s="32"/>
      <c r="Y4155" s="32"/>
      <c r="Z4155" s="32"/>
      <c r="AA4155" s="32"/>
      <c r="AB4155" s="32"/>
    </row>
    <row r="4156" spans="2:28" ht="23.25" customHeight="1" x14ac:dyDescent="0.2">
      <c r="B4156" s="75"/>
      <c r="C4156" s="67"/>
      <c r="D4156" s="75"/>
      <c r="E4156" s="67"/>
      <c r="F4156" s="67"/>
      <c r="G4156" s="70"/>
      <c r="H4156" s="70"/>
      <c r="I4156" s="70"/>
      <c r="J4156" s="70"/>
      <c r="K4156" s="70"/>
      <c r="L4156" s="67"/>
      <c r="M4156" s="67"/>
      <c r="N4156" s="72"/>
      <c r="O4156" s="72"/>
      <c r="P4156" s="67"/>
      <c r="Q4156" s="67"/>
      <c r="R4156" s="67"/>
      <c r="S4156" s="67"/>
      <c r="T4156" s="32"/>
      <c r="U4156" s="32"/>
      <c r="X4156" s="32"/>
      <c r="Y4156" s="32"/>
      <c r="Z4156" s="32"/>
      <c r="AA4156" s="32"/>
      <c r="AB4156" s="32"/>
    </row>
    <row r="4157" spans="2:28" ht="23.25" customHeight="1" x14ac:dyDescent="0.2">
      <c r="B4157" s="75"/>
      <c r="C4157" s="67"/>
      <c r="D4157" s="75"/>
      <c r="E4157" s="67"/>
      <c r="F4157" s="67"/>
      <c r="G4157" s="70"/>
      <c r="H4157" s="70"/>
      <c r="I4157" s="70"/>
      <c r="J4157" s="70"/>
      <c r="K4157" s="70"/>
      <c r="L4157" s="67"/>
      <c r="M4157" s="67"/>
      <c r="N4157" s="72"/>
      <c r="O4157" s="72"/>
      <c r="P4157" s="67"/>
      <c r="Q4157" s="67"/>
      <c r="R4157" s="67"/>
      <c r="S4157" s="67"/>
      <c r="T4157" s="32"/>
      <c r="U4157" s="32"/>
      <c r="X4157" s="32"/>
      <c r="Y4157" s="32"/>
      <c r="Z4157" s="32"/>
      <c r="AA4157" s="32"/>
      <c r="AB4157" s="32"/>
    </row>
    <row r="4158" spans="2:28" ht="23.25" customHeight="1" x14ac:dyDescent="0.2">
      <c r="B4158" s="75"/>
      <c r="C4158" s="67"/>
      <c r="D4158" s="75"/>
      <c r="E4158" s="67"/>
      <c r="F4158" s="67"/>
      <c r="G4158" s="70"/>
      <c r="H4158" s="70"/>
      <c r="I4158" s="70"/>
      <c r="J4158" s="70"/>
      <c r="K4158" s="70"/>
      <c r="L4158" s="67"/>
      <c r="M4158" s="67"/>
      <c r="N4158" s="72"/>
      <c r="O4158" s="72"/>
      <c r="P4158" s="67"/>
      <c r="Q4158" s="67"/>
      <c r="R4158" s="67"/>
      <c r="S4158" s="67"/>
      <c r="T4158" s="32"/>
      <c r="U4158" s="32"/>
      <c r="X4158" s="32"/>
      <c r="Y4158" s="32"/>
      <c r="Z4158" s="32"/>
      <c r="AA4158" s="32"/>
      <c r="AB4158" s="32"/>
    </row>
    <row r="4159" spans="2:28" ht="23.25" customHeight="1" x14ac:dyDescent="0.2">
      <c r="B4159" s="75"/>
      <c r="C4159" s="67"/>
      <c r="D4159" s="75"/>
      <c r="E4159" s="67"/>
      <c r="F4159" s="67"/>
      <c r="G4159" s="70"/>
      <c r="H4159" s="70"/>
      <c r="I4159" s="70"/>
      <c r="J4159" s="70"/>
      <c r="K4159" s="70"/>
      <c r="L4159" s="67"/>
      <c r="M4159" s="67"/>
      <c r="N4159" s="72"/>
      <c r="O4159" s="72"/>
      <c r="P4159" s="67"/>
      <c r="Q4159" s="67"/>
      <c r="R4159" s="67"/>
      <c r="S4159" s="67"/>
      <c r="T4159" s="32"/>
      <c r="U4159" s="32"/>
      <c r="X4159" s="32"/>
      <c r="Y4159" s="32"/>
      <c r="Z4159" s="32"/>
      <c r="AA4159" s="32"/>
      <c r="AB4159" s="32"/>
    </row>
    <row r="4160" spans="2:28" ht="23.25" customHeight="1" x14ac:dyDescent="0.2">
      <c r="B4160" s="75"/>
      <c r="C4160" s="67"/>
      <c r="D4160" s="75"/>
      <c r="E4160" s="67"/>
      <c r="F4160" s="67"/>
      <c r="G4160" s="70"/>
      <c r="H4160" s="70"/>
      <c r="I4160" s="70"/>
      <c r="J4160" s="70"/>
      <c r="K4160" s="70"/>
      <c r="L4160" s="67"/>
      <c r="M4160" s="67"/>
      <c r="N4160" s="72"/>
      <c r="O4160" s="72"/>
      <c r="P4160" s="67"/>
      <c r="Q4160" s="67"/>
      <c r="R4160" s="67"/>
      <c r="S4160" s="67"/>
      <c r="T4160" s="32"/>
      <c r="U4160" s="32"/>
      <c r="X4160" s="32"/>
      <c r="Y4160" s="32"/>
      <c r="Z4160" s="32"/>
      <c r="AA4160" s="32"/>
      <c r="AB4160" s="32"/>
    </row>
    <row r="4161" spans="2:28" ht="23.25" customHeight="1" x14ac:dyDescent="0.2">
      <c r="B4161" s="75"/>
      <c r="C4161" s="67"/>
      <c r="D4161" s="75"/>
      <c r="E4161" s="67"/>
      <c r="F4161" s="67"/>
      <c r="G4161" s="70"/>
      <c r="H4161" s="70"/>
      <c r="I4161" s="70"/>
      <c r="J4161" s="70"/>
      <c r="K4161" s="70"/>
      <c r="L4161" s="67"/>
      <c r="M4161" s="67"/>
      <c r="N4161" s="72"/>
      <c r="O4161" s="72"/>
      <c r="P4161" s="67"/>
      <c r="Q4161" s="67"/>
      <c r="R4161" s="67"/>
      <c r="S4161" s="67"/>
      <c r="T4161" s="32"/>
      <c r="U4161" s="32"/>
      <c r="X4161" s="32"/>
      <c r="Y4161" s="32"/>
      <c r="Z4161" s="32"/>
      <c r="AA4161" s="32"/>
      <c r="AB4161" s="32"/>
    </row>
    <row r="4162" spans="2:28" ht="23.25" customHeight="1" x14ac:dyDescent="0.2">
      <c r="B4162" s="75"/>
      <c r="C4162" s="67"/>
      <c r="D4162" s="75"/>
      <c r="E4162" s="67"/>
      <c r="F4162" s="67"/>
      <c r="G4162" s="70"/>
      <c r="H4162" s="70"/>
      <c r="I4162" s="70"/>
      <c r="J4162" s="70"/>
      <c r="K4162" s="70"/>
      <c r="L4162" s="67"/>
      <c r="M4162" s="67"/>
      <c r="N4162" s="72"/>
      <c r="O4162" s="72"/>
      <c r="P4162" s="67"/>
      <c r="Q4162" s="67"/>
      <c r="R4162" s="67"/>
      <c r="S4162" s="67"/>
      <c r="T4162" s="32"/>
      <c r="U4162" s="32"/>
      <c r="X4162" s="32"/>
      <c r="Y4162" s="32"/>
      <c r="Z4162" s="32"/>
      <c r="AA4162" s="32"/>
      <c r="AB4162" s="32"/>
    </row>
    <row r="4163" spans="2:28" ht="23.25" customHeight="1" x14ac:dyDescent="0.2">
      <c r="B4163" s="75"/>
      <c r="C4163" s="67"/>
      <c r="D4163" s="75"/>
      <c r="E4163" s="67"/>
      <c r="F4163" s="67"/>
      <c r="G4163" s="70"/>
      <c r="H4163" s="70"/>
      <c r="I4163" s="70"/>
      <c r="J4163" s="70"/>
      <c r="K4163" s="70"/>
      <c r="L4163" s="67"/>
      <c r="M4163" s="67"/>
      <c r="N4163" s="72"/>
      <c r="O4163" s="72"/>
      <c r="P4163" s="67"/>
      <c r="Q4163" s="67"/>
      <c r="R4163" s="67"/>
      <c r="S4163" s="67"/>
      <c r="T4163" s="32"/>
      <c r="U4163" s="32"/>
      <c r="X4163" s="32"/>
      <c r="Y4163" s="32"/>
      <c r="Z4163" s="32"/>
      <c r="AA4163" s="32"/>
      <c r="AB4163" s="32"/>
    </row>
    <row r="4164" spans="2:28" ht="23.25" customHeight="1" x14ac:dyDescent="0.2">
      <c r="B4164" s="75"/>
      <c r="C4164" s="67"/>
      <c r="D4164" s="75"/>
      <c r="E4164" s="67"/>
      <c r="F4164" s="67"/>
      <c r="G4164" s="70"/>
      <c r="H4164" s="70"/>
      <c r="I4164" s="70"/>
      <c r="J4164" s="70"/>
      <c r="K4164" s="70"/>
      <c r="L4164" s="67"/>
      <c r="M4164" s="67"/>
      <c r="N4164" s="72"/>
      <c r="O4164" s="72"/>
      <c r="P4164" s="67"/>
      <c r="Q4164" s="67"/>
      <c r="R4164" s="67"/>
      <c r="S4164" s="67"/>
      <c r="T4164" s="32"/>
      <c r="U4164" s="32"/>
      <c r="X4164" s="32"/>
      <c r="Y4164" s="32"/>
      <c r="Z4164" s="32"/>
      <c r="AA4164" s="32"/>
      <c r="AB4164" s="32"/>
    </row>
    <row r="4165" spans="2:28" ht="23.25" customHeight="1" x14ac:dyDescent="0.2">
      <c r="B4165" s="75"/>
      <c r="C4165" s="67"/>
      <c r="D4165" s="75"/>
      <c r="E4165" s="67"/>
      <c r="F4165" s="67"/>
      <c r="G4165" s="70"/>
      <c r="H4165" s="70"/>
      <c r="I4165" s="70"/>
      <c r="J4165" s="70"/>
      <c r="K4165" s="70"/>
      <c r="L4165" s="67"/>
      <c r="M4165" s="67"/>
      <c r="N4165" s="72"/>
      <c r="O4165" s="72"/>
      <c r="P4165" s="67"/>
      <c r="Q4165" s="67"/>
      <c r="R4165" s="67"/>
      <c r="S4165" s="67"/>
      <c r="T4165" s="32"/>
      <c r="U4165" s="32"/>
      <c r="X4165" s="32"/>
      <c r="Y4165" s="32"/>
      <c r="Z4165" s="32"/>
      <c r="AA4165" s="32"/>
      <c r="AB4165" s="32"/>
    </row>
    <row r="4166" spans="2:28" ht="23.25" customHeight="1" x14ac:dyDescent="0.2">
      <c r="B4166" s="75"/>
      <c r="C4166" s="67"/>
      <c r="D4166" s="75"/>
      <c r="E4166" s="67"/>
      <c r="F4166" s="67"/>
      <c r="G4166" s="70"/>
      <c r="H4166" s="70"/>
      <c r="I4166" s="70"/>
      <c r="J4166" s="70"/>
      <c r="K4166" s="70"/>
      <c r="L4166" s="67"/>
      <c r="M4166" s="67"/>
      <c r="N4166" s="72"/>
      <c r="O4166" s="72"/>
      <c r="P4166" s="67"/>
      <c r="Q4166" s="67"/>
      <c r="R4166" s="67"/>
      <c r="S4166" s="67"/>
      <c r="T4166" s="32"/>
      <c r="U4166" s="32"/>
      <c r="X4166" s="32"/>
      <c r="Y4166" s="32"/>
      <c r="Z4166" s="32"/>
      <c r="AA4166" s="32"/>
      <c r="AB4166" s="32"/>
    </row>
    <row r="4167" spans="2:28" ht="23.25" customHeight="1" x14ac:dyDescent="0.2">
      <c r="B4167" s="75"/>
      <c r="C4167" s="67"/>
      <c r="D4167" s="75"/>
      <c r="E4167" s="67"/>
      <c r="F4167" s="67"/>
      <c r="G4167" s="70"/>
      <c r="H4167" s="70"/>
      <c r="I4167" s="70"/>
      <c r="J4167" s="70"/>
      <c r="K4167" s="70"/>
      <c r="L4167" s="67"/>
      <c r="M4167" s="67"/>
      <c r="N4167" s="72"/>
      <c r="O4167" s="72"/>
      <c r="P4167" s="67"/>
      <c r="Q4167" s="67"/>
      <c r="R4167" s="67"/>
      <c r="S4167" s="67"/>
      <c r="T4167" s="32"/>
      <c r="U4167" s="32"/>
      <c r="X4167" s="32"/>
      <c r="Y4167" s="32"/>
      <c r="Z4167" s="32"/>
      <c r="AA4167" s="32"/>
      <c r="AB4167" s="32"/>
    </row>
    <row r="4168" spans="2:28" ht="23.25" customHeight="1" x14ac:dyDescent="0.2">
      <c r="B4168" s="75"/>
      <c r="C4168" s="67"/>
      <c r="D4168" s="75"/>
      <c r="E4168" s="67"/>
      <c r="F4168" s="67"/>
      <c r="G4168" s="70"/>
      <c r="H4168" s="70"/>
      <c r="I4168" s="70"/>
      <c r="J4168" s="70"/>
      <c r="K4168" s="70"/>
      <c r="L4168" s="67"/>
      <c r="M4168" s="67"/>
      <c r="N4168" s="72"/>
      <c r="O4168" s="72"/>
      <c r="P4168" s="67"/>
      <c r="Q4168" s="67"/>
      <c r="R4168" s="67"/>
      <c r="S4168" s="67"/>
      <c r="T4168" s="32"/>
      <c r="U4168" s="32"/>
      <c r="X4168" s="32"/>
      <c r="Y4168" s="32"/>
      <c r="Z4168" s="32"/>
      <c r="AA4168" s="32"/>
      <c r="AB4168" s="32"/>
    </row>
    <row r="4169" spans="2:28" ht="23.25" customHeight="1" x14ac:dyDescent="0.2">
      <c r="B4169" s="75"/>
      <c r="C4169" s="67"/>
      <c r="D4169" s="75"/>
      <c r="E4169" s="67"/>
      <c r="F4169" s="67"/>
      <c r="G4169" s="70"/>
      <c r="H4169" s="70"/>
      <c r="I4169" s="70"/>
      <c r="J4169" s="70"/>
      <c r="K4169" s="70"/>
      <c r="L4169" s="67"/>
      <c r="M4169" s="67"/>
      <c r="N4169" s="72"/>
      <c r="O4169" s="72"/>
      <c r="P4169" s="67"/>
      <c r="Q4169" s="67"/>
      <c r="R4169" s="67"/>
      <c r="S4169" s="67"/>
      <c r="T4169" s="32"/>
      <c r="U4169" s="32"/>
      <c r="X4169" s="32"/>
      <c r="Y4169" s="32"/>
      <c r="Z4169" s="32"/>
      <c r="AA4169" s="32"/>
      <c r="AB4169" s="32"/>
    </row>
    <row r="4170" spans="2:28" ht="23.25" customHeight="1" x14ac:dyDescent="0.2">
      <c r="B4170" s="75"/>
      <c r="C4170" s="67"/>
      <c r="D4170" s="75"/>
      <c r="E4170" s="67"/>
      <c r="F4170" s="67"/>
      <c r="G4170" s="70"/>
      <c r="H4170" s="70"/>
      <c r="I4170" s="70"/>
      <c r="J4170" s="70"/>
      <c r="K4170" s="70"/>
      <c r="L4170" s="67"/>
      <c r="M4170" s="67"/>
      <c r="N4170" s="72"/>
      <c r="O4170" s="72"/>
      <c r="P4170" s="67"/>
      <c r="Q4170" s="67"/>
      <c r="R4170" s="67"/>
      <c r="S4170" s="67"/>
      <c r="T4170" s="32"/>
      <c r="U4170" s="32"/>
      <c r="X4170" s="32"/>
      <c r="Y4170" s="32"/>
      <c r="Z4170" s="32"/>
      <c r="AA4170" s="32"/>
      <c r="AB4170" s="32"/>
    </row>
    <row r="4171" spans="2:28" ht="23.25" customHeight="1" x14ac:dyDescent="0.2">
      <c r="B4171" s="75"/>
      <c r="C4171" s="67"/>
      <c r="D4171" s="75"/>
      <c r="E4171" s="67"/>
      <c r="F4171" s="67"/>
      <c r="G4171" s="70"/>
      <c r="H4171" s="70"/>
      <c r="I4171" s="70"/>
      <c r="J4171" s="70"/>
      <c r="K4171" s="70"/>
      <c r="L4171" s="67"/>
      <c r="M4171" s="67"/>
      <c r="N4171" s="72"/>
      <c r="O4171" s="72"/>
      <c r="P4171" s="67"/>
      <c r="Q4171" s="67"/>
      <c r="R4171" s="67"/>
      <c r="S4171" s="67"/>
      <c r="T4171" s="32"/>
      <c r="U4171" s="32"/>
      <c r="X4171" s="32"/>
      <c r="Y4171" s="32"/>
      <c r="Z4171" s="32"/>
      <c r="AA4171" s="32"/>
      <c r="AB4171" s="32"/>
    </row>
    <row r="4172" spans="2:28" ht="23.25" customHeight="1" x14ac:dyDescent="0.2">
      <c r="B4172" s="75"/>
      <c r="C4172" s="67"/>
      <c r="D4172" s="75"/>
      <c r="E4172" s="67"/>
      <c r="F4172" s="67"/>
      <c r="G4172" s="70"/>
      <c r="H4172" s="70"/>
      <c r="I4172" s="70"/>
      <c r="J4172" s="70"/>
      <c r="K4172" s="70"/>
      <c r="L4172" s="67"/>
      <c r="M4172" s="67"/>
      <c r="N4172" s="72"/>
      <c r="O4172" s="72"/>
      <c r="P4172" s="67"/>
      <c r="Q4172" s="67"/>
      <c r="R4172" s="67"/>
      <c r="S4172" s="67"/>
      <c r="T4172" s="32"/>
      <c r="U4172" s="32"/>
      <c r="X4172" s="32"/>
      <c r="Y4172" s="32"/>
      <c r="Z4172" s="32"/>
      <c r="AA4172" s="32"/>
      <c r="AB4172" s="32"/>
    </row>
    <row r="4173" spans="2:28" ht="23.25" customHeight="1" x14ac:dyDescent="0.2">
      <c r="B4173" s="75"/>
      <c r="C4173" s="67"/>
      <c r="D4173" s="75"/>
      <c r="E4173" s="67"/>
      <c r="F4173" s="67"/>
      <c r="G4173" s="70"/>
      <c r="H4173" s="70"/>
      <c r="I4173" s="70"/>
      <c r="J4173" s="70"/>
      <c r="K4173" s="70"/>
      <c r="L4173" s="67"/>
      <c r="M4173" s="67"/>
      <c r="N4173" s="72"/>
      <c r="O4173" s="72"/>
      <c r="P4173" s="67"/>
      <c r="Q4173" s="67"/>
      <c r="R4173" s="67"/>
      <c r="S4173" s="67"/>
      <c r="T4173" s="32"/>
      <c r="U4173" s="32"/>
      <c r="X4173" s="32"/>
      <c r="Y4173" s="32"/>
      <c r="Z4173" s="32"/>
      <c r="AA4173" s="32"/>
      <c r="AB4173" s="32"/>
    </row>
    <row r="4174" spans="2:28" ht="23.25" customHeight="1" x14ac:dyDescent="0.2">
      <c r="B4174" s="75"/>
      <c r="C4174" s="67"/>
      <c r="D4174" s="75"/>
      <c r="E4174" s="67"/>
      <c r="F4174" s="67"/>
      <c r="G4174" s="70"/>
      <c r="H4174" s="70"/>
      <c r="I4174" s="70"/>
      <c r="J4174" s="70"/>
      <c r="K4174" s="70"/>
      <c r="L4174" s="67"/>
      <c r="M4174" s="67"/>
      <c r="N4174" s="72"/>
      <c r="O4174" s="72"/>
      <c r="P4174" s="67"/>
      <c r="Q4174" s="67"/>
      <c r="R4174" s="67"/>
      <c r="S4174" s="67"/>
      <c r="T4174" s="32"/>
      <c r="U4174" s="32"/>
      <c r="X4174" s="32"/>
      <c r="Y4174" s="32"/>
      <c r="Z4174" s="32"/>
      <c r="AA4174" s="32"/>
      <c r="AB4174" s="32"/>
    </row>
    <row r="4175" spans="2:28" ht="23.25" customHeight="1" x14ac:dyDescent="0.2">
      <c r="B4175" s="75"/>
      <c r="C4175" s="67"/>
      <c r="D4175" s="75"/>
      <c r="E4175" s="67"/>
      <c r="F4175" s="67"/>
      <c r="G4175" s="70"/>
      <c r="H4175" s="70"/>
      <c r="I4175" s="70"/>
      <c r="J4175" s="70"/>
      <c r="K4175" s="70"/>
      <c r="L4175" s="67"/>
      <c r="M4175" s="67"/>
      <c r="N4175" s="72"/>
      <c r="O4175" s="72"/>
      <c r="P4175" s="67"/>
      <c r="Q4175" s="67"/>
      <c r="R4175" s="67"/>
      <c r="S4175" s="67"/>
      <c r="T4175" s="32"/>
      <c r="U4175" s="32"/>
      <c r="X4175" s="32"/>
      <c r="Y4175" s="32"/>
      <c r="Z4175" s="32"/>
      <c r="AA4175" s="32"/>
      <c r="AB4175" s="32"/>
    </row>
    <row r="4176" spans="2:28" ht="23.25" customHeight="1" x14ac:dyDescent="0.2">
      <c r="B4176" s="75"/>
      <c r="C4176" s="67"/>
      <c r="D4176" s="75"/>
      <c r="E4176" s="67"/>
      <c r="F4176" s="67"/>
      <c r="G4176" s="70"/>
      <c r="H4176" s="70"/>
      <c r="I4176" s="70"/>
      <c r="J4176" s="70"/>
      <c r="K4176" s="70"/>
      <c r="L4176" s="67"/>
      <c r="M4176" s="67"/>
      <c r="N4176" s="72"/>
      <c r="O4176" s="72"/>
      <c r="P4176" s="67"/>
      <c r="Q4176" s="67"/>
      <c r="R4176" s="67"/>
      <c r="S4176" s="67"/>
      <c r="T4176" s="32"/>
      <c r="U4176" s="32"/>
      <c r="X4176" s="32"/>
      <c r="Y4176" s="32"/>
      <c r="Z4176" s="32"/>
      <c r="AA4176" s="32"/>
      <c r="AB4176" s="32"/>
    </row>
    <row r="4177" spans="2:28" ht="23.25" customHeight="1" x14ac:dyDescent="0.2">
      <c r="B4177" s="75"/>
      <c r="C4177" s="67"/>
      <c r="D4177" s="75"/>
      <c r="E4177" s="67"/>
      <c r="F4177" s="67"/>
      <c r="G4177" s="70"/>
      <c r="H4177" s="70"/>
      <c r="I4177" s="70"/>
      <c r="J4177" s="70"/>
      <c r="K4177" s="70"/>
      <c r="L4177" s="67"/>
      <c r="M4177" s="67"/>
      <c r="N4177" s="72"/>
      <c r="O4177" s="72"/>
      <c r="P4177" s="67"/>
      <c r="Q4177" s="67"/>
      <c r="R4177" s="67"/>
      <c r="S4177" s="67"/>
      <c r="T4177" s="32"/>
      <c r="U4177" s="32"/>
      <c r="X4177" s="32"/>
      <c r="Y4177" s="32"/>
      <c r="Z4177" s="32"/>
      <c r="AA4177" s="32"/>
      <c r="AB4177" s="32"/>
    </row>
    <row r="4178" spans="2:28" ht="23.25" customHeight="1" x14ac:dyDescent="0.2">
      <c r="B4178" s="75"/>
      <c r="C4178" s="67"/>
      <c r="D4178" s="75"/>
      <c r="E4178" s="67"/>
      <c r="F4178" s="67"/>
      <c r="G4178" s="70"/>
      <c r="H4178" s="70"/>
      <c r="I4178" s="70"/>
      <c r="J4178" s="70"/>
      <c r="K4178" s="70"/>
      <c r="L4178" s="67"/>
      <c r="M4178" s="67"/>
      <c r="N4178" s="72"/>
      <c r="O4178" s="72"/>
      <c r="P4178" s="67"/>
      <c r="Q4178" s="67"/>
      <c r="R4178" s="67"/>
      <c r="S4178" s="67"/>
      <c r="T4178" s="32"/>
      <c r="U4178" s="32"/>
      <c r="X4178" s="32"/>
      <c r="Y4178" s="32"/>
      <c r="Z4178" s="32"/>
      <c r="AA4178" s="32"/>
      <c r="AB4178" s="32"/>
    </row>
    <row r="4179" spans="2:28" ht="23.25" customHeight="1" x14ac:dyDescent="0.2">
      <c r="B4179" s="75"/>
      <c r="C4179" s="67"/>
      <c r="D4179" s="75"/>
      <c r="E4179" s="67"/>
      <c r="F4179" s="67"/>
      <c r="G4179" s="70"/>
      <c r="H4179" s="70"/>
      <c r="I4179" s="70"/>
      <c r="J4179" s="70"/>
      <c r="K4179" s="70"/>
      <c r="L4179" s="67"/>
      <c r="M4179" s="67"/>
      <c r="N4179" s="72"/>
      <c r="O4179" s="72"/>
      <c r="P4179" s="67"/>
      <c r="Q4179" s="67"/>
      <c r="R4179" s="67"/>
      <c r="S4179" s="67"/>
      <c r="T4179" s="32"/>
      <c r="U4179" s="32"/>
      <c r="X4179" s="32"/>
      <c r="Y4179" s="32"/>
      <c r="Z4179" s="32"/>
      <c r="AA4179" s="32"/>
      <c r="AB4179" s="32"/>
    </row>
    <row r="4180" spans="2:28" ht="23.25" customHeight="1" x14ac:dyDescent="0.2">
      <c r="B4180" s="75"/>
      <c r="C4180" s="67"/>
      <c r="D4180" s="75"/>
      <c r="E4180" s="67"/>
      <c r="F4180" s="67"/>
      <c r="G4180" s="70"/>
      <c r="H4180" s="70"/>
      <c r="I4180" s="70"/>
      <c r="J4180" s="70"/>
      <c r="K4180" s="70"/>
      <c r="L4180" s="67"/>
      <c r="M4180" s="67"/>
      <c r="N4180" s="72"/>
      <c r="O4180" s="72"/>
      <c r="P4180" s="67"/>
      <c r="Q4180" s="67"/>
      <c r="R4180" s="67"/>
      <c r="S4180" s="67"/>
      <c r="T4180" s="32"/>
      <c r="U4180" s="32"/>
      <c r="X4180" s="32"/>
      <c r="Y4180" s="32"/>
      <c r="Z4180" s="32"/>
      <c r="AA4180" s="32"/>
      <c r="AB4180" s="32"/>
    </row>
    <row r="4181" spans="2:28" ht="23.25" customHeight="1" x14ac:dyDescent="0.2">
      <c r="B4181" s="75"/>
      <c r="C4181" s="67"/>
      <c r="D4181" s="75"/>
      <c r="E4181" s="67"/>
      <c r="F4181" s="67"/>
      <c r="G4181" s="70"/>
      <c r="H4181" s="70"/>
      <c r="I4181" s="70"/>
      <c r="J4181" s="70"/>
      <c r="K4181" s="70"/>
      <c r="L4181" s="67"/>
      <c r="M4181" s="67"/>
      <c r="N4181" s="72"/>
      <c r="O4181" s="72"/>
      <c r="P4181" s="67"/>
      <c r="Q4181" s="67"/>
      <c r="R4181" s="67"/>
      <c r="S4181" s="67"/>
      <c r="T4181" s="32"/>
      <c r="U4181" s="32"/>
      <c r="X4181" s="32"/>
      <c r="Y4181" s="32"/>
      <c r="Z4181" s="32"/>
      <c r="AA4181" s="32"/>
      <c r="AB4181" s="32"/>
    </row>
    <row r="4182" spans="2:28" ht="23.25" customHeight="1" x14ac:dyDescent="0.2">
      <c r="B4182" s="75"/>
      <c r="C4182" s="67"/>
      <c r="D4182" s="75"/>
      <c r="E4182" s="67"/>
      <c r="F4182" s="67"/>
      <c r="G4182" s="70"/>
      <c r="H4182" s="70"/>
      <c r="I4182" s="70"/>
      <c r="J4182" s="70"/>
      <c r="K4182" s="70"/>
      <c r="L4182" s="67"/>
      <c r="M4182" s="67"/>
      <c r="N4182" s="72"/>
      <c r="O4182" s="72"/>
      <c r="P4182" s="67"/>
      <c r="Q4182" s="67"/>
      <c r="R4182" s="67"/>
      <c r="S4182" s="67"/>
      <c r="T4182" s="32"/>
      <c r="U4182" s="32"/>
      <c r="X4182" s="32"/>
      <c r="Y4182" s="32"/>
      <c r="Z4182" s="32"/>
      <c r="AA4182" s="32"/>
      <c r="AB4182" s="32"/>
    </row>
    <row r="4183" spans="2:28" ht="23.25" customHeight="1" x14ac:dyDescent="0.2">
      <c r="B4183" s="75"/>
      <c r="C4183" s="67"/>
      <c r="D4183" s="75"/>
      <c r="E4183" s="67"/>
      <c r="F4183" s="67"/>
      <c r="G4183" s="70"/>
      <c r="H4183" s="70"/>
      <c r="I4183" s="70"/>
      <c r="J4183" s="70"/>
      <c r="K4183" s="70"/>
      <c r="L4183" s="67"/>
      <c r="M4183" s="67"/>
      <c r="N4183" s="72"/>
      <c r="O4183" s="72"/>
      <c r="P4183" s="67"/>
      <c r="Q4183" s="67"/>
      <c r="R4183" s="67"/>
      <c r="S4183" s="67"/>
      <c r="T4183" s="32"/>
      <c r="U4183" s="32"/>
      <c r="X4183" s="32"/>
      <c r="Y4183" s="32"/>
      <c r="Z4183" s="32"/>
      <c r="AA4183" s="32"/>
      <c r="AB4183" s="32"/>
    </row>
    <row r="4184" spans="2:28" ht="23.25" customHeight="1" x14ac:dyDescent="0.2">
      <c r="B4184" s="75"/>
      <c r="C4184" s="67"/>
      <c r="D4184" s="75"/>
      <c r="E4184" s="67"/>
      <c r="F4184" s="67"/>
      <c r="G4184" s="70"/>
      <c r="H4184" s="70"/>
      <c r="I4184" s="70"/>
      <c r="J4184" s="70"/>
      <c r="K4184" s="70"/>
      <c r="L4184" s="67"/>
      <c r="M4184" s="67"/>
      <c r="N4184" s="72"/>
      <c r="O4184" s="72"/>
      <c r="P4184" s="67"/>
      <c r="Q4184" s="67"/>
      <c r="R4184" s="67"/>
      <c r="S4184" s="67"/>
      <c r="T4184" s="32"/>
      <c r="U4184" s="32"/>
      <c r="X4184" s="32"/>
      <c r="Y4184" s="32"/>
      <c r="Z4184" s="32"/>
      <c r="AA4184" s="32"/>
      <c r="AB4184" s="32"/>
    </row>
    <row r="4185" spans="2:28" ht="23.25" customHeight="1" x14ac:dyDescent="0.2">
      <c r="B4185" s="75"/>
      <c r="C4185" s="67"/>
      <c r="D4185" s="75"/>
      <c r="E4185" s="67"/>
      <c r="F4185" s="67"/>
      <c r="G4185" s="70"/>
      <c r="H4185" s="70"/>
      <c r="I4185" s="70"/>
      <c r="J4185" s="70"/>
      <c r="K4185" s="70"/>
      <c r="L4185" s="67"/>
      <c r="M4185" s="67"/>
      <c r="N4185" s="72"/>
      <c r="O4185" s="72"/>
      <c r="P4185" s="67"/>
      <c r="Q4185" s="67"/>
      <c r="R4185" s="67"/>
      <c r="S4185" s="67"/>
      <c r="T4185" s="32"/>
      <c r="U4185" s="32"/>
      <c r="X4185" s="32"/>
      <c r="Y4185" s="32"/>
      <c r="Z4185" s="32"/>
      <c r="AA4185" s="32"/>
      <c r="AB4185" s="32"/>
    </row>
    <row r="4186" spans="2:28" ht="23.25" customHeight="1" x14ac:dyDescent="0.2">
      <c r="B4186" s="75"/>
      <c r="C4186" s="67"/>
      <c r="D4186" s="75"/>
      <c r="E4186" s="67"/>
      <c r="F4186" s="67"/>
      <c r="G4186" s="70"/>
      <c r="H4186" s="70"/>
      <c r="I4186" s="70"/>
      <c r="J4186" s="70"/>
      <c r="K4186" s="70"/>
      <c r="L4186" s="67"/>
      <c r="M4186" s="67"/>
      <c r="N4186" s="72"/>
      <c r="O4186" s="72"/>
      <c r="P4186" s="67"/>
      <c r="Q4186" s="67"/>
      <c r="R4186" s="67"/>
      <c r="S4186" s="67"/>
      <c r="T4186" s="32"/>
      <c r="U4186" s="32"/>
      <c r="X4186" s="32"/>
      <c r="Y4186" s="32"/>
      <c r="Z4186" s="32"/>
      <c r="AA4186" s="32"/>
      <c r="AB4186" s="32"/>
    </row>
    <row r="4187" spans="2:28" ht="23.25" customHeight="1" x14ac:dyDescent="0.2">
      <c r="B4187" s="75"/>
      <c r="C4187" s="67"/>
      <c r="D4187" s="75"/>
      <c r="E4187" s="67"/>
      <c r="F4187" s="67"/>
      <c r="G4187" s="70"/>
      <c r="H4187" s="70"/>
      <c r="I4187" s="70"/>
      <c r="J4187" s="70"/>
      <c r="K4187" s="70"/>
      <c r="L4187" s="67"/>
      <c r="M4187" s="67"/>
      <c r="N4187" s="72"/>
      <c r="O4187" s="72"/>
      <c r="P4187" s="67"/>
      <c r="Q4187" s="67"/>
      <c r="R4187" s="67"/>
      <c r="S4187" s="67"/>
      <c r="T4187" s="32"/>
      <c r="U4187" s="32"/>
      <c r="X4187" s="32"/>
      <c r="Y4187" s="32"/>
      <c r="Z4187" s="32"/>
      <c r="AA4187" s="32"/>
      <c r="AB4187" s="32"/>
    </row>
    <row r="4188" spans="2:28" ht="23.25" customHeight="1" x14ac:dyDescent="0.2">
      <c r="B4188" s="75"/>
      <c r="C4188" s="67"/>
      <c r="D4188" s="75"/>
      <c r="E4188" s="67"/>
      <c r="F4188" s="67"/>
      <c r="G4188" s="70"/>
      <c r="H4188" s="70"/>
      <c r="I4188" s="70"/>
      <c r="J4188" s="70"/>
      <c r="K4188" s="70"/>
      <c r="L4188" s="67"/>
      <c r="M4188" s="67"/>
      <c r="N4188" s="72"/>
      <c r="O4188" s="72"/>
      <c r="P4188" s="67"/>
      <c r="Q4188" s="67"/>
      <c r="R4188" s="67"/>
      <c r="S4188" s="67"/>
      <c r="T4188" s="32"/>
      <c r="U4188" s="32"/>
      <c r="X4188" s="32"/>
      <c r="Y4188" s="32"/>
      <c r="Z4188" s="32"/>
      <c r="AA4188" s="32"/>
      <c r="AB4188" s="32"/>
    </row>
    <row r="4189" spans="2:28" ht="23.25" customHeight="1" x14ac:dyDescent="0.2">
      <c r="B4189" s="75"/>
      <c r="C4189" s="67"/>
      <c r="D4189" s="75"/>
      <c r="E4189" s="67"/>
      <c r="F4189" s="67"/>
      <c r="G4189" s="70"/>
      <c r="H4189" s="70"/>
      <c r="I4189" s="70"/>
      <c r="J4189" s="70"/>
      <c r="K4189" s="70"/>
      <c r="L4189" s="67"/>
      <c r="M4189" s="67"/>
      <c r="N4189" s="72"/>
      <c r="O4189" s="72"/>
      <c r="P4189" s="67"/>
      <c r="Q4189" s="67"/>
      <c r="R4189" s="67"/>
      <c r="S4189" s="67"/>
      <c r="T4189" s="32"/>
      <c r="U4189" s="32"/>
      <c r="X4189" s="32"/>
      <c r="Y4189" s="32"/>
      <c r="Z4189" s="32"/>
      <c r="AA4189" s="32"/>
      <c r="AB4189" s="32"/>
    </row>
    <row r="4190" spans="2:28" ht="23.25" customHeight="1" x14ac:dyDescent="0.2">
      <c r="B4190" s="75"/>
      <c r="C4190" s="67"/>
      <c r="D4190" s="75"/>
      <c r="E4190" s="67"/>
      <c r="F4190" s="67"/>
      <c r="G4190" s="70"/>
      <c r="H4190" s="70"/>
      <c r="I4190" s="70"/>
      <c r="J4190" s="70"/>
      <c r="K4190" s="70"/>
      <c r="L4190" s="67"/>
      <c r="M4190" s="67"/>
      <c r="N4190" s="72"/>
      <c r="O4190" s="72"/>
      <c r="P4190" s="67"/>
      <c r="Q4190" s="67"/>
      <c r="R4190" s="67"/>
      <c r="S4190" s="67"/>
      <c r="T4190" s="32"/>
      <c r="U4190" s="32"/>
      <c r="X4190" s="32"/>
      <c r="Y4190" s="32"/>
      <c r="Z4190" s="32"/>
      <c r="AA4190" s="32"/>
      <c r="AB4190" s="32"/>
    </row>
    <row r="4191" spans="2:28" ht="23.25" customHeight="1" x14ac:dyDescent="0.2">
      <c r="B4191" s="75"/>
      <c r="C4191" s="67"/>
      <c r="D4191" s="75"/>
      <c r="E4191" s="67"/>
      <c r="F4191" s="67"/>
      <c r="G4191" s="70"/>
      <c r="H4191" s="70"/>
      <c r="I4191" s="70"/>
      <c r="J4191" s="70"/>
      <c r="K4191" s="70"/>
      <c r="L4191" s="67"/>
      <c r="M4191" s="67"/>
      <c r="N4191" s="72"/>
      <c r="O4191" s="72"/>
      <c r="P4191" s="67"/>
      <c r="Q4191" s="67"/>
      <c r="R4191" s="67"/>
      <c r="S4191" s="67"/>
      <c r="T4191" s="32"/>
      <c r="U4191" s="32"/>
      <c r="X4191" s="32"/>
      <c r="Y4191" s="32"/>
      <c r="Z4191" s="32"/>
      <c r="AA4191" s="32"/>
      <c r="AB4191" s="32"/>
    </row>
    <row r="4192" spans="2:28" ht="23.25" customHeight="1" x14ac:dyDescent="0.2">
      <c r="B4192" s="75"/>
      <c r="C4192" s="67"/>
      <c r="D4192" s="75"/>
      <c r="E4192" s="67"/>
      <c r="F4192" s="67"/>
      <c r="G4192" s="70"/>
      <c r="H4192" s="70"/>
      <c r="I4192" s="70"/>
      <c r="J4192" s="70"/>
      <c r="K4192" s="70"/>
      <c r="L4192" s="67"/>
      <c r="M4192" s="67"/>
      <c r="N4192" s="72"/>
      <c r="O4192" s="72"/>
      <c r="P4192" s="67"/>
      <c r="Q4192" s="67"/>
      <c r="R4192" s="67"/>
      <c r="S4192" s="67"/>
      <c r="T4192" s="32"/>
      <c r="U4192" s="32"/>
      <c r="X4192" s="32"/>
      <c r="Y4192" s="32"/>
      <c r="Z4192" s="32"/>
      <c r="AA4192" s="32"/>
      <c r="AB4192" s="32"/>
    </row>
    <row r="4193" spans="2:28" ht="23.25" customHeight="1" x14ac:dyDescent="0.2">
      <c r="B4193" s="75"/>
      <c r="C4193" s="67"/>
      <c r="D4193" s="75"/>
      <c r="E4193" s="67"/>
      <c r="F4193" s="67"/>
      <c r="G4193" s="70"/>
      <c r="H4193" s="70"/>
      <c r="I4193" s="70"/>
      <c r="J4193" s="70"/>
      <c r="K4193" s="70"/>
      <c r="L4193" s="67"/>
      <c r="M4193" s="67"/>
      <c r="N4193" s="72"/>
      <c r="O4193" s="72"/>
      <c r="P4193" s="67"/>
      <c r="Q4193" s="67"/>
      <c r="R4193" s="67"/>
      <c r="S4193" s="67"/>
      <c r="T4193" s="32"/>
      <c r="U4193" s="32"/>
      <c r="X4193" s="32"/>
      <c r="Y4193" s="32"/>
      <c r="Z4193" s="32"/>
      <c r="AA4193" s="32"/>
      <c r="AB4193" s="32"/>
    </row>
    <row r="4194" spans="2:28" ht="23.25" customHeight="1" x14ac:dyDescent="0.2">
      <c r="B4194" s="75"/>
      <c r="C4194" s="67"/>
      <c r="D4194" s="75"/>
      <c r="E4194" s="67"/>
      <c r="F4194" s="67"/>
      <c r="G4194" s="70"/>
      <c r="H4194" s="70"/>
      <c r="I4194" s="70"/>
      <c r="J4194" s="70"/>
      <c r="K4194" s="70"/>
      <c r="L4194" s="67"/>
      <c r="M4194" s="67"/>
      <c r="N4194" s="72"/>
      <c r="O4194" s="72"/>
      <c r="P4194" s="67"/>
      <c r="Q4194" s="67"/>
      <c r="R4194" s="67"/>
      <c r="S4194" s="67"/>
      <c r="T4194" s="32"/>
      <c r="U4194" s="32"/>
      <c r="X4194" s="32"/>
      <c r="Y4194" s="32"/>
      <c r="Z4194" s="32"/>
      <c r="AA4194" s="32"/>
      <c r="AB4194" s="32"/>
    </row>
    <row r="4195" spans="2:28" ht="23.25" customHeight="1" x14ac:dyDescent="0.2">
      <c r="B4195" s="75"/>
      <c r="C4195" s="67"/>
      <c r="D4195" s="75"/>
      <c r="E4195" s="67"/>
      <c r="F4195" s="67"/>
      <c r="G4195" s="70"/>
      <c r="H4195" s="70"/>
      <c r="I4195" s="70"/>
      <c r="J4195" s="70"/>
      <c r="K4195" s="70"/>
      <c r="L4195" s="67"/>
      <c r="M4195" s="67"/>
      <c r="N4195" s="72"/>
      <c r="O4195" s="72"/>
      <c r="P4195" s="67"/>
      <c r="Q4195" s="67"/>
      <c r="R4195" s="67"/>
      <c r="S4195" s="67"/>
      <c r="T4195" s="32"/>
      <c r="U4195" s="32"/>
      <c r="X4195" s="32"/>
      <c r="Y4195" s="32"/>
      <c r="Z4195" s="32"/>
      <c r="AA4195" s="32"/>
      <c r="AB4195" s="32"/>
    </row>
    <row r="4196" spans="2:28" ht="23.25" customHeight="1" x14ac:dyDescent="0.2">
      <c r="B4196" s="75"/>
      <c r="C4196" s="67"/>
      <c r="D4196" s="75"/>
      <c r="E4196" s="67"/>
      <c r="F4196" s="67"/>
      <c r="G4196" s="70"/>
      <c r="H4196" s="70"/>
      <c r="I4196" s="70"/>
      <c r="J4196" s="70"/>
      <c r="K4196" s="70"/>
      <c r="L4196" s="67"/>
      <c r="M4196" s="67"/>
      <c r="N4196" s="72"/>
      <c r="O4196" s="72"/>
      <c r="P4196" s="67"/>
      <c r="Q4196" s="67"/>
      <c r="R4196" s="67"/>
      <c r="S4196" s="67"/>
      <c r="T4196" s="32"/>
      <c r="U4196" s="32"/>
      <c r="X4196" s="32"/>
      <c r="Y4196" s="32"/>
      <c r="Z4196" s="32"/>
      <c r="AA4196" s="32"/>
      <c r="AB4196" s="32"/>
    </row>
    <row r="4197" spans="2:28" ht="23.25" customHeight="1" x14ac:dyDescent="0.2">
      <c r="B4197" s="75"/>
      <c r="C4197" s="67"/>
      <c r="D4197" s="75"/>
      <c r="E4197" s="67"/>
      <c r="F4197" s="67"/>
      <c r="G4197" s="70"/>
      <c r="H4197" s="70"/>
      <c r="I4197" s="70"/>
      <c r="J4197" s="70"/>
      <c r="K4197" s="70"/>
      <c r="L4197" s="67"/>
      <c r="M4197" s="67"/>
      <c r="N4197" s="72"/>
      <c r="O4197" s="72"/>
      <c r="P4197" s="67"/>
      <c r="Q4197" s="67"/>
      <c r="R4197" s="67"/>
      <c r="S4197" s="67"/>
      <c r="T4197" s="32"/>
      <c r="U4197" s="32"/>
      <c r="X4197" s="32"/>
      <c r="Y4197" s="32"/>
      <c r="Z4197" s="32"/>
      <c r="AA4197" s="32"/>
      <c r="AB4197" s="32"/>
    </row>
    <row r="4198" spans="2:28" ht="23.25" customHeight="1" x14ac:dyDescent="0.2">
      <c r="B4198" s="75"/>
      <c r="C4198" s="67"/>
      <c r="D4198" s="75"/>
      <c r="E4198" s="67"/>
      <c r="F4198" s="67"/>
      <c r="G4198" s="70"/>
      <c r="H4198" s="70"/>
      <c r="I4198" s="70"/>
      <c r="J4198" s="70"/>
      <c r="K4198" s="70"/>
      <c r="L4198" s="67"/>
      <c r="M4198" s="67"/>
      <c r="N4198" s="72"/>
      <c r="O4198" s="72"/>
      <c r="P4198" s="67"/>
      <c r="Q4198" s="67"/>
      <c r="R4198" s="67"/>
      <c r="S4198" s="67"/>
      <c r="T4198" s="32"/>
      <c r="U4198" s="32"/>
      <c r="X4198" s="32"/>
      <c r="Y4198" s="32"/>
      <c r="Z4198" s="32"/>
      <c r="AA4198" s="32"/>
      <c r="AB4198" s="32"/>
    </row>
    <row r="4199" spans="2:28" ht="23.25" customHeight="1" x14ac:dyDescent="0.2">
      <c r="B4199" s="75"/>
      <c r="C4199" s="67"/>
      <c r="D4199" s="75"/>
      <c r="E4199" s="67"/>
      <c r="F4199" s="67"/>
      <c r="G4199" s="70"/>
      <c r="H4199" s="70"/>
      <c r="I4199" s="70"/>
      <c r="J4199" s="70"/>
      <c r="K4199" s="70"/>
      <c r="L4199" s="67"/>
      <c r="M4199" s="67"/>
      <c r="N4199" s="72"/>
      <c r="O4199" s="72"/>
      <c r="P4199" s="67"/>
      <c r="Q4199" s="67"/>
      <c r="R4199" s="67"/>
      <c r="S4199" s="67"/>
      <c r="T4199" s="32"/>
      <c r="U4199" s="32"/>
      <c r="X4199" s="32"/>
      <c r="Y4199" s="32"/>
      <c r="Z4199" s="32"/>
      <c r="AA4199" s="32"/>
      <c r="AB4199" s="32"/>
    </row>
    <row r="4200" spans="2:28" ht="23.25" customHeight="1" x14ac:dyDescent="0.2">
      <c r="B4200" s="75"/>
      <c r="C4200" s="67"/>
      <c r="D4200" s="75"/>
      <c r="E4200" s="67"/>
      <c r="F4200" s="67"/>
      <c r="G4200" s="70"/>
      <c r="H4200" s="70"/>
      <c r="I4200" s="70"/>
      <c r="J4200" s="70"/>
      <c r="K4200" s="70"/>
      <c r="L4200" s="67"/>
      <c r="M4200" s="67"/>
      <c r="N4200" s="72"/>
      <c r="O4200" s="72"/>
      <c r="P4200" s="67"/>
      <c r="Q4200" s="67"/>
      <c r="R4200" s="67"/>
      <c r="S4200" s="67"/>
      <c r="T4200" s="32"/>
      <c r="U4200" s="32"/>
      <c r="X4200" s="32"/>
      <c r="Y4200" s="32"/>
      <c r="Z4200" s="32"/>
      <c r="AA4200" s="32"/>
      <c r="AB4200" s="32"/>
    </row>
    <row r="4201" spans="2:28" ht="23.25" customHeight="1" x14ac:dyDescent="0.2">
      <c r="B4201" s="75"/>
      <c r="C4201" s="67"/>
      <c r="D4201" s="75"/>
      <c r="E4201" s="67"/>
      <c r="F4201" s="67"/>
      <c r="G4201" s="70"/>
      <c r="H4201" s="70"/>
      <c r="I4201" s="70"/>
      <c r="J4201" s="70"/>
      <c r="K4201" s="70"/>
      <c r="L4201" s="67"/>
      <c r="M4201" s="67"/>
      <c r="N4201" s="72"/>
      <c r="O4201" s="72"/>
      <c r="P4201" s="67"/>
      <c r="Q4201" s="67"/>
      <c r="R4201" s="67"/>
      <c r="S4201" s="67"/>
      <c r="T4201" s="32"/>
      <c r="U4201" s="32"/>
      <c r="X4201" s="32"/>
      <c r="Y4201" s="32"/>
      <c r="Z4201" s="32"/>
      <c r="AA4201" s="32"/>
      <c r="AB4201" s="32"/>
    </row>
    <row r="4202" spans="2:28" ht="23.25" customHeight="1" x14ac:dyDescent="0.2">
      <c r="B4202" s="75"/>
      <c r="C4202" s="67"/>
      <c r="D4202" s="75"/>
      <c r="E4202" s="67"/>
      <c r="F4202" s="67"/>
      <c r="G4202" s="70"/>
      <c r="H4202" s="70"/>
      <c r="I4202" s="70"/>
      <c r="J4202" s="70"/>
      <c r="K4202" s="70"/>
      <c r="L4202" s="67"/>
      <c r="M4202" s="67"/>
      <c r="N4202" s="72"/>
      <c r="O4202" s="72"/>
      <c r="P4202" s="67"/>
      <c r="Q4202" s="67"/>
      <c r="R4202" s="67"/>
      <c r="S4202" s="67"/>
      <c r="T4202" s="32"/>
      <c r="U4202" s="32"/>
      <c r="X4202" s="32"/>
      <c r="Y4202" s="32"/>
      <c r="Z4202" s="32"/>
      <c r="AA4202" s="32"/>
      <c r="AB4202" s="32"/>
    </row>
    <row r="4203" spans="2:28" ht="23.25" customHeight="1" x14ac:dyDescent="0.2">
      <c r="B4203" s="75"/>
      <c r="C4203" s="67"/>
      <c r="D4203" s="75"/>
      <c r="E4203" s="67"/>
      <c r="F4203" s="67"/>
      <c r="G4203" s="70"/>
      <c r="H4203" s="70"/>
      <c r="I4203" s="70"/>
      <c r="J4203" s="70"/>
      <c r="K4203" s="70"/>
      <c r="L4203" s="67"/>
      <c r="M4203" s="67"/>
      <c r="N4203" s="72"/>
      <c r="O4203" s="72"/>
      <c r="P4203" s="67"/>
      <c r="Q4203" s="67"/>
      <c r="R4203" s="67"/>
      <c r="S4203" s="67"/>
      <c r="T4203" s="32"/>
      <c r="U4203" s="32"/>
      <c r="X4203" s="32"/>
      <c r="Y4203" s="32"/>
      <c r="Z4203" s="32"/>
      <c r="AA4203" s="32"/>
      <c r="AB4203" s="32"/>
    </row>
    <row r="4204" spans="2:28" ht="23.25" customHeight="1" x14ac:dyDescent="0.2">
      <c r="B4204" s="75"/>
      <c r="C4204" s="67"/>
      <c r="D4204" s="75"/>
      <c r="E4204" s="67"/>
      <c r="F4204" s="67"/>
      <c r="G4204" s="70"/>
      <c r="H4204" s="70"/>
      <c r="I4204" s="70"/>
      <c r="J4204" s="70"/>
      <c r="K4204" s="70"/>
      <c r="L4204" s="67"/>
      <c r="M4204" s="67"/>
      <c r="N4204" s="72"/>
      <c r="O4204" s="72"/>
      <c r="P4204" s="67"/>
      <c r="Q4204" s="67"/>
      <c r="R4204" s="67"/>
      <c r="S4204" s="67"/>
      <c r="T4204" s="32"/>
      <c r="U4204" s="32"/>
      <c r="X4204" s="32"/>
      <c r="Y4204" s="32"/>
      <c r="Z4204" s="32"/>
      <c r="AA4204" s="32"/>
      <c r="AB4204" s="32"/>
    </row>
    <row r="4205" spans="2:28" ht="23.25" customHeight="1" x14ac:dyDescent="0.2">
      <c r="B4205" s="75"/>
      <c r="C4205" s="67"/>
      <c r="D4205" s="75"/>
      <c r="E4205" s="67"/>
      <c r="F4205" s="67"/>
      <c r="G4205" s="70"/>
      <c r="H4205" s="70"/>
      <c r="I4205" s="70"/>
      <c r="J4205" s="70"/>
      <c r="K4205" s="70"/>
      <c r="L4205" s="67"/>
      <c r="M4205" s="67"/>
      <c r="N4205" s="72"/>
      <c r="O4205" s="72"/>
      <c r="P4205" s="67"/>
      <c r="Q4205" s="67"/>
      <c r="R4205" s="67"/>
      <c r="S4205" s="67"/>
      <c r="T4205" s="32"/>
      <c r="U4205" s="32"/>
      <c r="X4205" s="32"/>
      <c r="Y4205" s="32"/>
      <c r="Z4205" s="32"/>
      <c r="AA4205" s="32"/>
      <c r="AB4205" s="32"/>
    </row>
    <row r="4206" spans="2:28" ht="23.25" customHeight="1" x14ac:dyDescent="0.2">
      <c r="B4206" s="75"/>
      <c r="C4206" s="67"/>
      <c r="D4206" s="75"/>
      <c r="E4206" s="67"/>
      <c r="F4206" s="67"/>
      <c r="G4206" s="70"/>
      <c r="H4206" s="70"/>
      <c r="I4206" s="70"/>
      <c r="J4206" s="70"/>
      <c r="K4206" s="70"/>
      <c r="L4206" s="67"/>
      <c r="M4206" s="67"/>
      <c r="N4206" s="72"/>
      <c r="O4206" s="72"/>
      <c r="P4206" s="67"/>
      <c r="Q4206" s="67"/>
      <c r="R4206" s="67"/>
      <c r="S4206" s="67"/>
      <c r="T4206" s="32"/>
      <c r="U4206" s="32"/>
      <c r="X4206" s="32"/>
      <c r="Y4206" s="32"/>
      <c r="Z4206" s="32"/>
      <c r="AA4206" s="32"/>
      <c r="AB4206" s="32"/>
    </row>
    <row r="4207" spans="2:28" ht="23.25" customHeight="1" x14ac:dyDescent="0.2">
      <c r="B4207" s="75"/>
      <c r="C4207" s="67"/>
      <c r="D4207" s="75"/>
      <c r="E4207" s="67"/>
      <c r="F4207" s="67"/>
      <c r="G4207" s="70"/>
      <c r="H4207" s="70"/>
      <c r="I4207" s="70"/>
      <c r="J4207" s="70"/>
      <c r="K4207" s="70"/>
      <c r="L4207" s="67"/>
      <c r="M4207" s="67"/>
      <c r="N4207" s="72"/>
      <c r="O4207" s="72"/>
      <c r="P4207" s="67"/>
      <c r="Q4207" s="67"/>
      <c r="R4207" s="67"/>
      <c r="S4207" s="67"/>
      <c r="T4207" s="32"/>
      <c r="U4207" s="32"/>
      <c r="X4207" s="32"/>
      <c r="Y4207" s="32"/>
      <c r="Z4207" s="32"/>
      <c r="AA4207" s="32"/>
      <c r="AB4207" s="32"/>
    </row>
    <row r="4208" spans="2:28" ht="23.25" customHeight="1" x14ac:dyDescent="0.2">
      <c r="B4208" s="75"/>
      <c r="C4208" s="67"/>
      <c r="D4208" s="75"/>
      <c r="E4208" s="67"/>
      <c r="F4208" s="67"/>
      <c r="G4208" s="70"/>
      <c r="H4208" s="70"/>
      <c r="I4208" s="70"/>
      <c r="J4208" s="70"/>
      <c r="K4208" s="70"/>
      <c r="L4208" s="67"/>
      <c r="M4208" s="67"/>
      <c r="N4208" s="72"/>
      <c r="O4208" s="72"/>
      <c r="P4208" s="67"/>
      <c r="Q4208" s="67"/>
      <c r="R4208" s="67"/>
      <c r="S4208" s="67"/>
      <c r="T4208" s="32"/>
      <c r="U4208" s="32"/>
      <c r="X4208" s="32"/>
      <c r="Y4208" s="32"/>
      <c r="Z4208" s="32"/>
      <c r="AA4208" s="32"/>
      <c r="AB4208" s="32"/>
    </row>
    <row r="4209" spans="2:28" ht="23.25" customHeight="1" x14ac:dyDescent="0.2">
      <c r="B4209" s="75"/>
      <c r="C4209" s="67"/>
      <c r="D4209" s="75"/>
      <c r="E4209" s="67"/>
      <c r="F4209" s="67"/>
      <c r="G4209" s="70"/>
      <c r="H4209" s="70"/>
      <c r="I4209" s="70"/>
      <c r="J4209" s="70"/>
      <c r="K4209" s="70"/>
      <c r="L4209" s="67"/>
      <c r="M4209" s="67"/>
      <c r="N4209" s="72"/>
      <c r="O4209" s="72"/>
      <c r="P4209" s="67"/>
      <c r="Q4209" s="67"/>
      <c r="R4209" s="67"/>
      <c r="S4209" s="67"/>
      <c r="T4209" s="32"/>
      <c r="U4209" s="32"/>
      <c r="X4209" s="32"/>
      <c r="Y4209" s="32"/>
      <c r="Z4209" s="32"/>
      <c r="AA4209" s="32"/>
      <c r="AB4209" s="32"/>
    </row>
    <row r="4210" spans="2:28" ht="23.25" customHeight="1" x14ac:dyDescent="0.2">
      <c r="B4210" s="75"/>
      <c r="C4210" s="67"/>
      <c r="D4210" s="75"/>
      <c r="E4210" s="67"/>
      <c r="F4210" s="67"/>
      <c r="G4210" s="70"/>
      <c r="H4210" s="70"/>
      <c r="I4210" s="70"/>
      <c r="J4210" s="70"/>
      <c r="K4210" s="70"/>
      <c r="L4210" s="67"/>
      <c r="M4210" s="67"/>
      <c r="N4210" s="72"/>
      <c r="O4210" s="72"/>
      <c r="P4210" s="67"/>
      <c r="Q4210" s="67"/>
      <c r="R4210" s="67"/>
      <c r="S4210" s="67"/>
      <c r="T4210" s="32"/>
      <c r="U4210" s="32"/>
      <c r="X4210" s="32"/>
      <c r="Y4210" s="32"/>
      <c r="Z4210" s="32"/>
      <c r="AA4210" s="32"/>
      <c r="AB4210" s="32"/>
    </row>
    <row r="4211" spans="2:28" ht="23.25" customHeight="1" x14ac:dyDescent="0.2">
      <c r="B4211" s="75"/>
      <c r="C4211" s="67"/>
      <c r="D4211" s="75"/>
      <c r="E4211" s="67"/>
      <c r="F4211" s="67"/>
      <c r="G4211" s="70"/>
      <c r="H4211" s="70"/>
      <c r="I4211" s="70"/>
      <c r="J4211" s="70"/>
      <c r="K4211" s="70"/>
      <c r="L4211" s="67"/>
      <c r="M4211" s="67"/>
      <c r="N4211" s="72"/>
      <c r="O4211" s="72"/>
      <c r="P4211" s="67"/>
      <c r="Q4211" s="67"/>
      <c r="R4211" s="67"/>
      <c r="S4211" s="67"/>
      <c r="T4211" s="32"/>
      <c r="U4211" s="32"/>
      <c r="X4211" s="32"/>
      <c r="Y4211" s="32"/>
      <c r="Z4211" s="32"/>
      <c r="AA4211" s="32"/>
      <c r="AB4211" s="32"/>
    </row>
    <row r="4212" spans="2:28" ht="23.25" customHeight="1" x14ac:dyDescent="0.2">
      <c r="B4212" s="75"/>
      <c r="C4212" s="67"/>
      <c r="D4212" s="75"/>
      <c r="E4212" s="67"/>
      <c r="F4212" s="67"/>
      <c r="G4212" s="70"/>
      <c r="H4212" s="70"/>
      <c r="I4212" s="70"/>
      <c r="J4212" s="70"/>
      <c r="K4212" s="70"/>
      <c r="L4212" s="67"/>
      <c r="M4212" s="67"/>
      <c r="N4212" s="72"/>
      <c r="O4212" s="72"/>
      <c r="P4212" s="67"/>
      <c r="Q4212" s="67"/>
      <c r="R4212" s="67"/>
      <c r="S4212" s="67"/>
      <c r="T4212" s="32"/>
      <c r="U4212" s="32"/>
      <c r="X4212" s="32"/>
      <c r="Y4212" s="32"/>
      <c r="Z4212" s="32"/>
      <c r="AA4212" s="32"/>
      <c r="AB4212" s="32"/>
    </row>
    <row r="4213" spans="2:28" ht="23.25" customHeight="1" x14ac:dyDescent="0.2">
      <c r="B4213" s="75"/>
      <c r="C4213" s="67"/>
      <c r="D4213" s="75"/>
      <c r="E4213" s="67"/>
      <c r="F4213" s="67"/>
      <c r="G4213" s="70"/>
      <c r="H4213" s="70"/>
      <c r="I4213" s="70"/>
      <c r="J4213" s="70"/>
      <c r="K4213" s="70"/>
      <c r="L4213" s="67"/>
      <c r="M4213" s="67"/>
      <c r="N4213" s="72"/>
      <c r="O4213" s="72"/>
      <c r="P4213" s="67"/>
      <c r="Q4213" s="67"/>
      <c r="R4213" s="67"/>
      <c r="S4213" s="67"/>
      <c r="T4213" s="32"/>
      <c r="U4213" s="32"/>
      <c r="X4213" s="32"/>
      <c r="Y4213" s="32"/>
      <c r="Z4213" s="32"/>
      <c r="AA4213" s="32"/>
      <c r="AB4213" s="32"/>
    </row>
    <row r="4214" spans="2:28" ht="23.25" customHeight="1" x14ac:dyDescent="0.2">
      <c r="B4214" s="75"/>
      <c r="C4214" s="67"/>
      <c r="D4214" s="75"/>
      <c r="E4214" s="67"/>
      <c r="F4214" s="67"/>
      <c r="G4214" s="70"/>
      <c r="H4214" s="70"/>
      <c r="I4214" s="70"/>
      <c r="J4214" s="70"/>
      <c r="K4214" s="70"/>
      <c r="L4214" s="67"/>
      <c r="M4214" s="67"/>
      <c r="N4214" s="72"/>
      <c r="O4214" s="72"/>
      <c r="P4214" s="67"/>
      <c r="Q4214" s="67"/>
      <c r="R4214" s="67"/>
      <c r="S4214" s="67"/>
      <c r="T4214" s="32"/>
      <c r="U4214" s="32"/>
      <c r="X4214" s="32"/>
      <c r="Y4214" s="32"/>
      <c r="Z4214" s="32"/>
      <c r="AA4214" s="32"/>
      <c r="AB4214" s="32"/>
    </row>
    <row r="4215" spans="2:28" ht="23.25" customHeight="1" x14ac:dyDescent="0.2">
      <c r="B4215" s="75"/>
      <c r="C4215" s="67"/>
      <c r="D4215" s="75"/>
      <c r="E4215" s="67"/>
      <c r="F4215" s="67"/>
      <c r="G4215" s="70"/>
      <c r="H4215" s="70"/>
      <c r="I4215" s="70"/>
      <c r="J4215" s="70"/>
      <c r="K4215" s="70"/>
      <c r="L4215" s="67"/>
      <c r="M4215" s="67"/>
      <c r="N4215" s="72"/>
      <c r="O4215" s="72"/>
      <c r="P4215" s="67"/>
      <c r="Q4215" s="67"/>
      <c r="R4215" s="67"/>
      <c r="S4215" s="67"/>
      <c r="T4215" s="32"/>
      <c r="U4215" s="32"/>
      <c r="X4215" s="32"/>
      <c r="Y4215" s="32"/>
      <c r="Z4215" s="32"/>
      <c r="AA4215" s="32"/>
      <c r="AB4215" s="32"/>
    </row>
    <row r="4216" spans="2:28" ht="23.25" customHeight="1" x14ac:dyDescent="0.2">
      <c r="B4216" s="75"/>
      <c r="C4216" s="67"/>
      <c r="D4216" s="75"/>
      <c r="E4216" s="67"/>
      <c r="F4216" s="67"/>
      <c r="G4216" s="70"/>
      <c r="H4216" s="70"/>
      <c r="I4216" s="70"/>
      <c r="J4216" s="70"/>
      <c r="K4216" s="70"/>
      <c r="L4216" s="67"/>
      <c r="M4216" s="67"/>
      <c r="N4216" s="72"/>
      <c r="O4216" s="72"/>
      <c r="P4216" s="67"/>
      <c r="Q4216" s="67"/>
      <c r="R4216" s="67"/>
      <c r="S4216" s="67"/>
      <c r="T4216" s="32"/>
      <c r="U4216" s="32"/>
      <c r="X4216" s="32"/>
      <c r="Y4216" s="32"/>
      <c r="Z4216" s="32"/>
      <c r="AA4216" s="32"/>
      <c r="AB4216" s="32"/>
    </row>
    <row r="4217" spans="2:28" ht="23.25" customHeight="1" x14ac:dyDescent="0.2">
      <c r="B4217" s="75"/>
      <c r="C4217" s="67"/>
      <c r="D4217" s="75"/>
      <c r="E4217" s="67"/>
      <c r="F4217" s="67"/>
      <c r="G4217" s="70"/>
      <c r="H4217" s="70"/>
      <c r="I4217" s="70"/>
      <c r="J4217" s="70"/>
      <c r="K4217" s="70"/>
      <c r="L4217" s="67"/>
      <c r="M4217" s="67"/>
      <c r="N4217" s="72"/>
      <c r="O4217" s="72"/>
      <c r="P4217" s="67"/>
      <c r="Q4217" s="67"/>
      <c r="R4217" s="67"/>
      <c r="S4217" s="67"/>
      <c r="T4217" s="32"/>
      <c r="U4217" s="32"/>
      <c r="X4217" s="32"/>
      <c r="Y4217" s="32"/>
      <c r="Z4217" s="32"/>
      <c r="AA4217" s="32"/>
      <c r="AB4217" s="32"/>
    </row>
    <row r="4218" spans="2:28" ht="23.25" customHeight="1" x14ac:dyDescent="0.2">
      <c r="B4218" s="75"/>
      <c r="C4218" s="67"/>
      <c r="D4218" s="75"/>
      <c r="E4218" s="67"/>
      <c r="F4218" s="67"/>
      <c r="G4218" s="70"/>
      <c r="H4218" s="70"/>
      <c r="I4218" s="70"/>
      <c r="J4218" s="70"/>
      <c r="K4218" s="70"/>
      <c r="L4218" s="67"/>
      <c r="M4218" s="67"/>
      <c r="N4218" s="72"/>
      <c r="O4218" s="72"/>
      <c r="P4218" s="67"/>
      <c r="Q4218" s="67"/>
      <c r="R4218" s="67"/>
      <c r="S4218" s="67"/>
      <c r="T4218" s="32"/>
      <c r="U4218" s="32"/>
      <c r="X4218" s="32"/>
      <c r="Y4218" s="32"/>
      <c r="Z4218" s="32"/>
      <c r="AA4218" s="32"/>
      <c r="AB4218" s="32"/>
    </row>
    <row r="4219" spans="2:28" ht="23.25" customHeight="1" x14ac:dyDescent="0.2">
      <c r="B4219" s="75"/>
      <c r="C4219" s="67"/>
      <c r="D4219" s="75"/>
      <c r="E4219" s="67"/>
      <c r="F4219" s="67"/>
      <c r="G4219" s="70"/>
      <c r="H4219" s="70"/>
      <c r="I4219" s="70"/>
      <c r="J4219" s="70"/>
      <c r="K4219" s="70"/>
      <c r="L4219" s="67"/>
      <c r="M4219" s="67"/>
      <c r="N4219" s="72"/>
      <c r="O4219" s="72"/>
      <c r="P4219" s="67"/>
      <c r="Q4219" s="67"/>
      <c r="R4219" s="67"/>
      <c r="S4219" s="67"/>
      <c r="T4219" s="32"/>
      <c r="U4219" s="32"/>
      <c r="X4219" s="32"/>
      <c r="Y4219" s="32"/>
      <c r="Z4219" s="32"/>
      <c r="AA4219" s="32"/>
      <c r="AB4219" s="32"/>
    </row>
    <row r="4220" spans="2:28" ht="23.25" customHeight="1" x14ac:dyDescent="0.2">
      <c r="B4220" s="75"/>
      <c r="C4220" s="67"/>
      <c r="D4220" s="75"/>
      <c r="E4220" s="67"/>
      <c r="F4220" s="67"/>
      <c r="G4220" s="70"/>
      <c r="H4220" s="70"/>
      <c r="I4220" s="70"/>
      <c r="J4220" s="70"/>
      <c r="K4220" s="70"/>
      <c r="L4220" s="67"/>
      <c r="M4220" s="67"/>
      <c r="N4220" s="72"/>
      <c r="O4220" s="72"/>
      <c r="P4220" s="67"/>
      <c r="Q4220" s="67"/>
      <c r="R4220" s="67"/>
      <c r="S4220" s="67"/>
      <c r="T4220" s="32"/>
      <c r="U4220" s="32"/>
      <c r="X4220" s="32"/>
      <c r="Y4220" s="32"/>
      <c r="Z4220" s="32"/>
      <c r="AA4220" s="32"/>
      <c r="AB4220" s="32"/>
    </row>
    <row r="4221" spans="2:28" ht="23.25" customHeight="1" x14ac:dyDescent="0.2">
      <c r="B4221" s="75"/>
      <c r="C4221" s="67"/>
      <c r="D4221" s="75"/>
      <c r="E4221" s="67"/>
      <c r="F4221" s="67"/>
      <c r="G4221" s="70"/>
      <c r="H4221" s="70"/>
      <c r="I4221" s="70"/>
      <c r="J4221" s="70"/>
      <c r="K4221" s="70"/>
      <c r="L4221" s="67"/>
      <c r="M4221" s="67"/>
      <c r="N4221" s="72"/>
      <c r="O4221" s="72"/>
      <c r="P4221" s="67"/>
      <c r="Q4221" s="67"/>
      <c r="R4221" s="67"/>
      <c r="S4221" s="67"/>
      <c r="T4221" s="32"/>
      <c r="U4221" s="32"/>
      <c r="X4221" s="32"/>
      <c r="Y4221" s="32"/>
      <c r="Z4221" s="32"/>
      <c r="AA4221" s="32"/>
      <c r="AB4221" s="32"/>
    </row>
    <row r="4222" spans="2:28" ht="23.25" customHeight="1" x14ac:dyDescent="0.2">
      <c r="B4222" s="75"/>
      <c r="C4222" s="67"/>
      <c r="D4222" s="75"/>
      <c r="E4222" s="67"/>
      <c r="F4222" s="67"/>
      <c r="G4222" s="70"/>
      <c r="H4222" s="70"/>
      <c r="I4222" s="70"/>
      <c r="J4222" s="70"/>
      <c r="K4222" s="70"/>
      <c r="L4222" s="67"/>
      <c r="M4222" s="67"/>
      <c r="N4222" s="72"/>
      <c r="O4222" s="72"/>
      <c r="P4222" s="67"/>
      <c r="Q4222" s="67"/>
      <c r="R4222" s="67"/>
      <c r="S4222" s="67"/>
      <c r="T4222" s="32"/>
      <c r="U4222" s="32"/>
      <c r="X4222" s="32"/>
      <c r="Y4222" s="32"/>
      <c r="Z4222" s="32"/>
      <c r="AA4222" s="32"/>
      <c r="AB4222" s="32"/>
    </row>
    <row r="4223" spans="2:28" ht="23.25" customHeight="1" x14ac:dyDescent="0.2">
      <c r="B4223" s="75"/>
      <c r="C4223" s="67"/>
      <c r="D4223" s="75"/>
      <c r="E4223" s="67"/>
      <c r="F4223" s="67"/>
      <c r="G4223" s="70"/>
      <c r="H4223" s="70"/>
      <c r="I4223" s="70"/>
      <c r="J4223" s="70"/>
      <c r="K4223" s="70"/>
      <c r="L4223" s="67"/>
      <c r="M4223" s="67"/>
      <c r="N4223" s="72"/>
      <c r="O4223" s="72"/>
      <c r="P4223" s="67"/>
      <c r="Q4223" s="67"/>
      <c r="R4223" s="67"/>
      <c r="S4223" s="67"/>
      <c r="T4223" s="32"/>
      <c r="U4223" s="32"/>
      <c r="X4223" s="32"/>
      <c r="Y4223" s="32"/>
      <c r="Z4223" s="32"/>
      <c r="AA4223" s="32"/>
      <c r="AB4223" s="32"/>
    </row>
    <row r="4224" spans="2:28" ht="23.25" customHeight="1" x14ac:dyDescent="0.2">
      <c r="B4224" s="75"/>
      <c r="C4224" s="67"/>
      <c r="D4224" s="75"/>
      <c r="E4224" s="67"/>
      <c r="F4224" s="67"/>
      <c r="G4224" s="70"/>
      <c r="H4224" s="70"/>
      <c r="I4224" s="70"/>
      <c r="J4224" s="70"/>
      <c r="K4224" s="70"/>
      <c r="L4224" s="67"/>
      <c r="M4224" s="67"/>
      <c r="N4224" s="72"/>
      <c r="O4224" s="72"/>
      <c r="P4224" s="67"/>
      <c r="Q4224" s="67"/>
      <c r="R4224" s="67"/>
      <c r="S4224" s="67"/>
      <c r="T4224" s="32"/>
      <c r="U4224" s="32"/>
      <c r="X4224" s="32"/>
      <c r="Y4224" s="32"/>
      <c r="Z4224" s="32"/>
      <c r="AA4224" s="32"/>
      <c r="AB4224" s="32"/>
    </row>
    <row r="4225" spans="2:28" ht="23.25" customHeight="1" x14ac:dyDescent="0.2">
      <c r="B4225" s="75"/>
      <c r="C4225" s="67"/>
      <c r="D4225" s="75"/>
      <c r="E4225" s="67"/>
      <c r="F4225" s="67"/>
      <c r="G4225" s="70"/>
      <c r="H4225" s="70"/>
      <c r="I4225" s="70"/>
      <c r="J4225" s="70"/>
      <c r="K4225" s="70"/>
      <c r="L4225" s="67"/>
      <c r="M4225" s="67"/>
      <c r="N4225" s="72"/>
      <c r="O4225" s="72"/>
      <c r="P4225" s="67"/>
      <c r="Q4225" s="67"/>
      <c r="R4225" s="67"/>
      <c r="S4225" s="67"/>
      <c r="T4225" s="32"/>
      <c r="U4225" s="32"/>
      <c r="X4225" s="32"/>
      <c r="Y4225" s="32"/>
      <c r="Z4225" s="32"/>
      <c r="AA4225" s="32"/>
      <c r="AB4225" s="32"/>
    </row>
    <row r="4226" spans="2:28" ht="23.25" customHeight="1" x14ac:dyDescent="0.2">
      <c r="B4226" s="75"/>
      <c r="C4226" s="67"/>
      <c r="D4226" s="75"/>
      <c r="E4226" s="67"/>
      <c r="F4226" s="67"/>
      <c r="G4226" s="70"/>
      <c r="H4226" s="70"/>
      <c r="I4226" s="70"/>
      <c r="J4226" s="70"/>
      <c r="K4226" s="70"/>
      <c r="L4226" s="67"/>
      <c r="M4226" s="67"/>
      <c r="N4226" s="72"/>
      <c r="O4226" s="72"/>
      <c r="P4226" s="67"/>
      <c r="Q4226" s="67"/>
      <c r="R4226" s="67"/>
      <c r="S4226" s="67"/>
      <c r="T4226" s="32"/>
      <c r="U4226" s="32"/>
      <c r="X4226" s="32"/>
      <c r="Y4226" s="32"/>
      <c r="Z4226" s="32"/>
      <c r="AA4226" s="32"/>
      <c r="AB4226" s="32"/>
    </row>
    <row r="4227" spans="2:28" ht="23.25" customHeight="1" x14ac:dyDescent="0.2">
      <c r="B4227" s="75"/>
      <c r="C4227" s="67"/>
      <c r="D4227" s="75"/>
      <c r="E4227" s="67"/>
      <c r="F4227" s="67"/>
      <c r="G4227" s="70"/>
      <c r="H4227" s="70"/>
      <c r="I4227" s="70"/>
      <c r="J4227" s="70"/>
      <c r="K4227" s="70"/>
      <c r="L4227" s="67"/>
      <c r="M4227" s="67"/>
      <c r="N4227" s="72"/>
      <c r="O4227" s="72"/>
      <c r="P4227" s="67"/>
      <c r="Q4227" s="67"/>
      <c r="R4227" s="67"/>
      <c r="S4227" s="67"/>
      <c r="T4227" s="32"/>
      <c r="U4227" s="32"/>
      <c r="X4227" s="32"/>
      <c r="Y4227" s="32"/>
      <c r="Z4227" s="32"/>
      <c r="AA4227" s="32"/>
      <c r="AB4227" s="32"/>
    </row>
    <row r="4228" spans="2:28" ht="23.25" customHeight="1" x14ac:dyDescent="0.2">
      <c r="B4228" s="75"/>
      <c r="C4228" s="67"/>
      <c r="D4228" s="75"/>
      <c r="E4228" s="67"/>
      <c r="F4228" s="67"/>
      <c r="G4228" s="70"/>
      <c r="H4228" s="70"/>
      <c r="I4228" s="70"/>
      <c r="J4228" s="70"/>
      <c r="K4228" s="70"/>
      <c r="L4228" s="67"/>
      <c r="M4228" s="67"/>
      <c r="N4228" s="72"/>
      <c r="O4228" s="72"/>
      <c r="P4228" s="67"/>
      <c r="Q4228" s="67"/>
      <c r="R4228" s="67"/>
      <c r="S4228" s="67"/>
      <c r="T4228" s="32"/>
      <c r="U4228" s="32"/>
      <c r="X4228" s="32"/>
      <c r="Y4228" s="32"/>
      <c r="Z4228" s="32"/>
      <c r="AA4228" s="32"/>
      <c r="AB4228" s="32"/>
    </row>
    <row r="4229" spans="2:28" ht="23.25" customHeight="1" x14ac:dyDescent="0.2">
      <c r="B4229" s="75"/>
      <c r="C4229" s="67"/>
      <c r="D4229" s="75"/>
      <c r="E4229" s="67"/>
      <c r="F4229" s="67"/>
      <c r="G4229" s="70"/>
      <c r="H4229" s="70"/>
      <c r="I4229" s="70"/>
      <c r="J4229" s="70"/>
      <c r="K4229" s="70"/>
      <c r="L4229" s="67"/>
      <c r="M4229" s="67"/>
      <c r="N4229" s="72"/>
      <c r="O4229" s="72"/>
      <c r="P4229" s="67"/>
      <c r="Q4229" s="67"/>
      <c r="R4229" s="67"/>
      <c r="S4229" s="67"/>
      <c r="T4229" s="32"/>
      <c r="U4229" s="32"/>
      <c r="X4229" s="32"/>
      <c r="Y4229" s="32"/>
      <c r="Z4229" s="32"/>
      <c r="AA4229" s="32"/>
      <c r="AB4229" s="32"/>
    </row>
    <row r="4230" spans="2:28" ht="23.25" customHeight="1" x14ac:dyDescent="0.2">
      <c r="B4230" s="75"/>
      <c r="C4230" s="67"/>
      <c r="D4230" s="75"/>
      <c r="E4230" s="67"/>
      <c r="F4230" s="67"/>
      <c r="G4230" s="70"/>
      <c r="H4230" s="70"/>
      <c r="I4230" s="70"/>
      <c r="J4230" s="70"/>
      <c r="K4230" s="70"/>
      <c r="L4230" s="67"/>
      <c r="M4230" s="67"/>
      <c r="N4230" s="72"/>
      <c r="O4230" s="72"/>
      <c r="P4230" s="67"/>
      <c r="Q4230" s="67"/>
      <c r="R4230" s="67"/>
      <c r="S4230" s="67"/>
      <c r="T4230" s="32"/>
      <c r="U4230" s="32"/>
      <c r="X4230" s="32"/>
      <c r="Y4230" s="32"/>
      <c r="Z4230" s="32"/>
      <c r="AA4230" s="32"/>
      <c r="AB4230" s="32"/>
    </row>
    <row r="4231" spans="2:28" ht="23.25" customHeight="1" x14ac:dyDescent="0.2">
      <c r="B4231" s="75"/>
      <c r="C4231" s="67"/>
      <c r="D4231" s="75"/>
      <c r="E4231" s="67"/>
      <c r="F4231" s="67"/>
      <c r="G4231" s="70"/>
      <c r="H4231" s="70"/>
      <c r="I4231" s="70"/>
      <c r="J4231" s="70"/>
      <c r="K4231" s="70"/>
      <c r="L4231" s="67"/>
      <c r="M4231" s="67"/>
      <c r="N4231" s="72"/>
      <c r="O4231" s="72"/>
      <c r="P4231" s="67"/>
      <c r="Q4231" s="67"/>
      <c r="R4231" s="67"/>
      <c r="S4231" s="67"/>
      <c r="T4231" s="32"/>
      <c r="U4231" s="32"/>
      <c r="X4231" s="32"/>
      <c r="Y4231" s="32"/>
      <c r="Z4231" s="32"/>
      <c r="AA4231" s="32"/>
      <c r="AB4231" s="32"/>
    </row>
    <row r="4232" spans="2:28" ht="23.25" customHeight="1" x14ac:dyDescent="0.2">
      <c r="B4232" s="75"/>
      <c r="C4232" s="67"/>
      <c r="D4232" s="75"/>
      <c r="E4232" s="67"/>
      <c r="F4232" s="67"/>
      <c r="G4232" s="70"/>
      <c r="H4232" s="70"/>
      <c r="I4232" s="70"/>
      <c r="J4232" s="70"/>
      <c r="K4232" s="70"/>
      <c r="L4232" s="67"/>
      <c r="M4232" s="67"/>
      <c r="N4232" s="72"/>
      <c r="O4232" s="72"/>
      <c r="P4232" s="67"/>
      <c r="Q4232" s="67"/>
      <c r="R4232" s="67"/>
      <c r="S4232" s="67"/>
      <c r="T4232" s="32"/>
      <c r="U4232" s="32"/>
      <c r="X4232" s="32"/>
      <c r="Y4232" s="32"/>
      <c r="Z4232" s="32"/>
      <c r="AA4232" s="32"/>
      <c r="AB4232" s="32"/>
    </row>
    <row r="4233" spans="2:28" ht="23.25" customHeight="1" x14ac:dyDescent="0.2">
      <c r="B4233" s="75"/>
      <c r="C4233" s="67"/>
      <c r="D4233" s="75"/>
      <c r="E4233" s="67"/>
      <c r="F4233" s="67"/>
      <c r="G4233" s="70"/>
      <c r="H4233" s="70"/>
      <c r="I4233" s="70"/>
      <c r="J4233" s="70"/>
      <c r="K4233" s="70"/>
      <c r="L4233" s="67"/>
      <c r="M4233" s="67"/>
      <c r="N4233" s="72"/>
      <c r="O4233" s="72"/>
      <c r="P4233" s="67"/>
      <c r="Q4233" s="67"/>
      <c r="R4233" s="67"/>
      <c r="S4233" s="67"/>
      <c r="T4233" s="32"/>
      <c r="U4233" s="32"/>
      <c r="X4233" s="32"/>
      <c r="Y4233" s="32"/>
      <c r="Z4233" s="32"/>
      <c r="AA4233" s="32"/>
      <c r="AB4233" s="32"/>
    </row>
    <row r="4234" spans="2:28" ht="23.25" customHeight="1" x14ac:dyDescent="0.2">
      <c r="B4234" s="75"/>
      <c r="C4234" s="67"/>
      <c r="D4234" s="75"/>
      <c r="E4234" s="67"/>
      <c r="F4234" s="67"/>
      <c r="G4234" s="70"/>
      <c r="H4234" s="70"/>
      <c r="I4234" s="70"/>
      <c r="J4234" s="70"/>
      <c r="K4234" s="70"/>
      <c r="L4234" s="67"/>
      <c r="M4234" s="67"/>
      <c r="N4234" s="72"/>
      <c r="O4234" s="72"/>
      <c r="P4234" s="67"/>
      <c r="Q4234" s="67"/>
      <c r="R4234" s="67"/>
      <c r="S4234" s="67"/>
      <c r="T4234" s="32"/>
      <c r="U4234" s="32"/>
      <c r="X4234" s="32"/>
      <c r="Y4234" s="32"/>
      <c r="Z4234" s="32"/>
      <c r="AA4234" s="32"/>
      <c r="AB4234" s="32"/>
    </row>
    <row r="4235" spans="2:28" ht="23.25" customHeight="1" x14ac:dyDescent="0.2">
      <c r="B4235" s="75"/>
      <c r="C4235" s="67"/>
      <c r="D4235" s="75"/>
      <c r="E4235" s="67"/>
      <c r="F4235" s="67"/>
      <c r="G4235" s="70"/>
      <c r="H4235" s="70"/>
      <c r="I4235" s="70"/>
      <c r="J4235" s="70"/>
      <c r="K4235" s="70"/>
      <c r="L4235" s="67"/>
      <c r="M4235" s="67"/>
      <c r="N4235" s="72"/>
      <c r="O4235" s="72"/>
      <c r="P4235" s="67"/>
      <c r="Q4235" s="67"/>
      <c r="R4235" s="67"/>
      <c r="S4235" s="67"/>
      <c r="T4235" s="32"/>
      <c r="U4235" s="32"/>
      <c r="X4235" s="32"/>
      <c r="Y4235" s="32"/>
      <c r="Z4235" s="32"/>
      <c r="AA4235" s="32"/>
      <c r="AB4235" s="32"/>
    </row>
    <row r="4236" spans="2:28" ht="23.25" customHeight="1" x14ac:dyDescent="0.2">
      <c r="B4236" s="75"/>
      <c r="C4236" s="67"/>
      <c r="D4236" s="75"/>
      <c r="E4236" s="67"/>
      <c r="F4236" s="67"/>
      <c r="G4236" s="70"/>
      <c r="H4236" s="70"/>
      <c r="I4236" s="70"/>
      <c r="J4236" s="70"/>
      <c r="K4236" s="70"/>
      <c r="L4236" s="67"/>
      <c r="M4236" s="67"/>
      <c r="N4236" s="72"/>
      <c r="O4236" s="72"/>
      <c r="P4236" s="67"/>
      <c r="Q4236" s="67"/>
      <c r="R4236" s="67"/>
      <c r="S4236" s="67"/>
      <c r="T4236" s="32"/>
      <c r="U4236" s="32"/>
      <c r="X4236" s="32"/>
      <c r="Y4236" s="32"/>
      <c r="Z4236" s="32"/>
      <c r="AA4236" s="32"/>
      <c r="AB4236" s="32"/>
    </row>
    <row r="4237" spans="2:28" ht="23.25" customHeight="1" x14ac:dyDescent="0.2">
      <c r="B4237" s="75"/>
      <c r="C4237" s="67"/>
      <c r="D4237" s="75"/>
      <c r="E4237" s="67"/>
      <c r="F4237" s="67"/>
      <c r="G4237" s="70"/>
      <c r="H4237" s="70"/>
      <c r="I4237" s="70"/>
      <c r="J4237" s="70"/>
      <c r="K4237" s="70"/>
      <c r="L4237" s="67"/>
      <c r="M4237" s="67"/>
      <c r="N4237" s="72"/>
      <c r="O4237" s="72"/>
      <c r="P4237" s="67"/>
      <c r="Q4237" s="67"/>
      <c r="R4237" s="67"/>
      <c r="S4237" s="67"/>
      <c r="T4237" s="32"/>
      <c r="U4237" s="32"/>
      <c r="X4237" s="32"/>
      <c r="Y4237" s="32"/>
      <c r="Z4237" s="32"/>
      <c r="AA4237" s="32"/>
      <c r="AB4237" s="32"/>
    </row>
    <row r="4238" spans="2:28" ht="23.25" customHeight="1" x14ac:dyDescent="0.2">
      <c r="B4238" s="75"/>
      <c r="C4238" s="67"/>
      <c r="D4238" s="75"/>
      <c r="E4238" s="67"/>
      <c r="F4238" s="67"/>
      <c r="G4238" s="70"/>
      <c r="H4238" s="70"/>
      <c r="I4238" s="70"/>
      <c r="J4238" s="70"/>
      <c r="K4238" s="70"/>
      <c r="L4238" s="67"/>
      <c r="M4238" s="67"/>
      <c r="N4238" s="72"/>
      <c r="O4238" s="72"/>
      <c r="P4238" s="67"/>
      <c r="Q4238" s="67"/>
      <c r="R4238" s="67"/>
      <c r="S4238" s="67"/>
      <c r="T4238" s="32"/>
      <c r="U4238" s="32"/>
      <c r="X4238" s="32"/>
      <c r="Y4238" s="32"/>
      <c r="Z4238" s="32"/>
      <c r="AA4238" s="32"/>
      <c r="AB4238" s="32"/>
    </row>
    <row r="4239" spans="2:28" ht="23.25" customHeight="1" x14ac:dyDescent="0.2">
      <c r="B4239" s="75"/>
      <c r="C4239" s="67"/>
      <c r="D4239" s="75"/>
      <c r="E4239" s="67"/>
      <c r="F4239" s="67"/>
      <c r="G4239" s="70"/>
      <c r="H4239" s="70"/>
      <c r="I4239" s="70"/>
      <c r="J4239" s="70"/>
      <c r="K4239" s="70"/>
      <c r="L4239" s="67"/>
      <c r="M4239" s="67"/>
      <c r="N4239" s="72"/>
      <c r="O4239" s="72"/>
      <c r="P4239" s="67"/>
      <c r="Q4239" s="67"/>
      <c r="R4239" s="67"/>
      <c r="S4239" s="67"/>
      <c r="T4239" s="32"/>
      <c r="U4239" s="32"/>
      <c r="X4239" s="32"/>
      <c r="Y4239" s="32"/>
      <c r="Z4239" s="32"/>
      <c r="AA4239" s="32"/>
      <c r="AB4239" s="32"/>
    </row>
    <row r="4240" spans="2:28" ht="23.25" customHeight="1" x14ac:dyDescent="0.2">
      <c r="B4240" s="75"/>
      <c r="C4240" s="67"/>
      <c r="D4240" s="75"/>
      <c r="E4240" s="67"/>
      <c r="F4240" s="67"/>
      <c r="G4240" s="70"/>
      <c r="H4240" s="70"/>
      <c r="I4240" s="70"/>
      <c r="J4240" s="70"/>
      <c r="K4240" s="70"/>
      <c r="L4240" s="67"/>
      <c r="M4240" s="67"/>
      <c r="N4240" s="72"/>
      <c r="O4240" s="72"/>
      <c r="P4240" s="67"/>
      <c r="Q4240" s="67"/>
      <c r="R4240" s="67"/>
      <c r="S4240" s="67"/>
      <c r="T4240" s="32"/>
      <c r="U4240" s="32"/>
      <c r="X4240" s="32"/>
      <c r="Y4240" s="32"/>
      <c r="Z4240" s="32"/>
      <c r="AA4240" s="32"/>
      <c r="AB4240" s="32"/>
    </row>
    <row r="4241" spans="2:28" ht="23.25" customHeight="1" x14ac:dyDescent="0.2">
      <c r="B4241" s="75"/>
      <c r="C4241" s="67"/>
      <c r="D4241" s="75"/>
      <c r="E4241" s="67"/>
      <c r="F4241" s="67"/>
      <c r="G4241" s="70"/>
      <c r="H4241" s="70"/>
      <c r="I4241" s="70"/>
      <c r="J4241" s="70"/>
      <c r="K4241" s="70"/>
      <c r="L4241" s="67"/>
      <c r="M4241" s="67"/>
      <c r="N4241" s="72"/>
      <c r="O4241" s="72"/>
      <c r="P4241" s="67"/>
      <c r="Q4241" s="67"/>
      <c r="R4241" s="67"/>
      <c r="S4241" s="67"/>
      <c r="T4241" s="32"/>
      <c r="U4241" s="32"/>
      <c r="X4241" s="32"/>
      <c r="Y4241" s="32"/>
      <c r="Z4241" s="32"/>
      <c r="AA4241" s="32"/>
      <c r="AB4241" s="32"/>
    </row>
    <row r="4242" spans="2:28" ht="23.25" customHeight="1" x14ac:dyDescent="0.2">
      <c r="B4242" s="75"/>
      <c r="C4242" s="67"/>
      <c r="D4242" s="75"/>
      <c r="E4242" s="67"/>
      <c r="F4242" s="67"/>
      <c r="G4242" s="70"/>
      <c r="H4242" s="70"/>
      <c r="I4242" s="70"/>
      <c r="J4242" s="70"/>
      <c r="K4242" s="70"/>
      <c r="L4242" s="67"/>
      <c r="M4242" s="67"/>
      <c r="N4242" s="72"/>
      <c r="O4242" s="72"/>
      <c r="P4242" s="67"/>
      <c r="Q4242" s="67"/>
      <c r="R4242" s="67"/>
      <c r="S4242" s="67"/>
      <c r="T4242" s="32"/>
      <c r="U4242" s="32"/>
      <c r="X4242" s="32"/>
      <c r="Y4242" s="32"/>
      <c r="Z4242" s="32"/>
      <c r="AA4242" s="32"/>
      <c r="AB4242" s="32"/>
    </row>
    <row r="4243" spans="2:28" ht="23.25" customHeight="1" x14ac:dyDescent="0.2">
      <c r="B4243" s="75"/>
      <c r="C4243" s="67"/>
      <c r="D4243" s="75"/>
      <c r="E4243" s="67"/>
      <c r="F4243" s="67"/>
      <c r="G4243" s="70"/>
      <c r="H4243" s="70"/>
      <c r="I4243" s="70"/>
      <c r="J4243" s="70"/>
      <c r="K4243" s="70"/>
      <c r="L4243" s="67"/>
      <c r="M4243" s="67"/>
      <c r="N4243" s="72"/>
      <c r="O4243" s="72"/>
      <c r="P4243" s="67"/>
      <c r="Q4243" s="67"/>
      <c r="R4243" s="67"/>
      <c r="S4243" s="67"/>
      <c r="T4243" s="32"/>
      <c r="U4243" s="32"/>
      <c r="X4243" s="32"/>
      <c r="Y4243" s="32"/>
      <c r="Z4243" s="32"/>
      <c r="AA4243" s="32"/>
      <c r="AB4243" s="32"/>
    </row>
    <row r="4244" spans="2:28" ht="23.25" customHeight="1" x14ac:dyDescent="0.2">
      <c r="B4244" s="75"/>
      <c r="C4244" s="67"/>
      <c r="D4244" s="75"/>
      <c r="E4244" s="67"/>
      <c r="F4244" s="67"/>
      <c r="G4244" s="70"/>
      <c r="H4244" s="70"/>
      <c r="I4244" s="70"/>
      <c r="J4244" s="70"/>
      <c r="K4244" s="70"/>
      <c r="L4244" s="67"/>
      <c r="M4244" s="67"/>
      <c r="N4244" s="72"/>
      <c r="O4244" s="72"/>
      <c r="P4244" s="67"/>
      <c r="Q4244" s="67"/>
      <c r="R4244" s="67"/>
      <c r="S4244" s="67"/>
      <c r="T4244" s="32"/>
      <c r="U4244" s="32"/>
      <c r="X4244" s="32"/>
      <c r="Y4244" s="32"/>
      <c r="Z4244" s="32"/>
      <c r="AA4244" s="32"/>
      <c r="AB4244" s="32"/>
    </row>
    <row r="4245" spans="2:28" ht="23.25" customHeight="1" x14ac:dyDescent="0.2">
      <c r="B4245" s="75"/>
      <c r="C4245" s="67"/>
      <c r="D4245" s="75"/>
      <c r="E4245" s="67"/>
      <c r="F4245" s="67"/>
      <c r="G4245" s="70"/>
      <c r="H4245" s="70"/>
      <c r="I4245" s="70"/>
      <c r="J4245" s="70"/>
      <c r="K4245" s="70"/>
      <c r="L4245" s="67"/>
      <c r="M4245" s="67"/>
      <c r="N4245" s="72"/>
      <c r="O4245" s="72"/>
      <c r="P4245" s="67"/>
      <c r="Q4245" s="67"/>
      <c r="R4245" s="67"/>
      <c r="S4245" s="67"/>
      <c r="T4245" s="32"/>
      <c r="U4245" s="32"/>
      <c r="X4245" s="32"/>
      <c r="Y4245" s="32"/>
      <c r="Z4245" s="32"/>
      <c r="AA4245" s="32"/>
      <c r="AB4245" s="32"/>
    </row>
    <row r="4246" spans="2:28" ht="23.25" customHeight="1" x14ac:dyDescent="0.2">
      <c r="B4246" s="75"/>
      <c r="C4246" s="67"/>
      <c r="D4246" s="75"/>
      <c r="E4246" s="67"/>
      <c r="F4246" s="67"/>
      <c r="G4246" s="70"/>
      <c r="H4246" s="70"/>
      <c r="I4246" s="70"/>
      <c r="J4246" s="70"/>
      <c r="K4246" s="70"/>
      <c r="L4246" s="67"/>
      <c r="M4246" s="67"/>
      <c r="N4246" s="72"/>
      <c r="O4246" s="72"/>
      <c r="P4246" s="67"/>
      <c r="Q4246" s="67"/>
      <c r="R4246" s="67"/>
      <c r="S4246" s="67"/>
      <c r="T4246" s="32"/>
      <c r="U4246" s="32"/>
      <c r="X4246" s="32"/>
      <c r="Y4246" s="32"/>
      <c r="Z4246" s="32"/>
      <c r="AA4246" s="32"/>
      <c r="AB4246" s="32"/>
    </row>
    <row r="4247" spans="2:28" ht="23.25" customHeight="1" x14ac:dyDescent="0.2">
      <c r="B4247" s="75"/>
      <c r="C4247" s="67"/>
      <c r="D4247" s="75"/>
      <c r="E4247" s="67"/>
      <c r="F4247" s="67"/>
      <c r="G4247" s="70"/>
      <c r="H4247" s="70"/>
      <c r="I4247" s="70"/>
      <c r="J4247" s="70"/>
      <c r="K4247" s="70"/>
      <c r="L4247" s="67"/>
      <c r="M4247" s="67"/>
      <c r="N4247" s="72"/>
      <c r="O4247" s="72"/>
      <c r="P4247" s="67"/>
      <c r="Q4247" s="67"/>
      <c r="R4247" s="67"/>
      <c r="S4247" s="67"/>
      <c r="T4247" s="32"/>
      <c r="U4247" s="32"/>
      <c r="X4247" s="32"/>
      <c r="Y4247" s="32"/>
      <c r="Z4247" s="32"/>
      <c r="AA4247" s="32"/>
      <c r="AB4247" s="32"/>
    </row>
    <row r="4248" spans="2:28" ht="23.25" customHeight="1" x14ac:dyDescent="0.2">
      <c r="B4248" s="75"/>
      <c r="C4248" s="67"/>
      <c r="D4248" s="75"/>
      <c r="E4248" s="67"/>
      <c r="F4248" s="67"/>
      <c r="G4248" s="70"/>
      <c r="H4248" s="70"/>
      <c r="I4248" s="70"/>
      <c r="J4248" s="70"/>
      <c r="K4248" s="70"/>
      <c r="L4248" s="67"/>
      <c r="M4248" s="67"/>
      <c r="N4248" s="72"/>
      <c r="O4248" s="72"/>
      <c r="P4248" s="67"/>
      <c r="Q4248" s="67"/>
      <c r="R4248" s="67"/>
      <c r="S4248" s="67"/>
      <c r="T4248" s="32"/>
      <c r="U4248" s="32"/>
      <c r="X4248" s="32"/>
      <c r="Y4248" s="32"/>
      <c r="Z4248" s="32"/>
      <c r="AA4248" s="32"/>
      <c r="AB4248" s="32"/>
    </row>
    <row r="4249" spans="2:28" ht="23.25" customHeight="1" x14ac:dyDescent="0.2">
      <c r="B4249" s="75"/>
      <c r="C4249" s="67"/>
      <c r="D4249" s="75"/>
      <c r="E4249" s="67"/>
      <c r="F4249" s="67"/>
      <c r="G4249" s="70"/>
      <c r="H4249" s="70"/>
      <c r="I4249" s="70"/>
      <c r="J4249" s="70"/>
      <c r="K4249" s="70"/>
      <c r="L4249" s="67"/>
      <c r="M4249" s="67"/>
      <c r="N4249" s="72"/>
      <c r="O4249" s="72"/>
      <c r="P4249" s="67"/>
      <c r="Q4249" s="67"/>
      <c r="R4249" s="67"/>
      <c r="S4249" s="67"/>
      <c r="T4249" s="32"/>
      <c r="U4249" s="32"/>
      <c r="X4249" s="32"/>
      <c r="Y4249" s="32"/>
      <c r="Z4249" s="32"/>
      <c r="AA4249" s="32"/>
      <c r="AB4249" s="32"/>
    </row>
    <row r="4250" spans="2:28" ht="23.25" customHeight="1" x14ac:dyDescent="0.2">
      <c r="B4250" s="75"/>
      <c r="C4250" s="67"/>
      <c r="D4250" s="75"/>
      <c r="E4250" s="67"/>
      <c r="F4250" s="67"/>
      <c r="G4250" s="70"/>
      <c r="H4250" s="70"/>
      <c r="I4250" s="70"/>
      <c r="J4250" s="70"/>
      <c r="K4250" s="70"/>
      <c r="L4250" s="67"/>
      <c r="M4250" s="67"/>
      <c r="N4250" s="72"/>
      <c r="O4250" s="72"/>
      <c r="P4250" s="67"/>
      <c r="Q4250" s="67"/>
      <c r="R4250" s="67"/>
      <c r="S4250" s="67"/>
      <c r="T4250" s="32"/>
      <c r="U4250" s="32"/>
      <c r="X4250" s="32"/>
      <c r="Y4250" s="32"/>
      <c r="Z4250" s="32"/>
      <c r="AA4250" s="32"/>
      <c r="AB4250" s="32"/>
    </row>
    <row r="4251" spans="2:28" ht="23.25" customHeight="1" x14ac:dyDescent="0.2">
      <c r="B4251" s="75"/>
      <c r="C4251" s="67"/>
      <c r="D4251" s="75"/>
      <c r="E4251" s="67"/>
      <c r="F4251" s="67"/>
      <c r="G4251" s="70"/>
      <c r="H4251" s="70"/>
      <c r="I4251" s="70"/>
      <c r="J4251" s="70"/>
      <c r="K4251" s="70"/>
      <c r="L4251" s="67"/>
      <c r="M4251" s="67"/>
      <c r="N4251" s="72"/>
      <c r="O4251" s="72"/>
      <c r="P4251" s="67"/>
      <c r="Q4251" s="67"/>
      <c r="R4251" s="67"/>
      <c r="S4251" s="67"/>
      <c r="T4251" s="32"/>
      <c r="U4251" s="32"/>
      <c r="X4251" s="32"/>
      <c r="Y4251" s="32"/>
      <c r="Z4251" s="32"/>
      <c r="AA4251" s="32"/>
      <c r="AB4251" s="32"/>
    </row>
    <row r="4252" spans="2:28" ht="23.25" customHeight="1" x14ac:dyDescent="0.2">
      <c r="B4252" s="75"/>
      <c r="C4252" s="67"/>
      <c r="D4252" s="75"/>
      <c r="E4252" s="67"/>
      <c r="F4252" s="67"/>
      <c r="G4252" s="70"/>
      <c r="H4252" s="70"/>
      <c r="I4252" s="70"/>
      <c r="J4252" s="70"/>
      <c r="K4252" s="70"/>
      <c r="L4252" s="67"/>
      <c r="M4252" s="67"/>
      <c r="N4252" s="72"/>
      <c r="O4252" s="72"/>
      <c r="P4252" s="67"/>
      <c r="Q4252" s="67"/>
      <c r="R4252" s="67"/>
      <c r="S4252" s="67"/>
      <c r="T4252" s="32"/>
      <c r="U4252" s="32"/>
      <c r="X4252" s="32"/>
      <c r="Y4252" s="32"/>
      <c r="Z4252" s="32"/>
      <c r="AA4252" s="32"/>
      <c r="AB4252" s="32"/>
    </row>
    <row r="4253" spans="2:28" ht="23.25" customHeight="1" x14ac:dyDescent="0.2">
      <c r="B4253" s="75"/>
      <c r="C4253" s="67"/>
      <c r="D4253" s="75"/>
      <c r="E4253" s="67"/>
      <c r="F4253" s="67"/>
      <c r="G4253" s="70"/>
      <c r="H4253" s="70"/>
      <c r="I4253" s="70"/>
      <c r="J4253" s="70"/>
      <c r="K4253" s="70"/>
      <c r="L4253" s="67"/>
      <c r="M4253" s="67"/>
      <c r="N4253" s="72"/>
      <c r="O4253" s="72"/>
      <c r="P4253" s="67"/>
      <c r="Q4253" s="67"/>
      <c r="R4253" s="67"/>
      <c r="S4253" s="67"/>
      <c r="T4253" s="32"/>
      <c r="U4253" s="32"/>
      <c r="X4253" s="32"/>
      <c r="Y4253" s="32"/>
      <c r="Z4253" s="32"/>
      <c r="AA4253" s="32"/>
      <c r="AB4253" s="32"/>
    </row>
    <row r="4254" spans="2:28" ht="23.25" customHeight="1" x14ac:dyDescent="0.2">
      <c r="B4254" s="75"/>
      <c r="C4254" s="67"/>
      <c r="D4254" s="75"/>
      <c r="E4254" s="67"/>
      <c r="F4254" s="67"/>
      <c r="G4254" s="70"/>
      <c r="H4254" s="70"/>
      <c r="I4254" s="70"/>
      <c r="J4254" s="70"/>
      <c r="K4254" s="70"/>
      <c r="L4254" s="67"/>
      <c r="M4254" s="67"/>
      <c r="N4254" s="72"/>
      <c r="O4254" s="72"/>
      <c r="P4254" s="67"/>
      <c r="Q4254" s="67"/>
      <c r="R4254" s="67"/>
      <c r="S4254" s="67"/>
      <c r="T4254" s="32"/>
      <c r="U4254" s="32"/>
      <c r="X4254" s="32"/>
      <c r="Y4254" s="32"/>
      <c r="Z4254" s="32"/>
      <c r="AA4254" s="32"/>
      <c r="AB4254" s="32"/>
    </row>
    <row r="4255" spans="2:28" ht="23.25" customHeight="1" x14ac:dyDescent="0.2">
      <c r="B4255" s="75"/>
      <c r="C4255" s="67"/>
      <c r="D4255" s="75"/>
      <c r="E4255" s="67"/>
      <c r="F4255" s="67"/>
      <c r="G4255" s="70"/>
      <c r="H4255" s="70"/>
      <c r="I4255" s="70"/>
      <c r="J4255" s="70"/>
      <c r="K4255" s="70"/>
      <c r="L4255" s="67"/>
      <c r="M4255" s="67"/>
      <c r="N4255" s="72"/>
      <c r="O4255" s="72"/>
      <c r="P4255" s="67"/>
      <c r="Q4255" s="67"/>
      <c r="R4255" s="67"/>
      <c r="S4255" s="67"/>
      <c r="T4255" s="32"/>
      <c r="U4255" s="32"/>
      <c r="X4255" s="32"/>
      <c r="Y4255" s="32"/>
      <c r="Z4255" s="32"/>
      <c r="AA4255" s="32"/>
      <c r="AB4255" s="32"/>
    </row>
    <row r="4256" spans="2:28" ht="23.25" customHeight="1" x14ac:dyDescent="0.2">
      <c r="B4256" s="75"/>
      <c r="C4256" s="67"/>
      <c r="D4256" s="75"/>
      <c r="E4256" s="67"/>
      <c r="F4256" s="67"/>
      <c r="G4256" s="70"/>
      <c r="H4256" s="70"/>
      <c r="I4256" s="70"/>
      <c r="J4256" s="70"/>
      <c r="K4256" s="70"/>
      <c r="L4256" s="67"/>
      <c r="M4256" s="67"/>
      <c r="N4256" s="72"/>
      <c r="O4256" s="72"/>
      <c r="P4256" s="67"/>
      <c r="Q4256" s="67"/>
      <c r="R4256" s="67"/>
      <c r="S4256" s="67"/>
      <c r="T4256" s="32"/>
      <c r="U4256" s="32"/>
      <c r="X4256" s="32"/>
      <c r="Y4256" s="32"/>
      <c r="Z4256" s="32"/>
      <c r="AA4256" s="32"/>
      <c r="AB4256" s="32"/>
    </row>
    <row r="4257" spans="2:28" ht="23.25" customHeight="1" x14ac:dyDescent="0.2">
      <c r="B4257" s="75"/>
      <c r="C4257" s="67"/>
      <c r="D4257" s="75"/>
      <c r="E4257" s="67"/>
      <c r="F4257" s="67"/>
      <c r="G4257" s="70"/>
      <c r="H4257" s="70"/>
      <c r="I4257" s="70"/>
      <c r="J4257" s="70"/>
      <c r="K4257" s="70"/>
      <c r="L4257" s="67"/>
      <c r="M4257" s="67"/>
      <c r="N4257" s="72"/>
      <c r="O4257" s="72"/>
      <c r="P4257" s="67"/>
      <c r="Q4257" s="67"/>
      <c r="R4257" s="67"/>
      <c r="S4257" s="67"/>
      <c r="T4257" s="32"/>
      <c r="U4257" s="32"/>
      <c r="X4257" s="32"/>
      <c r="Y4257" s="32"/>
      <c r="Z4257" s="32"/>
      <c r="AA4257" s="32"/>
      <c r="AB4257" s="32"/>
    </row>
    <row r="4258" spans="2:28" ht="23.25" customHeight="1" x14ac:dyDescent="0.2">
      <c r="B4258" s="75"/>
      <c r="C4258" s="67"/>
      <c r="D4258" s="75"/>
      <c r="E4258" s="67"/>
      <c r="F4258" s="67"/>
      <c r="G4258" s="70"/>
      <c r="H4258" s="70"/>
      <c r="I4258" s="70"/>
      <c r="J4258" s="70"/>
      <c r="K4258" s="70"/>
      <c r="L4258" s="67"/>
      <c r="M4258" s="67"/>
      <c r="N4258" s="72"/>
      <c r="O4258" s="72"/>
      <c r="P4258" s="67"/>
      <c r="Q4258" s="67"/>
      <c r="R4258" s="67"/>
      <c r="S4258" s="67"/>
      <c r="T4258" s="32"/>
      <c r="U4258" s="32"/>
      <c r="X4258" s="32"/>
      <c r="Y4258" s="32"/>
      <c r="Z4258" s="32"/>
      <c r="AA4258" s="32"/>
      <c r="AB4258" s="32"/>
    </row>
    <row r="4259" spans="2:28" ht="23.25" customHeight="1" x14ac:dyDescent="0.2">
      <c r="B4259" s="75"/>
      <c r="C4259" s="67"/>
      <c r="D4259" s="75"/>
      <c r="E4259" s="67"/>
      <c r="F4259" s="67"/>
      <c r="G4259" s="70"/>
      <c r="H4259" s="70"/>
      <c r="I4259" s="70"/>
      <c r="J4259" s="70"/>
      <c r="K4259" s="70"/>
      <c r="L4259" s="67"/>
      <c r="M4259" s="67"/>
      <c r="N4259" s="72"/>
      <c r="O4259" s="72"/>
      <c r="P4259" s="67"/>
      <c r="Q4259" s="67"/>
      <c r="R4259" s="67"/>
      <c r="S4259" s="67"/>
      <c r="T4259" s="32"/>
      <c r="U4259" s="32"/>
      <c r="X4259" s="32"/>
      <c r="Y4259" s="32"/>
      <c r="Z4259" s="32"/>
      <c r="AA4259" s="32"/>
      <c r="AB4259" s="32"/>
    </row>
    <row r="4260" spans="2:28" ht="23.25" customHeight="1" x14ac:dyDescent="0.2">
      <c r="B4260" s="75"/>
      <c r="C4260" s="67"/>
      <c r="D4260" s="75"/>
      <c r="E4260" s="67"/>
      <c r="F4260" s="67"/>
      <c r="G4260" s="70"/>
      <c r="H4260" s="70"/>
      <c r="I4260" s="70"/>
      <c r="J4260" s="70"/>
      <c r="K4260" s="70"/>
      <c r="L4260" s="67"/>
      <c r="M4260" s="67"/>
      <c r="N4260" s="72"/>
      <c r="O4260" s="72"/>
      <c r="P4260" s="67"/>
      <c r="Q4260" s="67"/>
      <c r="R4260" s="67"/>
      <c r="S4260" s="67"/>
      <c r="T4260" s="32"/>
      <c r="U4260" s="32"/>
      <c r="X4260" s="32"/>
      <c r="Y4260" s="32"/>
      <c r="Z4260" s="32"/>
      <c r="AA4260" s="32"/>
      <c r="AB4260" s="32"/>
    </row>
    <row r="4261" spans="2:28" ht="23.25" customHeight="1" x14ac:dyDescent="0.2">
      <c r="B4261" s="75"/>
      <c r="C4261" s="67"/>
      <c r="D4261" s="75"/>
      <c r="E4261" s="67"/>
      <c r="F4261" s="67"/>
      <c r="G4261" s="70"/>
      <c r="H4261" s="70"/>
      <c r="I4261" s="70"/>
      <c r="J4261" s="70"/>
      <c r="K4261" s="70"/>
      <c r="L4261" s="67"/>
      <c r="M4261" s="67"/>
      <c r="N4261" s="72"/>
      <c r="O4261" s="72"/>
      <c r="P4261" s="67"/>
      <c r="Q4261" s="67"/>
      <c r="R4261" s="67"/>
      <c r="S4261" s="67"/>
      <c r="T4261" s="32"/>
      <c r="U4261" s="32"/>
      <c r="X4261" s="32"/>
      <c r="Y4261" s="32"/>
      <c r="Z4261" s="32"/>
      <c r="AA4261" s="32"/>
      <c r="AB4261" s="32"/>
    </row>
    <row r="4262" spans="2:28" ht="23.25" customHeight="1" x14ac:dyDescent="0.2">
      <c r="B4262" s="75"/>
      <c r="C4262" s="67"/>
      <c r="D4262" s="75"/>
      <c r="E4262" s="67"/>
      <c r="F4262" s="67"/>
      <c r="G4262" s="70"/>
      <c r="H4262" s="70"/>
      <c r="I4262" s="70"/>
      <c r="J4262" s="70"/>
      <c r="K4262" s="70"/>
      <c r="L4262" s="67"/>
      <c r="M4262" s="67"/>
      <c r="N4262" s="72"/>
      <c r="O4262" s="72"/>
      <c r="P4262" s="67"/>
      <c r="Q4262" s="67"/>
      <c r="R4262" s="67"/>
      <c r="S4262" s="67"/>
      <c r="T4262" s="32"/>
      <c r="U4262" s="32"/>
      <c r="X4262" s="32"/>
      <c r="Y4262" s="32"/>
      <c r="Z4262" s="32"/>
      <c r="AA4262" s="32"/>
      <c r="AB4262" s="32"/>
    </row>
    <row r="4263" spans="2:28" ht="23.25" customHeight="1" x14ac:dyDescent="0.2">
      <c r="B4263" s="75"/>
      <c r="C4263" s="67"/>
      <c r="D4263" s="75"/>
      <c r="E4263" s="67"/>
      <c r="F4263" s="67"/>
      <c r="G4263" s="70"/>
      <c r="H4263" s="70"/>
      <c r="I4263" s="70"/>
      <c r="J4263" s="70"/>
      <c r="K4263" s="70"/>
      <c r="L4263" s="67"/>
      <c r="M4263" s="67"/>
      <c r="N4263" s="72"/>
      <c r="O4263" s="72"/>
      <c r="P4263" s="67"/>
      <c r="Q4263" s="67"/>
      <c r="R4263" s="67"/>
      <c r="S4263" s="67"/>
      <c r="T4263" s="32"/>
      <c r="U4263" s="32"/>
      <c r="X4263" s="32"/>
      <c r="Y4263" s="32"/>
      <c r="Z4263" s="32"/>
      <c r="AA4263" s="32"/>
      <c r="AB4263" s="32"/>
    </row>
    <row r="4264" spans="2:28" ht="23.25" customHeight="1" x14ac:dyDescent="0.2">
      <c r="B4264" s="75"/>
      <c r="C4264" s="67"/>
      <c r="D4264" s="75"/>
      <c r="E4264" s="67"/>
      <c r="F4264" s="67"/>
      <c r="G4264" s="70"/>
      <c r="H4264" s="70"/>
      <c r="I4264" s="70"/>
      <c r="J4264" s="70"/>
      <c r="K4264" s="70"/>
      <c r="L4264" s="67"/>
      <c r="M4264" s="67"/>
      <c r="N4264" s="72"/>
      <c r="O4264" s="72"/>
      <c r="P4264" s="67"/>
      <c r="Q4264" s="67"/>
      <c r="R4264" s="67"/>
      <c r="S4264" s="67"/>
      <c r="T4264" s="32"/>
      <c r="U4264" s="32"/>
      <c r="X4264" s="32"/>
      <c r="Y4264" s="32"/>
      <c r="Z4264" s="32"/>
      <c r="AA4264" s="32"/>
      <c r="AB4264" s="32"/>
    </row>
    <row r="4265" spans="2:28" ht="23.25" customHeight="1" x14ac:dyDescent="0.2">
      <c r="B4265" s="75"/>
      <c r="C4265" s="67"/>
      <c r="D4265" s="75"/>
      <c r="E4265" s="67"/>
      <c r="F4265" s="67"/>
      <c r="G4265" s="70"/>
      <c r="H4265" s="70"/>
      <c r="I4265" s="70"/>
      <c r="J4265" s="70"/>
      <c r="K4265" s="70"/>
      <c r="L4265" s="67"/>
      <c r="M4265" s="67"/>
      <c r="N4265" s="72"/>
      <c r="O4265" s="72"/>
      <c r="P4265" s="67"/>
      <c r="Q4265" s="67"/>
      <c r="R4265" s="67"/>
      <c r="S4265" s="67"/>
      <c r="T4265" s="32"/>
      <c r="U4265" s="32"/>
      <c r="X4265" s="32"/>
      <c r="Y4265" s="32"/>
      <c r="Z4265" s="32"/>
      <c r="AA4265" s="32"/>
      <c r="AB4265" s="32"/>
    </row>
    <row r="4266" spans="2:28" ht="23.25" customHeight="1" x14ac:dyDescent="0.2">
      <c r="B4266" s="75"/>
      <c r="C4266" s="67"/>
      <c r="D4266" s="75"/>
      <c r="E4266" s="67"/>
      <c r="F4266" s="67"/>
      <c r="G4266" s="70"/>
      <c r="H4266" s="70"/>
      <c r="I4266" s="70"/>
      <c r="J4266" s="70"/>
      <c r="K4266" s="70"/>
      <c r="L4266" s="67"/>
      <c r="M4266" s="67"/>
      <c r="N4266" s="72"/>
      <c r="O4266" s="72"/>
      <c r="P4266" s="67"/>
      <c r="Q4266" s="67"/>
      <c r="R4266" s="67"/>
      <c r="S4266" s="67"/>
      <c r="T4266" s="32"/>
      <c r="U4266" s="32"/>
      <c r="X4266" s="32"/>
      <c r="Y4266" s="32"/>
      <c r="Z4266" s="32"/>
      <c r="AA4266" s="32"/>
      <c r="AB4266" s="32"/>
    </row>
    <row r="4267" spans="2:28" ht="23.25" customHeight="1" x14ac:dyDescent="0.2">
      <c r="B4267" s="75"/>
      <c r="C4267" s="67"/>
      <c r="D4267" s="75"/>
      <c r="E4267" s="67"/>
      <c r="F4267" s="67"/>
      <c r="G4267" s="70"/>
      <c r="H4267" s="70"/>
      <c r="I4267" s="70"/>
      <c r="J4267" s="70"/>
      <c r="K4267" s="70"/>
      <c r="L4267" s="67"/>
      <c r="M4267" s="67"/>
      <c r="N4267" s="72"/>
      <c r="O4267" s="72"/>
      <c r="P4267" s="67"/>
      <c r="Q4267" s="67"/>
      <c r="R4267" s="67"/>
      <c r="S4267" s="67"/>
      <c r="T4267" s="32"/>
      <c r="U4267" s="32"/>
      <c r="X4267" s="32"/>
      <c r="Y4267" s="32"/>
      <c r="Z4267" s="32"/>
      <c r="AA4267" s="32"/>
      <c r="AB4267" s="32"/>
    </row>
    <row r="4268" spans="2:28" ht="23.25" customHeight="1" x14ac:dyDescent="0.2">
      <c r="B4268" s="75"/>
      <c r="C4268" s="67"/>
      <c r="D4268" s="75"/>
      <c r="E4268" s="67"/>
      <c r="F4268" s="67"/>
      <c r="G4268" s="70"/>
      <c r="H4268" s="70"/>
      <c r="I4268" s="70"/>
      <c r="J4268" s="70"/>
      <c r="K4268" s="70"/>
      <c r="L4268" s="67"/>
      <c r="M4268" s="67"/>
      <c r="N4268" s="72"/>
      <c r="O4268" s="72"/>
      <c r="P4268" s="67"/>
      <c r="Q4268" s="67"/>
      <c r="R4268" s="67"/>
      <c r="S4268" s="67"/>
      <c r="T4268" s="32"/>
      <c r="U4268" s="32"/>
      <c r="X4268" s="32"/>
      <c r="Y4268" s="32"/>
      <c r="Z4268" s="32"/>
      <c r="AA4268" s="32"/>
      <c r="AB4268" s="32"/>
    </row>
    <row r="4269" spans="2:28" ht="23.25" customHeight="1" x14ac:dyDescent="0.2">
      <c r="B4269" s="75"/>
      <c r="C4269" s="67"/>
      <c r="D4269" s="75"/>
      <c r="E4269" s="67"/>
      <c r="F4269" s="67"/>
      <c r="G4269" s="70"/>
      <c r="H4269" s="70"/>
      <c r="I4269" s="70"/>
      <c r="J4269" s="70"/>
      <c r="K4269" s="70"/>
      <c r="L4269" s="67"/>
      <c r="M4269" s="67"/>
      <c r="N4269" s="72"/>
      <c r="O4269" s="72"/>
      <c r="P4269" s="67"/>
      <c r="Q4269" s="67"/>
      <c r="R4269" s="67"/>
      <c r="S4269" s="67"/>
      <c r="T4269" s="32"/>
      <c r="U4269" s="32"/>
      <c r="X4269" s="32"/>
      <c r="Y4269" s="32"/>
      <c r="Z4269" s="32"/>
      <c r="AA4269" s="32"/>
      <c r="AB4269" s="32"/>
    </row>
    <row r="4270" spans="2:28" ht="23.25" customHeight="1" x14ac:dyDescent="0.2">
      <c r="B4270" s="75"/>
      <c r="C4270" s="67"/>
      <c r="D4270" s="75"/>
      <c r="E4270" s="67"/>
      <c r="F4270" s="67"/>
      <c r="G4270" s="70"/>
      <c r="H4270" s="70"/>
      <c r="I4270" s="70"/>
      <c r="J4270" s="70"/>
      <c r="K4270" s="70"/>
      <c r="L4270" s="67"/>
      <c r="M4270" s="67"/>
      <c r="N4270" s="72"/>
      <c r="O4270" s="72"/>
      <c r="P4270" s="67"/>
      <c r="Q4270" s="67"/>
      <c r="R4270" s="67"/>
      <c r="S4270" s="67"/>
      <c r="T4270" s="32"/>
      <c r="U4270" s="32"/>
      <c r="X4270" s="32"/>
      <c r="Y4270" s="32"/>
      <c r="Z4270" s="32"/>
      <c r="AA4270" s="32"/>
      <c r="AB4270" s="32"/>
    </row>
    <row r="4271" spans="2:28" ht="23.25" customHeight="1" x14ac:dyDescent="0.2">
      <c r="B4271" s="75"/>
      <c r="C4271" s="67"/>
      <c r="D4271" s="75"/>
      <c r="E4271" s="67"/>
      <c r="F4271" s="67"/>
      <c r="G4271" s="70"/>
      <c r="H4271" s="70"/>
      <c r="I4271" s="70"/>
      <c r="J4271" s="70"/>
      <c r="K4271" s="70"/>
      <c r="L4271" s="67"/>
      <c r="M4271" s="67"/>
      <c r="N4271" s="72"/>
      <c r="O4271" s="72"/>
      <c r="P4271" s="67"/>
      <c r="Q4271" s="67"/>
      <c r="R4271" s="67"/>
      <c r="S4271" s="67"/>
      <c r="T4271" s="32"/>
      <c r="U4271" s="32"/>
      <c r="X4271" s="32"/>
      <c r="Y4271" s="32"/>
      <c r="Z4271" s="32"/>
      <c r="AA4271" s="32"/>
      <c r="AB4271" s="32"/>
    </row>
    <row r="4272" spans="2:28" ht="23.25" customHeight="1" x14ac:dyDescent="0.2">
      <c r="B4272" s="75"/>
      <c r="C4272" s="67"/>
      <c r="D4272" s="75"/>
      <c r="E4272" s="67"/>
      <c r="F4272" s="67"/>
      <c r="G4272" s="70"/>
      <c r="H4272" s="70"/>
      <c r="I4272" s="70"/>
      <c r="J4272" s="70"/>
      <c r="K4272" s="70"/>
      <c r="L4272" s="67"/>
      <c r="M4272" s="67"/>
      <c r="N4272" s="72"/>
      <c r="O4272" s="72"/>
      <c r="P4272" s="67"/>
      <c r="Q4272" s="67"/>
      <c r="R4272" s="67"/>
      <c r="S4272" s="67"/>
      <c r="T4272" s="32"/>
      <c r="U4272" s="32"/>
      <c r="X4272" s="32"/>
      <c r="Y4272" s="32"/>
      <c r="Z4272" s="32"/>
      <c r="AA4272" s="32"/>
      <c r="AB4272" s="32"/>
    </row>
    <row r="4273" spans="2:28" ht="23.25" customHeight="1" x14ac:dyDescent="0.2">
      <c r="B4273" s="75"/>
      <c r="C4273" s="67"/>
      <c r="D4273" s="75"/>
      <c r="E4273" s="67"/>
      <c r="F4273" s="67"/>
      <c r="G4273" s="70"/>
      <c r="H4273" s="70"/>
      <c r="I4273" s="70"/>
      <c r="J4273" s="70"/>
      <c r="K4273" s="70"/>
      <c r="L4273" s="67"/>
      <c r="M4273" s="67"/>
      <c r="N4273" s="72"/>
      <c r="O4273" s="72"/>
      <c r="P4273" s="67"/>
      <c r="Q4273" s="67"/>
      <c r="R4273" s="67"/>
      <c r="S4273" s="67"/>
      <c r="T4273" s="32"/>
      <c r="U4273" s="32"/>
      <c r="X4273" s="32"/>
      <c r="Y4273" s="32"/>
      <c r="Z4273" s="32"/>
      <c r="AA4273" s="32"/>
      <c r="AB4273" s="32"/>
    </row>
    <row r="4274" spans="2:28" ht="23.25" customHeight="1" x14ac:dyDescent="0.2">
      <c r="B4274" s="75"/>
      <c r="C4274" s="67"/>
      <c r="D4274" s="75"/>
      <c r="E4274" s="67"/>
      <c r="F4274" s="67"/>
      <c r="G4274" s="70"/>
      <c r="H4274" s="70"/>
      <c r="I4274" s="70"/>
      <c r="J4274" s="70"/>
      <c r="K4274" s="70"/>
      <c r="L4274" s="67"/>
      <c r="M4274" s="67"/>
      <c r="N4274" s="72"/>
      <c r="O4274" s="72"/>
      <c r="P4274" s="67"/>
      <c r="Q4274" s="67"/>
      <c r="R4274" s="67"/>
      <c r="S4274" s="67"/>
      <c r="T4274" s="32"/>
      <c r="U4274" s="32"/>
      <c r="X4274" s="32"/>
      <c r="Y4274" s="32"/>
      <c r="Z4274" s="32"/>
      <c r="AA4274" s="32"/>
      <c r="AB4274" s="32"/>
    </row>
    <row r="4275" spans="2:28" ht="23.25" customHeight="1" x14ac:dyDescent="0.2">
      <c r="B4275" s="75"/>
      <c r="C4275" s="67"/>
      <c r="D4275" s="75"/>
      <c r="E4275" s="67"/>
      <c r="F4275" s="67"/>
      <c r="G4275" s="70"/>
      <c r="H4275" s="70"/>
      <c r="I4275" s="70"/>
      <c r="J4275" s="70"/>
      <c r="K4275" s="70"/>
      <c r="L4275" s="67"/>
      <c r="M4275" s="67"/>
      <c r="N4275" s="72"/>
      <c r="O4275" s="72"/>
      <c r="P4275" s="67"/>
      <c r="Q4275" s="67"/>
      <c r="R4275" s="67"/>
      <c r="S4275" s="67"/>
      <c r="T4275" s="32"/>
      <c r="U4275" s="32"/>
      <c r="X4275" s="32"/>
      <c r="Y4275" s="32"/>
      <c r="Z4275" s="32"/>
      <c r="AA4275" s="32"/>
      <c r="AB4275" s="32"/>
    </row>
    <row r="4276" spans="2:28" ht="23.25" customHeight="1" x14ac:dyDescent="0.2">
      <c r="B4276" s="75"/>
      <c r="C4276" s="67"/>
      <c r="D4276" s="75"/>
      <c r="E4276" s="67"/>
      <c r="F4276" s="67"/>
      <c r="G4276" s="70"/>
      <c r="H4276" s="70"/>
      <c r="I4276" s="70"/>
      <c r="J4276" s="70"/>
      <c r="K4276" s="70"/>
      <c r="L4276" s="67"/>
      <c r="M4276" s="67"/>
      <c r="N4276" s="72"/>
      <c r="O4276" s="72"/>
      <c r="P4276" s="67"/>
      <c r="Q4276" s="67"/>
      <c r="R4276" s="67"/>
      <c r="S4276" s="67"/>
      <c r="T4276" s="32"/>
      <c r="U4276" s="32"/>
      <c r="X4276" s="32"/>
      <c r="Y4276" s="32"/>
      <c r="Z4276" s="32"/>
      <c r="AA4276" s="32"/>
      <c r="AB4276" s="32"/>
    </row>
    <row r="4277" spans="2:28" ht="23.25" customHeight="1" x14ac:dyDescent="0.2">
      <c r="B4277" s="75"/>
      <c r="C4277" s="67"/>
      <c r="D4277" s="75"/>
      <c r="E4277" s="67"/>
      <c r="F4277" s="67"/>
      <c r="G4277" s="70"/>
      <c r="H4277" s="70"/>
      <c r="I4277" s="70"/>
      <c r="J4277" s="70"/>
      <c r="K4277" s="70"/>
      <c r="L4277" s="67"/>
      <c r="M4277" s="67"/>
      <c r="N4277" s="72"/>
      <c r="O4277" s="72"/>
      <c r="P4277" s="67"/>
      <c r="Q4277" s="67"/>
      <c r="R4277" s="67"/>
      <c r="S4277" s="67"/>
      <c r="T4277" s="32"/>
      <c r="U4277" s="32"/>
      <c r="X4277" s="32"/>
      <c r="Y4277" s="32"/>
      <c r="Z4277" s="32"/>
      <c r="AA4277" s="32"/>
      <c r="AB4277" s="32"/>
    </row>
    <row r="4278" spans="2:28" ht="23.25" customHeight="1" x14ac:dyDescent="0.2">
      <c r="B4278" s="75"/>
      <c r="C4278" s="67"/>
      <c r="D4278" s="75"/>
      <c r="E4278" s="67"/>
      <c r="F4278" s="67"/>
      <c r="G4278" s="70"/>
      <c r="H4278" s="70"/>
      <c r="I4278" s="70"/>
      <c r="J4278" s="70"/>
      <c r="K4278" s="70"/>
      <c r="L4278" s="67"/>
      <c r="M4278" s="67"/>
      <c r="N4278" s="72"/>
      <c r="O4278" s="72"/>
      <c r="P4278" s="67"/>
      <c r="Q4278" s="67"/>
      <c r="R4278" s="67"/>
      <c r="S4278" s="67"/>
      <c r="T4278" s="32"/>
      <c r="U4278" s="32"/>
      <c r="X4278" s="32"/>
      <c r="Y4278" s="32"/>
      <c r="Z4278" s="32"/>
      <c r="AA4278" s="32"/>
      <c r="AB4278" s="32"/>
    </row>
    <row r="4279" spans="2:28" ht="23.25" customHeight="1" x14ac:dyDescent="0.2">
      <c r="B4279" s="75"/>
      <c r="C4279" s="67"/>
      <c r="D4279" s="75"/>
      <c r="E4279" s="67"/>
      <c r="F4279" s="67"/>
      <c r="G4279" s="70"/>
      <c r="H4279" s="70"/>
      <c r="I4279" s="70"/>
      <c r="J4279" s="70"/>
      <c r="K4279" s="70"/>
      <c r="L4279" s="67"/>
      <c r="M4279" s="67"/>
      <c r="N4279" s="72"/>
      <c r="O4279" s="72"/>
      <c r="P4279" s="67"/>
      <c r="Q4279" s="67"/>
      <c r="R4279" s="67"/>
      <c r="S4279" s="67"/>
      <c r="T4279" s="32"/>
      <c r="U4279" s="32"/>
      <c r="X4279" s="32"/>
      <c r="Y4279" s="32"/>
      <c r="Z4279" s="32"/>
      <c r="AA4279" s="32"/>
      <c r="AB4279" s="32"/>
    </row>
    <row r="4280" spans="2:28" ht="23.25" customHeight="1" x14ac:dyDescent="0.2">
      <c r="B4280" s="75"/>
      <c r="C4280" s="67"/>
      <c r="D4280" s="75"/>
      <c r="E4280" s="67"/>
      <c r="F4280" s="67"/>
      <c r="G4280" s="70"/>
      <c r="H4280" s="70"/>
      <c r="I4280" s="70"/>
      <c r="J4280" s="70"/>
      <c r="K4280" s="70"/>
      <c r="L4280" s="67"/>
      <c r="M4280" s="67"/>
      <c r="N4280" s="72"/>
      <c r="O4280" s="72"/>
      <c r="P4280" s="67"/>
      <c r="Q4280" s="67"/>
      <c r="R4280" s="67"/>
      <c r="S4280" s="67"/>
      <c r="T4280" s="32"/>
      <c r="U4280" s="32"/>
      <c r="X4280" s="32"/>
      <c r="Y4280" s="32"/>
      <c r="Z4280" s="32"/>
      <c r="AA4280" s="32"/>
      <c r="AB4280" s="32"/>
    </row>
    <row r="4281" spans="2:28" ht="23.25" customHeight="1" x14ac:dyDescent="0.2">
      <c r="B4281" s="75"/>
      <c r="C4281" s="67"/>
      <c r="D4281" s="75"/>
      <c r="E4281" s="67"/>
      <c r="F4281" s="67"/>
      <c r="G4281" s="70"/>
      <c r="H4281" s="70"/>
      <c r="I4281" s="70"/>
      <c r="J4281" s="70"/>
      <c r="K4281" s="70"/>
      <c r="L4281" s="67"/>
      <c r="M4281" s="67"/>
      <c r="N4281" s="72"/>
      <c r="O4281" s="72"/>
      <c r="P4281" s="67"/>
      <c r="Q4281" s="67"/>
      <c r="R4281" s="67"/>
      <c r="S4281" s="67"/>
      <c r="T4281" s="32"/>
      <c r="U4281" s="32"/>
      <c r="X4281" s="32"/>
      <c r="Y4281" s="32"/>
      <c r="Z4281" s="32"/>
      <c r="AA4281" s="32"/>
      <c r="AB4281" s="32"/>
    </row>
    <row r="4282" spans="2:28" ht="23.25" customHeight="1" x14ac:dyDescent="0.2">
      <c r="B4282" s="75"/>
      <c r="C4282" s="67"/>
      <c r="D4282" s="75"/>
      <c r="E4282" s="67"/>
      <c r="F4282" s="67"/>
      <c r="G4282" s="70"/>
      <c r="H4282" s="70"/>
      <c r="I4282" s="70"/>
      <c r="J4282" s="70"/>
      <c r="K4282" s="70"/>
      <c r="L4282" s="67"/>
      <c r="M4282" s="67"/>
      <c r="N4282" s="72"/>
      <c r="O4282" s="72"/>
      <c r="P4282" s="67"/>
      <c r="Q4282" s="67"/>
      <c r="R4282" s="67"/>
      <c r="S4282" s="67"/>
      <c r="T4282" s="32"/>
      <c r="U4282" s="32"/>
      <c r="X4282" s="32"/>
      <c r="Y4282" s="32"/>
      <c r="Z4282" s="32"/>
      <c r="AA4282" s="32"/>
      <c r="AB4282" s="32"/>
    </row>
    <row r="4283" spans="2:28" ht="23.25" customHeight="1" x14ac:dyDescent="0.2">
      <c r="B4283" s="75"/>
      <c r="C4283" s="67"/>
      <c r="D4283" s="75"/>
      <c r="E4283" s="67"/>
      <c r="F4283" s="67"/>
      <c r="G4283" s="70"/>
      <c r="H4283" s="70"/>
      <c r="I4283" s="70"/>
      <c r="J4283" s="70"/>
      <c r="K4283" s="70"/>
      <c r="L4283" s="67"/>
      <c r="M4283" s="67"/>
      <c r="N4283" s="72"/>
      <c r="O4283" s="72"/>
      <c r="P4283" s="67"/>
      <c r="Q4283" s="67"/>
      <c r="R4283" s="67"/>
      <c r="S4283" s="67"/>
      <c r="T4283" s="32"/>
      <c r="U4283" s="32"/>
      <c r="X4283" s="32"/>
      <c r="Y4283" s="32"/>
      <c r="Z4283" s="32"/>
      <c r="AA4283" s="32"/>
      <c r="AB4283" s="32"/>
    </row>
    <row r="4284" spans="2:28" ht="23.25" customHeight="1" x14ac:dyDescent="0.2">
      <c r="B4284" s="75"/>
      <c r="C4284" s="67"/>
      <c r="D4284" s="75"/>
      <c r="E4284" s="67"/>
      <c r="F4284" s="67"/>
      <c r="G4284" s="70"/>
      <c r="H4284" s="70"/>
      <c r="I4284" s="70"/>
      <c r="J4284" s="70"/>
      <c r="K4284" s="70"/>
      <c r="L4284" s="67"/>
      <c r="M4284" s="67"/>
      <c r="N4284" s="72"/>
      <c r="O4284" s="72"/>
      <c r="P4284" s="67"/>
      <c r="Q4284" s="67"/>
      <c r="R4284" s="67"/>
      <c r="S4284" s="67"/>
      <c r="T4284" s="32"/>
      <c r="U4284" s="32"/>
      <c r="X4284" s="32"/>
      <c r="Y4284" s="32"/>
      <c r="Z4284" s="32"/>
      <c r="AA4284" s="32"/>
      <c r="AB4284" s="32"/>
    </row>
    <row r="4285" spans="2:28" ht="23.25" customHeight="1" x14ac:dyDescent="0.2">
      <c r="B4285" s="75"/>
      <c r="C4285" s="67"/>
      <c r="D4285" s="75"/>
      <c r="E4285" s="67"/>
      <c r="F4285" s="67"/>
      <c r="G4285" s="70"/>
      <c r="H4285" s="70"/>
      <c r="I4285" s="70"/>
      <c r="J4285" s="70"/>
      <c r="K4285" s="70"/>
      <c r="L4285" s="67"/>
      <c r="M4285" s="67"/>
      <c r="N4285" s="72"/>
      <c r="O4285" s="72"/>
      <c r="P4285" s="67"/>
      <c r="Q4285" s="67"/>
      <c r="R4285" s="67"/>
      <c r="S4285" s="67"/>
      <c r="T4285" s="32"/>
      <c r="U4285" s="32"/>
      <c r="X4285" s="32"/>
      <c r="Y4285" s="32"/>
      <c r="Z4285" s="32"/>
      <c r="AA4285" s="32"/>
      <c r="AB4285" s="32"/>
    </row>
    <row r="4286" spans="2:28" ht="23.25" customHeight="1" x14ac:dyDescent="0.2">
      <c r="B4286" s="75"/>
      <c r="C4286" s="67"/>
      <c r="D4286" s="75"/>
      <c r="E4286" s="67"/>
      <c r="F4286" s="67"/>
      <c r="G4286" s="70"/>
      <c r="H4286" s="70"/>
      <c r="I4286" s="70"/>
      <c r="J4286" s="70"/>
      <c r="K4286" s="70"/>
      <c r="L4286" s="67"/>
      <c r="M4286" s="67"/>
      <c r="N4286" s="72"/>
      <c r="O4286" s="72"/>
      <c r="P4286" s="67"/>
      <c r="Q4286" s="67"/>
      <c r="R4286" s="67"/>
      <c r="S4286" s="67"/>
      <c r="T4286" s="32"/>
      <c r="U4286" s="32"/>
      <c r="X4286" s="32"/>
      <c r="Y4286" s="32"/>
      <c r="Z4286" s="32"/>
      <c r="AA4286" s="32"/>
      <c r="AB4286" s="32"/>
    </row>
    <row r="4287" spans="2:28" ht="23.25" customHeight="1" x14ac:dyDescent="0.2">
      <c r="B4287" s="75"/>
      <c r="C4287" s="67"/>
      <c r="D4287" s="75"/>
      <c r="E4287" s="67"/>
      <c r="F4287" s="67"/>
      <c r="G4287" s="70"/>
      <c r="H4287" s="70"/>
      <c r="I4287" s="70"/>
      <c r="J4287" s="70"/>
      <c r="K4287" s="70"/>
      <c r="L4287" s="67"/>
      <c r="M4287" s="67"/>
      <c r="N4287" s="72"/>
      <c r="O4287" s="72"/>
      <c r="P4287" s="67"/>
      <c r="Q4287" s="67"/>
      <c r="R4287" s="67"/>
      <c r="S4287" s="67"/>
      <c r="T4287" s="32"/>
      <c r="U4287" s="32"/>
      <c r="X4287" s="32"/>
      <c r="Y4287" s="32"/>
      <c r="Z4287" s="32"/>
      <c r="AA4287" s="32"/>
      <c r="AB4287" s="32"/>
    </row>
    <row r="4288" spans="2:28" ht="23.25" customHeight="1" x14ac:dyDescent="0.2">
      <c r="B4288" s="75"/>
      <c r="C4288" s="67"/>
      <c r="D4288" s="75"/>
      <c r="E4288" s="67"/>
      <c r="F4288" s="67"/>
      <c r="G4288" s="70"/>
      <c r="H4288" s="70"/>
      <c r="I4288" s="70"/>
      <c r="J4288" s="70"/>
      <c r="K4288" s="70"/>
      <c r="L4288" s="67"/>
      <c r="M4288" s="67"/>
      <c r="N4288" s="72"/>
      <c r="O4288" s="72"/>
      <c r="P4288" s="67"/>
      <c r="Q4288" s="67"/>
      <c r="R4288" s="67"/>
      <c r="S4288" s="67"/>
      <c r="T4288" s="32"/>
      <c r="U4288" s="32"/>
      <c r="X4288" s="32"/>
      <c r="Y4288" s="32"/>
      <c r="Z4288" s="32"/>
      <c r="AA4288" s="32"/>
      <c r="AB4288" s="32"/>
    </row>
    <row r="4289" spans="2:28" ht="23.25" customHeight="1" x14ac:dyDescent="0.2">
      <c r="B4289" s="75"/>
      <c r="C4289" s="67"/>
      <c r="D4289" s="75"/>
      <c r="E4289" s="67"/>
      <c r="F4289" s="67"/>
      <c r="G4289" s="70"/>
      <c r="H4289" s="70"/>
      <c r="I4289" s="70"/>
      <c r="J4289" s="70"/>
      <c r="K4289" s="70"/>
      <c r="L4289" s="67"/>
      <c r="M4289" s="67"/>
      <c r="N4289" s="72"/>
      <c r="O4289" s="72"/>
      <c r="P4289" s="67"/>
      <c r="Q4289" s="67"/>
      <c r="R4289" s="67"/>
      <c r="S4289" s="67"/>
      <c r="T4289" s="32"/>
      <c r="U4289" s="32"/>
      <c r="X4289" s="32"/>
      <c r="Y4289" s="32"/>
      <c r="Z4289" s="32"/>
      <c r="AA4289" s="32"/>
      <c r="AB4289" s="32"/>
    </row>
    <row r="4290" spans="2:28" ht="23.25" customHeight="1" x14ac:dyDescent="0.2">
      <c r="B4290" s="75"/>
      <c r="C4290" s="67"/>
      <c r="D4290" s="75"/>
      <c r="E4290" s="67"/>
      <c r="F4290" s="67"/>
      <c r="G4290" s="70"/>
      <c r="H4290" s="70"/>
      <c r="I4290" s="70"/>
      <c r="J4290" s="70"/>
      <c r="K4290" s="70"/>
      <c r="L4290" s="67"/>
      <c r="M4290" s="67"/>
      <c r="N4290" s="72"/>
      <c r="O4290" s="72"/>
      <c r="P4290" s="67"/>
      <c r="Q4290" s="67"/>
      <c r="R4290" s="67"/>
      <c r="S4290" s="67"/>
      <c r="T4290" s="32"/>
      <c r="U4290" s="32"/>
      <c r="X4290" s="32"/>
      <c r="Y4290" s="32"/>
      <c r="Z4290" s="32"/>
      <c r="AA4290" s="32"/>
      <c r="AB4290" s="32"/>
    </row>
    <row r="4291" spans="2:28" ht="23.25" customHeight="1" x14ac:dyDescent="0.2">
      <c r="B4291" s="75"/>
      <c r="C4291" s="67"/>
      <c r="D4291" s="75"/>
      <c r="E4291" s="67"/>
      <c r="F4291" s="67"/>
      <c r="G4291" s="70"/>
      <c r="H4291" s="70"/>
      <c r="I4291" s="70"/>
      <c r="J4291" s="70"/>
      <c r="K4291" s="70"/>
      <c r="L4291" s="67"/>
      <c r="M4291" s="67"/>
      <c r="N4291" s="72"/>
      <c r="O4291" s="72"/>
      <c r="P4291" s="67"/>
      <c r="Q4291" s="67"/>
      <c r="R4291" s="67"/>
      <c r="S4291" s="67"/>
      <c r="T4291" s="32"/>
      <c r="U4291" s="32"/>
      <c r="X4291" s="32"/>
      <c r="Y4291" s="32"/>
      <c r="Z4291" s="32"/>
      <c r="AA4291" s="32"/>
      <c r="AB4291" s="32"/>
    </row>
    <row r="4292" spans="2:28" ht="23.25" customHeight="1" x14ac:dyDescent="0.2">
      <c r="B4292" s="75"/>
      <c r="C4292" s="67"/>
      <c r="D4292" s="75"/>
      <c r="E4292" s="67"/>
      <c r="F4292" s="67"/>
      <c r="G4292" s="70"/>
      <c r="H4292" s="70"/>
      <c r="I4292" s="70"/>
      <c r="J4292" s="70"/>
      <c r="K4292" s="70"/>
      <c r="L4292" s="67"/>
      <c r="M4292" s="67"/>
      <c r="N4292" s="72"/>
      <c r="O4292" s="72"/>
      <c r="P4292" s="67"/>
      <c r="Q4292" s="67"/>
      <c r="R4292" s="67"/>
      <c r="S4292" s="67"/>
      <c r="T4292" s="32"/>
      <c r="U4292" s="32"/>
      <c r="X4292" s="32"/>
      <c r="Y4292" s="32"/>
      <c r="Z4292" s="32"/>
      <c r="AA4292" s="32"/>
      <c r="AB4292" s="32"/>
    </row>
    <row r="4293" spans="2:28" ht="23.25" customHeight="1" x14ac:dyDescent="0.2">
      <c r="B4293" s="75"/>
      <c r="C4293" s="67"/>
      <c r="D4293" s="75"/>
      <c r="E4293" s="67"/>
      <c r="F4293" s="67"/>
      <c r="G4293" s="70"/>
      <c r="H4293" s="70"/>
      <c r="I4293" s="70"/>
      <c r="J4293" s="70"/>
      <c r="K4293" s="70"/>
      <c r="L4293" s="67"/>
      <c r="M4293" s="67"/>
      <c r="N4293" s="72"/>
      <c r="O4293" s="72"/>
      <c r="P4293" s="67"/>
      <c r="Q4293" s="67"/>
      <c r="R4293" s="67"/>
      <c r="S4293" s="67"/>
      <c r="T4293" s="32"/>
      <c r="U4293" s="32"/>
      <c r="X4293" s="32"/>
      <c r="Y4293" s="32"/>
      <c r="Z4293" s="32"/>
      <c r="AA4293" s="32"/>
      <c r="AB4293" s="32"/>
    </row>
    <row r="4294" spans="2:28" ht="23.25" customHeight="1" x14ac:dyDescent="0.2">
      <c r="B4294" s="75"/>
      <c r="C4294" s="67"/>
      <c r="D4294" s="75"/>
      <c r="E4294" s="67"/>
      <c r="F4294" s="67"/>
      <c r="G4294" s="70"/>
      <c r="H4294" s="70"/>
      <c r="I4294" s="70"/>
      <c r="J4294" s="70"/>
      <c r="K4294" s="70"/>
      <c r="L4294" s="67"/>
      <c r="M4294" s="67"/>
      <c r="N4294" s="72"/>
      <c r="O4294" s="72"/>
      <c r="P4294" s="67"/>
      <c r="Q4294" s="67"/>
      <c r="R4294" s="67"/>
      <c r="S4294" s="67"/>
      <c r="T4294" s="32"/>
      <c r="U4294" s="32"/>
      <c r="X4294" s="32"/>
      <c r="Y4294" s="32"/>
      <c r="Z4294" s="32"/>
      <c r="AA4294" s="32"/>
      <c r="AB4294" s="32"/>
    </row>
    <row r="4295" spans="2:28" ht="23.25" customHeight="1" x14ac:dyDescent="0.2">
      <c r="B4295" s="75"/>
      <c r="C4295" s="67"/>
      <c r="D4295" s="75"/>
      <c r="E4295" s="67"/>
      <c r="F4295" s="67"/>
      <c r="G4295" s="70"/>
      <c r="H4295" s="70"/>
      <c r="I4295" s="70"/>
      <c r="J4295" s="70"/>
      <c r="K4295" s="70"/>
      <c r="L4295" s="67"/>
      <c r="M4295" s="67"/>
      <c r="N4295" s="72"/>
      <c r="O4295" s="72"/>
      <c r="P4295" s="67"/>
      <c r="Q4295" s="67"/>
      <c r="R4295" s="67"/>
      <c r="S4295" s="67"/>
      <c r="T4295" s="32"/>
      <c r="U4295" s="32"/>
      <c r="X4295" s="32"/>
      <c r="Y4295" s="32"/>
      <c r="Z4295" s="32"/>
      <c r="AA4295" s="32"/>
      <c r="AB4295" s="32"/>
    </row>
    <row r="4296" spans="2:28" ht="23.25" customHeight="1" x14ac:dyDescent="0.2">
      <c r="B4296" s="75"/>
      <c r="C4296" s="67"/>
      <c r="D4296" s="75"/>
      <c r="E4296" s="67"/>
      <c r="F4296" s="67"/>
      <c r="G4296" s="70"/>
      <c r="H4296" s="70"/>
      <c r="I4296" s="70"/>
      <c r="J4296" s="70"/>
      <c r="K4296" s="70"/>
      <c r="L4296" s="67"/>
      <c r="M4296" s="67"/>
      <c r="N4296" s="72"/>
      <c r="O4296" s="72"/>
      <c r="P4296" s="67"/>
      <c r="Q4296" s="67"/>
      <c r="R4296" s="67"/>
      <c r="S4296" s="67"/>
      <c r="T4296" s="32"/>
      <c r="U4296" s="32"/>
      <c r="X4296" s="32"/>
      <c r="Y4296" s="32"/>
      <c r="Z4296" s="32"/>
      <c r="AA4296" s="32"/>
      <c r="AB4296" s="32"/>
    </row>
    <row r="4297" spans="2:28" ht="23.25" customHeight="1" x14ac:dyDescent="0.2">
      <c r="B4297" s="75"/>
      <c r="C4297" s="67"/>
      <c r="D4297" s="75"/>
      <c r="E4297" s="67"/>
      <c r="F4297" s="67"/>
      <c r="G4297" s="70"/>
      <c r="H4297" s="70"/>
      <c r="I4297" s="70"/>
      <c r="J4297" s="70"/>
      <c r="K4297" s="70"/>
      <c r="L4297" s="67"/>
      <c r="M4297" s="67"/>
      <c r="N4297" s="72"/>
      <c r="O4297" s="72"/>
      <c r="P4297" s="67"/>
      <c r="Q4297" s="67"/>
      <c r="R4297" s="67"/>
      <c r="S4297" s="67"/>
      <c r="T4297" s="32"/>
      <c r="U4297" s="32"/>
      <c r="X4297" s="32"/>
      <c r="Y4297" s="32"/>
      <c r="Z4297" s="32"/>
      <c r="AA4297" s="32"/>
      <c r="AB4297" s="32"/>
    </row>
    <row r="4298" spans="2:28" ht="23.25" customHeight="1" x14ac:dyDescent="0.2">
      <c r="B4298" s="75"/>
      <c r="C4298" s="67"/>
      <c r="D4298" s="75"/>
      <c r="E4298" s="67"/>
      <c r="F4298" s="67"/>
      <c r="G4298" s="70"/>
      <c r="H4298" s="70"/>
      <c r="I4298" s="70"/>
      <c r="J4298" s="70"/>
      <c r="K4298" s="70"/>
      <c r="L4298" s="67"/>
      <c r="M4298" s="67"/>
      <c r="N4298" s="72"/>
      <c r="O4298" s="72"/>
      <c r="P4298" s="67"/>
      <c r="Q4298" s="67"/>
      <c r="R4298" s="67"/>
      <c r="S4298" s="67"/>
      <c r="T4298" s="32"/>
      <c r="U4298" s="32"/>
      <c r="X4298" s="32"/>
      <c r="Y4298" s="32"/>
      <c r="Z4298" s="32"/>
      <c r="AA4298" s="32"/>
      <c r="AB4298" s="32"/>
    </row>
    <row r="4299" spans="2:28" ht="23.25" customHeight="1" x14ac:dyDescent="0.2">
      <c r="B4299" s="75"/>
      <c r="C4299" s="67"/>
      <c r="D4299" s="75"/>
      <c r="E4299" s="67"/>
      <c r="F4299" s="67"/>
      <c r="G4299" s="70"/>
      <c r="H4299" s="70"/>
      <c r="I4299" s="70"/>
      <c r="J4299" s="70"/>
      <c r="K4299" s="70"/>
      <c r="L4299" s="67"/>
      <c r="M4299" s="67"/>
      <c r="N4299" s="72"/>
      <c r="O4299" s="72"/>
      <c r="P4299" s="67"/>
      <c r="Q4299" s="67"/>
      <c r="R4299" s="67"/>
      <c r="S4299" s="67"/>
      <c r="T4299" s="32"/>
      <c r="U4299" s="32"/>
      <c r="X4299" s="32"/>
      <c r="Y4299" s="32"/>
      <c r="Z4299" s="32"/>
      <c r="AA4299" s="32"/>
      <c r="AB4299" s="32"/>
    </row>
    <row r="4300" spans="2:28" ht="23.25" customHeight="1" x14ac:dyDescent="0.2">
      <c r="B4300" s="75"/>
      <c r="C4300" s="67"/>
      <c r="D4300" s="75"/>
      <c r="E4300" s="67"/>
      <c r="F4300" s="67"/>
      <c r="G4300" s="70"/>
      <c r="H4300" s="70"/>
      <c r="I4300" s="70"/>
      <c r="J4300" s="70"/>
      <c r="K4300" s="70"/>
      <c r="L4300" s="67"/>
      <c r="M4300" s="67"/>
      <c r="N4300" s="72"/>
      <c r="O4300" s="72"/>
      <c r="P4300" s="67"/>
      <c r="Q4300" s="67"/>
      <c r="R4300" s="67"/>
      <c r="S4300" s="67"/>
      <c r="T4300" s="32"/>
      <c r="U4300" s="32"/>
      <c r="X4300" s="32"/>
      <c r="Y4300" s="32"/>
      <c r="Z4300" s="32"/>
      <c r="AA4300" s="32"/>
      <c r="AB4300" s="32"/>
    </row>
    <row r="4301" spans="2:28" ht="23.25" customHeight="1" x14ac:dyDescent="0.2">
      <c r="B4301" s="75"/>
      <c r="C4301" s="67"/>
      <c r="D4301" s="75"/>
      <c r="E4301" s="67"/>
      <c r="F4301" s="67"/>
      <c r="G4301" s="70"/>
      <c r="H4301" s="70"/>
      <c r="I4301" s="70"/>
      <c r="J4301" s="70"/>
      <c r="K4301" s="70"/>
      <c r="L4301" s="67"/>
      <c r="M4301" s="67"/>
      <c r="N4301" s="72"/>
      <c r="O4301" s="72"/>
      <c r="P4301" s="67"/>
      <c r="Q4301" s="67"/>
      <c r="R4301" s="67"/>
      <c r="S4301" s="67"/>
      <c r="T4301" s="32"/>
      <c r="U4301" s="32"/>
      <c r="X4301" s="32"/>
      <c r="Y4301" s="32"/>
      <c r="Z4301" s="32"/>
      <c r="AA4301" s="32"/>
      <c r="AB4301" s="32"/>
    </row>
    <row r="4302" spans="2:28" ht="23.25" customHeight="1" x14ac:dyDescent="0.2">
      <c r="B4302" s="75"/>
      <c r="C4302" s="67"/>
      <c r="D4302" s="75"/>
      <c r="E4302" s="67"/>
      <c r="F4302" s="67"/>
      <c r="G4302" s="70"/>
      <c r="H4302" s="70"/>
      <c r="I4302" s="70"/>
      <c r="J4302" s="70"/>
      <c r="K4302" s="70"/>
      <c r="L4302" s="67"/>
      <c r="M4302" s="67"/>
      <c r="N4302" s="72"/>
      <c r="O4302" s="72"/>
      <c r="P4302" s="67"/>
      <c r="Q4302" s="67"/>
      <c r="R4302" s="67"/>
      <c r="S4302" s="67"/>
      <c r="T4302" s="32"/>
      <c r="U4302" s="32"/>
      <c r="X4302" s="32"/>
      <c r="Y4302" s="32"/>
      <c r="Z4302" s="32"/>
      <c r="AA4302" s="32"/>
      <c r="AB4302" s="32"/>
    </row>
    <row r="4303" spans="2:28" ht="23.25" customHeight="1" x14ac:dyDescent="0.2">
      <c r="B4303" s="75"/>
      <c r="C4303" s="67"/>
      <c r="D4303" s="75"/>
      <c r="E4303" s="67"/>
      <c r="F4303" s="67"/>
      <c r="G4303" s="70"/>
      <c r="H4303" s="70"/>
      <c r="I4303" s="70"/>
      <c r="J4303" s="70"/>
      <c r="K4303" s="70"/>
      <c r="L4303" s="67"/>
      <c r="M4303" s="67"/>
      <c r="N4303" s="72"/>
      <c r="O4303" s="72"/>
      <c r="P4303" s="67"/>
      <c r="Q4303" s="67"/>
      <c r="R4303" s="67"/>
      <c r="S4303" s="67"/>
      <c r="T4303" s="32"/>
      <c r="U4303" s="32"/>
      <c r="X4303" s="32"/>
      <c r="Y4303" s="32"/>
      <c r="Z4303" s="32"/>
      <c r="AA4303" s="32"/>
      <c r="AB4303" s="32"/>
    </row>
    <row r="4304" spans="2:28" ht="23.25" customHeight="1" x14ac:dyDescent="0.2">
      <c r="B4304" s="75"/>
      <c r="C4304" s="67"/>
      <c r="D4304" s="75"/>
      <c r="E4304" s="67"/>
      <c r="F4304" s="67"/>
      <c r="G4304" s="70"/>
      <c r="H4304" s="70"/>
      <c r="I4304" s="70"/>
      <c r="J4304" s="70"/>
      <c r="K4304" s="70"/>
      <c r="L4304" s="67"/>
      <c r="M4304" s="67"/>
      <c r="N4304" s="72"/>
      <c r="O4304" s="72"/>
      <c r="P4304" s="67"/>
      <c r="Q4304" s="67"/>
      <c r="R4304" s="67"/>
      <c r="S4304" s="67"/>
      <c r="T4304" s="32"/>
      <c r="U4304" s="32"/>
      <c r="X4304" s="32"/>
      <c r="Y4304" s="32"/>
      <c r="Z4304" s="32"/>
      <c r="AA4304" s="32"/>
      <c r="AB4304" s="32"/>
    </row>
    <row r="4305" spans="2:28" ht="23.25" customHeight="1" x14ac:dyDescent="0.2">
      <c r="B4305" s="75"/>
      <c r="C4305" s="67"/>
      <c r="D4305" s="75"/>
      <c r="E4305" s="67"/>
      <c r="F4305" s="67"/>
      <c r="G4305" s="70"/>
      <c r="H4305" s="70"/>
      <c r="I4305" s="70"/>
      <c r="J4305" s="70"/>
      <c r="K4305" s="70"/>
      <c r="L4305" s="67"/>
      <c r="M4305" s="67"/>
      <c r="N4305" s="72"/>
      <c r="O4305" s="72"/>
      <c r="P4305" s="67"/>
      <c r="Q4305" s="67"/>
      <c r="R4305" s="67"/>
      <c r="S4305" s="67"/>
      <c r="T4305" s="32"/>
      <c r="U4305" s="32"/>
      <c r="X4305" s="32"/>
      <c r="Y4305" s="32"/>
      <c r="Z4305" s="32"/>
      <c r="AA4305" s="32"/>
      <c r="AB4305" s="32"/>
    </row>
    <row r="4306" spans="2:28" ht="23.25" customHeight="1" x14ac:dyDescent="0.2">
      <c r="B4306" s="75"/>
      <c r="C4306" s="67"/>
      <c r="D4306" s="75"/>
      <c r="E4306" s="67"/>
      <c r="F4306" s="67"/>
      <c r="G4306" s="70"/>
      <c r="H4306" s="70"/>
      <c r="I4306" s="70"/>
      <c r="J4306" s="70"/>
      <c r="K4306" s="70"/>
      <c r="L4306" s="67"/>
      <c r="M4306" s="67"/>
      <c r="N4306" s="72"/>
      <c r="O4306" s="72"/>
      <c r="P4306" s="67"/>
      <c r="Q4306" s="67"/>
      <c r="R4306" s="67"/>
      <c r="S4306" s="67"/>
      <c r="T4306" s="32"/>
      <c r="U4306" s="32"/>
      <c r="X4306" s="32"/>
      <c r="Y4306" s="32"/>
      <c r="Z4306" s="32"/>
      <c r="AA4306" s="32"/>
      <c r="AB4306" s="32"/>
    </row>
    <row r="4307" spans="2:28" ht="23.25" customHeight="1" x14ac:dyDescent="0.2">
      <c r="B4307" s="75"/>
      <c r="C4307" s="67"/>
      <c r="D4307" s="75"/>
      <c r="E4307" s="67"/>
      <c r="F4307" s="67"/>
      <c r="G4307" s="70"/>
      <c r="H4307" s="70"/>
      <c r="I4307" s="70"/>
      <c r="J4307" s="70"/>
      <c r="K4307" s="70"/>
      <c r="L4307" s="67"/>
      <c r="M4307" s="67"/>
      <c r="N4307" s="72"/>
      <c r="O4307" s="72"/>
      <c r="P4307" s="67"/>
      <c r="Q4307" s="67"/>
      <c r="R4307" s="67"/>
      <c r="S4307" s="67"/>
      <c r="T4307" s="32"/>
      <c r="U4307" s="32"/>
      <c r="X4307" s="32"/>
      <c r="Y4307" s="32"/>
      <c r="Z4307" s="32"/>
      <c r="AA4307" s="32"/>
      <c r="AB4307" s="32"/>
    </row>
    <row r="4308" spans="2:28" ht="23.25" customHeight="1" x14ac:dyDescent="0.2">
      <c r="B4308" s="75"/>
      <c r="C4308" s="67"/>
      <c r="D4308" s="75"/>
      <c r="E4308" s="67"/>
      <c r="F4308" s="67"/>
      <c r="G4308" s="70"/>
      <c r="H4308" s="70"/>
      <c r="I4308" s="70"/>
      <c r="J4308" s="70"/>
      <c r="K4308" s="70"/>
      <c r="L4308" s="67"/>
      <c r="M4308" s="67"/>
      <c r="N4308" s="72"/>
      <c r="O4308" s="72"/>
      <c r="P4308" s="67"/>
      <c r="Q4308" s="67"/>
      <c r="R4308" s="67"/>
      <c r="S4308" s="67"/>
      <c r="T4308" s="32"/>
      <c r="U4308" s="32"/>
      <c r="X4308" s="32"/>
      <c r="Y4308" s="32"/>
      <c r="Z4308" s="32"/>
      <c r="AA4308" s="32"/>
      <c r="AB4308" s="32"/>
    </row>
    <row r="4309" spans="2:28" ht="23.25" customHeight="1" x14ac:dyDescent="0.2">
      <c r="B4309" s="75"/>
      <c r="C4309" s="67"/>
      <c r="D4309" s="75"/>
      <c r="E4309" s="67"/>
      <c r="F4309" s="67"/>
      <c r="G4309" s="70"/>
      <c r="H4309" s="70"/>
      <c r="I4309" s="70"/>
      <c r="J4309" s="70"/>
      <c r="K4309" s="70"/>
      <c r="L4309" s="67"/>
      <c r="M4309" s="67"/>
      <c r="N4309" s="72"/>
      <c r="O4309" s="72"/>
      <c r="P4309" s="67"/>
      <c r="Q4309" s="67"/>
      <c r="R4309" s="67"/>
      <c r="S4309" s="67"/>
      <c r="T4309" s="32"/>
      <c r="U4309" s="32"/>
      <c r="X4309" s="32"/>
      <c r="Y4309" s="32"/>
      <c r="Z4309" s="32"/>
      <c r="AA4309" s="32"/>
      <c r="AB4309" s="32"/>
    </row>
    <row r="4310" spans="2:28" ht="23.25" customHeight="1" x14ac:dyDescent="0.2">
      <c r="B4310" s="75"/>
      <c r="C4310" s="67"/>
      <c r="D4310" s="75"/>
      <c r="E4310" s="67"/>
      <c r="F4310" s="67"/>
      <c r="G4310" s="70"/>
      <c r="H4310" s="70"/>
      <c r="I4310" s="70"/>
      <c r="J4310" s="70"/>
      <c r="K4310" s="70"/>
      <c r="L4310" s="67"/>
      <c r="M4310" s="67"/>
      <c r="N4310" s="72"/>
      <c r="O4310" s="72"/>
      <c r="P4310" s="67"/>
      <c r="Q4310" s="67"/>
      <c r="R4310" s="67"/>
      <c r="S4310" s="67"/>
      <c r="T4310" s="32"/>
      <c r="U4310" s="32"/>
      <c r="X4310" s="32"/>
      <c r="Y4310" s="32"/>
      <c r="Z4310" s="32"/>
      <c r="AA4310" s="32"/>
      <c r="AB4310" s="32"/>
    </row>
    <row r="4311" spans="2:28" ht="23.25" customHeight="1" x14ac:dyDescent="0.2">
      <c r="B4311" s="75"/>
      <c r="C4311" s="67"/>
      <c r="D4311" s="75"/>
      <c r="E4311" s="67"/>
      <c r="F4311" s="67"/>
      <c r="G4311" s="70"/>
      <c r="H4311" s="70"/>
      <c r="I4311" s="70"/>
      <c r="J4311" s="70"/>
      <c r="K4311" s="70"/>
      <c r="L4311" s="67"/>
      <c r="M4311" s="67"/>
      <c r="N4311" s="72"/>
      <c r="O4311" s="72"/>
      <c r="P4311" s="67"/>
      <c r="Q4311" s="67"/>
      <c r="R4311" s="67"/>
      <c r="S4311" s="67"/>
      <c r="T4311" s="32"/>
      <c r="U4311" s="32"/>
      <c r="X4311" s="32"/>
      <c r="Y4311" s="32"/>
      <c r="Z4311" s="32"/>
      <c r="AA4311" s="32"/>
      <c r="AB4311" s="32"/>
    </row>
    <row r="4312" spans="2:28" ht="23.25" customHeight="1" x14ac:dyDescent="0.2">
      <c r="B4312" s="75"/>
      <c r="C4312" s="67"/>
      <c r="D4312" s="75"/>
      <c r="E4312" s="67"/>
      <c r="F4312" s="67"/>
      <c r="G4312" s="70"/>
      <c r="H4312" s="70"/>
      <c r="I4312" s="70"/>
      <c r="J4312" s="70"/>
      <c r="K4312" s="70"/>
      <c r="L4312" s="67"/>
      <c r="M4312" s="67"/>
      <c r="N4312" s="72"/>
      <c r="O4312" s="72"/>
      <c r="P4312" s="67"/>
      <c r="Q4312" s="67"/>
      <c r="R4312" s="67"/>
      <c r="S4312" s="67"/>
      <c r="T4312" s="32"/>
      <c r="U4312" s="32"/>
      <c r="X4312" s="32"/>
      <c r="Y4312" s="32"/>
      <c r="Z4312" s="32"/>
      <c r="AA4312" s="32"/>
      <c r="AB4312" s="32"/>
    </row>
    <row r="4313" spans="2:28" ht="23.25" customHeight="1" x14ac:dyDescent="0.2">
      <c r="B4313" s="75"/>
      <c r="C4313" s="67"/>
      <c r="D4313" s="75"/>
      <c r="E4313" s="67"/>
      <c r="F4313" s="67"/>
      <c r="G4313" s="70"/>
      <c r="H4313" s="70"/>
      <c r="I4313" s="70"/>
      <c r="J4313" s="70"/>
      <c r="K4313" s="70"/>
      <c r="L4313" s="67"/>
      <c r="M4313" s="67"/>
      <c r="N4313" s="72"/>
      <c r="O4313" s="72"/>
      <c r="P4313" s="67"/>
      <c r="Q4313" s="67"/>
      <c r="R4313" s="67"/>
      <c r="S4313" s="67"/>
      <c r="T4313" s="32"/>
      <c r="U4313" s="32"/>
      <c r="X4313" s="32"/>
      <c r="Y4313" s="32"/>
      <c r="Z4313" s="32"/>
      <c r="AA4313" s="32"/>
      <c r="AB4313" s="32"/>
    </row>
    <row r="4314" spans="2:28" ht="23.25" customHeight="1" x14ac:dyDescent="0.2">
      <c r="B4314" s="75"/>
      <c r="C4314" s="67"/>
      <c r="D4314" s="75"/>
      <c r="E4314" s="67"/>
      <c r="F4314" s="67"/>
      <c r="G4314" s="70"/>
      <c r="H4314" s="70"/>
      <c r="I4314" s="70"/>
      <c r="J4314" s="70"/>
      <c r="K4314" s="70"/>
      <c r="L4314" s="67"/>
      <c r="M4314" s="67"/>
      <c r="N4314" s="72"/>
      <c r="O4314" s="72"/>
      <c r="P4314" s="67"/>
      <c r="Q4314" s="67"/>
      <c r="R4314" s="67"/>
      <c r="S4314" s="67"/>
      <c r="T4314" s="32"/>
      <c r="U4314" s="32"/>
      <c r="X4314" s="32"/>
      <c r="Y4314" s="32"/>
      <c r="Z4314" s="32"/>
      <c r="AA4314" s="32"/>
      <c r="AB4314" s="32"/>
    </row>
    <row r="4315" spans="2:28" ht="23.25" customHeight="1" x14ac:dyDescent="0.2">
      <c r="B4315" s="75"/>
      <c r="C4315" s="67"/>
      <c r="D4315" s="75"/>
      <c r="E4315" s="67"/>
      <c r="F4315" s="67"/>
      <c r="G4315" s="70"/>
      <c r="H4315" s="70"/>
      <c r="I4315" s="70"/>
      <c r="J4315" s="70"/>
      <c r="K4315" s="70"/>
      <c r="L4315" s="67"/>
      <c r="M4315" s="67"/>
      <c r="N4315" s="72"/>
      <c r="O4315" s="72"/>
      <c r="P4315" s="67"/>
      <c r="Q4315" s="67"/>
      <c r="R4315" s="67"/>
      <c r="S4315" s="67"/>
      <c r="T4315" s="32"/>
      <c r="U4315" s="32"/>
      <c r="X4315" s="32"/>
      <c r="Y4315" s="32"/>
      <c r="Z4315" s="32"/>
      <c r="AA4315" s="32"/>
      <c r="AB4315" s="32"/>
    </row>
    <row r="4316" spans="2:28" ht="23.25" customHeight="1" x14ac:dyDescent="0.2">
      <c r="B4316" s="75"/>
      <c r="C4316" s="67"/>
      <c r="D4316" s="75"/>
      <c r="E4316" s="67"/>
      <c r="F4316" s="67"/>
      <c r="G4316" s="70"/>
      <c r="H4316" s="70"/>
      <c r="I4316" s="70"/>
      <c r="J4316" s="70"/>
      <c r="K4316" s="70"/>
      <c r="L4316" s="67"/>
      <c r="M4316" s="67"/>
      <c r="N4316" s="72"/>
      <c r="O4316" s="72"/>
      <c r="P4316" s="67"/>
      <c r="Q4316" s="67"/>
      <c r="R4316" s="67"/>
      <c r="S4316" s="67"/>
      <c r="T4316" s="32"/>
      <c r="U4316" s="32"/>
      <c r="X4316" s="32"/>
      <c r="Y4316" s="32"/>
      <c r="Z4316" s="32"/>
      <c r="AA4316" s="32"/>
      <c r="AB4316" s="32"/>
    </row>
    <row r="4317" spans="2:28" ht="23.25" customHeight="1" x14ac:dyDescent="0.2">
      <c r="B4317" s="75"/>
      <c r="C4317" s="67"/>
      <c r="D4317" s="75"/>
      <c r="E4317" s="67"/>
      <c r="F4317" s="67"/>
      <c r="G4317" s="70"/>
      <c r="H4317" s="70"/>
      <c r="I4317" s="70"/>
      <c r="J4317" s="70"/>
      <c r="K4317" s="70"/>
      <c r="L4317" s="67"/>
      <c r="M4317" s="67"/>
      <c r="N4317" s="72"/>
      <c r="O4317" s="72"/>
      <c r="P4317" s="67"/>
      <c r="Q4317" s="67"/>
      <c r="R4317" s="67"/>
      <c r="S4317" s="67"/>
      <c r="T4317" s="32"/>
      <c r="U4317" s="32"/>
      <c r="X4317" s="32"/>
      <c r="Y4317" s="32"/>
      <c r="Z4317" s="32"/>
      <c r="AA4317" s="32"/>
      <c r="AB4317" s="32"/>
    </row>
    <row r="4318" spans="2:28" ht="23.25" customHeight="1" x14ac:dyDescent="0.2">
      <c r="B4318" s="75"/>
      <c r="C4318" s="67"/>
      <c r="D4318" s="75"/>
      <c r="E4318" s="67"/>
      <c r="F4318" s="67"/>
      <c r="G4318" s="70"/>
      <c r="H4318" s="70"/>
      <c r="I4318" s="70"/>
      <c r="J4318" s="70"/>
      <c r="K4318" s="70"/>
      <c r="L4318" s="67"/>
      <c r="M4318" s="67"/>
      <c r="N4318" s="72"/>
      <c r="O4318" s="72"/>
      <c r="P4318" s="67"/>
      <c r="Q4318" s="67"/>
      <c r="R4318" s="67"/>
      <c r="S4318" s="67"/>
      <c r="T4318" s="32"/>
      <c r="U4318" s="32"/>
      <c r="X4318" s="32"/>
      <c r="Y4318" s="32"/>
      <c r="Z4318" s="32"/>
      <c r="AA4318" s="32"/>
      <c r="AB4318" s="32"/>
    </row>
    <row r="4319" spans="2:28" ht="23.25" customHeight="1" x14ac:dyDescent="0.2">
      <c r="B4319" s="75"/>
      <c r="C4319" s="67"/>
      <c r="D4319" s="75"/>
      <c r="E4319" s="67"/>
      <c r="F4319" s="67"/>
      <c r="G4319" s="70"/>
      <c r="H4319" s="70"/>
      <c r="I4319" s="70"/>
      <c r="J4319" s="70"/>
      <c r="K4319" s="70"/>
      <c r="L4319" s="67"/>
      <c r="M4319" s="67"/>
      <c r="N4319" s="72"/>
      <c r="O4319" s="72"/>
      <c r="P4319" s="67"/>
      <c r="Q4319" s="67"/>
      <c r="R4319" s="67"/>
      <c r="S4319" s="67"/>
      <c r="T4319" s="32"/>
      <c r="U4319" s="32"/>
      <c r="X4319" s="32"/>
      <c r="Y4319" s="32"/>
      <c r="Z4319" s="32"/>
      <c r="AA4319" s="32"/>
      <c r="AB4319" s="32"/>
    </row>
    <row r="4320" spans="2:28" ht="23.25" customHeight="1" x14ac:dyDescent="0.2">
      <c r="B4320" s="75"/>
      <c r="C4320" s="67"/>
      <c r="D4320" s="75"/>
      <c r="E4320" s="67"/>
      <c r="F4320" s="67"/>
      <c r="G4320" s="70"/>
      <c r="H4320" s="70"/>
      <c r="I4320" s="70"/>
      <c r="J4320" s="70"/>
      <c r="K4320" s="70"/>
      <c r="L4320" s="67"/>
      <c r="M4320" s="67"/>
      <c r="N4320" s="72"/>
      <c r="O4320" s="72"/>
      <c r="P4320" s="67"/>
      <c r="Q4320" s="67"/>
      <c r="R4320" s="67"/>
      <c r="S4320" s="67"/>
      <c r="T4320" s="32"/>
      <c r="U4320" s="32"/>
      <c r="X4320" s="32"/>
      <c r="Y4320" s="32"/>
      <c r="Z4320" s="32"/>
      <c r="AA4320" s="32"/>
      <c r="AB4320" s="32"/>
    </row>
    <row r="4321" spans="2:28" ht="23.25" customHeight="1" x14ac:dyDescent="0.2">
      <c r="B4321" s="75"/>
      <c r="C4321" s="67"/>
      <c r="D4321" s="75"/>
      <c r="E4321" s="67"/>
      <c r="F4321" s="67"/>
      <c r="G4321" s="70"/>
      <c r="H4321" s="70"/>
      <c r="I4321" s="70"/>
      <c r="J4321" s="70"/>
      <c r="K4321" s="70"/>
      <c r="L4321" s="67"/>
      <c r="M4321" s="67"/>
      <c r="N4321" s="72"/>
      <c r="O4321" s="72"/>
      <c r="P4321" s="67"/>
      <c r="Q4321" s="67"/>
      <c r="R4321" s="67"/>
      <c r="S4321" s="67"/>
      <c r="T4321" s="32"/>
      <c r="U4321" s="32"/>
      <c r="X4321" s="32"/>
      <c r="Y4321" s="32"/>
      <c r="Z4321" s="32"/>
      <c r="AA4321" s="32"/>
      <c r="AB4321" s="32"/>
    </row>
    <row r="4322" spans="2:28" ht="23.25" customHeight="1" x14ac:dyDescent="0.2">
      <c r="B4322" s="75"/>
      <c r="C4322" s="67"/>
      <c r="D4322" s="75"/>
      <c r="E4322" s="67"/>
      <c r="F4322" s="67"/>
      <c r="G4322" s="70"/>
      <c r="H4322" s="70"/>
      <c r="I4322" s="70"/>
      <c r="J4322" s="70"/>
      <c r="K4322" s="70"/>
      <c r="L4322" s="67"/>
      <c r="M4322" s="67"/>
      <c r="N4322" s="72"/>
      <c r="O4322" s="72"/>
      <c r="P4322" s="67"/>
      <c r="Q4322" s="67"/>
      <c r="R4322" s="67"/>
      <c r="S4322" s="67"/>
      <c r="T4322" s="32"/>
      <c r="U4322" s="32"/>
      <c r="X4322" s="32"/>
      <c r="Y4322" s="32"/>
      <c r="Z4322" s="32"/>
      <c r="AA4322" s="32"/>
      <c r="AB4322" s="32"/>
    </row>
    <row r="4323" spans="2:28" ht="23.25" customHeight="1" x14ac:dyDescent="0.2">
      <c r="B4323" s="75"/>
      <c r="C4323" s="67"/>
      <c r="D4323" s="75"/>
      <c r="E4323" s="67"/>
      <c r="F4323" s="67"/>
      <c r="G4323" s="70"/>
      <c r="H4323" s="70"/>
      <c r="I4323" s="70"/>
      <c r="J4323" s="70"/>
      <c r="K4323" s="70"/>
      <c r="L4323" s="67"/>
      <c r="M4323" s="67"/>
      <c r="N4323" s="72"/>
      <c r="O4323" s="72"/>
      <c r="P4323" s="67"/>
      <c r="Q4323" s="67"/>
      <c r="R4323" s="67"/>
      <c r="S4323" s="67"/>
      <c r="T4323" s="32"/>
      <c r="U4323" s="32"/>
      <c r="X4323" s="32"/>
      <c r="Y4323" s="32"/>
      <c r="Z4323" s="32"/>
      <c r="AA4323" s="32"/>
      <c r="AB4323" s="32"/>
    </row>
    <row r="4324" spans="2:28" ht="23.25" customHeight="1" x14ac:dyDescent="0.2">
      <c r="B4324" s="75"/>
      <c r="C4324" s="67"/>
      <c r="D4324" s="75"/>
      <c r="E4324" s="67"/>
      <c r="F4324" s="67"/>
      <c r="G4324" s="70"/>
      <c r="H4324" s="70"/>
      <c r="I4324" s="70"/>
      <c r="J4324" s="70"/>
      <c r="K4324" s="70"/>
      <c r="L4324" s="67"/>
      <c r="M4324" s="67"/>
      <c r="N4324" s="72"/>
      <c r="O4324" s="72"/>
      <c r="P4324" s="67"/>
      <c r="Q4324" s="67"/>
      <c r="R4324" s="67"/>
      <c r="S4324" s="67"/>
      <c r="T4324" s="32"/>
      <c r="U4324" s="32"/>
      <c r="X4324" s="32"/>
      <c r="Y4324" s="32"/>
      <c r="Z4324" s="32"/>
      <c r="AA4324" s="32"/>
      <c r="AB4324" s="32"/>
    </row>
    <row r="4325" spans="2:28" ht="23.25" customHeight="1" x14ac:dyDescent="0.2">
      <c r="B4325" s="75"/>
      <c r="C4325" s="67"/>
      <c r="D4325" s="75"/>
      <c r="E4325" s="67"/>
      <c r="F4325" s="67"/>
      <c r="G4325" s="70"/>
      <c r="H4325" s="70"/>
      <c r="I4325" s="70"/>
      <c r="J4325" s="70"/>
      <c r="K4325" s="70"/>
      <c r="L4325" s="67"/>
      <c r="M4325" s="67"/>
      <c r="N4325" s="72"/>
      <c r="O4325" s="72"/>
      <c r="P4325" s="67"/>
      <c r="Q4325" s="67"/>
      <c r="R4325" s="67"/>
      <c r="S4325" s="67"/>
      <c r="T4325" s="32"/>
      <c r="U4325" s="32"/>
      <c r="X4325" s="32"/>
      <c r="Y4325" s="32"/>
      <c r="Z4325" s="32"/>
      <c r="AA4325" s="32"/>
      <c r="AB4325" s="32"/>
    </row>
    <row r="4326" spans="2:28" ht="23.25" customHeight="1" x14ac:dyDescent="0.2">
      <c r="B4326" s="75"/>
      <c r="C4326" s="67"/>
      <c r="D4326" s="75"/>
      <c r="E4326" s="67"/>
      <c r="F4326" s="67"/>
      <c r="G4326" s="70"/>
      <c r="H4326" s="70"/>
      <c r="I4326" s="70"/>
      <c r="J4326" s="70"/>
      <c r="K4326" s="70"/>
      <c r="L4326" s="67"/>
      <c r="M4326" s="67"/>
      <c r="N4326" s="72"/>
      <c r="O4326" s="72"/>
      <c r="P4326" s="67"/>
      <c r="Q4326" s="67"/>
      <c r="R4326" s="67"/>
      <c r="S4326" s="67"/>
      <c r="T4326" s="32"/>
      <c r="U4326" s="32"/>
      <c r="X4326" s="32"/>
      <c r="Y4326" s="32"/>
      <c r="Z4326" s="32"/>
      <c r="AA4326" s="32"/>
      <c r="AB4326" s="32"/>
    </row>
    <row r="4327" spans="2:28" ht="23.25" customHeight="1" x14ac:dyDescent="0.2">
      <c r="B4327" s="75"/>
      <c r="C4327" s="67"/>
      <c r="D4327" s="75"/>
      <c r="E4327" s="67"/>
      <c r="F4327" s="67"/>
      <c r="G4327" s="70"/>
      <c r="H4327" s="70"/>
      <c r="I4327" s="70"/>
      <c r="J4327" s="70"/>
      <c r="K4327" s="70"/>
      <c r="L4327" s="67"/>
      <c r="M4327" s="67"/>
      <c r="N4327" s="72"/>
      <c r="O4327" s="72"/>
      <c r="P4327" s="67"/>
      <c r="Q4327" s="67"/>
      <c r="R4327" s="67"/>
      <c r="S4327" s="67"/>
      <c r="T4327" s="32"/>
      <c r="U4327" s="32"/>
      <c r="X4327" s="32"/>
      <c r="Y4327" s="32"/>
      <c r="Z4327" s="32"/>
      <c r="AA4327" s="32"/>
      <c r="AB4327" s="32"/>
    </row>
    <row r="4328" spans="2:28" ht="23.25" customHeight="1" x14ac:dyDescent="0.2">
      <c r="B4328" s="75"/>
      <c r="C4328" s="67"/>
      <c r="D4328" s="75"/>
      <c r="E4328" s="67"/>
      <c r="F4328" s="67"/>
      <c r="G4328" s="70"/>
      <c r="H4328" s="70"/>
      <c r="I4328" s="70"/>
      <c r="J4328" s="70"/>
      <c r="K4328" s="70"/>
      <c r="L4328" s="67"/>
      <c r="M4328" s="67"/>
      <c r="N4328" s="72"/>
      <c r="O4328" s="72"/>
      <c r="P4328" s="67"/>
      <c r="Q4328" s="67"/>
      <c r="R4328" s="67"/>
      <c r="S4328" s="67"/>
      <c r="T4328" s="32"/>
      <c r="U4328" s="32"/>
      <c r="X4328" s="32"/>
      <c r="Y4328" s="32"/>
      <c r="Z4328" s="32"/>
      <c r="AA4328" s="32"/>
      <c r="AB4328" s="32"/>
    </row>
    <row r="4329" spans="2:28" ht="23.25" customHeight="1" x14ac:dyDescent="0.2">
      <c r="B4329" s="75"/>
      <c r="C4329" s="67"/>
      <c r="D4329" s="75"/>
      <c r="E4329" s="67"/>
      <c r="F4329" s="67"/>
      <c r="G4329" s="70"/>
      <c r="H4329" s="70"/>
      <c r="I4329" s="70"/>
      <c r="J4329" s="70"/>
      <c r="K4329" s="70"/>
      <c r="L4329" s="67"/>
      <c r="M4329" s="67"/>
      <c r="N4329" s="72"/>
      <c r="O4329" s="72"/>
      <c r="P4329" s="67"/>
      <c r="Q4329" s="67"/>
      <c r="R4329" s="67"/>
      <c r="S4329" s="67"/>
      <c r="T4329" s="32"/>
      <c r="U4329" s="32"/>
      <c r="X4329" s="32"/>
      <c r="Y4329" s="32"/>
      <c r="Z4329" s="32"/>
      <c r="AA4329" s="32"/>
      <c r="AB4329" s="32"/>
    </row>
    <row r="4330" spans="2:28" ht="23.25" customHeight="1" x14ac:dyDescent="0.2">
      <c r="B4330" s="75"/>
      <c r="C4330" s="67"/>
      <c r="D4330" s="75"/>
      <c r="E4330" s="67"/>
      <c r="F4330" s="67"/>
      <c r="G4330" s="70"/>
      <c r="H4330" s="70"/>
      <c r="I4330" s="70"/>
      <c r="J4330" s="70"/>
      <c r="K4330" s="70"/>
      <c r="L4330" s="67"/>
      <c r="M4330" s="67"/>
      <c r="N4330" s="72"/>
      <c r="O4330" s="72"/>
      <c r="P4330" s="67"/>
      <c r="Q4330" s="67"/>
      <c r="R4330" s="67"/>
      <c r="S4330" s="67"/>
      <c r="T4330" s="32"/>
      <c r="U4330" s="32"/>
      <c r="X4330" s="32"/>
      <c r="Y4330" s="32"/>
      <c r="Z4330" s="32"/>
      <c r="AA4330" s="32"/>
      <c r="AB4330" s="32"/>
    </row>
    <row r="4331" spans="2:28" ht="23.25" customHeight="1" x14ac:dyDescent="0.2">
      <c r="B4331" s="75"/>
      <c r="C4331" s="67"/>
      <c r="D4331" s="75"/>
      <c r="E4331" s="67"/>
      <c r="F4331" s="67"/>
      <c r="G4331" s="70"/>
      <c r="H4331" s="70"/>
      <c r="I4331" s="70"/>
      <c r="J4331" s="70"/>
      <c r="K4331" s="70"/>
      <c r="L4331" s="67"/>
      <c r="M4331" s="67"/>
      <c r="N4331" s="72"/>
      <c r="O4331" s="72"/>
      <c r="P4331" s="67"/>
      <c r="Q4331" s="67"/>
      <c r="R4331" s="67"/>
      <c r="S4331" s="67"/>
      <c r="T4331" s="32"/>
      <c r="U4331" s="32"/>
      <c r="X4331" s="32"/>
      <c r="Y4331" s="32"/>
      <c r="Z4331" s="32"/>
      <c r="AA4331" s="32"/>
      <c r="AB4331" s="32"/>
    </row>
    <row r="4332" spans="2:28" ht="23.25" customHeight="1" x14ac:dyDescent="0.2">
      <c r="B4332" s="75"/>
      <c r="C4332" s="67"/>
      <c r="D4332" s="75"/>
      <c r="E4332" s="67"/>
      <c r="F4332" s="67"/>
      <c r="G4332" s="70"/>
      <c r="H4332" s="70"/>
      <c r="I4332" s="70"/>
      <c r="J4332" s="70"/>
      <c r="K4332" s="70"/>
      <c r="L4332" s="67"/>
      <c r="M4332" s="67"/>
      <c r="N4332" s="72"/>
      <c r="O4332" s="72"/>
      <c r="P4332" s="67"/>
      <c r="Q4332" s="67"/>
      <c r="R4332" s="67"/>
      <c r="S4332" s="67"/>
      <c r="T4332" s="32"/>
      <c r="U4332" s="32"/>
      <c r="X4332" s="32"/>
      <c r="Y4332" s="32"/>
      <c r="Z4332" s="32"/>
      <c r="AA4332" s="32"/>
      <c r="AB4332" s="32"/>
    </row>
    <row r="4333" spans="2:28" ht="23.25" customHeight="1" x14ac:dyDescent="0.2">
      <c r="B4333" s="75"/>
      <c r="C4333" s="67"/>
      <c r="D4333" s="75"/>
      <c r="E4333" s="67"/>
      <c r="F4333" s="67"/>
      <c r="G4333" s="70"/>
      <c r="H4333" s="70"/>
      <c r="I4333" s="70"/>
      <c r="J4333" s="70"/>
      <c r="K4333" s="70"/>
      <c r="L4333" s="67"/>
      <c r="M4333" s="67"/>
      <c r="N4333" s="72"/>
      <c r="O4333" s="72"/>
      <c r="P4333" s="67"/>
      <c r="Q4333" s="67"/>
      <c r="R4333" s="67"/>
      <c r="S4333" s="67"/>
      <c r="T4333" s="32"/>
      <c r="U4333" s="32"/>
      <c r="X4333" s="32"/>
      <c r="Y4333" s="32"/>
      <c r="Z4333" s="32"/>
      <c r="AA4333" s="32"/>
      <c r="AB4333" s="32"/>
    </row>
    <row r="4334" spans="2:28" ht="23.25" customHeight="1" x14ac:dyDescent="0.2">
      <c r="B4334" s="75"/>
      <c r="C4334" s="67"/>
      <c r="D4334" s="75"/>
      <c r="E4334" s="67"/>
      <c r="F4334" s="67"/>
      <c r="G4334" s="70"/>
      <c r="H4334" s="70"/>
      <c r="I4334" s="70"/>
      <c r="J4334" s="70"/>
      <c r="K4334" s="70"/>
      <c r="L4334" s="67"/>
      <c r="M4334" s="67"/>
      <c r="N4334" s="72"/>
      <c r="O4334" s="72"/>
      <c r="P4334" s="67"/>
      <c r="Q4334" s="67"/>
      <c r="R4334" s="67"/>
      <c r="S4334" s="67"/>
      <c r="T4334" s="32"/>
      <c r="U4334" s="32"/>
      <c r="X4334" s="32"/>
      <c r="Y4334" s="32"/>
      <c r="Z4334" s="32"/>
      <c r="AA4334" s="32"/>
      <c r="AB4334" s="32"/>
    </row>
    <row r="4335" spans="2:28" ht="23.25" customHeight="1" x14ac:dyDescent="0.2">
      <c r="B4335" s="75"/>
      <c r="C4335" s="67"/>
      <c r="D4335" s="75"/>
      <c r="E4335" s="67"/>
      <c r="F4335" s="67"/>
      <c r="G4335" s="70"/>
      <c r="H4335" s="70"/>
      <c r="I4335" s="70"/>
      <c r="J4335" s="70"/>
      <c r="K4335" s="70"/>
      <c r="L4335" s="67"/>
      <c r="M4335" s="67"/>
      <c r="N4335" s="72"/>
      <c r="O4335" s="72"/>
      <c r="P4335" s="67"/>
      <c r="Q4335" s="67"/>
      <c r="R4335" s="67"/>
      <c r="S4335" s="67"/>
      <c r="T4335" s="32"/>
      <c r="U4335" s="32"/>
      <c r="X4335" s="32"/>
      <c r="Y4335" s="32"/>
      <c r="Z4335" s="32"/>
      <c r="AA4335" s="32"/>
      <c r="AB4335" s="32"/>
    </row>
    <row r="4336" spans="2:28" ht="23.25" customHeight="1" x14ac:dyDescent="0.2">
      <c r="B4336" s="75"/>
      <c r="C4336" s="67"/>
      <c r="D4336" s="75"/>
      <c r="E4336" s="67"/>
      <c r="F4336" s="67"/>
      <c r="G4336" s="70"/>
      <c r="H4336" s="70"/>
      <c r="I4336" s="70"/>
      <c r="J4336" s="70"/>
      <c r="K4336" s="70"/>
      <c r="L4336" s="67"/>
      <c r="M4336" s="67"/>
      <c r="N4336" s="72"/>
      <c r="O4336" s="72"/>
      <c r="P4336" s="67"/>
      <c r="Q4336" s="67"/>
      <c r="R4336" s="67"/>
      <c r="S4336" s="67"/>
      <c r="T4336" s="32"/>
      <c r="U4336" s="32"/>
      <c r="X4336" s="32"/>
      <c r="Y4336" s="32"/>
      <c r="Z4336" s="32"/>
      <c r="AA4336" s="32"/>
      <c r="AB4336" s="32"/>
    </row>
    <row r="4337" spans="2:28" ht="23.25" customHeight="1" x14ac:dyDescent="0.2">
      <c r="B4337" s="75"/>
      <c r="C4337" s="67"/>
      <c r="D4337" s="75"/>
      <c r="E4337" s="67"/>
      <c r="F4337" s="67"/>
      <c r="G4337" s="70"/>
      <c r="H4337" s="70"/>
      <c r="I4337" s="70"/>
      <c r="J4337" s="70"/>
      <c r="K4337" s="70"/>
      <c r="L4337" s="67"/>
      <c r="M4337" s="67"/>
      <c r="N4337" s="72"/>
      <c r="O4337" s="72"/>
      <c r="P4337" s="67"/>
      <c r="Q4337" s="67"/>
      <c r="R4337" s="67"/>
      <c r="S4337" s="67"/>
      <c r="T4337" s="32"/>
      <c r="U4337" s="32"/>
      <c r="X4337" s="32"/>
      <c r="Y4337" s="32"/>
      <c r="Z4337" s="32"/>
      <c r="AA4337" s="32"/>
      <c r="AB4337" s="32"/>
    </row>
    <row r="4338" spans="2:28" ht="23.25" customHeight="1" x14ac:dyDescent="0.2">
      <c r="B4338" s="75"/>
      <c r="C4338" s="67"/>
      <c r="D4338" s="75"/>
      <c r="E4338" s="67"/>
      <c r="F4338" s="67"/>
      <c r="G4338" s="70"/>
      <c r="H4338" s="70"/>
      <c r="I4338" s="70"/>
      <c r="J4338" s="70"/>
      <c r="K4338" s="70"/>
      <c r="L4338" s="67"/>
      <c r="M4338" s="67"/>
      <c r="N4338" s="72"/>
      <c r="O4338" s="72"/>
      <c r="P4338" s="67"/>
      <c r="Q4338" s="67"/>
      <c r="R4338" s="67"/>
      <c r="S4338" s="67"/>
      <c r="T4338" s="32"/>
      <c r="U4338" s="32"/>
      <c r="X4338" s="32"/>
      <c r="Y4338" s="32"/>
      <c r="Z4338" s="32"/>
      <c r="AA4338" s="32"/>
      <c r="AB4338" s="32"/>
    </row>
    <row r="4339" spans="2:28" ht="23.25" customHeight="1" x14ac:dyDescent="0.2">
      <c r="B4339" s="75"/>
      <c r="C4339" s="67"/>
      <c r="D4339" s="75"/>
      <c r="E4339" s="67"/>
      <c r="F4339" s="67"/>
      <c r="G4339" s="70"/>
      <c r="H4339" s="70"/>
      <c r="I4339" s="70"/>
      <c r="J4339" s="70"/>
      <c r="K4339" s="70"/>
      <c r="L4339" s="67"/>
      <c r="M4339" s="67"/>
      <c r="N4339" s="72"/>
      <c r="O4339" s="72"/>
      <c r="P4339" s="67"/>
      <c r="Q4339" s="67"/>
      <c r="R4339" s="67"/>
      <c r="S4339" s="67"/>
      <c r="T4339" s="32"/>
      <c r="U4339" s="32"/>
      <c r="X4339" s="32"/>
      <c r="Y4339" s="32"/>
      <c r="Z4339" s="32"/>
      <c r="AA4339" s="32"/>
      <c r="AB4339" s="32"/>
    </row>
    <row r="4340" spans="2:28" ht="23.25" customHeight="1" x14ac:dyDescent="0.2">
      <c r="B4340" s="75"/>
      <c r="C4340" s="67"/>
      <c r="D4340" s="75"/>
      <c r="E4340" s="67"/>
      <c r="F4340" s="67"/>
      <c r="G4340" s="70"/>
      <c r="H4340" s="70"/>
      <c r="I4340" s="70"/>
      <c r="J4340" s="70"/>
      <c r="K4340" s="70"/>
      <c r="L4340" s="67"/>
      <c r="M4340" s="67"/>
      <c r="N4340" s="72"/>
      <c r="O4340" s="72"/>
      <c r="P4340" s="67"/>
      <c r="Q4340" s="67"/>
      <c r="R4340" s="67"/>
      <c r="S4340" s="67"/>
      <c r="T4340" s="32"/>
      <c r="U4340" s="32"/>
      <c r="X4340" s="32"/>
      <c r="Y4340" s="32"/>
      <c r="Z4340" s="32"/>
      <c r="AA4340" s="32"/>
      <c r="AB4340" s="32"/>
    </row>
    <row r="4341" spans="2:28" ht="23.25" customHeight="1" x14ac:dyDescent="0.2">
      <c r="B4341" s="75"/>
      <c r="C4341" s="67"/>
      <c r="D4341" s="75"/>
      <c r="E4341" s="67"/>
      <c r="F4341" s="67"/>
      <c r="G4341" s="70"/>
      <c r="H4341" s="70"/>
      <c r="I4341" s="70"/>
      <c r="J4341" s="70"/>
      <c r="K4341" s="70"/>
      <c r="L4341" s="67"/>
      <c r="M4341" s="67"/>
      <c r="N4341" s="72"/>
      <c r="O4341" s="72"/>
      <c r="P4341" s="67"/>
      <c r="Q4341" s="67"/>
      <c r="R4341" s="67"/>
      <c r="S4341" s="67"/>
      <c r="T4341" s="32"/>
      <c r="U4341" s="32"/>
      <c r="X4341" s="32"/>
      <c r="Y4341" s="32"/>
      <c r="Z4341" s="32"/>
      <c r="AA4341" s="32"/>
      <c r="AB4341" s="32"/>
    </row>
    <row r="4342" spans="2:28" ht="23.25" customHeight="1" x14ac:dyDescent="0.2">
      <c r="B4342" s="75"/>
      <c r="C4342" s="67"/>
      <c r="D4342" s="75"/>
      <c r="E4342" s="67"/>
      <c r="F4342" s="67"/>
      <c r="G4342" s="70"/>
      <c r="H4342" s="70"/>
      <c r="I4342" s="70"/>
      <c r="J4342" s="70"/>
      <c r="K4342" s="70"/>
      <c r="L4342" s="67"/>
      <c r="M4342" s="67"/>
      <c r="N4342" s="72"/>
      <c r="O4342" s="72"/>
      <c r="P4342" s="67"/>
      <c r="Q4342" s="67"/>
      <c r="R4342" s="67"/>
      <c r="S4342" s="67"/>
      <c r="T4342" s="32"/>
      <c r="U4342" s="32"/>
      <c r="X4342" s="32"/>
      <c r="Y4342" s="32"/>
      <c r="Z4342" s="32"/>
      <c r="AA4342" s="32"/>
      <c r="AB4342" s="32"/>
    </row>
    <row r="4343" spans="2:28" ht="23.25" customHeight="1" x14ac:dyDescent="0.2">
      <c r="B4343" s="75"/>
      <c r="C4343" s="67"/>
      <c r="D4343" s="75"/>
      <c r="E4343" s="67"/>
      <c r="F4343" s="67"/>
      <c r="G4343" s="70"/>
      <c r="H4343" s="70"/>
      <c r="I4343" s="70"/>
      <c r="J4343" s="70"/>
      <c r="K4343" s="70"/>
      <c r="L4343" s="67"/>
      <c r="M4343" s="67"/>
      <c r="N4343" s="72"/>
      <c r="O4343" s="72"/>
      <c r="P4343" s="67"/>
      <c r="Q4343" s="67"/>
      <c r="R4343" s="67"/>
      <c r="S4343" s="67"/>
      <c r="T4343" s="32"/>
      <c r="U4343" s="32"/>
      <c r="X4343" s="32"/>
      <c r="Y4343" s="32"/>
      <c r="Z4343" s="32"/>
      <c r="AA4343" s="32"/>
      <c r="AB4343" s="32"/>
    </row>
    <row r="4344" spans="2:28" ht="23.25" customHeight="1" x14ac:dyDescent="0.2">
      <c r="B4344" s="75"/>
      <c r="C4344" s="67"/>
      <c r="D4344" s="75"/>
      <c r="E4344" s="67"/>
      <c r="F4344" s="67"/>
      <c r="G4344" s="70"/>
      <c r="H4344" s="70"/>
      <c r="I4344" s="70"/>
      <c r="J4344" s="70"/>
      <c r="K4344" s="70"/>
      <c r="L4344" s="67"/>
      <c r="M4344" s="67"/>
      <c r="N4344" s="72"/>
      <c r="O4344" s="72"/>
      <c r="P4344" s="67"/>
      <c r="Q4344" s="67"/>
      <c r="R4344" s="67"/>
      <c r="S4344" s="67"/>
      <c r="T4344" s="32"/>
      <c r="U4344" s="32"/>
      <c r="X4344" s="32"/>
      <c r="Y4344" s="32"/>
      <c r="Z4344" s="32"/>
      <c r="AA4344" s="32"/>
      <c r="AB4344" s="32"/>
    </row>
    <row r="4345" spans="2:28" ht="23.25" customHeight="1" x14ac:dyDescent="0.2">
      <c r="B4345" s="75"/>
      <c r="C4345" s="67"/>
      <c r="D4345" s="75"/>
      <c r="E4345" s="67"/>
      <c r="F4345" s="67"/>
      <c r="G4345" s="70"/>
      <c r="H4345" s="70"/>
      <c r="I4345" s="70"/>
      <c r="J4345" s="70"/>
      <c r="K4345" s="70"/>
      <c r="L4345" s="67"/>
      <c r="M4345" s="67"/>
      <c r="N4345" s="72"/>
      <c r="O4345" s="72"/>
      <c r="P4345" s="67"/>
      <c r="Q4345" s="67"/>
      <c r="R4345" s="67"/>
      <c r="S4345" s="67"/>
      <c r="T4345" s="32"/>
      <c r="U4345" s="32"/>
      <c r="X4345" s="32"/>
      <c r="Y4345" s="32"/>
      <c r="Z4345" s="32"/>
      <c r="AA4345" s="32"/>
      <c r="AB4345" s="32"/>
    </row>
    <row r="4346" spans="2:28" ht="23.25" customHeight="1" x14ac:dyDescent="0.2">
      <c r="B4346" s="75"/>
      <c r="C4346" s="67"/>
      <c r="D4346" s="75"/>
      <c r="E4346" s="67"/>
      <c r="F4346" s="67"/>
      <c r="G4346" s="70"/>
      <c r="H4346" s="70"/>
      <c r="I4346" s="70"/>
      <c r="J4346" s="70"/>
      <c r="K4346" s="70"/>
      <c r="L4346" s="67"/>
      <c r="M4346" s="67"/>
      <c r="N4346" s="72"/>
      <c r="O4346" s="72"/>
      <c r="P4346" s="67"/>
      <c r="Q4346" s="67"/>
      <c r="R4346" s="67"/>
      <c r="S4346" s="67"/>
      <c r="T4346" s="32"/>
      <c r="U4346" s="32"/>
      <c r="X4346" s="32"/>
      <c r="Y4346" s="32"/>
      <c r="Z4346" s="32"/>
      <c r="AA4346" s="32"/>
      <c r="AB4346" s="32"/>
    </row>
    <row r="4347" spans="2:28" ht="23.25" customHeight="1" x14ac:dyDescent="0.2">
      <c r="B4347" s="75"/>
      <c r="C4347" s="67"/>
      <c r="D4347" s="75"/>
      <c r="E4347" s="67"/>
      <c r="F4347" s="67"/>
      <c r="G4347" s="70"/>
      <c r="H4347" s="70"/>
      <c r="I4347" s="70"/>
      <c r="J4347" s="70"/>
      <c r="K4347" s="70"/>
      <c r="L4347" s="67"/>
      <c r="M4347" s="67"/>
      <c r="N4347" s="72"/>
      <c r="O4347" s="72"/>
      <c r="P4347" s="67"/>
      <c r="Q4347" s="67"/>
      <c r="R4347" s="67"/>
      <c r="S4347" s="67"/>
      <c r="T4347" s="32"/>
      <c r="U4347" s="32"/>
      <c r="X4347" s="32"/>
      <c r="Y4347" s="32"/>
      <c r="Z4347" s="32"/>
      <c r="AA4347" s="32"/>
      <c r="AB4347" s="32"/>
    </row>
    <row r="4348" spans="2:28" ht="23.25" customHeight="1" x14ac:dyDescent="0.2">
      <c r="B4348" s="75"/>
      <c r="C4348" s="67"/>
      <c r="D4348" s="75"/>
      <c r="E4348" s="67"/>
      <c r="F4348" s="67"/>
      <c r="G4348" s="70"/>
      <c r="H4348" s="70"/>
      <c r="I4348" s="70"/>
      <c r="J4348" s="70"/>
      <c r="K4348" s="70"/>
      <c r="L4348" s="67"/>
      <c r="M4348" s="67"/>
      <c r="N4348" s="72"/>
      <c r="O4348" s="72"/>
      <c r="P4348" s="67"/>
      <c r="Q4348" s="67"/>
      <c r="R4348" s="67"/>
      <c r="S4348" s="67"/>
      <c r="T4348" s="32"/>
      <c r="U4348" s="32"/>
      <c r="X4348" s="32"/>
      <c r="Y4348" s="32"/>
      <c r="Z4348" s="32"/>
      <c r="AA4348" s="32"/>
      <c r="AB4348" s="32"/>
    </row>
    <row r="4349" spans="2:28" ht="23.25" customHeight="1" x14ac:dyDescent="0.2">
      <c r="B4349" s="75"/>
      <c r="C4349" s="67"/>
      <c r="D4349" s="75"/>
      <c r="E4349" s="67"/>
      <c r="F4349" s="67"/>
      <c r="G4349" s="70"/>
      <c r="H4349" s="70"/>
      <c r="I4349" s="70"/>
      <c r="J4349" s="70"/>
      <c r="K4349" s="70"/>
      <c r="L4349" s="67"/>
      <c r="M4349" s="67"/>
      <c r="N4349" s="72"/>
      <c r="O4349" s="72"/>
      <c r="P4349" s="67"/>
      <c r="Q4349" s="67"/>
      <c r="R4349" s="67"/>
      <c r="S4349" s="67"/>
      <c r="T4349" s="32"/>
      <c r="U4349" s="32"/>
      <c r="X4349" s="32"/>
      <c r="Y4349" s="32"/>
      <c r="Z4349" s="32"/>
      <c r="AA4349" s="32"/>
      <c r="AB4349" s="32"/>
    </row>
    <row r="4350" spans="2:28" ht="23.25" customHeight="1" x14ac:dyDescent="0.2">
      <c r="B4350" s="75"/>
      <c r="C4350" s="67"/>
      <c r="D4350" s="75"/>
      <c r="E4350" s="67"/>
      <c r="F4350" s="67"/>
      <c r="G4350" s="70"/>
      <c r="H4350" s="70"/>
      <c r="I4350" s="70"/>
      <c r="J4350" s="70"/>
      <c r="K4350" s="70"/>
      <c r="L4350" s="67"/>
      <c r="M4350" s="67"/>
      <c r="N4350" s="72"/>
      <c r="O4350" s="72"/>
      <c r="P4350" s="67"/>
      <c r="Q4350" s="67"/>
      <c r="R4350" s="67"/>
      <c r="S4350" s="67"/>
      <c r="T4350" s="32"/>
      <c r="U4350" s="32"/>
      <c r="X4350" s="32"/>
      <c r="Y4350" s="32"/>
      <c r="Z4350" s="32"/>
      <c r="AA4350" s="32"/>
      <c r="AB4350" s="32"/>
    </row>
    <row r="4351" spans="2:28" ht="23.25" customHeight="1" x14ac:dyDescent="0.2">
      <c r="B4351" s="75"/>
      <c r="C4351" s="67"/>
      <c r="D4351" s="75"/>
      <c r="E4351" s="67"/>
      <c r="F4351" s="67"/>
      <c r="G4351" s="70"/>
      <c r="H4351" s="70"/>
      <c r="I4351" s="70"/>
      <c r="J4351" s="70"/>
      <c r="K4351" s="70"/>
      <c r="L4351" s="67"/>
      <c r="M4351" s="67"/>
      <c r="N4351" s="72"/>
      <c r="O4351" s="72"/>
      <c r="P4351" s="67"/>
      <c r="Q4351" s="67"/>
      <c r="R4351" s="67"/>
      <c r="S4351" s="67"/>
      <c r="T4351" s="32"/>
      <c r="U4351" s="32"/>
      <c r="X4351" s="32"/>
      <c r="Y4351" s="32"/>
      <c r="Z4351" s="32"/>
      <c r="AA4351" s="32"/>
      <c r="AB4351" s="32"/>
    </row>
    <row r="4352" spans="2:28" ht="23.25" customHeight="1" x14ac:dyDescent="0.2">
      <c r="B4352" s="75"/>
      <c r="C4352" s="67"/>
      <c r="D4352" s="75"/>
      <c r="E4352" s="67"/>
      <c r="F4352" s="67"/>
      <c r="G4352" s="70"/>
      <c r="H4352" s="70"/>
      <c r="I4352" s="70"/>
      <c r="J4352" s="70"/>
      <c r="K4352" s="70"/>
      <c r="L4352" s="67"/>
      <c r="M4352" s="67"/>
      <c r="N4352" s="72"/>
      <c r="O4352" s="72"/>
      <c r="P4352" s="67"/>
      <c r="Q4352" s="67"/>
      <c r="R4352" s="67"/>
      <c r="S4352" s="67"/>
      <c r="T4352" s="32"/>
      <c r="U4352" s="32"/>
      <c r="X4352" s="32"/>
      <c r="Y4352" s="32"/>
      <c r="Z4352" s="32"/>
      <c r="AA4352" s="32"/>
      <c r="AB4352" s="32"/>
    </row>
    <row r="4353" spans="2:28" ht="23.25" customHeight="1" x14ac:dyDescent="0.2">
      <c r="B4353" s="75"/>
      <c r="C4353" s="67"/>
      <c r="D4353" s="75"/>
      <c r="E4353" s="67"/>
      <c r="F4353" s="67"/>
      <c r="G4353" s="70"/>
      <c r="H4353" s="70"/>
      <c r="I4353" s="70"/>
      <c r="J4353" s="70"/>
      <c r="K4353" s="70"/>
      <c r="L4353" s="67"/>
      <c r="M4353" s="67"/>
      <c r="N4353" s="72"/>
      <c r="O4353" s="72"/>
      <c r="P4353" s="67"/>
      <c r="Q4353" s="67"/>
      <c r="R4353" s="67"/>
      <c r="S4353" s="67"/>
      <c r="T4353" s="32"/>
      <c r="U4353" s="32"/>
      <c r="X4353" s="32"/>
      <c r="Y4353" s="32"/>
      <c r="Z4353" s="32"/>
      <c r="AA4353" s="32"/>
      <c r="AB4353" s="32"/>
    </row>
    <row r="4354" spans="2:28" ht="23.25" customHeight="1" x14ac:dyDescent="0.2">
      <c r="B4354" s="75"/>
      <c r="C4354" s="67"/>
      <c r="D4354" s="75"/>
      <c r="E4354" s="67"/>
      <c r="F4354" s="67"/>
      <c r="G4354" s="70"/>
      <c r="H4354" s="70"/>
      <c r="I4354" s="70"/>
      <c r="J4354" s="70"/>
      <c r="K4354" s="70"/>
      <c r="L4354" s="67"/>
      <c r="M4354" s="67"/>
      <c r="N4354" s="72"/>
      <c r="O4354" s="72"/>
      <c r="P4354" s="67"/>
      <c r="Q4354" s="67"/>
      <c r="R4354" s="67"/>
      <c r="S4354" s="67"/>
      <c r="T4354" s="32"/>
      <c r="U4354" s="32"/>
      <c r="X4354" s="32"/>
      <c r="Y4354" s="32"/>
      <c r="Z4354" s="32"/>
      <c r="AA4354" s="32"/>
      <c r="AB4354" s="32"/>
    </row>
    <row r="4355" spans="2:28" ht="23.25" customHeight="1" x14ac:dyDescent="0.2">
      <c r="B4355" s="75"/>
      <c r="C4355" s="67"/>
      <c r="D4355" s="75"/>
      <c r="E4355" s="67"/>
      <c r="F4355" s="67"/>
      <c r="G4355" s="70"/>
      <c r="H4355" s="70"/>
      <c r="I4355" s="70"/>
      <c r="J4355" s="70"/>
      <c r="K4355" s="70"/>
      <c r="L4355" s="67"/>
      <c r="M4355" s="67"/>
      <c r="N4355" s="72"/>
      <c r="O4355" s="72"/>
      <c r="P4355" s="67"/>
      <c r="Q4355" s="67"/>
      <c r="R4355" s="67"/>
      <c r="S4355" s="67"/>
      <c r="T4355" s="32"/>
      <c r="U4355" s="32"/>
      <c r="X4355" s="32"/>
      <c r="Y4355" s="32"/>
      <c r="Z4355" s="32"/>
      <c r="AA4355" s="32"/>
      <c r="AB4355" s="32"/>
    </row>
    <row r="4356" spans="2:28" ht="23.25" customHeight="1" x14ac:dyDescent="0.2">
      <c r="B4356" s="75"/>
      <c r="C4356" s="67"/>
      <c r="D4356" s="75"/>
      <c r="E4356" s="67"/>
      <c r="F4356" s="67"/>
      <c r="G4356" s="70"/>
      <c r="H4356" s="70"/>
      <c r="I4356" s="70"/>
      <c r="J4356" s="70"/>
      <c r="K4356" s="70"/>
      <c r="L4356" s="67"/>
      <c r="M4356" s="67"/>
      <c r="N4356" s="72"/>
      <c r="O4356" s="72"/>
      <c r="P4356" s="67"/>
      <c r="Q4356" s="67"/>
      <c r="R4356" s="67"/>
      <c r="S4356" s="67"/>
      <c r="T4356" s="32"/>
      <c r="U4356" s="32"/>
      <c r="X4356" s="32"/>
      <c r="Y4356" s="32"/>
      <c r="Z4356" s="32"/>
      <c r="AA4356" s="32"/>
      <c r="AB4356" s="32"/>
    </row>
    <row r="4357" spans="2:28" ht="23.25" customHeight="1" x14ac:dyDescent="0.2">
      <c r="B4357" s="75"/>
      <c r="C4357" s="67"/>
      <c r="D4357" s="75"/>
      <c r="E4357" s="67"/>
      <c r="F4357" s="67"/>
      <c r="G4357" s="70"/>
      <c r="H4357" s="70"/>
      <c r="I4357" s="70"/>
      <c r="J4357" s="70"/>
      <c r="K4357" s="70"/>
      <c r="L4357" s="67"/>
      <c r="M4357" s="67"/>
      <c r="N4357" s="72"/>
      <c r="O4357" s="72"/>
      <c r="P4357" s="67"/>
      <c r="Q4357" s="67"/>
      <c r="R4357" s="67"/>
      <c r="S4357" s="67"/>
      <c r="T4357" s="32"/>
      <c r="U4357" s="32"/>
      <c r="X4357" s="32"/>
      <c r="Y4357" s="32"/>
      <c r="Z4357" s="32"/>
      <c r="AA4357" s="32"/>
      <c r="AB4357" s="32"/>
    </row>
    <row r="4358" spans="2:28" ht="23.25" customHeight="1" x14ac:dyDescent="0.2">
      <c r="B4358" s="75"/>
      <c r="C4358" s="67"/>
      <c r="D4358" s="75"/>
      <c r="E4358" s="67"/>
      <c r="F4358" s="67"/>
      <c r="G4358" s="70"/>
      <c r="H4358" s="70"/>
      <c r="I4358" s="70"/>
      <c r="J4358" s="70"/>
      <c r="K4358" s="70"/>
      <c r="L4358" s="67"/>
      <c r="M4358" s="67"/>
      <c r="N4358" s="72"/>
      <c r="O4358" s="72"/>
      <c r="P4358" s="67"/>
      <c r="Q4358" s="67"/>
      <c r="R4358" s="67"/>
      <c r="S4358" s="67"/>
      <c r="T4358" s="32"/>
      <c r="U4358" s="32"/>
      <c r="X4358" s="32"/>
      <c r="Y4358" s="32"/>
      <c r="Z4358" s="32"/>
      <c r="AA4358" s="32"/>
      <c r="AB4358" s="32"/>
    </row>
    <row r="4359" spans="2:28" ht="23.25" customHeight="1" x14ac:dyDescent="0.2">
      <c r="B4359" s="75"/>
      <c r="C4359" s="67"/>
      <c r="D4359" s="75"/>
      <c r="E4359" s="67"/>
      <c r="F4359" s="67"/>
      <c r="G4359" s="70"/>
      <c r="H4359" s="70"/>
      <c r="I4359" s="70"/>
      <c r="J4359" s="70"/>
      <c r="K4359" s="70"/>
      <c r="L4359" s="67"/>
      <c r="M4359" s="67"/>
      <c r="N4359" s="72"/>
      <c r="O4359" s="72"/>
      <c r="P4359" s="67"/>
      <c r="Q4359" s="67"/>
      <c r="R4359" s="67"/>
      <c r="S4359" s="67"/>
      <c r="T4359" s="32"/>
      <c r="U4359" s="32"/>
      <c r="X4359" s="32"/>
      <c r="Y4359" s="32"/>
      <c r="Z4359" s="32"/>
      <c r="AA4359" s="32"/>
      <c r="AB4359" s="32"/>
    </row>
    <row r="4360" spans="2:28" ht="23.25" customHeight="1" x14ac:dyDescent="0.2">
      <c r="B4360" s="75"/>
      <c r="C4360" s="67"/>
      <c r="D4360" s="75"/>
      <c r="E4360" s="67"/>
      <c r="F4360" s="67"/>
      <c r="G4360" s="70"/>
      <c r="H4360" s="70"/>
      <c r="I4360" s="70"/>
      <c r="J4360" s="70"/>
      <c r="K4360" s="70"/>
      <c r="L4360" s="67"/>
      <c r="M4360" s="67"/>
      <c r="N4360" s="72"/>
      <c r="O4360" s="72"/>
      <c r="P4360" s="67"/>
      <c r="Q4360" s="67"/>
      <c r="R4360" s="67"/>
      <c r="S4360" s="67"/>
      <c r="T4360" s="32"/>
      <c r="U4360" s="32"/>
      <c r="X4360" s="32"/>
      <c r="Y4360" s="32"/>
      <c r="Z4360" s="32"/>
      <c r="AA4360" s="32"/>
      <c r="AB4360" s="32"/>
    </row>
    <row r="4361" spans="2:28" ht="23.25" customHeight="1" x14ac:dyDescent="0.2">
      <c r="B4361" s="75"/>
      <c r="C4361" s="67"/>
      <c r="D4361" s="75"/>
      <c r="E4361" s="67"/>
      <c r="F4361" s="67"/>
      <c r="G4361" s="70"/>
      <c r="H4361" s="70"/>
      <c r="I4361" s="70"/>
      <c r="J4361" s="70"/>
      <c r="K4361" s="70"/>
      <c r="L4361" s="67"/>
      <c r="M4361" s="67"/>
      <c r="N4361" s="72"/>
      <c r="O4361" s="72"/>
      <c r="P4361" s="67"/>
      <c r="Q4361" s="67"/>
      <c r="R4361" s="67"/>
      <c r="S4361" s="67"/>
      <c r="T4361" s="32"/>
      <c r="U4361" s="32"/>
      <c r="X4361" s="32"/>
      <c r="Y4361" s="32"/>
      <c r="Z4361" s="32"/>
      <c r="AA4361" s="32"/>
      <c r="AB4361" s="32"/>
    </row>
    <row r="4362" spans="2:28" ht="23.25" customHeight="1" x14ac:dyDescent="0.2">
      <c r="B4362" s="75"/>
      <c r="C4362" s="67"/>
      <c r="D4362" s="75"/>
      <c r="E4362" s="67"/>
      <c r="F4362" s="67"/>
      <c r="G4362" s="70"/>
      <c r="H4362" s="70"/>
      <c r="I4362" s="70"/>
      <c r="J4362" s="70"/>
      <c r="K4362" s="70"/>
      <c r="L4362" s="67"/>
      <c r="M4362" s="67"/>
      <c r="N4362" s="72"/>
      <c r="O4362" s="72"/>
      <c r="P4362" s="67"/>
      <c r="Q4362" s="67"/>
      <c r="R4362" s="67"/>
      <c r="S4362" s="67"/>
      <c r="T4362" s="32"/>
      <c r="U4362" s="32"/>
      <c r="X4362" s="32"/>
      <c r="Y4362" s="32"/>
      <c r="Z4362" s="32"/>
      <c r="AA4362" s="32"/>
      <c r="AB4362" s="32"/>
    </row>
    <row r="4363" spans="2:28" ht="23.25" customHeight="1" x14ac:dyDescent="0.2">
      <c r="B4363" s="75"/>
      <c r="C4363" s="67"/>
      <c r="D4363" s="75"/>
      <c r="E4363" s="67"/>
      <c r="F4363" s="67"/>
      <c r="G4363" s="70"/>
      <c r="H4363" s="70"/>
      <c r="I4363" s="70"/>
      <c r="J4363" s="70"/>
      <c r="K4363" s="70"/>
      <c r="L4363" s="67"/>
      <c r="M4363" s="67"/>
      <c r="N4363" s="72"/>
      <c r="O4363" s="72"/>
      <c r="P4363" s="67"/>
      <c r="Q4363" s="67"/>
      <c r="R4363" s="67"/>
      <c r="S4363" s="67"/>
      <c r="T4363" s="32"/>
      <c r="U4363" s="32"/>
      <c r="X4363" s="32"/>
      <c r="Y4363" s="32"/>
      <c r="Z4363" s="32"/>
      <c r="AA4363" s="32"/>
      <c r="AB4363" s="32"/>
    </row>
    <row r="4364" spans="2:28" ht="23.25" customHeight="1" x14ac:dyDescent="0.2">
      <c r="B4364" s="75"/>
      <c r="C4364" s="67"/>
      <c r="D4364" s="75"/>
      <c r="E4364" s="67"/>
      <c r="F4364" s="67"/>
      <c r="G4364" s="70"/>
      <c r="H4364" s="70"/>
      <c r="I4364" s="70"/>
      <c r="J4364" s="70"/>
      <c r="K4364" s="70"/>
      <c r="L4364" s="67"/>
      <c r="M4364" s="67"/>
      <c r="N4364" s="72"/>
      <c r="O4364" s="72"/>
      <c r="P4364" s="67"/>
      <c r="Q4364" s="67"/>
      <c r="R4364" s="67"/>
      <c r="S4364" s="67"/>
      <c r="T4364" s="32"/>
      <c r="U4364" s="32"/>
      <c r="X4364" s="32"/>
      <c r="Y4364" s="32"/>
      <c r="Z4364" s="32"/>
      <c r="AA4364" s="32"/>
      <c r="AB4364" s="32"/>
    </row>
    <row r="4365" spans="2:28" ht="23.25" customHeight="1" x14ac:dyDescent="0.2">
      <c r="B4365" s="75"/>
      <c r="C4365" s="67"/>
      <c r="D4365" s="75"/>
      <c r="E4365" s="67"/>
      <c r="F4365" s="67"/>
      <c r="G4365" s="70"/>
      <c r="H4365" s="70"/>
      <c r="I4365" s="70"/>
      <c r="J4365" s="70"/>
      <c r="K4365" s="70"/>
      <c r="L4365" s="67"/>
      <c r="M4365" s="67"/>
      <c r="N4365" s="72"/>
      <c r="O4365" s="72"/>
      <c r="P4365" s="67"/>
      <c r="Q4365" s="67"/>
      <c r="R4365" s="67"/>
      <c r="S4365" s="67"/>
      <c r="T4365" s="32"/>
      <c r="U4365" s="32"/>
      <c r="X4365" s="32"/>
      <c r="Y4365" s="32"/>
      <c r="Z4365" s="32"/>
      <c r="AA4365" s="32"/>
      <c r="AB4365" s="32"/>
    </row>
    <row r="4366" spans="2:28" ht="23.25" customHeight="1" x14ac:dyDescent="0.2">
      <c r="B4366" s="75"/>
      <c r="C4366" s="67"/>
      <c r="D4366" s="75"/>
      <c r="E4366" s="67"/>
      <c r="F4366" s="67"/>
      <c r="G4366" s="70"/>
      <c r="H4366" s="70"/>
      <c r="I4366" s="70"/>
      <c r="J4366" s="70"/>
      <c r="K4366" s="70"/>
      <c r="L4366" s="67"/>
      <c r="M4366" s="67"/>
      <c r="N4366" s="72"/>
      <c r="O4366" s="72"/>
      <c r="P4366" s="67"/>
      <c r="Q4366" s="67"/>
      <c r="R4366" s="67"/>
      <c r="S4366" s="67"/>
      <c r="T4366" s="32"/>
      <c r="U4366" s="32"/>
      <c r="X4366" s="32"/>
      <c r="Y4366" s="32"/>
      <c r="Z4366" s="32"/>
      <c r="AA4366" s="32"/>
      <c r="AB4366" s="32"/>
    </row>
    <row r="4367" spans="2:28" ht="23.25" customHeight="1" x14ac:dyDescent="0.2">
      <c r="B4367" s="75"/>
      <c r="C4367" s="67"/>
      <c r="D4367" s="75"/>
      <c r="E4367" s="67"/>
      <c r="F4367" s="67"/>
      <c r="G4367" s="70"/>
      <c r="H4367" s="70"/>
      <c r="I4367" s="70"/>
      <c r="J4367" s="70"/>
      <c r="K4367" s="70"/>
      <c r="L4367" s="67"/>
      <c r="M4367" s="67"/>
      <c r="N4367" s="72"/>
      <c r="O4367" s="72"/>
      <c r="P4367" s="67"/>
      <c r="Q4367" s="67"/>
      <c r="R4367" s="67"/>
      <c r="S4367" s="67"/>
      <c r="T4367" s="32"/>
      <c r="U4367" s="32"/>
      <c r="X4367" s="32"/>
      <c r="Y4367" s="32"/>
      <c r="Z4367" s="32"/>
      <c r="AA4367" s="32"/>
      <c r="AB4367" s="32"/>
    </row>
    <row r="4368" spans="2:28" ht="23.25" customHeight="1" x14ac:dyDescent="0.2">
      <c r="B4368" s="75"/>
      <c r="C4368" s="67"/>
      <c r="D4368" s="75"/>
      <c r="E4368" s="67"/>
      <c r="F4368" s="67"/>
      <c r="G4368" s="70"/>
      <c r="H4368" s="70"/>
      <c r="I4368" s="70"/>
      <c r="J4368" s="70"/>
      <c r="K4368" s="70"/>
      <c r="L4368" s="67"/>
      <c r="M4368" s="67"/>
      <c r="N4368" s="72"/>
      <c r="O4368" s="72"/>
      <c r="P4368" s="67"/>
      <c r="Q4368" s="67"/>
      <c r="R4368" s="67"/>
      <c r="S4368" s="67"/>
      <c r="T4368" s="32"/>
      <c r="U4368" s="32"/>
      <c r="X4368" s="32"/>
      <c r="Y4368" s="32"/>
      <c r="Z4368" s="32"/>
      <c r="AA4368" s="32"/>
      <c r="AB4368" s="32"/>
    </row>
    <row r="4369" spans="2:28" ht="23.25" customHeight="1" x14ac:dyDescent="0.2">
      <c r="B4369" s="75"/>
      <c r="C4369" s="67"/>
      <c r="D4369" s="75"/>
      <c r="E4369" s="67"/>
      <c r="F4369" s="67"/>
      <c r="G4369" s="70"/>
      <c r="H4369" s="70"/>
      <c r="I4369" s="70"/>
      <c r="J4369" s="70"/>
      <c r="K4369" s="70"/>
      <c r="L4369" s="67"/>
      <c r="M4369" s="67"/>
      <c r="N4369" s="72"/>
      <c r="O4369" s="72"/>
      <c r="P4369" s="67"/>
      <c r="Q4369" s="67"/>
      <c r="R4369" s="67"/>
      <c r="S4369" s="67"/>
      <c r="T4369" s="32"/>
      <c r="U4369" s="32"/>
      <c r="X4369" s="32"/>
      <c r="Y4369" s="32"/>
      <c r="Z4369" s="32"/>
      <c r="AA4369" s="32"/>
      <c r="AB4369" s="32"/>
    </row>
    <row r="4370" spans="2:28" ht="23.25" customHeight="1" x14ac:dyDescent="0.2">
      <c r="B4370" s="75"/>
      <c r="C4370" s="67"/>
      <c r="D4370" s="75"/>
      <c r="E4370" s="67"/>
      <c r="F4370" s="67"/>
      <c r="G4370" s="70"/>
      <c r="H4370" s="70"/>
      <c r="I4370" s="70"/>
      <c r="J4370" s="70"/>
      <c r="K4370" s="70"/>
      <c r="L4370" s="67"/>
      <c r="M4370" s="67"/>
      <c r="N4370" s="72"/>
      <c r="O4370" s="72"/>
      <c r="P4370" s="67"/>
      <c r="Q4370" s="67"/>
      <c r="R4370" s="67"/>
      <c r="S4370" s="67"/>
      <c r="T4370" s="32"/>
      <c r="U4370" s="32"/>
      <c r="X4370" s="32"/>
      <c r="Y4370" s="32"/>
      <c r="Z4370" s="32"/>
      <c r="AA4370" s="32"/>
      <c r="AB4370" s="32"/>
    </row>
    <row r="4371" spans="2:28" ht="23.25" customHeight="1" x14ac:dyDescent="0.2">
      <c r="B4371" s="75"/>
      <c r="C4371" s="67"/>
      <c r="D4371" s="75"/>
      <c r="E4371" s="67"/>
      <c r="F4371" s="67"/>
      <c r="G4371" s="70"/>
      <c r="H4371" s="70"/>
      <c r="I4371" s="70"/>
      <c r="J4371" s="70"/>
      <c r="K4371" s="70"/>
      <c r="L4371" s="67"/>
      <c r="M4371" s="67"/>
      <c r="N4371" s="72"/>
      <c r="O4371" s="72"/>
      <c r="P4371" s="67"/>
      <c r="Q4371" s="67"/>
      <c r="R4371" s="67"/>
      <c r="S4371" s="67"/>
      <c r="T4371" s="32"/>
      <c r="U4371" s="32"/>
      <c r="X4371" s="32"/>
      <c r="Y4371" s="32"/>
      <c r="Z4371" s="32"/>
      <c r="AA4371" s="32"/>
      <c r="AB4371" s="32"/>
    </row>
    <row r="4372" spans="2:28" ht="23.25" customHeight="1" x14ac:dyDescent="0.2">
      <c r="B4372" s="75"/>
      <c r="C4372" s="67"/>
      <c r="D4372" s="75"/>
      <c r="E4372" s="67"/>
      <c r="F4372" s="67"/>
      <c r="G4372" s="70"/>
      <c r="H4372" s="70"/>
      <c r="I4372" s="70"/>
      <c r="J4372" s="70"/>
      <c r="K4372" s="70"/>
      <c r="L4372" s="67"/>
      <c r="M4372" s="67"/>
      <c r="N4372" s="72"/>
      <c r="O4372" s="72"/>
      <c r="P4372" s="67"/>
      <c r="Q4372" s="67"/>
      <c r="R4372" s="67"/>
      <c r="S4372" s="67"/>
      <c r="T4372" s="32"/>
      <c r="U4372" s="32"/>
      <c r="X4372" s="32"/>
      <c r="Y4372" s="32"/>
      <c r="Z4372" s="32"/>
      <c r="AA4372" s="32"/>
      <c r="AB4372" s="32"/>
    </row>
    <row r="4373" spans="2:28" ht="23.25" customHeight="1" x14ac:dyDescent="0.2">
      <c r="B4373" s="75"/>
      <c r="C4373" s="67"/>
      <c r="D4373" s="75"/>
      <c r="E4373" s="67"/>
      <c r="F4373" s="67"/>
      <c r="G4373" s="70"/>
      <c r="H4373" s="70"/>
      <c r="I4373" s="70"/>
      <c r="J4373" s="70"/>
      <c r="K4373" s="70"/>
      <c r="L4373" s="67"/>
      <c r="M4373" s="67"/>
      <c r="N4373" s="72"/>
      <c r="O4373" s="72"/>
      <c r="P4373" s="67"/>
      <c r="Q4373" s="67"/>
      <c r="R4373" s="67"/>
      <c r="S4373" s="67"/>
      <c r="T4373" s="32"/>
      <c r="U4373" s="32"/>
      <c r="X4373" s="32"/>
      <c r="Y4373" s="32"/>
      <c r="Z4373" s="32"/>
      <c r="AA4373" s="32"/>
      <c r="AB4373" s="32"/>
    </row>
    <row r="4374" spans="2:28" ht="23.25" customHeight="1" x14ac:dyDescent="0.2">
      <c r="B4374" s="75"/>
      <c r="C4374" s="67"/>
      <c r="D4374" s="75"/>
      <c r="E4374" s="67"/>
      <c r="F4374" s="67"/>
      <c r="G4374" s="70"/>
      <c r="H4374" s="70"/>
      <c r="I4374" s="70"/>
      <c r="J4374" s="70"/>
      <c r="K4374" s="70"/>
      <c r="L4374" s="67"/>
      <c r="M4374" s="67"/>
      <c r="N4374" s="72"/>
      <c r="O4374" s="72"/>
      <c r="P4374" s="67"/>
      <c r="Q4374" s="67"/>
      <c r="R4374" s="67"/>
      <c r="S4374" s="67"/>
      <c r="T4374" s="32"/>
      <c r="U4374" s="32"/>
      <c r="X4374" s="32"/>
      <c r="Y4374" s="32"/>
      <c r="Z4374" s="32"/>
      <c r="AA4374" s="32"/>
      <c r="AB4374" s="32"/>
    </row>
    <row r="4375" spans="2:28" ht="23.25" customHeight="1" x14ac:dyDescent="0.2">
      <c r="B4375" s="75"/>
      <c r="C4375" s="67"/>
      <c r="D4375" s="75"/>
      <c r="E4375" s="67"/>
      <c r="F4375" s="67"/>
      <c r="G4375" s="70"/>
      <c r="H4375" s="70"/>
      <c r="I4375" s="70"/>
      <c r="J4375" s="70"/>
      <c r="K4375" s="70"/>
      <c r="L4375" s="67"/>
      <c r="M4375" s="67"/>
      <c r="N4375" s="72"/>
      <c r="O4375" s="72"/>
      <c r="P4375" s="67"/>
      <c r="Q4375" s="67"/>
      <c r="R4375" s="67"/>
      <c r="S4375" s="67"/>
      <c r="T4375" s="32"/>
      <c r="U4375" s="32"/>
      <c r="X4375" s="32"/>
      <c r="Y4375" s="32"/>
      <c r="Z4375" s="32"/>
      <c r="AA4375" s="32"/>
      <c r="AB4375" s="32"/>
    </row>
    <row r="4376" spans="2:28" ht="23.25" customHeight="1" x14ac:dyDescent="0.2">
      <c r="B4376" s="75"/>
      <c r="C4376" s="67"/>
      <c r="D4376" s="75"/>
      <c r="E4376" s="67"/>
      <c r="F4376" s="67"/>
      <c r="G4376" s="70"/>
      <c r="H4376" s="70"/>
      <c r="I4376" s="70"/>
      <c r="J4376" s="70"/>
      <c r="K4376" s="70"/>
      <c r="L4376" s="67"/>
      <c r="M4376" s="67"/>
      <c r="N4376" s="72"/>
      <c r="O4376" s="72"/>
      <c r="P4376" s="67"/>
      <c r="Q4376" s="67"/>
      <c r="R4376" s="67"/>
      <c r="S4376" s="67"/>
      <c r="T4376" s="32"/>
      <c r="U4376" s="32"/>
      <c r="X4376" s="32"/>
      <c r="Y4376" s="32"/>
      <c r="Z4376" s="32"/>
      <c r="AA4376" s="32"/>
      <c r="AB4376" s="32"/>
    </row>
    <row r="4377" spans="2:28" ht="23.25" customHeight="1" x14ac:dyDescent="0.2">
      <c r="B4377" s="75"/>
      <c r="C4377" s="67"/>
      <c r="D4377" s="75"/>
      <c r="E4377" s="67"/>
      <c r="F4377" s="67"/>
      <c r="G4377" s="70"/>
      <c r="H4377" s="70"/>
      <c r="I4377" s="70"/>
      <c r="J4377" s="70"/>
      <c r="K4377" s="70"/>
      <c r="L4377" s="67"/>
      <c r="M4377" s="67"/>
      <c r="N4377" s="72"/>
      <c r="O4377" s="72"/>
      <c r="P4377" s="67"/>
      <c r="Q4377" s="67"/>
      <c r="R4377" s="67"/>
      <c r="S4377" s="67"/>
      <c r="T4377" s="32"/>
      <c r="U4377" s="32"/>
      <c r="X4377" s="32"/>
      <c r="Y4377" s="32"/>
      <c r="Z4377" s="32"/>
      <c r="AA4377" s="32"/>
      <c r="AB4377" s="32"/>
    </row>
    <row r="4378" spans="2:28" ht="23.25" customHeight="1" x14ac:dyDescent="0.2">
      <c r="B4378" s="75"/>
      <c r="C4378" s="67"/>
      <c r="D4378" s="75"/>
      <c r="E4378" s="67"/>
      <c r="F4378" s="67"/>
      <c r="G4378" s="70"/>
      <c r="H4378" s="70"/>
      <c r="I4378" s="70"/>
      <c r="J4378" s="70"/>
      <c r="K4378" s="70"/>
      <c r="L4378" s="67"/>
      <c r="M4378" s="67"/>
      <c r="N4378" s="72"/>
      <c r="O4378" s="72"/>
      <c r="P4378" s="67"/>
      <c r="Q4378" s="67"/>
      <c r="R4378" s="67"/>
      <c r="S4378" s="67"/>
      <c r="T4378" s="32"/>
      <c r="U4378" s="32"/>
      <c r="X4378" s="32"/>
      <c r="Y4378" s="32"/>
      <c r="Z4378" s="32"/>
      <c r="AA4378" s="32"/>
      <c r="AB4378" s="32"/>
    </row>
    <row r="4379" spans="2:28" ht="23.25" customHeight="1" x14ac:dyDescent="0.2">
      <c r="B4379" s="75"/>
      <c r="C4379" s="67"/>
      <c r="D4379" s="75"/>
      <c r="E4379" s="67"/>
      <c r="F4379" s="67"/>
      <c r="G4379" s="70"/>
      <c r="H4379" s="70"/>
      <c r="I4379" s="70"/>
      <c r="J4379" s="70"/>
      <c r="K4379" s="70"/>
      <c r="L4379" s="67"/>
      <c r="M4379" s="67"/>
      <c r="N4379" s="72"/>
      <c r="O4379" s="72"/>
      <c r="P4379" s="67"/>
      <c r="Q4379" s="67"/>
      <c r="R4379" s="67"/>
      <c r="S4379" s="67"/>
      <c r="T4379" s="32"/>
      <c r="U4379" s="32"/>
      <c r="X4379" s="32"/>
      <c r="Y4379" s="32"/>
      <c r="Z4379" s="32"/>
      <c r="AA4379" s="32"/>
      <c r="AB4379" s="32"/>
    </row>
    <row r="4380" spans="2:28" ht="23.25" customHeight="1" x14ac:dyDescent="0.2">
      <c r="B4380" s="75"/>
      <c r="C4380" s="67"/>
      <c r="D4380" s="75"/>
      <c r="E4380" s="67"/>
      <c r="F4380" s="67"/>
      <c r="G4380" s="70"/>
      <c r="H4380" s="70"/>
      <c r="I4380" s="70"/>
      <c r="J4380" s="70"/>
      <c r="K4380" s="70"/>
      <c r="L4380" s="67"/>
      <c r="M4380" s="67"/>
      <c r="N4380" s="72"/>
      <c r="O4380" s="72"/>
      <c r="P4380" s="67"/>
      <c r="Q4380" s="67"/>
      <c r="R4380" s="67"/>
      <c r="S4380" s="67"/>
      <c r="T4380" s="32"/>
      <c r="U4380" s="32"/>
      <c r="X4380" s="32"/>
      <c r="Y4380" s="32"/>
      <c r="Z4380" s="32"/>
      <c r="AA4380" s="32"/>
      <c r="AB4380" s="32"/>
    </row>
    <row r="4381" spans="2:28" ht="23.25" customHeight="1" x14ac:dyDescent="0.2">
      <c r="B4381" s="75"/>
      <c r="C4381" s="67"/>
      <c r="D4381" s="75"/>
      <c r="E4381" s="67"/>
      <c r="F4381" s="67"/>
      <c r="G4381" s="70"/>
      <c r="H4381" s="70"/>
      <c r="I4381" s="70"/>
      <c r="J4381" s="70"/>
      <c r="K4381" s="70"/>
      <c r="L4381" s="67"/>
      <c r="M4381" s="67"/>
      <c r="N4381" s="72"/>
      <c r="O4381" s="72"/>
      <c r="P4381" s="67"/>
      <c r="Q4381" s="67"/>
      <c r="R4381" s="67"/>
      <c r="S4381" s="67"/>
      <c r="T4381" s="32"/>
      <c r="U4381" s="32"/>
      <c r="X4381" s="32"/>
      <c r="Y4381" s="32"/>
      <c r="Z4381" s="32"/>
      <c r="AA4381" s="32"/>
      <c r="AB4381" s="32"/>
    </row>
    <row r="4382" spans="2:28" ht="23.25" customHeight="1" x14ac:dyDescent="0.2">
      <c r="B4382" s="75"/>
      <c r="C4382" s="67"/>
      <c r="D4382" s="75"/>
      <c r="E4382" s="67"/>
      <c r="F4382" s="67"/>
      <c r="G4382" s="70"/>
      <c r="H4382" s="70"/>
      <c r="I4382" s="70"/>
      <c r="J4382" s="70"/>
      <c r="K4382" s="70"/>
      <c r="L4382" s="67"/>
      <c r="M4382" s="67"/>
      <c r="N4382" s="72"/>
      <c r="O4382" s="72"/>
      <c r="P4382" s="67"/>
      <c r="Q4382" s="67"/>
      <c r="R4382" s="67"/>
      <c r="S4382" s="67"/>
      <c r="T4382" s="32"/>
      <c r="U4382" s="32"/>
      <c r="X4382" s="32"/>
      <c r="Y4382" s="32"/>
      <c r="Z4382" s="32"/>
      <c r="AA4382" s="32"/>
      <c r="AB4382" s="32"/>
    </row>
    <row r="4383" spans="2:28" ht="23.25" customHeight="1" x14ac:dyDescent="0.2">
      <c r="B4383" s="75"/>
      <c r="C4383" s="67"/>
      <c r="D4383" s="75"/>
      <c r="E4383" s="67"/>
      <c r="F4383" s="67"/>
      <c r="G4383" s="70"/>
      <c r="H4383" s="70"/>
      <c r="I4383" s="70"/>
      <c r="J4383" s="70"/>
      <c r="K4383" s="70"/>
      <c r="L4383" s="67"/>
      <c r="M4383" s="67"/>
      <c r="N4383" s="72"/>
      <c r="O4383" s="72"/>
      <c r="P4383" s="67"/>
      <c r="Q4383" s="67"/>
      <c r="R4383" s="67"/>
      <c r="S4383" s="67"/>
      <c r="T4383" s="32"/>
      <c r="U4383" s="32"/>
      <c r="X4383" s="32"/>
      <c r="Y4383" s="32"/>
      <c r="Z4383" s="32"/>
      <c r="AA4383" s="32"/>
      <c r="AB4383" s="32"/>
    </row>
    <row r="4384" spans="2:28" ht="23.25" customHeight="1" x14ac:dyDescent="0.2">
      <c r="B4384" s="75"/>
      <c r="C4384" s="67"/>
      <c r="D4384" s="75"/>
      <c r="E4384" s="67"/>
      <c r="F4384" s="67"/>
      <c r="G4384" s="70"/>
      <c r="H4384" s="70"/>
      <c r="I4384" s="70"/>
      <c r="J4384" s="70"/>
      <c r="K4384" s="70"/>
      <c r="L4384" s="67"/>
      <c r="M4384" s="67"/>
      <c r="N4384" s="72"/>
      <c r="O4384" s="72"/>
      <c r="P4384" s="67"/>
      <c r="Q4384" s="67"/>
      <c r="R4384" s="67"/>
      <c r="S4384" s="67"/>
      <c r="T4384" s="32"/>
      <c r="U4384" s="32"/>
      <c r="X4384" s="32"/>
      <c r="Y4384" s="32"/>
      <c r="Z4384" s="32"/>
      <c r="AA4384" s="32"/>
      <c r="AB4384" s="32"/>
    </row>
    <row r="4385" spans="2:28" ht="23.25" customHeight="1" x14ac:dyDescent="0.2">
      <c r="B4385" s="75"/>
      <c r="C4385" s="67"/>
      <c r="D4385" s="75"/>
      <c r="E4385" s="67"/>
      <c r="F4385" s="67"/>
      <c r="G4385" s="70"/>
      <c r="H4385" s="70"/>
      <c r="I4385" s="70"/>
      <c r="J4385" s="70"/>
      <c r="K4385" s="70"/>
      <c r="L4385" s="67"/>
      <c r="M4385" s="67"/>
      <c r="N4385" s="72"/>
      <c r="O4385" s="72"/>
      <c r="P4385" s="67"/>
      <c r="Q4385" s="67"/>
      <c r="R4385" s="67"/>
      <c r="S4385" s="67"/>
      <c r="T4385" s="32"/>
      <c r="U4385" s="32"/>
      <c r="X4385" s="32"/>
      <c r="Y4385" s="32"/>
      <c r="Z4385" s="32"/>
      <c r="AA4385" s="32"/>
      <c r="AB4385" s="32"/>
    </row>
    <row r="4386" spans="2:28" ht="23.25" customHeight="1" x14ac:dyDescent="0.2">
      <c r="B4386" s="75"/>
      <c r="C4386" s="67"/>
      <c r="D4386" s="75"/>
      <c r="E4386" s="67"/>
      <c r="F4386" s="67"/>
      <c r="G4386" s="70"/>
      <c r="H4386" s="70"/>
      <c r="I4386" s="70"/>
      <c r="J4386" s="70"/>
      <c r="K4386" s="70"/>
      <c r="L4386" s="67"/>
      <c r="M4386" s="67"/>
      <c r="N4386" s="72"/>
      <c r="O4386" s="72"/>
      <c r="P4386" s="67"/>
      <c r="Q4386" s="67"/>
      <c r="R4386" s="67"/>
      <c r="S4386" s="67"/>
      <c r="T4386" s="32"/>
      <c r="U4386" s="32"/>
      <c r="X4386" s="32"/>
      <c r="Y4386" s="32"/>
      <c r="Z4386" s="32"/>
      <c r="AA4386" s="32"/>
      <c r="AB4386" s="32"/>
    </row>
    <row r="4387" spans="2:28" ht="23.25" customHeight="1" x14ac:dyDescent="0.2">
      <c r="B4387" s="75"/>
      <c r="C4387" s="67"/>
      <c r="D4387" s="75"/>
      <c r="E4387" s="67"/>
      <c r="F4387" s="67"/>
      <c r="G4387" s="70"/>
      <c r="H4387" s="70"/>
      <c r="I4387" s="70"/>
      <c r="J4387" s="70"/>
      <c r="K4387" s="70"/>
      <c r="L4387" s="67"/>
      <c r="M4387" s="67"/>
      <c r="N4387" s="72"/>
      <c r="O4387" s="72"/>
      <c r="P4387" s="67"/>
      <c r="Q4387" s="67"/>
      <c r="R4387" s="67"/>
      <c r="S4387" s="67"/>
      <c r="T4387" s="32"/>
      <c r="U4387" s="32"/>
      <c r="X4387" s="32"/>
      <c r="Y4387" s="32"/>
      <c r="Z4387" s="32"/>
      <c r="AA4387" s="32"/>
      <c r="AB4387" s="32"/>
    </row>
    <row r="4388" spans="2:28" ht="23.25" customHeight="1" x14ac:dyDescent="0.2">
      <c r="B4388" s="75"/>
      <c r="C4388" s="67"/>
      <c r="D4388" s="75"/>
      <c r="E4388" s="67"/>
      <c r="F4388" s="67"/>
      <c r="G4388" s="70"/>
      <c r="H4388" s="70"/>
      <c r="I4388" s="70"/>
      <c r="J4388" s="70"/>
      <c r="K4388" s="70"/>
      <c r="L4388" s="67"/>
      <c r="M4388" s="67"/>
      <c r="N4388" s="72"/>
      <c r="O4388" s="72"/>
      <c r="P4388" s="67"/>
      <c r="Q4388" s="67"/>
      <c r="R4388" s="67"/>
      <c r="S4388" s="67"/>
      <c r="T4388" s="32"/>
      <c r="U4388" s="32"/>
      <c r="X4388" s="32"/>
      <c r="Y4388" s="32"/>
      <c r="Z4388" s="32"/>
      <c r="AA4388" s="32"/>
      <c r="AB4388" s="32"/>
    </row>
    <row r="4389" spans="2:28" ht="23.25" customHeight="1" x14ac:dyDescent="0.2">
      <c r="B4389" s="75"/>
      <c r="C4389" s="67"/>
      <c r="D4389" s="75"/>
      <c r="E4389" s="67"/>
      <c r="F4389" s="67"/>
      <c r="G4389" s="70"/>
      <c r="H4389" s="70"/>
      <c r="I4389" s="70"/>
      <c r="J4389" s="70"/>
      <c r="K4389" s="70"/>
      <c r="L4389" s="67"/>
      <c r="M4389" s="67"/>
      <c r="N4389" s="72"/>
      <c r="O4389" s="72"/>
      <c r="P4389" s="67"/>
      <c r="Q4389" s="67"/>
      <c r="R4389" s="67"/>
      <c r="S4389" s="67"/>
      <c r="T4389" s="32"/>
      <c r="U4389" s="32"/>
      <c r="X4389" s="32"/>
      <c r="Y4389" s="32"/>
      <c r="Z4389" s="32"/>
      <c r="AA4389" s="32"/>
      <c r="AB4389" s="32"/>
    </row>
    <row r="4390" spans="2:28" ht="23.25" customHeight="1" x14ac:dyDescent="0.2">
      <c r="B4390" s="75"/>
      <c r="C4390" s="67"/>
      <c r="D4390" s="75"/>
      <c r="E4390" s="67"/>
      <c r="F4390" s="67"/>
      <c r="G4390" s="70"/>
      <c r="H4390" s="70"/>
      <c r="I4390" s="70"/>
      <c r="J4390" s="70"/>
      <c r="K4390" s="70"/>
      <c r="L4390" s="67"/>
      <c r="M4390" s="67"/>
      <c r="N4390" s="72"/>
      <c r="O4390" s="72"/>
      <c r="P4390" s="67"/>
      <c r="Q4390" s="67"/>
      <c r="R4390" s="67"/>
      <c r="S4390" s="67"/>
      <c r="T4390" s="32"/>
      <c r="U4390" s="32"/>
      <c r="X4390" s="32"/>
      <c r="Y4390" s="32"/>
      <c r="Z4390" s="32"/>
      <c r="AA4390" s="32"/>
      <c r="AB4390" s="32"/>
    </row>
    <row r="4391" spans="2:28" ht="23.25" customHeight="1" x14ac:dyDescent="0.2">
      <c r="B4391" s="75"/>
      <c r="C4391" s="67"/>
      <c r="D4391" s="75"/>
      <c r="E4391" s="67"/>
      <c r="F4391" s="67"/>
      <c r="G4391" s="70"/>
      <c r="H4391" s="70"/>
      <c r="I4391" s="70"/>
      <c r="J4391" s="70"/>
      <c r="K4391" s="70"/>
      <c r="L4391" s="67"/>
      <c r="M4391" s="67"/>
      <c r="N4391" s="72"/>
      <c r="O4391" s="72"/>
      <c r="P4391" s="67"/>
      <c r="Q4391" s="67"/>
      <c r="R4391" s="67"/>
      <c r="S4391" s="67"/>
      <c r="T4391" s="32"/>
      <c r="U4391" s="32"/>
      <c r="X4391" s="32"/>
      <c r="Y4391" s="32"/>
      <c r="Z4391" s="32"/>
      <c r="AA4391" s="32"/>
      <c r="AB4391" s="32"/>
    </row>
    <row r="4392" spans="2:28" ht="23.25" customHeight="1" x14ac:dyDescent="0.2">
      <c r="B4392" s="75"/>
      <c r="C4392" s="67"/>
      <c r="D4392" s="75"/>
      <c r="E4392" s="67"/>
      <c r="F4392" s="67"/>
      <c r="G4392" s="70"/>
      <c r="H4392" s="70"/>
      <c r="I4392" s="70"/>
      <c r="J4392" s="70"/>
      <c r="K4392" s="70"/>
      <c r="L4392" s="67"/>
      <c r="M4392" s="67"/>
      <c r="N4392" s="72"/>
      <c r="O4392" s="72"/>
      <c r="P4392" s="67"/>
      <c r="Q4392" s="67"/>
      <c r="R4392" s="67"/>
      <c r="S4392" s="67"/>
      <c r="T4392" s="32"/>
      <c r="U4392" s="32"/>
      <c r="X4392" s="32"/>
      <c r="Y4392" s="32"/>
      <c r="Z4392" s="32"/>
      <c r="AA4392" s="32"/>
      <c r="AB4392" s="32"/>
    </row>
    <row r="4393" spans="2:28" ht="23.25" customHeight="1" x14ac:dyDescent="0.2">
      <c r="B4393" s="75"/>
      <c r="C4393" s="67"/>
      <c r="D4393" s="75"/>
      <c r="E4393" s="67"/>
      <c r="F4393" s="67"/>
      <c r="G4393" s="70"/>
      <c r="H4393" s="70"/>
      <c r="I4393" s="70"/>
      <c r="J4393" s="70"/>
      <c r="K4393" s="70"/>
      <c r="L4393" s="67"/>
      <c r="M4393" s="67"/>
      <c r="N4393" s="72"/>
      <c r="O4393" s="72"/>
      <c r="P4393" s="67"/>
      <c r="Q4393" s="67"/>
      <c r="R4393" s="67"/>
      <c r="S4393" s="67"/>
      <c r="T4393" s="32"/>
      <c r="U4393" s="32"/>
      <c r="X4393" s="32"/>
      <c r="Y4393" s="32"/>
      <c r="Z4393" s="32"/>
      <c r="AA4393" s="32"/>
      <c r="AB4393" s="32"/>
    </row>
    <row r="4394" spans="2:28" ht="23.25" customHeight="1" x14ac:dyDescent="0.2">
      <c r="B4394" s="75"/>
      <c r="C4394" s="67"/>
      <c r="D4394" s="75"/>
      <c r="E4394" s="67"/>
      <c r="F4394" s="67"/>
      <c r="G4394" s="70"/>
      <c r="H4394" s="70"/>
      <c r="I4394" s="70"/>
      <c r="J4394" s="70"/>
      <c r="K4394" s="70"/>
      <c r="L4394" s="67"/>
      <c r="M4394" s="67"/>
      <c r="N4394" s="72"/>
      <c r="O4394" s="72"/>
      <c r="P4394" s="67"/>
      <c r="Q4394" s="67"/>
      <c r="R4394" s="67"/>
      <c r="S4394" s="67"/>
      <c r="T4394" s="32"/>
      <c r="U4394" s="32"/>
      <c r="X4394" s="32"/>
      <c r="Y4394" s="32"/>
      <c r="Z4394" s="32"/>
      <c r="AA4394" s="32"/>
      <c r="AB4394" s="32"/>
    </row>
    <row r="4395" spans="2:28" ht="23.25" customHeight="1" x14ac:dyDescent="0.2">
      <c r="B4395" s="75"/>
      <c r="C4395" s="67"/>
      <c r="D4395" s="75"/>
      <c r="E4395" s="67"/>
      <c r="F4395" s="67"/>
      <c r="G4395" s="70"/>
      <c r="H4395" s="70"/>
      <c r="I4395" s="70"/>
      <c r="J4395" s="70"/>
      <c r="K4395" s="70"/>
      <c r="L4395" s="67"/>
      <c r="M4395" s="67"/>
      <c r="N4395" s="72"/>
      <c r="O4395" s="72"/>
      <c r="P4395" s="67"/>
      <c r="Q4395" s="67"/>
      <c r="R4395" s="67"/>
      <c r="S4395" s="67"/>
      <c r="T4395" s="32"/>
      <c r="U4395" s="32"/>
      <c r="X4395" s="32"/>
      <c r="Y4395" s="32"/>
      <c r="Z4395" s="32"/>
      <c r="AA4395" s="32"/>
      <c r="AB4395" s="32"/>
    </row>
    <row r="4396" spans="2:28" ht="23.25" customHeight="1" x14ac:dyDescent="0.2">
      <c r="B4396" s="75"/>
      <c r="C4396" s="67"/>
      <c r="D4396" s="75"/>
      <c r="E4396" s="67"/>
      <c r="F4396" s="67"/>
      <c r="G4396" s="70"/>
      <c r="H4396" s="70"/>
      <c r="I4396" s="70"/>
      <c r="J4396" s="70"/>
      <c r="K4396" s="70"/>
      <c r="L4396" s="67"/>
      <c r="M4396" s="67"/>
      <c r="N4396" s="72"/>
      <c r="O4396" s="72"/>
      <c r="P4396" s="67"/>
      <c r="Q4396" s="67"/>
      <c r="R4396" s="67"/>
      <c r="S4396" s="67"/>
      <c r="T4396" s="32"/>
      <c r="U4396" s="32"/>
      <c r="X4396" s="32"/>
      <c r="Y4396" s="32"/>
      <c r="Z4396" s="32"/>
      <c r="AA4396" s="32"/>
      <c r="AB4396" s="32"/>
    </row>
    <row r="4397" spans="2:28" ht="23.25" customHeight="1" x14ac:dyDescent="0.2">
      <c r="B4397" s="75"/>
      <c r="C4397" s="67"/>
      <c r="D4397" s="75"/>
      <c r="E4397" s="67"/>
      <c r="F4397" s="67"/>
      <c r="G4397" s="70"/>
      <c r="H4397" s="70"/>
      <c r="I4397" s="70"/>
      <c r="J4397" s="70"/>
      <c r="K4397" s="70"/>
      <c r="L4397" s="67"/>
      <c r="M4397" s="67"/>
      <c r="N4397" s="72"/>
      <c r="O4397" s="72"/>
      <c r="P4397" s="67"/>
      <c r="Q4397" s="67"/>
      <c r="R4397" s="67"/>
      <c r="S4397" s="67"/>
      <c r="T4397" s="32"/>
      <c r="U4397" s="32"/>
      <c r="X4397" s="32"/>
      <c r="Y4397" s="32"/>
      <c r="Z4397" s="32"/>
      <c r="AA4397" s="32"/>
      <c r="AB4397" s="32"/>
    </row>
    <row r="4398" spans="2:28" ht="23.25" customHeight="1" x14ac:dyDescent="0.2">
      <c r="B4398" s="75"/>
      <c r="C4398" s="67"/>
      <c r="D4398" s="75"/>
      <c r="E4398" s="67"/>
      <c r="F4398" s="67"/>
      <c r="G4398" s="70"/>
      <c r="H4398" s="70"/>
      <c r="I4398" s="70"/>
      <c r="J4398" s="70"/>
      <c r="K4398" s="70"/>
      <c r="L4398" s="67"/>
      <c r="M4398" s="67"/>
      <c r="N4398" s="72"/>
      <c r="O4398" s="72"/>
      <c r="P4398" s="67"/>
      <c r="Q4398" s="67"/>
      <c r="R4398" s="67"/>
      <c r="S4398" s="67"/>
      <c r="T4398" s="32"/>
      <c r="U4398" s="32"/>
      <c r="X4398" s="32"/>
      <c r="Y4398" s="32"/>
      <c r="Z4398" s="32"/>
      <c r="AA4398" s="32"/>
      <c r="AB4398" s="32"/>
    </row>
    <row r="4399" spans="2:28" ht="23.25" customHeight="1" x14ac:dyDescent="0.2">
      <c r="B4399" s="75"/>
      <c r="C4399" s="67"/>
      <c r="D4399" s="75"/>
      <c r="E4399" s="67"/>
      <c r="F4399" s="67"/>
      <c r="G4399" s="70"/>
      <c r="H4399" s="70"/>
      <c r="I4399" s="70"/>
      <c r="J4399" s="70"/>
      <c r="K4399" s="70"/>
      <c r="L4399" s="67"/>
      <c r="M4399" s="67"/>
      <c r="N4399" s="72"/>
      <c r="O4399" s="72"/>
      <c r="P4399" s="67"/>
      <c r="Q4399" s="67"/>
      <c r="R4399" s="67"/>
      <c r="S4399" s="67"/>
      <c r="T4399" s="32"/>
      <c r="U4399" s="32"/>
      <c r="X4399" s="32"/>
      <c r="Y4399" s="32"/>
      <c r="Z4399" s="32"/>
      <c r="AA4399" s="32"/>
      <c r="AB4399" s="32"/>
    </row>
    <row r="4400" spans="2:28" ht="23.25" customHeight="1" x14ac:dyDescent="0.2">
      <c r="B4400" s="75"/>
      <c r="C4400" s="67"/>
      <c r="D4400" s="75"/>
      <c r="E4400" s="67"/>
      <c r="F4400" s="67"/>
      <c r="G4400" s="70"/>
      <c r="H4400" s="70"/>
      <c r="I4400" s="70"/>
      <c r="J4400" s="70"/>
      <c r="K4400" s="70"/>
      <c r="L4400" s="67"/>
      <c r="M4400" s="67"/>
      <c r="N4400" s="72"/>
      <c r="O4400" s="72"/>
      <c r="P4400" s="67"/>
      <c r="Q4400" s="67"/>
      <c r="R4400" s="67"/>
      <c r="S4400" s="67"/>
      <c r="T4400" s="32"/>
      <c r="U4400" s="32"/>
      <c r="X4400" s="32"/>
      <c r="Y4400" s="32"/>
      <c r="Z4400" s="32"/>
      <c r="AA4400" s="32"/>
      <c r="AB4400" s="32"/>
    </row>
    <row r="4401" spans="2:28" ht="23.25" customHeight="1" x14ac:dyDescent="0.2">
      <c r="B4401" s="75"/>
      <c r="C4401" s="67"/>
      <c r="D4401" s="75"/>
      <c r="E4401" s="67"/>
      <c r="F4401" s="67"/>
      <c r="G4401" s="70"/>
      <c r="H4401" s="70"/>
      <c r="I4401" s="70"/>
      <c r="J4401" s="70"/>
      <c r="K4401" s="70"/>
      <c r="L4401" s="67"/>
      <c r="M4401" s="67"/>
      <c r="N4401" s="72"/>
      <c r="O4401" s="72"/>
      <c r="P4401" s="67"/>
      <c r="Q4401" s="67"/>
      <c r="R4401" s="67"/>
      <c r="S4401" s="67"/>
      <c r="T4401" s="32"/>
      <c r="U4401" s="32"/>
      <c r="X4401" s="32"/>
      <c r="Y4401" s="32"/>
      <c r="Z4401" s="32"/>
      <c r="AA4401" s="32"/>
      <c r="AB4401" s="32"/>
    </row>
    <row r="4402" spans="2:28" ht="23.25" customHeight="1" x14ac:dyDescent="0.2">
      <c r="B4402" s="75"/>
      <c r="C4402" s="67"/>
      <c r="D4402" s="75"/>
      <c r="E4402" s="67"/>
      <c r="F4402" s="67"/>
      <c r="G4402" s="70"/>
      <c r="H4402" s="70"/>
      <c r="I4402" s="70"/>
      <c r="J4402" s="70"/>
      <c r="K4402" s="70"/>
      <c r="L4402" s="67"/>
      <c r="M4402" s="67"/>
      <c r="N4402" s="72"/>
      <c r="O4402" s="72"/>
      <c r="P4402" s="67"/>
      <c r="Q4402" s="67"/>
      <c r="R4402" s="67"/>
      <c r="S4402" s="67"/>
      <c r="T4402" s="32"/>
      <c r="U4402" s="32"/>
      <c r="X4402" s="32"/>
      <c r="Y4402" s="32"/>
      <c r="Z4402" s="32"/>
      <c r="AA4402" s="32"/>
      <c r="AB4402" s="32"/>
    </row>
    <row r="4403" spans="2:28" ht="23.25" customHeight="1" x14ac:dyDescent="0.2">
      <c r="B4403" s="75"/>
      <c r="C4403" s="67"/>
      <c r="D4403" s="75"/>
      <c r="E4403" s="67"/>
      <c r="F4403" s="67"/>
      <c r="G4403" s="70"/>
      <c r="H4403" s="70"/>
      <c r="I4403" s="70"/>
      <c r="J4403" s="70"/>
      <c r="K4403" s="70"/>
      <c r="L4403" s="67"/>
      <c r="M4403" s="67"/>
      <c r="N4403" s="72"/>
      <c r="O4403" s="72"/>
      <c r="P4403" s="67"/>
      <c r="Q4403" s="67"/>
      <c r="R4403" s="67"/>
      <c r="S4403" s="67"/>
      <c r="T4403" s="32"/>
      <c r="U4403" s="32"/>
      <c r="X4403" s="32"/>
      <c r="Y4403" s="32"/>
      <c r="Z4403" s="32"/>
      <c r="AA4403" s="32"/>
      <c r="AB4403" s="32"/>
    </row>
    <row r="4404" spans="2:28" ht="23.25" customHeight="1" x14ac:dyDescent="0.2">
      <c r="B4404" s="75"/>
      <c r="C4404" s="67"/>
      <c r="D4404" s="75"/>
      <c r="E4404" s="67"/>
      <c r="F4404" s="67"/>
      <c r="G4404" s="70"/>
      <c r="H4404" s="70"/>
      <c r="I4404" s="70"/>
      <c r="J4404" s="70"/>
      <c r="K4404" s="70"/>
      <c r="L4404" s="67"/>
      <c r="M4404" s="67"/>
      <c r="N4404" s="72"/>
      <c r="O4404" s="72"/>
      <c r="P4404" s="67"/>
      <c r="Q4404" s="67"/>
      <c r="R4404" s="67"/>
      <c r="S4404" s="67"/>
      <c r="T4404" s="32"/>
      <c r="U4404" s="32"/>
      <c r="X4404" s="32"/>
      <c r="Y4404" s="32"/>
      <c r="Z4404" s="32"/>
      <c r="AA4404" s="32"/>
      <c r="AB4404" s="32"/>
    </row>
    <row r="4405" spans="2:28" ht="23.25" customHeight="1" x14ac:dyDescent="0.2">
      <c r="B4405" s="75"/>
      <c r="C4405" s="67"/>
      <c r="D4405" s="75"/>
      <c r="E4405" s="67"/>
      <c r="F4405" s="67"/>
      <c r="G4405" s="70"/>
      <c r="H4405" s="70"/>
      <c r="I4405" s="70"/>
      <c r="J4405" s="70"/>
      <c r="K4405" s="70"/>
      <c r="L4405" s="67"/>
      <c r="M4405" s="67"/>
      <c r="N4405" s="72"/>
      <c r="O4405" s="72"/>
      <c r="P4405" s="67"/>
      <c r="Q4405" s="67"/>
      <c r="R4405" s="67"/>
      <c r="S4405" s="67"/>
      <c r="T4405" s="32"/>
      <c r="U4405" s="32"/>
      <c r="X4405" s="32"/>
      <c r="Y4405" s="32"/>
      <c r="Z4405" s="32"/>
      <c r="AA4405" s="32"/>
      <c r="AB4405" s="32"/>
    </row>
    <row r="4406" spans="2:28" ht="23.25" customHeight="1" x14ac:dyDescent="0.2">
      <c r="B4406" s="75"/>
      <c r="C4406" s="67"/>
      <c r="D4406" s="75"/>
      <c r="E4406" s="67"/>
      <c r="F4406" s="67"/>
      <c r="G4406" s="70"/>
      <c r="H4406" s="70"/>
      <c r="I4406" s="70"/>
      <c r="J4406" s="70"/>
      <c r="K4406" s="70"/>
      <c r="L4406" s="67"/>
      <c r="M4406" s="67"/>
      <c r="N4406" s="72"/>
      <c r="O4406" s="72"/>
      <c r="P4406" s="67"/>
      <c r="Q4406" s="67"/>
      <c r="R4406" s="67"/>
      <c r="S4406" s="67"/>
      <c r="T4406" s="32"/>
      <c r="U4406" s="32"/>
      <c r="X4406" s="32"/>
      <c r="Y4406" s="32"/>
      <c r="Z4406" s="32"/>
      <c r="AA4406" s="32"/>
      <c r="AB4406" s="32"/>
    </row>
    <row r="4407" spans="2:28" ht="23.25" customHeight="1" x14ac:dyDescent="0.2">
      <c r="B4407" s="75"/>
      <c r="C4407" s="67"/>
      <c r="D4407" s="75"/>
      <c r="E4407" s="67"/>
      <c r="F4407" s="67"/>
      <c r="G4407" s="70"/>
      <c r="H4407" s="70"/>
      <c r="I4407" s="70"/>
      <c r="J4407" s="70"/>
      <c r="K4407" s="70"/>
      <c r="L4407" s="67"/>
      <c r="M4407" s="67"/>
      <c r="N4407" s="72"/>
      <c r="O4407" s="72"/>
      <c r="P4407" s="67"/>
      <c r="Q4407" s="67"/>
      <c r="R4407" s="67"/>
      <c r="S4407" s="67"/>
      <c r="T4407" s="32"/>
      <c r="U4407" s="32"/>
      <c r="X4407" s="32"/>
      <c r="Y4407" s="32"/>
      <c r="Z4407" s="32"/>
      <c r="AA4407" s="32"/>
      <c r="AB4407" s="32"/>
    </row>
    <row r="4408" spans="2:28" ht="23.25" customHeight="1" x14ac:dyDescent="0.2">
      <c r="B4408" s="75"/>
      <c r="C4408" s="67"/>
      <c r="D4408" s="75"/>
      <c r="E4408" s="67"/>
      <c r="F4408" s="67"/>
      <c r="G4408" s="70"/>
      <c r="H4408" s="70"/>
      <c r="I4408" s="70"/>
      <c r="J4408" s="70"/>
      <c r="K4408" s="70"/>
      <c r="L4408" s="67"/>
      <c r="M4408" s="67"/>
      <c r="N4408" s="72"/>
      <c r="O4408" s="72"/>
      <c r="P4408" s="67"/>
      <c r="Q4408" s="67"/>
      <c r="R4408" s="67"/>
      <c r="S4408" s="67"/>
      <c r="T4408" s="32"/>
      <c r="U4408" s="32"/>
      <c r="X4408" s="32"/>
      <c r="Y4408" s="32"/>
      <c r="Z4408" s="32"/>
      <c r="AA4408" s="32"/>
      <c r="AB4408" s="32"/>
    </row>
    <row r="4409" spans="2:28" ht="23.25" customHeight="1" x14ac:dyDescent="0.2">
      <c r="B4409" s="75"/>
      <c r="C4409" s="67"/>
      <c r="D4409" s="75"/>
      <c r="E4409" s="67"/>
      <c r="F4409" s="67"/>
      <c r="G4409" s="70"/>
      <c r="H4409" s="70"/>
      <c r="I4409" s="70"/>
      <c r="J4409" s="70"/>
      <c r="K4409" s="70"/>
      <c r="L4409" s="67"/>
      <c r="M4409" s="67"/>
      <c r="N4409" s="72"/>
      <c r="O4409" s="72"/>
      <c r="P4409" s="67"/>
      <c r="Q4409" s="67"/>
      <c r="R4409" s="67"/>
      <c r="S4409" s="67"/>
      <c r="T4409" s="32"/>
      <c r="U4409" s="32"/>
      <c r="X4409" s="32"/>
      <c r="Y4409" s="32"/>
      <c r="Z4409" s="32"/>
      <c r="AA4409" s="32"/>
      <c r="AB4409" s="32"/>
    </row>
    <row r="4410" spans="2:28" ht="23.25" customHeight="1" x14ac:dyDescent="0.2">
      <c r="B4410" s="75"/>
      <c r="C4410" s="67"/>
      <c r="D4410" s="75"/>
      <c r="E4410" s="67"/>
      <c r="F4410" s="67"/>
      <c r="G4410" s="70"/>
      <c r="H4410" s="70"/>
      <c r="I4410" s="70"/>
      <c r="J4410" s="70"/>
      <c r="K4410" s="70"/>
      <c r="L4410" s="67"/>
      <c r="M4410" s="67"/>
      <c r="N4410" s="72"/>
      <c r="O4410" s="72"/>
      <c r="P4410" s="67"/>
      <c r="Q4410" s="67"/>
      <c r="R4410" s="67"/>
      <c r="S4410" s="67"/>
      <c r="T4410" s="32"/>
      <c r="U4410" s="32"/>
      <c r="X4410" s="32"/>
      <c r="Y4410" s="32"/>
      <c r="Z4410" s="32"/>
      <c r="AA4410" s="32"/>
      <c r="AB4410" s="32"/>
    </row>
    <row r="4411" spans="2:28" ht="23.25" customHeight="1" x14ac:dyDescent="0.2">
      <c r="B4411" s="75"/>
      <c r="C4411" s="67"/>
      <c r="D4411" s="75"/>
      <c r="E4411" s="67"/>
      <c r="F4411" s="67"/>
      <c r="G4411" s="70"/>
      <c r="H4411" s="70"/>
      <c r="I4411" s="70"/>
      <c r="J4411" s="70"/>
      <c r="K4411" s="70"/>
      <c r="L4411" s="67"/>
      <c r="M4411" s="67"/>
      <c r="N4411" s="72"/>
      <c r="O4411" s="72"/>
      <c r="P4411" s="67"/>
      <c r="Q4411" s="67"/>
      <c r="R4411" s="67"/>
      <c r="S4411" s="67"/>
      <c r="T4411" s="32"/>
      <c r="U4411" s="32"/>
      <c r="X4411" s="32"/>
      <c r="Y4411" s="32"/>
      <c r="Z4411" s="32"/>
      <c r="AA4411" s="32"/>
      <c r="AB4411" s="32"/>
    </row>
    <row r="4412" spans="2:28" ht="23.25" customHeight="1" x14ac:dyDescent="0.2">
      <c r="B4412" s="75"/>
      <c r="C4412" s="67"/>
      <c r="D4412" s="75"/>
      <c r="E4412" s="67"/>
      <c r="F4412" s="67"/>
      <c r="G4412" s="70"/>
      <c r="H4412" s="70"/>
      <c r="I4412" s="70"/>
      <c r="J4412" s="70"/>
      <c r="K4412" s="70"/>
      <c r="L4412" s="67"/>
      <c r="M4412" s="67"/>
      <c r="N4412" s="72"/>
      <c r="O4412" s="72"/>
      <c r="P4412" s="67"/>
      <c r="Q4412" s="67"/>
      <c r="R4412" s="67"/>
      <c r="S4412" s="67"/>
      <c r="T4412" s="32"/>
      <c r="U4412" s="32"/>
      <c r="X4412" s="32"/>
      <c r="Y4412" s="32"/>
      <c r="Z4412" s="32"/>
      <c r="AA4412" s="32"/>
      <c r="AB4412" s="32"/>
    </row>
    <row r="4413" spans="2:28" ht="23.25" customHeight="1" x14ac:dyDescent="0.2">
      <c r="B4413" s="75"/>
      <c r="C4413" s="67"/>
      <c r="D4413" s="75"/>
      <c r="E4413" s="67"/>
      <c r="F4413" s="67"/>
      <c r="G4413" s="70"/>
      <c r="H4413" s="70"/>
      <c r="I4413" s="70"/>
      <c r="J4413" s="70"/>
      <c r="K4413" s="70"/>
      <c r="L4413" s="67"/>
      <c r="M4413" s="67"/>
      <c r="N4413" s="72"/>
      <c r="O4413" s="72"/>
      <c r="P4413" s="67"/>
      <c r="Q4413" s="67"/>
      <c r="R4413" s="67"/>
      <c r="S4413" s="67"/>
      <c r="T4413" s="32"/>
      <c r="U4413" s="32"/>
      <c r="X4413" s="32"/>
      <c r="Y4413" s="32"/>
      <c r="Z4413" s="32"/>
      <c r="AA4413" s="32"/>
      <c r="AB4413" s="32"/>
    </row>
    <row r="4414" spans="2:28" ht="23.25" customHeight="1" x14ac:dyDescent="0.2">
      <c r="B4414" s="75"/>
      <c r="C4414" s="67"/>
      <c r="D4414" s="75"/>
      <c r="E4414" s="67"/>
      <c r="F4414" s="67"/>
      <c r="G4414" s="70"/>
      <c r="H4414" s="70"/>
      <c r="I4414" s="70"/>
      <c r="J4414" s="70"/>
      <c r="K4414" s="70"/>
      <c r="L4414" s="67"/>
      <c r="M4414" s="67"/>
      <c r="N4414" s="72"/>
      <c r="O4414" s="72"/>
      <c r="P4414" s="67"/>
      <c r="Q4414" s="67"/>
      <c r="R4414" s="67"/>
      <c r="S4414" s="67"/>
      <c r="T4414" s="32"/>
      <c r="U4414" s="32"/>
      <c r="X4414" s="32"/>
      <c r="Y4414" s="32"/>
      <c r="Z4414" s="32"/>
      <c r="AA4414" s="32"/>
      <c r="AB4414" s="32"/>
    </row>
    <row r="4415" spans="2:28" ht="23.25" customHeight="1" x14ac:dyDescent="0.2">
      <c r="B4415" s="75"/>
      <c r="C4415" s="67"/>
      <c r="D4415" s="75"/>
      <c r="E4415" s="67"/>
      <c r="F4415" s="67"/>
      <c r="G4415" s="70"/>
      <c r="H4415" s="70"/>
      <c r="I4415" s="70"/>
      <c r="J4415" s="70"/>
      <c r="K4415" s="70"/>
      <c r="L4415" s="67"/>
      <c r="M4415" s="67"/>
      <c r="N4415" s="72"/>
      <c r="O4415" s="72"/>
      <c r="P4415" s="67"/>
      <c r="Q4415" s="67"/>
      <c r="R4415" s="67"/>
      <c r="S4415" s="67"/>
      <c r="T4415" s="32"/>
      <c r="U4415" s="32"/>
      <c r="X4415" s="32"/>
      <c r="Y4415" s="32"/>
      <c r="Z4415" s="32"/>
      <c r="AA4415" s="32"/>
      <c r="AB4415" s="32"/>
    </row>
    <row r="4416" spans="2:28" ht="23.25" customHeight="1" x14ac:dyDescent="0.2">
      <c r="B4416" s="75"/>
      <c r="C4416" s="67"/>
      <c r="D4416" s="75"/>
      <c r="E4416" s="67"/>
      <c r="F4416" s="67"/>
      <c r="G4416" s="70"/>
      <c r="H4416" s="70"/>
      <c r="I4416" s="70"/>
      <c r="J4416" s="70"/>
      <c r="K4416" s="70"/>
      <c r="L4416" s="67"/>
      <c r="M4416" s="67"/>
      <c r="N4416" s="72"/>
      <c r="O4416" s="72"/>
      <c r="P4416" s="67"/>
      <c r="Q4416" s="67"/>
      <c r="R4416" s="67"/>
      <c r="S4416" s="67"/>
      <c r="T4416" s="32"/>
      <c r="U4416" s="32"/>
      <c r="X4416" s="32"/>
      <c r="Y4416" s="32"/>
      <c r="Z4416" s="32"/>
      <c r="AA4416" s="32"/>
      <c r="AB4416" s="32"/>
    </row>
    <row r="4417" spans="2:28" ht="23.25" customHeight="1" x14ac:dyDescent="0.2">
      <c r="B4417" s="75"/>
      <c r="C4417" s="67"/>
      <c r="D4417" s="75"/>
      <c r="E4417" s="67"/>
      <c r="F4417" s="67"/>
      <c r="G4417" s="70"/>
      <c r="H4417" s="70"/>
      <c r="I4417" s="70"/>
      <c r="J4417" s="70"/>
      <c r="K4417" s="70"/>
      <c r="L4417" s="67"/>
      <c r="M4417" s="67"/>
      <c r="N4417" s="72"/>
      <c r="O4417" s="72"/>
      <c r="P4417" s="67"/>
      <c r="Q4417" s="67"/>
      <c r="R4417" s="67"/>
      <c r="S4417" s="67"/>
      <c r="T4417" s="32"/>
      <c r="U4417" s="32"/>
      <c r="X4417" s="32"/>
      <c r="Y4417" s="32"/>
      <c r="Z4417" s="32"/>
      <c r="AA4417" s="32"/>
      <c r="AB4417" s="32"/>
    </row>
    <row r="4418" spans="2:28" ht="23.25" customHeight="1" x14ac:dyDescent="0.2">
      <c r="B4418" s="75"/>
      <c r="C4418" s="67"/>
      <c r="D4418" s="75"/>
      <c r="E4418" s="67"/>
      <c r="F4418" s="67"/>
      <c r="G4418" s="70"/>
      <c r="H4418" s="70"/>
      <c r="I4418" s="70"/>
      <c r="J4418" s="70"/>
      <c r="K4418" s="70"/>
      <c r="L4418" s="67"/>
      <c r="M4418" s="67"/>
      <c r="N4418" s="72"/>
      <c r="O4418" s="72"/>
      <c r="P4418" s="67"/>
      <c r="Q4418" s="67"/>
      <c r="R4418" s="67"/>
      <c r="S4418" s="67"/>
      <c r="T4418" s="32"/>
      <c r="U4418" s="32"/>
      <c r="X4418" s="32"/>
      <c r="Y4418" s="32"/>
      <c r="Z4418" s="32"/>
      <c r="AA4418" s="32"/>
      <c r="AB4418" s="32"/>
    </row>
    <row r="4419" spans="2:28" ht="23.25" customHeight="1" x14ac:dyDescent="0.2">
      <c r="B4419" s="75"/>
      <c r="C4419" s="67"/>
      <c r="D4419" s="75"/>
      <c r="E4419" s="67"/>
      <c r="F4419" s="67"/>
      <c r="G4419" s="70"/>
      <c r="H4419" s="70"/>
      <c r="I4419" s="70"/>
      <c r="J4419" s="70"/>
      <c r="K4419" s="70"/>
      <c r="L4419" s="67"/>
      <c r="M4419" s="67"/>
      <c r="N4419" s="72"/>
      <c r="O4419" s="72"/>
      <c r="P4419" s="67"/>
      <c r="Q4419" s="67"/>
      <c r="R4419" s="67"/>
      <c r="S4419" s="67"/>
      <c r="T4419" s="32"/>
      <c r="U4419" s="32"/>
      <c r="X4419" s="32"/>
      <c r="Y4419" s="32"/>
      <c r="Z4419" s="32"/>
      <c r="AA4419" s="32"/>
      <c r="AB4419" s="32"/>
    </row>
    <row r="4420" spans="2:28" ht="23.25" customHeight="1" x14ac:dyDescent="0.2">
      <c r="B4420" s="75"/>
      <c r="C4420" s="67"/>
      <c r="D4420" s="75"/>
      <c r="E4420" s="67"/>
      <c r="F4420" s="67"/>
      <c r="G4420" s="70"/>
      <c r="H4420" s="70"/>
      <c r="I4420" s="70"/>
      <c r="J4420" s="70"/>
      <c r="K4420" s="70"/>
      <c r="L4420" s="67"/>
      <c r="M4420" s="67"/>
      <c r="N4420" s="72"/>
      <c r="O4420" s="72"/>
      <c r="P4420" s="67"/>
      <c r="Q4420" s="67"/>
      <c r="R4420" s="67"/>
      <c r="S4420" s="67"/>
      <c r="T4420" s="32"/>
      <c r="U4420" s="32"/>
      <c r="X4420" s="32"/>
      <c r="Y4420" s="32"/>
      <c r="Z4420" s="32"/>
      <c r="AA4420" s="32"/>
      <c r="AB4420" s="32"/>
    </row>
    <row r="4421" spans="2:28" ht="23.25" customHeight="1" x14ac:dyDescent="0.2">
      <c r="B4421" s="75"/>
      <c r="C4421" s="67"/>
      <c r="D4421" s="75"/>
      <c r="E4421" s="67"/>
      <c r="F4421" s="67"/>
      <c r="G4421" s="70"/>
      <c r="H4421" s="70"/>
      <c r="I4421" s="70"/>
      <c r="J4421" s="70"/>
      <c r="K4421" s="70"/>
      <c r="L4421" s="67"/>
      <c r="M4421" s="67"/>
      <c r="N4421" s="72"/>
      <c r="O4421" s="72"/>
      <c r="P4421" s="67"/>
      <c r="Q4421" s="67"/>
      <c r="R4421" s="67"/>
      <c r="S4421" s="67"/>
      <c r="T4421" s="32"/>
      <c r="U4421" s="32"/>
      <c r="X4421" s="32"/>
      <c r="Y4421" s="32"/>
      <c r="Z4421" s="32"/>
      <c r="AA4421" s="32"/>
      <c r="AB4421" s="32"/>
    </row>
    <row r="4422" spans="2:28" ht="23.25" customHeight="1" x14ac:dyDescent="0.2">
      <c r="B4422" s="75"/>
      <c r="C4422" s="67"/>
      <c r="D4422" s="75"/>
      <c r="E4422" s="67"/>
      <c r="F4422" s="67"/>
      <c r="G4422" s="70"/>
      <c r="H4422" s="70"/>
      <c r="I4422" s="70"/>
      <c r="J4422" s="70"/>
      <c r="K4422" s="70"/>
      <c r="L4422" s="67"/>
      <c r="M4422" s="67"/>
      <c r="N4422" s="72"/>
      <c r="O4422" s="72"/>
      <c r="P4422" s="67"/>
      <c r="Q4422" s="67"/>
      <c r="R4422" s="67"/>
      <c r="S4422" s="67"/>
      <c r="T4422" s="32"/>
      <c r="U4422" s="32"/>
      <c r="X4422" s="32"/>
      <c r="Y4422" s="32"/>
      <c r="Z4422" s="32"/>
      <c r="AA4422" s="32"/>
      <c r="AB4422" s="32"/>
    </row>
    <row r="4423" spans="2:28" ht="23.25" customHeight="1" x14ac:dyDescent="0.2">
      <c r="B4423" s="75"/>
      <c r="C4423" s="67"/>
      <c r="D4423" s="75"/>
      <c r="E4423" s="67"/>
      <c r="F4423" s="67"/>
      <c r="G4423" s="70"/>
      <c r="H4423" s="70"/>
      <c r="I4423" s="70"/>
      <c r="J4423" s="70"/>
      <c r="K4423" s="70"/>
      <c r="L4423" s="67"/>
      <c r="M4423" s="67"/>
      <c r="N4423" s="72"/>
      <c r="O4423" s="72"/>
      <c r="P4423" s="67"/>
      <c r="Q4423" s="67"/>
      <c r="R4423" s="67"/>
      <c r="S4423" s="67"/>
      <c r="T4423" s="32"/>
      <c r="U4423" s="32"/>
      <c r="X4423" s="32"/>
      <c r="Y4423" s="32"/>
      <c r="Z4423" s="32"/>
      <c r="AA4423" s="32"/>
      <c r="AB4423" s="32"/>
    </row>
    <row r="4424" spans="2:28" ht="23.25" customHeight="1" x14ac:dyDescent="0.2">
      <c r="B4424" s="75"/>
      <c r="C4424" s="67"/>
      <c r="D4424" s="75"/>
      <c r="E4424" s="67"/>
      <c r="F4424" s="67"/>
      <c r="G4424" s="70"/>
      <c r="H4424" s="70"/>
      <c r="I4424" s="70"/>
      <c r="J4424" s="70"/>
      <c r="K4424" s="70"/>
      <c r="L4424" s="67"/>
      <c r="M4424" s="67"/>
      <c r="N4424" s="72"/>
      <c r="O4424" s="72"/>
      <c r="P4424" s="67"/>
      <c r="Q4424" s="67"/>
      <c r="R4424" s="67"/>
      <c r="S4424" s="67"/>
      <c r="T4424" s="32"/>
      <c r="U4424" s="32"/>
      <c r="X4424" s="32"/>
      <c r="Y4424" s="32"/>
      <c r="Z4424" s="32"/>
      <c r="AA4424" s="32"/>
      <c r="AB4424" s="32"/>
    </row>
    <row r="4425" spans="2:28" ht="23.25" customHeight="1" x14ac:dyDescent="0.2">
      <c r="B4425" s="75"/>
      <c r="C4425" s="67"/>
      <c r="D4425" s="75"/>
      <c r="E4425" s="67"/>
      <c r="F4425" s="67"/>
      <c r="G4425" s="70"/>
      <c r="H4425" s="70"/>
      <c r="I4425" s="70"/>
      <c r="J4425" s="70"/>
      <c r="K4425" s="70"/>
      <c r="L4425" s="67"/>
      <c r="M4425" s="67"/>
      <c r="N4425" s="72"/>
      <c r="O4425" s="72"/>
      <c r="P4425" s="67"/>
      <c r="Q4425" s="67"/>
      <c r="R4425" s="67"/>
      <c r="S4425" s="67"/>
      <c r="T4425" s="32"/>
      <c r="U4425" s="32"/>
      <c r="X4425" s="32"/>
      <c r="Y4425" s="32"/>
      <c r="Z4425" s="32"/>
      <c r="AA4425" s="32"/>
      <c r="AB4425" s="32"/>
    </row>
    <row r="4426" spans="2:28" ht="23.25" customHeight="1" x14ac:dyDescent="0.2">
      <c r="B4426" s="75"/>
      <c r="C4426" s="67"/>
      <c r="D4426" s="75"/>
      <c r="E4426" s="67"/>
      <c r="F4426" s="67"/>
      <c r="G4426" s="70"/>
      <c r="H4426" s="70"/>
      <c r="I4426" s="70"/>
      <c r="J4426" s="70"/>
      <c r="K4426" s="70"/>
      <c r="L4426" s="67"/>
      <c r="M4426" s="67"/>
      <c r="N4426" s="72"/>
      <c r="O4426" s="72"/>
      <c r="P4426" s="67"/>
      <c r="Q4426" s="67"/>
      <c r="R4426" s="67"/>
      <c r="S4426" s="67"/>
      <c r="T4426" s="32"/>
      <c r="U4426" s="32"/>
      <c r="X4426" s="32"/>
      <c r="Y4426" s="32"/>
      <c r="Z4426" s="32"/>
      <c r="AA4426" s="32"/>
      <c r="AB4426" s="32"/>
    </row>
    <row r="4427" spans="2:28" ht="23.25" customHeight="1" x14ac:dyDescent="0.2">
      <c r="B4427" s="75"/>
      <c r="C4427" s="67"/>
      <c r="D4427" s="75"/>
      <c r="E4427" s="67"/>
      <c r="F4427" s="67"/>
      <c r="G4427" s="70"/>
      <c r="H4427" s="70"/>
      <c r="I4427" s="70"/>
      <c r="J4427" s="70"/>
      <c r="K4427" s="70"/>
      <c r="L4427" s="67"/>
      <c r="M4427" s="67"/>
      <c r="N4427" s="72"/>
      <c r="O4427" s="72"/>
      <c r="P4427" s="67"/>
      <c r="Q4427" s="67"/>
      <c r="R4427" s="67"/>
      <c r="S4427" s="67"/>
      <c r="T4427" s="32"/>
      <c r="U4427" s="32"/>
      <c r="X4427" s="32"/>
      <c r="Y4427" s="32"/>
      <c r="Z4427" s="32"/>
      <c r="AA4427" s="32"/>
      <c r="AB4427" s="32"/>
    </row>
    <row r="4428" spans="2:28" ht="23.25" customHeight="1" x14ac:dyDescent="0.2">
      <c r="B4428" s="75"/>
      <c r="C4428" s="67"/>
      <c r="D4428" s="75"/>
      <c r="E4428" s="67"/>
      <c r="F4428" s="67"/>
      <c r="G4428" s="70"/>
      <c r="H4428" s="70"/>
      <c r="I4428" s="70"/>
      <c r="J4428" s="70"/>
      <c r="K4428" s="70"/>
      <c r="L4428" s="67"/>
      <c r="M4428" s="67"/>
      <c r="N4428" s="72"/>
      <c r="O4428" s="72"/>
      <c r="P4428" s="67"/>
      <c r="Q4428" s="67"/>
      <c r="R4428" s="67"/>
      <c r="S4428" s="67"/>
      <c r="T4428" s="32"/>
      <c r="U4428" s="32"/>
      <c r="X4428" s="32"/>
      <c r="Y4428" s="32"/>
      <c r="Z4428" s="32"/>
      <c r="AA4428" s="32"/>
      <c r="AB4428" s="32"/>
    </row>
    <row r="4429" spans="2:28" ht="23.25" customHeight="1" x14ac:dyDescent="0.2">
      <c r="B4429" s="75"/>
      <c r="C4429" s="67"/>
      <c r="D4429" s="75"/>
      <c r="E4429" s="67"/>
      <c r="F4429" s="67"/>
      <c r="G4429" s="70"/>
      <c r="H4429" s="70"/>
      <c r="I4429" s="70"/>
      <c r="J4429" s="70"/>
      <c r="K4429" s="70"/>
      <c r="L4429" s="67"/>
      <c r="M4429" s="67"/>
      <c r="N4429" s="72"/>
      <c r="O4429" s="72"/>
      <c r="P4429" s="67"/>
      <c r="Q4429" s="67"/>
      <c r="R4429" s="67"/>
      <c r="S4429" s="67"/>
      <c r="T4429" s="32"/>
      <c r="U4429" s="32"/>
      <c r="X4429" s="32"/>
      <c r="Y4429" s="32"/>
      <c r="Z4429" s="32"/>
      <c r="AA4429" s="32"/>
      <c r="AB4429" s="32"/>
    </row>
    <row r="4430" spans="2:28" ht="23.25" customHeight="1" x14ac:dyDescent="0.2">
      <c r="B4430" s="75"/>
      <c r="C4430" s="67"/>
      <c r="D4430" s="75"/>
      <c r="E4430" s="67"/>
      <c r="F4430" s="67"/>
      <c r="G4430" s="70"/>
      <c r="H4430" s="70"/>
      <c r="I4430" s="70"/>
      <c r="J4430" s="70"/>
      <c r="K4430" s="70"/>
      <c r="L4430" s="67"/>
      <c r="M4430" s="67"/>
      <c r="N4430" s="72"/>
      <c r="O4430" s="72"/>
      <c r="P4430" s="67"/>
      <c r="Q4430" s="67"/>
      <c r="R4430" s="67"/>
      <c r="S4430" s="67"/>
      <c r="T4430" s="32"/>
      <c r="U4430" s="32"/>
      <c r="X4430" s="32"/>
      <c r="Y4430" s="32"/>
      <c r="Z4430" s="32"/>
      <c r="AA4430" s="32"/>
      <c r="AB4430" s="32"/>
    </row>
    <row r="4431" spans="2:28" ht="23.25" customHeight="1" x14ac:dyDescent="0.2">
      <c r="B4431" s="75"/>
      <c r="C4431" s="67"/>
      <c r="D4431" s="75"/>
      <c r="E4431" s="67"/>
      <c r="F4431" s="67"/>
      <c r="G4431" s="70"/>
      <c r="H4431" s="70"/>
      <c r="I4431" s="70"/>
      <c r="J4431" s="70"/>
      <c r="K4431" s="70"/>
      <c r="L4431" s="67"/>
      <c r="M4431" s="67"/>
      <c r="N4431" s="72"/>
      <c r="O4431" s="72"/>
      <c r="P4431" s="67"/>
      <c r="Q4431" s="67"/>
      <c r="R4431" s="67"/>
      <c r="S4431" s="67"/>
      <c r="T4431" s="32"/>
      <c r="U4431" s="32"/>
      <c r="X4431" s="32"/>
      <c r="Y4431" s="32"/>
      <c r="Z4431" s="32"/>
      <c r="AA4431" s="32"/>
      <c r="AB4431" s="32"/>
    </row>
    <row r="4432" spans="2:28" ht="23.25" customHeight="1" x14ac:dyDescent="0.2">
      <c r="B4432" s="75"/>
      <c r="C4432" s="67"/>
      <c r="D4432" s="75"/>
      <c r="E4432" s="67"/>
      <c r="F4432" s="67"/>
      <c r="G4432" s="70"/>
      <c r="H4432" s="70"/>
      <c r="I4432" s="70"/>
      <c r="J4432" s="70"/>
      <c r="K4432" s="70"/>
      <c r="L4432" s="67"/>
      <c r="M4432" s="67"/>
      <c r="N4432" s="72"/>
      <c r="O4432" s="72"/>
      <c r="P4432" s="67"/>
      <c r="Q4432" s="67"/>
      <c r="R4432" s="67"/>
      <c r="S4432" s="67"/>
      <c r="T4432" s="32"/>
      <c r="U4432" s="32"/>
      <c r="X4432" s="32"/>
      <c r="Y4432" s="32"/>
      <c r="Z4432" s="32"/>
      <c r="AA4432" s="32"/>
      <c r="AB4432" s="32"/>
    </row>
    <row r="4433" spans="2:28" ht="23.25" customHeight="1" x14ac:dyDescent="0.2">
      <c r="B4433" s="75"/>
      <c r="C4433" s="67"/>
      <c r="D4433" s="75"/>
      <c r="E4433" s="67"/>
      <c r="F4433" s="67"/>
      <c r="G4433" s="70"/>
      <c r="H4433" s="70"/>
      <c r="I4433" s="70"/>
      <c r="J4433" s="70"/>
      <c r="K4433" s="70"/>
      <c r="L4433" s="67"/>
      <c r="M4433" s="67"/>
      <c r="N4433" s="72"/>
      <c r="O4433" s="72"/>
      <c r="P4433" s="67"/>
      <c r="Q4433" s="67"/>
      <c r="R4433" s="67"/>
      <c r="S4433" s="67"/>
      <c r="T4433" s="32"/>
      <c r="U4433" s="32"/>
      <c r="X4433" s="32"/>
      <c r="Y4433" s="32"/>
      <c r="Z4433" s="32"/>
      <c r="AA4433" s="32"/>
      <c r="AB4433" s="32"/>
    </row>
    <row r="4434" spans="2:28" ht="23.25" customHeight="1" x14ac:dyDescent="0.2">
      <c r="B4434" s="75"/>
      <c r="C4434" s="67"/>
      <c r="D4434" s="75"/>
      <c r="E4434" s="67"/>
      <c r="F4434" s="67"/>
      <c r="G4434" s="70"/>
      <c r="H4434" s="70"/>
      <c r="I4434" s="70"/>
      <c r="J4434" s="70"/>
      <c r="K4434" s="70"/>
      <c r="L4434" s="67"/>
      <c r="M4434" s="67"/>
      <c r="N4434" s="72"/>
      <c r="O4434" s="72"/>
      <c r="P4434" s="67"/>
      <c r="Q4434" s="67"/>
      <c r="R4434" s="67"/>
      <c r="S4434" s="67"/>
      <c r="T4434" s="32"/>
      <c r="U4434" s="32"/>
      <c r="X4434" s="32"/>
      <c r="Y4434" s="32"/>
      <c r="Z4434" s="32"/>
      <c r="AA4434" s="32"/>
      <c r="AB4434" s="32"/>
    </row>
    <row r="4435" spans="2:28" ht="23.25" customHeight="1" x14ac:dyDescent="0.2">
      <c r="B4435" s="75"/>
      <c r="C4435" s="67"/>
      <c r="D4435" s="75"/>
      <c r="E4435" s="67"/>
      <c r="F4435" s="67"/>
      <c r="G4435" s="70"/>
      <c r="H4435" s="70"/>
      <c r="I4435" s="70"/>
      <c r="J4435" s="70"/>
      <c r="K4435" s="70"/>
      <c r="L4435" s="67"/>
      <c r="M4435" s="67"/>
      <c r="N4435" s="72"/>
      <c r="O4435" s="72"/>
      <c r="P4435" s="67"/>
      <c r="Q4435" s="67"/>
      <c r="R4435" s="67"/>
      <c r="S4435" s="67"/>
      <c r="T4435" s="32"/>
      <c r="U4435" s="32"/>
      <c r="X4435" s="32"/>
      <c r="Y4435" s="32"/>
      <c r="Z4435" s="32"/>
      <c r="AA4435" s="32"/>
      <c r="AB4435" s="32"/>
    </row>
    <row r="4436" spans="2:28" ht="23.25" customHeight="1" x14ac:dyDescent="0.2">
      <c r="B4436" s="75"/>
      <c r="C4436" s="67"/>
      <c r="D4436" s="75"/>
      <c r="E4436" s="67"/>
      <c r="F4436" s="67"/>
      <c r="G4436" s="70"/>
      <c r="H4436" s="70"/>
      <c r="I4436" s="70"/>
      <c r="J4436" s="70"/>
      <c r="K4436" s="70"/>
      <c r="L4436" s="67"/>
      <c r="M4436" s="67"/>
      <c r="N4436" s="72"/>
      <c r="O4436" s="72"/>
      <c r="P4436" s="67"/>
      <c r="Q4436" s="67"/>
      <c r="R4436" s="67"/>
      <c r="S4436" s="67"/>
      <c r="T4436" s="32"/>
      <c r="U4436" s="32"/>
      <c r="X4436" s="32"/>
      <c r="Y4436" s="32"/>
      <c r="Z4436" s="32"/>
      <c r="AA4436" s="32"/>
      <c r="AB4436" s="32"/>
    </row>
    <row r="4437" spans="2:28" ht="23.25" customHeight="1" x14ac:dyDescent="0.2">
      <c r="B4437" s="75"/>
      <c r="C4437" s="67"/>
      <c r="D4437" s="75"/>
      <c r="E4437" s="67"/>
      <c r="F4437" s="67"/>
      <c r="G4437" s="70"/>
      <c r="H4437" s="70"/>
      <c r="I4437" s="70"/>
      <c r="J4437" s="70"/>
      <c r="K4437" s="70"/>
      <c r="L4437" s="67"/>
      <c r="M4437" s="67"/>
      <c r="N4437" s="72"/>
      <c r="O4437" s="72"/>
      <c r="P4437" s="67"/>
      <c r="Q4437" s="67"/>
      <c r="R4437" s="67"/>
      <c r="S4437" s="67"/>
      <c r="T4437" s="32"/>
      <c r="U4437" s="32"/>
      <c r="X4437" s="32"/>
      <c r="Y4437" s="32"/>
      <c r="Z4437" s="32"/>
      <c r="AA4437" s="32"/>
      <c r="AB4437" s="32"/>
    </row>
    <row r="4438" spans="2:28" ht="23.25" customHeight="1" x14ac:dyDescent="0.2">
      <c r="B4438" s="75"/>
      <c r="C4438" s="67"/>
      <c r="D4438" s="75"/>
      <c r="E4438" s="67"/>
      <c r="F4438" s="67"/>
      <c r="G4438" s="70"/>
      <c r="H4438" s="70"/>
      <c r="I4438" s="70"/>
      <c r="J4438" s="70"/>
      <c r="K4438" s="70"/>
      <c r="L4438" s="67"/>
      <c r="M4438" s="67"/>
      <c r="N4438" s="72"/>
      <c r="O4438" s="72"/>
      <c r="P4438" s="67"/>
      <c r="Q4438" s="67"/>
      <c r="R4438" s="67"/>
      <c r="S4438" s="67"/>
      <c r="T4438" s="32"/>
      <c r="U4438" s="32"/>
      <c r="X4438" s="32"/>
      <c r="Y4438" s="32"/>
      <c r="Z4438" s="32"/>
      <c r="AA4438" s="32"/>
      <c r="AB4438" s="32"/>
    </row>
    <row r="4439" spans="2:28" ht="23.25" customHeight="1" x14ac:dyDescent="0.2">
      <c r="B4439" s="75"/>
      <c r="C4439" s="67"/>
      <c r="D4439" s="75"/>
      <c r="E4439" s="67"/>
      <c r="F4439" s="67"/>
      <c r="G4439" s="70"/>
      <c r="H4439" s="70"/>
      <c r="I4439" s="70"/>
      <c r="J4439" s="70"/>
      <c r="K4439" s="70"/>
      <c r="L4439" s="67"/>
      <c r="M4439" s="67"/>
      <c r="N4439" s="72"/>
      <c r="O4439" s="72"/>
      <c r="P4439" s="67"/>
      <c r="Q4439" s="67"/>
      <c r="R4439" s="67"/>
      <c r="S4439" s="67"/>
      <c r="T4439" s="32"/>
      <c r="U4439" s="32"/>
      <c r="X4439" s="32"/>
      <c r="Y4439" s="32"/>
      <c r="Z4439" s="32"/>
      <c r="AA4439" s="32"/>
      <c r="AB4439" s="32"/>
    </row>
    <row r="4440" spans="2:28" ht="23.25" customHeight="1" x14ac:dyDescent="0.2">
      <c r="B4440" s="75"/>
      <c r="C4440" s="67"/>
      <c r="D4440" s="75"/>
      <c r="E4440" s="67"/>
      <c r="F4440" s="67"/>
      <c r="G4440" s="70"/>
      <c r="H4440" s="70"/>
      <c r="I4440" s="70"/>
      <c r="J4440" s="70"/>
      <c r="K4440" s="70"/>
      <c r="L4440" s="67"/>
      <c r="M4440" s="67"/>
      <c r="N4440" s="72"/>
      <c r="O4440" s="72"/>
      <c r="P4440" s="67"/>
      <c r="Q4440" s="67"/>
      <c r="R4440" s="67"/>
      <c r="S4440" s="67"/>
      <c r="T4440" s="32"/>
      <c r="U4440" s="32"/>
      <c r="X4440" s="32"/>
      <c r="Y4440" s="32"/>
      <c r="Z4440" s="32"/>
      <c r="AA4440" s="32"/>
      <c r="AB4440" s="32"/>
    </row>
    <row r="4441" spans="2:28" ht="23.25" customHeight="1" x14ac:dyDescent="0.2">
      <c r="B4441" s="75"/>
      <c r="C4441" s="67"/>
      <c r="D4441" s="75"/>
      <c r="E4441" s="67"/>
      <c r="F4441" s="67"/>
      <c r="G4441" s="70"/>
      <c r="H4441" s="70"/>
      <c r="I4441" s="70"/>
      <c r="J4441" s="70"/>
      <c r="K4441" s="70"/>
      <c r="L4441" s="67"/>
      <c r="M4441" s="67"/>
      <c r="N4441" s="72"/>
      <c r="O4441" s="72"/>
      <c r="P4441" s="67"/>
      <c r="Q4441" s="67"/>
      <c r="R4441" s="67"/>
      <c r="S4441" s="67"/>
      <c r="T4441" s="32"/>
      <c r="U4441" s="32"/>
      <c r="X4441" s="32"/>
      <c r="Y4441" s="32"/>
      <c r="Z4441" s="32"/>
      <c r="AA4441" s="32"/>
      <c r="AB4441" s="32"/>
    </row>
    <row r="4442" spans="2:28" ht="23.25" customHeight="1" x14ac:dyDescent="0.2">
      <c r="B4442" s="75"/>
      <c r="C4442" s="67"/>
      <c r="D4442" s="75"/>
      <c r="E4442" s="67"/>
      <c r="F4442" s="67"/>
      <c r="G4442" s="70"/>
      <c r="H4442" s="70"/>
      <c r="I4442" s="70"/>
      <c r="J4442" s="70"/>
      <c r="K4442" s="70"/>
      <c r="L4442" s="67"/>
      <c r="M4442" s="67"/>
      <c r="N4442" s="72"/>
      <c r="O4442" s="72"/>
      <c r="P4442" s="67"/>
      <c r="Q4442" s="67"/>
      <c r="R4442" s="67"/>
      <c r="S4442" s="67"/>
      <c r="T4442" s="32"/>
      <c r="U4442" s="32"/>
      <c r="X4442" s="32"/>
      <c r="Y4442" s="32"/>
      <c r="Z4442" s="32"/>
      <c r="AA4442" s="32"/>
      <c r="AB4442" s="32"/>
    </row>
    <row r="4443" spans="2:28" ht="23.25" customHeight="1" x14ac:dyDescent="0.2">
      <c r="B4443" s="75"/>
      <c r="C4443" s="67"/>
      <c r="D4443" s="75"/>
      <c r="E4443" s="67"/>
      <c r="F4443" s="67"/>
      <c r="G4443" s="70"/>
      <c r="H4443" s="70"/>
      <c r="I4443" s="70"/>
      <c r="J4443" s="70"/>
      <c r="K4443" s="70"/>
      <c r="L4443" s="67"/>
      <c r="M4443" s="67"/>
      <c r="N4443" s="72"/>
      <c r="O4443" s="72"/>
      <c r="P4443" s="67"/>
      <c r="Q4443" s="67"/>
      <c r="R4443" s="67"/>
      <c r="S4443" s="67"/>
      <c r="T4443" s="32"/>
      <c r="U4443" s="32"/>
      <c r="X4443" s="32"/>
      <c r="Y4443" s="32"/>
      <c r="Z4443" s="32"/>
      <c r="AA4443" s="32"/>
      <c r="AB4443" s="32"/>
    </row>
    <row r="4444" spans="2:28" ht="23.25" customHeight="1" x14ac:dyDescent="0.2">
      <c r="B4444" s="75"/>
      <c r="C4444" s="67"/>
      <c r="D4444" s="75"/>
      <c r="E4444" s="67"/>
      <c r="F4444" s="67"/>
      <c r="G4444" s="70"/>
      <c r="H4444" s="70"/>
      <c r="I4444" s="70"/>
      <c r="J4444" s="70"/>
      <c r="K4444" s="70"/>
      <c r="L4444" s="67"/>
      <c r="M4444" s="67"/>
      <c r="N4444" s="72"/>
      <c r="O4444" s="72"/>
      <c r="P4444" s="67"/>
      <c r="Q4444" s="67"/>
      <c r="R4444" s="67"/>
      <c r="S4444" s="67"/>
      <c r="T4444" s="32"/>
      <c r="U4444" s="32"/>
      <c r="X4444" s="32"/>
      <c r="Y4444" s="32"/>
      <c r="Z4444" s="32"/>
      <c r="AA4444" s="32"/>
      <c r="AB4444" s="32"/>
    </row>
    <row r="4445" spans="2:28" ht="23.25" customHeight="1" x14ac:dyDescent="0.2">
      <c r="B4445" s="75"/>
      <c r="C4445" s="67"/>
      <c r="D4445" s="75"/>
      <c r="E4445" s="67"/>
      <c r="F4445" s="67"/>
      <c r="G4445" s="70"/>
      <c r="H4445" s="70"/>
      <c r="I4445" s="70"/>
      <c r="J4445" s="70"/>
      <c r="K4445" s="70"/>
      <c r="L4445" s="67"/>
      <c r="M4445" s="67"/>
      <c r="N4445" s="72"/>
      <c r="O4445" s="72"/>
      <c r="P4445" s="67"/>
      <c r="Q4445" s="67"/>
      <c r="R4445" s="67"/>
      <c r="S4445" s="67"/>
      <c r="T4445" s="32"/>
      <c r="U4445" s="32"/>
      <c r="X4445" s="32"/>
      <c r="Y4445" s="32"/>
      <c r="Z4445" s="32"/>
      <c r="AA4445" s="32"/>
      <c r="AB4445" s="32"/>
    </row>
    <row r="4446" spans="2:28" ht="23.25" customHeight="1" x14ac:dyDescent="0.2">
      <c r="B4446" s="75"/>
      <c r="C4446" s="67"/>
      <c r="D4446" s="75"/>
      <c r="E4446" s="67"/>
      <c r="F4446" s="67"/>
      <c r="G4446" s="70"/>
      <c r="H4446" s="70"/>
      <c r="I4446" s="70"/>
      <c r="J4446" s="70"/>
      <c r="K4446" s="70"/>
      <c r="L4446" s="67"/>
      <c r="M4446" s="67"/>
      <c r="N4446" s="72"/>
      <c r="O4446" s="72"/>
      <c r="P4446" s="67"/>
      <c r="Q4446" s="67"/>
      <c r="R4446" s="67"/>
      <c r="S4446" s="67"/>
      <c r="T4446" s="32"/>
      <c r="U4446" s="32"/>
      <c r="X4446" s="32"/>
      <c r="Y4446" s="32"/>
      <c r="Z4446" s="32"/>
      <c r="AA4446" s="32"/>
      <c r="AB4446" s="32"/>
    </row>
    <row r="4447" spans="2:28" ht="23.25" customHeight="1" x14ac:dyDescent="0.2">
      <c r="B4447" s="75"/>
      <c r="C4447" s="67"/>
      <c r="D4447" s="75"/>
      <c r="E4447" s="67"/>
      <c r="F4447" s="67"/>
      <c r="G4447" s="70"/>
      <c r="H4447" s="70"/>
      <c r="I4447" s="70"/>
      <c r="J4447" s="70"/>
      <c r="K4447" s="70"/>
      <c r="L4447" s="67"/>
      <c r="M4447" s="67"/>
      <c r="N4447" s="72"/>
      <c r="O4447" s="72"/>
      <c r="P4447" s="67"/>
      <c r="Q4447" s="67"/>
      <c r="R4447" s="67"/>
      <c r="S4447" s="67"/>
      <c r="T4447" s="32"/>
      <c r="U4447" s="32"/>
      <c r="X4447" s="32"/>
      <c r="Y4447" s="32"/>
      <c r="Z4447" s="32"/>
      <c r="AA4447" s="32"/>
      <c r="AB4447" s="32"/>
    </row>
    <row r="4448" spans="2:28" ht="23.25" customHeight="1" x14ac:dyDescent="0.2">
      <c r="B4448" s="75"/>
      <c r="C4448" s="67"/>
      <c r="D4448" s="75"/>
      <c r="E4448" s="67"/>
      <c r="F4448" s="67"/>
      <c r="G4448" s="70"/>
      <c r="H4448" s="70"/>
      <c r="I4448" s="70"/>
      <c r="J4448" s="70"/>
      <c r="K4448" s="70"/>
      <c r="L4448" s="67"/>
      <c r="M4448" s="67"/>
      <c r="N4448" s="72"/>
      <c r="O4448" s="72"/>
      <c r="P4448" s="67"/>
      <c r="Q4448" s="67"/>
      <c r="R4448" s="67"/>
      <c r="S4448" s="67"/>
      <c r="T4448" s="32"/>
      <c r="U4448" s="32"/>
      <c r="X4448" s="32"/>
      <c r="Y4448" s="32"/>
      <c r="Z4448" s="32"/>
      <c r="AA4448" s="32"/>
      <c r="AB4448" s="32"/>
    </row>
    <row r="4449" spans="2:28" ht="23.25" customHeight="1" x14ac:dyDescent="0.2">
      <c r="B4449" s="75"/>
      <c r="C4449" s="67"/>
      <c r="D4449" s="75"/>
      <c r="E4449" s="67"/>
      <c r="F4449" s="67"/>
      <c r="G4449" s="70"/>
      <c r="H4449" s="70"/>
      <c r="I4449" s="70"/>
      <c r="J4449" s="70"/>
      <c r="K4449" s="70"/>
      <c r="L4449" s="67"/>
      <c r="M4449" s="67"/>
      <c r="N4449" s="72"/>
      <c r="O4449" s="72"/>
      <c r="P4449" s="67"/>
      <c r="Q4449" s="67"/>
      <c r="R4449" s="67"/>
      <c r="S4449" s="67"/>
      <c r="T4449" s="32"/>
      <c r="U4449" s="32"/>
      <c r="X4449" s="32"/>
      <c r="Y4449" s="32"/>
      <c r="Z4449" s="32"/>
      <c r="AA4449" s="32"/>
      <c r="AB4449" s="32"/>
    </row>
    <row r="4450" spans="2:28" ht="23.25" customHeight="1" x14ac:dyDescent="0.2">
      <c r="B4450" s="75"/>
      <c r="C4450" s="67"/>
      <c r="D4450" s="75"/>
      <c r="E4450" s="67"/>
      <c r="F4450" s="67"/>
      <c r="G4450" s="70"/>
      <c r="H4450" s="70"/>
      <c r="I4450" s="70"/>
      <c r="J4450" s="70"/>
      <c r="K4450" s="70"/>
      <c r="L4450" s="67"/>
      <c r="M4450" s="67"/>
      <c r="N4450" s="72"/>
      <c r="O4450" s="72"/>
      <c r="P4450" s="67"/>
      <c r="Q4450" s="67"/>
      <c r="R4450" s="67"/>
      <c r="S4450" s="67"/>
      <c r="T4450" s="32"/>
      <c r="U4450" s="32"/>
      <c r="X4450" s="32"/>
      <c r="Y4450" s="32"/>
      <c r="Z4450" s="32"/>
      <c r="AA4450" s="32"/>
      <c r="AB4450" s="32"/>
    </row>
    <row r="4451" spans="2:28" ht="23.25" customHeight="1" x14ac:dyDescent="0.2">
      <c r="B4451" s="75"/>
      <c r="C4451" s="67"/>
      <c r="D4451" s="75"/>
      <c r="E4451" s="67"/>
      <c r="F4451" s="67"/>
      <c r="G4451" s="70"/>
      <c r="H4451" s="70"/>
      <c r="I4451" s="70"/>
      <c r="J4451" s="70"/>
      <c r="K4451" s="70"/>
      <c r="L4451" s="67"/>
      <c r="M4451" s="67"/>
      <c r="N4451" s="72"/>
      <c r="O4451" s="72"/>
      <c r="P4451" s="67"/>
      <c r="Q4451" s="67"/>
      <c r="R4451" s="67"/>
      <c r="S4451" s="67"/>
      <c r="T4451" s="32"/>
      <c r="U4451" s="32"/>
      <c r="X4451" s="32"/>
      <c r="Y4451" s="32"/>
      <c r="Z4451" s="32"/>
      <c r="AA4451" s="32"/>
      <c r="AB4451" s="32"/>
    </row>
    <row r="4452" spans="2:28" ht="23.25" customHeight="1" x14ac:dyDescent="0.2">
      <c r="B4452" s="75"/>
      <c r="C4452" s="67"/>
      <c r="D4452" s="75"/>
      <c r="E4452" s="67"/>
      <c r="F4452" s="67"/>
      <c r="G4452" s="70"/>
      <c r="H4452" s="70"/>
      <c r="I4452" s="70"/>
      <c r="J4452" s="70"/>
      <c r="K4452" s="70"/>
      <c r="L4452" s="67"/>
      <c r="M4452" s="67"/>
      <c r="N4452" s="72"/>
      <c r="O4452" s="72"/>
      <c r="P4452" s="67"/>
      <c r="Q4452" s="67"/>
      <c r="R4452" s="67"/>
      <c r="S4452" s="67"/>
      <c r="T4452" s="32"/>
      <c r="U4452" s="32"/>
      <c r="X4452" s="32"/>
      <c r="Y4452" s="32"/>
      <c r="Z4452" s="32"/>
      <c r="AA4452" s="32"/>
      <c r="AB4452" s="32"/>
    </row>
    <row r="4453" spans="2:28" ht="23.25" customHeight="1" x14ac:dyDescent="0.2">
      <c r="B4453" s="75"/>
      <c r="C4453" s="67"/>
      <c r="D4453" s="75"/>
      <c r="E4453" s="67"/>
      <c r="F4453" s="67"/>
      <c r="G4453" s="70"/>
      <c r="H4453" s="70"/>
      <c r="I4453" s="70"/>
      <c r="J4453" s="70"/>
      <c r="K4453" s="70"/>
      <c r="L4453" s="67"/>
      <c r="M4453" s="67"/>
      <c r="N4453" s="72"/>
      <c r="O4453" s="72"/>
      <c r="P4453" s="67"/>
      <c r="Q4453" s="67"/>
      <c r="R4453" s="67"/>
      <c r="S4453" s="67"/>
      <c r="T4453" s="32"/>
      <c r="U4453" s="32"/>
      <c r="X4453" s="32"/>
      <c r="Y4453" s="32"/>
      <c r="Z4453" s="32"/>
      <c r="AA4453" s="32"/>
      <c r="AB4453" s="32"/>
    </row>
    <row r="4454" spans="2:28" ht="23.25" customHeight="1" x14ac:dyDescent="0.2">
      <c r="B4454" s="75"/>
      <c r="C4454" s="67"/>
      <c r="D4454" s="75"/>
      <c r="E4454" s="67"/>
      <c r="F4454" s="67"/>
      <c r="G4454" s="70"/>
      <c r="H4454" s="70"/>
      <c r="I4454" s="70"/>
      <c r="J4454" s="70"/>
      <c r="K4454" s="70"/>
      <c r="L4454" s="67"/>
      <c r="M4454" s="67"/>
      <c r="N4454" s="72"/>
      <c r="O4454" s="72"/>
      <c r="P4454" s="67"/>
      <c r="Q4454" s="67"/>
      <c r="R4454" s="67"/>
      <c r="S4454" s="67"/>
      <c r="T4454" s="32"/>
      <c r="U4454" s="32"/>
      <c r="X4454" s="32"/>
      <c r="Y4454" s="32"/>
      <c r="Z4454" s="32"/>
      <c r="AA4454" s="32"/>
      <c r="AB4454" s="32"/>
    </row>
    <row r="4455" spans="2:28" ht="23.25" customHeight="1" x14ac:dyDescent="0.2">
      <c r="B4455" s="75"/>
      <c r="C4455" s="67"/>
      <c r="D4455" s="75"/>
      <c r="E4455" s="67"/>
      <c r="F4455" s="67"/>
      <c r="G4455" s="70"/>
      <c r="H4455" s="70"/>
      <c r="I4455" s="70"/>
      <c r="J4455" s="70"/>
      <c r="K4455" s="70"/>
      <c r="L4455" s="67"/>
      <c r="M4455" s="67"/>
      <c r="N4455" s="72"/>
      <c r="O4455" s="72"/>
      <c r="P4455" s="67"/>
      <c r="Q4455" s="67"/>
      <c r="R4455" s="67"/>
      <c r="S4455" s="67"/>
      <c r="T4455" s="32"/>
      <c r="U4455" s="32"/>
      <c r="X4455" s="32"/>
      <c r="Y4455" s="32"/>
      <c r="Z4455" s="32"/>
      <c r="AA4455" s="32"/>
      <c r="AB4455" s="32"/>
    </row>
    <row r="4456" spans="2:28" ht="23.25" customHeight="1" x14ac:dyDescent="0.2">
      <c r="B4456" s="75"/>
      <c r="C4456" s="67"/>
      <c r="D4456" s="75"/>
      <c r="E4456" s="67"/>
      <c r="F4456" s="67"/>
      <c r="G4456" s="70"/>
      <c r="H4456" s="70"/>
      <c r="I4456" s="70"/>
      <c r="J4456" s="70"/>
      <c r="K4456" s="70"/>
      <c r="L4456" s="67"/>
      <c r="M4456" s="67"/>
      <c r="N4456" s="72"/>
      <c r="O4456" s="72"/>
      <c r="P4456" s="67"/>
      <c r="Q4456" s="67"/>
      <c r="R4456" s="67"/>
      <c r="S4456" s="67"/>
      <c r="T4456" s="32"/>
      <c r="U4456" s="32"/>
      <c r="X4456" s="32"/>
      <c r="Y4456" s="32"/>
      <c r="Z4456" s="32"/>
      <c r="AA4456" s="32"/>
      <c r="AB4456" s="32"/>
    </row>
    <row r="4457" spans="2:28" ht="23.25" customHeight="1" x14ac:dyDescent="0.2">
      <c r="B4457" s="75"/>
      <c r="C4457" s="67"/>
      <c r="D4457" s="75"/>
      <c r="E4457" s="67"/>
      <c r="F4457" s="67"/>
      <c r="G4457" s="70"/>
      <c r="H4457" s="70"/>
      <c r="I4457" s="70"/>
      <c r="J4457" s="70"/>
      <c r="K4457" s="70"/>
      <c r="L4457" s="67"/>
      <c r="M4457" s="67"/>
      <c r="N4457" s="72"/>
      <c r="O4457" s="72"/>
      <c r="P4457" s="67"/>
      <c r="Q4457" s="67"/>
      <c r="R4457" s="67"/>
      <c r="S4457" s="67"/>
      <c r="T4457" s="32"/>
      <c r="U4457" s="32"/>
      <c r="X4457" s="32"/>
      <c r="Y4457" s="32"/>
      <c r="Z4457" s="32"/>
      <c r="AA4457" s="32"/>
      <c r="AB4457" s="32"/>
    </row>
    <row r="4458" spans="2:28" ht="23.25" customHeight="1" x14ac:dyDescent="0.2">
      <c r="B4458" s="75"/>
      <c r="C4458" s="67"/>
      <c r="D4458" s="75"/>
      <c r="E4458" s="67"/>
      <c r="F4458" s="67"/>
      <c r="G4458" s="70"/>
      <c r="H4458" s="70"/>
      <c r="I4458" s="70"/>
      <c r="J4458" s="70"/>
      <c r="K4458" s="70"/>
      <c r="L4458" s="67"/>
      <c r="M4458" s="67"/>
      <c r="N4458" s="72"/>
      <c r="O4458" s="72"/>
      <c r="P4458" s="67"/>
      <c r="Q4458" s="67"/>
      <c r="R4458" s="67"/>
      <c r="S4458" s="67"/>
      <c r="T4458" s="32"/>
      <c r="U4458" s="32"/>
      <c r="X4458" s="32"/>
      <c r="Y4458" s="32"/>
      <c r="Z4458" s="32"/>
      <c r="AA4458" s="32"/>
      <c r="AB4458" s="32"/>
    </row>
    <row r="4459" spans="2:28" ht="23.25" customHeight="1" x14ac:dyDescent="0.2">
      <c r="B4459" s="75"/>
      <c r="C4459" s="67"/>
      <c r="D4459" s="75"/>
      <c r="E4459" s="67"/>
      <c r="F4459" s="67"/>
      <c r="G4459" s="70"/>
      <c r="H4459" s="70"/>
      <c r="I4459" s="70"/>
      <c r="J4459" s="70"/>
      <c r="K4459" s="70"/>
      <c r="L4459" s="67"/>
      <c r="M4459" s="67"/>
      <c r="N4459" s="72"/>
      <c r="O4459" s="72"/>
      <c r="P4459" s="67"/>
      <c r="Q4459" s="67"/>
      <c r="R4459" s="67"/>
      <c r="S4459" s="67"/>
      <c r="T4459" s="32"/>
      <c r="U4459" s="32"/>
      <c r="X4459" s="32"/>
      <c r="Y4459" s="32"/>
      <c r="Z4459" s="32"/>
      <c r="AA4459" s="32"/>
      <c r="AB4459" s="32"/>
    </row>
    <row r="4460" spans="2:28" ht="23.25" customHeight="1" x14ac:dyDescent="0.2">
      <c r="B4460" s="75"/>
      <c r="C4460" s="67"/>
      <c r="D4460" s="75"/>
      <c r="E4460" s="67"/>
      <c r="F4460" s="67"/>
      <c r="G4460" s="70"/>
      <c r="H4460" s="70"/>
      <c r="I4460" s="70"/>
      <c r="J4460" s="70"/>
      <c r="K4460" s="70"/>
      <c r="L4460" s="67"/>
      <c r="M4460" s="67"/>
      <c r="N4460" s="72"/>
      <c r="O4460" s="72"/>
      <c r="P4460" s="67"/>
      <c r="Q4460" s="67"/>
      <c r="R4460" s="67"/>
      <c r="S4460" s="67"/>
      <c r="T4460" s="32"/>
      <c r="U4460" s="32"/>
      <c r="X4460" s="32"/>
      <c r="Y4460" s="32"/>
      <c r="Z4460" s="32"/>
      <c r="AA4460" s="32"/>
      <c r="AB4460" s="32"/>
    </row>
    <row r="4461" spans="2:28" ht="23.25" customHeight="1" x14ac:dyDescent="0.2">
      <c r="B4461" s="75"/>
      <c r="C4461" s="67"/>
      <c r="D4461" s="75"/>
      <c r="E4461" s="67"/>
      <c r="F4461" s="67"/>
      <c r="G4461" s="70"/>
      <c r="H4461" s="70"/>
      <c r="I4461" s="70"/>
      <c r="J4461" s="70"/>
      <c r="K4461" s="70"/>
      <c r="L4461" s="67"/>
      <c r="M4461" s="67"/>
      <c r="N4461" s="72"/>
      <c r="O4461" s="72"/>
      <c r="P4461" s="67"/>
      <c r="Q4461" s="67"/>
      <c r="R4461" s="67"/>
      <c r="S4461" s="67"/>
      <c r="T4461" s="32"/>
      <c r="U4461" s="32"/>
      <c r="X4461" s="32"/>
      <c r="Y4461" s="32"/>
      <c r="Z4461" s="32"/>
      <c r="AA4461" s="32"/>
      <c r="AB4461" s="32"/>
    </row>
    <row r="4462" spans="2:28" ht="23.25" customHeight="1" x14ac:dyDescent="0.2">
      <c r="B4462" s="75"/>
      <c r="C4462" s="67"/>
      <c r="D4462" s="75"/>
      <c r="E4462" s="67"/>
      <c r="F4462" s="67"/>
      <c r="G4462" s="70"/>
      <c r="H4462" s="70"/>
      <c r="I4462" s="70"/>
      <c r="J4462" s="70"/>
      <c r="K4462" s="70"/>
      <c r="L4462" s="67"/>
      <c r="M4462" s="67"/>
      <c r="N4462" s="72"/>
      <c r="O4462" s="72"/>
      <c r="P4462" s="67"/>
      <c r="Q4462" s="67"/>
      <c r="R4462" s="67"/>
      <c r="S4462" s="67"/>
      <c r="T4462" s="32"/>
      <c r="U4462" s="32"/>
      <c r="X4462" s="32"/>
      <c r="Y4462" s="32"/>
      <c r="Z4462" s="32"/>
      <c r="AA4462" s="32"/>
      <c r="AB4462" s="32"/>
    </row>
    <row r="4463" spans="2:28" ht="23.25" customHeight="1" x14ac:dyDescent="0.2">
      <c r="B4463" s="75"/>
      <c r="C4463" s="67"/>
      <c r="D4463" s="75"/>
      <c r="E4463" s="67"/>
      <c r="F4463" s="67"/>
      <c r="G4463" s="70"/>
      <c r="H4463" s="70"/>
      <c r="I4463" s="70"/>
      <c r="J4463" s="70"/>
      <c r="K4463" s="70"/>
      <c r="L4463" s="67"/>
      <c r="M4463" s="67"/>
      <c r="N4463" s="72"/>
      <c r="O4463" s="72"/>
      <c r="P4463" s="67"/>
      <c r="Q4463" s="67"/>
      <c r="R4463" s="67"/>
      <c r="S4463" s="67"/>
      <c r="T4463" s="32"/>
      <c r="U4463" s="32"/>
      <c r="X4463" s="32"/>
      <c r="Y4463" s="32"/>
      <c r="Z4463" s="32"/>
      <c r="AA4463" s="32"/>
      <c r="AB4463" s="32"/>
    </row>
    <row r="4464" spans="2:28" ht="23.25" customHeight="1" x14ac:dyDescent="0.2">
      <c r="B4464" s="75"/>
      <c r="C4464" s="67"/>
      <c r="D4464" s="75"/>
      <c r="E4464" s="67"/>
      <c r="F4464" s="67"/>
      <c r="G4464" s="70"/>
      <c r="H4464" s="70"/>
      <c r="I4464" s="70"/>
      <c r="J4464" s="70"/>
      <c r="K4464" s="70"/>
      <c r="L4464" s="67"/>
      <c r="M4464" s="67"/>
      <c r="N4464" s="72"/>
      <c r="O4464" s="72"/>
      <c r="P4464" s="67"/>
      <c r="Q4464" s="67"/>
      <c r="R4464" s="67"/>
      <c r="S4464" s="67"/>
      <c r="T4464" s="32"/>
      <c r="U4464" s="32"/>
      <c r="X4464" s="32"/>
      <c r="Y4464" s="32"/>
      <c r="Z4464" s="32"/>
      <c r="AA4464" s="32"/>
      <c r="AB4464" s="32"/>
    </row>
    <row r="4465" spans="2:28" ht="23.25" customHeight="1" x14ac:dyDescent="0.2">
      <c r="B4465" s="75"/>
      <c r="C4465" s="67"/>
      <c r="D4465" s="75"/>
      <c r="E4465" s="67"/>
      <c r="F4465" s="67"/>
      <c r="G4465" s="70"/>
      <c r="H4465" s="70"/>
      <c r="I4465" s="70"/>
      <c r="J4465" s="70"/>
      <c r="K4465" s="70"/>
      <c r="L4465" s="67"/>
      <c r="M4465" s="67"/>
      <c r="N4465" s="72"/>
      <c r="O4465" s="72"/>
      <c r="P4465" s="67"/>
      <c r="Q4465" s="67"/>
      <c r="R4465" s="67"/>
      <c r="S4465" s="67"/>
      <c r="T4465" s="32"/>
      <c r="U4465" s="32"/>
      <c r="X4465" s="32"/>
      <c r="Y4465" s="32"/>
      <c r="Z4465" s="32"/>
      <c r="AA4465" s="32"/>
      <c r="AB4465" s="32"/>
    </row>
    <row r="4466" spans="2:28" ht="23.25" customHeight="1" x14ac:dyDescent="0.2">
      <c r="B4466" s="75"/>
      <c r="C4466" s="67"/>
      <c r="D4466" s="75"/>
      <c r="E4466" s="67"/>
      <c r="F4466" s="67"/>
      <c r="G4466" s="70"/>
      <c r="H4466" s="70"/>
      <c r="I4466" s="70"/>
      <c r="J4466" s="70"/>
      <c r="K4466" s="70"/>
      <c r="L4466" s="67"/>
      <c r="M4466" s="67"/>
      <c r="N4466" s="72"/>
      <c r="O4466" s="72"/>
      <c r="P4466" s="67"/>
      <c r="Q4466" s="67"/>
      <c r="R4466" s="67"/>
      <c r="S4466" s="67"/>
      <c r="T4466" s="32"/>
      <c r="U4466" s="32"/>
      <c r="X4466" s="32"/>
      <c r="Y4466" s="32"/>
      <c r="Z4466" s="32"/>
      <c r="AA4466" s="32"/>
      <c r="AB4466" s="32"/>
    </row>
    <row r="4467" spans="2:28" ht="23.25" customHeight="1" x14ac:dyDescent="0.2">
      <c r="B4467" s="75"/>
      <c r="C4467" s="67"/>
      <c r="D4467" s="75"/>
      <c r="E4467" s="67"/>
      <c r="F4467" s="67"/>
      <c r="G4467" s="70"/>
      <c r="H4467" s="70"/>
      <c r="I4467" s="70"/>
      <c r="J4467" s="70"/>
      <c r="K4467" s="70"/>
      <c r="L4467" s="67"/>
      <c r="M4467" s="67"/>
      <c r="N4467" s="72"/>
      <c r="O4467" s="72"/>
      <c r="P4467" s="67"/>
      <c r="Q4467" s="67"/>
      <c r="R4467" s="67"/>
      <c r="S4467" s="67"/>
      <c r="T4467" s="32"/>
      <c r="U4467" s="32"/>
      <c r="X4467" s="32"/>
      <c r="Y4467" s="32"/>
      <c r="Z4467" s="32"/>
      <c r="AA4467" s="32"/>
      <c r="AB4467" s="32"/>
    </row>
    <row r="4468" spans="2:28" ht="23.25" customHeight="1" x14ac:dyDescent="0.2">
      <c r="B4468" s="75"/>
      <c r="C4468" s="67"/>
      <c r="D4468" s="75"/>
      <c r="E4468" s="67"/>
      <c r="F4468" s="67"/>
      <c r="G4468" s="70"/>
      <c r="H4468" s="70"/>
      <c r="I4468" s="70"/>
      <c r="J4468" s="70"/>
      <c r="K4468" s="70"/>
      <c r="L4468" s="67"/>
      <c r="M4468" s="67"/>
      <c r="N4468" s="72"/>
      <c r="O4468" s="72"/>
      <c r="P4468" s="67"/>
      <c r="Q4468" s="67"/>
      <c r="R4468" s="67"/>
      <c r="S4468" s="67"/>
      <c r="T4468" s="32"/>
      <c r="U4468" s="32"/>
      <c r="X4468" s="32"/>
      <c r="Y4468" s="32"/>
      <c r="Z4468" s="32"/>
      <c r="AA4468" s="32"/>
      <c r="AB4468" s="32"/>
    </row>
    <row r="4469" spans="2:28" ht="23.25" customHeight="1" x14ac:dyDescent="0.2">
      <c r="B4469" s="75"/>
      <c r="C4469" s="67"/>
      <c r="D4469" s="75"/>
      <c r="E4469" s="67"/>
      <c r="F4469" s="67"/>
      <c r="G4469" s="70"/>
      <c r="H4469" s="70"/>
      <c r="I4469" s="70"/>
      <c r="J4469" s="70"/>
      <c r="K4469" s="70"/>
      <c r="L4469" s="67"/>
      <c r="M4469" s="67"/>
      <c r="N4469" s="72"/>
      <c r="O4469" s="72"/>
      <c r="P4469" s="67"/>
      <c r="Q4469" s="67"/>
      <c r="R4469" s="67"/>
      <c r="S4469" s="67"/>
      <c r="T4469" s="32"/>
      <c r="U4469" s="32"/>
      <c r="X4469" s="32"/>
      <c r="Y4469" s="32"/>
      <c r="Z4469" s="32"/>
      <c r="AA4469" s="32"/>
      <c r="AB4469" s="32"/>
    </row>
    <row r="4470" spans="2:28" ht="23.25" customHeight="1" x14ac:dyDescent="0.2">
      <c r="B4470" s="75"/>
      <c r="C4470" s="67"/>
      <c r="D4470" s="75"/>
      <c r="E4470" s="67"/>
      <c r="F4470" s="67"/>
      <c r="G4470" s="70"/>
      <c r="H4470" s="70"/>
      <c r="I4470" s="70"/>
      <c r="J4470" s="70"/>
      <c r="K4470" s="70"/>
      <c r="L4470" s="67"/>
      <c r="M4470" s="67"/>
      <c r="N4470" s="72"/>
      <c r="O4470" s="72"/>
      <c r="P4470" s="67"/>
      <c r="Q4470" s="67"/>
      <c r="R4470" s="67"/>
      <c r="S4470" s="67"/>
      <c r="T4470" s="32"/>
      <c r="U4470" s="32"/>
      <c r="X4470" s="32"/>
      <c r="Y4470" s="32"/>
      <c r="Z4470" s="32"/>
      <c r="AA4470" s="32"/>
      <c r="AB4470" s="32"/>
    </row>
    <row r="4471" spans="2:28" ht="23.25" customHeight="1" x14ac:dyDescent="0.2">
      <c r="B4471" s="75"/>
      <c r="C4471" s="67"/>
      <c r="D4471" s="75"/>
      <c r="E4471" s="67"/>
      <c r="F4471" s="67"/>
      <c r="G4471" s="70"/>
      <c r="H4471" s="70"/>
      <c r="I4471" s="70"/>
      <c r="J4471" s="70"/>
      <c r="K4471" s="70"/>
      <c r="L4471" s="67"/>
      <c r="M4471" s="67"/>
      <c r="N4471" s="72"/>
      <c r="O4471" s="72"/>
      <c r="P4471" s="67"/>
      <c r="Q4471" s="67"/>
      <c r="R4471" s="67"/>
      <c r="S4471" s="67"/>
      <c r="T4471" s="32"/>
      <c r="U4471" s="32"/>
      <c r="X4471" s="32"/>
      <c r="Y4471" s="32"/>
      <c r="Z4471" s="32"/>
      <c r="AA4471" s="32"/>
      <c r="AB4471" s="32"/>
    </row>
    <row r="4472" spans="2:28" ht="23.25" customHeight="1" x14ac:dyDescent="0.2">
      <c r="B4472" s="75"/>
      <c r="C4472" s="67"/>
      <c r="D4472" s="75"/>
      <c r="E4472" s="67"/>
      <c r="F4472" s="67"/>
      <c r="G4472" s="70"/>
      <c r="H4472" s="70"/>
      <c r="I4472" s="70"/>
      <c r="J4472" s="70"/>
      <c r="K4472" s="70"/>
      <c r="L4472" s="67"/>
      <c r="M4472" s="67"/>
      <c r="N4472" s="72"/>
      <c r="O4472" s="72"/>
      <c r="P4472" s="67"/>
      <c r="Q4472" s="67"/>
      <c r="R4472" s="67"/>
      <c r="S4472" s="67"/>
      <c r="T4472" s="32"/>
      <c r="U4472" s="32"/>
      <c r="X4472" s="32"/>
      <c r="Y4472" s="32"/>
      <c r="Z4472" s="32"/>
      <c r="AA4472" s="32"/>
      <c r="AB4472" s="32"/>
    </row>
    <row r="4473" spans="2:28" ht="23.25" customHeight="1" x14ac:dyDescent="0.2">
      <c r="B4473" s="75"/>
      <c r="C4473" s="67"/>
      <c r="D4473" s="75"/>
      <c r="E4473" s="67"/>
      <c r="F4473" s="67"/>
      <c r="G4473" s="70"/>
      <c r="H4473" s="70"/>
      <c r="I4473" s="70"/>
      <c r="J4473" s="70"/>
      <c r="K4473" s="70"/>
      <c r="L4473" s="67"/>
      <c r="M4473" s="67"/>
      <c r="N4473" s="72"/>
      <c r="O4473" s="72"/>
      <c r="P4473" s="67"/>
      <c r="Q4473" s="67"/>
      <c r="R4473" s="67"/>
      <c r="S4473" s="67"/>
      <c r="T4473" s="32"/>
      <c r="U4473" s="32"/>
      <c r="X4473" s="32"/>
      <c r="Y4473" s="32"/>
      <c r="Z4473" s="32"/>
      <c r="AA4473" s="32"/>
      <c r="AB4473" s="32"/>
    </row>
    <row r="4474" spans="2:28" ht="23.25" customHeight="1" x14ac:dyDescent="0.2">
      <c r="B4474" s="75"/>
      <c r="C4474" s="67"/>
      <c r="D4474" s="75"/>
      <c r="E4474" s="67"/>
      <c r="F4474" s="67"/>
      <c r="G4474" s="70"/>
      <c r="H4474" s="70"/>
      <c r="I4474" s="70"/>
      <c r="J4474" s="70"/>
      <c r="K4474" s="70"/>
      <c r="L4474" s="67"/>
      <c r="M4474" s="67"/>
      <c r="N4474" s="72"/>
      <c r="O4474" s="72"/>
      <c r="P4474" s="67"/>
      <c r="Q4474" s="67"/>
      <c r="R4474" s="67"/>
      <c r="S4474" s="67"/>
      <c r="T4474" s="32"/>
      <c r="U4474" s="32"/>
      <c r="X4474" s="32"/>
      <c r="Y4474" s="32"/>
      <c r="Z4474" s="32"/>
      <c r="AA4474" s="32"/>
      <c r="AB4474" s="32"/>
    </row>
    <row r="4475" spans="2:28" ht="23.25" customHeight="1" x14ac:dyDescent="0.2">
      <c r="B4475" s="75"/>
      <c r="C4475" s="67"/>
      <c r="D4475" s="75"/>
      <c r="E4475" s="67"/>
      <c r="F4475" s="67"/>
      <c r="G4475" s="70"/>
      <c r="H4475" s="70"/>
      <c r="I4475" s="70"/>
      <c r="J4475" s="70"/>
      <c r="K4475" s="70"/>
      <c r="L4475" s="67"/>
      <c r="M4475" s="67"/>
      <c r="N4475" s="72"/>
      <c r="O4475" s="72"/>
      <c r="P4475" s="67"/>
      <c r="Q4475" s="67"/>
      <c r="R4475" s="67"/>
      <c r="S4475" s="67"/>
      <c r="T4475" s="32"/>
      <c r="U4475" s="32"/>
      <c r="X4475" s="32"/>
      <c r="Y4475" s="32"/>
      <c r="Z4475" s="32"/>
      <c r="AA4475" s="32"/>
      <c r="AB4475" s="32"/>
    </row>
    <row r="4476" spans="2:28" ht="23.25" customHeight="1" x14ac:dyDescent="0.2">
      <c r="B4476" s="75"/>
      <c r="C4476" s="67"/>
      <c r="D4476" s="75"/>
      <c r="E4476" s="67"/>
      <c r="F4476" s="67"/>
      <c r="G4476" s="70"/>
      <c r="H4476" s="70"/>
      <c r="I4476" s="70"/>
      <c r="J4476" s="70"/>
      <c r="K4476" s="70"/>
      <c r="L4476" s="67"/>
      <c r="M4476" s="67"/>
      <c r="N4476" s="72"/>
      <c r="O4476" s="72"/>
      <c r="P4476" s="67"/>
      <c r="Q4476" s="67"/>
      <c r="R4476" s="67"/>
      <c r="S4476" s="67"/>
      <c r="T4476" s="32"/>
      <c r="U4476" s="32"/>
      <c r="X4476" s="32"/>
      <c r="Y4476" s="32"/>
      <c r="Z4476" s="32"/>
      <c r="AA4476" s="32"/>
      <c r="AB4476" s="32"/>
    </row>
    <row r="4477" spans="2:28" ht="23.25" customHeight="1" x14ac:dyDescent="0.2">
      <c r="B4477" s="75"/>
      <c r="C4477" s="67"/>
      <c r="D4477" s="75"/>
      <c r="E4477" s="67"/>
      <c r="F4477" s="67"/>
      <c r="G4477" s="70"/>
      <c r="H4477" s="70"/>
      <c r="I4477" s="70"/>
      <c r="J4477" s="70"/>
      <c r="K4477" s="70"/>
      <c r="L4477" s="67"/>
      <c r="M4477" s="67"/>
      <c r="N4477" s="72"/>
      <c r="O4477" s="72"/>
      <c r="P4477" s="67"/>
      <c r="Q4477" s="67"/>
      <c r="R4477" s="67"/>
      <c r="S4477" s="67"/>
      <c r="T4477" s="32"/>
      <c r="U4477" s="32"/>
      <c r="X4477" s="32"/>
      <c r="Y4477" s="32"/>
      <c r="Z4477" s="32"/>
      <c r="AA4477" s="32"/>
      <c r="AB4477" s="32"/>
    </row>
    <row r="4478" spans="2:28" ht="23.25" customHeight="1" x14ac:dyDescent="0.2">
      <c r="B4478" s="75"/>
      <c r="C4478" s="67"/>
      <c r="D4478" s="75"/>
      <c r="E4478" s="67"/>
      <c r="F4478" s="67"/>
      <c r="G4478" s="70"/>
      <c r="H4478" s="70"/>
      <c r="I4478" s="70"/>
      <c r="J4478" s="70"/>
      <c r="K4478" s="70"/>
      <c r="L4478" s="67"/>
      <c r="M4478" s="67"/>
      <c r="N4478" s="72"/>
      <c r="O4478" s="72"/>
      <c r="P4478" s="67"/>
      <c r="Q4478" s="67"/>
      <c r="R4478" s="67"/>
      <c r="S4478" s="67"/>
      <c r="T4478" s="32"/>
      <c r="U4478" s="32"/>
      <c r="X4478" s="32"/>
      <c r="Y4478" s="32"/>
      <c r="Z4478" s="32"/>
      <c r="AA4478" s="32"/>
      <c r="AB4478" s="32"/>
    </row>
    <row r="4479" spans="2:28" ht="23.25" customHeight="1" x14ac:dyDescent="0.2">
      <c r="B4479" s="75"/>
      <c r="C4479" s="67"/>
      <c r="D4479" s="75"/>
      <c r="E4479" s="67"/>
      <c r="F4479" s="67"/>
      <c r="G4479" s="70"/>
      <c r="H4479" s="70"/>
      <c r="I4479" s="70"/>
      <c r="J4479" s="70"/>
      <c r="K4479" s="70"/>
      <c r="L4479" s="67"/>
      <c r="M4479" s="67"/>
      <c r="N4479" s="72"/>
      <c r="O4479" s="72"/>
      <c r="P4479" s="67"/>
      <c r="Q4479" s="67"/>
      <c r="R4479" s="67"/>
      <c r="S4479" s="67"/>
      <c r="T4479" s="32"/>
      <c r="U4479" s="32"/>
      <c r="X4479" s="32"/>
      <c r="Y4479" s="32"/>
      <c r="Z4479" s="32"/>
      <c r="AA4479" s="32"/>
      <c r="AB4479" s="32"/>
    </row>
    <row r="4480" spans="2:28" ht="23.25" customHeight="1" x14ac:dyDescent="0.2">
      <c r="B4480" s="75"/>
      <c r="C4480" s="67"/>
      <c r="D4480" s="75"/>
      <c r="E4480" s="67"/>
      <c r="F4480" s="67"/>
      <c r="G4480" s="70"/>
      <c r="H4480" s="70"/>
      <c r="I4480" s="70"/>
      <c r="J4480" s="70"/>
      <c r="K4480" s="70"/>
      <c r="L4480" s="67"/>
      <c r="M4480" s="67"/>
      <c r="N4480" s="72"/>
      <c r="O4480" s="72"/>
      <c r="P4480" s="67"/>
      <c r="Q4480" s="67"/>
      <c r="R4480" s="67"/>
      <c r="S4480" s="67"/>
      <c r="T4480" s="32"/>
      <c r="U4480" s="32"/>
      <c r="X4480" s="32"/>
      <c r="Y4480" s="32"/>
      <c r="Z4480" s="32"/>
      <c r="AA4480" s="32"/>
      <c r="AB4480" s="32"/>
    </row>
    <row r="4481" spans="2:28" ht="23.25" customHeight="1" x14ac:dyDescent="0.2">
      <c r="B4481" s="75"/>
      <c r="C4481" s="67"/>
      <c r="D4481" s="75"/>
      <c r="E4481" s="67"/>
      <c r="F4481" s="67"/>
      <c r="G4481" s="70"/>
      <c r="H4481" s="70"/>
      <c r="I4481" s="70"/>
      <c r="J4481" s="70"/>
      <c r="K4481" s="70"/>
      <c r="L4481" s="67"/>
      <c r="M4481" s="67"/>
      <c r="N4481" s="72"/>
      <c r="O4481" s="72"/>
      <c r="P4481" s="67"/>
      <c r="Q4481" s="67"/>
      <c r="R4481" s="67"/>
      <c r="S4481" s="67"/>
      <c r="T4481" s="32"/>
      <c r="U4481" s="32"/>
      <c r="X4481" s="32"/>
      <c r="Y4481" s="32"/>
      <c r="Z4481" s="32"/>
      <c r="AA4481" s="32"/>
      <c r="AB4481" s="32"/>
    </row>
    <row r="4482" spans="2:28" ht="23.25" customHeight="1" x14ac:dyDescent="0.2">
      <c r="B4482" s="75"/>
      <c r="C4482" s="67"/>
      <c r="D4482" s="75"/>
      <c r="E4482" s="67"/>
      <c r="F4482" s="67"/>
      <c r="G4482" s="70"/>
      <c r="H4482" s="70"/>
      <c r="I4482" s="70"/>
      <c r="J4482" s="70"/>
      <c r="K4482" s="70"/>
      <c r="L4482" s="67"/>
      <c r="M4482" s="67"/>
      <c r="N4482" s="72"/>
      <c r="O4482" s="72"/>
      <c r="P4482" s="67"/>
      <c r="Q4482" s="67"/>
      <c r="R4482" s="67"/>
      <c r="S4482" s="67"/>
      <c r="T4482" s="32"/>
      <c r="U4482" s="32"/>
      <c r="X4482" s="32"/>
      <c r="Y4482" s="32"/>
      <c r="Z4482" s="32"/>
      <c r="AA4482" s="32"/>
      <c r="AB4482" s="32"/>
    </row>
    <row r="4483" spans="2:28" ht="23.25" customHeight="1" x14ac:dyDescent="0.2">
      <c r="B4483" s="75"/>
      <c r="C4483" s="67"/>
      <c r="D4483" s="75"/>
      <c r="E4483" s="67"/>
      <c r="F4483" s="67"/>
      <c r="G4483" s="70"/>
      <c r="H4483" s="70"/>
      <c r="I4483" s="70"/>
      <c r="J4483" s="70"/>
      <c r="K4483" s="70"/>
      <c r="L4483" s="67"/>
      <c r="M4483" s="67"/>
      <c r="N4483" s="72"/>
      <c r="O4483" s="72"/>
      <c r="P4483" s="67"/>
      <c r="Q4483" s="67"/>
      <c r="R4483" s="67"/>
      <c r="S4483" s="67"/>
      <c r="T4483" s="32"/>
      <c r="U4483" s="32"/>
      <c r="X4483" s="32"/>
      <c r="Y4483" s="32"/>
      <c r="Z4483" s="32"/>
      <c r="AA4483" s="32"/>
      <c r="AB4483" s="32"/>
    </row>
    <row r="4484" spans="2:28" ht="23.25" customHeight="1" x14ac:dyDescent="0.2">
      <c r="B4484" s="75"/>
      <c r="C4484" s="67"/>
      <c r="D4484" s="75"/>
      <c r="E4484" s="67"/>
      <c r="F4484" s="67"/>
      <c r="G4484" s="70"/>
      <c r="H4484" s="70"/>
      <c r="I4484" s="70"/>
      <c r="J4484" s="70"/>
      <c r="K4484" s="70"/>
      <c r="L4484" s="67"/>
      <c r="M4484" s="67"/>
      <c r="N4484" s="72"/>
      <c r="O4484" s="72"/>
      <c r="P4484" s="67"/>
      <c r="Q4484" s="67"/>
      <c r="R4484" s="67"/>
      <c r="S4484" s="67"/>
      <c r="T4484" s="32"/>
      <c r="U4484" s="32"/>
      <c r="X4484" s="32"/>
      <c r="Y4484" s="32"/>
      <c r="Z4484" s="32"/>
      <c r="AA4484" s="32"/>
      <c r="AB4484" s="32"/>
    </row>
    <row r="4485" spans="2:28" ht="23.25" customHeight="1" x14ac:dyDescent="0.2">
      <c r="B4485" s="75"/>
      <c r="C4485" s="67"/>
      <c r="D4485" s="75"/>
      <c r="E4485" s="67"/>
      <c r="F4485" s="67"/>
      <c r="G4485" s="70"/>
      <c r="H4485" s="70"/>
      <c r="I4485" s="70"/>
      <c r="J4485" s="70"/>
      <c r="K4485" s="70"/>
      <c r="L4485" s="67"/>
      <c r="M4485" s="67"/>
      <c r="N4485" s="72"/>
      <c r="O4485" s="72"/>
      <c r="P4485" s="67"/>
      <c r="Q4485" s="67"/>
      <c r="R4485" s="67"/>
      <c r="S4485" s="67"/>
      <c r="T4485" s="32"/>
      <c r="U4485" s="32"/>
      <c r="X4485" s="32"/>
      <c r="Y4485" s="32"/>
      <c r="Z4485" s="32"/>
      <c r="AA4485" s="32"/>
      <c r="AB4485" s="32"/>
    </row>
    <row r="4486" spans="2:28" ht="23.25" customHeight="1" x14ac:dyDescent="0.2">
      <c r="B4486" s="75"/>
      <c r="C4486" s="67"/>
      <c r="D4486" s="75"/>
      <c r="E4486" s="67"/>
      <c r="F4486" s="67"/>
      <c r="G4486" s="70"/>
      <c r="H4486" s="70"/>
      <c r="I4486" s="70"/>
      <c r="J4486" s="70"/>
      <c r="K4486" s="70"/>
      <c r="L4486" s="67"/>
      <c r="M4486" s="67"/>
      <c r="N4486" s="72"/>
      <c r="O4486" s="72"/>
      <c r="P4486" s="67"/>
      <c r="Q4486" s="67"/>
      <c r="R4486" s="67"/>
      <c r="S4486" s="67"/>
      <c r="T4486" s="32"/>
      <c r="U4486" s="32"/>
      <c r="X4486" s="32"/>
      <c r="Y4486" s="32"/>
      <c r="Z4486" s="32"/>
      <c r="AA4486" s="32"/>
      <c r="AB4486" s="32"/>
    </row>
    <row r="4487" spans="2:28" ht="23.25" customHeight="1" x14ac:dyDescent="0.2">
      <c r="B4487" s="75"/>
      <c r="C4487" s="67"/>
      <c r="D4487" s="75"/>
      <c r="E4487" s="67"/>
      <c r="F4487" s="67"/>
      <c r="G4487" s="70"/>
      <c r="H4487" s="70"/>
      <c r="I4487" s="70"/>
      <c r="J4487" s="70"/>
      <c r="K4487" s="70"/>
      <c r="L4487" s="67"/>
      <c r="M4487" s="67"/>
      <c r="N4487" s="72"/>
      <c r="O4487" s="72"/>
      <c r="P4487" s="67"/>
      <c r="Q4487" s="67"/>
      <c r="R4487" s="67"/>
      <c r="S4487" s="67"/>
      <c r="T4487" s="32"/>
      <c r="U4487" s="32"/>
      <c r="X4487" s="32"/>
      <c r="Y4487" s="32"/>
      <c r="Z4487" s="32"/>
      <c r="AA4487" s="32"/>
      <c r="AB4487" s="32"/>
    </row>
    <row r="4488" spans="2:28" ht="23.25" customHeight="1" x14ac:dyDescent="0.2">
      <c r="B4488" s="75"/>
      <c r="C4488" s="67"/>
      <c r="D4488" s="75"/>
      <c r="E4488" s="67"/>
      <c r="F4488" s="67"/>
      <c r="G4488" s="70"/>
      <c r="H4488" s="70"/>
      <c r="I4488" s="70"/>
      <c r="J4488" s="70"/>
      <c r="K4488" s="70"/>
      <c r="L4488" s="67"/>
      <c r="M4488" s="67"/>
      <c r="N4488" s="72"/>
      <c r="O4488" s="72"/>
      <c r="P4488" s="67"/>
      <c r="Q4488" s="67"/>
      <c r="R4488" s="67"/>
      <c r="S4488" s="67"/>
      <c r="T4488" s="32"/>
      <c r="U4488" s="32"/>
      <c r="X4488" s="32"/>
      <c r="Y4488" s="32"/>
      <c r="Z4488" s="32"/>
      <c r="AA4488" s="32"/>
      <c r="AB4488" s="32"/>
    </row>
    <row r="4489" spans="2:28" ht="23.25" customHeight="1" x14ac:dyDescent="0.2">
      <c r="B4489" s="75"/>
      <c r="C4489" s="67"/>
      <c r="D4489" s="75"/>
      <c r="E4489" s="67"/>
      <c r="F4489" s="67"/>
      <c r="G4489" s="70"/>
      <c r="H4489" s="70"/>
      <c r="I4489" s="70"/>
      <c r="J4489" s="70"/>
      <c r="K4489" s="70"/>
      <c r="L4489" s="67"/>
      <c r="M4489" s="67"/>
      <c r="N4489" s="72"/>
      <c r="O4489" s="72"/>
      <c r="P4489" s="67"/>
      <c r="Q4489" s="67"/>
      <c r="R4489" s="67"/>
      <c r="S4489" s="67"/>
      <c r="T4489" s="32"/>
      <c r="U4489" s="32"/>
      <c r="X4489" s="32"/>
      <c r="Y4489" s="32"/>
      <c r="Z4489" s="32"/>
      <c r="AA4489" s="32"/>
      <c r="AB4489" s="32"/>
    </row>
    <row r="4490" spans="2:28" ht="23.25" customHeight="1" x14ac:dyDescent="0.2">
      <c r="B4490" s="75"/>
      <c r="C4490" s="67"/>
      <c r="D4490" s="75"/>
      <c r="E4490" s="67"/>
      <c r="F4490" s="67"/>
      <c r="G4490" s="70"/>
      <c r="H4490" s="70"/>
      <c r="I4490" s="70"/>
      <c r="J4490" s="70"/>
      <c r="K4490" s="70"/>
      <c r="L4490" s="67"/>
      <c r="M4490" s="67"/>
      <c r="N4490" s="72"/>
      <c r="O4490" s="72"/>
      <c r="P4490" s="67"/>
      <c r="Q4490" s="67"/>
      <c r="R4490" s="67"/>
      <c r="S4490" s="67"/>
      <c r="T4490" s="32"/>
      <c r="U4490" s="32"/>
      <c r="X4490" s="32"/>
      <c r="Y4490" s="32"/>
      <c r="Z4490" s="32"/>
      <c r="AA4490" s="32"/>
      <c r="AB4490" s="32"/>
    </row>
    <row r="4491" spans="2:28" ht="23.25" customHeight="1" x14ac:dyDescent="0.2">
      <c r="B4491" s="75"/>
      <c r="C4491" s="67"/>
      <c r="D4491" s="75"/>
      <c r="E4491" s="67"/>
      <c r="F4491" s="67"/>
      <c r="G4491" s="70"/>
      <c r="H4491" s="70"/>
      <c r="I4491" s="70"/>
      <c r="J4491" s="70"/>
      <c r="K4491" s="70"/>
      <c r="L4491" s="67"/>
      <c r="M4491" s="67"/>
      <c r="N4491" s="72"/>
      <c r="O4491" s="72"/>
      <c r="P4491" s="67"/>
      <c r="Q4491" s="67"/>
      <c r="R4491" s="67"/>
      <c r="S4491" s="67"/>
      <c r="T4491" s="32"/>
      <c r="U4491" s="32"/>
      <c r="X4491" s="32"/>
      <c r="Y4491" s="32"/>
      <c r="Z4491" s="32"/>
      <c r="AA4491" s="32"/>
      <c r="AB4491" s="32"/>
    </row>
    <row r="4492" spans="2:28" ht="23.25" customHeight="1" x14ac:dyDescent="0.2">
      <c r="B4492" s="75"/>
      <c r="C4492" s="67"/>
      <c r="D4492" s="75"/>
      <c r="E4492" s="67"/>
      <c r="F4492" s="67"/>
      <c r="G4492" s="70"/>
      <c r="H4492" s="70"/>
      <c r="I4492" s="70"/>
      <c r="J4492" s="70"/>
      <c r="K4492" s="70"/>
      <c r="L4492" s="67"/>
      <c r="M4492" s="67"/>
      <c r="N4492" s="72"/>
      <c r="O4492" s="72"/>
      <c r="P4492" s="67"/>
      <c r="Q4492" s="67"/>
      <c r="R4492" s="67"/>
      <c r="S4492" s="67"/>
      <c r="T4492" s="32"/>
      <c r="U4492" s="32"/>
      <c r="X4492" s="32"/>
      <c r="Y4492" s="32"/>
      <c r="Z4492" s="32"/>
      <c r="AA4492" s="32"/>
      <c r="AB4492" s="32"/>
    </row>
    <row r="4493" spans="2:28" ht="23.25" customHeight="1" x14ac:dyDescent="0.2">
      <c r="B4493" s="75"/>
      <c r="C4493" s="67"/>
      <c r="D4493" s="75"/>
      <c r="E4493" s="67"/>
      <c r="F4493" s="67"/>
      <c r="G4493" s="70"/>
      <c r="H4493" s="70"/>
      <c r="I4493" s="70"/>
      <c r="J4493" s="70"/>
      <c r="K4493" s="70"/>
      <c r="L4493" s="67"/>
      <c r="M4493" s="67"/>
      <c r="N4493" s="72"/>
      <c r="O4493" s="72"/>
      <c r="P4493" s="67"/>
      <c r="Q4493" s="67"/>
      <c r="R4493" s="67"/>
      <c r="S4493" s="67"/>
      <c r="T4493" s="32"/>
      <c r="U4493" s="32"/>
      <c r="X4493" s="32"/>
      <c r="Y4493" s="32"/>
      <c r="Z4493" s="32"/>
      <c r="AA4493" s="32"/>
      <c r="AB4493" s="32"/>
    </row>
    <row r="4494" spans="2:28" ht="23.25" customHeight="1" x14ac:dyDescent="0.2">
      <c r="B4494" s="75"/>
      <c r="C4494" s="67"/>
      <c r="D4494" s="75"/>
      <c r="E4494" s="67"/>
      <c r="F4494" s="67"/>
      <c r="G4494" s="70"/>
      <c r="H4494" s="70"/>
      <c r="I4494" s="70"/>
      <c r="J4494" s="70"/>
      <c r="K4494" s="70"/>
      <c r="L4494" s="67"/>
      <c r="M4494" s="67"/>
      <c r="N4494" s="72"/>
      <c r="O4494" s="72"/>
      <c r="P4494" s="67"/>
      <c r="Q4494" s="67"/>
      <c r="R4494" s="67"/>
      <c r="S4494" s="67"/>
      <c r="T4494" s="32"/>
      <c r="U4494" s="32"/>
      <c r="X4494" s="32"/>
      <c r="Y4494" s="32"/>
      <c r="Z4494" s="32"/>
      <c r="AA4494" s="32"/>
      <c r="AB4494" s="32"/>
    </row>
    <row r="4495" spans="2:28" ht="23.25" customHeight="1" x14ac:dyDescent="0.2">
      <c r="B4495" s="75"/>
      <c r="C4495" s="67"/>
      <c r="D4495" s="75"/>
      <c r="E4495" s="67"/>
      <c r="F4495" s="67"/>
      <c r="G4495" s="70"/>
      <c r="H4495" s="70"/>
      <c r="I4495" s="70"/>
      <c r="J4495" s="70"/>
      <c r="K4495" s="70"/>
      <c r="L4495" s="67"/>
      <c r="M4495" s="67"/>
      <c r="N4495" s="72"/>
      <c r="O4495" s="72"/>
      <c r="P4495" s="67"/>
      <c r="Q4495" s="67"/>
      <c r="R4495" s="67"/>
      <c r="S4495" s="67"/>
      <c r="T4495" s="32"/>
      <c r="U4495" s="32"/>
      <c r="X4495" s="32"/>
      <c r="Y4495" s="32"/>
      <c r="Z4495" s="32"/>
      <c r="AA4495" s="32"/>
      <c r="AB4495" s="32"/>
    </row>
    <row r="4496" spans="2:28" ht="23.25" customHeight="1" x14ac:dyDescent="0.2">
      <c r="B4496" s="75"/>
      <c r="C4496" s="67"/>
      <c r="D4496" s="75"/>
      <c r="E4496" s="67"/>
      <c r="F4496" s="67"/>
      <c r="G4496" s="70"/>
      <c r="H4496" s="70"/>
      <c r="I4496" s="70"/>
      <c r="J4496" s="70"/>
      <c r="K4496" s="70"/>
      <c r="L4496" s="67"/>
      <c r="M4496" s="67"/>
      <c r="N4496" s="72"/>
      <c r="O4496" s="72"/>
      <c r="P4496" s="67"/>
      <c r="Q4496" s="67"/>
      <c r="R4496" s="67"/>
      <c r="S4496" s="67"/>
      <c r="T4496" s="32"/>
      <c r="U4496" s="32"/>
      <c r="X4496" s="32"/>
      <c r="Y4496" s="32"/>
      <c r="Z4496" s="32"/>
      <c r="AA4496" s="32"/>
      <c r="AB4496" s="32"/>
    </row>
    <row r="4497" spans="2:28" ht="23.25" customHeight="1" x14ac:dyDescent="0.2">
      <c r="B4497" s="75"/>
      <c r="C4497" s="67"/>
      <c r="D4497" s="75"/>
      <c r="E4497" s="67"/>
      <c r="F4497" s="67"/>
      <c r="G4497" s="70"/>
      <c r="H4497" s="70"/>
      <c r="I4497" s="70"/>
      <c r="J4497" s="70"/>
      <c r="K4497" s="70"/>
      <c r="L4497" s="67"/>
      <c r="M4497" s="67"/>
      <c r="N4497" s="72"/>
      <c r="O4497" s="72"/>
      <c r="P4497" s="67"/>
      <c r="Q4497" s="67"/>
      <c r="R4497" s="67"/>
      <c r="S4497" s="67"/>
      <c r="T4497" s="32"/>
      <c r="U4497" s="32"/>
      <c r="X4497" s="32"/>
      <c r="Y4497" s="32"/>
      <c r="Z4497" s="32"/>
      <c r="AA4497" s="32"/>
      <c r="AB4497" s="32"/>
    </row>
    <row r="4498" spans="2:28" ht="23.25" customHeight="1" x14ac:dyDescent="0.2">
      <c r="B4498" s="75"/>
      <c r="C4498" s="67"/>
      <c r="D4498" s="75"/>
      <c r="E4498" s="67"/>
      <c r="F4498" s="67"/>
      <c r="G4498" s="70"/>
      <c r="H4498" s="70"/>
      <c r="I4498" s="70"/>
      <c r="J4498" s="70"/>
      <c r="K4498" s="70"/>
      <c r="L4498" s="67"/>
      <c r="M4498" s="67"/>
      <c r="N4498" s="72"/>
      <c r="O4498" s="72"/>
      <c r="P4498" s="67"/>
      <c r="Q4498" s="67"/>
      <c r="R4498" s="67"/>
      <c r="S4498" s="67"/>
      <c r="T4498" s="32"/>
      <c r="U4498" s="32"/>
      <c r="X4498" s="32"/>
      <c r="Y4498" s="32"/>
      <c r="Z4498" s="32"/>
      <c r="AA4498" s="32"/>
      <c r="AB4498" s="32"/>
    </row>
    <row r="4499" spans="2:28" ht="23.25" customHeight="1" x14ac:dyDescent="0.2">
      <c r="B4499" s="75"/>
      <c r="C4499" s="67"/>
      <c r="D4499" s="75"/>
      <c r="E4499" s="67"/>
      <c r="F4499" s="67"/>
      <c r="G4499" s="70"/>
      <c r="H4499" s="70"/>
      <c r="I4499" s="70"/>
      <c r="J4499" s="70"/>
      <c r="K4499" s="70"/>
      <c r="L4499" s="67"/>
      <c r="M4499" s="67"/>
      <c r="N4499" s="72"/>
      <c r="O4499" s="72"/>
      <c r="P4499" s="67"/>
      <c r="Q4499" s="67"/>
      <c r="R4499" s="67"/>
      <c r="S4499" s="67"/>
      <c r="T4499" s="32"/>
      <c r="U4499" s="32"/>
      <c r="X4499" s="32"/>
      <c r="Y4499" s="32"/>
      <c r="Z4499" s="32"/>
      <c r="AA4499" s="32"/>
      <c r="AB4499" s="32"/>
    </row>
    <row r="4500" spans="2:28" ht="23.25" customHeight="1" x14ac:dyDescent="0.2">
      <c r="B4500" s="75"/>
      <c r="C4500" s="67"/>
      <c r="D4500" s="75"/>
      <c r="E4500" s="67"/>
      <c r="F4500" s="67"/>
      <c r="G4500" s="70"/>
      <c r="H4500" s="70"/>
      <c r="I4500" s="70"/>
      <c r="J4500" s="70"/>
      <c r="K4500" s="70"/>
      <c r="L4500" s="67"/>
      <c r="M4500" s="67"/>
      <c r="N4500" s="72"/>
      <c r="O4500" s="72"/>
      <c r="P4500" s="67"/>
      <c r="Q4500" s="67"/>
      <c r="R4500" s="67"/>
      <c r="S4500" s="67"/>
      <c r="T4500" s="32"/>
      <c r="U4500" s="32"/>
      <c r="X4500" s="32"/>
      <c r="Y4500" s="32"/>
      <c r="Z4500" s="32"/>
      <c r="AA4500" s="32"/>
      <c r="AB4500" s="32"/>
    </row>
    <row r="4501" spans="2:28" ht="23.25" customHeight="1" x14ac:dyDescent="0.2">
      <c r="B4501" s="75"/>
      <c r="C4501" s="67"/>
      <c r="D4501" s="75"/>
      <c r="E4501" s="67"/>
      <c r="F4501" s="67"/>
      <c r="G4501" s="70"/>
      <c r="H4501" s="70"/>
      <c r="I4501" s="70"/>
      <c r="J4501" s="70"/>
      <c r="K4501" s="70"/>
      <c r="L4501" s="67"/>
      <c r="M4501" s="67"/>
      <c r="N4501" s="72"/>
      <c r="O4501" s="72"/>
      <c r="P4501" s="67"/>
      <c r="Q4501" s="67"/>
      <c r="R4501" s="67"/>
      <c r="S4501" s="67"/>
      <c r="T4501" s="32"/>
      <c r="U4501" s="32"/>
      <c r="X4501" s="32"/>
      <c r="Y4501" s="32"/>
      <c r="Z4501" s="32"/>
      <c r="AA4501" s="32"/>
      <c r="AB4501" s="32"/>
    </row>
    <row r="4502" spans="2:28" ht="23.25" customHeight="1" x14ac:dyDescent="0.2">
      <c r="B4502" s="75"/>
      <c r="C4502" s="67"/>
      <c r="D4502" s="75"/>
      <c r="E4502" s="67"/>
      <c r="F4502" s="67"/>
      <c r="G4502" s="70"/>
      <c r="H4502" s="70"/>
      <c r="I4502" s="70"/>
      <c r="J4502" s="70"/>
      <c r="K4502" s="70"/>
      <c r="L4502" s="67"/>
      <c r="M4502" s="67"/>
      <c r="N4502" s="72"/>
      <c r="O4502" s="72"/>
      <c r="P4502" s="67"/>
      <c r="Q4502" s="67"/>
      <c r="R4502" s="67"/>
      <c r="S4502" s="67"/>
      <c r="T4502" s="32"/>
      <c r="U4502" s="32"/>
      <c r="X4502" s="32"/>
      <c r="Y4502" s="32"/>
      <c r="Z4502" s="32"/>
      <c r="AA4502" s="32"/>
      <c r="AB4502" s="32"/>
    </row>
    <row r="4503" spans="2:28" ht="23.25" customHeight="1" x14ac:dyDescent="0.2">
      <c r="B4503" s="75"/>
      <c r="C4503" s="67"/>
      <c r="D4503" s="75"/>
      <c r="E4503" s="67"/>
      <c r="F4503" s="67"/>
      <c r="G4503" s="70"/>
      <c r="H4503" s="70"/>
      <c r="I4503" s="70"/>
      <c r="J4503" s="70"/>
      <c r="K4503" s="70"/>
      <c r="L4503" s="67"/>
      <c r="M4503" s="67"/>
      <c r="N4503" s="72"/>
      <c r="O4503" s="72"/>
      <c r="P4503" s="67"/>
      <c r="Q4503" s="67"/>
      <c r="R4503" s="67"/>
      <c r="S4503" s="67"/>
      <c r="T4503" s="32"/>
      <c r="U4503" s="32"/>
      <c r="X4503" s="32"/>
      <c r="Y4503" s="32"/>
      <c r="Z4503" s="32"/>
      <c r="AA4503" s="32"/>
      <c r="AB4503" s="32"/>
    </row>
    <row r="4504" spans="2:28" ht="23.25" customHeight="1" x14ac:dyDescent="0.2">
      <c r="B4504" s="75"/>
      <c r="C4504" s="67"/>
      <c r="D4504" s="75"/>
      <c r="E4504" s="67"/>
      <c r="F4504" s="67"/>
      <c r="G4504" s="70"/>
      <c r="H4504" s="70"/>
      <c r="I4504" s="70"/>
      <c r="J4504" s="70"/>
      <c r="K4504" s="70"/>
      <c r="L4504" s="67"/>
      <c r="M4504" s="67"/>
      <c r="N4504" s="72"/>
      <c r="O4504" s="72"/>
      <c r="P4504" s="67"/>
      <c r="Q4504" s="67"/>
      <c r="R4504" s="67"/>
      <c r="S4504" s="67"/>
      <c r="T4504" s="32"/>
      <c r="U4504" s="32"/>
      <c r="X4504" s="32"/>
      <c r="Y4504" s="32"/>
      <c r="Z4504" s="32"/>
      <c r="AA4504" s="32"/>
      <c r="AB4504" s="32"/>
    </row>
    <row r="4505" spans="2:28" ht="23.25" customHeight="1" x14ac:dyDescent="0.2">
      <c r="B4505" s="75"/>
      <c r="C4505" s="67"/>
      <c r="D4505" s="75"/>
      <c r="E4505" s="67"/>
      <c r="F4505" s="67"/>
      <c r="G4505" s="70"/>
      <c r="H4505" s="70"/>
      <c r="I4505" s="70"/>
      <c r="J4505" s="70"/>
      <c r="K4505" s="70"/>
      <c r="L4505" s="67"/>
      <c r="M4505" s="67"/>
      <c r="N4505" s="72"/>
      <c r="O4505" s="72"/>
      <c r="P4505" s="67"/>
      <c r="Q4505" s="67"/>
      <c r="R4505" s="67"/>
      <c r="S4505" s="67"/>
      <c r="T4505" s="32"/>
      <c r="U4505" s="32"/>
      <c r="X4505" s="32"/>
      <c r="Y4505" s="32"/>
      <c r="Z4505" s="32"/>
      <c r="AA4505" s="32"/>
      <c r="AB4505" s="32"/>
    </row>
    <row r="4506" spans="2:28" ht="23.25" customHeight="1" x14ac:dyDescent="0.2">
      <c r="B4506" s="75"/>
      <c r="C4506" s="67"/>
      <c r="D4506" s="75"/>
      <c r="E4506" s="67"/>
      <c r="F4506" s="67"/>
      <c r="G4506" s="70"/>
      <c r="H4506" s="70"/>
      <c r="I4506" s="70"/>
      <c r="J4506" s="70"/>
      <c r="K4506" s="70"/>
      <c r="L4506" s="67"/>
      <c r="M4506" s="67"/>
      <c r="N4506" s="72"/>
      <c r="O4506" s="72"/>
      <c r="P4506" s="67"/>
      <c r="Q4506" s="67"/>
      <c r="R4506" s="67"/>
      <c r="S4506" s="67"/>
      <c r="T4506" s="32"/>
      <c r="U4506" s="32"/>
      <c r="X4506" s="32"/>
      <c r="Y4506" s="32"/>
      <c r="Z4506" s="32"/>
      <c r="AA4506" s="32"/>
      <c r="AB4506" s="32"/>
    </row>
    <row r="4507" spans="2:28" ht="23.25" customHeight="1" x14ac:dyDescent="0.2">
      <c r="B4507" s="75"/>
      <c r="C4507" s="67"/>
      <c r="D4507" s="75"/>
      <c r="E4507" s="67"/>
      <c r="F4507" s="67"/>
      <c r="G4507" s="70"/>
      <c r="H4507" s="70"/>
      <c r="I4507" s="70"/>
      <c r="J4507" s="70"/>
      <c r="K4507" s="70"/>
      <c r="L4507" s="67"/>
      <c r="M4507" s="67"/>
      <c r="N4507" s="72"/>
      <c r="O4507" s="72"/>
      <c r="P4507" s="67"/>
      <c r="Q4507" s="67"/>
      <c r="R4507" s="67"/>
      <c r="S4507" s="67"/>
      <c r="T4507" s="32"/>
      <c r="U4507" s="32"/>
      <c r="X4507" s="32"/>
      <c r="Y4507" s="32"/>
      <c r="Z4507" s="32"/>
      <c r="AA4507" s="32"/>
      <c r="AB4507" s="32"/>
    </row>
    <row r="4508" spans="2:28" ht="23.25" customHeight="1" x14ac:dyDescent="0.2">
      <c r="B4508" s="75"/>
      <c r="C4508" s="67"/>
      <c r="D4508" s="75"/>
      <c r="E4508" s="67"/>
      <c r="F4508" s="67"/>
      <c r="G4508" s="70"/>
      <c r="H4508" s="70"/>
      <c r="I4508" s="70"/>
      <c r="J4508" s="70"/>
      <c r="K4508" s="70"/>
      <c r="L4508" s="67"/>
      <c r="M4508" s="67"/>
      <c r="N4508" s="72"/>
      <c r="O4508" s="72"/>
      <c r="P4508" s="67"/>
      <c r="Q4508" s="67"/>
      <c r="R4508" s="67"/>
      <c r="S4508" s="67"/>
      <c r="T4508" s="32"/>
      <c r="U4508" s="32"/>
      <c r="X4508" s="32"/>
      <c r="Y4508" s="32"/>
      <c r="Z4508" s="32"/>
      <c r="AA4508" s="32"/>
      <c r="AB4508" s="32"/>
    </row>
    <row r="4509" spans="2:28" ht="23.25" customHeight="1" x14ac:dyDescent="0.2">
      <c r="B4509" s="75"/>
      <c r="C4509" s="67"/>
      <c r="D4509" s="75"/>
      <c r="E4509" s="67"/>
      <c r="F4509" s="67"/>
      <c r="G4509" s="70"/>
      <c r="H4509" s="70"/>
      <c r="I4509" s="70"/>
      <c r="J4509" s="70"/>
      <c r="K4509" s="70"/>
      <c r="L4509" s="67"/>
      <c r="M4509" s="67"/>
      <c r="N4509" s="72"/>
      <c r="O4509" s="72"/>
      <c r="P4509" s="67"/>
      <c r="Q4509" s="67"/>
      <c r="R4509" s="67"/>
      <c r="S4509" s="67"/>
      <c r="T4509" s="32"/>
      <c r="U4509" s="32"/>
      <c r="X4509" s="32"/>
      <c r="Y4509" s="32"/>
      <c r="Z4509" s="32"/>
      <c r="AA4509" s="32"/>
      <c r="AB4509" s="32"/>
    </row>
    <row r="4510" spans="2:28" ht="23.25" customHeight="1" x14ac:dyDescent="0.2">
      <c r="B4510" s="75"/>
      <c r="C4510" s="67"/>
      <c r="D4510" s="75"/>
      <c r="E4510" s="67"/>
      <c r="F4510" s="67"/>
      <c r="G4510" s="70"/>
      <c r="H4510" s="70"/>
      <c r="I4510" s="70"/>
      <c r="J4510" s="70"/>
      <c r="K4510" s="70"/>
      <c r="L4510" s="67"/>
      <c r="M4510" s="67"/>
      <c r="N4510" s="72"/>
      <c r="O4510" s="72"/>
      <c r="P4510" s="67"/>
      <c r="Q4510" s="67"/>
      <c r="R4510" s="67"/>
      <c r="S4510" s="67"/>
      <c r="T4510" s="32"/>
      <c r="U4510" s="32"/>
      <c r="X4510" s="32"/>
      <c r="Y4510" s="32"/>
      <c r="Z4510" s="32"/>
      <c r="AA4510" s="32"/>
      <c r="AB4510" s="32"/>
    </row>
    <row r="4511" spans="2:28" ht="23.25" customHeight="1" x14ac:dyDescent="0.2">
      <c r="B4511" s="75"/>
      <c r="C4511" s="67"/>
      <c r="D4511" s="75"/>
      <c r="E4511" s="67"/>
      <c r="F4511" s="67"/>
      <c r="G4511" s="70"/>
      <c r="H4511" s="70"/>
      <c r="I4511" s="70"/>
      <c r="J4511" s="70"/>
      <c r="K4511" s="70"/>
      <c r="L4511" s="67"/>
      <c r="M4511" s="67"/>
      <c r="N4511" s="72"/>
      <c r="O4511" s="72"/>
      <c r="P4511" s="67"/>
      <c r="Q4511" s="67"/>
      <c r="R4511" s="67"/>
      <c r="S4511" s="67"/>
      <c r="T4511" s="32"/>
      <c r="U4511" s="32"/>
      <c r="X4511" s="32"/>
      <c r="Y4511" s="32"/>
      <c r="Z4511" s="32"/>
      <c r="AA4511" s="32"/>
      <c r="AB4511" s="32"/>
    </row>
    <row r="4512" spans="2:28" ht="23.25" customHeight="1" x14ac:dyDescent="0.2">
      <c r="B4512" s="75"/>
      <c r="C4512" s="67"/>
      <c r="D4512" s="75"/>
      <c r="E4512" s="67"/>
      <c r="F4512" s="67"/>
      <c r="G4512" s="70"/>
      <c r="H4512" s="70"/>
      <c r="I4512" s="70"/>
      <c r="J4512" s="70"/>
      <c r="K4512" s="70"/>
      <c r="L4512" s="67"/>
      <c r="M4512" s="67"/>
      <c r="N4512" s="72"/>
      <c r="O4512" s="72"/>
      <c r="P4512" s="67"/>
      <c r="Q4512" s="67"/>
      <c r="R4512" s="67"/>
      <c r="S4512" s="67"/>
      <c r="T4512" s="32"/>
      <c r="U4512" s="32"/>
      <c r="X4512" s="32"/>
      <c r="Y4512" s="32"/>
      <c r="Z4512" s="32"/>
      <c r="AA4512" s="32"/>
      <c r="AB4512" s="32"/>
    </row>
    <row r="4513" spans="2:28" ht="23.25" customHeight="1" x14ac:dyDescent="0.2">
      <c r="B4513" s="75"/>
      <c r="C4513" s="67"/>
      <c r="D4513" s="75"/>
      <c r="E4513" s="67"/>
      <c r="F4513" s="67"/>
      <c r="G4513" s="70"/>
      <c r="H4513" s="70"/>
      <c r="I4513" s="70"/>
      <c r="J4513" s="70"/>
      <c r="K4513" s="70"/>
      <c r="L4513" s="67"/>
      <c r="M4513" s="67"/>
      <c r="N4513" s="72"/>
      <c r="O4513" s="72"/>
      <c r="P4513" s="67"/>
      <c r="Q4513" s="67"/>
      <c r="R4513" s="67"/>
      <c r="S4513" s="67"/>
      <c r="T4513" s="32"/>
      <c r="U4513" s="32"/>
      <c r="X4513" s="32"/>
      <c r="Y4513" s="32"/>
      <c r="Z4513" s="32"/>
      <c r="AA4513" s="32"/>
      <c r="AB4513" s="32"/>
    </row>
    <row r="4514" spans="2:28" ht="23.25" customHeight="1" x14ac:dyDescent="0.2">
      <c r="B4514" s="75"/>
      <c r="C4514" s="67"/>
      <c r="D4514" s="75"/>
      <c r="E4514" s="67"/>
      <c r="F4514" s="67"/>
      <c r="G4514" s="70"/>
      <c r="H4514" s="70"/>
      <c r="I4514" s="70"/>
      <c r="J4514" s="70"/>
      <c r="K4514" s="70"/>
      <c r="L4514" s="67"/>
      <c r="M4514" s="67"/>
      <c r="N4514" s="72"/>
      <c r="O4514" s="72"/>
      <c r="P4514" s="67"/>
      <c r="Q4514" s="67"/>
      <c r="R4514" s="67"/>
      <c r="S4514" s="67"/>
      <c r="T4514" s="32"/>
      <c r="U4514" s="32"/>
      <c r="X4514" s="32"/>
      <c r="Y4514" s="32"/>
      <c r="Z4514" s="32"/>
      <c r="AA4514" s="32"/>
      <c r="AB4514" s="32"/>
    </row>
    <row r="4515" spans="2:28" ht="23.25" customHeight="1" x14ac:dyDescent="0.2">
      <c r="B4515" s="75"/>
      <c r="C4515" s="67"/>
      <c r="D4515" s="75"/>
      <c r="E4515" s="67"/>
      <c r="F4515" s="67"/>
      <c r="G4515" s="70"/>
      <c r="H4515" s="70"/>
      <c r="I4515" s="70"/>
      <c r="J4515" s="70"/>
      <c r="K4515" s="70"/>
      <c r="L4515" s="67"/>
      <c r="M4515" s="67"/>
      <c r="N4515" s="72"/>
      <c r="O4515" s="72"/>
      <c r="P4515" s="67"/>
      <c r="Q4515" s="67"/>
      <c r="R4515" s="67"/>
      <c r="S4515" s="67"/>
      <c r="T4515" s="32"/>
      <c r="U4515" s="32"/>
      <c r="X4515" s="32"/>
      <c r="Y4515" s="32"/>
      <c r="Z4515" s="32"/>
      <c r="AA4515" s="32"/>
      <c r="AB4515" s="32"/>
    </row>
    <row r="4516" spans="2:28" ht="23.25" customHeight="1" x14ac:dyDescent="0.2">
      <c r="B4516" s="75"/>
      <c r="C4516" s="67"/>
      <c r="D4516" s="75"/>
      <c r="E4516" s="67"/>
      <c r="F4516" s="67"/>
      <c r="G4516" s="70"/>
      <c r="H4516" s="70"/>
      <c r="I4516" s="70"/>
      <c r="J4516" s="70"/>
      <c r="K4516" s="70"/>
      <c r="L4516" s="67"/>
      <c r="M4516" s="67"/>
      <c r="N4516" s="72"/>
      <c r="O4516" s="72"/>
      <c r="P4516" s="67"/>
      <c r="Q4516" s="67"/>
      <c r="R4516" s="67"/>
      <c r="S4516" s="67"/>
      <c r="T4516" s="32"/>
      <c r="U4516" s="32"/>
      <c r="X4516" s="32"/>
      <c r="Y4516" s="32"/>
      <c r="Z4516" s="32"/>
      <c r="AA4516" s="32"/>
      <c r="AB4516" s="32"/>
    </row>
    <row r="4517" spans="2:28" ht="23.25" customHeight="1" x14ac:dyDescent="0.2">
      <c r="B4517" s="75"/>
      <c r="C4517" s="67"/>
      <c r="D4517" s="75"/>
      <c r="E4517" s="67"/>
      <c r="F4517" s="67"/>
      <c r="G4517" s="70"/>
      <c r="H4517" s="70"/>
      <c r="I4517" s="70"/>
      <c r="J4517" s="70"/>
      <c r="K4517" s="70"/>
      <c r="L4517" s="67"/>
      <c r="M4517" s="67"/>
      <c r="N4517" s="72"/>
      <c r="O4517" s="72"/>
      <c r="P4517" s="67"/>
      <c r="Q4517" s="67"/>
      <c r="R4517" s="67"/>
      <c r="S4517" s="67"/>
      <c r="T4517" s="32"/>
      <c r="U4517" s="32"/>
      <c r="X4517" s="32"/>
      <c r="Y4517" s="32"/>
      <c r="Z4517" s="32"/>
      <c r="AA4517" s="32"/>
      <c r="AB4517" s="32"/>
    </row>
    <row r="4518" spans="2:28" ht="23.25" customHeight="1" x14ac:dyDescent="0.2">
      <c r="B4518" s="75"/>
      <c r="C4518" s="67"/>
      <c r="D4518" s="75"/>
      <c r="E4518" s="67"/>
      <c r="F4518" s="67"/>
      <c r="G4518" s="70"/>
      <c r="H4518" s="70"/>
      <c r="I4518" s="70"/>
      <c r="J4518" s="70"/>
      <c r="K4518" s="70"/>
      <c r="L4518" s="67"/>
      <c r="M4518" s="67"/>
      <c r="N4518" s="72"/>
      <c r="O4518" s="72"/>
      <c r="P4518" s="67"/>
      <c r="Q4518" s="67"/>
      <c r="R4518" s="67"/>
      <c r="S4518" s="67"/>
      <c r="T4518" s="32"/>
      <c r="U4518" s="32"/>
      <c r="X4518" s="32"/>
      <c r="Y4518" s="32"/>
      <c r="Z4518" s="32"/>
      <c r="AA4518" s="32"/>
      <c r="AB4518" s="32"/>
    </row>
    <row r="4519" spans="2:28" ht="23.25" customHeight="1" x14ac:dyDescent="0.2">
      <c r="B4519" s="75"/>
      <c r="C4519" s="67"/>
      <c r="D4519" s="75"/>
      <c r="E4519" s="67"/>
      <c r="F4519" s="67"/>
      <c r="G4519" s="70"/>
      <c r="H4519" s="70"/>
      <c r="I4519" s="70"/>
      <c r="J4519" s="70"/>
      <c r="K4519" s="70"/>
      <c r="L4519" s="67"/>
      <c r="M4519" s="67"/>
      <c r="N4519" s="72"/>
      <c r="O4519" s="72"/>
      <c r="P4519" s="67"/>
      <c r="Q4519" s="67"/>
      <c r="R4519" s="67"/>
      <c r="S4519" s="67"/>
      <c r="T4519" s="32"/>
      <c r="U4519" s="32"/>
      <c r="X4519" s="32"/>
      <c r="Y4519" s="32"/>
      <c r="Z4519" s="32"/>
      <c r="AA4519" s="32"/>
      <c r="AB4519" s="32"/>
    </row>
    <row r="4520" spans="2:28" ht="23.25" customHeight="1" x14ac:dyDescent="0.2">
      <c r="B4520" s="75"/>
      <c r="C4520" s="67"/>
      <c r="D4520" s="75"/>
      <c r="E4520" s="67"/>
      <c r="F4520" s="67"/>
      <c r="G4520" s="70"/>
      <c r="H4520" s="70"/>
      <c r="I4520" s="70"/>
      <c r="J4520" s="70"/>
      <c r="K4520" s="70"/>
      <c r="L4520" s="67"/>
      <c r="M4520" s="67"/>
      <c r="N4520" s="72"/>
      <c r="O4520" s="72"/>
      <c r="P4520" s="67"/>
      <c r="Q4520" s="67"/>
      <c r="R4520" s="67"/>
      <c r="S4520" s="67"/>
      <c r="T4520" s="32"/>
      <c r="U4520" s="32"/>
      <c r="X4520" s="32"/>
      <c r="Y4520" s="32"/>
      <c r="Z4520" s="32"/>
      <c r="AA4520" s="32"/>
      <c r="AB4520" s="32"/>
    </row>
    <row r="4521" spans="2:28" ht="23.25" customHeight="1" x14ac:dyDescent="0.2">
      <c r="B4521" s="75"/>
      <c r="C4521" s="67"/>
      <c r="D4521" s="75"/>
      <c r="E4521" s="67"/>
      <c r="F4521" s="67"/>
      <c r="G4521" s="70"/>
      <c r="H4521" s="70"/>
      <c r="I4521" s="70"/>
      <c r="J4521" s="70"/>
      <c r="K4521" s="70"/>
      <c r="L4521" s="67"/>
      <c r="M4521" s="67"/>
      <c r="N4521" s="72"/>
      <c r="O4521" s="72"/>
      <c r="P4521" s="67"/>
      <c r="Q4521" s="67"/>
      <c r="R4521" s="67"/>
      <c r="S4521" s="67"/>
      <c r="T4521" s="32"/>
      <c r="U4521" s="32"/>
      <c r="X4521" s="32"/>
      <c r="Y4521" s="32"/>
      <c r="Z4521" s="32"/>
      <c r="AA4521" s="32"/>
      <c r="AB4521" s="32"/>
    </row>
    <row r="4522" spans="2:28" ht="23.25" customHeight="1" x14ac:dyDescent="0.2">
      <c r="B4522" s="75"/>
      <c r="C4522" s="67"/>
      <c r="D4522" s="75"/>
      <c r="E4522" s="67"/>
      <c r="F4522" s="67"/>
      <c r="G4522" s="70"/>
      <c r="H4522" s="70"/>
      <c r="I4522" s="70"/>
      <c r="J4522" s="70"/>
      <c r="K4522" s="70"/>
      <c r="L4522" s="67"/>
      <c r="M4522" s="67"/>
      <c r="N4522" s="72"/>
      <c r="O4522" s="72"/>
      <c r="P4522" s="67"/>
      <c r="Q4522" s="67"/>
      <c r="R4522" s="67"/>
      <c r="S4522" s="67"/>
      <c r="T4522" s="32"/>
      <c r="U4522" s="32"/>
      <c r="X4522" s="32"/>
      <c r="Y4522" s="32"/>
      <c r="Z4522" s="32"/>
      <c r="AA4522" s="32"/>
      <c r="AB4522" s="32"/>
    </row>
    <row r="4523" spans="2:28" ht="23.25" customHeight="1" x14ac:dyDescent="0.2">
      <c r="B4523" s="75"/>
      <c r="C4523" s="67"/>
      <c r="D4523" s="75"/>
      <c r="E4523" s="67"/>
      <c r="F4523" s="67"/>
      <c r="G4523" s="70"/>
      <c r="H4523" s="70"/>
      <c r="I4523" s="70"/>
      <c r="J4523" s="70"/>
      <c r="K4523" s="70"/>
      <c r="L4523" s="67"/>
      <c r="M4523" s="67"/>
      <c r="N4523" s="72"/>
      <c r="O4523" s="72"/>
      <c r="P4523" s="67"/>
      <c r="Q4523" s="67"/>
      <c r="R4523" s="67"/>
      <c r="S4523" s="67"/>
      <c r="T4523" s="32"/>
      <c r="U4523" s="32"/>
      <c r="X4523" s="32"/>
      <c r="Y4523" s="32"/>
      <c r="Z4523" s="32"/>
      <c r="AA4523" s="32"/>
      <c r="AB4523" s="32"/>
    </row>
    <row r="4524" spans="2:28" ht="23.25" customHeight="1" x14ac:dyDescent="0.2">
      <c r="B4524" s="75"/>
      <c r="C4524" s="67"/>
      <c r="D4524" s="75"/>
      <c r="E4524" s="67"/>
      <c r="F4524" s="67"/>
      <c r="G4524" s="70"/>
      <c r="H4524" s="70"/>
      <c r="I4524" s="70"/>
      <c r="J4524" s="70"/>
      <c r="K4524" s="70"/>
      <c r="L4524" s="67"/>
      <c r="M4524" s="67"/>
      <c r="N4524" s="72"/>
      <c r="O4524" s="72"/>
      <c r="P4524" s="67"/>
      <c r="Q4524" s="67"/>
      <c r="R4524" s="67"/>
      <c r="S4524" s="67"/>
      <c r="T4524" s="32"/>
      <c r="U4524" s="32"/>
      <c r="X4524" s="32"/>
      <c r="Y4524" s="32"/>
      <c r="Z4524" s="32"/>
      <c r="AA4524" s="32"/>
      <c r="AB4524" s="32"/>
    </row>
    <row r="4525" spans="2:28" ht="23.25" customHeight="1" x14ac:dyDescent="0.2">
      <c r="B4525" s="75"/>
      <c r="C4525" s="67"/>
      <c r="D4525" s="75"/>
      <c r="E4525" s="67"/>
      <c r="F4525" s="67"/>
      <c r="G4525" s="70"/>
      <c r="H4525" s="70"/>
      <c r="I4525" s="70"/>
      <c r="J4525" s="70"/>
      <c r="K4525" s="70"/>
      <c r="L4525" s="67"/>
      <c r="M4525" s="67"/>
      <c r="N4525" s="72"/>
      <c r="O4525" s="72"/>
      <c r="P4525" s="67"/>
      <c r="Q4525" s="67"/>
      <c r="R4525" s="67"/>
      <c r="S4525" s="67"/>
      <c r="T4525" s="32"/>
      <c r="U4525" s="32"/>
      <c r="X4525" s="32"/>
      <c r="Y4525" s="32"/>
      <c r="Z4525" s="32"/>
      <c r="AA4525" s="32"/>
      <c r="AB4525" s="32"/>
    </row>
    <row r="4526" spans="2:28" ht="23.25" customHeight="1" x14ac:dyDescent="0.2">
      <c r="B4526" s="75"/>
      <c r="C4526" s="67"/>
      <c r="D4526" s="75"/>
      <c r="E4526" s="67"/>
      <c r="F4526" s="67"/>
      <c r="G4526" s="70"/>
      <c r="H4526" s="70"/>
      <c r="I4526" s="70"/>
      <c r="J4526" s="70"/>
      <c r="K4526" s="70"/>
      <c r="L4526" s="67"/>
      <c r="M4526" s="67"/>
      <c r="N4526" s="72"/>
      <c r="O4526" s="72"/>
      <c r="P4526" s="67"/>
      <c r="Q4526" s="67"/>
      <c r="R4526" s="67"/>
      <c r="S4526" s="67"/>
      <c r="T4526" s="32"/>
      <c r="U4526" s="32"/>
      <c r="X4526" s="32"/>
      <c r="Y4526" s="32"/>
      <c r="Z4526" s="32"/>
      <c r="AA4526" s="32"/>
      <c r="AB4526" s="32"/>
    </row>
    <row r="4527" spans="2:28" ht="23.25" customHeight="1" x14ac:dyDescent="0.2">
      <c r="B4527" s="75"/>
      <c r="C4527" s="67"/>
      <c r="D4527" s="75"/>
      <c r="E4527" s="67"/>
      <c r="F4527" s="67"/>
      <c r="G4527" s="70"/>
      <c r="H4527" s="70"/>
      <c r="I4527" s="70"/>
      <c r="J4527" s="70"/>
      <c r="K4527" s="70"/>
      <c r="L4527" s="67"/>
      <c r="M4527" s="67"/>
      <c r="N4527" s="72"/>
      <c r="O4527" s="72"/>
      <c r="P4527" s="67"/>
      <c r="Q4527" s="67"/>
      <c r="R4527" s="67"/>
      <c r="S4527" s="67"/>
      <c r="T4527" s="32"/>
      <c r="U4527" s="32"/>
      <c r="X4527" s="32"/>
      <c r="Y4527" s="32"/>
      <c r="Z4527" s="32"/>
      <c r="AA4527" s="32"/>
      <c r="AB4527" s="32"/>
    </row>
    <row r="4528" spans="2:28" ht="23.25" customHeight="1" x14ac:dyDescent="0.2">
      <c r="B4528" s="75"/>
      <c r="C4528" s="67"/>
      <c r="D4528" s="75"/>
      <c r="E4528" s="67"/>
      <c r="F4528" s="67"/>
      <c r="G4528" s="70"/>
      <c r="H4528" s="70"/>
      <c r="I4528" s="70"/>
      <c r="J4528" s="70"/>
      <c r="K4528" s="70"/>
      <c r="L4528" s="67"/>
      <c r="M4528" s="67"/>
      <c r="N4528" s="72"/>
      <c r="O4528" s="72"/>
      <c r="P4528" s="67"/>
      <c r="Q4528" s="67"/>
      <c r="R4528" s="67"/>
      <c r="S4528" s="67"/>
      <c r="T4528" s="32"/>
      <c r="U4528" s="32"/>
      <c r="X4528" s="32"/>
      <c r="Y4528" s="32"/>
      <c r="Z4528" s="32"/>
      <c r="AA4528" s="32"/>
      <c r="AB4528" s="32"/>
    </row>
    <row r="4529" spans="2:28" ht="23.25" customHeight="1" x14ac:dyDescent="0.2">
      <c r="B4529" s="75"/>
      <c r="C4529" s="67"/>
      <c r="D4529" s="75"/>
      <c r="E4529" s="67"/>
      <c r="F4529" s="67"/>
      <c r="G4529" s="70"/>
      <c r="H4529" s="70"/>
      <c r="I4529" s="70"/>
      <c r="J4529" s="70"/>
      <c r="K4529" s="70"/>
      <c r="L4529" s="67"/>
      <c r="M4529" s="67"/>
      <c r="N4529" s="72"/>
      <c r="O4529" s="72"/>
      <c r="P4529" s="67"/>
      <c r="Q4529" s="67"/>
      <c r="R4529" s="67"/>
      <c r="S4529" s="67"/>
      <c r="T4529" s="32"/>
      <c r="U4529" s="32"/>
      <c r="X4529" s="32"/>
      <c r="Y4529" s="32"/>
      <c r="Z4529" s="32"/>
      <c r="AA4529" s="32"/>
      <c r="AB4529" s="32"/>
    </row>
    <row r="4530" spans="2:28" ht="23.25" customHeight="1" x14ac:dyDescent="0.2">
      <c r="B4530" s="75"/>
      <c r="C4530" s="67"/>
      <c r="D4530" s="75"/>
      <c r="E4530" s="67"/>
      <c r="F4530" s="67"/>
      <c r="G4530" s="70"/>
      <c r="H4530" s="70"/>
      <c r="I4530" s="70"/>
      <c r="J4530" s="70"/>
      <c r="K4530" s="70"/>
      <c r="L4530" s="67"/>
      <c r="M4530" s="67"/>
      <c r="N4530" s="72"/>
      <c r="O4530" s="72"/>
      <c r="P4530" s="67"/>
      <c r="Q4530" s="67"/>
      <c r="R4530" s="67"/>
      <c r="S4530" s="67"/>
      <c r="T4530" s="32"/>
      <c r="U4530" s="32"/>
      <c r="X4530" s="32"/>
      <c r="Y4530" s="32"/>
      <c r="Z4530" s="32"/>
      <c r="AA4530" s="32"/>
      <c r="AB4530" s="32"/>
    </row>
    <row r="4531" spans="2:28" ht="23.25" customHeight="1" x14ac:dyDescent="0.2">
      <c r="B4531" s="75"/>
      <c r="C4531" s="67"/>
      <c r="D4531" s="75"/>
      <c r="E4531" s="67"/>
      <c r="F4531" s="67"/>
      <c r="G4531" s="70"/>
      <c r="H4531" s="70"/>
      <c r="I4531" s="70"/>
      <c r="J4531" s="70"/>
      <c r="K4531" s="70"/>
      <c r="L4531" s="67"/>
      <c r="M4531" s="67"/>
      <c r="N4531" s="72"/>
      <c r="O4531" s="72"/>
      <c r="P4531" s="67"/>
      <c r="Q4531" s="67"/>
      <c r="R4531" s="67"/>
      <c r="S4531" s="67"/>
      <c r="T4531" s="32"/>
      <c r="U4531" s="32"/>
      <c r="X4531" s="32"/>
      <c r="Y4531" s="32"/>
      <c r="Z4531" s="32"/>
      <c r="AA4531" s="32"/>
      <c r="AB4531" s="32"/>
    </row>
    <row r="4532" spans="2:28" ht="23.25" customHeight="1" x14ac:dyDescent="0.2">
      <c r="B4532" s="75"/>
      <c r="C4532" s="67"/>
      <c r="D4532" s="75"/>
      <c r="E4532" s="67"/>
      <c r="F4532" s="67"/>
      <c r="G4532" s="70"/>
      <c r="H4532" s="70"/>
      <c r="I4532" s="70"/>
      <c r="J4532" s="70"/>
      <c r="K4532" s="70"/>
      <c r="L4532" s="67"/>
      <c r="M4532" s="67"/>
      <c r="N4532" s="72"/>
      <c r="O4532" s="72"/>
      <c r="P4532" s="67"/>
      <c r="Q4532" s="67"/>
      <c r="R4532" s="67"/>
      <c r="S4532" s="67"/>
      <c r="T4532" s="32"/>
      <c r="U4532" s="32"/>
      <c r="X4532" s="32"/>
      <c r="Y4532" s="32"/>
      <c r="Z4532" s="32"/>
      <c r="AA4532" s="32"/>
      <c r="AB4532" s="32"/>
    </row>
    <row r="4533" spans="2:28" ht="23.25" customHeight="1" x14ac:dyDescent="0.2">
      <c r="B4533" s="75"/>
      <c r="C4533" s="67"/>
      <c r="D4533" s="75"/>
      <c r="E4533" s="67"/>
      <c r="F4533" s="67"/>
      <c r="G4533" s="70"/>
      <c r="H4533" s="70"/>
      <c r="I4533" s="70"/>
      <c r="J4533" s="70"/>
      <c r="K4533" s="70"/>
      <c r="L4533" s="67"/>
      <c r="M4533" s="67"/>
      <c r="N4533" s="72"/>
      <c r="O4533" s="72"/>
      <c r="P4533" s="67"/>
      <c r="Q4533" s="67"/>
      <c r="R4533" s="67"/>
      <c r="S4533" s="67"/>
      <c r="T4533" s="32"/>
      <c r="U4533" s="32"/>
      <c r="X4533" s="32"/>
      <c r="Y4533" s="32"/>
      <c r="Z4533" s="32"/>
      <c r="AA4533" s="32"/>
      <c r="AB4533" s="32"/>
    </row>
    <row r="4534" spans="2:28" ht="23.25" customHeight="1" x14ac:dyDescent="0.2">
      <c r="B4534" s="75"/>
      <c r="C4534" s="67"/>
      <c r="D4534" s="75"/>
      <c r="E4534" s="67"/>
      <c r="F4534" s="67"/>
      <c r="G4534" s="70"/>
      <c r="H4534" s="70"/>
      <c r="I4534" s="70"/>
      <c r="J4534" s="70"/>
      <c r="K4534" s="70"/>
      <c r="L4534" s="67"/>
      <c r="M4534" s="67"/>
      <c r="N4534" s="72"/>
      <c r="O4534" s="72"/>
      <c r="P4534" s="67"/>
      <c r="Q4534" s="67"/>
      <c r="R4534" s="67"/>
      <c r="S4534" s="67"/>
      <c r="T4534" s="32"/>
      <c r="U4534" s="32"/>
      <c r="X4534" s="32"/>
      <c r="Y4534" s="32"/>
      <c r="Z4534" s="32"/>
      <c r="AA4534" s="32"/>
      <c r="AB4534" s="32"/>
    </row>
    <row r="4535" spans="2:28" ht="23.25" customHeight="1" x14ac:dyDescent="0.2">
      <c r="B4535" s="75"/>
      <c r="C4535" s="67"/>
      <c r="D4535" s="75"/>
      <c r="E4535" s="67"/>
      <c r="F4535" s="67"/>
      <c r="G4535" s="70"/>
      <c r="H4535" s="70"/>
      <c r="I4535" s="70"/>
      <c r="J4535" s="70"/>
      <c r="K4535" s="70"/>
      <c r="L4535" s="67"/>
      <c r="M4535" s="67"/>
      <c r="N4535" s="72"/>
      <c r="O4535" s="72"/>
      <c r="P4535" s="67"/>
      <c r="Q4535" s="67"/>
      <c r="R4535" s="67"/>
      <c r="S4535" s="67"/>
      <c r="T4535" s="32"/>
      <c r="U4535" s="32"/>
      <c r="X4535" s="32"/>
      <c r="Y4535" s="32"/>
      <c r="Z4535" s="32"/>
      <c r="AA4535" s="32"/>
      <c r="AB4535" s="32"/>
    </row>
    <row r="4536" spans="2:28" ht="23.25" customHeight="1" x14ac:dyDescent="0.2">
      <c r="B4536" s="75"/>
      <c r="C4536" s="67"/>
      <c r="D4536" s="75"/>
      <c r="E4536" s="67"/>
      <c r="F4536" s="67"/>
      <c r="G4536" s="70"/>
      <c r="H4536" s="70"/>
      <c r="I4536" s="70"/>
      <c r="J4536" s="70"/>
      <c r="K4536" s="70"/>
      <c r="L4536" s="67"/>
      <c r="M4536" s="67"/>
      <c r="N4536" s="72"/>
      <c r="O4536" s="72"/>
      <c r="P4536" s="67"/>
      <c r="Q4536" s="67"/>
      <c r="R4536" s="67"/>
      <c r="S4536" s="67"/>
      <c r="T4536" s="32"/>
      <c r="U4536" s="32"/>
      <c r="X4536" s="32"/>
      <c r="Y4536" s="32"/>
      <c r="Z4536" s="32"/>
      <c r="AA4536" s="32"/>
      <c r="AB4536" s="32"/>
    </row>
    <row r="4537" spans="2:28" ht="23.25" customHeight="1" x14ac:dyDescent="0.2">
      <c r="B4537" s="75"/>
      <c r="C4537" s="67"/>
      <c r="D4537" s="75"/>
      <c r="E4537" s="67"/>
      <c r="F4537" s="67"/>
      <c r="G4537" s="70"/>
      <c r="H4537" s="70"/>
      <c r="I4537" s="70"/>
      <c r="J4537" s="70"/>
      <c r="K4537" s="70"/>
      <c r="L4537" s="67"/>
      <c r="M4537" s="67"/>
      <c r="N4537" s="72"/>
      <c r="O4537" s="72"/>
      <c r="P4537" s="67"/>
      <c r="Q4537" s="67"/>
      <c r="R4537" s="67"/>
      <c r="S4537" s="67"/>
      <c r="T4537" s="32"/>
      <c r="U4537" s="32"/>
      <c r="X4537" s="32"/>
      <c r="Y4537" s="32"/>
      <c r="Z4537" s="32"/>
      <c r="AA4537" s="32"/>
      <c r="AB4537" s="32"/>
    </row>
    <row r="4538" spans="2:28" ht="23.25" customHeight="1" x14ac:dyDescent="0.2">
      <c r="B4538" s="75"/>
      <c r="C4538" s="67"/>
      <c r="D4538" s="75"/>
      <c r="E4538" s="67"/>
      <c r="F4538" s="67"/>
      <c r="G4538" s="70"/>
      <c r="H4538" s="70"/>
      <c r="I4538" s="70"/>
      <c r="J4538" s="70"/>
      <c r="K4538" s="70"/>
      <c r="L4538" s="67"/>
      <c r="M4538" s="67"/>
      <c r="N4538" s="72"/>
      <c r="O4538" s="72"/>
      <c r="P4538" s="67"/>
      <c r="Q4538" s="67"/>
      <c r="R4538" s="67"/>
      <c r="S4538" s="67"/>
      <c r="T4538" s="32"/>
      <c r="U4538" s="32"/>
      <c r="X4538" s="32"/>
      <c r="Y4538" s="32"/>
      <c r="Z4538" s="32"/>
      <c r="AA4538" s="32"/>
      <c r="AB4538" s="32"/>
    </row>
    <row r="4539" spans="2:28" ht="23.25" customHeight="1" x14ac:dyDescent="0.2">
      <c r="B4539" s="75"/>
      <c r="C4539" s="67"/>
      <c r="D4539" s="75"/>
      <c r="E4539" s="67"/>
      <c r="F4539" s="67"/>
      <c r="G4539" s="70"/>
      <c r="H4539" s="70"/>
      <c r="I4539" s="70"/>
      <c r="J4539" s="70"/>
      <c r="K4539" s="70"/>
      <c r="L4539" s="67"/>
      <c r="M4539" s="67"/>
      <c r="N4539" s="72"/>
      <c r="O4539" s="72"/>
      <c r="P4539" s="67"/>
      <c r="Q4539" s="67"/>
      <c r="R4539" s="67"/>
      <c r="S4539" s="67"/>
      <c r="T4539" s="32"/>
      <c r="U4539" s="32"/>
      <c r="X4539" s="32"/>
      <c r="Y4539" s="32"/>
      <c r="Z4539" s="32"/>
      <c r="AA4539" s="32"/>
      <c r="AB4539" s="32"/>
    </row>
    <row r="4540" spans="2:28" ht="23.25" customHeight="1" x14ac:dyDescent="0.2">
      <c r="B4540" s="75"/>
      <c r="C4540" s="67"/>
      <c r="D4540" s="75"/>
      <c r="E4540" s="67"/>
      <c r="F4540" s="67"/>
      <c r="G4540" s="70"/>
      <c r="H4540" s="70"/>
      <c r="I4540" s="70"/>
      <c r="J4540" s="70"/>
      <c r="K4540" s="70"/>
      <c r="L4540" s="67"/>
      <c r="M4540" s="67"/>
      <c r="N4540" s="72"/>
      <c r="O4540" s="72"/>
      <c r="P4540" s="67"/>
      <c r="Q4540" s="67"/>
      <c r="R4540" s="67"/>
      <c r="S4540" s="67"/>
      <c r="T4540" s="32"/>
      <c r="U4540" s="32"/>
      <c r="X4540" s="32"/>
      <c r="Y4540" s="32"/>
      <c r="Z4540" s="32"/>
      <c r="AA4540" s="32"/>
      <c r="AB4540" s="32"/>
    </row>
    <row r="4541" spans="2:28" ht="23.25" customHeight="1" x14ac:dyDescent="0.2">
      <c r="B4541" s="75"/>
      <c r="C4541" s="67"/>
      <c r="D4541" s="75"/>
      <c r="E4541" s="67"/>
      <c r="F4541" s="67"/>
      <c r="G4541" s="70"/>
      <c r="H4541" s="70"/>
      <c r="I4541" s="70"/>
      <c r="J4541" s="70"/>
      <c r="K4541" s="70"/>
      <c r="L4541" s="67"/>
      <c r="M4541" s="67"/>
      <c r="N4541" s="72"/>
      <c r="O4541" s="72"/>
      <c r="P4541" s="67"/>
      <c r="Q4541" s="67"/>
      <c r="R4541" s="67"/>
      <c r="S4541" s="67"/>
      <c r="T4541" s="32"/>
      <c r="U4541" s="32"/>
      <c r="X4541" s="32"/>
      <c r="Y4541" s="32"/>
      <c r="Z4541" s="32"/>
      <c r="AA4541" s="32"/>
      <c r="AB4541" s="32"/>
    </row>
    <row r="4542" spans="2:28" ht="23.25" customHeight="1" x14ac:dyDescent="0.2">
      <c r="B4542" s="75"/>
      <c r="C4542" s="67"/>
      <c r="D4542" s="75"/>
      <c r="E4542" s="67"/>
      <c r="F4542" s="67"/>
      <c r="G4542" s="70"/>
      <c r="H4542" s="70"/>
      <c r="I4542" s="70"/>
      <c r="J4542" s="70"/>
      <c r="K4542" s="70"/>
      <c r="L4542" s="67"/>
      <c r="M4542" s="67"/>
      <c r="N4542" s="72"/>
      <c r="O4542" s="72"/>
      <c r="P4542" s="67"/>
      <c r="Q4542" s="67"/>
      <c r="R4542" s="67"/>
      <c r="S4542" s="67"/>
      <c r="T4542" s="32"/>
      <c r="U4542" s="32"/>
      <c r="X4542" s="32"/>
      <c r="Y4542" s="32"/>
      <c r="Z4542" s="32"/>
      <c r="AA4542" s="32"/>
      <c r="AB4542" s="32"/>
    </row>
    <row r="4543" spans="2:28" ht="23.25" customHeight="1" x14ac:dyDescent="0.2">
      <c r="B4543" s="75"/>
      <c r="C4543" s="67"/>
      <c r="D4543" s="75"/>
      <c r="E4543" s="67"/>
      <c r="F4543" s="67"/>
      <c r="G4543" s="70"/>
      <c r="H4543" s="70"/>
      <c r="I4543" s="70"/>
      <c r="J4543" s="70"/>
      <c r="K4543" s="70"/>
      <c r="L4543" s="67"/>
      <c r="M4543" s="67"/>
      <c r="N4543" s="72"/>
      <c r="O4543" s="72"/>
      <c r="P4543" s="67"/>
      <c r="Q4543" s="67"/>
      <c r="R4543" s="67"/>
      <c r="S4543" s="67"/>
      <c r="T4543" s="32"/>
      <c r="U4543" s="32"/>
      <c r="X4543" s="32"/>
      <c r="Y4543" s="32"/>
      <c r="Z4543" s="32"/>
      <c r="AA4543" s="32"/>
      <c r="AB4543" s="32"/>
    </row>
    <row r="4544" spans="2:28" ht="23.25" customHeight="1" x14ac:dyDescent="0.2">
      <c r="B4544" s="75"/>
      <c r="C4544" s="67"/>
      <c r="D4544" s="75"/>
      <c r="E4544" s="67"/>
      <c r="F4544" s="67"/>
      <c r="G4544" s="70"/>
      <c r="H4544" s="70"/>
      <c r="I4544" s="70"/>
      <c r="J4544" s="70"/>
      <c r="K4544" s="70"/>
      <c r="L4544" s="67"/>
      <c r="M4544" s="67"/>
      <c r="N4544" s="72"/>
      <c r="O4544" s="72"/>
      <c r="P4544" s="67"/>
      <c r="Q4544" s="67"/>
      <c r="R4544" s="67"/>
      <c r="S4544" s="67"/>
      <c r="T4544" s="32"/>
      <c r="U4544" s="32"/>
      <c r="X4544" s="32"/>
      <c r="Y4544" s="32"/>
      <c r="Z4544" s="32"/>
      <c r="AA4544" s="32"/>
      <c r="AB4544" s="32"/>
    </row>
    <row r="4545" spans="2:28" ht="23.25" customHeight="1" x14ac:dyDescent="0.2">
      <c r="B4545" s="75"/>
      <c r="C4545" s="67"/>
      <c r="D4545" s="75"/>
      <c r="E4545" s="67"/>
      <c r="F4545" s="67"/>
      <c r="G4545" s="70"/>
      <c r="H4545" s="70"/>
      <c r="I4545" s="70"/>
      <c r="J4545" s="70"/>
      <c r="K4545" s="70"/>
      <c r="L4545" s="67"/>
      <c r="M4545" s="67"/>
      <c r="N4545" s="72"/>
      <c r="O4545" s="72"/>
      <c r="P4545" s="67"/>
      <c r="Q4545" s="67"/>
      <c r="R4545" s="67"/>
      <c r="S4545" s="67"/>
      <c r="T4545" s="32"/>
      <c r="U4545" s="32"/>
      <c r="X4545" s="32"/>
      <c r="Y4545" s="32"/>
      <c r="Z4545" s="32"/>
      <c r="AA4545" s="32"/>
      <c r="AB4545" s="32"/>
    </row>
    <row r="4546" spans="2:28" ht="23.25" customHeight="1" x14ac:dyDescent="0.2">
      <c r="B4546" s="75"/>
      <c r="C4546" s="67"/>
      <c r="D4546" s="75"/>
      <c r="E4546" s="67"/>
      <c r="F4546" s="67"/>
      <c r="G4546" s="70"/>
      <c r="H4546" s="70"/>
      <c r="I4546" s="70"/>
      <c r="J4546" s="70"/>
      <c r="K4546" s="70"/>
      <c r="L4546" s="67"/>
      <c r="M4546" s="67"/>
      <c r="N4546" s="72"/>
      <c r="O4546" s="72"/>
      <c r="P4546" s="67"/>
      <c r="Q4546" s="67"/>
      <c r="R4546" s="67"/>
      <c r="S4546" s="67"/>
      <c r="T4546" s="32"/>
      <c r="U4546" s="32"/>
      <c r="X4546" s="32"/>
      <c r="Y4546" s="32"/>
      <c r="Z4546" s="32"/>
      <c r="AA4546" s="32"/>
      <c r="AB4546" s="32"/>
    </row>
    <row r="4547" spans="2:28" ht="23.25" customHeight="1" x14ac:dyDescent="0.2">
      <c r="B4547" s="75"/>
      <c r="C4547" s="67"/>
      <c r="D4547" s="75"/>
      <c r="E4547" s="67"/>
      <c r="F4547" s="67"/>
      <c r="G4547" s="70"/>
      <c r="H4547" s="70"/>
      <c r="I4547" s="70"/>
      <c r="J4547" s="70"/>
      <c r="K4547" s="70"/>
      <c r="L4547" s="67"/>
      <c r="M4547" s="67"/>
      <c r="N4547" s="72"/>
      <c r="O4547" s="72"/>
      <c r="P4547" s="67"/>
      <c r="Q4547" s="67"/>
      <c r="R4547" s="67"/>
      <c r="S4547" s="67"/>
      <c r="T4547" s="32"/>
      <c r="U4547" s="32"/>
      <c r="X4547" s="32"/>
      <c r="Y4547" s="32"/>
      <c r="Z4547" s="32"/>
      <c r="AA4547" s="32"/>
      <c r="AB4547" s="32"/>
    </row>
    <row r="4548" spans="2:28" ht="23.25" customHeight="1" x14ac:dyDescent="0.2">
      <c r="B4548" s="75"/>
      <c r="C4548" s="67"/>
      <c r="D4548" s="75"/>
      <c r="E4548" s="67"/>
      <c r="F4548" s="67"/>
      <c r="G4548" s="70"/>
      <c r="H4548" s="70"/>
      <c r="I4548" s="70"/>
      <c r="J4548" s="70"/>
      <c r="K4548" s="70"/>
      <c r="L4548" s="67"/>
      <c r="M4548" s="67"/>
      <c r="N4548" s="72"/>
      <c r="O4548" s="72"/>
      <c r="P4548" s="67"/>
      <c r="Q4548" s="67"/>
      <c r="R4548" s="67"/>
      <c r="S4548" s="67"/>
      <c r="T4548" s="32"/>
      <c r="U4548" s="32"/>
      <c r="X4548" s="32"/>
      <c r="Y4548" s="32"/>
      <c r="Z4548" s="32"/>
      <c r="AA4548" s="32"/>
      <c r="AB4548" s="32"/>
    </row>
    <row r="4549" spans="2:28" ht="23.25" customHeight="1" x14ac:dyDescent="0.2">
      <c r="B4549" s="75"/>
      <c r="C4549" s="67"/>
      <c r="D4549" s="75"/>
      <c r="E4549" s="67"/>
      <c r="F4549" s="67"/>
      <c r="G4549" s="70"/>
      <c r="H4549" s="70"/>
      <c r="I4549" s="70"/>
      <c r="J4549" s="70"/>
      <c r="K4549" s="70"/>
      <c r="L4549" s="67"/>
      <c r="M4549" s="67"/>
      <c r="N4549" s="72"/>
      <c r="O4549" s="72"/>
      <c r="P4549" s="67"/>
      <c r="Q4549" s="67"/>
      <c r="R4549" s="67"/>
      <c r="S4549" s="67"/>
      <c r="T4549" s="32"/>
      <c r="U4549" s="32"/>
      <c r="X4549" s="32"/>
      <c r="Y4549" s="32"/>
      <c r="Z4549" s="32"/>
      <c r="AA4549" s="32"/>
      <c r="AB4549" s="32"/>
    </row>
    <row r="4550" spans="2:28" ht="23.25" customHeight="1" x14ac:dyDescent="0.2">
      <c r="B4550" s="75"/>
      <c r="C4550" s="67"/>
      <c r="D4550" s="75"/>
      <c r="E4550" s="67"/>
      <c r="F4550" s="67"/>
      <c r="G4550" s="70"/>
      <c r="H4550" s="70"/>
      <c r="I4550" s="70"/>
      <c r="J4550" s="70"/>
      <c r="K4550" s="70"/>
      <c r="L4550" s="67"/>
      <c r="M4550" s="67"/>
      <c r="N4550" s="72"/>
      <c r="O4550" s="72"/>
      <c r="P4550" s="67"/>
      <c r="Q4550" s="67"/>
      <c r="R4550" s="67"/>
      <c r="S4550" s="67"/>
      <c r="T4550" s="32"/>
      <c r="U4550" s="32"/>
      <c r="X4550" s="32"/>
      <c r="Y4550" s="32"/>
      <c r="Z4550" s="32"/>
      <c r="AA4550" s="32"/>
      <c r="AB4550" s="32"/>
    </row>
    <row r="4551" spans="2:28" ht="23.25" customHeight="1" x14ac:dyDescent="0.2">
      <c r="B4551" s="75"/>
      <c r="C4551" s="67"/>
      <c r="D4551" s="75"/>
      <c r="E4551" s="67"/>
      <c r="F4551" s="67"/>
      <c r="G4551" s="70"/>
      <c r="H4551" s="70"/>
      <c r="I4551" s="70"/>
      <c r="J4551" s="70"/>
      <c r="K4551" s="70"/>
      <c r="L4551" s="67"/>
      <c r="M4551" s="67"/>
      <c r="N4551" s="72"/>
      <c r="O4551" s="72"/>
      <c r="P4551" s="67"/>
      <c r="Q4551" s="67"/>
      <c r="R4551" s="67"/>
      <c r="S4551" s="67"/>
      <c r="T4551" s="32"/>
      <c r="U4551" s="32"/>
      <c r="X4551" s="32"/>
      <c r="Y4551" s="32"/>
      <c r="Z4551" s="32"/>
      <c r="AA4551" s="32"/>
      <c r="AB4551" s="32"/>
    </row>
    <row r="4552" spans="2:28" ht="23.25" customHeight="1" x14ac:dyDescent="0.2">
      <c r="B4552" s="75"/>
      <c r="C4552" s="67"/>
      <c r="D4552" s="75"/>
      <c r="E4552" s="67"/>
      <c r="F4552" s="67"/>
      <c r="G4552" s="70"/>
      <c r="H4552" s="70"/>
      <c r="I4552" s="70"/>
      <c r="J4552" s="70"/>
      <c r="K4552" s="70"/>
      <c r="L4552" s="67"/>
      <c r="M4552" s="67"/>
      <c r="N4552" s="72"/>
      <c r="O4552" s="72"/>
      <c r="P4552" s="67"/>
      <c r="Q4552" s="67"/>
      <c r="R4552" s="67"/>
      <c r="S4552" s="67"/>
      <c r="T4552" s="32"/>
      <c r="U4552" s="32"/>
      <c r="X4552" s="32"/>
      <c r="Y4552" s="32"/>
      <c r="Z4552" s="32"/>
      <c r="AA4552" s="32"/>
      <c r="AB4552" s="32"/>
    </row>
    <row r="4553" spans="2:28" ht="23.25" customHeight="1" x14ac:dyDescent="0.2">
      <c r="B4553" s="75"/>
      <c r="C4553" s="67"/>
      <c r="D4553" s="75"/>
      <c r="E4553" s="67"/>
      <c r="F4553" s="67"/>
      <c r="G4553" s="70"/>
      <c r="H4553" s="70"/>
      <c r="I4553" s="70"/>
      <c r="J4553" s="70"/>
      <c r="K4553" s="70"/>
      <c r="L4553" s="67"/>
      <c r="M4553" s="67"/>
      <c r="N4553" s="72"/>
      <c r="O4553" s="72"/>
      <c r="P4553" s="67"/>
      <c r="Q4553" s="67"/>
      <c r="R4553" s="67"/>
      <c r="S4553" s="67"/>
      <c r="T4553" s="32"/>
      <c r="U4553" s="32"/>
      <c r="X4553" s="32"/>
      <c r="Y4553" s="32"/>
      <c r="Z4553" s="32"/>
      <c r="AA4553" s="32"/>
      <c r="AB4553" s="32"/>
    </row>
    <row r="4554" spans="2:28" ht="23.25" customHeight="1" x14ac:dyDescent="0.2">
      <c r="B4554" s="75"/>
      <c r="C4554" s="67"/>
      <c r="D4554" s="75"/>
      <c r="E4554" s="67"/>
      <c r="F4554" s="67"/>
      <c r="G4554" s="70"/>
      <c r="H4554" s="70"/>
      <c r="I4554" s="70"/>
      <c r="J4554" s="70"/>
      <c r="K4554" s="70"/>
      <c r="L4554" s="67"/>
      <c r="M4554" s="67"/>
      <c r="N4554" s="72"/>
      <c r="O4554" s="72"/>
      <c r="P4554" s="67"/>
      <c r="Q4554" s="67"/>
      <c r="R4554" s="67"/>
      <c r="S4554" s="67"/>
      <c r="T4554" s="32"/>
      <c r="U4554" s="32"/>
      <c r="X4554" s="32"/>
      <c r="Y4554" s="32"/>
      <c r="Z4554" s="32"/>
      <c r="AA4554" s="32"/>
      <c r="AB4554" s="32"/>
    </row>
    <row r="4555" spans="2:28" ht="23.25" customHeight="1" x14ac:dyDescent="0.2">
      <c r="B4555" s="75"/>
      <c r="C4555" s="67"/>
      <c r="D4555" s="75"/>
      <c r="E4555" s="67"/>
      <c r="F4555" s="67"/>
      <c r="G4555" s="70"/>
      <c r="H4555" s="70"/>
      <c r="I4555" s="70"/>
      <c r="J4555" s="70"/>
      <c r="K4555" s="70"/>
      <c r="L4555" s="67"/>
      <c r="M4555" s="67"/>
      <c r="N4555" s="72"/>
      <c r="O4555" s="72"/>
      <c r="P4555" s="67"/>
      <c r="Q4555" s="67"/>
      <c r="R4555" s="67"/>
      <c r="S4555" s="67"/>
      <c r="T4555" s="32"/>
      <c r="U4555" s="32"/>
      <c r="X4555" s="32"/>
      <c r="Y4555" s="32"/>
      <c r="Z4555" s="32"/>
      <c r="AA4555" s="32"/>
      <c r="AB4555" s="32"/>
    </row>
    <row r="4556" spans="2:28" ht="23.25" customHeight="1" x14ac:dyDescent="0.2">
      <c r="B4556" s="75"/>
      <c r="C4556" s="67"/>
      <c r="D4556" s="75"/>
      <c r="E4556" s="67"/>
      <c r="F4556" s="67"/>
      <c r="G4556" s="70"/>
      <c r="H4556" s="70"/>
      <c r="I4556" s="70"/>
      <c r="J4556" s="70"/>
      <c r="K4556" s="70"/>
      <c r="L4556" s="67"/>
      <c r="M4556" s="67"/>
      <c r="N4556" s="72"/>
      <c r="O4556" s="72"/>
      <c r="P4556" s="67"/>
      <c r="Q4556" s="67"/>
      <c r="R4556" s="67"/>
      <c r="S4556" s="67"/>
      <c r="T4556" s="32"/>
      <c r="U4556" s="32"/>
      <c r="X4556" s="32"/>
      <c r="Y4556" s="32"/>
      <c r="Z4556" s="32"/>
      <c r="AA4556" s="32"/>
      <c r="AB4556" s="32"/>
    </row>
    <row r="4557" spans="2:28" ht="23.25" customHeight="1" x14ac:dyDescent="0.2">
      <c r="B4557" s="75"/>
      <c r="C4557" s="67"/>
      <c r="D4557" s="75"/>
      <c r="E4557" s="67"/>
      <c r="F4557" s="67"/>
      <c r="G4557" s="70"/>
      <c r="H4557" s="70"/>
      <c r="I4557" s="70"/>
      <c r="J4557" s="70"/>
      <c r="K4557" s="70"/>
      <c r="L4557" s="67"/>
      <c r="M4557" s="67"/>
      <c r="N4557" s="72"/>
      <c r="O4557" s="72"/>
      <c r="P4557" s="67"/>
      <c r="Q4557" s="67"/>
      <c r="R4557" s="67"/>
      <c r="S4557" s="67"/>
      <c r="T4557" s="32"/>
      <c r="U4557" s="32"/>
      <c r="X4557" s="32"/>
      <c r="Y4557" s="32"/>
      <c r="Z4557" s="32"/>
      <c r="AA4557" s="32"/>
      <c r="AB4557" s="32"/>
    </row>
    <row r="4558" spans="2:28" ht="23.25" customHeight="1" x14ac:dyDescent="0.2">
      <c r="B4558" s="75"/>
      <c r="C4558" s="67"/>
      <c r="D4558" s="75"/>
      <c r="E4558" s="67"/>
      <c r="F4558" s="67"/>
      <c r="G4558" s="70"/>
      <c r="H4558" s="70"/>
      <c r="I4558" s="70"/>
      <c r="J4558" s="70"/>
      <c r="K4558" s="70"/>
      <c r="L4558" s="67"/>
      <c r="M4558" s="67"/>
      <c r="N4558" s="72"/>
      <c r="O4558" s="72"/>
      <c r="P4558" s="67"/>
      <c r="Q4558" s="67"/>
      <c r="R4558" s="67"/>
      <c r="S4558" s="67"/>
      <c r="T4558" s="32"/>
      <c r="U4558" s="32"/>
      <c r="X4558" s="32"/>
      <c r="Y4558" s="32"/>
      <c r="Z4558" s="32"/>
      <c r="AA4558" s="32"/>
      <c r="AB4558" s="32"/>
    </row>
    <row r="4559" spans="2:28" ht="23.25" customHeight="1" x14ac:dyDescent="0.2">
      <c r="B4559" s="75"/>
      <c r="C4559" s="67"/>
      <c r="D4559" s="75"/>
      <c r="E4559" s="67"/>
      <c r="F4559" s="67"/>
      <c r="G4559" s="70"/>
      <c r="H4559" s="70"/>
      <c r="I4559" s="70"/>
      <c r="J4559" s="70"/>
      <c r="K4559" s="70"/>
      <c r="L4559" s="67"/>
      <c r="M4559" s="67"/>
      <c r="N4559" s="72"/>
      <c r="O4559" s="72"/>
      <c r="P4559" s="67"/>
      <c r="Q4559" s="67"/>
      <c r="R4559" s="67"/>
      <c r="S4559" s="67"/>
      <c r="T4559" s="32"/>
      <c r="U4559" s="32"/>
      <c r="X4559" s="32"/>
      <c r="Y4559" s="32"/>
      <c r="Z4559" s="32"/>
      <c r="AA4559" s="32"/>
      <c r="AB4559" s="32"/>
    </row>
    <row r="4560" spans="2:28" ht="23.25" customHeight="1" x14ac:dyDescent="0.2">
      <c r="B4560" s="75"/>
      <c r="C4560" s="67"/>
      <c r="D4560" s="75"/>
      <c r="E4560" s="67"/>
      <c r="F4560" s="67"/>
      <c r="G4560" s="70"/>
      <c r="H4560" s="70"/>
      <c r="I4560" s="70"/>
      <c r="J4560" s="70"/>
      <c r="K4560" s="70"/>
      <c r="L4560" s="67"/>
      <c r="M4560" s="67"/>
      <c r="N4560" s="72"/>
      <c r="O4560" s="72"/>
      <c r="P4560" s="67"/>
      <c r="Q4560" s="67"/>
      <c r="R4560" s="67"/>
      <c r="S4560" s="67"/>
      <c r="T4560" s="32"/>
      <c r="U4560" s="32"/>
      <c r="X4560" s="32"/>
      <c r="Y4560" s="32"/>
      <c r="Z4560" s="32"/>
      <c r="AA4560" s="32"/>
      <c r="AB4560" s="32"/>
    </row>
    <row r="4561" spans="2:28" ht="23.25" customHeight="1" x14ac:dyDescent="0.2">
      <c r="B4561" s="75"/>
      <c r="C4561" s="67"/>
      <c r="D4561" s="75"/>
      <c r="E4561" s="67"/>
      <c r="F4561" s="67"/>
      <c r="G4561" s="70"/>
      <c r="H4561" s="70"/>
      <c r="I4561" s="70"/>
      <c r="J4561" s="70"/>
      <c r="K4561" s="70"/>
      <c r="L4561" s="67"/>
      <c r="M4561" s="67"/>
      <c r="N4561" s="72"/>
      <c r="O4561" s="72"/>
      <c r="P4561" s="67"/>
      <c r="Q4561" s="67"/>
      <c r="R4561" s="67"/>
      <c r="S4561" s="67"/>
      <c r="T4561" s="32"/>
      <c r="U4561" s="32"/>
      <c r="X4561" s="32"/>
      <c r="Y4561" s="32"/>
      <c r="Z4561" s="32"/>
      <c r="AA4561" s="32"/>
      <c r="AB4561" s="32"/>
    </row>
    <row r="4562" spans="2:28" ht="23.25" customHeight="1" x14ac:dyDescent="0.2">
      <c r="B4562" s="75"/>
      <c r="C4562" s="67"/>
      <c r="D4562" s="75"/>
      <c r="E4562" s="67"/>
      <c r="F4562" s="67"/>
      <c r="G4562" s="70"/>
      <c r="H4562" s="70"/>
      <c r="I4562" s="70"/>
      <c r="J4562" s="70"/>
      <c r="K4562" s="70"/>
      <c r="L4562" s="67"/>
      <c r="M4562" s="67"/>
      <c r="N4562" s="72"/>
      <c r="O4562" s="72"/>
      <c r="P4562" s="67"/>
      <c r="Q4562" s="67"/>
      <c r="R4562" s="67"/>
      <c r="S4562" s="67"/>
      <c r="T4562" s="32"/>
      <c r="U4562" s="32"/>
      <c r="X4562" s="32"/>
      <c r="Y4562" s="32"/>
      <c r="Z4562" s="32"/>
      <c r="AA4562" s="32"/>
      <c r="AB4562" s="32"/>
    </row>
    <row r="4563" spans="2:28" ht="23.25" customHeight="1" x14ac:dyDescent="0.2">
      <c r="B4563" s="75"/>
      <c r="C4563" s="67"/>
      <c r="D4563" s="75"/>
      <c r="E4563" s="67"/>
      <c r="F4563" s="67"/>
      <c r="G4563" s="70"/>
      <c r="H4563" s="70"/>
      <c r="I4563" s="70"/>
      <c r="J4563" s="70"/>
      <c r="K4563" s="70"/>
      <c r="L4563" s="67"/>
      <c r="M4563" s="67"/>
      <c r="N4563" s="72"/>
      <c r="O4563" s="72"/>
      <c r="P4563" s="67"/>
      <c r="Q4563" s="67"/>
      <c r="R4563" s="67"/>
      <c r="S4563" s="67"/>
      <c r="T4563" s="32"/>
      <c r="U4563" s="32"/>
      <c r="X4563" s="32"/>
      <c r="Y4563" s="32"/>
      <c r="Z4563" s="32"/>
      <c r="AA4563" s="32"/>
      <c r="AB4563" s="32"/>
    </row>
    <row r="4564" spans="2:28" ht="23.25" customHeight="1" x14ac:dyDescent="0.2">
      <c r="B4564" s="75"/>
      <c r="C4564" s="67"/>
      <c r="D4564" s="75"/>
      <c r="E4564" s="67"/>
      <c r="F4564" s="67"/>
      <c r="G4564" s="70"/>
      <c r="H4564" s="70"/>
      <c r="I4564" s="70"/>
      <c r="J4564" s="70"/>
      <c r="K4564" s="70"/>
      <c r="L4564" s="67"/>
      <c r="M4564" s="67"/>
      <c r="N4564" s="72"/>
      <c r="O4564" s="72"/>
      <c r="P4564" s="67"/>
      <c r="Q4564" s="67"/>
      <c r="R4564" s="67"/>
      <c r="S4564" s="67"/>
      <c r="T4564" s="32"/>
      <c r="U4564" s="32"/>
      <c r="X4564" s="32"/>
      <c r="Y4564" s="32"/>
      <c r="Z4564" s="32"/>
      <c r="AA4564" s="32"/>
      <c r="AB4564" s="32"/>
    </row>
    <row r="4565" spans="2:28" ht="23.25" customHeight="1" x14ac:dyDescent="0.2">
      <c r="B4565" s="75"/>
      <c r="C4565" s="67"/>
      <c r="D4565" s="75"/>
      <c r="E4565" s="67"/>
      <c r="F4565" s="67"/>
      <c r="G4565" s="70"/>
      <c r="H4565" s="70"/>
      <c r="I4565" s="70"/>
      <c r="J4565" s="70"/>
      <c r="K4565" s="70"/>
      <c r="L4565" s="67"/>
      <c r="M4565" s="67"/>
      <c r="N4565" s="72"/>
      <c r="O4565" s="72"/>
      <c r="P4565" s="67"/>
      <c r="Q4565" s="67"/>
      <c r="R4565" s="67"/>
      <c r="S4565" s="67"/>
      <c r="T4565" s="32"/>
      <c r="U4565" s="32"/>
      <c r="X4565" s="32"/>
      <c r="Y4565" s="32"/>
      <c r="Z4565" s="32"/>
      <c r="AA4565" s="32"/>
      <c r="AB4565" s="32"/>
    </row>
    <row r="4566" spans="2:28" ht="23.25" customHeight="1" x14ac:dyDescent="0.2">
      <c r="B4566" s="75"/>
      <c r="C4566" s="67"/>
      <c r="D4566" s="75"/>
      <c r="E4566" s="67"/>
      <c r="F4566" s="67"/>
      <c r="G4566" s="70"/>
      <c r="H4566" s="70"/>
      <c r="I4566" s="70"/>
      <c r="J4566" s="70"/>
      <c r="K4566" s="70"/>
      <c r="L4566" s="67"/>
      <c r="M4566" s="67"/>
      <c r="N4566" s="72"/>
      <c r="O4566" s="72"/>
      <c r="P4566" s="67"/>
      <c r="Q4566" s="67"/>
      <c r="R4566" s="67"/>
      <c r="S4566" s="67"/>
      <c r="T4566" s="32"/>
      <c r="U4566" s="32"/>
      <c r="X4566" s="32"/>
      <c r="Y4566" s="32"/>
      <c r="Z4566" s="32"/>
      <c r="AA4566" s="32"/>
      <c r="AB4566" s="32"/>
    </row>
    <row r="4567" spans="2:28" ht="23.25" customHeight="1" x14ac:dyDescent="0.2">
      <c r="B4567" s="75"/>
      <c r="C4567" s="67"/>
      <c r="D4567" s="75"/>
      <c r="E4567" s="67"/>
      <c r="F4567" s="67"/>
      <c r="G4567" s="70"/>
      <c r="H4567" s="70"/>
      <c r="I4567" s="70"/>
      <c r="J4567" s="70"/>
      <c r="K4567" s="70"/>
      <c r="L4567" s="67"/>
      <c r="M4567" s="67"/>
      <c r="N4567" s="72"/>
      <c r="O4567" s="72"/>
      <c r="P4567" s="67"/>
      <c r="Q4567" s="67"/>
      <c r="R4567" s="67"/>
      <c r="S4567" s="67"/>
      <c r="T4567" s="32"/>
      <c r="U4567" s="32"/>
      <c r="X4567" s="32"/>
      <c r="Y4567" s="32"/>
      <c r="Z4567" s="32"/>
      <c r="AA4567" s="32"/>
      <c r="AB4567" s="32"/>
    </row>
    <row r="4568" spans="2:28" ht="23.25" customHeight="1" x14ac:dyDescent="0.2">
      <c r="B4568" s="75"/>
      <c r="C4568" s="67"/>
      <c r="D4568" s="75"/>
      <c r="E4568" s="67"/>
      <c r="F4568" s="67"/>
      <c r="G4568" s="70"/>
      <c r="H4568" s="70"/>
      <c r="I4568" s="70"/>
      <c r="J4568" s="70"/>
      <c r="K4568" s="70"/>
      <c r="L4568" s="67"/>
      <c r="M4568" s="67"/>
      <c r="N4568" s="72"/>
      <c r="O4568" s="72"/>
      <c r="P4568" s="67"/>
      <c r="Q4568" s="67"/>
      <c r="R4568" s="67"/>
      <c r="S4568" s="67"/>
      <c r="T4568" s="32"/>
      <c r="U4568" s="32"/>
      <c r="X4568" s="32"/>
      <c r="Y4568" s="32"/>
      <c r="Z4568" s="32"/>
      <c r="AA4568" s="32"/>
      <c r="AB4568" s="32"/>
    </row>
    <row r="4569" spans="2:28" ht="23.25" customHeight="1" x14ac:dyDescent="0.2">
      <c r="B4569" s="75"/>
      <c r="C4569" s="67"/>
      <c r="D4569" s="75"/>
      <c r="E4569" s="67"/>
      <c r="F4569" s="67"/>
      <c r="G4569" s="70"/>
      <c r="H4569" s="70"/>
      <c r="I4569" s="70"/>
      <c r="J4569" s="70"/>
      <c r="K4569" s="70"/>
      <c r="L4569" s="67"/>
      <c r="M4569" s="67"/>
      <c r="N4569" s="72"/>
      <c r="O4569" s="72"/>
      <c r="P4569" s="67"/>
      <c r="Q4569" s="67"/>
      <c r="R4569" s="67"/>
      <c r="S4569" s="67"/>
      <c r="T4569" s="32"/>
      <c r="U4569" s="32"/>
      <c r="X4569" s="32"/>
      <c r="Y4569" s="32"/>
      <c r="Z4569" s="32"/>
      <c r="AA4569" s="32"/>
      <c r="AB4569" s="32"/>
    </row>
    <row r="4570" spans="2:28" ht="23.25" customHeight="1" x14ac:dyDescent="0.2">
      <c r="B4570" s="75"/>
      <c r="C4570" s="67"/>
      <c r="D4570" s="75"/>
      <c r="E4570" s="67"/>
      <c r="F4570" s="67"/>
      <c r="G4570" s="70"/>
      <c r="H4570" s="70"/>
      <c r="I4570" s="70"/>
      <c r="J4570" s="70"/>
      <c r="K4570" s="70"/>
      <c r="L4570" s="67"/>
      <c r="M4570" s="67"/>
      <c r="N4570" s="72"/>
      <c r="O4570" s="72"/>
      <c r="P4570" s="67"/>
      <c r="Q4570" s="67"/>
      <c r="R4570" s="67"/>
      <c r="S4570" s="67"/>
      <c r="T4570" s="32"/>
      <c r="U4570" s="32"/>
      <c r="X4570" s="32"/>
      <c r="Y4570" s="32"/>
      <c r="Z4570" s="32"/>
      <c r="AA4570" s="32"/>
      <c r="AB4570" s="32"/>
    </row>
    <row r="4571" spans="2:28" ht="23.25" customHeight="1" x14ac:dyDescent="0.2">
      <c r="B4571" s="75"/>
      <c r="C4571" s="67"/>
      <c r="D4571" s="75"/>
      <c r="E4571" s="67"/>
      <c r="F4571" s="67"/>
      <c r="G4571" s="70"/>
      <c r="H4571" s="70"/>
      <c r="I4571" s="70"/>
      <c r="J4571" s="70"/>
      <c r="K4571" s="70"/>
      <c r="L4571" s="67"/>
      <c r="M4571" s="67"/>
      <c r="N4571" s="72"/>
      <c r="O4571" s="72"/>
      <c r="P4571" s="67"/>
      <c r="Q4571" s="67"/>
      <c r="R4571" s="67"/>
      <c r="S4571" s="67"/>
      <c r="T4571" s="32"/>
      <c r="U4571" s="32"/>
      <c r="X4571" s="32"/>
      <c r="Y4571" s="32"/>
      <c r="Z4571" s="32"/>
      <c r="AA4571" s="32"/>
      <c r="AB4571" s="32"/>
    </row>
    <row r="4572" spans="2:28" ht="23.25" customHeight="1" x14ac:dyDescent="0.2">
      <c r="B4572" s="75"/>
      <c r="C4572" s="67"/>
      <c r="D4572" s="75"/>
      <c r="E4572" s="67"/>
      <c r="F4572" s="67"/>
      <c r="G4572" s="70"/>
      <c r="H4572" s="70"/>
      <c r="I4572" s="70"/>
      <c r="J4572" s="70"/>
      <c r="K4572" s="70"/>
      <c r="L4572" s="67"/>
      <c r="M4572" s="67"/>
      <c r="N4572" s="72"/>
      <c r="O4572" s="72"/>
      <c r="P4572" s="67"/>
      <c r="Q4572" s="67"/>
      <c r="R4572" s="67"/>
      <c r="S4572" s="67"/>
      <c r="T4572" s="32"/>
      <c r="U4572" s="32"/>
      <c r="X4572" s="32"/>
      <c r="Y4572" s="32"/>
      <c r="Z4572" s="32"/>
      <c r="AA4572" s="32"/>
      <c r="AB4572" s="32"/>
    </row>
    <row r="4573" spans="2:28" ht="23.25" customHeight="1" x14ac:dyDescent="0.2">
      <c r="B4573" s="75"/>
      <c r="C4573" s="67"/>
      <c r="D4573" s="75"/>
      <c r="E4573" s="67"/>
      <c r="F4573" s="67"/>
      <c r="G4573" s="70"/>
      <c r="H4573" s="70"/>
      <c r="I4573" s="70"/>
      <c r="J4573" s="70"/>
      <c r="K4573" s="70"/>
      <c r="L4573" s="67"/>
      <c r="M4573" s="67"/>
      <c r="N4573" s="72"/>
      <c r="O4573" s="72"/>
      <c r="P4573" s="67"/>
      <c r="Q4573" s="67"/>
      <c r="R4573" s="67"/>
      <c r="S4573" s="67"/>
      <c r="T4573" s="32"/>
      <c r="U4573" s="32"/>
      <c r="X4573" s="32"/>
      <c r="Y4573" s="32"/>
      <c r="Z4573" s="32"/>
      <c r="AA4573" s="32"/>
      <c r="AB4573" s="32"/>
    </row>
    <row r="4574" spans="2:28" ht="23.25" customHeight="1" x14ac:dyDescent="0.2">
      <c r="B4574" s="75"/>
      <c r="C4574" s="67"/>
      <c r="D4574" s="75"/>
      <c r="E4574" s="67"/>
      <c r="F4574" s="67"/>
      <c r="G4574" s="70"/>
      <c r="H4574" s="70"/>
      <c r="I4574" s="70"/>
      <c r="J4574" s="70"/>
      <c r="K4574" s="70"/>
      <c r="L4574" s="67"/>
      <c r="M4574" s="67"/>
      <c r="N4574" s="72"/>
      <c r="O4574" s="72"/>
      <c r="P4574" s="67"/>
      <c r="Q4574" s="67"/>
      <c r="R4574" s="67"/>
      <c r="S4574" s="67"/>
      <c r="T4574" s="32"/>
      <c r="U4574" s="32"/>
      <c r="X4574" s="32"/>
      <c r="Y4574" s="32"/>
      <c r="Z4574" s="32"/>
      <c r="AA4574" s="32"/>
      <c r="AB4574" s="32"/>
    </row>
    <row r="4575" spans="2:28" ht="23.25" customHeight="1" x14ac:dyDescent="0.2">
      <c r="B4575" s="75"/>
      <c r="C4575" s="67"/>
      <c r="D4575" s="75"/>
      <c r="E4575" s="67"/>
      <c r="F4575" s="67"/>
      <c r="G4575" s="70"/>
      <c r="H4575" s="70"/>
      <c r="I4575" s="70"/>
      <c r="J4575" s="70"/>
      <c r="K4575" s="70"/>
      <c r="L4575" s="67"/>
      <c r="M4575" s="67"/>
      <c r="N4575" s="72"/>
      <c r="O4575" s="72"/>
      <c r="P4575" s="67"/>
      <c r="Q4575" s="67"/>
      <c r="R4575" s="67"/>
      <c r="S4575" s="67"/>
      <c r="T4575" s="32"/>
      <c r="U4575" s="32"/>
      <c r="X4575" s="32"/>
      <c r="Y4575" s="32"/>
      <c r="Z4575" s="32"/>
      <c r="AA4575" s="32"/>
      <c r="AB4575" s="32"/>
    </row>
    <row r="4576" spans="2:28" ht="23.25" customHeight="1" x14ac:dyDescent="0.2">
      <c r="B4576" s="75"/>
      <c r="C4576" s="67"/>
      <c r="D4576" s="75"/>
      <c r="E4576" s="67"/>
      <c r="F4576" s="67"/>
      <c r="G4576" s="70"/>
      <c r="H4576" s="70"/>
      <c r="I4576" s="70"/>
      <c r="J4576" s="70"/>
      <c r="K4576" s="70"/>
      <c r="L4576" s="67"/>
      <c r="M4576" s="67"/>
      <c r="N4576" s="72"/>
      <c r="O4576" s="72"/>
      <c r="P4576" s="67"/>
      <c r="Q4576" s="67"/>
      <c r="R4576" s="67"/>
      <c r="S4576" s="67"/>
      <c r="T4576" s="32"/>
      <c r="U4576" s="32"/>
      <c r="X4576" s="32"/>
      <c r="Y4576" s="32"/>
      <c r="Z4576" s="32"/>
      <c r="AA4576" s="32"/>
      <c r="AB4576" s="32"/>
    </row>
    <row r="4577" spans="2:28" ht="23.25" customHeight="1" x14ac:dyDescent="0.2">
      <c r="B4577" s="75"/>
      <c r="C4577" s="67"/>
      <c r="D4577" s="75"/>
      <c r="E4577" s="67"/>
      <c r="F4577" s="67"/>
      <c r="G4577" s="70"/>
      <c r="H4577" s="70"/>
      <c r="I4577" s="70"/>
      <c r="J4577" s="70"/>
      <c r="K4577" s="70"/>
      <c r="L4577" s="67"/>
      <c r="M4577" s="67"/>
      <c r="N4577" s="72"/>
      <c r="O4577" s="72"/>
      <c r="P4577" s="67"/>
      <c r="Q4577" s="67"/>
      <c r="R4577" s="67"/>
      <c r="S4577" s="67"/>
      <c r="T4577" s="32"/>
      <c r="U4577" s="32"/>
      <c r="X4577" s="32"/>
      <c r="Y4577" s="32"/>
      <c r="Z4577" s="32"/>
      <c r="AA4577" s="32"/>
      <c r="AB4577" s="32"/>
    </row>
    <row r="4578" spans="2:28" ht="23.25" customHeight="1" x14ac:dyDescent="0.2">
      <c r="B4578" s="75"/>
      <c r="C4578" s="67"/>
      <c r="D4578" s="75"/>
      <c r="E4578" s="67"/>
      <c r="F4578" s="67"/>
      <c r="G4578" s="70"/>
      <c r="H4578" s="70"/>
      <c r="I4578" s="70"/>
      <c r="J4578" s="70"/>
      <c r="K4578" s="70"/>
      <c r="L4578" s="67"/>
      <c r="M4578" s="67"/>
      <c r="N4578" s="72"/>
      <c r="O4578" s="72"/>
      <c r="P4578" s="67"/>
      <c r="Q4578" s="67"/>
      <c r="R4578" s="67"/>
      <c r="S4578" s="67"/>
      <c r="T4578" s="32"/>
      <c r="U4578" s="32"/>
      <c r="X4578" s="32"/>
      <c r="Y4578" s="32"/>
      <c r="Z4578" s="32"/>
      <c r="AA4578" s="32"/>
      <c r="AB4578" s="32"/>
    </row>
    <row r="4579" spans="2:28" ht="23.25" customHeight="1" x14ac:dyDescent="0.2">
      <c r="B4579" s="75"/>
      <c r="C4579" s="67"/>
      <c r="D4579" s="75"/>
      <c r="E4579" s="67"/>
      <c r="F4579" s="67"/>
      <c r="G4579" s="70"/>
      <c r="H4579" s="70"/>
      <c r="I4579" s="70"/>
      <c r="J4579" s="70"/>
      <c r="K4579" s="70"/>
      <c r="L4579" s="67"/>
      <c r="M4579" s="67"/>
      <c r="N4579" s="72"/>
      <c r="O4579" s="72"/>
      <c r="P4579" s="67"/>
      <c r="Q4579" s="67"/>
      <c r="R4579" s="67"/>
      <c r="S4579" s="67"/>
      <c r="T4579" s="32"/>
      <c r="U4579" s="32"/>
      <c r="X4579" s="32"/>
      <c r="Y4579" s="32"/>
      <c r="Z4579" s="32"/>
      <c r="AA4579" s="32"/>
      <c r="AB4579" s="32"/>
    </row>
    <row r="4580" spans="2:28" ht="23.25" customHeight="1" x14ac:dyDescent="0.2">
      <c r="B4580" s="75"/>
      <c r="C4580" s="67"/>
      <c r="D4580" s="75"/>
      <c r="E4580" s="67"/>
      <c r="F4580" s="67"/>
      <c r="G4580" s="70"/>
      <c r="H4580" s="70"/>
      <c r="I4580" s="70"/>
      <c r="J4580" s="70"/>
      <c r="K4580" s="70"/>
      <c r="L4580" s="67"/>
      <c r="M4580" s="67"/>
      <c r="N4580" s="72"/>
      <c r="O4580" s="72"/>
      <c r="P4580" s="67"/>
      <c r="Q4580" s="67"/>
      <c r="R4580" s="67"/>
      <c r="S4580" s="67"/>
      <c r="T4580" s="32"/>
      <c r="U4580" s="32"/>
      <c r="X4580" s="32"/>
      <c r="Y4580" s="32"/>
      <c r="Z4580" s="32"/>
      <c r="AA4580" s="32"/>
      <c r="AB4580" s="32"/>
    </row>
    <row r="4581" spans="2:28" ht="23.25" customHeight="1" x14ac:dyDescent="0.2">
      <c r="B4581" s="75"/>
      <c r="C4581" s="67"/>
      <c r="D4581" s="75"/>
      <c r="E4581" s="67"/>
      <c r="F4581" s="67"/>
      <c r="G4581" s="70"/>
      <c r="H4581" s="70"/>
      <c r="I4581" s="70"/>
      <c r="J4581" s="70"/>
      <c r="K4581" s="70"/>
      <c r="L4581" s="67"/>
      <c r="M4581" s="67"/>
      <c r="N4581" s="72"/>
      <c r="O4581" s="72"/>
      <c r="P4581" s="67"/>
      <c r="Q4581" s="67"/>
      <c r="R4581" s="67"/>
      <c r="S4581" s="67"/>
      <c r="T4581" s="32"/>
      <c r="U4581" s="32"/>
      <c r="X4581" s="32"/>
      <c r="Y4581" s="32"/>
      <c r="Z4581" s="32"/>
      <c r="AA4581" s="32"/>
      <c r="AB4581" s="32"/>
    </row>
    <row r="4582" spans="2:28" ht="23.25" customHeight="1" x14ac:dyDescent="0.2">
      <c r="B4582" s="75"/>
      <c r="C4582" s="67"/>
      <c r="D4582" s="75"/>
      <c r="E4582" s="67"/>
      <c r="F4582" s="67"/>
      <c r="G4582" s="70"/>
      <c r="H4582" s="70"/>
      <c r="I4582" s="70"/>
      <c r="J4582" s="70"/>
      <c r="K4582" s="70"/>
      <c r="L4582" s="67"/>
      <c r="M4582" s="67"/>
      <c r="N4582" s="72"/>
      <c r="O4582" s="72"/>
      <c r="P4582" s="67"/>
      <c r="Q4582" s="67"/>
      <c r="R4582" s="67"/>
      <c r="S4582" s="67"/>
      <c r="T4582" s="32"/>
      <c r="U4582" s="32"/>
      <c r="X4582" s="32"/>
      <c r="Y4582" s="32"/>
      <c r="Z4582" s="32"/>
      <c r="AA4582" s="32"/>
      <c r="AB4582" s="32"/>
    </row>
    <row r="4583" spans="2:28" ht="23.25" customHeight="1" x14ac:dyDescent="0.2">
      <c r="B4583" s="75"/>
      <c r="C4583" s="67"/>
      <c r="D4583" s="75"/>
      <c r="E4583" s="67"/>
      <c r="F4583" s="67"/>
      <c r="G4583" s="70"/>
      <c r="H4583" s="70"/>
      <c r="I4583" s="70"/>
      <c r="J4583" s="70"/>
      <c r="K4583" s="70"/>
      <c r="L4583" s="67"/>
      <c r="M4583" s="67"/>
      <c r="N4583" s="72"/>
      <c r="O4583" s="72"/>
      <c r="P4583" s="67"/>
      <c r="Q4583" s="67"/>
      <c r="R4583" s="67"/>
      <c r="S4583" s="67"/>
      <c r="T4583" s="32"/>
      <c r="U4583" s="32"/>
      <c r="X4583" s="32"/>
      <c r="Y4583" s="32"/>
      <c r="Z4583" s="32"/>
      <c r="AA4583" s="32"/>
      <c r="AB4583" s="32"/>
    </row>
    <row r="4584" spans="2:28" ht="23.25" customHeight="1" x14ac:dyDescent="0.2">
      <c r="B4584" s="75"/>
      <c r="C4584" s="67"/>
      <c r="D4584" s="75"/>
      <c r="E4584" s="67"/>
      <c r="F4584" s="67"/>
      <c r="G4584" s="70"/>
      <c r="H4584" s="70"/>
      <c r="I4584" s="70"/>
      <c r="J4584" s="70"/>
      <c r="K4584" s="70"/>
      <c r="L4584" s="67"/>
      <c r="M4584" s="67"/>
      <c r="N4584" s="72"/>
      <c r="O4584" s="72"/>
      <c r="P4584" s="67"/>
      <c r="Q4584" s="67"/>
      <c r="R4584" s="67"/>
      <c r="S4584" s="67"/>
      <c r="T4584" s="32"/>
      <c r="U4584" s="32"/>
      <c r="X4584" s="32"/>
      <c r="Y4584" s="32"/>
      <c r="Z4584" s="32"/>
      <c r="AA4584" s="32"/>
      <c r="AB4584" s="32"/>
    </row>
    <row r="4585" spans="2:28" ht="23.25" customHeight="1" x14ac:dyDescent="0.2">
      <c r="B4585" s="75"/>
      <c r="C4585" s="67"/>
      <c r="D4585" s="75"/>
      <c r="E4585" s="67"/>
      <c r="F4585" s="67"/>
      <c r="G4585" s="70"/>
      <c r="H4585" s="70"/>
      <c r="I4585" s="70"/>
      <c r="J4585" s="70"/>
      <c r="K4585" s="70"/>
      <c r="L4585" s="67"/>
      <c r="M4585" s="67"/>
      <c r="N4585" s="72"/>
      <c r="O4585" s="72"/>
      <c r="P4585" s="67"/>
      <c r="Q4585" s="67"/>
      <c r="R4585" s="67"/>
      <c r="S4585" s="67"/>
      <c r="T4585" s="32"/>
      <c r="U4585" s="32"/>
      <c r="X4585" s="32"/>
      <c r="Y4585" s="32"/>
      <c r="Z4585" s="32"/>
      <c r="AA4585" s="32"/>
      <c r="AB4585" s="32"/>
    </row>
    <row r="4586" spans="2:28" ht="23.25" customHeight="1" x14ac:dyDescent="0.2">
      <c r="B4586" s="75"/>
      <c r="C4586" s="67"/>
      <c r="D4586" s="75"/>
      <c r="E4586" s="67"/>
      <c r="F4586" s="67"/>
      <c r="G4586" s="70"/>
      <c r="H4586" s="70"/>
      <c r="I4586" s="70"/>
      <c r="J4586" s="70"/>
      <c r="K4586" s="70"/>
      <c r="L4586" s="67"/>
      <c r="M4586" s="67"/>
      <c r="N4586" s="72"/>
      <c r="O4586" s="72"/>
      <c r="P4586" s="67"/>
      <c r="Q4586" s="67"/>
      <c r="R4586" s="67"/>
      <c r="S4586" s="67"/>
      <c r="T4586" s="32"/>
      <c r="U4586" s="32"/>
      <c r="X4586" s="32"/>
      <c r="Y4586" s="32"/>
      <c r="Z4586" s="32"/>
      <c r="AA4586" s="32"/>
      <c r="AB4586" s="32"/>
    </row>
    <row r="4587" spans="2:28" ht="23.25" customHeight="1" x14ac:dyDescent="0.2">
      <c r="B4587" s="75"/>
      <c r="C4587" s="67"/>
      <c r="D4587" s="75"/>
      <c r="E4587" s="67"/>
      <c r="F4587" s="67"/>
      <c r="G4587" s="70"/>
      <c r="H4587" s="70"/>
      <c r="I4587" s="70"/>
      <c r="J4587" s="70"/>
      <c r="K4587" s="70"/>
      <c r="L4587" s="67"/>
      <c r="M4587" s="67"/>
      <c r="N4587" s="72"/>
      <c r="O4587" s="72"/>
      <c r="P4587" s="67"/>
      <c r="Q4587" s="67"/>
      <c r="R4587" s="67"/>
      <c r="S4587" s="67"/>
      <c r="T4587" s="32"/>
      <c r="U4587" s="32"/>
      <c r="X4587" s="32"/>
      <c r="Y4587" s="32"/>
      <c r="Z4587" s="32"/>
      <c r="AA4587" s="32"/>
      <c r="AB4587" s="32"/>
    </row>
    <row r="4588" spans="2:28" ht="23.25" customHeight="1" x14ac:dyDescent="0.2">
      <c r="B4588" s="75"/>
      <c r="C4588" s="67"/>
      <c r="D4588" s="75"/>
      <c r="E4588" s="67"/>
      <c r="F4588" s="67"/>
      <c r="G4588" s="70"/>
      <c r="H4588" s="70"/>
      <c r="I4588" s="70"/>
      <c r="J4588" s="70"/>
      <c r="K4588" s="70"/>
      <c r="L4588" s="67"/>
      <c r="M4588" s="67"/>
      <c r="N4588" s="72"/>
      <c r="O4588" s="72"/>
      <c r="P4588" s="67"/>
      <c r="Q4588" s="67"/>
      <c r="R4588" s="67"/>
      <c r="S4588" s="67"/>
      <c r="T4588" s="32"/>
      <c r="U4588" s="32"/>
      <c r="X4588" s="32"/>
      <c r="Y4588" s="32"/>
      <c r="Z4588" s="32"/>
      <c r="AA4588" s="32"/>
      <c r="AB4588" s="32"/>
    </row>
    <row r="4589" spans="2:28" ht="23.25" customHeight="1" x14ac:dyDescent="0.2">
      <c r="B4589" s="75"/>
      <c r="C4589" s="67"/>
      <c r="D4589" s="75"/>
      <c r="E4589" s="67"/>
      <c r="F4589" s="67"/>
      <c r="G4589" s="70"/>
      <c r="H4589" s="70"/>
      <c r="I4589" s="70"/>
      <c r="J4589" s="70"/>
      <c r="K4589" s="70"/>
      <c r="L4589" s="67"/>
      <c r="M4589" s="67"/>
      <c r="N4589" s="72"/>
      <c r="O4589" s="72"/>
      <c r="P4589" s="67"/>
      <c r="Q4589" s="67"/>
      <c r="R4589" s="67"/>
      <c r="S4589" s="67"/>
      <c r="T4589" s="32"/>
      <c r="U4589" s="32"/>
      <c r="X4589" s="32"/>
      <c r="Y4589" s="32"/>
      <c r="Z4589" s="32"/>
      <c r="AA4589" s="32"/>
      <c r="AB4589" s="32"/>
    </row>
    <row r="4590" spans="2:28" ht="23.25" customHeight="1" x14ac:dyDescent="0.2">
      <c r="B4590" s="75"/>
      <c r="C4590" s="67"/>
      <c r="D4590" s="75"/>
      <c r="E4590" s="67"/>
      <c r="F4590" s="67"/>
      <c r="G4590" s="70"/>
      <c r="H4590" s="70"/>
      <c r="I4590" s="70"/>
      <c r="J4590" s="70"/>
      <c r="K4590" s="70"/>
      <c r="L4590" s="67"/>
      <c r="M4590" s="67"/>
      <c r="N4590" s="72"/>
      <c r="O4590" s="72"/>
      <c r="P4590" s="67"/>
      <c r="Q4590" s="67"/>
      <c r="R4590" s="67"/>
      <c r="S4590" s="67"/>
      <c r="T4590" s="32"/>
      <c r="U4590" s="32"/>
      <c r="X4590" s="32"/>
      <c r="Y4590" s="32"/>
      <c r="Z4590" s="32"/>
      <c r="AA4590" s="32"/>
      <c r="AB4590" s="32"/>
    </row>
    <row r="4591" spans="2:28" ht="23.25" customHeight="1" x14ac:dyDescent="0.2">
      <c r="B4591" s="75"/>
      <c r="C4591" s="67"/>
      <c r="D4591" s="75"/>
      <c r="E4591" s="67"/>
      <c r="F4591" s="67"/>
      <c r="G4591" s="70"/>
      <c r="H4591" s="70"/>
      <c r="I4591" s="70"/>
      <c r="J4591" s="70"/>
      <c r="K4591" s="70"/>
      <c r="L4591" s="67"/>
      <c r="M4591" s="67"/>
      <c r="N4591" s="72"/>
      <c r="O4591" s="72"/>
      <c r="P4591" s="67"/>
      <c r="Q4591" s="67"/>
      <c r="R4591" s="67"/>
      <c r="S4591" s="67"/>
      <c r="T4591" s="32"/>
      <c r="U4591" s="32"/>
      <c r="X4591" s="32"/>
      <c r="Y4591" s="32"/>
      <c r="Z4591" s="32"/>
      <c r="AA4591" s="32"/>
      <c r="AB4591" s="32"/>
    </row>
    <row r="4592" spans="2:28" ht="23.25" customHeight="1" x14ac:dyDescent="0.2">
      <c r="B4592" s="75"/>
      <c r="C4592" s="67"/>
      <c r="D4592" s="75"/>
      <c r="E4592" s="67"/>
      <c r="F4592" s="67"/>
      <c r="G4592" s="70"/>
      <c r="H4592" s="70"/>
      <c r="I4592" s="70"/>
      <c r="J4592" s="70"/>
      <c r="K4592" s="70"/>
      <c r="L4592" s="67"/>
      <c r="M4592" s="67"/>
      <c r="N4592" s="72"/>
      <c r="O4592" s="72"/>
      <c r="P4592" s="67"/>
      <c r="Q4592" s="67"/>
      <c r="R4592" s="67"/>
      <c r="S4592" s="67"/>
      <c r="T4592" s="32"/>
      <c r="U4592" s="32"/>
      <c r="X4592" s="32"/>
      <c r="Y4592" s="32"/>
      <c r="Z4592" s="32"/>
      <c r="AA4592" s="32"/>
      <c r="AB4592" s="32"/>
    </row>
    <row r="4593" spans="2:28" ht="23.25" customHeight="1" x14ac:dyDescent="0.2">
      <c r="B4593" s="75"/>
      <c r="C4593" s="67"/>
      <c r="D4593" s="75"/>
      <c r="E4593" s="67"/>
      <c r="F4593" s="67"/>
      <c r="G4593" s="70"/>
      <c r="H4593" s="70"/>
      <c r="I4593" s="70"/>
      <c r="J4593" s="70"/>
      <c r="K4593" s="70"/>
      <c r="L4593" s="67"/>
      <c r="M4593" s="67"/>
      <c r="N4593" s="72"/>
      <c r="O4593" s="72"/>
      <c r="P4593" s="67"/>
      <c r="Q4593" s="67"/>
      <c r="R4593" s="67"/>
      <c r="S4593" s="67"/>
      <c r="T4593" s="32"/>
      <c r="U4593" s="32"/>
      <c r="X4593" s="32"/>
      <c r="Y4593" s="32"/>
      <c r="Z4593" s="32"/>
      <c r="AA4593" s="32"/>
      <c r="AB4593" s="32"/>
    </row>
    <row r="4594" spans="2:28" ht="23.25" customHeight="1" x14ac:dyDescent="0.2">
      <c r="B4594" s="75"/>
      <c r="C4594" s="67"/>
      <c r="D4594" s="75"/>
      <c r="E4594" s="67"/>
      <c r="F4594" s="67"/>
      <c r="G4594" s="70"/>
      <c r="H4594" s="70"/>
      <c r="I4594" s="70"/>
      <c r="J4594" s="70"/>
      <c r="K4594" s="70"/>
      <c r="L4594" s="67"/>
      <c r="M4594" s="67"/>
      <c r="N4594" s="72"/>
      <c r="O4594" s="72"/>
      <c r="P4594" s="67"/>
      <c r="Q4594" s="67"/>
      <c r="R4594" s="67"/>
      <c r="S4594" s="67"/>
      <c r="T4594" s="32"/>
      <c r="U4594" s="32"/>
      <c r="X4594" s="32"/>
      <c r="Y4594" s="32"/>
      <c r="Z4594" s="32"/>
      <c r="AA4594" s="32"/>
      <c r="AB4594" s="32"/>
    </row>
    <row r="4595" spans="2:28" ht="23.25" customHeight="1" x14ac:dyDescent="0.2">
      <c r="B4595" s="75"/>
      <c r="C4595" s="67"/>
      <c r="D4595" s="75"/>
      <c r="E4595" s="67"/>
      <c r="F4595" s="67"/>
      <c r="G4595" s="70"/>
      <c r="H4595" s="70"/>
      <c r="I4595" s="70"/>
      <c r="J4595" s="70"/>
      <c r="K4595" s="70"/>
      <c r="L4595" s="67"/>
      <c r="M4595" s="67"/>
      <c r="N4595" s="72"/>
      <c r="O4595" s="72"/>
      <c r="P4595" s="67"/>
      <c r="Q4595" s="67"/>
      <c r="R4595" s="67"/>
      <c r="S4595" s="67"/>
      <c r="T4595" s="32"/>
      <c r="U4595" s="32"/>
      <c r="X4595" s="32"/>
      <c r="Y4595" s="32"/>
      <c r="Z4595" s="32"/>
      <c r="AA4595" s="32"/>
      <c r="AB4595" s="32"/>
    </row>
    <row r="4596" spans="2:28" ht="23.25" customHeight="1" x14ac:dyDescent="0.2">
      <c r="B4596" s="75"/>
      <c r="C4596" s="67"/>
      <c r="D4596" s="75"/>
      <c r="E4596" s="67"/>
      <c r="F4596" s="67"/>
      <c r="G4596" s="70"/>
      <c r="H4596" s="70"/>
      <c r="I4596" s="70"/>
      <c r="J4596" s="70"/>
      <c r="K4596" s="70"/>
      <c r="L4596" s="67"/>
      <c r="M4596" s="67"/>
      <c r="N4596" s="72"/>
      <c r="O4596" s="72"/>
      <c r="P4596" s="67"/>
      <c r="Q4596" s="67"/>
      <c r="R4596" s="67"/>
      <c r="S4596" s="67"/>
      <c r="T4596" s="32"/>
      <c r="U4596" s="32"/>
      <c r="X4596" s="32"/>
      <c r="Y4596" s="32"/>
      <c r="Z4596" s="32"/>
      <c r="AA4596" s="32"/>
      <c r="AB4596" s="32"/>
    </row>
    <row r="4597" spans="2:28" ht="23.25" customHeight="1" x14ac:dyDescent="0.2">
      <c r="B4597" s="75"/>
      <c r="C4597" s="67"/>
      <c r="D4597" s="75"/>
      <c r="E4597" s="67"/>
      <c r="F4597" s="67"/>
      <c r="G4597" s="70"/>
      <c r="H4597" s="70"/>
      <c r="I4597" s="70"/>
      <c r="J4597" s="70"/>
      <c r="K4597" s="70"/>
      <c r="L4597" s="67"/>
      <c r="M4597" s="67"/>
      <c r="N4597" s="72"/>
      <c r="O4597" s="72"/>
      <c r="P4597" s="67"/>
      <c r="Q4597" s="67"/>
      <c r="R4597" s="67"/>
      <c r="S4597" s="67"/>
      <c r="T4597" s="32"/>
      <c r="U4597" s="32"/>
      <c r="X4597" s="32"/>
      <c r="Y4597" s="32"/>
      <c r="Z4597" s="32"/>
      <c r="AA4597" s="32"/>
      <c r="AB4597" s="32"/>
    </row>
    <row r="4598" spans="2:28" ht="23.25" customHeight="1" x14ac:dyDescent="0.2">
      <c r="B4598" s="75"/>
      <c r="C4598" s="67"/>
      <c r="D4598" s="75"/>
      <c r="E4598" s="67"/>
      <c r="F4598" s="67"/>
      <c r="G4598" s="70"/>
      <c r="H4598" s="70"/>
      <c r="I4598" s="70"/>
      <c r="J4598" s="70"/>
      <c r="K4598" s="70"/>
      <c r="L4598" s="67"/>
      <c r="M4598" s="67"/>
      <c r="N4598" s="72"/>
      <c r="O4598" s="72"/>
      <c r="P4598" s="67"/>
      <c r="Q4598" s="67"/>
      <c r="R4598" s="67"/>
      <c r="S4598" s="67"/>
      <c r="T4598" s="32"/>
      <c r="U4598" s="32"/>
      <c r="X4598" s="32"/>
      <c r="Y4598" s="32"/>
      <c r="Z4598" s="32"/>
      <c r="AA4598" s="32"/>
      <c r="AB4598" s="32"/>
    </row>
    <row r="4599" spans="2:28" ht="23.25" customHeight="1" x14ac:dyDescent="0.2">
      <c r="B4599" s="75"/>
      <c r="C4599" s="67"/>
      <c r="D4599" s="75"/>
      <c r="E4599" s="67"/>
      <c r="F4599" s="67"/>
      <c r="G4599" s="70"/>
      <c r="H4599" s="70"/>
      <c r="I4599" s="70"/>
      <c r="J4599" s="70"/>
      <c r="K4599" s="70"/>
      <c r="L4599" s="67"/>
      <c r="M4599" s="67"/>
      <c r="N4599" s="72"/>
      <c r="O4599" s="72"/>
      <c r="P4599" s="67"/>
      <c r="Q4599" s="67"/>
      <c r="R4599" s="67"/>
      <c r="S4599" s="67"/>
      <c r="T4599" s="32"/>
      <c r="U4599" s="32"/>
      <c r="X4599" s="32"/>
      <c r="Y4599" s="32"/>
      <c r="Z4599" s="32"/>
      <c r="AA4599" s="32"/>
      <c r="AB4599" s="32"/>
    </row>
    <row r="4600" spans="2:28" ht="23.25" customHeight="1" x14ac:dyDescent="0.2">
      <c r="B4600" s="75"/>
      <c r="C4600" s="67"/>
      <c r="D4600" s="75"/>
      <c r="E4600" s="67"/>
      <c r="F4600" s="67"/>
      <c r="G4600" s="70"/>
      <c r="H4600" s="70"/>
      <c r="I4600" s="70"/>
      <c r="J4600" s="70"/>
      <c r="K4600" s="70"/>
      <c r="L4600" s="67"/>
      <c r="M4600" s="67"/>
      <c r="N4600" s="72"/>
      <c r="O4600" s="72"/>
      <c r="P4600" s="67"/>
      <c r="Q4600" s="67"/>
      <c r="R4600" s="67"/>
      <c r="S4600" s="67"/>
      <c r="T4600" s="32"/>
      <c r="U4600" s="32"/>
      <c r="X4600" s="32"/>
      <c r="Y4600" s="32"/>
      <c r="Z4600" s="32"/>
      <c r="AA4600" s="32"/>
      <c r="AB4600" s="32"/>
    </row>
    <row r="4601" spans="2:28" ht="23.25" customHeight="1" x14ac:dyDescent="0.2">
      <c r="B4601" s="75"/>
      <c r="C4601" s="67"/>
      <c r="D4601" s="75"/>
      <c r="E4601" s="67"/>
      <c r="F4601" s="67"/>
      <c r="G4601" s="70"/>
      <c r="H4601" s="70"/>
      <c r="I4601" s="70"/>
      <c r="J4601" s="70"/>
      <c r="K4601" s="70"/>
      <c r="L4601" s="67"/>
      <c r="M4601" s="67"/>
      <c r="N4601" s="72"/>
      <c r="O4601" s="72"/>
      <c r="P4601" s="67"/>
      <c r="Q4601" s="67"/>
      <c r="R4601" s="67"/>
      <c r="S4601" s="67"/>
      <c r="T4601" s="32"/>
      <c r="U4601" s="32"/>
      <c r="X4601" s="32"/>
      <c r="Y4601" s="32"/>
      <c r="Z4601" s="32"/>
      <c r="AA4601" s="32"/>
      <c r="AB4601" s="32"/>
    </row>
    <row r="4602" spans="2:28" ht="23.25" customHeight="1" x14ac:dyDescent="0.2">
      <c r="B4602" s="75"/>
      <c r="C4602" s="67"/>
      <c r="D4602" s="75"/>
      <c r="E4602" s="67"/>
      <c r="F4602" s="67"/>
      <c r="G4602" s="70"/>
      <c r="H4602" s="70"/>
      <c r="I4602" s="70"/>
      <c r="J4602" s="70"/>
      <c r="K4602" s="70"/>
      <c r="L4602" s="67"/>
      <c r="M4602" s="67"/>
      <c r="N4602" s="72"/>
      <c r="O4602" s="72"/>
      <c r="P4602" s="67"/>
      <c r="Q4602" s="67"/>
      <c r="R4602" s="67"/>
      <c r="S4602" s="67"/>
      <c r="T4602" s="32"/>
      <c r="U4602" s="32"/>
      <c r="X4602" s="32"/>
      <c r="Y4602" s="32"/>
      <c r="Z4602" s="32"/>
      <c r="AA4602" s="32"/>
      <c r="AB4602" s="32"/>
    </row>
    <row r="4603" spans="2:28" ht="23.25" customHeight="1" x14ac:dyDescent="0.2">
      <c r="B4603" s="75"/>
      <c r="C4603" s="67"/>
      <c r="D4603" s="75"/>
      <c r="E4603" s="67"/>
      <c r="F4603" s="67"/>
      <c r="G4603" s="70"/>
      <c r="H4603" s="70"/>
      <c r="I4603" s="70"/>
      <c r="J4603" s="70"/>
      <c r="K4603" s="70"/>
      <c r="L4603" s="67"/>
      <c r="M4603" s="67"/>
      <c r="N4603" s="72"/>
      <c r="O4603" s="72"/>
      <c r="P4603" s="67"/>
      <c r="Q4603" s="67"/>
      <c r="R4603" s="67"/>
      <c r="S4603" s="67"/>
      <c r="T4603" s="32"/>
      <c r="U4603" s="32"/>
      <c r="X4603" s="32"/>
      <c r="Y4603" s="32"/>
      <c r="Z4603" s="32"/>
      <c r="AA4603" s="32"/>
      <c r="AB4603" s="32"/>
    </row>
    <row r="4604" spans="2:28" ht="23.25" customHeight="1" x14ac:dyDescent="0.2">
      <c r="B4604" s="75"/>
      <c r="C4604" s="67"/>
      <c r="D4604" s="75"/>
      <c r="E4604" s="67"/>
      <c r="F4604" s="67"/>
      <c r="G4604" s="70"/>
      <c r="H4604" s="70"/>
      <c r="I4604" s="70"/>
      <c r="J4604" s="70"/>
      <c r="K4604" s="70"/>
      <c r="L4604" s="67"/>
      <c r="M4604" s="67"/>
      <c r="N4604" s="72"/>
      <c r="O4604" s="72"/>
      <c r="P4604" s="67"/>
      <c r="Q4604" s="67"/>
      <c r="R4604" s="67"/>
      <c r="S4604" s="67"/>
      <c r="T4604" s="32"/>
      <c r="U4604" s="32"/>
      <c r="X4604" s="32"/>
      <c r="Y4604" s="32"/>
      <c r="Z4604" s="32"/>
      <c r="AA4604" s="32"/>
      <c r="AB4604" s="32"/>
    </row>
    <row r="4605" spans="2:28" ht="23.25" customHeight="1" x14ac:dyDescent="0.2">
      <c r="B4605" s="75"/>
      <c r="C4605" s="67"/>
      <c r="D4605" s="75"/>
      <c r="E4605" s="67"/>
      <c r="F4605" s="67"/>
      <c r="G4605" s="70"/>
      <c r="H4605" s="70"/>
      <c r="I4605" s="70"/>
      <c r="J4605" s="70"/>
      <c r="K4605" s="70"/>
      <c r="L4605" s="67"/>
      <c r="M4605" s="67"/>
      <c r="N4605" s="72"/>
      <c r="O4605" s="72"/>
      <c r="P4605" s="67"/>
      <c r="Q4605" s="67"/>
      <c r="R4605" s="67"/>
      <c r="S4605" s="67"/>
      <c r="T4605" s="32"/>
      <c r="U4605" s="32"/>
      <c r="X4605" s="32"/>
      <c r="Y4605" s="32"/>
      <c r="Z4605" s="32"/>
      <c r="AA4605" s="32"/>
      <c r="AB4605" s="32"/>
    </row>
    <row r="4606" spans="2:28" ht="23.25" customHeight="1" x14ac:dyDescent="0.2">
      <c r="B4606" s="75"/>
      <c r="C4606" s="67"/>
      <c r="D4606" s="75"/>
      <c r="E4606" s="67"/>
      <c r="F4606" s="67"/>
      <c r="G4606" s="70"/>
      <c r="H4606" s="70"/>
      <c r="I4606" s="70"/>
      <c r="J4606" s="70"/>
      <c r="K4606" s="70"/>
      <c r="L4606" s="67"/>
      <c r="M4606" s="67"/>
      <c r="N4606" s="72"/>
      <c r="O4606" s="72"/>
      <c r="P4606" s="67"/>
      <c r="Q4606" s="67"/>
      <c r="R4606" s="67"/>
      <c r="S4606" s="67"/>
      <c r="T4606" s="32"/>
      <c r="U4606" s="32"/>
      <c r="X4606" s="32"/>
      <c r="Y4606" s="32"/>
      <c r="Z4606" s="32"/>
      <c r="AA4606" s="32"/>
      <c r="AB4606" s="32"/>
    </row>
    <row r="4607" spans="2:28" ht="23.25" customHeight="1" x14ac:dyDescent="0.2">
      <c r="B4607" s="75"/>
      <c r="C4607" s="67"/>
      <c r="D4607" s="75"/>
      <c r="E4607" s="67"/>
      <c r="F4607" s="67"/>
      <c r="G4607" s="70"/>
      <c r="H4607" s="70"/>
      <c r="I4607" s="70"/>
      <c r="J4607" s="70"/>
      <c r="K4607" s="70"/>
      <c r="L4607" s="67"/>
      <c r="M4607" s="67"/>
      <c r="N4607" s="72"/>
      <c r="O4607" s="72"/>
      <c r="P4607" s="67"/>
      <c r="Q4607" s="67"/>
      <c r="R4607" s="67"/>
      <c r="S4607" s="67"/>
      <c r="T4607" s="32"/>
      <c r="U4607" s="32"/>
      <c r="X4607" s="32"/>
      <c r="Y4607" s="32"/>
      <c r="Z4607" s="32"/>
      <c r="AA4607" s="32"/>
      <c r="AB4607" s="32"/>
    </row>
    <row r="4608" spans="2:28" ht="23.25" customHeight="1" x14ac:dyDescent="0.2">
      <c r="B4608" s="75"/>
      <c r="C4608" s="67"/>
      <c r="D4608" s="75"/>
      <c r="E4608" s="67"/>
      <c r="F4608" s="67"/>
      <c r="G4608" s="70"/>
      <c r="H4608" s="70"/>
      <c r="I4608" s="70"/>
      <c r="J4608" s="70"/>
      <c r="K4608" s="70"/>
      <c r="L4608" s="67"/>
      <c r="M4608" s="67"/>
      <c r="N4608" s="72"/>
      <c r="O4608" s="72"/>
      <c r="P4608" s="67"/>
      <c r="Q4608" s="67"/>
      <c r="R4608" s="67"/>
      <c r="S4608" s="67"/>
      <c r="T4608" s="32"/>
      <c r="U4608" s="32"/>
      <c r="X4608" s="32"/>
      <c r="Y4608" s="32"/>
      <c r="Z4608" s="32"/>
      <c r="AA4608" s="32"/>
      <c r="AB4608" s="32"/>
    </row>
    <row r="4609" spans="2:28" ht="23.25" customHeight="1" x14ac:dyDescent="0.2">
      <c r="B4609" s="75"/>
      <c r="C4609" s="67"/>
      <c r="D4609" s="75"/>
      <c r="E4609" s="67"/>
      <c r="F4609" s="67"/>
      <c r="G4609" s="70"/>
      <c r="H4609" s="70"/>
      <c r="I4609" s="70"/>
      <c r="J4609" s="70"/>
      <c r="K4609" s="70"/>
      <c r="L4609" s="67"/>
      <c r="M4609" s="67"/>
      <c r="N4609" s="72"/>
      <c r="O4609" s="72"/>
      <c r="P4609" s="67"/>
      <c r="Q4609" s="67"/>
      <c r="R4609" s="67"/>
      <c r="S4609" s="67"/>
      <c r="T4609" s="32"/>
      <c r="U4609" s="32"/>
      <c r="X4609" s="32"/>
      <c r="Y4609" s="32"/>
      <c r="Z4609" s="32"/>
      <c r="AA4609" s="32"/>
      <c r="AB4609" s="32"/>
    </row>
    <row r="4610" spans="2:28" ht="23.25" customHeight="1" x14ac:dyDescent="0.2">
      <c r="B4610" s="75"/>
      <c r="C4610" s="67"/>
      <c r="D4610" s="75"/>
      <c r="E4610" s="67"/>
      <c r="F4610" s="67"/>
      <c r="G4610" s="70"/>
      <c r="H4610" s="70"/>
      <c r="I4610" s="70"/>
      <c r="J4610" s="70"/>
      <c r="K4610" s="70"/>
      <c r="L4610" s="67"/>
      <c r="M4610" s="67"/>
      <c r="N4610" s="72"/>
      <c r="O4610" s="72"/>
      <c r="P4610" s="67"/>
      <c r="Q4610" s="67"/>
      <c r="R4610" s="67"/>
      <c r="S4610" s="67"/>
      <c r="T4610" s="32"/>
      <c r="U4610" s="32"/>
      <c r="X4610" s="32"/>
      <c r="Y4610" s="32"/>
      <c r="Z4610" s="32"/>
      <c r="AA4610" s="32"/>
      <c r="AB4610" s="32"/>
    </row>
    <row r="4611" spans="2:28" ht="23.25" customHeight="1" x14ac:dyDescent="0.2">
      <c r="B4611" s="75"/>
      <c r="C4611" s="67"/>
      <c r="D4611" s="75"/>
      <c r="E4611" s="67"/>
      <c r="F4611" s="67"/>
      <c r="G4611" s="70"/>
      <c r="H4611" s="70"/>
      <c r="I4611" s="70"/>
      <c r="J4611" s="70"/>
      <c r="K4611" s="70"/>
      <c r="L4611" s="67"/>
      <c r="M4611" s="67"/>
      <c r="N4611" s="72"/>
      <c r="O4611" s="72"/>
      <c r="P4611" s="67"/>
      <c r="Q4611" s="67"/>
      <c r="R4611" s="67"/>
      <c r="S4611" s="67"/>
      <c r="T4611" s="32"/>
      <c r="U4611" s="32"/>
      <c r="X4611" s="32"/>
      <c r="Y4611" s="32"/>
      <c r="Z4611" s="32"/>
      <c r="AA4611" s="32"/>
      <c r="AB4611" s="32"/>
    </row>
    <row r="4612" spans="2:28" ht="23.25" customHeight="1" x14ac:dyDescent="0.2">
      <c r="B4612" s="75"/>
      <c r="C4612" s="67"/>
      <c r="D4612" s="75"/>
      <c r="E4612" s="67"/>
      <c r="F4612" s="67"/>
      <c r="G4612" s="70"/>
      <c r="H4612" s="70"/>
      <c r="I4612" s="70"/>
      <c r="J4612" s="70"/>
      <c r="K4612" s="70"/>
      <c r="L4612" s="67"/>
      <c r="M4612" s="67"/>
      <c r="N4612" s="72"/>
      <c r="O4612" s="72"/>
      <c r="P4612" s="67"/>
      <c r="Q4612" s="67"/>
      <c r="R4612" s="67"/>
      <c r="S4612" s="67"/>
      <c r="T4612" s="32"/>
      <c r="U4612" s="32"/>
      <c r="X4612" s="32"/>
      <c r="Y4612" s="32"/>
      <c r="Z4612" s="32"/>
      <c r="AA4612" s="32"/>
      <c r="AB4612" s="32"/>
    </row>
    <row r="4613" spans="2:28" ht="23.25" customHeight="1" x14ac:dyDescent="0.2">
      <c r="B4613" s="75"/>
      <c r="C4613" s="67"/>
      <c r="D4613" s="75"/>
      <c r="E4613" s="67"/>
      <c r="F4613" s="67"/>
      <c r="G4613" s="70"/>
      <c r="H4613" s="70"/>
      <c r="I4613" s="70"/>
      <c r="J4613" s="70"/>
      <c r="K4613" s="70"/>
      <c r="L4613" s="67"/>
      <c r="M4613" s="67"/>
      <c r="N4613" s="72"/>
      <c r="O4613" s="72"/>
      <c r="P4613" s="67"/>
      <c r="Q4613" s="67"/>
      <c r="R4613" s="67"/>
      <c r="S4613" s="67"/>
      <c r="T4613" s="32"/>
      <c r="U4613" s="32"/>
      <c r="X4613" s="32"/>
      <c r="Y4613" s="32"/>
      <c r="Z4613" s="32"/>
      <c r="AA4613" s="32"/>
      <c r="AB4613" s="32"/>
    </row>
    <row r="4614" spans="2:28" ht="23.25" customHeight="1" x14ac:dyDescent="0.2">
      <c r="B4614" s="75"/>
      <c r="C4614" s="67"/>
      <c r="D4614" s="75"/>
      <c r="E4614" s="67"/>
      <c r="F4614" s="67"/>
      <c r="G4614" s="70"/>
      <c r="H4614" s="70"/>
      <c r="I4614" s="70"/>
      <c r="J4614" s="70"/>
      <c r="K4614" s="70"/>
      <c r="L4614" s="67"/>
      <c r="M4614" s="67"/>
      <c r="N4614" s="72"/>
      <c r="O4614" s="72"/>
      <c r="P4614" s="67"/>
      <c r="Q4614" s="67"/>
      <c r="R4614" s="67"/>
      <c r="S4614" s="67"/>
      <c r="T4614" s="32"/>
      <c r="U4614" s="32"/>
      <c r="X4614" s="32"/>
      <c r="Y4614" s="32"/>
      <c r="Z4614" s="32"/>
      <c r="AA4614" s="32"/>
      <c r="AB4614" s="32"/>
    </row>
    <row r="4615" spans="2:28" ht="23.25" customHeight="1" x14ac:dyDescent="0.2">
      <c r="B4615" s="75"/>
      <c r="C4615" s="67"/>
      <c r="D4615" s="75"/>
      <c r="E4615" s="67"/>
      <c r="F4615" s="67"/>
      <c r="G4615" s="70"/>
      <c r="H4615" s="70"/>
      <c r="I4615" s="70"/>
      <c r="J4615" s="70"/>
      <c r="K4615" s="70"/>
      <c r="L4615" s="67"/>
      <c r="M4615" s="67"/>
      <c r="N4615" s="72"/>
      <c r="O4615" s="72"/>
      <c r="P4615" s="67"/>
      <c r="Q4615" s="67"/>
      <c r="R4615" s="67"/>
      <c r="S4615" s="67"/>
      <c r="T4615" s="32"/>
      <c r="U4615" s="32"/>
      <c r="X4615" s="32"/>
      <c r="Y4615" s="32"/>
      <c r="Z4615" s="32"/>
      <c r="AA4615" s="32"/>
      <c r="AB4615" s="32"/>
    </row>
    <row r="4616" spans="2:28" ht="23.25" customHeight="1" x14ac:dyDescent="0.2">
      <c r="B4616" s="75"/>
      <c r="C4616" s="67"/>
      <c r="D4616" s="75"/>
      <c r="E4616" s="67"/>
      <c r="F4616" s="67"/>
      <c r="G4616" s="70"/>
      <c r="H4616" s="70"/>
      <c r="I4616" s="70"/>
      <c r="J4616" s="70"/>
      <c r="K4616" s="70"/>
      <c r="L4616" s="67"/>
      <c r="M4616" s="67"/>
      <c r="N4616" s="72"/>
      <c r="O4616" s="72"/>
      <c r="P4616" s="67"/>
      <c r="Q4616" s="67"/>
      <c r="R4616" s="67"/>
      <c r="S4616" s="67"/>
      <c r="T4616" s="32"/>
      <c r="U4616" s="32"/>
      <c r="X4616" s="32"/>
      <c r="Y4616" s="32"/>
      <c r="Z4616" s="32"/>
      <c r="AA4616" s="32"/>
      <c r="AB4616" s="32"/>
    </row>
    <row r="4617" spans="2:28" ht="23.25" customHeight="1" x14ac:dyDescent="0.2">
      <c r="B4617" s="75"/>
      <c r="C4617" s="67"/>
      <c r="D4617" s="75"/>
      <c r="E4617" s="67"/>
      <c r="F4617" s="67"/>
      <c r="G4617" s="70"/>
      <c r="H4617" s="70"/>
      <c r="I4617" s="70"/>
      <c r="J4617" s="70"/>
      <c r="K4617" s="70"/>
      <c r="L4617" s="67"/>
      <c r="M4617" s="67"/>
      <c r="N4617" s="72"/>
      <c r="O4617" s="72"/>
      <c r="P4617" s="67"/>
      <c r="Q4617" s="67"/>
      <c r="R4617" s="67"/>
      <c r="S4617" s="67"/>
      <c r="T4617" s="32"/>
      <c r="U4617" s="32"/>
      <c r="X4617" s="32"/>
      <c r="Y4617" s="32"/>
      <c r="Z4617" s="32"/>
      <c r="AA4617" s="32"/>
      <c r="AB4617" s="32"/>
    </row>
    <row r="4618" spans="2:28" ht="23.25" customHeight="1" x14ac:dyDescent="0.2">
      <c r="B4618" s="75"/>
      <c r="C4618" s="67"/>
      <c r="D4618" s="75"/>
      <c r="E4618" s="67"/>
      <c r="F4618" s="67"/>
      <c r="G4618" s="70"/>
      <c r="H4618" s="70"/>
      <c r="I4618" s="70"/>
      <c r="J4618" s="70"/>
      <c r="K4618" s="70"/>
      <c r="L4618" s="67"/>
      <c r="M4618" s="67"/>
      <c r="N4618" s="72"/>
      <c r="O4618" s="72"/>
      <c r="P4618" s="67"/>
      <c r="Q4618" s="67"/>
      <c r="R4618" s="67"/>
      <c r="S4618" s="67"/>
      <c r="T4618" s="32"/>
      <c r="U4618" s="32"/>
      <c r="X4618" s="32"/>
      <c r="Y4618" s="32"/>
      <c r="Z4618" s="32"/>
      <c r="AA4618" s="32"/>
      <c r="AB4618" s="32"/>
    </row>
    <row r="4619" spans="2:28" ht="23.25" customHeight="1" x14ac:dyDescent="0.2">
      <c r="B4619" s="75"/>
      <c r="C4619" s="67"/>
      <c r="D4619" s="75"/>
      <c r="E4619" s="67"/>
      <c r="F4619" s="67"/>
      <c r="G4619" s="70"/>
      <c r="H4619" s="70"/>
      <c r="I4619" s="70"/>
      <c r="J4619" s="70"/>
      <c r="K4619" s="70"/>
      <c r="L4619" s="67"/>
      <c r="M4619" s="67"/>
      <c r="N4619" s="72"/>
      <c r="O4619" s="72"/>
      <c r="P4619" s="67"/>
      <c r="Q4619" s="67"/>
      <c r="R4619" s="67"/>
      <c r="S4619" s="67"/>
      <c r="T4619" s="32"/>
      <c r="U4619" s="32"/>
      <c r="X4619" s="32"/>
      <c r="Y4619" s="32"/>
      <c r="Z4619" s="32"/>
      <c r="AA4619" s="32"/>
      <c r="AB4619" s="32"/>
    </row>
    <row r="4620" spans="2:28" ht="23.25" customHeight="1" x14ac:dyDescent="0.2">
      <c r="B4620" s="75"/>
      <c r="C4620" s="67"/>
      <c r="D4620" s="75"/>
      <c r="E4620" s="67"/>
      <c r="F4620" s="67"/>
      <c r="G4620" s="70"/>
      <c r="H4620" s="70"/>
      <c r="I4620" s="70"/>
      <c r="J4620" s="70"/>
      <c r="K4620" s="70"/>
      <c r="L4620" s="67"/>
      <c r="M4620" s="67"/>
      <c r="N4620" s="72"/>
      <c r="O4620" s="72"/>
      <c r="P4620" s="67"/>
      <c r="Q4620" s="67"/>
      <c r="R4620" s="67"/>
      <c r="S4620" s="67"/>
      <c r="T4620" s="32"/>
      <c r="U4620" s="32"/>
      <c r="X4620" s="32"/>
      <c r="Y4620" s="32"/>
      <c r="Z4620" s="32"/>
      <c r="AA4620" s="32"/>
      <c r="AB4620" s="32"/>
    </row>
    <row r="4621" spans="2:28" ht="23.25" customHeight="1" x14ac:dyDescent="0.2">
      <c r="B4621" s="75"/>
      <c r="C4621" s="67"/>
      <c r="D4621" s="75"/>
      <c r="E4621" s="67"/>
      <c r="F4621" s="67"/>
      <c r="G4621" s="70"/>
      <c r="H4621" s="70"/>
      <c r="I4621" s="70"/>
      <c r="J4621" s="70"/>
      <c r="K4621" s="70"/>
      <c r="L4621" s="67"/>
      <c r="M4621" s="67"/>
      <c r="N4621" s="72"/>
      <c r="O4621" s="72"/>
      <c r="P4621" s="67"/>
      <c r="Q4621" s="67"/>
      <c r="R4621" s="67"/>
      <c r="S4621" s="67"/>
      <c r="T4621" s="32"/>
      <c r="U4621" s="32"/>
      <c r="X4621" s="32"/>
      <c r="Y4621" s="32"/>
      <c r="Z4621" s="32"/>
      <c r="AA4621" s="32"/>
      <c r="AB4621" s="32"/>
    </row>
    <row r="4622" spans="2:28" ht="23.25" customHeight="1" x14ac:dyDescent="0.2">
      <c r="B4622" s="75"/>
      <c r="C4622" s="67"/>
      <c r="D4622" s="75"/>
      <c r="E4622" s="67"/>
      <c r="F4622" s="67"/>
      <c r="G4622" s="70"/>
      <c r="H4622" s="70"/>
      <c r="I4622" s="70"/>
      <c r="J4622" s="70"/>
      <c r="K4622" s="70"/>
      <c r="L4622" s="67"/>
      <c r="M4622" s="67"/>
      <c r="N4622" s="72"/>
      <c r="O4622" s="72"/>
      <c r="P4622" s="67"/>
      <c r="Q4622" s="67"/>
      <c r="R4622" s="67"/>
      <c r="S4622" s="67"/>
      <c r="T4622" s="32"/>
      <c r="U4622" s="32"/>
      <c r="X4622" s="32"/>
      <c r="Y4622" s="32"/>
      <c r="Z4622" s="32"/>
      <c r="AA4622" s="32"/>
      <c r="AB4622" s="32"/>
    </row>
    <row r="4623" spans="2:28" ht="23.25" customHeight="1" x14ac:dyDescent="0.2">
      <c r="B4623" s="75"/>
      <c r="C4623" s="67"/>
      <c r="D4623" s="75"/>
      <c r="E4623" s="67"/>
      <c r="F4623" s="67"/>
      <c r="G4623" s="70"/>
      <c r="H4623" s="70"/>
      <c r="I4623" s="70"/>
      <c r="J4623" s="70"/>
      <c r="K4623" s="70"/>
      <c r="L4623" s="67"/>
      <c r="M4623" s="67"/>
      <c r="N4623" s="72"/>
      <c r="O4623" s="72"/>
      <c r="P4623" s="67"/>
      <c r="Q4623" s="67"/>
      <c r="R4623" s="67"/>
      <c r="S4623" s="67"/>
      <c r="T4623" s="32"/>
      <c r="U4623" s="32"/>
      <c r="X4623" s="32"/>
      <c r="Y4623" s="32"/>
      <c r="Z4623" s="32"/>
      <c r="AA4623" s="32"/>
      <c r="AB4623" s="32"/>
    </row>
    <row r="4624" spans="2:28" ht="23.25" customHeight="1" x14ac:dyDescent="0.2">
      <c r="B4624" s="75"/>
      <c r="C4624" s="67"/>
      <c r="D4624" s="75"/>
      <c r="E4624" s="67"/>
      <c r="F4624" s="67"/>
      <c r="G4624" s="70"/>
      <c r="H4624" s="70"/>
      <c r="I4624" s="70"/>
      <c r="J4624" s="70"/>
      <c r="K4624" s="70"/>
      <c r="L4624" s="67"/>
      <c r="M4624" s="67"/>
      <c r="N4624" s="72"/>
      <c r="O4624" s="72"/>
      <c r="P4624" s="67"/>
      <c r="Q4624" s="67"/>
      <c r="R4624" s="67"/>
      <c r="S4624" s="67"/>
      <c r="T4624" s="32"/>
      <c r="U4624" s="32"/>
      <c r="X4624" s="32"/>
      <c r="Y4624" s="32"/>
      <c r="Z4624" s="32"/>
      <c r="AA4624" s="32"/>
      <c r="AB4624" s="32"/>
    </row>
    <row r="4625" spans="2:28" ht="23.25" customHeight="1" x14ac:dyDescent="0.2">
      <c r="B4625" s="75"/>
      <c r="C4625" s="67"/>
      <c r="D4625" s="75"/>
      <c r="E4625" s="67"/>
      <c r="F4625" s="67"/>
      <c r="G4625" s="70"/>
      <c r="H4625" s="70"/>
      <c r="I4625" s="70"/>
      <c r="J4625" s="70"/>
      <c r="K4625" s="70"/>
      <c r="L4625" s="67"/>
      <c r="M4625" s="67"/>
      <c r="N4625" s="72"/>
      <c r="O4625" s="72"/>
      <c r="P4625" s="67"/>
      <c r="Q4625" s="67"/>
      <c r="R4625" s="67"/>
      <c r="S4625" s="67"/>
      <c r="T4625" s="32"/>
      <c r="U4625" s="32"/>
      <c r="X4625" s="32"/>
      <c r="Y4625" s="32"/>
      <c r="Z4625" s="32"/>
      <c r="AA4625" s="32"/>
      <c r="AB4625" s="32"/>
    </row>
    <row r="4626" spans="2:28" ht="23.25" customHeight="1" x14ac:dyDescent="0.2">
      <c r="B4626" s="75"/>
      <c r="C4626" s="67"/>
      <c r="D4626" s="75"/>
      <c r="E4626" s="67"/>
      <c r="F4626" s="67"/>
      <c r="G4626" s="70"/>
      <c r="H4626" s="70"/>
      <c r="I4626" s="70"/>
      <c r="J4626" s="70"/>
      <c r="K4626" s="70"/>
      <c r="L4626" s="67"/>
      <c r="M4626" s="67"/>
      <c r="N4626" s="72"/>
      <c r="O4626" s="72"/>
      <c r="P4626" s="67"/>
      <c r="Q4626" s="67"/>
      <c r="R4626" s="67"/>
      <c r="S4626" s="67"/>
      <c r="T4626" s="32"/>
      <c r="U4626" s="32"/>
      <c r="X4626" s="32"/>
      <c r="Y4626" s="32"/>
      <c r="Z4626" s="32"/>
      <c r="AA4626" s="32"/>
      <c r="AB4626" s="32"/>
    </row>
    <row r="4627" spans="2:28" ht="23.25" customHeight="1" x14ac:dyDescent="0.2">
      <c r="B4627" s="75"/>
      <c r="C4627" s="67"/>
      <c r="D4627" s="75"/>
      <c r="E4627" s="67"/>
      <c r="F4627" s="67"/>
      <c r="G4627" s="70"/>
      <c r="H4627" s="70"/>
      <c r="I4627" s="70"/>
      <c r="J4627" s="70"/>
      <c r="K4627" s="70"/>
      <c r="L4627" s="67"/>
      <c r="M4627" s="67"/>
      <c r="N4627" s="72"/>
      <c r="O4627" s="72"/>
      <c r="P4627" s="67"/>
      <c r="Q4627" s="67"/>
      <c r="R4627" s="67"/>
      <c r="S4627" s="67"/>
      <c r="T4627" s="32"/>
      <c r="U4627" s="32"/>
      <c r="X4627" s="32"/>
      <c r="Y4627" s="32"/>
      <c r="Z4627" s="32"/>
      <c r="AA4627" s="32"/>
      <c r="AB4627" s="32"/>
    </row>
    <row r="4628" spans="2:28" ht="23.25" customHeight="1" x14ac:dyDescent="0.2">
      <c r="B4628" s="75"/>
      <c r="C4628" s="67"/>
      <c r="D4628" s="75"/>
      <c r="E4628" s="67"/>
      <c r="F4628" s="67"/>
      <c r="G4628" s="70"/>
      <c r="H4628" s="70"/>
      <c r="I4628" s="70"/>
      <c r="J4628" s="70"/>
      <c r="K4628" s="70"/>
      <c r="L4628" s="67"/>
      <c r="M4628" s="67"/>
      <c r="N4628" s="72"/>
      <c r="O4628" s="72"/>
      <c r="P4628" s="67"/>
      <c r="Q4628" s="67"/>
      <c r="R4628" s="67"/>
      <c r="S4628" s="67"/>
      <c r="T4628" s="32"/>
      <c r="U4628" s="32"/>
      <c r="X4628" s="32"/>
      <c r="Y4628" s="32"/>
      <c r="Z4628" s="32"/>
      <c r="AA4628" s="32"/>
      <c r="AB4628" s="32"/>
    </row>
    <row r="4629" spans="2:28" ht="23.25" customHeight="1" x14ac:dyDescent="0.2">
      <c r="B4629" s="75"/>
      <c r="C4629" s="67"/>
      <c r="D4629" s="75"/>
      <c r="E4629" s="67"/>
      <c r="F4629" s="67"/>
      <c r="G4629" s="70"/>
      <c r="H4629" s="70"/>
      <c r="I4629" s="70"/>
      <c r="J4629" s="70"/>
      <c r="K4629" s="70"/>
      <c r="L4629" s="67"/>
      <c r="M4629" s="67"/>
      <c r="N4629" s="72"/>
      <c r="O4629" s="72"/>
      <c r="P4629" s="67"/>
      <c r="Q4629" s="67"/>
      <c r="R4629" s="67"/>
      <c r="S4629" s="67"/>
      <c r="T4629" s="32"/>
      <c r="U4629" s="32"/>
      <c r="X4629" s="32"/>
      <c r="Y4629" s="32"/>
      <c r="Z4629" s="32"/>
      <c r="AA4629" s="32"/>
      <c r="AB4629" s="32"/>
    </row>
    <row r="4630" spans="2:28" ht="23.25" customHeight="1" x14ac:dyDescent="0.2">
      <c r="B4630" s="75"/>
      <c r="C4630" s="67"/>
      <c r="D4630" s="75"/>
      <c r="E4630" s="67"/>
      <c r="F4630" s="67"/>
      <c r="G4630" s="70"/>
      <c r="H4630" s="70"/>
      <c r="I4630" s="70"/>
      <c r="J4630" s="70"/>
      <c r="K4630" s="70"/>
      <c r="L4630" s="67"/>
      <c r="M4630" s="67"/>
      <c r="N4630" s="72"/>
      <c r="O4630" s="72"/>
      <c r="P4630" s="67"/>
      <c r="Q4630" s="67"/>
      <c r="R4630" s="67"/>
      <c r="S4630" s="67"/>
      <c r="T4630" s="32"/>
      <c r="U4630" s="32"/>
      <c r="X4630" s="32"/>
      <c r="Y4630" s="32"/>
      <c r="Z4630" s="32"/>
      <c r="AA4630" s="32"/>
      <c r="AB4630" s="32"/>
    </row>
    <row r="4631" spans="2:28" ht="23.25" customHeight="1" x14ac:dyDescent="0.2">
      <c r="B4631" s="75"/>
      <c r="C4631" s="67"/>
      <c r="D4631" s="75"/>
      <c r="E4631" s="67"/>
      <c r="F4631" s="67"/>
      <c r="G4631" s="70"/>
      <c r="H4631" s="70"/>
      <c r="I4631" s="70"/>
      <c r="J4631" s="70"/>
      <c r="K4631" s="70"/>
      <c r="L4631" s="67"/>
      <c r="M4631" s="67"/>
      <c r="N4631" s="72"/>
      <c r="O4631" s="72"/>
      <c r="P4631" s="67"/>
      <c r="Q4631" s="67"/>
      <c r="R4631" s="67"/>
      <c r="S4631" s="67"/>
      <c r="T4631" s="32"/>
      <c r="U4631" s="32"/>
      <c r="X4631" s="32"/>
      <c r="Y4631" s="32"/>
      <c r="Z4631" s="32"/>
      <c r="AA4631" s="32"/>
      <c r="AB4631" s="32"/>
    </row>
    <row r="4632" spans="2:28" ht="23.25" customHeight="1" x14ac:dyDescent="0.2">
      <c r="B4632" s="75"/>
      <c r="C4632" s="67"/>
      <c r="D4632" s="75"/>
      <c r="E4632" s="67"/>
      <c r="F4632" s="67"/>
      <c r="G4632" s="70"/>
      <c r="H4632" s="70"/>
      <c r="I4632" s="70"/>
      <c r="J4632" s="70"/>
      <c r="K4632" s="70"/>
      <c r="L4632" s="67"/>
      <c r="M4632" s="67"/>
      <c r="N4632" s="72"/>
      <c r="O4632" s="72"/>
      <c r="P4632" s="67"/>
      <c r="Q4632" s="67"/>
      <c r="R4632" s="67"/>
      <c r="S4632" s="67"/>
      <c r="T4632" s="32"/>
      <c r="U4632" s="32"/>
      <c r="X4632" s="32"/>
      <c r="Y4632" s="32"/>
      <c r="Z4632" s="32"/>
      <c r="AA4632" s="32"/>
      <c r="AB4632" s="32"/>
    </row>
    <row r="4633" spans="2:28" ht="23.25" customHeight="1" x14ac:dyDescent="0.2">
      <c r="B4633" s="75"/>
      <c r="C4633" s="67"/>
      <c r="D4633" s="75"/>
      <c r="E4633" s="67"/>
      <c r="F4633" s="67"/>
      <c r="G4633" s="70"/>
      <c r="H4633" s="70"/>
      <c r="I4633" s="70"/>
      <c r="J4633" s="70"/>
      <c r="K4633" s="70"/>
      <c r="L4633" s="67"/>
      <c r="M4633" s="67"/>
      <c r="N4633" s="72"/>
      <c r="O4633" s="72"/>
      <c r="P4633" s="67"/>
      <c r="Q4633" s="67"/>
      <c r="R4633" s="67"/>
      <c r="S4633" s="67"/>
      <c r="T4633" s="32"/>
      <c r="U4633" s="32"/>
      <c r="X4633" s="32"/>
      <c r="Y4633" s="32"/>
      <c r="Z4633" s="32"/>
      <c r="AA4633" s="32"/>
      <c r="AB4633" s="32"/>
    </row>
    <row r="4634" spans="2:28" ht="23.25" customHeight="1" x14ac:dyDescent="0.2">
      <c r="B4634" s="75"/>
      <c r="C4634" s="67"/>
      <c r="D4634" s="75"/>
      <c r="E4634" s="67"/>
      <c r="F4634" s="67"/>
      <c r="G4634" s="70"/>
      <c r="H4634" s="70"/>
      <c r="I4634" s="70"/>
      <c r="J4634" s="70"/>
      <c r="K4634" s="70"/>
      <c r="L4634" s="67"/>
      <c r="M4634" s="67"/>
      <c r="N4634" s="72"/>
      <c r="O4634" s="72"/>
      <c r="P4634" s="67"/>
      <c r="Q4634" s="67"/>
      <c r="R4634" s="67"/>
      <c r="S4634" s="67"/>
      <c r="T4634" s="32"/>
      <c r="U4634" s="32"/>
      <c r="X4634" s="32"/>
      <c r="Y4634" s="32"/>
      <c r="Z4634" s="32"/>
      <c r="AA4634" s="32"/>
      <c r="AB4634" s="32"/>
    </row>
    <row r="4635" spans="2:28" ht="23.25" customHeight="1" x14ac:dyDescent="0.2">
      <c r="B4635" s="75"/>
      <c r="C4635" s="67"/>
      <c r="D4635" s="75"/>
      <c r="E4635" s="67"/>
      <c r="F4635" s="67"/>
      <c r="G4635" s="70"/>
      <c r="H4635" s="70"/>
      <c r="I4635" s="70"/>
      <c r="J4635" s="70"/>
      <c r="K4635" s="70"/>
      <c r="L4635" s="67"/>
      <c r="M4635" s="67"/>
      <c r="N4635" s="72"/>
      <c r="O4635" s="72"/>
      <c r="P4635" s="67"/>
      <c r="Q4635" s="67"/>
      <c r="R4635" s="67"/>
      <c r="S4635" s="67"/>
      <c r="T4635" s="32"/>
      <c r="U4635" s="32"/>
      <c r="X4635" s="32"/>
      <c r="Y4635" s="32"/>
      <c r="Z4635" s="32"/>
      <c r="AA4635" s="32"/>
      <c r="AB4635" s="32"/>
    </row>
    <row r="4636" spans="2:28" ht="23.25" customHeight="1" x14ac:dyDescent="0.2">
      <c r="B4636" s="75"/>
      <c r="C4636" s="67"/>
      <c r="D4636" s="75"/>
      <c r="E4636" s="67"/>
      <c r="F4636" s="67"/>
      <c r="G4636" s="70"/>
      <c r="H4636" s="70"/>
      <c r="I4636" s="70"/>
      <c r="J4636" s="70"/>
      <c r="K4636" s="70"/>
      <c r="L4636" s="67"/>
      <c r="M4636" s="67"/>
      <c r="N4636" s="72"/>
      <c r="O4636" s="72"/>
      <c r="P4636" s="67"/>
      <c r="Q4636" s="67"/>
      <c r="R4636" s="67"/>
      <c r="S4636" s="67"/>
      <c r="T4636" s="32"/>
      <c r="U4636" s="32"/>
      <c r="X4636" s="32"/>
      <c r="Y4636" s="32"/>
      <c r="Z4636" s="32"/>
      <c r="AA4636" s="32"/>
      <c r="AB4636" s="32"/>
    </row>
    <row r="4637" spans="2:28" ht="23.25" customHeight="1" x14ac:dyDescent="0.2">
      <c r="B4637" s="75"/>
      <c r="C4637" s="67"/>
      <c r="D4637" s="75"/>
      <c r="E4637" s="67"/>
      <c r="F4637" s="67"/>
      <c r="G4637" s="70"/>
      <c r="H4637" s="70"/>
      <c r="I4637" s="70"/>
      <c r="J4637" s="70"/>
      <c r="K4637" s="70"/>
      <c r="L4637" s="67"/>
      <c r="M4637" s="67"/>
      <c r="N4637" s="72"/>
      <c r="O4637" s="72"/>
      <c r="P4637" s="67"/>
      <c r="Q4637" s="67"/>
      <c r="R4637" s="67"/>
      <c r="S4637" s="67"/>
      <c r="T4637" s="32"/>
      <c r="U4637" s="32"/>
      <c r="X4637" s="32"/>
      <c r="Y4637" s="32"/>
      <c r="Z4637" s="32"/>
      <c r="AA4637" s="32"/>
      <c r="AB4637" s="32"/>
    </row>
    <row r="4638" spans="2:28" ht="23.25" customHeight="1" x14ac:dyDescent="0.2">
      <c r="B4638" s="75"/>
      <c r="C4638" s="67"/>
      <c r="D4638" s="75"/>
      <c r="E4638" s="67"/>
      <c r="F4638" s="67"/>
      <c r="G4638" s="70"/>
      <c r="H4638" s="70"/>
      <c r="I4638" s="70"/>
      <c r="J4638" s="70"/>
      <c r="K4638" s="70"/>
      <c r="L4638" s="67"/>
      <c r="M4638" s="67"/>
      <c r="N4638" s="72"/>
      <c r="O4638" s="72"/>
      <c r="P4638" s="67"/>
      <c r="Q4638" s="67"/>
      <c r="R4638" s="67"/>
      <c r="S4638" s="67"/>
      <c r="T4638" s="32"/>
      <c r="U4638" s="32"/>
      <c r="X4638" s="32"/>
      <c r="Y4638" s="32"/>
      <c r="Z4638" s="32"/>
      <c r="AA4638" s="32"/>
      <c r="AB4638" s="32"/>
    </row>
    <row r="4639" spans="2:28" ht="23.25" customHeight="1" x14ac:dyDescent="0.2">
      <c r="B4639" s="75"/>
      <c r="C4639" s="67"/>
      <c r="D4639" s="75"/>
      <c r="E4639" s="67"/>
      <c r="F4639" s="67"/>
      <c r="G4639" s="70"/>
      <c r="H4639" s="70"/>
      <c r="I4639" s="70"/>
      <c r="J4639" s="70"/>
      <c r="K4639" s="70"/>
      <c r="L4639" s="67"/>
      <c r="M4639" s="67"/>
      <c r="N4639" s="72"/>
      <c r="O4639" s="72"/>
      <c r="P4639" s="67"/>
      <c r="Q4639" s="67"/>
      <c r="R4639" s="67"/>
      <c r="S4639" s="67"/>
      <c r="T4639" s="32"/>
      <c r="U4639" s="32"/>
      <c r="X4639" s="32"/>
      <c r="Y4639" s="32"/>
      <c r="Z4639" s="32"/>
      <c r="AA4639" s="32"/>
      <c r="AB4639" s="32"/>
    </row>
    <row r="4640" spans="2:28" ht="23.25" customHeight="1" x14ac:dyDescent="0.2">
      <c r="B4640" s="75"/>
      <c r="C4640" s="67"/>
      <c r="D4640" s="75"/>
      <c r="E4640" s="67"/>
      <c r="F4640" s="67"/>
      <c r="G4640" s="70"/>
      <c r="H4640" s="70"/>
      <c r="I4640" s="70"/>
      <c r="J4640" s="70"/>
      <c r="K4640" s="70"/>
      <c r="L4640" s="67"/>
      <c r="M4640" s="67"/>
      <c r="N4640" s="72"/>
      <c r="O4640" s="72"/>
      <c r="P4640" s="67"/>
      <c r="Q4640" s="67"/>
      <c r="R4640" s="67"/>
      <c r="S4640" s="67"/>
      <c r="T4640" s="32"/>
      <c r="U4640" s="32"/>
      <c r="X4640" s="32"/>
      <c r="Y4640" s="32"/>
      <c r="Z4640" s="32"/>
      <c r="AA4640" s="32"/>
      <c r="AB4640" s="32"/>
    </row>
    <row r="4641" spans="2:28" ht="23.25" customHeight="1" x14ac:dyDescent="0.2">
      <c r="B4641" s="75"/>
      <c r="C4641" s="67"/>
      <c r="D4641" s="75"/>
      <c r="E4641" s="67"/>
      <c r="F4641" s="67"/>
      <c r="G4641" s="70"/>
      <c r="H4641" s="70"/>
      <c r="I4641" s="70"/>
      <c r="J4641" s="70"/>
      <c r="K4641" s="70"/>
      <c r="L4641" s="67"/>
      <c r="M4641" s="67"/>
      <c r="N4641" s="72"/>
      <c r="O4641" s="72"/>
      <c r="P4641" s="67"/>
      <c r="Q4641" s="67"/>
      <c r="R4641" s="67"/>
      <c r="S4641" s="67"/>
      <c r="T4641" s="32"/>
      <c r="U4641" s="32"/>
      <c r="X4641" s="32"/>
      <c r="Y4641" s="32"/>
      <c r="Z4641" s="32"/>
      <c r="AA4641" s="32"/>
      <c r="AB4641" s="32"/>
    </row>
    <row r="4642" spans="2:28" ht="23.25" customHeight="1" x14ac:dyDescent="0.2">
      <c r="B4642" s="75"/>
      <c r="C4642" s="67"/>
      <c r="D4642" s="75"/>
      <c r="E4642" s="67"/>
      <c r="F4642" s="67"/>
      <c r="G4642" s="70"/>
      <c r="H4642" s="70"/>
      <c r="I4642" s="70"/>
      <c r="J4642" s="70"/>
      <c r="K4642" s="70"/>
      <c r="L4642" s="67"/>
      <c r="M4642" s="67"/>
      <c r="N4642" s="72"/>
      <c r="O4642" s="72"/>
      <c r="P4642" s="67"/>
      <c r="Q4642" s="67"/>
      <c r="R4642" s="67"/>
      <c r="S4642" s="67"/>
      <c r="T4642" s="32"/>
      <c r="U4642" s="32"/>
      <c r="X4642" s="32"/>
      <c r="Y4642" s="32"/>
      <c r="Z4642" s="32"/>
      <c r="AA4642" s="32"/>
      <c r="AB4642" s="32"/>
    </row>
    <row r="4643" spans="2:28" ht="23.25" customHeight="1" x14ac:dyDescent="0.2">
      <c r="B4643" s="75"/>
      <c r="C4643" s="67"/>
      <c r="D4643" s="75"/>
      <c r="E4643" s="67"/>
      <c r="F4643" s="67"/>
      <c r="G4643" s="70"/>
      <c r="H4643" s="70"/>
      <c r="I4643" s="70"/>
      <c r="J4643" s="70"/>
      <c r="K4643" s="70"/>
      <c r="L4643" s="67"/>
      <c r="M4643" s="67"/>
      <c r="N4643" s="72"/>
      <c r="O4643" s="72"/>
      <c r="P4643" s="67"/>
      <c r="Q4643" s="67"/>
      <c r="R4643" s="67"/>
      <c r="S4643" s="67"/>
      <c r="T4643" s="32"/>
      <c r="U4643" s="32"/>
      <c r="X4643" s="32"/>
      <c r="Y4643" s="32"/>
      <c r="Z4643" s="32"/>
      <c r="AA4643" s="32"/>
      <c r="AB4643" s="32"/>
    </row>
    <row r="4644" spans="2:28" ht="23.25" customHeight="1" x14ac:dyDescent="0.2">
      <c r="B4644" s="75"/>
      <c r="C4644" s="67"/>
      <c r="D4644" s="75"/>
      <c r="E4644" s="67"/>
      <c r="F4644" s="67"/>
      <c r="G4644" s="70"/>
      <c r="H4644" s="70"/>
      <c r="I4644" s="70"/>
      <c r="J4644" s="70"/>
      <c r="K4644" s="70"/>
      <c r="L4644" s="67"/>
      <c r="M4644" s="67"/>
      <c r="N4644" s="72"/>
      <c r="O4644" s="72"/>
      <c r="P4644" s="67"/>
      <c r="Q4644" s="67"/>
      <c r="R4644" s="67"/>
      <c r="S4644" s="67"/>
      <c r="T4644" s="32"/>
      <c r="U4644" s="32"/>
      <c r="X4644" s="32"/>
      <c r="Y4644" s="32"/>
      <c r="Z4644" s="32"/>
      <c r="AA4644" s="32"/>
      <c r="AB4644" s="32"/>
    </row>
    <row r="4645" spans="2:28" ht="23.25" customHeight="1" x14ac:dyDescent="0.2">
      <c r="B4645" s="75"/>
      <c r="C4645" s="67"/>
      <c r="D4645" s="75"/>
      <c r="E4645" s="67"/>
      <c r="F4645" s="67"/>
      <c r="G4645" s="70"/>
      <c r="H4645" s="70"/>
      <c r="I4645" s="70"/>
      <c r="J4645" s="70"/>
      <c r="K4645" s="70"/>
      <c r="L4645" s="67"/>
      <c r="M4645" s="67"/>
      <c r="N4645" s="72"/>
      <c r="O4645" s="72"/>
      <c r="P4645" s="67"/>
      <c r="Q4645" s="67"/>
      <c r="R4645" s="67"/>
      <c r="S4645" s="67"/>
      <c r="T4645" s="32"/>
      <c r="U4645" s="32"/>
      <c r="X4645" s="32"/>
      <c r="Y4645" s="32"/>
      <c r="Z4645" s="32"/>
      <c r="AA4645" s="32"/>
      <c r="AB4645" s="32"/>
    </row>
    <row r="4646" spans="2:28" ht="23.25" customHeight="1" x14ac:dyDescent="0.2">
      <c r="B4646" s="75"/>
      <c r="C4646" s="67"/>
      <c r="D4646" s="75"/>
      <c r="E4646" s="67"/>
      <c r="F4646" s="67"/>
      <c r="G4646" s="70"/>
      <c r="H4646" s="70"/>
      <c r="I4646" s="70"/>
      <c r="J4646" s="70"/>
      <c r="K4646" s="70"/>
      <c r="L4646" s="67"/>
      <c r="M4646" s="67"/>
      <c r="N4646" s="72"/>
      <c r="O4646" s="72"/>
      <c r="P4646" s="67"/>
      <c r="Q4646" s="67"/>
      <c r="R4646" s="67"/>
      <c r="S4646" s="67"/>
      <c r="T4646" s="32"/>
      <c r="U4646" s="32"/>
      <c r="X4646" s="32"/>
      <c r="Y4646" s="32"/>
      <c r="Z4646" s="32"/>
      <c r="AA4646" s="32"/>
      <c r="AB4646" s="32"/>
    </row>
    <row r="4647" spans="2:28" ht="23.25" customHeight="1" x14ac:dyDescent="0.2">
      <c r="B4647" s="75"/>
      <c r="C4647" s="67"/>
      <c r="D4647" s="75"/>
      <c r="E4647" s="67"/>
      <c r="F4647" s="67"/>
      <c r="G4647" s="70"/>
      <c r="H4647" s="70"/>
      <c r="I4647" s="70"/>
      <c r="J4647" s="70"/>
      <c r="K4647" s="70"/>
      <c r="L4647" s="67"/>
      <c r="M4647" s="67"/>
      <c r="N4647" s="72"/>
      <c r="O4647" s="72"/>
      <c r="P4647" s="67"/>
      <c r="Q4647" s="67"/>
      <c r="R4647" s="67"/>
      <c r="S4647" s="67"/>
      <c r="T4647" s="32"/>
      <c r="U4647" s="32"/>
      <c r="X4647" s="32"/>
      <c r="Y4647" s="32"/>
      <c r="Z4647" s="32"/>
      <c r="AA4647" s="32"/>
      <c r="AB4647" s="32"/>
    </row>
    <row r="4648" spans="2:28" ht="23.25" customHeight="1" x14ac:dyDescent="0.2">
      <c r="B4648" s="75"/>
      <c r="C4648" s="67"/>
      <c r="D4648" s="75"/>
      <c r="E4648" s="67"/>
      <c r="F4648" s="67"/>
      <c r="G4648" s="70"/>
      <c r="H4648" s="70"/>
      <c r="I4648" s="70"/>
      <c r="J4648" s="70"/>
      <c r="K4648" s="70"/>
      <c r="L4648" s="67"/>
      <c r="M4648" s="67"/>
      <c r="N4648" s="72"/>
      <c r="O4648" s="72"/>
      <c r="P4648" s="67"/>
      <c r="Q4648" s="67"/>
      <c r="R4648" s="67"/>
      <c r="S4648" s="67"/>
      <c r="T4648" s="32"/>
      <c r="U4648" s="32"/>
      <c r="X4648" s="32"/>
      <c r="Y4648" s="32"/>
      <c r="Z4648" s="32"/>
      <c r="AA4648" s="32"/>
      <c r="AB4648" s="32"/>
    </row>
    <row r="4649" spans="2:28" ht="23.25" customHeight="1" x14ac:dyDescent="0.2">
      <c r="B4649" s="75"/>
      <c r="C4649" s="67"/>
      <c r="D4649" s="75"/>
      <c r="E4649" s="67"/>
      <c r="F4649" s="67"/>
      <c r="G4649" s="70"/>
      <c r="H4649" s="70"/>
      <c r="I4649" s="70"/>
      <c r="J4649" s="70"/>
      <c r="K4649" s="70"/>
      <c r="L4649" s="67"/>
      <c r="M4649" s="67"/>
      <c r="N4649" s="72"/>
      <c r="O4649" s="72"/>
      <c r="P4649" s="67"/>
      <c r="Q4649" s="67"/>
      <c r="R4649" s="67"/>
      <c r="S4649" s="67"/>
      <c r="T4649" s="32"/>
      <c r="U4649" s="32"/>
      <c r="X4649" s="32"/>
      <c r="Y4649" s="32"/>
      <c r="Z4649" s="32"/>
      <c r="AA4649" s="32"/>
      <c r="AB4649" s="32"/>
    </row>
    <row r="4650" spans="2:28" ht="23.25" customHeight="1" x14ac:dyDescent="0.2">
      <c r="B4650" s="75"/>
      <c r="C4650" s="67"/>
      <c r="D4650" s="75"/>
      <c r="E4650" s="67"/>
      <c r="F4650" s="67"/>
      <c r="G4650" s="70"/>
      <c r="H4650" s="70"/>
      <c r="I4650" s="70"/>
      <c r="J4650" s="70"/>
      <c r="K4650" s="70"/>
      <c r="L4650" s="67"/>
      <c r="M4650" s="67"/>
      <c r="N4650" s="72"/>
      <c r="O4650" s="72"/>
      <c r="P4650" s="67"/>
      <c r="Q4650" s="67"/>
      <c r="R4650" s="67"/>
      <c r="S4650" s="67"/>
      <c r="T4650" s="32"/>
      <c r="U4650" s="32"/>
      <c r="X4650" s="32"/>
      <c r="Y4650" s="32"/>
      <c r="Z4650" s="32"/>
      <c r="AA4650" s="32"/>
      <c r="AB4650" s="32"/>
    </row>
    <row r="4651" spans="2:28" ht="23.25" customHeight="1" x14ac:dyDescent="0.2">
      <c r="B4651" s="75"/>
      <c r="C4651" s="67"/>
      <c r="D4651" s="75"/>
      <c r="E4651" s="67"/>
      <c r="F4651" s="67"/>
      <c r="G4651" s="70"/>
      <c r="H4651" s="70"/>
      <c r="I4651" s="70"/>
      <c r="J4651" s="70"/>
      <c r="K4651" s="70"/>
      <c r="L4651" s="67"/>
      <c r="M4651" s="67"/>
      <c r="N4651" s="72"/>
      <c r="O4651" s="72"/>
      <c r="P4651" s="67"/>
      <c r="Q4651" s="67"/>
      <c r="R4651" s="67"/>
      <c r="S4651" s="67"/>
      <c r="T4651" s="32"/>
      <c r="U4651" s="32"/>
      <c r="X4651" s="32"/>
      <c r="Y4651" s="32"/>
      <c r="Z4651" s="32"/>
      <c r="AA4651" s="32"/>
      <c r="AB4651" s="32"/>
    </row>
    <row r="4652" spans="2:28" ht="23.25" customHeight="1" x14ac:dyDescent="0.2">
      <c r="B4652" s="75"/>
      <c r="C4652" s="67"/>
      <c r="D4652" s="75"/>
      <c r="E4652" s="67"/>
      <c r="F4652" s="67"/>
      <c r="G4652" s="70"/>
      <c r="H4652" s="70"/>
      <c r="I4652" s="70"/>
      <c r="J4652" s="70"/>
      <c r="K4652" s="70"/>
      <c r="L4652" s="67"/>
      <c r="M4652" s="67"/>
      <c r="N4652" s="72"/>
      <c r="O4652" s="72"/>
      <c r="P4652" s="67"/>
      <c r="Q4652" s="67"/>
      <c r="R4652" s="67"/>
      <c r="S4652" s="67"/>
      <c r="T4652" s="32"/>
      <c r="U4652" s="32"/>
      <c r="X4652" s="32"/>
      <c r="Y4652" s="32"/>
      <c r="Z4652" s="32"/>
      <c r="AA4652" s="32"/>
      <c r="AB4652" s="32"/>
    </row>
    <row r="4653" spans="2:28" ht="23.25" customHeight="1" x14ac:dyDescent="0.2">
      <c r="B4653" s="75"/>
      <c r="C4653" s="67"/>
      <c r="D4653" s="75"/>
      <c r="E4653" s="67"/>
      <c r="F4653" s="67"/>
      <c r="G4653" s="70"/>
      <c r="H4653" s="70"/>
      <c r="I4653" s="70"/>
      <c r="J4653" s="70"/>
      <c r="K4653" s="70"/>
      <c r="L4653" s="67"/>
      <c r="M4653" s="67"/>
      <c r="N4653" s="72"/>
      <c r="O4653" s="72"/>
      <c r="P4653" s="67"/>
      <c r="Q4653" s="67"/>
      <c r="R4653" s="67"/>
      <c r="S4653" s="67"/>
      <c r="T4653" s="32"/>
      <c r="U4653" s="32"/>
      <c r="X4653" s="32"/>
      <c r="Y4653" s="32"/>
      <c r="Z4653" s="32"/>
      <c r="AA4653" s="32"/>
      <c r="AB4653" s="32"/>
    </row>
    <row r="4654" spans="2:28" ht="23.25" customHeight="1" x14ac:dyDescent="0.2">
      <c r="B4654" s="75"/>
      <c r="C4654" s="67"/>
      <c r="D4654" s="75"/>
      <c r="E4654" s="67"/>
      <c r="F4654" s="67"/>
      <c r="G4654" s="70"/>
      <c r="H4654" s="70"/>
      <c r="I4654" s="70"/>
      <c r="J4654" s="70"/>
      <c r="K4654" s="70"/>
      <c r="L4654" s="67"/>
      <c r="M4654" s="67"/>
      <c r="N4654" s="72"/>
      <c r="O4654" s="72"/>
      <c r="P4654" s="67"/>
      <c r="Q4654" s="67"/>
      <c r="R4654" s="67"/>
      <c r="S4654" s="67"/>
      <c r="T4654" s="32"/>
      <c r="U4654" s="32"/>
      <c r="X4654" s="32"/>
      <c r="Y4654" s="32"/>
      <c r="Z4654" s="32"/>
      <c r="AA4654" s="32"/>
      <c r="AB4654" s="32"/>
    </row>
    <row r="4655" spans="2:28" ht="23.25" customHeight="1" x14ac:dyDescent="0.2">
      <c r="B4655" s="75"/>
      <c r="C4655" s="67"/>
      <c r="D4655" s="75"/>
      <c r="E4655" s="67"/>
      <c r="F4655" s="67"/>
      <c r="G4655" s="70"/>
      <c r="H4655" s="70"/>
      <c r="I4655" s="70"/>
      <c r="J4655" s="70"/>
      <c r="K4655" s="70"/>
      <c r="L4655" s="67"/>
      <c r="M4655" s="67"/>
      <c r="N4655" s="72"/>
      <c r="O4655" s="72"/>
      <c r="P4655" s="67"/>
      <c r="Q4655" s="67"/>
      <c r="R4655" s="67"/>
      <c r="S4655" s="67"/>
      <c r="T4655" s="32"/>
      <c r="U4655" s="32"/>
      <c r="X4655" s="32"/>
      <c r="Y4655" s="32"/>
      <c r="Z4655" s="32"/>
      <c r="AA4655" s="32"/>
      <c r="AB4655" s="32"/>
    </row>
    <row r="4656" spans="2:28" ht="23.25" customHeight="1" x14ac:dyDescent="0.2">
      <c r="B4656" s="75"/>
      <c r="C4656" s="67"/>
      <c r="D4656" s="75"/>
      <c r="E4656" s="67"/>
      <c r="F4656" s="67"/>
      <c r="G4656" s="70"/>
      <c r="H4656" s="70"/>
      <c r="I4656" s="70"/>
      <c r="J4656" s="70"/>
      <c r="K4656" s="70"/>
      <c r="L4656" s="67"/>
      <c r="M4656" s="67"/>
      <c r="N4656" s="72"/>
      <c r="O4656" s="72"/>
      <c r="P4656" s="67"/>
      <c r="Q4656" s="67"/>
      <c r="R4656" s="67"/>
      <c r="S4656" s="67"/>
      <c r="T4656" s="32"/>
      <c r="U4656" s="32"/>
      <c r="X4656" s="32"/>
      <c r="Y4656" s="32"/>
      <c r="Z4656" s="32"/>
      <c r="AA4656" s="32"/>
      <c r="AB4656" s="32"/>
    </row>
    <row r="4657" spans="2:28" ht="23.25" customHeight="1" x14ac:dyDescent="0.2">
      <c r="B4657" s="75"/>
      <c r="C4657" s="67"/>
      <c r="D4657" s="75"/>
      <c r="E4657" s="67"/>
      <c r="F4657" s="67"/>
      <c r="G4657" s="70"/>
      <c r="H4657" s="70"/>
      <c r="I4657" s="70"/>
      <c r="J4657" s="70"/>
      <c r="K4657" s="70"/>
      <c r="L4657" s="67"/>
      <c r="M4657" s="67"/>
      <c r="N4657" s="72"/>
      <c r="O4657" s="72"/>
      <c r="P4657" s="67"/>
      <c r="Q4657" s="67"/>
      <c r="R4657" s="67"/>
      <c r="S4657" s="67"/>
      <c r="T4657" s="32"/>
      <c r="U4657" s="32"/>
      <c r="X4657" s="32"/>
      <c r="Y4657" s="32"/>
      <c r="Z4657" s="32"/>
      <c r="AA4657" s="32"/>
      <c r="AB4657" s="32"/>
    </row>
    <row r="4658" spans="2:28" ht="23.25" customHeight="1" x14ac:dyDescent="0.2">
      <c r="B4658" s="75"/>
      <c r="C4658" s="67"/>
      <c r="D4658" s="75"/>
      <c r="E4658" s="67"/>
      <c r="F4658" s="67"/>
      <c r="G4658" s="70"/>
      <c r="H4658" s="70"/>
      <c r="I4658" s="70"/>
      <c r="J4658" s="70"/>
      <c r="K4658" s="70"/>
      <c r="L4658" s="67"/>
      <c r="M4658" s="67"/>
      <c r="N4658" s="72"/>
      <c r="O4658" s="72"/>
      <c r="P4658" s="67"/>
      <c r="Q4658" s="67"/>
      <c r="R4658" s="67"/>
      <c r="S4658" s="67"/>
      <c r="T4658" s="32"/>
      <c r="U4658" s="32"/>
      <c r="X4658" s="32"/>
      <c r="Y4658" s="32"/>
      <c r="Z4658" s="32"/>
      <c r="AA4658" s="32"/>
      <c r="AB4658" s="32"/>
    </row>
    <row r="4659" spans="2:28" ht="23.25" customHeight="1" x14ac:dyDescent="0.2">
      <c r="B4659" s="75"/>
      <c r="C4659" s="67"/>
      <c r="D4659" s="75"/>
      <c r="E4659" s="67"/>
      <c r="F4659" s="67"/>
      <c r="G4659" s="70"/>
      <c r="H4659" s="70"/>
      <c r="I4659" s="70"/>
      <c r="J4659" s="70"/>
      <c r="K4659" s="70"/>
      <c r="L4659" s="67"/>
      <c r="M4659" s="67"/>
      <c r="N4659" s="72"/>
      <c r="O4659" s="72"/>
      <c r="P4659" s="67"/>
      <c r="Q4659" s="67"/>
      <c r="R4659" s="67"/>
      <c r="S4659" s="67"/>
      <c r="T4659" s="32"/>
      <c r="U4659" s="32"/>
      <c r="X4659" s="32"/>
      <c r="Y4659" s="32"/>
      <c r="Z4659" s="32"/>
      <c r="AA4659" s="32"/>
      <c r="AB4659" s="32"/>
    </row>
    <row r="4660" spans="2:28" ht="23.25" customHeight="1" x14ac:dyDescent="0.2">
      <c r="B4660" s="75"/>
      <c r="C4660" s="67"/>
      <c r="D4660" s="75"/>
      <c r="E4660" s="67"/>
      <c r="F4660" s="67"/>
      <c r="G4660" s="70"/>
      <c r="H4660" s="70"/>
      <c r="I4660" s="70"/>
      <c r="J4660" s="70"/>
      <c r="K4660" s="70"/>
      <c r="L4660" s="67"/>
      <c r="M4660" s="67"/>
      <c r="N4660" s="72"/>
      <c r="O4660" s="72"/>
      <c r="P4660" s="67"/>
      <c r="Q4660" s="67"/>
      <c r="R4660" s="67"/>
      <c r="S4660" s="67"/>
      <c r="T4660" s="32"/>
      <c r="U4660" s="32"/>
      <c r="X4660" s="32"/>
      <c r="Y4660" s="32"/>
      <c r="Z4660" s="32"/>
      <c r="AA4660" s="32"/>
      <c r="AB4660" s="32"/>
    </row>
    <row r="4661" spans="2:28" ht="23.25" customHeight="1" x14ac:dyDescent="0.2">
      <c r="B4661" s="75"/>
      <c r="C4661" s="67"/>
      <c r="D4661" s="75"/>
      <c r="E4661" s="67"/>
      <c r="F4661" s="67"/>
      <c r="G4661" s="70"/>
      <c r="H4661" s="70"/>
      <c r="I4661" s="70"/>
      <c r="J4661" s="70"/>
      <c r="K4661" s="70"/>
      <c r="L4661" s="67"/>
      <c r="M4661" s="67"/>
      <c r="N4661" s="72"/>
      <c r="O4661" s="72"/>
      <c r="P4661" s="67"/>
      <c r="Q4661" s="67"/>
      <c r="R4661" s="67"/>
      <c r="S4661" s="67"/>
      <c r="T4661" s="32"/>
      <c r="U4661" s="32"/>
      <c r="X4661" s="32"/>
      <c r="Y4661" s="32"/>
      <c r="Z4661" s="32"/>
      <c r="AA4661" s="32"/>
      <c r="AB4661" s="32"/>
    </row>
    <row r="4662" spans="2:28" ht="23.25" customHeight="1" x14ac:dyDescent="0.2">
      <c r="B4662" s="75"/>
      <c r="C4662" s="67"/>
      <c r="D4662" s="75"/>
      <c r="E4662" s="67"/>
      <c r="F4662" s="67"/>
      <c r="G4662" s="70"/>
      <c r="H4662" s="70"/>
      <c r="I4662" s="70"/>
      <c r="J4662" s="70"/>
      <c r="K4662" s="70"/>
      <c r="L4662" s="67"/>
      <c r="M4662" s="67"/>
      <c r="N4662" s="72"/>
      <c r="O4662" s="72"/>
      <c r="P4662" s="67"/>
      <c r="Q4662" s="67"/>
      <c r="R4662" s="67"/>
      <c r="S4662" s="67"/>
      <c r="T4662" s="32"/>
      <c r="U4662" s="32"/>
      <c r="X4662" s="32"/>
      <c r="Y4662" s="32"/>
      <c r="Z4662" s="32"/>
      <c r="AA4662" s="32"/>
      <c r="AB4662" s="32"/>
    </row>
    <row r="4663" spans="2:28" ht="23.25" customHeight="1" x14ac:dyDescent="0.2">
      <c r="B4663" s="75"/>
      <c r="C4663" s="67"/>
      <c r="D4663" s="75"/>
      <c r="E4663" s="67"/>
      <c r="F4663" s="67"/>
      <c r="G4663" s="70"/>
      <c r="H4663" s="70"/>
      <c r="I4663" s="70"/>
      <c r="J4663" s="70"/>
      <c r="K4663" s="70"/>
      <c r="L4663" s="67"/>
      <c r="M4663" s="67"/>
      <c r="N4663" s="72"/>
      <c r="O4663" s="72"/>
      <c r="P4663" s="67"/>
      <c r="Q4663" s="67"/>
      <c r="R4663" s="67"/>
      <c r="S4663" s="67"/>
      <c r="T4663" s="32"/>
      <c r="U4663" s="32"/>
      <c r="X4663" s="32"/>
      <c r="Y4663" s="32"/>
      <c r="Z4663" s="32"/>
      <c r="AA4663" s="32"/>
      <c r="AB4663" s="32"/>
    </row>
    <row r="4664" spans="2:28" ht="23.25" customHeight="1" x14ac:dyDescent="0.2">
      <c r="B4664" s="75"/>
      <c r="C4664" s="67"/>
      <c r="D4664" s="75"/>
      <c r="E4664" s="67"/>
      <c r="F4664" s="67"/>
      <c r="G4664" s="70"/>
      <c r="H4664" s="70"/>
      <c r="I4664" s="70"/>
      <c r="J4664" s="70"/>
      <c r="K4664" s="70"/>
      <c r="L4664" s="67"/>
      <c r="M4664" s="67"/>
      <c r="N4664" s="72"/>
      <c r="O4664" s="72"/>
      <c r="P4664" s="67"/>
      <c r="Q4664" s="67"/>
      <c r="R4664" s="67"/>
      <c r="S4664" s="67"/>
      <c r="T4664" s="32"/>
      <c r="U4664" s="32"/>
      <c r="X4664" s="32"/>
      <c r="Y4664" s="32"/>
      <c r="Z4664" s="32"/>
      <c r="AA4664" s="32"/>
      <c r="AB4664" s="32"/>
    </row>
    <row r="4665" spans="2:28" ht="23.25" customHeight="1" x14ac:dyDescent="0.2">
      <c r="B4665" s="75"/>
      <c r="C4665" s="67"/>
      <c r="D4665" s="75"/>
      <c r="E4665" s="67"/>
      <c r="F4665" s="67"/>
      <c r="G4665" s="70"/>
      <c r="H4665" s="70"/>
      <c r="I4665" s="70"/>
      <c r="J4665" s="70"/>
      <c r="K4665" s="70"/>
      <c r="L4665" s="67"/>
      <c r="M4665" s="67"/>
      <c r="N4665" s="72"/>
      <c r="O4665" s="72"/>
      <c r="P4665" s="67"/>
      <c r="Q4665" s="67"/>
      <c r="R4665" s="67"/>
      <c r="S4665" s="67"/>
      <c r="T4665" s="32"/>
      <c r="U4665" s="32"/>
      <c r="X4665" s="32"/>
      <c r="Y4665" s="32"/>
      <c r="Z4665" s="32"/>
      <c r="AA4665" s="32"/>
      <c r="AB4665" s="32"/>
    </row>
    <row r="4666" spans="2:28" ht="23.25" customHeight="1" x14ac:dyDescent="0.2">
      <c r="B4666" s="75"/>
      <c r="C4666" s="67"/>
      <c r="D4666" s="75"/>
      <c r="E4666" s="67"/>
      <c r="F4666" s="67"/>
      <c r="G4666" s="70"/>
      <c r="H4666" s="70"/>
      <c r="I4666" s="70"/>
      <c r="J4666" s="70"/>
      <c r="K4666" s="70"/>
      <c r="L4666" s="67"/>
      <c r="M4666" s="67"/>
      <c r="N4666" s="72"/>
      <c r="O4666" s="72"/>
      <c r="P4666" s="67"/>
      <c r="Q4666" s="67"/>
      <c r="R4666" s="67"/>
      <c r="S4666" s="67"/>
      <c r="T4666" s="32"/>
      <c r="U4666" s="32"/>
      <c r="X4666" s="32"/>
      <c r="Y4666" s="32"/>
      <c r="Z4666" s="32"/>
      <c r="AA4666" s="32"/>
      <c r="AB4666" s="32"/>
    </row>
    <row r="4667" spans="2:28" ht="23.25" customHeight="1" x14ac:dyDescent="0.2">
      <c r="B4667" s="75"/>
      <c r="C4667" s="67"/>
      <c r="D4667" s="75"/>
      <c r="E4667" s="67"/>
      <c r="F4667" s="67"/>
      <c r="G4667" s="70"/>
      <c r="H4667" s="70"/>
      <c r="I4667" s="70"/>
      <c r="J4667" s="70"/>
      <c r="K4667" s="70"/>
      <c r="L4667" s="67"/>
      <c r="M4667" s="67"/>
      <c r="N4667" s="72"/>
      <c r="O4667" s="72"/>
      <c r="P4667" s="67"/>
      <c r="Q4667" s="67"/>
      <c r="R4667" s="67"/>
      <c r="S4667" s="67"/>
      <c r="T4667" s="32"/>
      <c r="U4667" s="32"/>
      <c r="X4667" s="32"/>
      <c r="Y4667" s="32"/>
      <c r="Z4667" s="32"/>
      <c r="AA4667" s="32"/>
      <c r="AB4667" s="32"/>
    </row>
    <row r="4668" spans="2:28" ht="23.25" customHeight="1" x14ac:dyDescent="0.2">
      <c r="B4668" s="75"/>
      <c r="C4668" s="67"/>
      <c r="D4668" s="75"/>
      <c r="E4668" s="67"/>
      <c r="F4668" s="67"/>
      <c r="G4668" s="70"/>
      <c r="H4668" s="70"/>
      <c r="I4668" s="70"/>
      <c r="J4668" s="70"/>
      <c r="K4668" s="70"/>
      <c r="L4668" s="67"/>
      <c r="M4668" s="67"/>
      <c r="N4668" s="72"/>
      <c r="O4668" s="72"/>
      <c r="P4668" s="67"/>
      <c r="Q4668" s="67"/>
      <c r="R4668" s="67"/>
      <c r="S4668" s="67"/>
      <c r="T4668" s="32"/>
      <c r="U4668" s="32"/>
      <c r="X4668" s="32"/>
      <c r="Y4668" s="32"/>
      <c r="Z4668" s="32"/>
      <c r="AA4668" s="32"/>
      <c r="AB4668" s="32"/>
    </row>
    <row r="4669" spans="2:28" ht="23.25" customHeight="1" x14ac:dyDescent="0.2">
      <c r="B4669" s="75"/>
      <c r="C4669" s="67"/>
      <c r="D4669" s="75"/>
      <c r="E4669" s="67"/>
      <c r="F4669" s="67"/>
      <c r="G4669" s="70"/>
      <c r="H4669" s="70"/>
      <c r="I4669" s="70"/>
      <c r="J4669" s="70"/>
      <c r="K4669" s="70"/>
      <c r="L4669" s="67"/>
      <c r="M4669" s="67"/>
      <c r="N4669" s="72"/>
      <c r="O4669" s="72"/>
      <c r="P4669" s="67"/>
      <c r="Q4669" s="67"/>
      <c r="R4669" s="67"/>
      <c r="S4669" s="67"/>
      <c r="T4669" s="32"/>
      <c r="U4669" s="32"/>
      <c r="X4669" s="32"/>
      <c r="Y4669" s="32"/>
      <c r="Z4669" s="32"/>
      <c r="AA4669" s="32"/>
      <c r="AB4669" s="32"/>
    </row>
    <row r="4670" spans="2:28" ht="23.25" customHeight="1" x14ac:dyDescent="0.2">
      <c r="B4670" s="75"/>
      <c r="C4670" s="67"/>
      <c r="D4670" s="75"/>
      <c r="E4670" s="67"/>
      <c r="F4670" s="67"/>
      <c r="G4670" s="70"/>
      <c r="H4670" s="70"/>
      <c r="I4670" s="70"/>
      <c r="J4670" s="70"/>
      <c r="K4670" s="70"/>
      <c r="L4670" s="67"/>
      <c r="M4670" s="67"/>
      <c r="N4670" s="72"/>
      <c r="O4670" s="72"/>
      <c r="P4670" s="67"/>
      <c r="Q4670" s="67"/>
      <c r="R4670" s="67"/>
      <c r="S4670" s="67"/>
      <c r="T4670" s="32"/>
      <c r="U4670" s="32"/>
      <c r="X4670" s="32"/>
      <c r="Y4670" s="32"/>
      <c r="Z4670" s="32"/>
      <c r="AA4670" s="32"/>
      <c r="AB4670" s="32"/>
    </row>
    <row r="4671" spans="2:28" ht="23.25" customHeight="1" x14ac:dyDescent="0.2">
      <c r="B4671" s="75"/>
      <c r="C4671" s="67"/>
      <c r="D4671" s="75"/>
      <c r="E4671" s="67"/>
      <c r="F4671" s="67"/>
      <c r="G4671" s="70"/>
      <c r="H4671" s="70"/>
      <c r="I4671" s="70"/>
      <c r="J4671" s="70"/>
      <c r="K4671" s="70"/>
      <c r="L4671" s="67"/>
      <c r="M4671" s="67"/>
      <c r="N4671" s="72"/>
      <c r="O4671" s="72"/>
      <c r="P4671" s="67"/>
      <c r="Q4671" s="67"/>
      <c r="R4671" s="67"/>
      <c r="S4671" s="67"/>
      <c r="T4671" s="32"/>
      <c r="U4671" s="32"/>
      <c r="X4671" s="32"/>
      <c r="Y4671" s="32"/>
      <c r="Z4671" s="32"/>
      <c r="AA4671" s="32"/>
      <c r="AB4671" s="32"/>
    </row>
    <row r="4672" spans="2:28" ht="23.25" customHeight="1" x14ac:dyDescent="0.2">
      <c r="B4672" s="75"/>
      <c r="C4672" s="67"/>
      <c r="D4672" s="75"/>
      <c r="E4672" s="67"/>
      <c r="F4672" s="67"/>
      <c r="G4672" s="70"/>
      <c r="H4672" s="70"/>
      <c r="I4672" s="70"/>
      <c r="J4672" s="70"/>
      <c r="K4672" s="70"/>
      <c r="L4672" s="67"/>
      <c r="M4672" s="67"/>
      <c r="N4672" s="72"/>
      <c r="O4672" s="72"/>
      <c r="P4672" s="67"/>
      <c r="Q4672" s="67"/>
      <c r="R4672" s="67"/>
      <c r="S4672" s="67"/>
      <c r="T4672" s="32"/>
      <c r="U4672" s="32"/>
      <c r="X4672" s="32"/>
      <c r="Y4672" s="32"/>
      <c r="Z4672" s="32"/>
      <c r="AA4672" s="32"/>
      <c r="AB4672" s="32"/>
    </row>
    <row r="4673" spans="2:28" ht="23.25" customHeight="1" x14ac:dyDescent="0.2">
      <c r="B4673" s="75"/>
      <c r="C4673" s="67"/>
      <c r="D4673" s="75"/>
      <c r="E4673" s="67"/>
      <c r="F4673" s="67"/>
      <c r="G4673" s="70"/>
      <c r="H4673" s="70"/>
      <c r="I4673" s="70"/>
      <c r="J4673" s="70"/>
      <c r="K4673" s="70"/>
      <c r="L4673" s="67"/>
      <c r="M4673" s="67"/>
      <c r="N4673" s="72"/>
      <c r="O4673" s="72"/>
      <c r="P4673" s="67"/>
      <c r="Q4673" s="67"/>
      <c r="R4673" s="67"/>
      <c r="S4673" s="67"/>
      <c r="T4673" s="32"/>
      <c r="U4673" s="32"/>
      <c r="X4673" s="32"/>
      <c r="Y4673" s="32"/>
      <c r="Z4673" s="32"/>
      <c r="AA4673" s="32"/>
      <c r="AB4673" s="32"/>
    </row>
    <row r="4674" spans="2:28" ht="23.25" customHeight="1" x14ac:dyDescent="0.2">
      <c r="B4674" s="75"/>
      <c r="C4674" s="67"/>
      <c r="D4674" s="75"/>
      <c r="E4674" s="67"/>
      <c r="F4674" s="67"/>
      <c r="G4674" s="70"/>
      <c r="H4674" s="70"/>
      <c r="I4674" s="70"/>
      <c r="J4674" s="70"/>
      <c r="K4674" s="70"/>
      <c r="L4674" s="67"/>
      <c r="M4674" s="67"/>
      <c r="N4674" s="72"/>
      <c r="O4674" s="72"/>
      <c r="P4674" s="67"/>
      <c r="Q4674" s="67"/>
      <c r="R4674" s="67"/>
      <c r="S4674" s="67"/>
      <c r="T4674" s="32"/>
      <c r="U4674" s="32"/>
      <c r="X4674" s="32"/>
      <c r="Y4674" s="32"/>
      <c r="Z4674" s="32"/>
      <c r="AA4674" s="32"/>
      <c r="AB4674" s="32"/>
    </row>
    <row r="4675" spans="2:28" ht="23.25" customHeight="1" x14ac:dyDescent="0.2">
      <c r="B4675" s="75"/>
      <c r="C4675" s="67"/>
      <c r="D4675" s="75"/>
      <c r="E4675" s="67"/>
      <c r="F4675" s="67"/>
      <c r="G4675" s="70"/>
      <c r="H4675" s="70"/>
      <c r="I4675" s="70"/>
      <c r="J4675" s="70"/>
      <c r="K4675" s="70"/>
      <c r="L4675" s="67"/>
      <c r="M4675" s="67"/>
      <c r="N4675" s="72"/>
      <c r="O4675" s="72"/>
      <c r="P4675" s="67"/>
      <c r="Q4675" s="67"/>
      <c r="R4675" s="67"/>
      <c r="S4675" s="67"/>
      <c r="T4675" s="32"/>
      <c r="U4675" s="32"/>
      <c r="X4675" s="32"/>
      <c r="Y4675" s="32"/>
      <c r="Z4675" s="32"/>
      <c r="AA4675" s="32"/>
      <c r="AB4675" s="32"/>
    </row>
    <row r="4676" spans="2:28" ht="23.25" customHeight="1" x14ac:dyDescent="0.2">
      <c r="B4676" s="75"/>
      <c r="C4676" s="67"/>
      <c r="D4676" s="75"/>
      <c r="E4676" s="67"/>
      <c r="F4676" s="67"/>
      <c r="G4676" s="70"/>
      <c r="H4676" s="70"/>
      <c r="I4676" s="70"/>
      <c r="J4676" s="70"/>
      <c r="K4676" s="70"/>
      <c r="L4676" s="67"/>
      <c r="M4676" s="67"/>
      <c r="N4676" s="72"/>
      <c r="O4676" s="72"/>
      <c r="P4676" s="67"/>
      <c r="Q4676" s="67"/>
      <c r="R4676" s="67"/>
      <c r="S4676" s="67"/>
      <c r="T4676" s="32"/>
      <c r="U4676" s="32"/>
      <c r="X4676" s="32"/>
      <c r="Y4676" s="32"/>
      <c r="Z4676" s="32"/>
      <c r="AA4676" s="32"/>
      <c r="AB4676" s="32"/>
    </row>
    <row r="4677" spans="2:28" ht="23.25" customHeight="1" x14ac:dyDescent="0.2">
      <c r="B4677" s="75"/>
      <c r="C4677" s="67"/>
      <c r="D4677" s="75"/>
      <c r="E4677" s="67"/>
      <c r="F4677" s="67"/>
      <c r="G4677" s="70"/>
      <c r="H4677" s="70"/>
      <c r="I4677" s="70"/>
      <c r="J4677" s="70"/>
      <c r="K4677" s="70"/>
      <c r="L4677" s="67"/>
      <c r="M4677" s="67"/>
      <c r="N4677" s="72"/>
      <c r="O4677" s="72"/>
      <c r="P4677" s="67"/>
      <c r="Q4677" s="67"/>
      <c r="R4677" s="67"/>
      <c r="S4677" s="67"/>
      <c r="T4677" s="32"/>
      <c r="U4677" s="32"/>
      <c r="X4677" s="32"/>
      <c r="Y4677" s="32"/>
      <c r="Z4677" s="32"/>
      <c r="AA4677" s="32"/>
      <c r="AB4677" s="32"/>
    </row>
    <row r="4678" spans="2:28" ht="23.25" customHeight="1" x14ac:dyDescent="0.2">
      <c r="B4678" s="75"/>
      <c r="C4678" s="67"/>
      <c r="D4678" s="75"/>
      <c r="E4678" s="67"/>
      <c r="F4678" s="67"/>
      <c r="G4678" s="70"/>
      <c r="H4678" s="70"/>
      <c r="I4678" s="70"/>
      <c r="J4678" s="70"/>
      <c r="K4678" s="70"/>
      <c r="L4678" s="67"/>
      <c r="M4678" s="67"/>
      <c r="N4678" s="72"/>
      <c r="O4678" s="72"/>
      <c r="P4678" s="67"/>
      <c r="Q4678" s="67"/>
      <c r="R4678" s="67"/>
      <c r="S4678" s="67"/>
      <c r="T4678" s="32"/>
      <c r="U4678" s="32"/>
      <c r="X4678" s="32"/>
      <c r="Y4678" s="32"/>
      <c r="Z4678" s="32"/>
      <c r="AA4678" s="32"/>
      <c r="AB4678" s="32"/>
    </row>
    <row r="4679" spans="2:28" ht="23.25" customHeight="1" x14ac:dyDescent="0.2">
      <c r="B4679" s="75"/>
      <c r="C4679" s="67"/>
      <c r="D4679" s="75"/>
      <c r="E4679" s="67"/>
      <c r="F4679" s="67"/>
      <c r="G4679" s="70"/>
      <c r="H4679" s="70"/>
      <c r="I4679" s="70"/>
      <c r="J4679" s="70"/>
      <c r="K4679" s="70"/>
      <c r="L4679" s="67"/>
      <c r="M4679" s="67"/>
      <c r="N4679" s="72"/>
      <c r="O4679" s="72"/>
      <c r="P4679" s="67"/>
      <c r="Q4679" s="67"/>
      <c r="R4679" s="67"/>
      <c r="S4679" s="67"/>
      <c r="T4679" s="32"/>
      <c r="U4679" s="32"/>
      <c r="X4679" s="32"/>
      <c r="Y4679" s="32"/>
      <c r="Z4679" s="32"/>
      <c r="AA4679" s="32"/>
      <c r="AB4679" s="32"/>
    </row>
    <row r="4680" spans="2:28" ht="23.25" customHeight="1" x14ac:dyDescent="0.2">
      <c r="B4680" s="75"/>
      <c r="C4680" s="67"/>
      <c r="D4680" s="75"/>
      <c r="E4680" s="67"/>
      <c r="F4680" s="67"/>
      <c r="G4680" s="70"/>
      <c r="H4680" s="70"/>
      <c r="I4680" s="70"/>
      <c r="J4680" s="70"/>
      <c r="K4680" s="70"/>
      <c r="L4680" s="67"/>
      <c r="M4680" s="67"/>
      <c r="N4680" s="72"/>
      <c r="O4680" s="72"/>
      <c r="P4680" s="67"/>
      <c r="Q4680" s="67"/>
      <c r="R4680" s="67"/>
      <c r="S4680" s="67"/>
      <c r="T4680" s="32"/>
      <c r="U4680" s="32"/>
      <c r="X4680" s="32"/>
      <c r="Y4680" s="32"/>
      <c r="Z4680" s="32"/>
      <c r="AA4680" s="32"/>
      <c r="AB4680" s="32"/>
    </row>
    <row r="4681" spans="2:28" ht="23.25" customHeight="1" x14ac:dyDescent="0.2">
      <c r="B4681" s="75"/>
      <c r="C4681" s="67"/>
      <c r="D4681" s="75"/>
      <c r="E4681" s="67"/>
      <c r="F4681" s="67"/>
      <c r="G4681" s="70"/>
      <c r="H4681" s="70"/>
      <c r="I4681" s="70"/>
      <c r="J4681" s="70"/>
      <c r="K4681" s="70"/>
      <c r="L4681" s="67"/>
      <c r="M4681" s="67"/>
      <c r="N4681" s="72"/>
      <c r="O4681" s="72"/>
      <c r="P4681" s="67"/>
      <c r="Q4681" s="67"/>
      <c r="R4681" s="67"/>
      <c r="S4681" s="67"/>
      <c r="T4681" s="32"/>
      <c r="U4681" s="32"/>
      <c r="X4681" s="32"/>
      <c r="Y4681" s="32"/>
      <c r="Z4681" s="32"/>
      <c r="AA4681" s="32"/>
      <c r="AB4681" s="32"/>
    </row>
    <row r="4682" spans="2:28" ht="23.25" customHeight="1" x14ac:dyDescent="0.2">
      <c r="B4682" s="75"/>
      <c r="C4682" s="67"/>
      <c r="D4682" s="75"/>
      <c r="E4682" s="67"/>
      <c r="F4682" s="67"/>
      <c r="G4682" s="70"/>
      <c r="H4682" s="70"/>
      <c r="I4682" s="70"/>
      <c r="J4682" s="70"/>
      <c r="K4682" s="70"/>
      <c r="L4682" s="67"/>
      <c r="M4682" s="67"/>
      <c r="N4682" s="72"/>
      <c r="O4682" s="72"/>
      <c r="P4682" s="67"/>
      <c r="Q4682" s="67"/>
      <c r="R4682" s="67"/>
      <c r="S4682" s="67"/>
      <c r="T4682" s="32"/>
      <c r="U4682" s="32"/>
      <c r="X4682" s="32"/>
      <c r="Y4682" s="32"/>
      <c r="Z4682" s="32"/>
      <c r="AA4682" s="32"/>
      <c r="AB4682" s="32"/>
    </row>
    <row r="4683" spans="2:28" ht="23.25" customHeight="1" x14ac:dyDescent="0.2">
      <c r="B4683" s="75"/>
      <c r="C4683" s="67"/>
      <c r="D4683" s="75"/>
      <c r="E4683" s="67"/>
      <c r="F4683" s="67"/>
      <c r="G4683" s="70"/>
      <c r="H4683" s="70"/>
      <c r="I4683" s="70"/>
      <c r="J4683" s="70"/>
      <c r="K4683" s="70"/>
      <c r="L4683" s="67"/>
      <c r="M4683" s="67"/>
      <c r="N4683" s="72"/>
      <c r="O4683" s="72"/>
      <c r="P4683" s="67"/>
      <c r="Q4683" s="67"/>
      <c r="R4683" s="67"/>
      <c r="S4683" s="67"/>
      <c r="T4683" s="32"/>
      <c r="U4683" s="32"/>
      <c r="X4683" s="32"/>
      <c r="Y4683" s="32"/>
      <c r="Z4683" s="32"/>
      <c r="AA4683" s="32"/>
      <c r="AB4683" s="32"/>
    </row>
    <row r="4684" spans="2:28" ht="23.25" customHeight="1" x14ac:dyDescent="0.2">
      <c r="B4684" s="75"/>
      <c r="C4684" s="67"/>
      <c r="D4684" s="75"/>
      <c r="E4684" s="67"/>
      <c r="F4684" s="67"/>
      <c r="G4684" s="70"/>
      <c r="H4684" s="70"/>
      <c r="I4684" s="70"/>
      <c r="J4684" s="70"/>
      <c r="K4684" s="70"/>
      <c r="L4684" s="67"/>
      <c r="M4684" s="67"/>
      <c r="N4684" s="72"/>
      <c r="O4684" s="72"/>
      <c r="P4684" s="67"/>
      <c r="Q4684" s="67"/>
      <c r="R4684" s="67"/>
      <c r="S4684" s="67"/>
      <c r="T4684" s="32"/>
      <c r="U4684" s="32"/>
      <c r="X4684" s="32"/>
      <c r="Y4684" s="32"/>
      <c r="Z4684" s="32"/>
      <c r="AA4684" s="32"/>
      <c r="AB4684" s="32"/>
    </row>
    <row r="4685" spans="2:28" ht="23.25" customHeight="1" x14ac:dyDescent="0.2">
      <c r="B4685" s="75"/>
      <c r="C4685" s="67"/>
      <c r="D4685" s="75"/>
      <c r="E4685" s="67"/>
      <c r="F4685" s="67"/>
      <c r="G4685" s="70"/>
      <c r="H4685" s="70"/>
      <c r="I4685" s="70"/>
      <c r="J4685" s="70"/>
      <c r="K4685" s="70"/>
      <c r="L4685" s="67"/>
      <c r="M4685" s="67"/>
      <c r="N4685" s="72"/>
      <c r="O4685" s="72"/>
      <c r="P4685" s="67"/>
      <c r="Q4685" s="67"/>
      <c r="R4685" s="67"/>
      <c r="S4685" s="67"/>
      <c r="T4685" s="32"/>
      <c r="U4685" s="32"/>
      <c r="X4685" s="32"/>
      <c r="Y4685" s="32"/>
      <c r="Z4685" s="32"/>
      <c r="AA4685" s="32"/>
      <c r="AB4685" s="32"/>
    </row>
    <row r="4686" spans="2:28" ht="23.25" customHeight="1" x14ac:dyDescent="0.2">
      <c r="B4686" s="75"/>
      <c r="C4686" s="67"/>
      <c r="D4686" s="75"/>
      <c r="E4686" s="67"/>
      <c r="F4686" s="67"/>
      <c r="G4686" s="70"/>
      <c r="H4686" s="70"/>
      <c r="I4686" s="70"/>
      <c r="J4686" s="70"/>
      <c r="K4686" s="70"/>
      <c r="L4686" s="67"/>
      <c r="M4686" s="67"/>
      <c r="N4686" s="72"/>
      <c r="O4686" s="72"/>
      <c r="P4686" s="67"/>
      <c r="Q4686" s="67"/>
      <c r="R4686" s="67"/>
      <c r="S4686" s="67"/>
      <c r="T4686" s="32"/>
      <c r="U4686" s="32"/>
      <c r="X4686" s="32"/>
      <c r="Y4686" s="32"/>
      <c r="Z4686" s="32"/>
      <c r="AA4686" s="32"/>
      <c r="AB4686" s="32"/>
    </row>
    <row r="4687" spans="2:28" ht="23.25" customHeight="1" x14ac:dyDescent="0.2">
      <c r="B4687" s="75"/>
      <c r="C4687" s="67"/>
      <c r="D4687" s="75"/>
      <c r="E4687" s="67"/>
      <c r="F4687" s="67"/>
      <c r="G4687" s="70"/>
      <c r="H4687" s="70"/>
      <c r="I4687" s="70"/>
      <c r="J4687" s="70"/>
      <c r="K4687" s="70"/>
      <c r="L4687" s="67"/>
      <c r="M4687" s="67"/>
      <c r="N4687" s="72"/>
      <c r="O4687" s="72"/>
      <c r="P4687" s="67"/>
      <c r="Q4687" s="67"/>
      <c r="R4687" s="67"/>
      <c r="S4687" s="67"/>
      <c r="T4687" s="32"/>
      <c r="U4687" s="32"/>
      <c r="X4687" s="32"/>
      <c r="Y4687" s="32"/>
      <c r="Z4687" s="32"/>
      <c r="AA4687" s="32"/>
      <c r="AB4687" s="32"/>
    </row>
    <row r="4688" spans="2:28" ht="23.25" customHeight="1" x14ac:dyDescent="0.2">
      <c r="B4688" s="75"/>
      <c r="C4688" s="67"/>
      <c r="D4688" s="75"/>
      <c r="E4688" s="67"/>
      <c r="F4688" s="67"/>
      <c r="G4688" s="70"/>
      <c r="H4688" s="70"/>
      <c r="I4688" s="70"/>
      <c r="J4688" s="70"/>
      <c r="K4688" s="70"/>
      <c r="L4688" s="67"/>
      <c r="M4688" s="67"/>
      <c r="N4688" s="72"/>
      <c r="O4688" s="72"/>
      <c r="P4688" s="67"/>
      <c r="Q4688" s="67"/>
      <c r="R4688" s="67"/>
      <c r="S4688" s="67"/>
      <c r="T4688" s="32"/>
      <c r="U4688" s="32"/>
      <c r="X4688" s="32"/>
      <c r="Y4688" s="32"/>
      <c r="Z4688" s="32"/>
      <c r="AA4688" s="32"/>
      <c r="AB4688" s="32"/>
    </row>
    <row r="4689" spans="2:28" ht="23.25" customHeight="1" x14ac:dyDescent="0.2">
      <c r="B4689" s="75"/>
      <c r="C4689" s="67"/>
      <c r="D4689" s="75"/>
      <c r="E4689" s="67"/>
      <c r="F4689" s="67"/>
      <c r="G4689" s="70"/>
      <c r="H4689" s="70"/>
      <c r="I4689" s="70"/>
      <c r="J4689" s="70"/>
      <c r="K4689" s="70"/>
      <c r="L4689" s="67"/>
      <c r="M4689" s="67"/>
      <c r="N4689" s="72"/>
      <c r="O4689" s="72"/>
      <c r="P4689" s="67"/>
      <c r="Q4689" s="67"/>
      <c r="R4689" s="67"/>
      <c r="S4689" s="67"/>
      <c r="T4689" s="32"/>
      <c r="U4689" s="32"/>
      <c r="X4689" s="32"/>
      <c r="Y4689" s="32"/>
      <c r="Z4689" s="32"/>
      <c r="AA4689" s="32"/>
      <c r="AB4689" s="32"/>
    </row>
    <row r="4690" spans="2:28" ht="23.25" customHeight="1" x14ac:dyDescent="0.2">
      <c r="B4690" s="75"/>
      <c r="C4690" s="67"/>
      <c r="D4690" s="75"/>
      <c r="E4690" s="67"/>
      <c r="F4690" s="67"/>
      <c r="G4690" s="70"/>
      <c r="H4690" s="70"/>
      <c r="I4690" s="70"/>
      <c r="J4690" s="70"/>
      <c r="K4690" s="70"/>
      <c r="L4690" s="67"/>
      <c r="M4690" s="67"/>
      <c r="N4690" s="72"/>
      <c r="O4690" s="72"/>
      <c r="P4690" s="67"/>
      <c r="Q4690" s="67"/>
      <c r="R4690" s="67"/>
      <c r="S4690" s="67"/>
      <c r="T4690" s="32"/>
      <c r="U4690" s="32"/>
      <c r="X4690" s="32"/>
      <c r="Y4690" s="32"/>
      <c r="Z4690" s="32"/>
      <c r="AA4690" s="32"/>
      <c r="AB4690" s="32"/>
    </row>
    <row r="4691" spans="2:28" ht="23.25" customHeight="1" x14ac:dyDescent="0.2">
      <c r="B4691" s="75"/>
      <c r="C4691" s="67"/>
      <c r="D4691" s="75"/>
      <c r="E4691" s="67"/>
      <c r="F4691" s="67"/>
      <c r="G4691" s="70"/>
      <c r="H4691" s="70"/>
      <c r="I4691" s="70"/>
      <c r="J4691" s="70"/>
      <c r="K4691" s="70"/>
      <c r="L4691" s="67"/>
      <c r="M4691" s="67"/>
      <c r="N4691" s="72"/>
      <c r="O4691" s="72"/>
      <c r="P4691" s="67"/>
      <c r="Q4691" s="67"/>
      <c r="R4691" s="67"/>
      <c r="S4691" s="67"/>
      <c r="T4691" s="32"/>
      <c r="U4691" s="32"/>
      <c r="X4691" s="32"/>
      <c r="Y4691" s="32"/>
      <c r="Z4691" s="32"/>
      <c r="AA4691" s="32"/>
      <c r="AB4691" s="32"/>
    </row>
    <row r="4692" spans="2:28" ht="23.25" customHeight="1" x14ac:dyDescent="0.2">
      <c r="B4692" s="75"/>
      <c r="C4692" s="67"/>
      <c r="D4692" s="75"/>
      <c r="E4692" s="67"/>
      <c r="F4692" s="67"/>
      <c r="G4692" s="70"/>
      <c r="H4692" s="70"/>
      <c r="I4692" s="70"/>
      <c r="J4692" s="70"/>
      <c r="K4692" s="70"/>
      <c r="L4692" s="67"/>
      <c r="M4692" s="67"/>
      <c r="N4692" s="72"/>
      <c r="O4692" s="72"/>
      <c r="P4692" s="67"/>
      <c r="Q4692" s="67"/>
      <c r="R4692" s="67"/>
      <c r="S4692" s="67"/>
      <c r="T4692" s="32"/>
      <c r="U4692" s="32"/>
      <c r="X4692" s="32"/>
      <c r="Y4692" s="32"/>
      <c r="Z4692" s="32"/>
      <c r="AA4692" s="32"/>
      <c r="AB4692" s="32"/>
    </row>
    <row r="4693" spans="2:28" ht="23.25" customHeight="1" x14ac:dyDescent="0.2">
      <c r="B4693" s="75"/>
      <c r="C4693" s="67"/>
      <c r="D4693" s="75"/>
      <c r="E4693" s="67"/>
      <c r="F4693" s="67"/>
      <c r="G4693" s="70"/>
      <c r="H4693" s="70"/>
      <c r="I4693" s="70"/>
      <c r="J4693" s="70"/>
      <c r="K4693" s="70"/>
      <c r="L4693" s="67"/>
      <c r="M4693" s="67"/>
      <c r="N4693" s="72"/>
      <c r="O4693" s="72"/>
      <c r="P4693" s="67"/>
      <c r="Q4693" s="67"/>
      <c r="R4693" s="67"/>
      <c r="S4693" s="67"/>
      <c r="T4693" s="32"/>
      <c r="U4693" s="32"/>
      <c r="X4693" s="32"/>
      <c r="Y4693" s="32"/>
      <c r="Z4693" s="32"/>
      <c r="AA4693" s="32"/>
      <c r="AB4693" s="32"/>
    </row>
    <row r="4694" spans="2:28" ht="23.25" customHeight="1" x14ac:dyDescent="0.2">
      <c r="B4694" s="75"/>
      <c r="C4694" s="67"/>
      <c r="D4694" s="75"/>
      <c r="E4694" s="67"/>
      <c r="F4694" s="67"/>
      <c r="G4694" s="70"/>
      <c r="H4694" s="70"/>
      <c r="I4694" s="70"/>
      <c r="J4694" s="70"/>
      <c r="K4694" s="70"/>
      <c r="L4694" s="67"/>
      <c r="M4694" s="67"/>
      <c r="N4694" s="72"/>
      <c r="O4694" s="72"/>
      <c r="P4694" s="67"/>
      <c r="Q4694" s="67"/>
      <c r="R4694" s="67"/>
      <c r="S4694" s="67"/>
      <c r="T4694" s="32"/>
      <c r="U4694" s="32"/>
      <c r="X4694" s="32"/>
      <c r="Y4694" s="32"/>
      <c r="Z4694" s="32"/>
      <c r="AA4694" s="32"/>
      <c r="AB4694" s="32"/>
    </row>
    <row r="4695" spans="2:28" ht="23.25" customHeight="1" x14ac:dyDescent="0.2">
      <c r="B4695" s="75"/>
      <c r="C4695" s="67"/>
      <c r="D4695" s="75"/>
      <c r="E4695" s="67"/>
      <c r="F4695" s="67"/>
      <c r="G4695" s="70"/>
      <c r="H4695" s="70"/>
      <c r="I4695" s="70"/>
      <c r="J4695" s="70"/>
      <c r="K4695" s="70"/>
      <c r="L4695" s="67"/>
      <c r="M4695" s="67"/>
      <c r="N4695" s="72"/>
      <c r="O4695" s="72"/>
      <c r="P4695" s="67"/>
      <c r="Q4695" s="67"/>
      <c r="R4695" s="67"/>
      <c r="S4695" s="67"/>
      <c r="T4695" s="32"/>
      <c r="U4695" s="32"/>
      <c r="X4695" s="32"/>
      <c r="Y4695" s="32"/>
      <c r="Z4695" s="32"/>
      <c r="AA4695" s="32"/>
      <c r="AB4695" s="32"/>
    </row>
    <row r="4696" spans="2:28" ht="23.25" customHeight="1" x14ac:dyDescent="0.2">
      <c r="B4696" s="75"/>
      <c r="C4696" s="67"/>
      <c r="D4696" s="75"/>
      <c r="E4696" s="67"/>
      <c r="F4696" s="67"/>
      <c r="G4696" s="70"/>
      <c r="H4696" s="70"/>
      <c r="I4696" s="70"/>
      <c r="J4696" s="70"/>
      <c r="K4696" s="70"/>
      <c r="L4696" s="67"/>
      <c r="M4696" s="67"/>
      <c r="N4696" s="72"/>
      <c r="O4696" s="72"/>
      <c r="P4696" s="67"/>
      <c r="Q4696" s="67"/>
      <c r="R4696" s="67"/>
      <c r="S4696" s="67"/>
      <c r="T4696" s="32"/>
      <c r="U4696" s="32"/>
      <c r="X4696" s="32"/>
      <c r="Y4696" s="32"/>
      <c r="Z4696" s="32"/>
      <c r="AA4696" s="32"/>
      <c r="AB4696" s="32"/>
    </row>
    <row r="4697" spans="2:28" ht="23.25" customHeight="1" x14ac:dyDescent="0.2">
      <c r="B4697" s="75"/>
      <c r="C4697" s="67"/>
      <c r="D4697" s="75"/>
      <c r="E4697" s="67"/>
      <c r="F4697" s="67"/>
      <c r="G4697" s="70"/>
      <c r="H4697" s="70"/>
      <c r="I4697" s="70"/>
      <c r="J4697" s="70"/>
      <c r="K4697" s="70"/>
      <c r="L4697" s="67"/>
      <c r="M4697" s="67"/>
      <c r="N4697" s="72"/>
      <c r="O4697" s="72"/>
      <c r="P4697" s="67"/>
      <c r="Q4697" s="67"/>
      <c r="R4697" s="67"/>
      <c r="S4697" s="67"/>
      <c r="T4697" s="32"/>
      <c r="U4697" s="32"/>
      <c r="X4697" s="32"/>
      <c r="Y4697" s="32"/>
      <c r="Z4697" s="32"/>
      <c r="AA4697" s="32"/>
      <c r="AB4697" s="32"/>
    </row>
    <row r="4698" spans="2:28" ht="23.25" customHeight="1" x14ac:dyDescent="0.2">
      <c r="B4698" s="75"/>
      <c r="C4698" s="67"/>
      <c r="D4698" s="75"/>
      <c r="E4698" s="67"/>
      <c r="F4698" s="67"/>
      <c r="G4698" s="70"/>
      <c r="H4698" s="70"/>
      <c r="I4698" s="70"/>
      <c r="J4698" s="70"/>
      <c r="K4698" s="70"/>
      <c r="L4698" s="67"/>
      <c r="M4698" s="67"/>
      <c r="N4698" s="72"/>
      <c r="O4698" s="72"/>
      <c r="P4698" s="67"/>
      <c r="Q4698" s="67"/>
      <c r="R4698" s="67"/>
      <c r="S4698" s="67"/>
      <c r="T4698" s="32"/>
      <c r="U4698" s="32"/>
      <c r="X4698" s="32"/>
      <c r="Y4698" s="32"/>
      <c r="Z4698" s="32"/>
      <c r="AA4698" s="32"/>
      <c r="AB4698" s="32"/>
    </row>
    <row r="4699" spans="2:28" ht="23.25" customHeight="1" x14ac:dyDescent="0.2">
      <c r="B4699" s="75"/>
      <c r="C4699" s="67"/>
      <c r="D4699" s="75"/>
      <c r="E4699" s="67"/>
      <c r="F4699" s="67"/>
      <c r="G4699" s="70"/>
      <c r="H4699" s="70"/>
      <c r="I4699" s="70"/>
      <c r="J4699" s="70"/>
      <c r="K4699" s="70"/>
      <c r="L4699" s="67"/>
      <c r="M4699" s="67"/>
      <c r="N4699" s="72"/>
      <c r="O4699" s="72"/>
      <c r="P4699" s="67"/>
      <c r="Q4699" s="67"/>
      <c r="R4699" s="67"/>
      <c r="S4699" s="67"/>
      <c r="T4699" s="32"/>
      <c r="U4699" s="32"/>
      <c r="X4699" s="32"/>
      <c r="Y4699" s="32"/>
      <c r="Z4699" s="32"/>
      <c r="AA4699" s="32"/>
      <c r="AB4699" s="32"/>
    </row>
    <row r="4700" spans="2:28" ht="23.25" customHeight="1" x14ac:dyDescent="0.2">
      <c r="B4700" s="75"/>
      <c r="C4700" s="67"/>
      <c r="D4700" s="75"/>
      <c r="E4700" s="67"/>
      <c r="F4700" s="67"/>
      <c r="G4700" s="70"/>
      <c r="H4700" s="70"/>
      <c r="I4700" s="70"/>
      <c r="J4700" s="70"/>
      <c r="K4700" s="70"/>
      <c r="L4700" s="67"/>
      <c r="M4700" s="67"/>
      <c r="N4700" s="72"/>
      <c r="O4700" s="72"/>
      <c r="P4700" s="67"/>
      <c r="Q4700" s="67"/>
      <c r="R4700" s="67"/>
      <c r="S4700" s="67"/>
      <c r="T4700" s="32"/>
      <c r="U4700" s="32"/>
      <c r="X4700" s="32"/>
      <c r="Y4700" s="32"/>
      <c r="Z4700" s="32"/>
      <c r="AA4700" s="32"/>
      <c r="AB4700" s="32"/>
    </row>
    <row r="4701" spans="2:28" ht="23.25" customHeight="1" x14ac:dyDescent="0.2">
      <c r="B4701" s="75"/>
      <c r="C4701" s="67"/>
      <c r="D4701" s="75"/>
      <c r="E4701" s="67"/>
      <c r="F4701" s="67"/>
      <c r="G4701" s="70"/>
      <c r="H4701" s="70"/>
      <c r="I4701" s="70"/>
      <c r="J4701" s="70"/>
      <c r="K4701" s="70"/>
      <c r="L4701" s="67"/>
      <c r="M4701" s="67"/>
      <c r="N4701" s="72"/>
      <c r="O4701" s="72"/>
      <c r="P4701" s="67"/>
      <c r="Q4701" s="67"/>
      <c r="R4701" s="67"/>
      <c r="S4701" s="67"/>
      <c r="T4701" s="32"/>
      <c r="U4701" s="32"/>
      <c r="X4701" s="32"/>
      <c r="Y4701" s="32"/>
      <c r="Z4701" s="32"/>
      <c r="AA4701" s="32"/>
      <c r="AB4701" s="32"/>
    </row>
    <row r="4702" spans="2:28" ht="23.25" customHeight="1" x14ac:dyDescent="0.2">
      <c r="B4702" s="75"/>
      <c r="C4702" s="67"/>
      <c r="D4702" s="75"/>
      <c r="E4702" s="67"/>
      <c r="F4702" s="67"/>
      <c r="G4702" s="70"/>
      <c r="H4702" s="70"/>
      <c r="I4702" s="70"/>
      <c r="J4702" s="70"/>
      <c r="K4702" s="70"/>
      <c r="L4702" s="67"/>
      <c r="M4702" s="67"/>
      <c r="N4702" s="72"/>
      <c r="O4702" s="72"/>
      <c r="P4702" s="67"/>
      <c r="Q4702" s="67"/>
      <c r="R4702" s="67"/>
      <c r="S4702" s="67"/>
      <c r="T4702" s="32"/>
      <c r="U4702" s="32"/>
      <c r="X4702" s="32"/>
      <c r="Y4702" s="32"/>
      <c r="Z4702" s="32"/>
      <c r="AA4702" s="32"/>
      <c r="AB4702" s="32"/>
    </row>
    <row r="4703" spans="2:28" ht="23.25" customHeight="1" x14ac:dyDescent="0.2">
      <c r="B4703" s="75"/>
      <c r="C4703" s="67"/>
      <c r="D4703" s="75"/>
      <c r="E4703" s="67"/>
      <c r="F4703" s="67"/>
      <c r="G4703" s="70"/>
      <c r="H4703" s="70"/>
      <c r="I4703" s="70"/>
      <c r="J4703" s="70"/>
      <c r="K4703" s="70"/>
      <c r="L4703" s="67"/>
      <c r="M4703" s="67"/>
      <c r="N4703" s="72"/>
      <c r="O4703" s="72"/>
      <c r="P4703" s="67"/>
      <c r="Q4703" s="67"/>
      <c r="R4703" s="67"/>
      <c r="S4703" s="67"/>
      <c r="T4703" s="32"/>
      <c r="U4703" s="32"/>
      <c r="X4703" s="32"/>
      <c r="Y4703" s="32"/>
      <c r="Z4703" s="32"/>
      <c r="AA4703" s="32"/>
      <c r="AB4703" s="32"/>
    </row>
    <row r="4704" spans="2:28" ht="23.25" customHeight="1" x14ac:dyDescent="0.2">
      <c r="B4704" s="75"/>
      <c r="C4704" s="67"/>
      <c r="D4704" s="75"/>
      <c r="E4704" s="67"/>
      <c r="F4704" s="67"/>
      <c r="G4704" s="70"/>
      <c r="H4704" s="70"/>
      <c r="I4704" s="70"/>
      <c r="J4704" s="70"/>
      <c r="K4704" s="70"/>
      <c r="L4704" s="67"/>
      <c r="M4704" s="67"/>
      <c r="N4704" s="72"/>
      <c r="O4704" s="72"/>
      <c r="P4704" s="67"/>
      <c r="Q4704" s="67"/>
      <c r="R4704" s="67"/>
      <c r="S4704" s="67"/>
      <c r="T4704" s="32"/>
      <c r="U4704" s="32"/>
      <c r="X4704" s="32"/>
      <c r="Y4704" s="32"/>
      <c r="Z4704" s="32"/>
      <c r="AA4704" s="32"/>
      <c r="AB4704" s="32"/>
    </row>
    <row r="4705" spans="2:28" ht="23.25" customHeight="1" x14ac:dyDescent="0.2">
      <c r="B4705" s="75"/>
      <c r="C4705" s="67"/>
      <c r="D4705" s="75"/>
      <c r="E4705" s="67"/>
      <c r="F4705" s="67"/>
      <c r="G4705" s="70"/>
      <c r="H4705" s="70"/>
      <c r="I4705" s="70"/>
      <c r="J4705" s="70"/>
      <c r="K4705" s="70"/>
      <c r="L4705" s="67"/>
      <c r="M4705" s="67"/>
      <c r="N4705" s="72"/>
      <c r="O4705" s="72"/>
      <c r="P4705" s="67"/>
      <c r="Q4705" s="67"/>
      <c r="R4705" s="67"/>
      <c r="S4705" s="67"/>
      <c r="T4705" s="32"/>
      <c r="U4705" s="32"/>
      <c r="X4705" s="32"/>
      <c r="Y4705" s="32"/>
      <c r="Z4705" s="32"/>
      <c r="AA4705" s="32"/>
      <c r="AB4705" s="32"/>
    </row>
    <row r="4706" spans="2:28" ht="23.25" customHeight="1" x14ac:dyDescent="0.2">
      <c r="B4706" s="75"/>
      <c r="C4706" s="67"/>
      <c r="D4706" s="75"/>
      <c r="E4706" s="67"/>
      <c r="F4706" s="67"/>
      <c r="G4706" s="70"/>
      <c r="H4706" s="70"/>
      <c r="I4706" s="70"/>
      <c r="J4706" s="70"/>
      <c r="K4706" s="70"/>
      <c r="L4706" s="67"/>
      <c r="M4706" s="67"/>
      <c r="N4706" s="72"/>
      <c r="O4706" s="72"/>
      <c r="P4706" s="67"/>
      <c r="Q4706" s="67"/>
      <c r="R4706" s="67"/>
      <c r="S4706" s="67"/>
      <c r="T4706" s="32"/>
      <c r="U4706" s="32"/>
      <c r="X4706" s="32"/>
      <c r="Y4706" s="32"/>
      <c r="Z4706" s="32"/>
      <c r="AA4706" s="32"/>
      <c r="AB4706" s="32"/>
    </row>
    <row r="4707" spans="2:28" ht="23.25" customHeight="1" x14ac:dyDescent="0.2">
      <c r="B4707" s="75"/>
      <c r="C4707" s="67"/>
      <c r="D4707" s="75"/>
      <c r="E4707" s="67"/>
      <c r="F4707" s="67"/>
      <c r="G4707" s="70"/>
      <c r="H4707" s="70"/>
      <c r="I4707" s="70"/>
      <c r="J4707" s="70"/>
      <c r="K4707" s="70"/>
      <c r="L4707" s="67"/>
      <c r="M4707" s="67"/>
      <c r="N4707" s="72"/>
      <c r="O4707" s="72"/>
      <c r="P4707" s="67"/>
      <c r="Q4707" s="67"/>
      <c r="R4707" s="67"/>
      <c r="S4707" s="67"/>
      <c r="T4707" s="32"/>
      <c r="U4707" s="32"/>
      <c r="X4707" s="32"/>
      <c r="Y4707" s="32"/>
      <c r="Z4707" s="32"/>
      <c r="AA4707" s="32"/>
      <c r="AB4707" s="32"/>
    </row>
    <row r="4708" spans="2:28" ht="23.25" customHeight="1" x14ac:dyDescent="0.2">
      <c r="B4708" s="75"/>
      <c r="C4708" s="67"/>
      <c r="D4708" s="75"/>
      <c r="E4708" s="67"/>
      <c r="F4708" s="67"/>
      <c r="G4708" s="70"/>
      <c r="H4708" s="70"/>
      <c r="I4708" s="70"/>
      <c r="J4708" s="70"/>
      <c r="K4708" s="70"/>
      <c r="L4708" s="67"/>
      <c r="M4708" s="67"/>
      <c r="N4708" s="72"/>
      <c r="O4708" s="72"/>
      <c r="P4708" s="67"/>
      <c r="Q4708" s="67"/>
      <c r="R4708" s="67"/>
      <c r="S4708" s="67"/>
      <c r="T4708" s="32"/>
      <c r="U4708" s="32"/>
      <c r="X4708" s="32"/>
      <c r="Y4708" s="32"/>
      <c r="Z4708" s="32"/>
      <c r="AA4708" s="32"/>
      <c r="AB4708" s="32"/>
    </row>
    <row r="4709" spans="2:28" ht="23.25" customHeight="1" x14ac:dyDescent="0.2">
      <c r="B4709" s="75"/>
      <c r="C4709" s="67"/>
      <c r="D4709" s="75"/>
      <c r="E4709" s="67"/>
      <c r="F4709" s="67"/>
      <c r="G4709" s="70"/>
      <c r="H4709" s="70"/>
      <c r="I4709" s="70"/>
      <c r="J4709" s="70"/>
      <c r="K4709" s="70"/>
      <c r="L4709" s="67"/>
      <c r="M4709" s="67"/>
      <c r="N4709" s="72"/>
      <c r="O4709" s="72"/>
      <c r="P4709" s="67"/>
      <c r="Q4709" s="67"/>
      <c r="R4709" s="67"/>
      <c r="S4709" s="67"/>
      <c r="T4709" s="32"/>
      <c r="U4709" s="32"/>
      <c r="X4709" s="32"/>
      <c r="Y4709" s="32"/>
      <c r="Z4709" s="32"/>
      <c r="AA4709" s="32"/>
      <c r="AB4709" s="32"/>
    </row>
    <row r="4710" spans="2:28" ht="23.25" customHeight="1" x14ac:dyDescent="0.2">
      <c r="B4710" s="75"/>
      <c r="C4710" s="67"/>
      <c r="D4710" s="75"/>
      <c r="E4710" s="67"/>
      <c r="F4710" s="67"/>
      <c r="G4710" s="70"/>
      <c r="H4710" s="70"/>
      <c r="I4710" s="70"/>
      <c r="J4710" s="70"/>
      <c r="K4710" s="70"/>
      <c r="L4710" s="67"/>
      <c r="M4710" s="67"/>
      <c r="N4710" s="72"/>
      <c r="O4710" s="72"/>
      <c r="P4710" s="67"/>
      <c r="Q4710" s="67"/>
      <c r="R4710" s="67"/>
      <c r="S4710" s="67"/>
      <c r="T4710" s="32"/>
      <c r="U4710" s="32"/>
      <c r="X4710" s="32"/>
      <c r="Y4710" s="32"/>
      <c r="Z4710" s="32"/>
      <c r="AA4710" s="32"/>
      <c r="AB4710" s="32"/>
    </row>
    <row r="4711" spans="2:28" ht="23.25" customHeight="1" x14ac:dyDescent="0.2">
      <c r="B4711" s="75"/>
      <c r="C4711" s="67"/>
      <c r="D4711" s="75"/>
      <c r="E4711" s="67"/>
      <c r="F4711" s="67"/>
      <c r="G4711" s="70"/>
      <c r="H4711" s="70"/>
      <c r="I4711" s="70"/>
      <c r="J4711" s="70"/>
      <c r="K4711" s="70"/>
      <c r="L4711" s="67"/>
      <c r="M4711" s="67"/>
      <c r="N4711" s="72"/>
      <c r="O4711" s="72"/>
      <c r="P4711" s="67"/>
      <c r="Q4711" s="67"/>
      <c r="R4711" s="67"/>
      <c r="S4711" s="67"/>
      <c r="T4711" s="32"/>
      <c r="U4711" s="32"/>
      <c r="X4711" s="32"/>
      <c r="Y4711" s="32"/>
      <c r="Z4711" s="32"/>
      <c r="AA4711" s="32"/>
      <c r="AB4711" s="32"/>
    </row>
    <row r="4712" spans="2:28" ht="23.25" customHeight="1" x14ac:dyDescent="0.2">
      <c r="B4712" s="75"/>
      <c r="C4712" s="67"/>
      <c r="D4712" s="75"/>
      <c r="E4712" s="67"/>
      <c r="F4712" s="67"/>
      <c r="G4712" s="70"/>
      <c r="H4712" s="70"/>
      <c r="I4712" s="70"/>
      <c r="J4712" s="70"/>
      <c r="K4712" s="70"/>
      <c r="L4712" s="67"/>
      <c r="M4712" s="67"/>
      <c r="N4712" s="72"/>
      <c r="O4712" s="72"/>
      <c r="P4712" s="67"/>
      <c r="Q4712" s="67"/>
      <c r="R4712" s="67"/>
      <c r="S4712" s="67"/>
      <c r="T4712" s="32"/>
      <c r="U4712" s="32"/>
      <c r="X4712" s="32"/>
      <c r="Y4712" s="32"/>
      <c r="Z4712" s="32"/>
      <c r="AA4712" s="32"/>
      <c r="AB4712" s="32"/>
    </row>
    <row r="4713" spans="2:28" ht="23.25" customHeight="1" x14ac:dyDescent="0.2">
      <c r="B4713" s="75"/>
      <c r="C4713" s="67"/>
      <c r="D4713" s="75"/>
      <c r="E4713" s="67"/>
      <c r="F4713" s="67"/>
      <c r="G4713" s="70"/>
      <c r="H4713" s="70"/>
      <c r="I4713" s="70"/>
      <c r="J4713" s="70"/>
      <c r="K4713" s="70"/>
      <c r="L4713" s="67"/>
      <c r="M4713" s="67"/>
      <c r="N4713" s="72"/>
      <c r="O4713" s="72"/>
      <c r="P4713" s="67"/>
      <c r="Q4713" s="67"/>
      <c r="R4713" s="67"/>
      <c r="S4713" s="67"/>
      <c r="T4713" s="32"/>
      <c r="U4713" s="32"/>
      <c r="X4713" s="32"/>
      <c r="Y4713" s="32"/>
      <c r="Z4713" s="32"/>
      <c r="AA4713" s="32"/>
      <c r="AB4713" s="32"/>
    </row>
    <row r="4714" spans="2:28" ht="23.25" customHeight="1" x14ac:dyDescent="0.2">
      <c r="B4714" s="75"/>
      <c r="C4714" s="67"/>
      <c r="D4714" s="75"/>
      <c r="E4714" s="67"/>
      <c r="F4714" s="67"/>
      <c r="G4714" s="70"/>
      <c r="H4714" s="70"/>
      <c r="I4714" s="70"/>
      <c r="J4714" s="70"/>
      <c r="K4714" s="70"/>
      <c r="L4714" s="67"/>
      <c r="M4714" s="67"/>
      <c r="N4714" s="72"/>
      <c r="O4714" s="72"/>
      <c r="P4714" s="67"/>
      <c r="Q4714" s="67"/>
      <c r="R4714" s="67"/>
      <c r="S4714" s="67"/>
      <c r="T4714" s="32"/>
      <c r="U4714" s="32"/>
      <c r="X4714" s="32"/>
      <c r="Y4714" s="32"/>
      <c r="Z4714" s="32"/>
      <c r="AA4714" s="32"/>
      <c r="AB4714" s="32"/>
    </row>
    <row r="4715" spans="2:28" ht="23.25" customHeight="1" x14ac:dyDescent="0.2">
      <c r="B4715" s="75"/>
      <c r="C4715" s="67"/>
      <c r="D4715" s="75"/>
      <c r="E4715" s="67"/>
      <c r="F4715" s="67"/>
      <c r="G4715" s="70"/>
      <c r="H4715" s="70"/>
      <c r="I4715" s="70"/>
      <c r="J4715" s="70"/>
      <c r="K4715" s="70"/>
      <c r="L4715" s="67"/>
      <c r="M4715" s="67"/>
      <c r="N4715" s="72"/>
      <c r="O4715" s="72"/>
      <c r="P4715" s="67"/>
      <c r="Q4715" s="67"/>
      <c r="R4715" s="67"/>
      <c r="S4715" s="67"/>
      <c r="T4715" s="32"/>
      <c r="U4715" s="32"/>
      <c r="X4715" s="32"/>
      <c r="Y4715" s="32"/>
      <c r="Z4715" s="32"/>
      <c r="AA4715" s="32"/>
      <c r="AB4715" s="32"/>
    </row>
    <row r="4716" spans="2:28" ht="23.25" customHeight="1" x14ac:dyDescent="0.2">
      <c r="B4716" s="75"/>
      <c r="C4716" s="67"/>
      <c r="D4716" s="75"/>
      <c r="E4716" s="67"/>
      <c r="F4716" s="67"/>
      <c r="G4716" s="70"/>
      <c r="H4716" s="70"/>
      <c r="I4716" s="70"/>
      <c r="J4716" s="70"/>
      <c r="K4716" s="70"/>
      <c r="L4716" s="67"/>
      <c r="M4716" s="67"/>
      <c r="N4716" s="72"/>
      <c r="O4716" s="72"/>
      <c r="P4716" s="67"/>
      <c r="Q4716" s="67"/>
      <c r="R4716" s="67"/>
      <c r="S4716" s="67"/>
      <c r="T4716" s="32"/>
      <c r="U4716" s="32"/>
      <c r="X4716" s="32"/>
      <c r="Y4716" s="32"/>
      <c r="Z4716" s="32"/>
      <c r="AA4716" s="32"/>
      <c r="AB4716" s="32"/>
    </row>
    <row r="4717" spans="2:28" ht="23.25" customHeight="1" x14ac:dyDescent="0.2">
      <c r="B4717" s="75"/>
      <c r="C4717" s="67"/>
      <c r="D4717" s="75"/>
      <c r="E4717" s="67"/>
      <c r="F4717" s="67"/>
      <c r="G4717" s="70"/>
      <c r="H4717" s="70"/>
      <c r="I4717" s="70"/>
      <c r="J4717" s="70"/>
      <c r="K4717" s="70"/>
      <c r="L4717" s="67"/>
      <c r="M4717" s="67"/>
      <c r="N4717" s="72"/>
      <c r="O4717" s="72"/>
      <c r="P4717" s="67"/>
      <c r="Q4717" s="67"/>
      <c r="R4717" s="67"/>
      <c r="S4717" s="67"/>
      <c r="T4717" s="32"/>
      <c r="U4717" s="32"/>
      <c r="X4717" s="32"/>
      <c r="Y4717" s="32"/>
      <c r="Z4717" s="32"/>
      <c r="AA4717" s="32"/>
      <c r="AB4717" s="32"/>
    </row>
    <row r="4718" spans="2:28" ht="23.25" customHeight="1" x14ac:dyDescent="0.2">
      <c r="B4718" s="75"/>
      <c r="C4718" s="67"/>
      <c r="D4718" s="75"/>
      <c r="E4718" s="67"/>
      <c r="F4718" s="67"/>
      <c r="G4718" s="70"/>
      <c r="H4718" s="70"/>
      <c r="I4718" s="70"/>
      <c r="J4718" s="70"/>
      <c r="K4718" s="70"/>
      <c r="L4718" s="67"/>
      <c r="M4718" s="67"/>
      <c r="N4718" s="72"/>
      <c r="O4718" s="72"/>
      <c r="P4718" s="67"/>
      <c r="Q4718" s="67"/>
      <c r="R4718" s="67"/>
      <c r="S4718" s="67"/>
      <c r="T4718" s="32"/>
      <c r="U4718" s="32"/>
      <c r="X4718" s="32"/>
      <c r="Y4718" s="32"/>
      <c r="Z4718" s="32"/>
      <c r="AA4718" s="32"/>
      <c r="AB4718" s="32"/>
    </row>
    <row r="4719" spans="2:28" ht="23.25" customHeight="1" x14ac:dyDescent="0.2">
      <c r="B4719" s="75"/>
      <c r="C4719" s="67"/>
      <c r="D4719" s="75"/>
      <c r="E4719" s="67"/>
      <c r="F4719" s="67"/>
      <c r="G4719" s="70"/>
      <c r="H4719" s="70"/>
      <c r="I4719" s="70"/>
      <c r="J4719" s="70"/>
      <c r="K4719" s="70"/>
      <c r="L4719" s="67"/>
      <c r="M4719" s="67"/>
      <c r="N4719" s="72"/>
      <c r="O4719" s="72"/>
      <c r="P4719" s="67"/>
      <c r="Q4719" s="67"/>
      <c r="R4719" s="67"/>
      <c r="S4719" s="67"/>
      <c r="T4719" s="32"/>
      <c r="U4719" s="32"/>
      <c r="X4719" s="32"/>
      <c r="Y4719" s="32"/>
      <c r="Z4719" s="32"/>
      <c r="AA4719" s="32"/>
      <c r="AB4719" s="32"/>
    </row>
    <row r="4720" spans="2:28" ht="23.25" customHeight="1" x14ac:dyDescent="0.2">
      <c r="B4720" s="75"/>
      <c r="C4720" s="67"/>
      <c r="D4720" s="75"/>
      <c r="E4720" s="67"/>
      <c r="F4720" s="67"/>
      <c r="G4720" s="70"/>
      <c r="H4720" s="70"/>
      <c r="I4720" s="70"/>
      <c r="J4720" s="70"/>
      <c r="K4720" s="70"/>
      <c r="L4720" s="67"/>
      <c r="M4720" s="67"/>
      <c r="N4720" s="72"/>
      <c r="O4720" s="72"/>
      <c r="P4720" s="67"/>
      <c r="Q4720" s="67"/>
      <c r="R4720" s="67"/>
      <c r="S4720" s="67"/>
      <c r="T4720" s="32"/>
      <c r="U4720" s="32"/>
      <c r="X4720" s="32"/>
      <c r="Y4720" s="32"/>
      <c r="Z4720" s="32"/>
      <c r="AA4720" s="32"/>
      <c r="AB4720" s="32"/>
    </row>
    <row r="4721" spans="2:28" ht="23.25" customHeight="1" x14ac:dyDescent="0.2">
      <c r="B4721" s="75"/>
      <c r="C4721" s="67"/>
      <c r="D4721" s="75"/>
      <c r="E4721" s="67"/>
      <c r="F4721" s="67"/>
      <c r="G4721" s="70"/>
      <c r="H4721" s="70"/>
      <c r="I4721" s="70"/>
      <c r="J4721" s="70"/>
      <c r="K4721" s="70"/>
      <c r="L4721" s="67"/>
      <c r="M4721" s="67"/>
      <c r="N4721" s="72"/>
      <c r="O4721" s="72"/>
      <c r="P4721" s="67"/>
      <c r="Q4721" s="67"/>
      <c r="R4721" s="67"/>
      <c r="S4721" s="67"/>
      <c r="T4721" s="32"/>
      <c r="U4721" s="32"/>
      <c r="X4721" s="32"/>
      <c r="Y4721" s="32"/>
      <c r="Z4721" s="32"/>
      <c r="AA4721" s="32"/>
      <c r="AB4721" s="32"/>
    </row>
    <row r="4722" spans="2:28" ht="23.25" customHeight="1" x14ac:dyDescent="0.2">
      <c r="B4722" s="75"/>
      <c r="C4722" s="67"/>
      <c r="D4722" s="75"/>
      <c r="E4722" s="67"/>
      <c r="F4722" s="67"/>
      <c r="G4722" s="70"/>
      <c r="H4722" s="70"/>
      <c r="I4722" s="70"/>
      <c r="J4722" s="70"/>
      <c r="K4722" s="70"/>
      <c r="L4722" s="67"/>
      <c r="M4722" s="67"/>
      <c r="N4722" s="72"/>
      <c r="O4722" s="72"/>
      <c r="P4722" s="67"/>
      <c r="Q4722" s="67"/>
      <c r="R4722" s="67"/>
      <c r="S4722" s="67"/>
      <c r="T4722" s="32"/>
      <c r="U4722" s="32"/>
      <c r="X4722" s="32"/>
      <c r="Y4722" s="32"/>
      <c r="Z4722" s="32"/>
      <c r="AA4722" s="32"/>
      <c r="AB4722" s="32"/>
    </row>
    <row r="4723" spans="2:28" ht="23.25" customHeight="1" x14ac:dyDescent="0.2">
      <c r="B4723" s="75"/>
      <c r="C4723" s="67"/>
      <c r="D4723" s="75"/>
      <c r="E4723" s="67"/>
      <c r="F4723" s="67"/>
      <c r="G4723" s="70"/>
      <c r="H4723" s="70"/>
      <c r="I4723" s="70"/>
      <c r="J4723" s="70"/>
      <c r="K4723" s="70"/>
      <c r="L4723" s="67"/>
      <c r="M4723" s="67"/>
      <c r="N4723" s="72"/>
      <c r="O4723" s="72"/>
      <c r="P4723" s="67"/>
      <c r="Q4723" s="67"/>
      <c r="R4723" s="67"/>
      <c r="S4723" s="67"/>
      <c r="T4723" s="32"/>
      <c r="U4723" s="32"/>
      <c r="X4723" s="32"/>
      <c r="Y4723" s="32"/>
      <c r="Z4723" s="32"/>
      <c r="AA4723" s="32"/>
      <c r="AB4723" s="32"/>
    </row>
    <row r="4724" spans="2:28" ht="23.25" customHeight="1" x14ac:dyDescent="0.2">
      <c r="B4724" s="75"/>
      <c r="C4724" s="67"/>
      <c r="D4724" s="75"/>
      <c r="E4724" s="67"/>
      <c r="F4724" s="67"/>
      <c r="G4724" s="70"/>
      <c r="H4724" s="70"/>
      <c r="I4724" s="70"/>
      <c r="J4724" s="70"/>
      <c r="K4724" s="70"/>
      <c r="L4724" s="67"/>
      <c r="M4724" s="67"/>
      <c r="N4724" s="72"/>
      <c r="O4724" s="72"/>
      <c r="P4724" s="67"/>
      <c r="Q4724" s="67"/>
      <c r="R4724" s="67"/>
      <c r="S4724" s="67"/>
      <c r="T4724" s="32"/>
      <c r="U4724" s="32"/>
      <c r="X4724" s="32"/>
      <c r="Y4724" s="32"/>
      <c r="Z4724" s="32"/>
      <c r="AA4724" s="32"/>
      <c r="AB4724" s="32"/>
    </row>
    <row r="4725" spans="2:28" ht="23.25" customHeight="1" x14ac:dyDescent="0.2">
      <c r="B4725" s="75"/>
      <c r="C4725" s="67"/>
      <c r="D4725" s="75"/>
      <c r="E4725" s="67"/>
      <c r="F4725" s="67"/>
      <c r="G4725" s="70"/>
      <c r="H4725" s="70"/>
      <c r="I4725" s="70"/>
      <c r="J4725" s="70"/>
      <c r="K4725" s="70"/>
      <c r="L4725" s="67"/>
      <c r="M4725" s="67"/>
      <c r="N4725" s="72"/>
      <c r="O4725" s="72"/>
      <c r="P4725" s="67"/>
      <c r="Q4725" s="67"/>
      <c r="R4725" s="67"/>
      <c r="S4725" s="67"/>
      <c r="T4725" s="32"/>
      <c r="U4725" s="32"/>
      <c r="X4725" s="32"/>
      <c r="Y4725" s="32"/>
      <c r="Z4725" s="32"/>
      <c r="AA4725" s="32"/>
      <c r="AB4725" s="32"/>
    </row>
    <row r="4726" spans="2:28" ht="23.25" customHeight="1" x14ac:dyDescent="0.2">
      <c r="B4726" s="75"/>
      <c r="C4726" s="67"/>
      <c r="D4726" s="75"/>
      <c r="E4726" s="67"/>
      <c r="F4726" s="67"/>
      <c r="G4726" s="70"/>
      <c r="H4726" s="70"/>
      <c r="I4726" s="70"/>
      <c r="J4726" s="70"/>
      <c r="K4726" s="70"/>
      <c r="L4726" s="67"/>
      <c r="M4726" s="67"/>
      <c r="N4726" s="72"/>
      <c r="O4726" s="72"/>
      <c r="P4726" s="67"/>
      <c r="Q4726" s="67"/>
      <c r="R4726" s="67"/>
      <c r="S4726" s="67"/>
      <c r="T4726" s="32"/>
      <c r="U4726" s="32"/>
      <c r="X4726" s="32"/>
      <c r="Y4726" s="32"/>
      <c r="Z4726" s="32"/>
      <c r="AA4726" s="32"/>
      <c r="AB4726" s="32"/>
    </row>
    <row r="4727" spans="2:28" ht="23.25" customHeight="1" x14ac:dyDescent="0.2">
      <c r="B4727" s="75"/>
      <c r="C4727" s="67"/>
      <c r="D4727" s="75"/>
      <c r="E4727" s="67"/>
      <c r="F4727" s="67"/>
      <c r="G4727" s="70"/>
      <c r="H4727" s="70"/>
      <c r="I4727" s="70"/>
      <c r="J4727" s="70"/>
      <c r="K4727" s="70"/>
      <c r="L4727" s="67"/>
      <c r="M4727" s="67"/>
      <c r="N4727" s="72"/>
      <c r="O4727" s="72"/>
      <c r="P4727" s="67"/>
      <c r="Q4727" s="67"/>
      <c r="R4727" s="67"/>
      <c r="S4727" s="67"/>
      <c r="T4727" s="32"/>
      <c r="U4727" s="32"/>
      <c r="X4727" s="32"/>
      <c r="Y4727" s="32"/>
      <c r="Z4727" s="32"/>
      <c r="AA4727" s="32"/>
      <c r="AB4727" s="32"/>
    </row>
    <row r="4728" spans="2:28" ht="23.25" customHeight="1" x14ac:dyDescent="0.2">
      <c r="B4728" s="75"/>
      <c r="C4728" s="67"/>
      <c r="D4728" s="75"/>
      <c r="E4728" s="67"/>
      <c r="F4728" s="67"/>
      <c r="G4728" s="70"/>
      <c r="H4728" s="70"/>
      <c r="I4728" s="70"/>
      <c r="J4728" s="70"/>
      <c r="K4728" s="70"/>
      <c r="L4728" s="67"/>
      <c r="M4728" s="67"/>
      <c r="N4728" s="72"/>
      <c r="O4728" s="72"/>
      <c r="P4728" s="67"/>
      <c r="Q4728" s="67"/>
      <c r="R4728" s="67"/>
      <c r="S4728" s="67"/>
      <c r="T4728" s="32"/>
      <c r="U4728" s="32"/>
      <c r="X4728" s="32"/>
      <c r="Y4728" s="32"/>
      <c r="Z4728" s="32"/>
      <c r="AA4728" s="32"/>
      <c r="AB4728" s="32"/>
    </row>
    <row r="4729" spans="2:28" ht="23.25" customHeight="1" x14ac:dyDescent="0.2">
      <c r="B4729" s="75"/>
      <c r="C4729" s="67"/>
      <c r="D4729" s="75"/>
      <c r="E4729" s="67"/>
      <c r="F4729" s="67"/>
      <c r="G4729" s="70"/>
      <c r="H4729" s="70"/>
      <c r="I4729" s="70"/>
      <c r="J4729" s="70"/>
      <c r="K4729" s="70"/>
      <c r="L4729" s="67"/>
      <c r="M4729" s="67"/>
      <c r="N4729" s="72"/>
      <c r="O4729" s="72"/>
      <c r="P4729" s="67"/>
      <c r="Q4729" s="67"/>
      <c r="R4729" s="67"/>
      <c r="S4729" s="67"/>
      <c r="T4729" s="32"/>
      <c r="U4729" s="32"/>
      <c r="X4729" s="32"/>
      <c r="Y4729" s="32"/>
      <c r="Z4729" s="32"/>
      <c r="AA4729" s="32"/>
      <c r="AB4729" s="32"/>
    </row>
    <row r="4730" spans="2:28" ht="23.25" customHeight="1" x14ac:dyDescent="0.2">
      <c r="B4730" s="75"/>
      <c r="C4730" s="67"/>
      <c r="D4730" s="75"/>
      <c r="E4730" s="67"/>
      <c r="F4730" s="67"/>
      <c r="G4730" s="70"/>
      <c r="H4730" s="70"/>
      <c r="I4730" s="70"/>
      <c r="J4730" s="70"/>
      <c r="K4730" s="70"/>
      <c r="L4730" s="67"/>
      <c r="M4730" s="67"/>
      <c r="N4730" s="72"/>
      <c r="O4730" s="72"/>
      <c r="P4730" s="67"/>
      <c r="Q4730" s="67"/>
      <c r="R4730" s="67"/>
      <c r="S4730" s="67"/>
      <c r="T4730" s="32"/>
      <c r="U4730" s="32"/>
      <c r="X4730" s="32"/>
      <c r="Y4730" s="32"/>
      <c r="Z4730" s="32"/>
      <c r="AA4730" s="32"/>
      <c r="AB4730" s="32"/>
    </row>
    <row r="4731" spans="2:28" ht="23.25" customHeight="1" x14ac:dyDescent="0.2">
      <c r="B4731" s="75"/>
      <c r="C4731" s="67"/>
      <c r="D4731" s="75"/>
      <c r="E4731" s="67"/>
      <c r="F4731" s="67"/>
      <c r="G4731" s="70"/>
      <c r="H4731" s="70"/>
      <c r="I4731" s="70"/>
      <c r="J4731" s="70"/>
      <c r="K4731" s="70"/>
      <c r="L4731" s="67"/>
      <c r="M4731" s="67"/>
      <c r="N4731" s="72"/>
      <c r="O4731" s="72"/>
      <c r="P4731" s="67"/>
      <c r="Q4731" s="67"/>
      <c r="R4731" s="67"/>
      <c r="S4731" s="67"/>
      <c r="T4731" s="32"/>
      <c r="U4731" s="32"/>
      <c r="X4731" s="32"/>
      <c r="Y4731" s="32"/>
      <c r="Z4731" s="32"/>
      <c r="AA4731" s="32"/>
      <c r="AB4731" s="32"/>
    </row>
    <row r="4732" spans="2:28" ht="23.25" customHeight="1" x14ac:dyDescent="0.2">
      <c r="B4732" s="75"/>
      <c r="C4732" s="67"/>
      <c r="D4732" s="75"/>
      <c r="E4732" s="67"/>
      <c r="F4732" s="67"/>
      <c r="G4732" s="70"/>
      <c r="H4732" s="70"/>
      <c r="I4732" s="70"/>
      <c r="J4732" s="70"/>
      <c r="K4732" s="70"/>
      <c r="L4732" s="67"/>
      <c r="M4732" s="67"/>
      <c r="N4732" s="72"/>
      <c r="O4732" s="72"/>
      <c r="P4732" s="67"/>
      <c r="Q4732" s="67"/>
      <c r="R4732" s="67"/>
      <c r="S4732" s="67"/>
      <c r="T4732" s="32"/>
      <c r="U4732" s="32"/>
      <c r="X4732" s="32"/>
      <c r="Y4732" s="32"/>
      <c r="Z4732" s="32"/>
      <c r="AA4732" s="32"/>
      <c r="AB4732" s="32"/>
    </row>
    <row r="4733" spans="2:28" ht="23.25" customHeight="1" x14ac:dyDescent="0.2">
      <c r="B4733" s="75"/>
      <c r="C4733" s="67"/>
      <c r="D4733" s="75"/>
      <c r="E4733" s="67"/>
      <c r="F4733" s="67"/>
      <c r="G4733" s="70"/>
      <c r="H4733" s="70"/>
      <c r="I4733" s="70"/>
      <c r="J4733" s="70"/>
      <c r="K4733" s="70"/>
      <c r="L4733" s="67"/>
      <c r="M4733" s="67"/>
      <c r="N4733" s="72"/>
      <c r="O4733" s="72"/>
      <c r="P4733" s="67"/>
      <c r="Q4733" s="67"/>
      <c r="R4733" s="67"/>
      <c r="S4733" s="67"/>
      <c r="T4733" s="32"/>
      <c r="U4733" s="32"/>
      <c r="X4733" s="32"/>
      <c r="Y4733" s="32"/>
      <c r="Z4733" s="32"/>
      <c r="AA4733" s="32"/>
      <c r="AB4733" s="32"/>
    </row>
    <row r="4734" spans="2:28" ht="23.25" customHeight="1" x14ac:dyDescent="0.2">
      <c r="B4734" s="75"/>
      <c r="C4734" s="67"/>
      <c r="D4734" s="75"/>
      <c r="E4734" s="67"/>
      <c r="F4734" s="67"/>
      <c r="G4734" s="70"/>
      <c r="H4734" s="70"/>
      <c r="I4734" s="70"/>
      <c r="J4734" s="70"/>
      <c r="K4734" s="70"/>
      <c r="L4734" s="67"/>
      <c r="M4734" s="67"/>
      <c r="N4734" s="72"/>
      <c r="O4734" s="72"/>
      <c r="P4734" s="67"/>
      <c r="Q4734" s="67"/>
      <c r="R4734" s="67"/>
      <c r="S4734" s="67"/>
      <c r="T4734" s="32"/>
      <c r="U4734" s="32"/>
      <c r="X4734" s="32"/>
      <c r="Y4734" s="32"/>
      <c r="Z4734" s="32"/>
      <c r="AA4734" s="32"/>
      <c r="AB4734" s="32"/>
    </row>
    <row r="4735" spans="2:28" ht="23.25" customHeight="1" x14ac:dyDescent="0.2">
      <c r="B4735" s="75"/>
      <c r="C4735" s="67"/>
      <c r="D4735" s="75"/>
      <c r="E4735" s="67"/>
      <c r="F4735" s="67"/>
      <c r="G4735" s="70"/>
      <c r="H4735" s="70"/>
      <c r="I4735" s="70"/>
      <c r="J4735" s="70"/>
      <c r="K4735" s="70"/>
      <c r="L4735" s="67"/>
      <c r="M4735" s="67"/>
      <c r="N4735" s="72"/>
      <c r="O4735" s="72"/>
      <c r="P4735" s="67"/>
      <c r="Q4735" s="67"/>
      <c r="R4735" s="67"/>
      <c r="S4735" s="67"/>
      <c r="T4735" s="32"/>
      <c r="U4735" s="32"/>
      <c r="X4735" s="32"/>
      <c r="Y4735" s="32"/>
      <c r="Z4735" s="32"/>
      <c r="AA4735" s="32"/>
      <c r="AB4735" s="32"/>
    </row>
    <row r="4736" spans="2:28" ht="23.25" customHeight="1" x14ac:dyDescent="0.2">
      <c r="B4736" s="75"/>
      <c r="C4736" s="67"/>
      <c r="D4736" s="75"/>
      <c r="E4736" s="67"/>
      <c r="F4736" s="67"/>
      <c r="G4736" s="70"/>
      <c r="H4736" s="70"/>
      <c r="I4736" s="70"/>
      <c r="J4736" s="70"/>
      <c r="K4736" s="70"/>
      <c r="L4736" s="67"/>
      <c r="M4736" s="67"/>
      <c r="N4736" s="72"/>
      <c r="O4736" s="72"/>
      <c r="P4736" s="67"/>
      <c r="Q4736" s="67"/>
      <c r="R4736" s="67"/>
      <c r="S4736" s="67"/>
      <c r="T4736" s="32"/>
      <c r="U4736" s="32"/>
      <c r="X4736" s="32"/>
      <c r="Y4736" s="32"/>
      <c r="Z4736" s="32"/>
      <c r="AA4736" s="32"/>
      <c r="AB4736" s="32"/>
    </row>
    <row r="4737" spans="2:28" ht="23.25" customHeight="1" x14ac:dyDescent="0.2">
      <c r="B4737" s="75"/>
      <c r="C4737" s="67"/>
      <c r="D4737" s="75"/>
      <c r="E4737" s="67"/>
      <c r="F4737" s="67"/>
      <c r="G4737" s="70"/>
      <c r="H4737" s="70"/>
      <c r="I4737" s="70"/>
      <c r="J4737" s="70"/>
      <c r="K4737" s="70"/>
      <c r="L4737" s="67"/>
      <c r="M4737" s="67"/>
      <c r="N4737" s="72"/>
      <c r="O4737" s="72"/>
      <c r="P4737" s="67"/>
      <c r="Q4737" s="67"/>
      <c r="R4737" s="67"/>
      <c r="S4737" s="67"/>
      <c r="T4737" s="32"/>
      <c r="U4737" s="32"/>
      <c r="X4737" s="32"/>
      <c r="Y4737" s="32"/>
      <c r="Z4737" s="32"/>
      <c r="AA4737" s="32"/>
      <c r="AB4737" s="32"/>
    </row>
    <row r="4738" spans="2:28" ht="23.25" customHeight="1" x14ac:dyDescent="0.2">
      <c r="B4738" s="75"/>
      <c r="C4738" s="67"/>
      <c r="D4738" s="75"/>
      <c r="E4738" s="67"/>
      <c r="F4738" s="67"/>
      <c r="G4738" s="70"/>
      <c r="H4738" s="70"/>
      <c r="I4738" s="70"/>
      <c r="J4738" s="70"/>
      <c r="K4738" s="70"/>
      <c r="L4738" s="67"/>
      <c r="M4738" s="67"/>
      <c r="N4738" s="72"/>
      <c r="O4738" s="72"/>
      <c r="P4738" s="67"/>
      <c r="Q4738" s="67"/>
      <c r="R4738" s="67"/>
      <c r="S4738" s="67"/>
      <c r="T4738" s="32"/>
      <c r="U4738" s="32"/>
      <c r="X4738" s="32"/>
      <c r="Y4738" s="32"/>
      <c r="Z4738" s="32"/>
      <c r="AA4738" s="32"/>
      <c r="AB4738" s="32"/>
    </row>
    <row r="4739" spans="2:28" ht="23.25" customHeight="1" x14ac:dyDescent="0.2">
      <c r="B4739" s="75"/>
      <c r="C4739" s="67"/>
      <c r="D4739" s="75"/>
      <c r="E4739" s="67"/>
      <c r="F4739" s="67"/>
      <c r="G4739" s="70"/>
      <c r="H4739" s="70"/>
      <c r="I4739" s="70"/>
      <c r="J4739" s="70"/>
      <c r="K4739" s="70"/>
      <c r="L4739" s="67"/>
      <c r="M4739" s="67"/>
      <c r="N4739" s="72"/>
      <c r="O4739" s="72"/>
      <c r="P4739" s="67"/>
      <c r="Q4739" s="67"/>
      <c r="R4739" s="67"/>
      <c r="S4739" s="67"/>
      <c r="T4739" s="32"/>
      <c r="U4739" s="32"/>
      <c r="X4739" s="32"/>
      <c r="Y4739" s="32"/>
      <c r="Z4739" s="32"/>
      <c r="AA4739" s="32"/>
      <c r="AB4739" s="32"/>
    </row>
    <row r="4740" spans="2:28" ht="23.25" customHeight="1" x14ac:dyDescent="0.2">
      <c r="B4740" s="75"/>
      <c r="C4740" s="67"/>
      <c r="D4740" s="75"/>
      <c r="E4740" s="67"/>
      <c r="F4740" s="67"/>
      <c r="G4740" s="70"/>
      <c r="H4740" s="70"/>
      <c r="I4740" s="70"/>
      <c r="J4740" s="70"/>
      <c r="K4740" s="70"/>
      <c r="L4740" s="67"/>
      <c r="M4740" s="67"/>
      <c r="N4740" s="72"/>
      <c r="O4740" s="72"/>
      <c r="P4740" s="67"/>
      <c r="Q4740" s="67"/>
      <c r="R4740" s="67"/>
      <c r="S4740" s="67"/>
      <c r="T4740" s="32"/>
      <c r="U4740" s="32"/>
      <c r="X4740" s="32"/>
      <c r="Y4740" s="32"/>
      <c r="Z4740" s="32"/>
      <c r="AA4740" s="32"/>
      <c r="AB4740" s="32"/>
    </row>
    <row r="4741" spans="2:28" ht="23.25" customHeight="1" x14ac:dyDescent="0.2">
      <c r="B4741" s="75"/>
      <c r="C4741" s="67"/>
      <c r="D4741" s="75"/>
      <c r="E4741" s="67"/>
      <c r="F4741" s="67"/>
      <c r="G4741" s="70"/>
      <c r="H4741" s="70"/>
      <c r="I4741" s="70"/>
      <c r="J4741" s="70"/>
      <c r="K4741" s="70"/>
      <c r="L4741" s="67"/>
      <c r="M4741" s="67"/>
      <c r="N4741" s="72"/>
      <c r="O4741" s="72"/>
      <c r="P4741" s="67"/>
      <c r="Q4741" s="67"/>
      <c r="R4741" s="67"/>
      <c r="S4741" s="67"/>
      <c r="T4741" s="32"/>
      <c r="U4741" s="32"/>
      <c r="X4741" s="32"/>
      <c r="Y4741" s="32"/>
      <c r="Z4741" s="32"/>
      <c r="AA4741" s="32"/>
      <c r="AB4741" s="32"/>
    </row>
    <row r="4742" spans="2:28" ht="23.25" customHeight="1" x14ac:dyDescent="0.2">
      <c r="B4742" s="75"/>
      <c r="C4742" s="67"/>
      <c r="D4742" s="75"/>
      <c r="E4742" s="67"/>
      <c r="F4742" s="67"/>
      <c r="G4742" s="70"/>
      <c r="H4742" s="70"/>
      <c r="I4742" s="70"/>
      <c r="J4742" s="70"/>
      <c r="K4742" s="70"/>
      <c r="L4742" s="67"/>
      <c r="M4742" s="67"/>
      <c r="N4742" s="72"/>
      <c r="O4742" s="72"/>
      <c r="P4742" s="67"/>
      <c r="Q4742" s="67"/>
      <c r="R4742" s="67"/>
      <c r="S4742" s="67"/>
      <c r="T4742" s="32"/>
      <c r="U4742" s="32"/>
      <c r="X4742" s="32"/>
      <c r="Y4742" s="32"/>
      <c r="Z4742" s="32"/>
      <c r="AA4742" s="32"/>
      <c r="AB4742" s="32"/>
    </row>
    <row r="4743" spans="2:28" ht="23.25" customHeight="1" x14ac:dyDescent="0.2">
      <c r="B4743" s="75"/>
      <c r="C4743" s="67"/>
      <c r="D4743" s="75"/>
      <c r="E4743" s="67"/>
      <c r="F4743" s="67"/>
      <c r="G4743" s="70"/>
      <c r="H4743" s="70"/>
      <c r="I4743" s="70"/>
      <c r="J4743" s="70"/>
      <c r="K4743" s="70"/>
      <c r="L4743" s="67"/>
      <c r="M4743" s="67"/>
      <c r="N4743" s="72"/>
      <c r="O4743" s="72"/>
      <c r="P4743" s="67"/>
      <c r="Q4743" s="67"/>
      <c r="R4743" s="67"/>
      <c r="S4743" s="67"/>
      <c r="T4743" s="32"/>
      <c r="U4743" s="32"/>
      <c r="X4743" s="32"/>
      <c r="Y4743" s="32"/>
      <c r="Z4743" s="32"/>
      <c r="AA4743" s="32"/>
      <c r="AB4743" s="32"/>
    </row>
    <row r="4744" spans="2:28" ht="23.25" customHeight="1" x14ac:dyDescent="0.2">
      <c r="B4744" s="75"/>
      <c r="C4744" s="67"/>
      <c r="D4744" s="75"/>
      <c r="E4744" s="67"/>
      <c r="F4744" s="67"/>
      <c r="G4744" s="70"/>
      <c r="H4744" s="70"/>
      <c r="I4744" s="70"/>
      <c r="J4744" s="70"/>
      <c r="K4744" s="70"/>
      <c r="L4744" s="67"/>
      <c r="M4744" s="67"/>
      <c r="N4744" s="72"/>
      <c r="O4744" s="72"/>
      <c r="P4744" s="67"/>
      <c r="Q4744" s="67"/>
      <c r="R4744" s="67"/>
      <c r="S4744" s="67"/>
      <c r="T4744" s="32"/>
      <c r="U4744" s="32"/>
      <c r="X4744" s="32"/>
      <c r="Y4744" s="32"/>
      <c r="Z4744" s="32"/>
      <c r="AA4744" s="32"/>
      <c r="AB4744" s="32"/>
    </row>
    <row r="4745" spans="2:28" ht="23.25" customHeight="1" x14ac:dyDescent="0.2">
      <c r="B4745" s="75"/>
      <c r="C4745" s="67"/>
      <c r="D4745" s="75"/>
      <c r="E4745" s="67"/>
      <c r="F4745" s="67"/>
      <c r="G4745" s="70"/>
      <c r="H4745" s="70"/>
      <c r="I4745" s="70"/>
      <c r="J4745" s="70"/>
      <c r="K4745" s="70"/>
      <c r="L4745" s="67"/>
      <c r="M4745" s="67"/>
      <c r="N4745" s="72"/>
      <c r="O4745" s="72"/>
      <c r="P4745" s="67"/>
      <c r="Q4745" s="67"/>
      <c r="R4745" s="67"/>
      <c r="S4745" s="67"/>
      <c r="T4745" s="32"/>
      <c r="U4745" s="32"/>
      <c r="X4745" s="32"/>
      <c r="Y4745" s="32"/>
      <c r="Z4745" s="32"/>
      <c r="AA4745" s="32"/>
      <c r="AB4745" s="32"/>
    </row>
    <row r="4746" spans="2:28" ht="23.25" customHeight="1" x14ac:dyDescent="0.2">
      <c r="B4746" s="75"/>
      <c r="C4746" s="67"/>
      <c r="D4746" s="75"/>
      <c r="E4746" s="67"/>
      <c r="F4746" s="67"/>
      <c r="G4746" s="70"/>
      <c r="H4746" s="70"/>
      <c r="I4746" s="70"/>
      <c r="J4746" s="70"/>
      <c r="K4746" s="70"/>
      <c r="L4746" s="67"/>
      <c r="M4746" s="67"/>
      <c r="N4746" s="72"/>
      <c r="O4746" s="72"/>
      <c r="P4746" s="67"/>
      <c r="Q4746" s="67"/>
      <c r="R4746" s="67"/>
      <c r="S4746" s="67"/>
      <c r="T4746" s="32"/>
      <c r="U4746" s="32"/>
      <c r="X4746" s="32"/>
      <c r="Y4746" s="32"/>
      <c r="Z4746" s="32"/>
      <c r="AA4746" s="32"/>
      <c r="AB4746" s="32"/>
    </row>
    <row r="4747" spans="2:28" ht="23.25" customHeight="1" x14ac:dyDescent="0.2">
      <c r="B4747" s="75"/>
      <c r="C4747" s="67"/>
      <c r="D4747" s="75"/>
      <c r="E4747" s="67"/>
      <c r="F4747" s="67"/>
      <c r="G4747" s="70"/>
      <c r="H4747" s="70"/>
      <c r="I4747" s="70"/>
      <c r="J4747" s="70"/>
      <c r="K4747" s="70"/>
      <c r="L4747" s="67"/>
      <c r="M4747" s="67"/>
      <c r="N4747" s="72"/>
      <c r="O4747" s="72"/>
      <c r="P4747" s="67"/>
      <c r="Q4747" s="67"/>
      <c r="R4747" s="67"/>
      <c r="S4747" s="67"/>
      <c r="T4747" s="32"/>
      <c r="U4747" s="32"/>
      <c r="X4747" s="32"/>
      <c r="Y4747" s="32"/>
      <c r="Z4747" s="32"/>
      <c r="AA4747" s="32"/>
      <c r="AB4747" s="32"/>
    </row>
    <row r="4748" spans="2:28" ht="23.25" customHeight="1" x14ac:dyDescent="0.2">
      <c r="B4748" s="75"/>
      <c r="C4748" s="67"/>
      <c r="D4748" s="75"/>
      <c r="E4748" s="67"/>
      <c r="F4748" s="67"/>
      <c r="G4748" s="70"/>
      <c r="H4748" s="70"/>
      <c r="I4748" s="70"/>
      <c r="J4748" s="70"/>
      <c r="K4748" s="70"/>
      <c r="L4748" s="67"/>
      <c r="M4748" s="67"/>
      <c r="N4748" s="72"/>
      <c r="O4748" s="72"/>
      <c r="P4748" s="67"/>
      <c r="Q4748" s="67"/>
      <c r="R4748" s="67"/>
      <c r="S4748" s="67"/>
      <c r="T4748" s="32"/>
      <c r="U4748" s="32"/>
      <c r="X4748" s="32"/>
      <c r="Y4748" s="32"/>
      <c r="Z4748" s="32"/>
      <c r="AA4748" s="32"/>
      <c r="AB4748" s="32"/>
    </row>
    <row r="4749" spans="2:28" ht="23.25" customHeight="1" x14ac:dyDescent="0.2">
      <c r="B4749" s="75"/>
      <c r="C4749" s="67"/>
      <c r="D4749" s="75"/>
      <c r="E4749" s="67"/>
      <c r="F4749" s="67"/>
      <c r="G4749" s="70"/>
      <c r="H4749" s="70"/>
      <c r="I4749" s="70"/>
      <c r="J4749" s="70"/>
      <c r="K4749" s="70"/>
      <c r="L4749" s="67"/>
      <c r="M4749" s="67"/>
      <c r="N4749" s="72"/>
      <c r="O4749" s="72"/>
      <c r="P4749" s="67"/>
      <c r="Q4749" s="67"/>
      <c r="R4749" s="67"/>
      <c r="S4749" s="67"/>
      <c r="T4749" s="32"/>
      <c r="U4749" s="32"/>
      <c r="X4749" s="32"/>
      <c r="Y4749" s="32"/>
      <c r="Z4749" s="32"/>
      <c r="AA4749" s="32"/>
      <c r="AB4749" s="32"/>
    </row>
    <row r="4750" spans="2:28" ht="23.25" customHeight="1" x14ac:dyDescent="0.2">
      <c r="B4750" s="75"/>
      <c r="C4750" s="67"/>
      <c r="D4750" s="75"/>
      <c r="E4750" s="67"/>
      <c r="F4750" s="67"/>
      <c r="G4750" s="70"/>
      <c r="H4750" s="70"/>
      <c r="I4750" s="70"/>
      <c r="J4750" s="70"/>
      <c r="K4750" s="70"/>
      <c r="L4750" s="67"/>
      <c r="M4750" s="67"/>
      <c r="N4750" s="72"/>
      <c r="O4750" s="72"/>
      <c r="P4750" s="67"/>
      <c r="Q4750" s="67"/>
      <c r="R4750" s="67"/>
      <c r="S4750" s="67"/>
      <c r="T4750" s="32"/>
      <c r="U4750" s="32"/>
      <c r="X4750" s="32"/>
      <c r="Y4750" s="32"/>
      <c r="Z4750" s="32"/>
      <c r="AA4750" s="32"/>
      <c r="AB4750" s="32"/>
    </row>
    <row r="4751" spans="2:28" ht="23.25" customHeight="1" x14ac:dyDescent="0.2">
      <c r="B4751" s="75"/>
      <c r="C4751" s="67"/>
      <c r="D4751" s="75"/>
      <c r="E4751" s="67"/>
      <c r="F4751" s="67"/>
      <c r="G4751" s="70"/>
      <c r="H4751" s="70"/>
      <c r="I4751" s="70"/>
      <c r="J4751" s="70"/>
      <c r="K4751" s="70"/>
      <c r="L4751" s="67"/>
      <c r="M4751" s="67"/>
      <c r="N4751" s="72"/>
      <c r="O4751" s="72"/>
      <c r="P4751" s="67"/>
      <c r="Q4751" s="67"/>
      <c r="R4751" s="67"/>
      <c r="S4751" s="67"/>
      <c r="T4751" s="32"/>
      <c r="U4751" s="32"/>
      <c r="X4751" s="32"/>
      <c r="Y4751" s="32"/>
      <c r="Z4751" s="32"/>
      <c r="AA4751" s="32"/>
      <c r="AB4751" s="32"/>
    </row>
    <row r="4752" spans="2:28" ht="23.25" customHeight="1" x14ac:dyDescent="0.2">
      <c r="B4752" s="75"/>
      <c r="C4752" s="67"/>
      <c r="D4752" s="75"/>
      <c r="E4752" s="67"/>
      <c r="F4752" s="67"/>
      <c r="G4752" s="70"/>
      <c r="H4752" s="70"/>
      <c r="I4752" s="70"/>
      <c r="J4752" s="70"/>
      <c r="K4752" s="70"/>
      <c r="L4752" s="67"/>
      <c r="M4752" s="67"/>
      <c r="N4752" s="72"/>
      <c r="O4752" s="72"/>
      <c r="P4752" s="67"/>
      <c r="Q4752" s="67"/>
      <c r="R4752" s="67"/>
      <c r="S4752" s="67"/>
      <c r="T4752" s="32"/>
      <c r="U4752" s="32"/>
      <c r="X4752" s="32"/>
      <c r="Y4752" s="32"/>
      <c r="Z4752" s="32"/>
      <c r="AA4752" s="32"/>
      <c r="AB4752" s="32"/>
    </row>
    <row r="4753" spans="2:28" ht="23.25" customHeight="1" x14ac:dyDescent="0.2">
      <c r="B4753" s="75"/>
      <c r="C4753" s="67"/>
      <c r="D4753" s="75"/>
      <c r="E4753" s="67"/>
      <c r="F4753" s="67"/>
      <c r="G4753" s="70"/>
      <c r="H4753" s="70"/>
      <c r="I4753" s="70"/>
      <c r="J4753" s="70"/>
      <c r="K4753" s="70"/>
      <c r="L4753" s="67"/>
      <c r="M4753" s="67"/>
      <c r="N4753" s="72"/>
      <c r="O4753" s="72"/>
      <c r="P4753" s="67"/>
      <c r="Q4753" s="67"/>
      <c r="R4753" s="67"/>
      <c r="S4753" s="67"/>
      <c r="T4753" s="32"/>
      <c r="U4753" s="32"/>
      <c r="X4753" s="32"/>
      <c r="Y4753" s="32"/>
      <c r="Z4753" s="32"/>
      <c r="AA4753" s="32"/>
      <c r="AB4753" s="32"/>
    </row>
    <row r="4754" spans="2:28" ht="23.25" customHeight="1" x14ac:dyDescent="0.2">
      <c r="B4754" s="75"/>
      <c r="C4754" s="67"/>
      <c r="D4754" s="75"/>
      <c r="E4754" s="67"/>
      <c r="F4754" s="67"/>
      <c r="G4754" s="70"/>
      <c r="H4754" s="70"/>
      <c r="I4754" s="70"/>
      <c r="J4754" s="70"/>
      <c r="K4754" s="70"/>
      <c r="L4754" s="67"/>
      <c r="M4754" s="67"/>
      <c r="N4754" s="72"/>
      <c r="O4754" s="72"/>
      <c r="P4754" s="67"/>
      <c r="Q4754" s="67"/>
      <c r="R4754" s="67"/>
      <c r="S4754" s="67"/>
      <c r="T4754" s="32"/>
      <c r="U4754" s="32"/>
      <c r="X4754" s="32"/>
      <c r="Y4754" s="32"/>
      <c r="Z4754" s="32"/>
      <c r="AA4754" s="32"/>
      <c r="AB4754" s="32"/>
    </row>
    <row r="4755" spans="2:28" ht="23.25" customHeight="1" x14ac:dyDescent="0.2">
      <c r="B4755" s="75"/>
      <c r="C4755" s="67"/>
      <c r="D4755" s="75"/>
      <c r="E4755" s="67"/>
      <c r="F4755" s="67"/>
      <c r="G4755" s="70"/>
      <c r="H4755" s="70"/>
      <c r="I4755" s="70"/>
      <c r="J4755" s="70"/>
      <c r="K4755" s="70"/>
      <c r="L4755" s="67"/>
      <c r="M4755" s="67"/>
      <c r="N4755" s="72"/>
      <c r="O4755" s="72"/>
      <c r="P4755" s="67"/>
      <c r="Q4755" s="67"/>
      <c r="R4755" s="67"/>
      <c r="S4755" s="67"/>
      <c r="T4755" s="32"/>
      <c r="U4755" s="32"/>
      <c r="X4755" s="32"/>
      <c r="Y4755" s="32"/>
      <c r="Z4755" s="32"/>
      <c r="AA4755" s="32"/>
      <c r="AB4755" s="32"/>
    </row>
    <row r="4756" spans="2:28" ht="23.25" customHeight="1" x14ac:dyDescent="0.2">
      <c r="B4756" s="75"/>
      <c r="C4756" s="67"/>
      <c r="D4756" s="75"/>
      <c r="E4756" s="67"/>
      <c r="F4756" s="67"/>
      <c r="G4756" s="70"/>
      <c r="H4756" s="70"/>
      <c r="I4756" s="70"/>
      <c r="J4756" s="70"/>
      <c r="K4756" s="70"/>
      <c r="L4756" s="67"/>
      <c r="M4756" s="67"/>
      <c r="N4756" s="72"/>
      <c r="O4756" s="72"/>
      <c r="P4756" s="67"/>
      <c r="Q4756" s="67"/>
      <c r="R4756" s="67"/>
      <c r="S4756" s="67"/>
      <c r="T4756" s="32"/>
      <c r="U4756" s="32"/>
      <c r="X4756" s="32"/>
      <c r="Y4756" s="32"/>
      <c r="Z4756" s="32"/>
      <c r="AA4756" s="32"/>
      <c r="AB4756" s="32"/>
    </row>
    <row r="4757" spans="2:28" ht="23.25" customHeight="1" x14ac:dyDescent="0.2">
      <c r="B4757" s="75"/>
      <c r="C4757" s="67"/>
      <c r="D4757" s="75"/>
      <c r="E4757" s="67"/>
      <c r="F4757" s="67"/>
      <c r="G4757" s="70"/>
      <c r="H4757" s="70"/>
      <c r="I4757" s="70"/>
      <c r="J4757" s="70"/>
      <c r="K4757" s="70"/>
      <c r="L4757" s="67"/>
      <c r="M4757" s="67"/>
      <c r="N4757" s="72"/>
      <c r="O4757" s="72"/>
      <c r="P4757" s="67"/>
      <c r="Q4757" s="67"/>
      <c r="R4757" s="67"/>
      <c r="S4757" s="67"/>
      <c r="T4757" s="32"/>
      <c r="U4757" s="32"/>
      <c r="X4757" s="32"/>
      <c r="Y4757" s="32"/>
      <c r="Z4757" s="32"/>
      <c r="AA4757" s="32"/>
      <c r="AB4757" s="32"/>
    </row>
    <row r="4758" spans="2:28" ht="23.25" customHeight="1" x14ac:dyDescent="0.2">
      <c r="B4758" s="75"/>
      <c r="C4758" s="67"/>
      <c r="D4758" s="75"/>
      <c r="E4758" s="67"/>
      <c r="F4758" s="67"/>
      <c r="G4758" s="70"/>
      <c r="H4758" s="70"/>
      <c r="I4758" s="70"/>
      <c r="J4758" s="70"/>
      <c r="K4758" s="70"/>
      <c r="L4758" s="67"/>
      <c r="M4758" s="67"/>
      <c r="N4758" s="72"/>
      <c r="O4758" s="72"/>
      <c r="P4758" s="67"/>
      <c r="Q4758" s="67"/>
      <c r="R4758" s="67"/>
      <c r="S4758" s="67"/>
      <c r="T4758" s="32"/>
      <c r="U4758" s="32"/>
      <c r="X4758" s="32"/>
      <c r="Y4758" s="32"/>
      <c r="Z4758" s="32"/>
      <c r="AA4758" s="32"/>
      <c r="AB4758" s="32"/>
    </row>
    <row r="4759" spans="2:28" ht="23.25" customHeight="1" x14ac:dyDescent="0.2">
      <c r="B4759" s="75"/>
      <c r="C4759" s="67"/>
      <c r="D4759" s="75"/>
      <c r="E4759" s="67"/>
      <c r="F4759" s="67"/>
      <c r="G4759" s="70"/>
      <c r="H4759" s="70"/>
      <c r="I4759" s="70"/>
      <c r="J4759" s="70"/>
      <c r="K4759" s="70"/>
      <c r="L4759" s="67"/>
      <c r="M4759" s="67"/>
      <c r="N4759" s="72"/>
      <c r="O4759" s="72"/>
      <c r="P4759" s="67"/>
      <c r="Q4759" s="67"/>
      <c r="R4759" s="67"/>
      <c r="S4759" s="67"/>
      <c r="T4759" s="32"/>
      <c r="U4759" s="32"/>
      <c r="X4759" s="32"/>
      <c r="Y4759" s="32"/>
      <c r="Z4759" s="32"/>
      <c r="AA4759" s="32"/>
      <c r="AB4759" s="32"/>
    </row>
    <row r="4760" spans="2:28" ht="23.25" customHeight="1" x14ac:dyDescent="0.2">
      <c r="B4760" s="75"/>
      <c r="C4760" s="67"/>
      <c r="D4760" s="75"/>
      <c r="E4760" s="67"/>
      <c r="F4760" s="67"/>
      <c r="G4760" s="70"/>
      <c r="H4760" s="70"/>
      <c r="I4760" s="70"/>
      <c r="J4760" s="70"/>
      <c r="K4760" s="70"/>
      <c r="L4760" s="67"/>
      <c r="M4760" s="67"/>
      <c r="N4760" s="72"/>
      <c r="O4760" s="72"/>
      <c r="P4760" s="67"/>
      <c r="Q4760" s="67"/>
      <c r="R4760" s="67"/>
      <c r="S4760" s="67"/>
      <c r="T4760" s="32"/>
      <c r="U4760" s="32"/>
      <c r="X4760" s="32"/>
      <c r="Y4760" s="32"/>
      <c r="Z4760" s="32"/>
      <c r="AA4760" s="32"/>
      <c r="AB4760" s="32"/>
    </row>
    <row r="4761" spans="2:28" ht="23.25" customHeight="1" x14ac:dyDescent="0.2">
      <c r="B4761" s="75"/>
      <c r="C4761" s="67"/>
      <c r="D4761" s="75"/>
      <c r="E4761" s="67"/>
      <c r="F4761" s="67"/>
      <c r="G4761" s="70"/>
      <c r="H4761" s="70"/>
      <c r="I4761" s="70"/>
      <c r="J4761" s="70"/>
      <c r="K4761" s="70"/>
      <c r="L4761" s="67"/>
      <c r="M4761" s="67"/>
      <c r="N4761" s="72"/>
      <c r="O4761" s="72"/>
      <c r="P4761" s="67"/>
      <c r="Q4761" s="67"/>
      <c r="R4761" s="67"/>
      <c r="S4761" s="67"/>
      <c r="T4761" s="32"/>
      <c r="U4761" s="32"/>
      <c r="X4761" s="32"/>
      <c r="Y4761" s="32"/>
      <c r="Z4761" s="32"/>
      <c r="AA4761" s="32"/>
      <c r="AB4761" s="32"/>
    </row>
    <row r="4762" spans="2:28" ht="23.25" customHeight="1" x14ac:dyDescent="0.2">
      <c r="B4762" s="75"/>
      <c r="C4762" s="67"/>
      <c r="D4762" s="75"/>
      <c r="E4762" s="67"/>
      <c r="F4762" s="67"/>
      <c r="G4762" s="70"/>
      <c r="H4762" s="70"/>
      <c r="I4762" s="70"/>
      <c r="J4762" s="70"/>
      <c r="K4762" s="70"/>
      <c r="L4762" s="67"/>
      <c r="M4762" s="67"/>
      <c r="N4762" s="72"/>
      <c r="O4762" s="72"/>
      <c r="P4762" s="67"/>
      <c r="Q4762" s="67"/>
      <c r="R4762" s="67"/>
      <c r="S4762" s="67"/>
      <c r="T4762" s="32"/>
      <c r="U4762" s="32"/>
      <c r="X4762" s="32"/>
      <c r="Y4762" s="32"/>
      <c r="Z4762" s="32"/>
      <c r="AA4762" s="32"/>
      <c r="AB4762" s="32"/>
    </row>
    <row r="4763" spans="2:28" ht="23.25" customHeight="1" x14ac:dyDescent="0.2">
      <c r="B4763" s="75"/>
      <c r="C4763" s="67"/>
      <c r="D4763" s="75"/>
      <c r="E4763" s="67"/>
      <c r="F4763" s="67"/>
      <c r="G4763" s="70"/>
      <c r="H4763" s="70"/>
      <c r="I4763" s="70"/>
      <c r="J4763" s="70"/>
      <c r="K4763" s="70"/>
      <c r="L4763" s="67"/>
      <c r="M4763" s="67"/>
      <c r="N4763" s="72"/>
      <c r="O4763" s="72"/>
      <c r="P4763" s="67"/>
      <c r="Q4763" s="67"/>
      <c r="R4763" s="67"/>
      <c r="S4763" s="67"/>
      <c r="T4763" s="32"/>
      <c r="U4763" s="32"/>
      <c r="X4763" s="32"/>
      <c r="Y4763" s="32"/>
      <c r="Z4763" s="32"/>
      <c r="AA4763" s="32"/>
      <c r="AB4763" s="32"/>
    </row>
    <row r="4764" spans="2:28" ht="23.25" customHeight="1" x14ac:dyDescent="0.2">
      <c r="B4764" s="75"/>
      <c r="C4764" s="67"/>
      <c r="D4764" s="75"/>
      <c r="E4764" s="67"/>
      <c r="F4764" s="67"/>
      <c r="G4764" s="70"/>
      <c r="H4764" s="70"/>
      <c r="I4764" s="70"/>
      <c r="J4764" s="70"/>
      <c r="K4764" s="70"/>
      <c r="L4764" s="67"/>
      <c r="M4764" s="67"/>
      <c r="N4764" s="72"/>
      <c r="O4764" s="72"/>
      <c r="P4764" s="67"/>
      <c r="Q4764" s="67"/>
      <c r="R4764" s="67"/>
      <c r="S4764" s="67"/>
      <c r="T4764" s="32"/>
      <c r="U4764" s="32"/>
      <c r="X4764" s="32"/>
      <c r="Y4764" s="32"/>
      <c r="Z4764" s="32"/>
      <c r="AA4764" s="32"/>
      <c r="AB4764" s="32"/>
    </row>
    <row r="4765" spans="2:28" ht="23.25" customHeight="1" x14ac:dyDescent="0.2">
      <c r="B4765" s="75"/>
      <c r="C4765" s="67"/>
      <c r="D4765" s="75"/>
      <c r="E4765" s="67"/>
      <c r="F4765" s="67"/>
      <c r="G4765" s="70"/>
      <c r="H4765" s="70"/>
      <c r="I4765" s="70"/>
      <c r="J4765" s="70"/>
      <c r="K4765" s="70"/>
      <c r="L4765" s="67"/>
      <c r="M4765" s="67"/>
      <c r="N4765" s="72"/>
      <c r="O4765" s="72"/>
      <c r="P4765" s="67"/>
      <c r="Q4765" s="67"/>
      <c r="R4765" s="67"/>
      <c r="S4765" s="67"/>
      <c r="T4765" s="32"/>
      <c r="U4765" s="32"/>
      <c r="X4765" s="32"/>
      <c r="Y4765" s="32"/>
      <c r="Z4765" s="32"/>
      <c r="AA4765" s="32"/>
      <c r="AB4765" s="32"/>
    </row>
    <row r="4766" spans="2:28" ht="23.25" customHeight="1" x14ac:dyDescent="0.2">
      <c r="B4766" s="75"/>
      <c r="C4766" s="67"/>
      <c r="D4766" s="75"/>
      <c r="E4766" s="67"/>
      <c r="F4766" s="67"/>
      <c r="G4766" s="70"/>
      <c r="H4766" s="70"/>
      <c r="I4766" s="70"/>
      <c r="J4766" s="70"/>
      <c r="K4766" s="70"/>
      <c r="L4766" s="67"/>
      <c r="M4766" s="67"/>
      <c r="N4766" s="72"/>
      <c r="O4766" s="72"/>
      <c r="P4766" s="67"/>
      <c r="Q4766" s="67"/>
      <c r="R4766" s="67"/>
      <c r="S4766" s="67"/>
      <c r="T4766" s="32"/>
      <c r="U4766" s="32"/>
      <c r="X4766" s="32"/>
      <c r="Y4766" s="32"/>
      <c r="Z4766" s="32"/>
      <c r="AA4766" s="32"/>
      <c r="AB4766" s="32"/>
    </row>
    <row r="4767" spans="2:28" ht="23.25" customHeight="1" x14ac:dyDescent="0.2">
      <c r="B4767" s="75"/>
      <c r="C4767" s="67"/>
      <c r="D4767" s="75"/>
      <c r="E4767" s="67"/>
      <c r="F4767" s="67"/>
      <c r="G4767" s="70"/>
      <c r="H4767" s="70"/>
      <c r="I4767" s="70"/>
      <c r="J4767" s="70"/>
      <c r="K4767" s="70"/>
      <c r="L4767" s="67"/>
      <c r="M4767" s="67"/>
      <c r="N4767" s="72"/>
      <c r="O4767" s="72"/>
      <c r="P4767" s="67"/>
      <c r="Q4767" s="67"/>
      <c r="R4767" s="67"/>
      <c r="S4767" s="67"/>
      <c r="T4767" s="32"/>
      <c r="U4767" s="32"/>
      <c r="X4767" s="32"/>
      <c r="Y4767" s="32"/>
      <c r="Z4767" s="32"/>
      <c r="AA4767" s="32"/>
      <c r="AB4767" s="32"/>
    </row>
    <row r="4768" spans="2:28" ht="23.25" customHeight="1" x14ac:dyDescent="0.2">
      <c r="B4768" s="75"/>
      <c r="C4768" s="67"/>
      <c r="D4768" s="75"/>
      <c r="E4768" s="67"/>
      <c r="F4768" s="67"/>
      <c r="G4768" s="70"/>
      <c r="H4768" s="70"/>
      <c r="I4768" s="70"/>
      <c r="J4768" s="70"/>
      <c r="K4768" s="70"/>
      <c r="L4768" s="67"/>
      <c r="M4768" s="67"/>
      <c r="N4768" s="72"/>
      <c r="O4768" s="72"/>
      <c r="P4768" s="67"/>
      <c r="Q4768" s="67"/>
      <c r="R4768" s="67"/>
      <c r="S4768" s="67"/>
      <c r="T4768" s="32"/>
      <c r="U4768" s="32"/>
      <c r="X4768" s="32"/>
      <c r="Y4768" s="32"/>
      <c r="Z4768" s="32"/>
      <c r="AA4768" s="32"/>
      <c r="AB4768" s="32"/>
    </row>
    <row r="4769" spans="2:28" ht="23.25" customHeight="1" x14ac:dyDescent="0.2">
      <c r="B4769" s="75"/>
      <c r="C4769" s="67"/>
      <c r="D4769" s="75"/>
      <c r="E4769" s="67"/>
      <c r="F4769" s="67"/>
      <c r="G4769" s="70"/>
      <c r="H4769" s="70"/>
      <c r="I4769" s="70"/>
      <c r="J4769" s="70"/>
      <c r="K4769" s="70"/>
      <c r="L4769" s="67"/>
      <c r="M4769" s="67"/>
      <c r="N4769" s="72"/>
      <c r="O4769" s="72"/>
      <c r="P4769" s="67"/>
      <c r="Q4769" s="67"/>
      <c r="R4769" s="67"/>
      <c r="S4769" s="67"/>
      <c r="T4769" s="32"/>
      <c r="U4769" s="32"/>
      <c r="X4769" s="32"/>
      <c r="Y4769" s="32"/>
      <c r="Z4769" s="32"/>
      <c r="AA4769" s="32"/>
      <c r="AB4769" s="32"/>
    </row>
    <row r="4770" spans="2:28" ht="23.25" customHeight="1" x14ac:dyDescent="0.2">
      <c r="B4770" s="75"/>
      <c r="C4770" s="67"/>
      <c r="D4770" s="75"/>
      <c r="E4770" s="67"/>
      <c r="F4770" s="67"/>
      <c r="G4770" s="70"/>
      <c r="H4770" s="70"/>
      <c r="I4770" s="70"/>
      <c r="J4770" s="70"/>
      <c r="K4770" s="70"/>
      <c r="L4770" s="67"/>
      <c r="M4770" s="67"/>
      <c r="N4770" s="72"/>
      <c r="O4770" s="72"/>
      <c r="P4770" s="67"/>
      <c r="Q4770" s="67"/>
      <c r="R4770" s="67"/>
      <c r="S4770" s="67"/>
      <c r="T4770" s="32"/>
      <c r="U4770" s="32"/>
      <c r="X4770" s="32"/>
      <c r="Y4770" s="32"/>
      <c r="Z4770" s="32"/>
      <c r="AA4770" s="32"/>
      <c r="AB4770" s="32"/>
    </row>
    <row r="4771" spans="2:28" ht="23.25" customHeight="1" x14ac:dyDescent="0.2">
      <c r="B4771" s="75"/>
      <c r="C4771" s="67"/>
      <c r="D4771" s="75"/>
      <c r="E4771" s="67"/>
      <c r="F4771" s="67"/>
      <c r="G4771" s="70"/>
      <c r="H4771" s="70"/>
      <c r="I4771" s="70"/>
      <c r="J4771" s="70"/>
      <c r="K4771" s="70"/>
      <c r="L4771" s="67"/>
      <c r="M4771" s="67"/>
      <c r="N4771" s="72"/>
      <c r="O4771" s="72"/>
      <c r="P4771" s="67"/>
      <c r="Q4771" s="67"/>
      <c r="R4771" s="67"/>
      <c r="S4771" s="67"/>
      <c r="T4771" s="32"/>
      <c r="U4771" s="32"/>
      <c r="X4771" s="32"/>
      <c r="Y4771" s="32"/>
      <c r="Z4771" s="32"/>
      <c r="AA4771" s="32"/>
      <c r="AB4771" s="32"/>
    </row>
    <row r="4772" spans="2:28" ht="23.25" customHeight="1" x14ac:dyDescent="0.2">
      <c r="B4772" s="75"/>
      <c r="C4772" s="67"/>
      <c r="D4772" s="75"/>
      <c r="E4772" s="67"/>
      <c r="F4772" s="67"/>
      <c r="G4772" s="70"/>
      <c r="H4772" s="70"/>
      <c r="I4772" s="70"/>
      <c r="J4772" s="70"/>
      <c r="K4772" s="70"/>
      <c r="L4772" s="67"/>
      <c r="M4772" s="67"/>
      <c r="N4772" s="72"/>
      <c r="O4772" s="72"/>
      <c r="P4772" s="67"/>
      <c r="Q4772" s="67"/>
      <c r="R4772" s="67"/>
      <c r="S4772" s="67"/>
      <c r="T4772" s="32"/>
      <c r="U4772" s="32"/>
      <c r="X4772" s="32"/>
      <c r="Y4772" s="32"/>
      <c r="Z4772" s="32"/>
      <c r="AA4772" s="32"/>
      <c r="AB4772" s="32"/>
    </row>
    <row r="4773" spans="2:28" ht="23.25" customHeight="1" x14ac:dyDescent="0.2">
      <c r="B4773" s="75"/>
      <c r="C4773" s="67"/>
      <c r="D4773" s="75"/>
      <c r="E4773" s="67"/>
      <c r="F4773" s="67"/>
      <c r="G4773" s="70"/>
      <c r="H4773" s="70"/>
      <c r="I4773" s="70"/>
      <c r="J4773" s="70"/>
      <c r="K4773" s="70"/>
      <c r="L4773" s="67"/>
      <c r="M4773" s="67"/>
      <c r="N4773" s="72"/>
      <c r="O4773" s="72"/>
      <c r="P4773" s="67"/>
      <c r="Q4773" s="67"/>
      <c r="R4773" s="67"/>
      <c r="S4773" s="67"/>
      <c r="T4773" s="32"/>
      <c r="U4773" s="32"/>
      <c r="X4773" s="32"/>
      <c r="Y4773" s="32"/>
      <c r="Z4773" s="32"/>
      <c r="AA4773" s="32"/>
      <c r="AB4773" s="32"/>
    </row>
    <row r="4774" spans="2:28" ht="23.25" customHeight="1" x14ac:dyDescent="0.2">
      <c r="B4774" s="75"/>
      <c r="C4774" s="67"/>
      <c r="D4774" s="75"/>
      <c r="E4774" s="67"/>
      <c r="F4774" s="67"/>
      <c r="G4774" s="70"/>
      <c r="H4774" s="70"/>
      <c r="I4774" s="70"/>
      <c r="J4774" s="70"/>
      <c r="K4774" s="70"/>
      <c r="L4774" s="67"/>
      <c r="M4774" s="67"/>
      <c r="N4774" s="72"/>
      <c r="O4774" s="72"/>
      <c r="P4774" s="67"/>
      <c r="Q4774" s="67"/>
      <c r="R4774" s="67"/>
      <c r="S4774" s="67"/>
      <c r="T4774" s="32"/>
      <c r="U4774" s="32"/>
      <c r="X4774" s="32"/>
      <c r="Y4774" s="32"/>
      <c r="Z4774" s="32"/>
      <c r="AA4774" s="32"/>
      <c r="AB4774" s="32"/>
    </row>
    <row r="4775" spans="2:28" ht="23.25" customHeight="1" x14ac:dyDescent="0.2">
      <c r="B4775" s="75"/>
      <c r="C4775" s="67"/>
      <c r="D4775" s="75"/>
      <c r="E4775" s="67"/>
      <c r="F4775" s="67"/>
      <c r="G4775" s="70"/>
      <c r="H4775" s="70"/>
      <c r="I4775" s="70"/>
      <c r="J4775" s="70"/>
      <c r="K4775" s="70"/>
      <c r="L4775" s="67"/>
      <c r="M4775" s="67"/>
      <c r="N4775" s="72"/>
      <c r="O4775" s="72"/>
      <c r="P4775" s="67"/>
      <c r="Q4775" s="67"/>
      <c r="R4775" s="67"/>
      <c r="S4775" s="67"/>
      <c r="T4775" s="32"/>
      <c r="U4775" s="32"/>
      <c r="X4775" s="32"/>
      <c r="Y4775" s="32"/>
      <c r="Z4775" s="32"/>
      <c r="AA4775" s="32"/>
      <c r="AB4775" s="32"/>
    </row>
    <row r="4776" spans="2:28" ht="23.25" customHeight="1" x14ac:dyDescent="0.2">
      <c r="B4776" s="75"/>
      <c r="C4776" s="67"/>
      <c r="D4776" s="75"/>
      <c r="E4776" s="67"/>
      <c r="F4776" s="67"/>
      <c r="G4776" s="70"/>
      <c r="H4776" s="70"/>
      <c r="I4776" s="70"/>
      <c r="J4776" s="70"/>
      <c r="K4776" s="70"/>
      <c r="L4776" s="67"/>
      <c r="M4776" s="67"/>
      <c r="N4776" s="72"/>
      <c r="O4776" s="72"/>
      <c r="P4776" s="67"/>
      <c r="Q4776" s="67"/>
      <c r="R4776" s="67"/>
      <c r="S4776" s="67"/>
      <c r="T4776" s="32"/>
      <c r="U4776" s="32"/>
      <c r="X4776" s="32"/>
      <c r="Y4776" s="32"/>
      <c r="Z4776" s="32"/>
      <c r="AA4776" s="32"/>
      <c r="AB4776" s="32"/>
    </row>
    <row r="4777" spans="2:28" ht="23.25" customHeight="1" x14ac:dyDescent="0.2">
      <c r="B4777" s="75"/>
      <c r="C4777" s="67"/>
      <c r="D4777" s="75"/>
      <c r="E4777" s="67"/>
      <c r="F4777" s="67"/>
      <c r="G4777" s="70"/>
      <c r="H4777" s="70"/>
      <c r="I4777" s="70"/>
      <c r="J4777" s="70"/>
      <c r="K4777" s="70"/>
      <c r="L4777" s="67"/>
      <c r="M4777" s="67"/>
      <c r="N4777" s="72"/>
      <c r="O4777" s="72"/>
      <c r="P4777" s="67"/>
      <c r="Q4777" s="67"/>
      <c r="R4777" s="67"/>
      <c r="S4777" s="67"/>
      <c r="T4777" s="32"/>
      <c r="U4777" s="32"/>
      <c r="X4777" s="32"/>
      <c r="Y4777" s="32"/>
      <c r="Z4777" s="32"/>
      <c r="AA4777" s="32"/>
      <c r="AB4777" s="32"/>
    </row>
    <row r="4778" spans="2:28" ht="23.25" customHeight="1" x14ac:dyDescent="0.2">
      <c r="B4778" s="75"/>
      <c r="C4778" s="67"/>
      <c r="D4778" s="75"/>
      <c r="E4778" s="67"/>
      <c r="F4778" s="67"/>
      <c r="G4778" s="70"/>
      <c r="H4778" s="70"/>
      <c r="I4778" s="70"/>
      <c r="J4778" s="70"/>
      <c r="K4778" s="70"/>
      <c r="L4778" s="67"/>
      <c r="M4778" s="67"/>
      <c r="N4778" s="72"/>
      <c r="O4778" s="72"/>
      <c r="P4778" s="67"/>
      <c r="Q4778" s="67"/>
      <c r="R4778" s="67"/>
      <c r="S4778" s="67"/>
      <c r="T4778" s="32"/>
      <c r="U4778" s="32"/>
      <c r="X4778" s="32"/>
      <c r="Y4778" s="32"/>
      <c r="Z4778" s="32"/>
      <c r="AA4778" s="32"/>
      <c r="AB4778" s="32"/>
    </row>
    <row r="4779" spans="2:28" ht="23.25" customHeight="1" x14ac:dyDescent="0.2">
      <c r="B4779" s="75"/>
      <c r="C4779" s="67"/>
      <c r="D4779" s="75"/>
      <c r="E4779" s="67"/>
      <c r="F4779" s="67"/>
      <c r="G4779" s="70"/>
      <c r="H4779" s="70"/>
      <c r="I4779" s="70"/>
      <c r="J4779" s="70"/>
      <c r="K4779" s="70"/>
      <c r="L4779" s="67"/>
      <c r="M4779" s="67"/>
      <c r="N4779" s="72"/>
      <c r="O4779" s="72"/>
      <c r="P4779" s="67"/>
      <c r="Q4779" s="67"/>
      <c r="R4779" s="67"/>
      <c r="S4779" s="67"/>
      <c r="T4779" s="32"/>
      <c r="U4779" s="32"/>
      <c r="X4779" s="32"/>
      <c r="Y4779" s="32"/>
      <c r="Z4779" s="32"/>
      <c r="AA4779" s="32"/>
      <c r="AB4779" s="32"/>
    </row>
    <row r="4780" spans="2:28" ht="23.25" customHeight="1" x14ac:dyDescent="0.2">
      <c r="B4780" s="75"/>
      <c r="C4780" s="67"/>
      <c r="D4780" s="75"/>
      <c r="E4780" s="67"/>
      <c r="F4780" s="67"/>
      <c r="G4780" s="70"/>
      <c r="H4780" s="70"/>
      <c r="I4780" s="70"/>
      <c r="J4780" s="70"/>
      <c r="K4780" s="70"/>
      <c r="L4780" s="67"/>
      <c r="M4780" s="67"/>
      <c r="N4780" s="72"/>
      <c r="O4780" s="72"/>
      <c r="P4780" s="67"/>
      <c r="Q4780" s="67"/>
      <c r="R4780" s="67"/>
      <c r="S4780" s="67"/>
      <c r="T4780" s="32"/>
      <c r="U4780" s="32"/>
      <c r="X4780" s="32"/>
      <c r="Y4780" s="32"/>
      <c r="Z4780" s="32"/>
      <c r="AA4780" s="32"/>
      <c r="AB4780" s="32"/>
    </row>
    <row r="4781" spans="2:28" ht="23.25" customHeight="1" x14ac:dyDescent="0.2">
      <c r="B4781" s="75"/>
      <c r="C4781" s="67"/>
      <c r="D4781" s="75"/>
      <c r="E4781" s="67"/>
      <c r="F4781" s="67"/>
      <c r="G4781" s="70"/>
      <c r="H4781" s="70"/>
      <c r="I4781" s="70"/>
      <c r="J4781" s="70"/>
      <c r="K4781" s="70"/>
      <c r="L4781" s="67"/>
      <c r="M4781" s="67"/>
      <c r="N4781" s="72"/>
      <c r="O4781" s="72"/>
      <c r="P4781" s="67"/>
      <c r="Q4781" s="67"/>
      <c r="R4781" s="67"/>
      <c r="S4781" s="67"/>
      <c r="T4781" s="32"/>
      <c r="U4781" s="32"/>
      <c r="X4781" s="32"/>
      <c r="Y4781" s="32"/>
      <c r="Z4781" s="32"/>
      <c r="AA4781" s="32"/>
      <c r="AB4781" s="32"/>
    </row>
    <row r="4782" spans="2:28" ht="23.25" customHeight="1" x14ac:dyDescent="0.2">
      <c r="B4782" s="75"/>
      <c r="C4782" s="67"/>
      <c r="D4782" s="75"/>
      <c r="E4782" s="67"/>
      <c r="F4782" s="67"/>
      <c r="G4782" s="70"/>
      <c r="H4782" s="70"/>
      <c r="I4782" s="70"/>
      <c r="J4782" s="70"/>
      <c r="K4782" s="70"/>
      <c r="L4782" s="67"/>
      <c r="M4782" s="67"/>
      <c r="N4782" s="72"/>
      <c r="O4782" s="72"/>
      <c r="P4782" s="67"/>
      <c r="Q4782" s="67"/>
      <c r="R4782" s="67"/>
      <c r="S4782" s="67"/>
      <c r="T4782" s="32"/>
      <c r="U4782" s="32"/>
      <c r="X4782" s="32"/>
      <c r="Y4782" s="32"/>
      <c r="Z4782" s="32"/>
      <c r="AA4782" s="32"/>
      <c r="AB4782" s="32"/>
    </row>
    <row r="4783" spans="2:28" ht="23.25" customHeight="1" x14ac:dyDescent="0.2">
      <c r="B4783" s="75"/>
      <c r="C4783" s="67"/>
      <c r="D4783" s="75"/>
      <c r="E4783" s="67"/>
      <c r="F4783" s="67"/>
      <c r="G4783" s="70"/>
      <c r="H4783" s="70"/>
      <c r="I4783" s="70"/>
      <c r="J4783" s="70"/>
      <c r="K4783" s="70"/>
      <c r="L4783" s="67"/>
      <c r="M4783" s="67"/>
      <c r="N4783" s="72"/>
      <c r="O4783" s="72"/>
      <c r="P4783" s="67"/>
      <c r="Q4783" s="67"/>
      <c r="R4783" s="67"/>
      <c r="S4783" s="67"/>
      <c r="T4783" s="32"/>
      <c r="U4783" s="32"/>
      <c r="X4783" s="32"/>
      <c r="Y4783" s="32"/>
      <c r="Z4783" s="32"/>
      <c r="AA4783" s="32"/>
      <c r="AB4783" s="32"/>
    </row>
    <row r="4784" spans="2:28" ht="23.25" customHeight="1" x14ac:dyDescent="0.2">
      <c r="B4784" s="75"/>
      <c r="C4784" s="67"/>
      <c r="D4784" s="75"/>
      <c r="E4784" s="67"/>
      <c r="F4784" s="67"/>
      <c r="G4784" s="70"/>
      <c r="H4784" s="70"/>
      <c r="I4784" s="70"/>
      <c r="J4784" s="70"/>
      <c r="K4784" s="70"/>
      <c r="L4784" s="67"/>
      <c r="M4784" s="67"/>
      <c r="N4784" s="72"/>
      <c r="O4784" s="72"/>
      <c r="P4784" s="67"/>
      <c r="Q4784" s="67"/>
      <c r="R4784" s="67"/>
      <c r="S4784" s="67"/>
      <c r="T4784" s="32"/>
      <c r="U4784" s="32"/>
      <c r="X4784" s="32"/>
      <c r="Y4784" s="32"/>
      <c r="Z4784" s="32"/>
      <c r="AA4784" s="32"/>
      <c r="AB4784" s="32"/>
    </row>
    <row r="4785" spans="2:28" ht="23.25" customHeight="1" x14ac:dyDescent="0.2">
      <c r="B4785" s="75"/>
      <c r="C4785" s="67"/>
      <c r="D4785" s="75"/>
      <c r="E4785" s="67"/>
      <c r="F4785" s="67"/>
      <c r="G4785" s="70"/>
      <c r="H4785" s="70"/>
      <c r="I4785" s="70"/>
      <c r="J4785" s="70"/>
      <c r="K4785" s="70"/>
      <c r="L4785" s="67"/>
      <c r="M4785" s="67"/>
      <c r="N4785" s="72"/>
      <c r="O4785" s="72"/>
      <c r="P4785" s="67"/>
      <c r="Q4785" s="67"/>
      <c r="R4785" s="67"/>
      <c r="S4785" s="67"/>
      <c r="T4785" s="32"/>
      <c r="U4785" s="32"/>
      <c r="X4785" s="32"/>
      <c r="Y4785" s="32"/>
      <c r="Z4785" s="32"/>
      <c r="AA4785" s="32"/>
      <c r="AB4785" s="32"/>
    </row>
    <row r="4786" spans="2:28" ht="23.25" customHeight="1" x14ac:dyDescent="0.2">
      <c r="B4786" s="75"/>
      <c r="C4786" s="67"/>
      <c r="D4786" s="75"/>
      <c r="E4786" s="67"/>
      <c r="F4786" s="67"/>
      <c r="G4786" s="70"/>
      <c r="H4786" s="70"/>
      <c r="I4786" s="70"/>
      <c r="J4786" s="70"/>
      <c r="K4786" s="70"/>
      <c r="L4786" s="67"/>
      <c r="M4786" s="67"/>
      <c r="N4786" s="72"/>
      <c r="O4786" s="72"/>
      <c r="P4786" s="67"/>
      <c r="Q4786" s="67"/>
      <c r="R4786" s="67"/>
      <c r="S4786" s="67"/>
      <c r="T4786" s="32"/>
      <c r="U4786" s="32"/>
      <c r="X4786" s="32"/>
      <c r="Y4786" s="32"/>
      <c r="Z4786" s="32"/>
      <c r="AA4786" s="32"/>
      <c r="AB4786" s="32"/>
    </row>
    <row r="4787" spans="2:28" ht="23.25" customHeight="1" x14ac:dyDescent="0.2">
      <c r="B4787" s="75"/>
      <c r="C4787" s="67"/>
      <c r="D4787" s="75"/>
      <c r="E4787" s="67"/>
      <c r="F4787" s="67"/>
      <c r="G4787" s="70"/>
      <c r="H4787" s="70"/>
      <c r="I4787" s="70"/>
      <c r="J4787" s="70"/>
      <c r="K4787" s="70"/>
      <c r="L4787" s="67"/>
      <c r="M4787" s="67"/>
      <c r="N4787" s="72"/>
      <c r="O4787" s="72"/>
      <c r="P4787" s="67"/>
      <c r="Q4787" s="67"/>
      <c r="R4787" s="67"/>
      <c r="S4787" s="67"/>
      <c r="T4787" s="32"/>
      <c r="U4787" s="32"/>
      <c r="X4787" s="32"/>
      <c r="Y4787" s="32"/>
      <c r="Z4787" s="32"/>
      <c r="AA4787" s="32"/>
      <c r="AB4787" s="32"/>
    </row>
    <row r="4788" spans="2:28" ht="23.25" customHeight="1" x14ac:dyDescent="0.2">
      <c r="B4788" s="75"/>
      <c r="C4788" s="67"/>
      <c r="D4788" s="75"/>
      <c r="E4788" s="67"/>
      <c r="F4788" s="67"/>
      <c r="G4788" s="70"/>
      <c r="H4788" s="70"/>
      <c r="I4788" s="70"/>
      <c r="J4788" s="70"/>
      <c r="K4788" s="70"/>
      <c r="L4788" s="67"/>
      <c r="M4788" s="67"/>
      <c r="N4788" s="72"/>
      <c r="O4788" s="72"/>
      <c r="P4788" s="67"/>
      <c r="Q4788" s="67"/>
      <c r="R4788" s="67"/>
      <c r="S4788" s="67"/>
      <c r="T4788" s="32"/>
      <c r="U4788" s="32"/>
      <c r="X4788" s="32"/>
      <c r="Y4788" s="32"/>
      <c r="Z4788" s="32"/>
      <c r="AA4788" s="32"/>
      <c r="AB4788" s="32"/>
    </row>
    <row r="4789" spans="2:28" ht="23.25" customHeight="1" x14ac:dyDescent="0.2">
      <c r="B4789" s="75"/>
      <c r="C4789" s="67"/>
      <c r="D4789" s="75"/>
      <c r="E4789" s="67"/>
      <c r="F4789" s="67"/>
      <c r="G4789" s="70"/>
      <c r="H4789" s="70"/>
      <c r="I4789" s="70"/>
      <c r="J4789" s="70"/>
      <c r="K4789" s="70"/>
      <c r="L4789" s="67"/>
      <c r="M4789" s="67"/>
      <c r="N4789" s="72"/>
      <c r="O4789" s="72"/>
      <c r="P4789" s="67"/>
      <c r="Q4789" s="67"/>
      <c r="R4789" s="67"/>
      <c r="S4789" s="67"/>
      <c r="T4789" s="32"/>
      <c r="U4789" s="32"/>
      <c r="X4789" s="32"/>
      <c r="Y4789" s="32"/>
      <c r="Z4789" s="32"/>
      <c r="AA4789" s="32"/>
      <c r="AB4789" s="32"/>
    </row>
    <row r="4790" spans="2:28" ht="23.25" customHeight="1" x14ac:dyDescent="0.2">
      <c r="B4790" s="75"/>
      <c r="C4790" s="67"/>
      <c r="D4790" s="75"/>
      <c r="E4790" s="67"/>
      <c r="F4790" s="67"/>
      <c r="G4790" s="70"/>
      <c r="H4790" s="70"/>
      <c r="I4790" s="70"/>
      <c r="J4790" s="70"/>
      <c r="K4790" s="70"/>
      <c r="L4790" s="67"/>
      <c r="M4790" s="67"/>
      <c r="N4790" s="72"/>
      <c r="O4790" s="72"/>
      <c r="P4790" s="67"/>
      <c r="Q4790" s="67"/>
      <c r="R4790" s="67"/>
      <c r="S4790" s="67"/>
      <c r="T4790" s="32"/>
      <c r="U4790" s="32"/>
      <c r="X4790" s="32"/>
      <c r="Y4790" s="32"/>
      <c r="Z4790" s="32"/>
      <c r="AA4790" s="32"/>
      <c r="AB4790" s="32"/>
    </row>
    <row r="4791" spans="2:28" ht="23.25" customHeight="1" x14ac:dyDescent="0.2">
      <c r="B4791" s="75"/>
      <c r="C4791" s="67"/>
      <c r="D4791" s="75"/>
      <c r="E4791" s="67"/>
      <c r="F4791" s="67"/>
      <c r="G4791" s="70"/>
      <c r="H4791" s="70"/>
      <c r="I4791" s="70"/>
      <c r="J4791" s="70"/>
      <c r="K4791" s="70"/>
      <c r="L4791" s="67"/>
      <c r="M4791" s="67"/>
      <c r="N4791" s="72"/>
      <c r="O4791" s="72"/>
      <c r="P4791" s="67"/>
      <c r="Q4791" s="67"/>
      <c r="R4791" s="67"/>
      <c r="S4791" s="67"/>
      <c r="T4791" s="32"/>
      <c r="U4791" s="32"/>
      <c r="X4791" s="32"/>
      <c r="Y4791" s="32"/>
      <c r="Z4791" s="32"/>
      <c r="AA4791" s="32"/>
      <c r="AB4791" s="32"/>
    </row>
    <row r="4792" spans="2:28" ht="23.25" customHeight="1" x14ac:dyDescent="0.2">
      <c r="B4792" s="75"/>
      <c r="C4792" s="67"/>
      <c r="D4792" s="75"/>
      <c r="E4792" s="67"/>
      <c r="F4792" s="67"/>
      <c r="G4792" s="70"/>
      <c r="H4792" s="70"/>
      <c r="I4792" s="70"/>
      <c r="J4792" s="70"/>
      <c r="K4792" s="70"/>
      <c r="L4792" s="67"/>
      <c r="M4792" s="67"/>
      <c r="N4792" s="72"/>
      <c r="O4792" s="72"/>
      <c r="P4792" s="67"/>
      <c r="Q4792" s="67"/>
      <c r="R4792" s="67"/>
      <c r="S4792" s="67"/>
      <c r="T4792" s="32"/>
      <c r="U4792" s="32"/>
      <c r="X4792" s="32"/>
      <c r="Y4792" s="32"/>
      <c r="Z4792" s="32"/>
      <c r="AA4792" s="32"/>
      <c r="AB4792" s="32"/>
    </row>
    <row r="4793" spans="2:28" ht="23.25" customHeight="1" x14ac:dyDescent="0.2">
      <c r="B4793" s="75"/>
      <c r="C4793" s="67"/>
      <c r="D4793" s="75"/>
      <c r="E4793" s="67"/>
      <c r="F4793" s="67"/>
      <c r="G4793" s="70"/>
      <c r="H4793" s="70"/>
      <c r="I4793" s="70"/>
      <c r="J4793" s="70"/>
      <c r="K4793" s="70"/>
      <c r="L4793" s="67"/>
      <c r="M4793" s="67"/>
      <c r="N4793" s="72"/>
      <c r="O4793" s="72"/>
      <c r="P4793" s="67"/>
      <c r="Q4793" s="67"/>
      <c r="R4793" s="67"/>
      <c r="S4793" s="67"/>
      <c r="T4793" s="32"/>
      <c r="U4793" s="32"/>
      <c r="X4793" s="32"/>
      <c r="Y4793" s="32"/>
      <c r="Z4793" s="32"/>
      <c r="AA4793" s="32"/>
      <c r="AB4793" s="32"/>
    </row>
    <row r="4794" spans="2:28" ht="23.25" customHeight="1" x14ac:dyDescent="0.2">
      <c r="B4794" s="75"/>
      <c r="C4794" s="67"/>
      <c r="D4794" s="75"/>
      <c r="E4794" s="67"/>
      <c r="F4794" s="67"/>
      <c r="G4794" s="70"/>
      <c r="H4794" s="70"/>
      <c r="I4794" s="70"/>
      <c r="J4794" s="70"/>
      <c r="K4794" s="70"/>
      <c r="L4794" s="67"/>
      <c r="M4794" s="67"/>
      <c r="N4794" s="72"/>
      <c r="O4794" s="72"/>
      <c r="P4794" s="67"/>
      <c r="Q4794" s="67"/>
      <c r="R4794" s="67"/>
      <c r="S4794" s="67"/>
      <c r="T4794" s="32"/>
      <c r="U4794" s="32"/>
      <c r="X4794" s="32"/>
      <c r="Y4794" s="32"/>
      <c r="Z4794" s="32"/>
      <c r="AA4794" s="32"/>
      <c r="AB4794" s="32"/>
    </row>
    <row r="4795" spans="2:28" ht="23.25" customHeight="1" x14ac:dyDescent="0.2">
      <c r="B4795" s="75"/>
      <c r="C4795" s="67"/>
      <c r="D4795" s="75"/>
      <c r="E4795" s="67"/>
      <c r="F4795" s="67"/>
      <c r="G4795" s="70"/>
      <c r="H4795" s="70"/>
      <c r="I4795" s="70"/>
      <c r="J4795" s="70"/>
      <c r="K4795" s="70"/>
      <c r="L4795" s="67"/>
      <c r="M4795" s="67"/>
      <c r="N4795" s="72"/>
      <c r="O4795" s="72"/>
      <c r="P4795" s="67"/>
      <c r="Q4795" s="67"/>
      <c r="R4795" s="67"/>
      <c r="S4795" s="67"/>
      <c r="T4795" s="32"/>
      <c r="U4795" s="32"/>
      <c r="X4795" s="32"/>
      <c r="Y4795" s="32"/>
      <c r="Z4795" s="32"/>
      <c r="AA4795" s="32"/>
      <c r="AB4795" s="32"/>
    </row>
    <row r="4796" spans="2:28" ht="23.25" customHeight="1" x14ac:dyDescent="0.2">
      <c r="B4796" s="75"/>
      <c r="C4796" s="67"/>
      <c r="D4796" s="75"/>
      <c r="E4796" s="67"/>
      <c r="F4796" s="67"/>
      <c r="G4796" s="70"/>
      <c r="H4796" s="70"/>
      <c r="I4796" s="70"/>
      <c r="J4796" s="70"/>
      <c r="K4796" s="70"/>
      <c r="L4796" s="67"/>
      <c r="M4796" s="67"/>
      <c r="N4796" s="72"/>
      <c r="O4796" s="72"/>
      <c r="P4796" s="67"/>
      <c r="Q4796" s="67"/>
      <c r="R4796" s="67"/>
      <c r="S4796" s="67"/>
      <c r="T4796" s="32"/>
      <c r="U4796" s="32"/>
      <c r="X4796" s="32"/>
      <c r="Y4796" s="32"/>
      <c r="Z4796" s="32"/>
      <c r="AA4796" s="32"/>
      <c r="AB4796" s="32"/>
    </row>
    <row r="4797" spans="2:28" ht="23.25" customHeight="1" x14ac:dyDescent="0.2">
      <c r="B4797" s="75"/>
      <c r="C4797" s="67"/>
      <c r="D4797" s="75"/>
      <c r="E4797" s="67"/>
      <c r="F4797" s="67"/>
      <c r="G4797" s="70"/>
      <c r="H4797" s="70"/>
      <c r="I4797" s="70"/>
      <c r="J4797" s="70"/>
      <c r="K4797" s="70"/>
      <c r="L4797" s="67"/>
      <c r="M4797" s="67"/>
      <c r="N4797" s="72"/>
      <c r="O4797" s="72"/>
      <c r="P4797" s="67"/>
      <c r="Q4797" s="67"/>
      <c r="R4797" s="67"/>
      <c r="S4797" s="67"/>
      <c r="T4797" s="32"/>
      <c r="U4797" s="32"/>
      <c r="X4797" s="32"/>
      <c r="Y4797" s="32"/>
      <c r="Z4797" s="32"/>
      <c r="AA4797" s="32"/>
      <c r="AB4797" s="32"/>
    </row>
    <row r="4798" spans="2:28" ht="23.25" customHeight="1" x14ac:dyDescent="0.2">
      <c r="B4798" s="75"/>
      <c r="C4798" s="67"/>
      <c r="D4798" s="75"/>
      <c r="E4798" s="67"/>
      <c r="F4798" s="67"/>
      <c r="G4798" s="70"/>
      <c r="H4798" s="70"/>
      <c r="I4798" s="70"/>
      <c r="J4798" s="70"/>
      <c r="K4798" s="70"/>
      <c r="L4798" s="67"/>
      <c r="M4798" s="67"/>
      <c r="N4798" s="72"/>
      <c r="O4798" s="72"/>
      <c r="P4798" s="67"/>
      <c r="Q4798" s="67"/>
      <c r="R4798" s="67"/>
      <c r="S4798" s="67"/>
      <c r="T4798" s="32"/>
      <c r="U4798" s="32"/>
      <c r="X4798" s="32"/>
      <c r="Y4798" s="32"/>
      <c r="Z4798" s="32"/>
      <c r="AA4798" s="32"/>
      <c r="AB4798" s="32"/>
    </row>
    <row r="4799" spans="2:28" ht="23.25" customHeight="1" x14ac:dyDescent="0.2">
      <c r="B4799" s="75"/>
      <c r="C4799" s="67"/>
      <c r="D4799" s="75"/>
      <c r="E4799" s="67"/>
      <c r="F4799" s="67"/>
      <c r="G4799" s="70"/>
      <c r="H4799" s="70"/>
      <c r="I4799" s="70"/>
      <c r="J4799" s="70"/>
      <c r="K4799" s="70"/>
      <c r="L4799" s="67"/>
      <c r="M4799" s="67"/>
      <c r="N4799" s="72"/>
      <c r="O4799" s="72"/>
      <c r="P4799" s="67"/>
      <c r="Q4799" s="67"/>
      <c r="R4799" s="67"/>
      <c r="S4799" s="67"/>
      <c r="T4799" s="32"/>
      <c r="U4799" s="32"/>
      <c r="X4799" s="32"/>
      <c r="Y4799" s="32"/>
      <c r="Z4799" s="32"/>
      <c r="AA4799" s="32"/>
      <c r="AB4799" s="32"/>
    </row>
    <row r="4800" spans="2:28" ht="23.25" customHeight="1" x14ac:dyDescent="0.2">
      <c r="B4800" s="75"/>
      <c r="C4800" s="67"/>
      <c r="D4800" s="75"/>
      <c r="E4800" s="67"/>
      <c r="F4800" s="67"/>
      <c r="G4800" s="70"/>
      <c r="H4800" s="70"/>
      <c r="I4800" s="70"/>
      <c r="J4800" s="70"/>
      <c r="K4800" s="70"/>
      <c r="L4800" s="67"/>
      <c r="M4800" s="67"/>
      <c r="N4800" s="72"/>
      <c r="O4800" s="72"/>
      <c r="P4800" s="67"/>
      <c r="Q4800" s="67"/>
      <c r="R4800" s="67"/>
      <c r="S4800" s="67"/>
      <c r="T4800" s="32"/>
      <c r="U4800" s="32"/>
      <c r="X4800" s="32"/>
      <c r="Y4800" s="32"/>
      <c r="Z4800" s="32"/>
      <c r="AA4800" s="32"/>
      <c r="AB4800" s="32"/>
    </row>
    <row r="4801" spans="2:28" ht="23.25" customHeight="1" x14ac:dyDescent="0.2">
      <c r="B4801" s="75"/>
      <c r="C4801" s="67"/>
      <c r="D4801" s="75"/>
      <c r="E4801" s="67"/>
      <c r="F4801" s="67"/>
      <c r="G4801" s="70"/>
      <c r="H4801" s="70"/>
      <c r="I4801" s="70"/>
      <c r="J4801" s="70"/>
      <c r="K4801" s="70"/>
      <c r="L4801" s="67"/>
      <c r="M4801" s="67"/>
      <c r="N4801" s="72"/>
      <c r="O4801" s="72"/>
      <c r="P4801" s="67"/>
      <c r="Q4801" s="67"/>
      <c r="R4801" s="67"/>
      <c r="S4801" s="67"/>
      <c r="T4801" s="32"/>
      <c r="U4801" s="32"/>
      <c r="X4801" s="32"/>
      <c r="Y4801" s="32"/>
      <c r="Z4801" s="32"/>
      <c r="AA4801" s="32"/>
      <c r="AB4801" s="32"/>
    </row>
    <row r="4802" spans="2:28" ht="23.25" customHeight="1" x14ac:dyDescent="0.2">
      <c r="B4802" s="75"/>
      <c r="C4802" s="67"/>
      <c r="D4802" s="75"/>
      <c r="E4802" s="67"/>
      <c r="F4802" s="67"/>
      <c r="G4802" s="70"/>
      <c r="H4802" s="70"/>
      <c r="I4802" s="70"/>
      <c r="J4802" s="70"/>
      <c r="K4802" s="70"/>
      <c r="L4802" s="67"/>
      <c r="M4802" s="67"/>
      <c r="N4802" s="72"/>
      <c r="O4802" s="72"/>
      <c r="P4802" s="67"/>
      <c r="Q4802" s="67"/>
      <c r="R4802" s="67"/>
      <c r="S4802" s="67"/>
      <c r="T4802" s="32"/>
      <c r="U4802" s="32"/>
      <c r="X4802" s="32"/>
      <c r="Y4802" s="32"/>
      <c r="Z4802" s="32"/>
      <c r="AA4802" s="32"/>
      <c r="AB4802" s="32"/>
    </row>
    <row r="4803" spans="2:28" ht="23.25" customHeight="1" x14ac:dyDescent="0.2">
      <c r="B4803" s="75"/>
      <c r="C4803" s="67"/>
      <c r="D4803" s="75"/>
      <c r="E4803" s="67"/>
      <c r="F4803" s="67"/>
      <c r="G4803" s="70"/>
      <c r="H4803" s="70"/>
      <c r="I4803" s="70"/>
      <c r="J4803" s="70"/>
      <c r="K4803" s="70"/>
      <c r="L4803" s="67"/>
      <c r="M4803" s="67"/>
      <c r="N4803" s="72"/>
      <c r="O4803" s="72"/>
      <c r="P4803" s="67"/>
      <c r="Q4803" s="67"/>
      <c r="R4803" s="67"/>
      <c r="S4803" s="67"/>
      <c r="T4803" s="32"/>
      <c r="U4803" s="32"/>
      <c r="X4803" s="32"/>
      <c r="Y4803" s="32"/>
      <c r="Z4803" s="32"/>
      <c r="AA4803" s="32"/>
      <c r="AB4803" s="32"/>
    </row>
    <row r="4804" spans="2:28" ht="23.25" customHeight="1" x14ac:dyDescent="0.2">
      <c r="B4804" s="75"/>
      <c r="C4804" s="67"/>
      <c r="D4804" s="75"/>
      <c r="E4804" s="67"/>
      <c r="F4804" s="67"/>
      <c r="G4804" s="70"/>
      <c r="H4804" s="70"/>
      <c r="I4804" s="70"/>
      <c r="J4804" s="70"/>
      <c r="K4804" s="70"/>
      <c r="L4804" s="67"/>
      <c r="M4804" s="67"/>
      <c r="N4804" s="72"/>
      <c r="O4804" s="72"/>
      <c r="P4804" s="67"/>
      <c r="Q4804" s="67"/>
      <c r="R4804" s="67"/>
      <c r="S4804" s="67"/>
      <c r="T4804" s="32"/>
      <c r="U4804" s="32"/>
      <c r="X4804" s="32"/>
      <c r="Y4804" s="32"/>
      <c r="Z4804" s="32"/>
      <c r="AA4804" s="32"/>
      <c r="AB4804" s="32"/>
    </row>
    <row r="4805" spans="2:28" ht="23.25" customHeight="1" x14ac:dyDescent="0.2">
      <c r="B4805" s="75"/>
      <c r="C4805" s="67"/>
      <c r="D4805" s="75"/>
      <c r="E4805" s="67"/>
      <c r="F4805" s="67"/>
      <c r="G4805" s="70"/>
      <c r="H4805" s="70"/>
      <c r="I4805" s="70"/>
      <c r="J4805" s="70"/>
      <c r="K4805" s="70"/>
      <c r="L4805" s="67"/>
      <c r="M4805" s="67"/>
      <c r="N4805" s="72"/>
      <c r="O4805" s="72"/>
      <c r="P4805" s="67"/>
      <c r="Q4805" s="67"/>
      <c r="R4805" s="67"/>
      <c r="S4805" s="67"/>
      <c r="T4805" s="32"/>
      <c r="U4805" s="32"/>
      <c r="X4805" s="32"/>
      <c r="Y4805" s="32"/>
      <c r="Z4805" s="32"/>
      <c r="AA4805" s="32"/>
      <c r="AB4805" s="32"/>
    </row>
    <row r="4806" spans="2:28" ht="23.25" customHeight="1" x14ac:dyDescent="0.2">
      <c r="B4806" s="75"/>
      <c r="C4806" s="67"/>
      <c r="D4806" s="75"/>
      <c r="E4806" s="67"/>
      <c r="F4806" s="67"/>
      <c r="G4806" s="70"/>
      <c r="H4806" s="70"/>
      <c r="I4806" s="70"/>
      <c r="J4806" s="70"/>
      <c r="K4806" s="70"/>
      <c r="L4806" s="67"/>
      <c r="M4806" s="67"/>
      <c r="N4806" s="72"/>
      <c r="O4806" s="72"/>
      <c r="P4806" s="67"/>
      <c r="Q4806" s="67"/>
      <c r="R4806" s="67"/>
      <c r="S4806" s="67"/>
      <c r="T4806" s="32"/>
      <c r="U4806" s="32"/>
      <c r="X4806" s="32"/>
      <c r="Y4806" s="32"/>
      <c r="Z4806" s="32"/>
      <c r="AA4806" s="32"/>
      <c r="AB4806" s="32"/>
    </row>
    <row r="4807" spans="2:28" ht="23.25" customHeight="1" x14ac:dyDescent="0.2">
      <c r="B4807" s="75"/>
      <c r="C4807" s="67"/>
      <c r="D4807" s="75"/>
      <c r="E4807" s="67"/>
      <c r="F4807" s="67"/>
      <c r="G4807" s="70"/>
      <c r="H4807" s="70"/>
      <c r="I4807" s="70"/>
      <c r="J4807" s="70"/>
      <c r="K4807" s="70"/>
      <c r="L4807" s="67"/>
      <c r="M4807" s="67"/>
      <c r="N4807" s="72"/>
      <c r="O4807" s="72"/>
      <c r="P4807" s="67"/>
      <c r="Q4807" s="67"/>
      <c r="R4807" s="67"/>
      <c r="S4807" s="67"/>
      <c r="T4807" s="32"/>
      <c r="U4807" s="32"/>
      <c r="X4807" s="32"/>
      <c r="Y4807" s="32"/>
      <c r="Z4807" s="32"/>
      <c r="AA4807" s="32"/>
      <c r="AB4807" s="32"/>
    </row>
    <row r="4808" spans="2:28" ht="23.25" customHeight="1" x14ac:dyDescent="0.2">
      <c r="B4808" s="75"/>
      <c r="C4808" s="67"/>
      <c r="D4808" s="75"/>
      <c r="E4808" s="67"/>
      <c r="F4808" s="67"/>
      <c r="G4808" s="70"/>
      <c r="H4808" s="70"/>
      <c r="I4808" s="70"/>
      <c r="J4808" s="70"/>
      <c r="K4808" s="70"/>
      <c r="L4808" s="67"/>
      <c r="M4808" s="67"/>
      <c r="N4808" s="72"/>
      <c r="O4808" s="72"/>
      <c r="P4808" s="67"/>
      <c r="Q4808" s="67"/>
      <c r="R4808" s="67"/>
      <c r="S4808" s="67"/>
      <c r="T4808" s="32"/>
      <c r="U4808" s="32"/>
      <c r="X4808" s="32"/>
      <c r="Y4808" s="32"/>
      <c r="Z4808" s="32"/>
      <c r="AA4808" s="32"/>
      <c r="AB4808" s="32"/>
    </row>
    <row r="4809" spans="2:28" ht="23.25" customHeight="1" x14ac:dyDescent="0.2">
      <c r="B4809" s="75"/>
      <c r="C4809" s="67"/>
      <c r="D4809" s="75"/>
      <c r="E4809" s="67"/>
      <c r="F4809" s="67"/>
      <c r="G4809" s="70"/>
      <c r="H4809" s="70"/>
      <c r="I4809" s="70"/>
      <c r="J4809" s="70"/>
      <c r="K4809" s="70"/>
      <c r="L4809" s="67"/>
      <c r="M4809" s="67"/>
      <c r="N4809" s="72"/>
      <c r="O4809" s="72"/>
      <c r="P4809" s="67"/>
      <c r="Q4809" s="67"/>
      <c r="R4809" s="67"/>
      <c r="S4809" s="67"/>
      <c r="T4809" s="32"/>
      <c r="U4809" s="32"/>
      <c r="X4809" s="32"/>
      <c r="Y4809" s="32"/>
      <c r="Z4809" s="32"/>
      <c r="AA4809" s="32"/>
      <c r="AB4809" s="32"/>
    </row>
    <row r="4810" spans="2:28" ht="23.25" customHeight="1" x14ac:dyDescent="0.2">
      <c r="B4810" s="75"/>
      <c r="C4810" s="67"/>
      <c r="D4810" s="75"/>
      <c r="E4810" s="67"/>
      <c r="F4810" s="67"/>
      <c r="G4810" s="70"/>
      <c r="H4810" s="70"/>
      <c r="I4810" s="70"/>
      <c r="J4810" s="70"/>
      <c r="K4810" s="70"/>
      <c r="L4810" s="67"/>
      <c r="M4810" s="67"/>
      <c r="N4810" s="72"/>
      <c r="O4810" s="72"/>
      <c r="P4810" s="67"/>
      <c r="Q4810" s="67"/>
      <c r="R4810" s="67"/>
      <c r="S4810" s="67"/>
      <c r="T4810" s="32"/>
      <c r="U4810" s="32"/>
      <c r="X4810" s="32"/>
      <c r="Y4810" s="32"/>
      <c r="Z4810" s="32"/>
      <c r="AA4810" s="32"/>
      <c r="AB4810" s="32"/>
    </row>
    <row r="4811" spans="2:28" ht="23.25" customHeight="1" x14ac:dyDescent="0.2">
      <c r="B4811" s="75"/>
      <c r="C4811" s="67"/>
      <c r="D4811" s="75"/>
      <c r="E4811" s="67"/>
      <c r="F4811" s="67"/>
      <c r="G4811" s="70"/>
      <c r="H4811" s="70"/>
      <c r="I4811" s="70"/>
      <c r="J4811" s="70"/>
      <c r="K4811" s="70"/>
      <c r="L4811" s="67"/>
      <c r="M4811" s="67"/>
      <c r="N4811" s="72"/>
      <c r="O4811" s="72"/>
      <c r="P4811" s="67"/>
      <c r="Q4811" s="67"/>
      <c r="R4811" s="67"/>
      <c r="S4811" s="67"/>
      <c r="T4811" s="32"/>
      <c r="U4811" s="32"/>
      <c r="X4811" s="32"/>
      <c r="Y4811" s="32"/>
      <c r="Z4811" s="32"/>
      <c r="AA4811" s="32"/>
      <c r="AB4811" s="32"/>
    </row>
    <row r="4812" spans="2:28" ht="23.25" customHeight="1" x14ac:dyDescent="0.2">
      <c r="B4812" s="75"/>
      <c r="C4812" s="67"/>
      <c r="D4812" s="75"/>
      <c r="E4812" s="67"/>
      <c r="F4812" s="67"/>
      <c r="G4812" s="70"/>
      <c r="H4812" s="70"/>
      <c r="I4812" s="70"/>
      <c r="J4812" s="70"/>
      <c r="K4812" s="70"/>
      <c r="L4812" s="67"/>
      <c r="M4812" s="67"/>
      <c r="N4812" s="72"/>
      <c r="O4812" s="72"/>
      <c r="P4812" s="67"/>
      <c r="Q4812" s="67"/>
      <c r="R4812" s="67"/>
      <c r="S4812" s="67"/>
      <c r="T4812" s="32"/>
      <c r="U4812" s="32"/>
      <c r="X4812" s="32"/>
      <c r="Y4812" s="32"/>
      <c r="Z4812" s="32"/>
      <c r="AA4812" s="32"/>
      <c r="AB4812" s="32"/>
    </row>
    <row r="4813" spans="2:28" ht="23.25" customHeight="1" x14ac:dyDescent="0.2">
      <c r="B4813" s="75"/>
      <c r="C4813" s="67"/>
      <c r="D4813" s="75"/>
      <c r="E4813" s="67"/>
      <c r="F4813" s="67"/>
      <c r="G4813" s="70"/>
      <c r="H4813" s="70"/>
      <c r="I4813" s="70"/>
      <c r="J4813" s="70"/>
      <c r="K4813" s="70"/>
      <c r="L4813" s="67"/>
      <c r="M4813" s="67"/>
      <c r="N4813" s="72"/>
      <c r="O4813" s="72"/>
      <c r="P4813" s="67"/>
      <c r="Q4813" s="67"/>
      <c r="R4813" s="67"/>
      <c r="S4813" s="67"/>
      <c r="T4813" s="32"/>
      <c r="U4813" s="32"/>
      <c r="X4813" s="32"/>
      <c r="Y4813" s="32"/>
      <c r="Z4813" s="32"/>
      <c r="AA4813" s="32"/>
      <c r="AB4813" s="32"/>
    </row>
    <row r="4814" spans="2:28" ht="23.25" customHeight="1" x14ac:dyDescent="0.2">
      <c r="B4814" s="75"/>
      <c r="C4814" s="67"/>
      <c r="D4814" s="75"/>
      <c r="E4814" s="67"/>
      <c r="F4814" s="67"/>
      <c r="G4814" s="70"/>
      <c r="H4814" s="70"/>
      <c r="I4814" s="70"/>
      <c r="J4814" s="70"/>
      <c r="K4814" s="70"/>
      <c r="L4814" s="67"/>
      <c r="M4814" s="67"/>
      <c r="N4814" s="72"/>
      <c r="O4814" s="72"/>
      <c r="P4814" s="67"/>
      <c r="Q4814" s="67"/>
      <c r="R4814" s="67"/>
      <c r="S4814" s="67"/>
      <c r="T4814" s="32"/>
      <c r="U4814" s="32"/>
      <c r="X4814" s="32"/>
      <c r="Y4814" s="32"/>
      <c r="Z4814" s="32"/>
      <c r="AA4814" s="32"/>
      <c r="AB4814" s="32"/>
    </row>
    <row r="4815" spans="2:28" ht="23.25" customHeight="1" x14ac:dyDescent="0.2">
      <c r="B4815" s="75"/>
      <c r="C4815" s="67"/>
      <c r="D4815" s="75"/>
      <c r="E4815" s="67"/>
      <c r="F4815" s="67"/>
      <c r="G4815" s="70"/>
      <c r="H4815" s="70"/>
      <c r="I4815" s="70"/>
      <c r="J4815" s="70"/>
      <c r="K4815" s="70"/>
      <c r="L4815" s="67"/>
      <c r="M4815" s="67"/>
      <c r="N4815" s="72"/>
      <c r="O4815" s="72"/>
      <c r="P4815" s="67"/>
      <c r="Q4815" s="67"/>
      <c r="R4815" s="67"/>
      <c r="S4815" s="67"/>
      <c r="T4815" s="32"/>
      <c r="U4815" s="32"/>
      <c r="X4815" s="32"/>
      <c r="Y4815" s="32"/>
      <c r="Z4815" s="32"/>
      <c r="AA4815" s="32"/>
      <c r="AB4815" s="32"/>
    </row>
    <row r="4816" spans="2:28" ht="23.25" customHeight="1" x14ac:dyDescent="0.2">
      <c r="B4816" s="75"/>
      <c r="C4816" s="67"/>
      <c r="D4816" s="75"/>
      <c r="E4816" s="67"/>
      <c r="F4816" s="67"/>
      <c r="G4816" s="70"/>
      <c r="H4816" s="70"/>
      <c r="I4816" s="70"/>
      <c r="J4816" s="70"/>
      <c r="K4816" s="70"/>
      <c r="L4816" s="67"/>
      <c r="M4816" s="67"/>
      <c r="N4816" s="72"/>
      <c r="O4816" s="72"/>
      <c r="P4816" s="67"/>
      <c r="Q4816" s="67"/>
      <c r="R4816" s="67"/>
      <c r="S4816" s="67"/>
      <c r="T4816" s="32"/>
      <c r="U4816" s="32"/>
      <c r="X4816" s="32"/>
      <c r="Y4816" s="32"/>
      <c r="Z4816" s="32"/>
      <c r="AA4816" s="32"/>
      <c r="AB4816" s="32"/>
    </row>
    <row r="4817" spans="2:28" ht="23.25" customHeight="1" x14ac:dyDescent="0.2">
      <c r="B4817" s="75"/>
      <c r="C4817" s="67"/>
      <c r="D4817" s="75"/>
      <c r="E4817" s="67"/>
      <c r="F4817" s="67"/>
      <c r="G4817" s="70"/>
      <c r="H4817" s="70"/>
      <c r="I4817" s="70"/>
      <c r="J4817" s="70"/>
      <c r="K4817" s="70"/>
      <c r="L4817" s="67"/>
      <c r="M4817" s="67"/>
      <c r="N4817" s="72"/>
      <c r="O4817" s="72"/>
      <c r="P4817" s="67"/>
      <c r="Q4817" s="67"/>
      <c r="R4817" s="67"/>
      <c r="S4817" s="67"/>
      <c r="T4817" s="32"/>
      <c r="U4817" s="32"/>
      <c r="X4817" s="32"/>
      <c r="Y4817" s="32"/>
      <c r="Z4817" s="32"/>
      <c r="AA4817" s="32"/>
      <c r="AB4817" s="32"/>
    </row>
    <row r="4818" spans="2:28" ht="23.25" customHeight="1" x14ac:dyDescent="0.2">
      <c r="B4818" s="75"/>
      <c r="C4818" s="67"/>
      <c r="D4818" s="75"/>
      <c r="E4818" s="67"/>
      <c r="F4818" s="67"/>
      <c r="G4818" s="70"/>
      <c r="H4818" s="70"/>
      <c r="I4818" s="70"/>
      <c r="J4818" s="70"/>
      <c r="K4818" s="70"/>
      <c r="L4818" s="67"/>
      <c r="M4818" s="67"/>
      <c r="N4818" s="72"/>
      <c r="O4818" s="72"/>
      <c r="P4818" s="67"/>
      <c r="Q4818" s="67"/>
      <c r="R4818" s="67"/>
      <c r="S4818" s="67"/>
      <c r="T4818" s="32"/>
      <c r="U4818" s="32"/>
      <c r="X4818" s="32"/>
      <c r="Y4818" s="32"/>
      <c r="Z4818" s="32"/>
      <c r="AA4818" s="32"/>
      <c r="AB4818" s="32"/>
    </row>
    <row r="4819" spans="2:28" ht="23.25" customHeight="1" x14ac:dyDescent="0.2">
      <c r="B4819" s="75"/>
      <c r="C4819" s="67"/>
      <c r="D4819" s="75"/>
      <c r="E4819" s="67"/>
      <c r="F4819" s="67"/>
      <c r="G4819" s="70"/>
      <c r="H4819" s="70"/>
      <c r="I4819" s="70"/>
      <c r="J4819" s="70"/>
      <c r="K4819" s="70"/>
      <c r="L4819" s="67"/>
      <c r="M4819" s="67"/>
      <c r="N4819" s="72"/>
      <c r="O4819" s="72"/>
      <c r="P4819" s="67"/>
      <c r="Q4819" s="67"/>
      <c r="R4819" s="67"/>
      <c r="S4819" s="67"/>
      <c r="T4819" s="32"/>
      <c r="U4819" s="32"/>
      <c r="X4819" s="32"/>
      <c r="Y4819" s="32"/>
      <c r="Z4819" s="32"/>
      <c r="AA4819" s="32"/>
      <c r="AB4819" s="32"/>
    </row>
    <row r="4820" spans="2:28" ht="23.25" customHeight="1" x14ac:dyDescent="0.2">
      <c r="B4820" s="75"/>
      <c r="C4820" s="67"/>
      <c r="D4820" s="75"/>
      <c r="E4820" s="67"/>
      <c r="F4820" s="67"/>
      <c r="G4820" s="70"/>
      <c r="H4820" s="70"/>
      <c r="I4820" s="70"/>
      <c r="J4820" s="70"/>
      <c r="K4820" s="70"/>
      <c r="L4820" s="67"/>
      <c r="M4820" s="67"/>
      <c r="N4820" s="72"/>
      <c r="O4820" s="72"/>
      <c r="P4820" s="67"/>
      <c r="Q4820" s="67"/>
      <c r="R4820" s="67"/>
      <c r="S4820" s="67"/>
      <c r="T4820" s="32"/>
      <c r="U4820" s="32"/>
      <c r="X4820" s="32"/>
      <c r="Y4820" s="32"/>
      <c r="Z4820" s="32"/>
      <c r="AA4820" s="32"/>
      <c r="AB4820" s="32"/>
    </row>
    <row r="4821" spans="2:28" ht="23.25" customHeight="1" x14ac:dyDescent="0.2">
      <c r="B4821" s="75"/>
      <c r="C4821" s="67"/>
      <c r="D4821" s="75"/>
      <c r="E4821" s="67"/>
      <c r="F4821" s="67"/>
      <c r="G4821" s="70"/>
      <c r="H4821" s="70"/>
      <c r="I4821" s="70"/>
      <c r="J4821" s="70"/>
      <c r="K4821" s="70"/>
      <c r="L4821" s="67"/>
      <c r="M4821" s="67"/>
      <c r="N4821" s="72"/>
      <c r="O4821" s="72"/>
      <c r="P4821" s="67"/>
      <c r="Q4821" s="67"/>
      <c r="R4821" s="67"/>
      <c r="S4821" s="67"/>
      <c r="T4821" s="32"/>
      <c r="U4821" s="32"/>
      <c r="X4821" s="32"/>
      <c r="Y4821" s="32"/>
      <c r="Z4821" s="32"/>
      <c r="AA4821" s="32"/>
      <c r="AB4821" s="32"/>
    </row>
    <row r="4822" spans="2:28" ht="23.25" customHeight="1" x14ac:dyDescent="0.2">
      <c r="B4822" s="75"/>
      <c r="C4822" s="67"/>
      <c r="D4822" s="75"/>
      <c r="E4822" s="67"/>
      <c r="F4822" s="67"/>
      <c r="G4822" s="70"/>
      <c r="H4822" s="70"/>
      <c r="I4822" s="70"/>
      <c r="J4822" s="70"/>
      <c r="K4822" s="70"/>
      <c r="L4822" s="67"/>
      <c r="M4822" s="67"/>
      <c r="N4822" s="72"/>
      <c r="O4822" s="72"/>
      <c r="P4822" s="67"/>
      <c r="Q4822" s="67"/>
      <c r="R4822" s="67"/>
      <c r="S4822" s="67"/>
      <c r="T4822" s="32"/>
      <c r="U4822" s="32"/>
      <c r="X4822" s="32"/>
      <c r="Y4822" s="32"/>
      <c r="Z4822" s="32"/>
      <c r="AA4822" s="32"/>
      <c r="AB4822" s="32"/>
    </row>
    <row r="4823" spans="2:28" ht="23.25" customHeight="1" x14ac:dyDescent="0.2">
      <c r="B4823" s="75"/>
      <c r="C4823" s="67"/>
      <c r="D4823" s="75"/>
      <c r="E4823" s="67"/>
      <c r="F4823" s="67"/>
      <c r="G4823" s="70"/>
      <c r="H4823" s="70"/>
      <c r="I4823" s="70"/>
      <c r="J4823" s="70"/>
      <c r="K4823" s="70"/>
      <c r="L4823" s="67"/>
      <c r="M4823" s="67"/>
      <c r="N4823" s="72"/>
      <c r="O4823" s="72"/>
      <c r="P4823" s="67"/>
      <c r="Q4823" s="67"/>
      <c r="R4823" s="67"/>
      <c r="S4823" s="67"/>
      <c r="T4823" s="32"/>
      <c r="U4823" s="32"/>
      <c r="X4823" s="32"/>
      <c r="Y4823" s="32"/>
      <c r="Z4823" s="32"/>
      <c r="AA4823" s="32"/>
      <c r="AB4823" s="32"/>
    </row>
    <row r="4824" spans="2:28" ht="23.25" customHeight="1" x14ac:dyDescent="0.2">
      <c r="B4824" s="75"/>
      <c r="C4824" s="67"/>
      <c r="D4824" s="75"/>
      <c r="E4824" s="67"/>
      <c r="F4824" s="67"/>
      <c r="G4824" s="70"/>
      <c r="H4824" s="70"/>
      <c r="I4824" s="70"/>
      <c r="J4824" s="70"/>
      <c r="K4824" s="70"/>
      <c r="L4824" s="67"/>
      <c r="M4824" s="67"/>
      <c r="N4824" s="72"/>
      <c r="O4824" s="72"/>
      <c r="P4824" s="67"/>
      <c r="Q4824" s="67"/>
      <c r="R4824" s="67"/>
      <c r="S4824" s="67"/>
      <c r="T4824" s="32"/>
      <c r="U4824" s="32"/>
      <c r="X4824" s="32"/>
      <c r="Y4824" s="32"/>
      <c r="Z4824" s="32"/>
      <c r="AA4824" s="32"/>
      <c r="AB4824" s="32"/>
    </row>
    <row r="4825" spans="2:28" ht="23.25" customHeight="1" x14ac:dyDescent="0.2">
      <c r="B4825" s="75"/>
      <c r="C4825" s="67"/>
      <c r="D4825" s="75"/>
      <c r="E4825" s="67"/>
      <c r="F4825" s="67"/>
      <c r="G4825" s="70"/>
      <c r="H4825" s="70"/>
      <c r="I4825" s="70"/>
      <c r="J4825" s="70"/>
      <c r="K4825" s="70"/>
      <c r="L4825" s="67"/>
      <c r="M4825" s="67"/>
      <c r="N4825" s="72"/>
      <c r="O4825" s="72"/>
      <c r="P4825" s="67"/>
      <c r="Q4825" s="67"/>
      <c r="R4825" s="67"/>
      <c r="S4825" s="67"/>
      <c r="T4825" s="32"/>
      <c r="U4825" s="32"/>
      <c r="X4825" s="32"/>
      <c r="Y4825" s="32"/>
      <c r="Z4825" s="32"/>
      <c r="AA4825" s="32"/>
      <c r="AB4825" s="32"/>
    </row>
    <row r="4826" spans="2:28" ht="23.25" customHeight="1" x14ac:dyDescent="0.2">
      <c r="B4826" s="75"/>
      <c r="C4826" s="67"/>
      <c r="D4826" s="75"/>
      <c r="E4826" s="67"/>
      <c r="F4826" s="67"/>
      <c r="G4826" s="70"/>
      <c r="H4826" s="70"/>
      <c r="I4826" s="70"/>
      <c r="J4826" s="70"/>
      <c r="K4826" s="70"/>
      <c r="L4826" s="67"/>
      <c r="M4826" s="67"/>
      <c r="N4826" s="72"/>
      <c r="O4826" s="72"/>
      <c r="P4826" s="67"/>
      <c r="Q4826" s="67"/>
      <c r="R4826" s="67"/>
      <c r="S4826" s="67"/>
      <c r="T4826" s="32"/>
      <c r="U4826" s="32"/>
      <c r="X4826" s="32"/>
      <c r="Y4826" s="32"/>
      <c r="Z4826" s="32"/>
      <c r="AA4826" s="32"/>
      <c r="AB4826" s="32"/>
    </row>
    <row r="4827" spans="2:28" ht="23.25" customHeight="1" x14ac:dyDescent="0.2">
      <c r="B4827" s="75"/>
      <c r="C4827" s="67"/>
      <c r="D4827" s="75"/>
      <c r="E4827" s="67"/>
      <c r="F4827" s="67"/>
      <c r="G4827" s="70"/>
      <c r="H4827" s="70"/>
      <c r="I4827" s="70"/>
      <c r="J4827" s="70"/>
      <c r="K4827" s="70"/>
      <c r="L4827" s="67"/>
      <c r="M4827" s="67"/>
      <c r="N4827" s="72"/>
      <c r="O4827" s="72"/>
      <c r="P4827" s="67"/>
      <c r="Q4827" s="67"/>
      <c r="R4827" s="67"/>
      <c r="S4827" s="67"/>
      <c r="T4827" s="32"/>
      <c r="U4827" s="32"/>
      <c r="X4827" s="32"/>
      <c r="Y4827" s="32"/>
      <c r="Z4827" s="32"/>
      <c r="AA4827" s="32"/>
      <c r="AB4827" s="32"/>
    </row>
    <row r="4828" spans="2:28" ht="23.25" customHeight="1" x14ac:dyDescent="0.2">
      <c r="B4828" s="75"/>
      <c r="C4828" s="67"/>
      <c r="D4828" s="75"/>
      <c r="E4828" s="67"/>
      <c r="F4828" s="67"/>
      <c r="G4828" s="70"/>
      <c r="H4828" s="70"/>
      <c r="I4828" s="70"/>
      <c r="J4828" s="70"/>
      <c r="K4828" s="70"/>
      <c r="L4828" s="67"/>
      <c r="M4828" s="67"/>
      <c r="N4828" s="72"/>
      <c r="O4828" s="72"/>
      <c r="P4828" s="67"/>
      <c r="Q4828" s="67"/>
      <c r="R4828" s="67"/>
      <c r="S4828" s="67"/>
      <c r="T4828" s="32"/>
      <c r="U4828" s="32"/>
      <c r="X4828" s="32"/>
      <c r="Y4828" s="32"/>
      <c r="Z4828" s="32"/>
      <c r="AA4828" s="32"/>
      <c r="AB4828" s="32"/>
    </row>
    <row r="4829" spans="2:28" ht="23.25" customHeight="1" x14ac:dyDescent="0.2">
      <c r="B4829" s="75"/>
      <c r="C4829" s="67"/>
      <c r="D4829" s="75"/>
      <c r="E4829" s="67"/>
      <c r="F4829" s="67"/>
      <c r="G4829" s="70"/>
      <c r="H4829" s="70"/>
      <c r="I4829" s="70"/>
      <c r="J4829" s="70"/>
      <c r="K4829" s="70"/>
      <c r="L4829" s="67"/>
      <c r="M4829" s="67"/>
      <c r="N4829" s="72"/>
      <c r="O4829" s="72"/>
      <c r="P4829" s="67"/>
      <c r="Q4829" s="67"/>
      <c r="R4829" s="67"/>
      <c r="S4829" s="67"/>
      <c r="T4829" s="32"/>
      <c r="U4829" s="32"/>
      <c r="X4829" s="32"/>
      <c r="Y4829" s="32"/>
      <c r="Z4829" s="32"/>
      <c r="AA4829" s="32"/>
      <c r="AB4829" s="32"/>
    </row>
    <row r="4830" spans="2:28" ht="23.25" customHeight="1" x14ac:dyDescent="0.2">
      <c r="B4830" s="75"/>
      <c r="C4830" s="67"/>
      <c r="D4830" s="75"/>
      <c r="E4830" s="67"/>
      <c r="F4830" s="67"/>
      <c r="G4830" s="70"/>
      <c r="H4830" s="70"/>
      <c r="I4830" s="70"/>
      <c r="J4830" s="70"/>
      <c r="K4830" s="70"/>
      <c r="L4830" s="67"/>
      <c r="M4830" s="67"/>
      <c r="N4830" s="72"/>
      <c r="O4830" s="72"/>
      <c r="P4830" s="67"/>
      <c r="Q4830" s="67"/>
      <c r="R4830" s="67"/>
      <c r="S4830" s="67"/>
      <c r="T4830" s="32"/>
      <c r="U4830" s="32"/>
      <c r="X4830" s="32"/>
      <c r="Y4830" s="32"/>
      <c r="Z4830" s="32"/>
      <c r="AA4830" s="32"/>
      <c r="AB4830" s="32"/>
    </row>
    <row r="4831" spans="2:28" ht="23.25" customHeight="1" x14ac:dyDescent="0.2">
      <c r="B4831" s="75"/>
      <c r="C4831" s="67"/>
      <c r="D4831" s="75"/>
      <c r="E4831" s="67"/>
      <c r="F4831" s="67"/>
      <c r="G4831" s="70"/>
      <c r="H4831" s="70"/>
      <c r="I4831" s="70"/>
      <c r="J4831" s="70"/>
      <c r="K4831" s="70"/>
      <c r="L4831" s="67"/>
      <c r="M4831" s="67"/>
      <c r="N4831" s="72"/>
      <c r="O4831" s="72"/>
      <c r="P4831" s="67"/>
      <c r="Q4831" s="67"/>
      <c r="R4831" s="67"/>
      <c r="S4831" s="67"/>
      <c r="T4831" s="32"/>
      <c r="U4831" s="32"/>
      <c r="X4831" s="32"/>
      <c r="Y4831" s="32"/>
      <c r="Z4831" s="32"/>
      <c r="AA4831" s="32"/>
      <c r="AB4831" s="32"/>
    </row>
    <row r="4832" spans="2:28" ht="23.25" customHeight="1" x14ac:dyDescent="0.2">
      <c r="B4832" s="75"/>
      <c r="C4832" s="67"/>
      <c r="D4832" s="75"/>
      <c r="E4832" s="67"/>
      <c r="F4832" s="67"/>
      <c r="G4832" s="70"/>
      <c r="H4832" s="70"/>
      <c r="I4832" s="70"/>
      <c r="J4832" s="70"/>
      <c r="K4832" s="70"/>
      <c r="L4832" s="67"/>
      <c r="M4832" s="67"/>
      <c r="N4832" s="72"/>
      <c r="O4832" s="72"/>
      <c r="P4832" s="67"/>
      <c r="Q4832" s="67"/>
      <c r="R4832" s="67"/>
      <c r="S4832" s="67"/>
      <c r="T4832" s="32"/>
      <c r="U4832" s="32"/>
      <c r="X4832" s="32"/>
      <c r="Y4832" s="32"/>
      <c r="Z4832" s="32"/>
      <c r="AA4832" s="32"/>
      <c r="AB4832" s="32"/>
    </row>
    <row r="4833" spans="2:28" ht="23.25" customHeight="1" x14ac:dyDescent="0.2">
      <c r="B4833" s="75"/>
      <c r="C4833" s="67"/>
      <c r="D4833" s="75"/>
      <c r="E4833" s="67"/>
      <c r="F4833" s="67"/>
      <c r="G4833" s="70"/>
      <c r="H4833" s="70"/>
      <c r="I4833" s="70"/>
      <c r="J4833" s="70"/>
      <c r="K4833" s="70"/>
      <c r="L4833" s="67"/>
      <c r="M4833" s="67"/>
      <c r="N4833" s="72"/>
      <c r="O4833" s="72"/>
      <c r="P4833" s="67"/>
      <c r="Q4833" s="67"/>
      <c r="R4833" s="67"/>
      <c r="S4833" s="67"/>
      <c r="T4833" s="32"/>
      <c r="U4833" s="32"/>
      <c r="X4833" s="32"/>
      <c r="Y4833" s="32"/>
      <c r="Z4833" s="32"/>
      <c r="AA4833" s="32"/>
      <c r="AB4833" s="32"/>
    </row>
    <row r="4834" spans="2:28" ht="23.25" customHeight="1" x14ac:dyDescent="0.2">
      <c r="B4834" s="75"/>
      <c r="C4834" s="67"/>
      <c r="D4834" s="75"/>
      <c r="E4834" s="67"/>
      <c r="F4834" s="67"/>
      <c r="G4834" s="70"/>
      <c r="H4834" s="70"/>
      <c r="I4834" s="70"/>
      <c r="J4834" s="70"/>
      <c r="K4834" s="70"/>
      <c r="L4834" s="67"/>
      <c r="M4834" s="67"/>
      <c r="N4834" s="72"/>
      <c r="O4834" s="72"/>
      <c r="P4834" s="67"/>
      <c r="Q4834" s="67"/>
      <c r="R4834" s="67"/>
      <c r="S4834" s="67"/>
      <c r="T4834" s="32"/>
      <c r="U4834" s="32"/>
      <c r="X4834" s="32"/>
      <c r="Y4834" s="32"/>
      <c r="Z4834" s="32"/>
      <c r="AA4834" s="32"/>
      <c r="AB4834" s="32"/>
    </row>
    <row r="4835" spans="2:28" ht="23.25" customHeight="1" x14ac:dyDescent="0.2">
      <c r="B4835" s="75"/>
      <c r="C4835" s="67"/>
      <c r="D4835" s="75"/>
      <c r="E4835" s="67"/>
      <c r="F4835" s="67"/>
      <c r="G4835" s="70"/>
      <c r="H4835" s="70"/>
      <c r="I4835" s="70"/>
      <c r="J4835" s="70"/>
      <c r="K4835" s="70"/>
      <c r="L4835" s="67"/>
      <c r="M4835" s="67"/>
      <c r="N4835" s="72"/>
      <c r="O4835" s="72"/>
      <c r="P4835" s="67"/>
      <c r="Q4835" s="67"/>
      <c r="R4835" s="67"/>
      <c r="S4835" s="67"/>
      <c r="T4835" s="32"/>
      <c r="U4835" s="32"/>
      <c r="X4835" s="32"/>
      <c r="Y4835" s="32"/>
      <c r="Z4835" s="32"/>
      <c r="AA4835" s="32"/>
      <c r="AB4835" s="32"/>
    </row>
    <row r="4836" spans="2:28" ht="23.25" customHeight="1" x14ac:dyDescent="0.2">
      <c r="B4836" s="75"/>
      <c r="C4836" s="67"/>
      <c r="D4836" s="75"/>
      <c r="E4836" s="67"/>
      <c r="F4836" s="67"/>
      <c r="G4836" s="70"/>
      <c r="H4836" s="70"/>
      <c r="I4836" s="70"/>
      <c r="J4836" s="70"/>
      <c r="K4836" s="70"/>
      <c r="L4836" s="67"/>
      <c r="M4836" s="67"/>
      <c r="N4836" s="72"/>
      <c r="O4836" s="72"/>
      <c r="P4836" s="67"/>
      <c r="Q4836" s="67"/>
      <c r="R4836" s="67"/>
      <c r="S4836" s="67"/>
      <c r="T4836" s="32"/>
      <c r="U4836" s="32"/>
      <c r="X4836" s="32"/>
      <c r="Y4836" s="32"/>
      <c r="Z4836" s="32"/>
      <c r="AA4836" s="32"/>
      <c r="AB4836" s="32"/>
    </row>
    <row r="4837" spans="2:28" ht="23.25" customHeight="1" x14ac:dyDescent="0.2">
      <c r="B4837" s="75"/>
      <c r="C4837" s="67"/>
      <c r="D4837" s="75"/>
      <c r="E4837" s="67"/>
      <c r="F4837" s="67"/>
      <c r="G4837" s="70"/>
      <c r="H4837" s="70"/>
      <c r="I4837" s="70"/>
      <c r="J4837" s="70"/>
      <c r="K4837" s="70"/>
      <c r="L4837" s="67"/>
      <c r="M4837" s="67"/>
      <c r="N4837" s="72"/>
      <c r="O4837" s="72"/>
      <c r="P4837" s="67"/>
      <c r="Q4837" s="67"/>
      <c r="R4837" s="67"/>
      <c r="S4837" s="67"/>
      <c r="T4837" s="32"/>
      <c r="U4837" s="32"/>
      <c r="X4837" s="32"/>
      <c r="Y4837" s="32"/>
      <c r="Z4837" s="32"/>
      <c r="AA4837" s="32"/>
      <c r="AB4837" s="32"/>
    </row>
    <row r="4838" spans="2:28" ht="23.25" customHeight="1" x14ac:dyDescent="0.2">
      <c r="B4838" s="75"/>
      <c r="C4838" s="67"/>
      <c r="D4838" s="75"/>
      <c r="E4838" s="67"/>
      <c r="F4838" s="67"/>
      <c r="G4838" s="70"/>
      <c r="H4838" s="70"/>
      <c r="I4838" s="70"/>
      <c r="J4838" s="70"/>
      <c r="K4838" s="70"/>
      <c r="L4838" s="67"/>
      <c r="M4838" s="67"/>
      <c r="N4838" s="72"/>
      <c r="O4838" s="72"/>
      <c r="P4838" s="67"/>
      <c r="Q4838" s="67"/>
      <c r="R4838" s="67"/>
      <c r="S4838" s="67"/>
      <c r="T4838" s="32"/>
      <c r="U4838" s="32"/>
      <c r="X4838" s="32"/>
      <c r="Y4838" s="32"/>
      <c r="Z4838" s="32"/>
      <c r="AA4838" s="32"/>
      <c r="AB4838" s="32"/>
    </row>
    <row r="4839" spans="2:28" ht="23.25" customHeight="1" x14ac:dyDescent="0.2">
      <c r="B4839" s="75"/>
      <c r="C4839" s="67"/>
      <c r="D4839" s="75"/>
      <c r="E4839" s="67"/>
      <c r="F4839" s="67"/>
      <c r="G4839" s="70"/>
      <c r="H4839" s="70"/>
      <c r="I4839" s="70"/>
      <c r="J4839" s="70"/>
      <c r="K4839" s="70"/>
      <c r="L4839" s="67"/>
      <c r="M4839" s="67"/>
      <c r="N4839" s="72"/>
      <c r="O4839" s="72"/>
      <c r="P4839" s="67"/>
      <c r="Q4839" s="67"/>
      <c r="R4839" s="67"/>
      <c r="S4839" s="67"/>
      <c r="T4839" s="32"/>
      <c r="U4839" s="32"/>
      <c r="X4839" s="32"/>
      <c r="Y4839" s="32"/>
      <c r="Z4839" s="32"/>
      <c r="AA4839" s="32"/>
      <c r="AB4839" s="32"/>
    </row>
    <row r="4840" spans="2:28" ht="23.25" customHeight="1" x14ac:dyDescent="0.2">
      <c r="B4840" s="75"/>
      <c r="C4840" s="67"/>
      <c r="D4840" s="75"/>
      <c r="E4840" s="67"/>
      <c r="F4840" s="67"/>
      <c r="G4840" s="70"/>
      <c r="H4840" s="70"/>
      <c r="I4840" s="70"/>
      <c r="J4840" s="70"/>
      <c r="K4840" s="70"/>
      <c r="L4840" s="67"/>
      <c r="M4840" s="67"/>
      <c r="N4840" s="72"/>
      <c r="O4840" s="72"/>
      <c r="P4840" s="67"/>
      <c r="Q4840" s="67"/>
      <c r="R4840" s="67"/>
      <c r="S4840" s="67"/>
      <c r="T4840" s="32"/>
      <c r="U4840" s="32"/>
      <c r="X4840" s="32"/>
      <c r="Y4840" s="32"/>
      <c r="Z4840" s="32"/>
      <c r="AA4840" s="32"/>
      <c r="AB4840" s="32"/>
    </row>
    <row r="4841" spans="2:28" ht="23.25" customHeight="1" x14ac:dyDescent="0.2">
      <c r="B4841" s="75"/>
      <c r="C4841" s="67"/>
      <c r="D4841" s="75"/>
      <c r="E4841" s="67"/>
      <c r="F4841" s="67"/>
      <c r="G4841" s="70"/>
      <c r="H4841" s="70"/>
      <c r="I4841" s="70"/>
      <c r="J4841" s="70"/>
      <c r="K4841" s="70"/>
      <c r="L4841" s="67"/>
      <c r="M4841" s="67"/>
      <c r="N4841" s="72"/>
      <c r="O4841" s="72"/>
      <c r="P4841" s="67"/>
      <c r="Q4841" s="67"/>
      <c r="R4841" s="67"/>
      <c r="S4841" s="67"/>
      <c r="T4841" s="32"/>
      <c r="U4841" s="32"/>
      <c r="X4841" s="32"/>
      <c r="Y4841" s="32"/>
      <c r="Z4841" s="32"/>
      <c r="AA4841" s="32"/>
      <c r="AB4841" s="32"/>
    </row>
    <row r="4842" spans="2:28" ht="23.25" customHeight="1" x14ac:dyDescent="0.2">
      <c r="B4842" s="75"/>
      <c r="C4842" s="67"/>
      <c r="D4842" s="75"/>
      <c r="E4842" s="67"/>
      <c r="F4842" s="67"/>
      <c r="G4842" s="70"/>
      <c r="H4842" s="70"/>
      <c r="I4842" s="70"/>
      <c r="J4842" s="70"/>
      <c r="K4842" s="70"/>
      <c r="L4842" s="67"/>
      <c r="M4842" s="67"/>
      <c r="N4842" s="72"/>
      <c r="O4842" s="72"/>
      <c r="P4842" s="67"/>
      <c r="Q4842" s="67"/>
      <c r="R4842" s="67"/>
      <c r="S4842" s="67"/>
      <c r="T4842" s="32"/>
      <c r="U4842" s="32"/>
      <c r="X4842" s="32"/>
      <c r="Y4842" s="32"/>
      <c r="Z4842" s="32"/>
      <c r="AA4842" s="32"/>
      <c r="AB4842" s="32"/>
    </row>
    <row r="4843" spans="2:28" ht="23.25" customHeight="1" x14ac:dyDescent="0.2">
      <c r="B4843" s="75"/>
      <c r="C4843" s="67"/>
      <c r="D4843" s="75"/>
      <c r="E4843" s="67"/>
      <c r="F4843" s="67"/>
      <c r="G4843" s="70"/>
      <c r="H4843" s="70"/>
      <c r="I4843" s="70"/>
      <c r="J4843" s="70"/>
      <c r="K4843" s="70"/>
      <c r="L4843" s="67"/>
      <c r="M4843" s="67"/>
      <c r="N4843" s="72"/>
      <c r="O4843" s="72"/>
      <c r="P4843" s="67"/>
      <c r="Q4843" s="67"/>
      <c r="R4843" s="67"/>
      <c r="S4843" s="67"/>
      <c r="T4843" s="32"/>
      <c r="U4843" s="32"/>
      <c r="X4843" s="32"/>
      <c r="Y4843" s="32"/>
      <c r="Z4843" s="32"/>
      <c r="AA4843" s="32"/>
      <c r="AB4843" s="32"/>
    </row>
    <row r="4844" spans="2:28" ht="23.25" customHeight="1" x14ac:dyDescent="0.2">
      <c r="B4844" s="75"/>
      <c r="C4844" s="67"/>
      <c r="D4844" s="75"/>
      <c r="E4844" s="67"/>
      <c r="F4844" s="67"/>
      <c r="G4844" s="70"/>
      <c r="H4844" s="70"/>
      <c r="I4844" s="70"/>
      <c r="J4844" s="70"/>
      <c r="K4844" s="70"/>
      <c r="L4844" s="67"/>
      <c r="M4844" s="67"/>
      <c r="N4844" s="72"/>
      <c r="O4844" s="72"/>
      <c r="P4844" s="67"/>
      <c r="Q4844" s="67"/>
      <c r="R4844" s="67"/>
      <c r="S4844" s="67"/>
      <c r="T4844" s="32"/>
      <c r="U4844" s="32"/>
      <c r="X4844" s="32"/>
      <c r="Y4844" s="32"/>
      <c r="Z4844" s="32"/>
      <c r="AA4844" s="32"/>
      <c r="AB4844" s="32"/>
    </row>
    <row r="4845" spans="2:28" ht="23.25" customHeight="1" x14ac:dyDescent="0.2">
      <c r="B4845" s="75"/>
      <c r="C4845" s="67"/>
      <c r="D4845" s="75"/>
      <c r="E4845" s="67"/>
      <c r="F4845" s="67"/>
      <c r="G4845" s="70"/>
      <c r="H4845" s="70"/>
      <c r="I4845" s="70"/>
      <c r="J4845" s="70"/>
      <c r="K4845" s="70"/>
      <c r="L4845" s="67"/>
      <c r="M4845" s="67"/>
      <c r="N4845" s="72"/>
      <c r="O4845" s="72"/>
      <c r="P4845" s="67"/>
      <c r="Q4845" s="67"/>
      <c r="R4845" s="67"/>
      <c r="S4845" s="67"/>
      <c r="T4845" s="32"/>
      <c r="U4845" s="32"/>
      <c r="X4845" s="32"/>
      <c r="Y4845" s="32"/>
      <c r="Z4845" s="32"/>
      <c r="AA4845" s="32"/>
      <c r="AB4845" s="32"/>
    </row>
    <row r="4846" spans="2:28" ht="23.25" customHeight="1" x14ac:dyDescent="0.2">
      <c r="B4846" s="75"/>
      <c r="C4846" s="67"/>
      <c r="D4846" s="75"/>
      <c r="E4846" s="67"/>
      <c r="F4846" s="67"/>
      <c r="G4846" s="70"/>
      <c r="H4846" s="70"/>
      <c r="I4846" s="70"/>
      <c r="J4846" s="70"/>
      <c r="K4846" s="70"/>
      <c r="L4846" s="67"/>
      <c r="M4846" s="67"/>
      <c r="N4846" s="72"/>
      <c r="O4846" s="72"/>
      <c r="P4846" s="67"/>
      <c r="Q4846" s="67"/>
      <c r="R4846" s="67"/>
      <c r="S4846" s="67"/>
      <c r="T4846" s="32"/>
      <c r="U4846" s="32"/>
      <c r="X4846" s="32"/>
      <c r="Y4846" s="32"/>
      <c r="Z4846" s="32"/>
      <c r="AA4846" s="32"/>
      <c r="AB4846" s="32"/>
    </row>
    <row r="4847" spans="2:28" ht="23.25" customHeight="1" x14ac:dyDescent="0.2">
      <c r="B4847" s="75"/>
      <c r="C4847" s="67"/>
      <c r="D4847" s="75"/>
      <c r="E4847" s="67"/>
      <c r="F4847" s="67"/>
      <c r="G4847" s="70"/>
      <c r="H4847" s="70"/>
      <c r="I4847" s="70"/>
      <c r="J4847" s="70"/>
      <c r="K4847" s="70"/>
      <c r="L4847" s="67"/>
      <c r="M4847" s="67"/>
      <c r="N4847" s="72"/>
      <c r="O4847" s="72"/>
      <c r="P4847" s="67"/>
      <c r="Q4847" s="67"/>
      <c r="R4847" s="67"/>
      <c r="S4847" s="67"/>
      <c r="T4847" s="32"/>
      <c r="U4847" s="32"/>
      <c r="X4847" s="32"/>
      <c r="Y4847" s="32"/>
      <c r="Z4847" s="32"/>
      <c r="AA4847" s="32"/>
      <c r="AB4847" s="32"/>
    </row>
    <row r="4848" spans="2:28" ht="23.25" customHeight="1" x14ac:dyDescent="0.2">
      <c r="B4848" s="75"/>
      <c r="C4848" s="67"/>
      <c r="D4848" s="75"/>
      <c r="E4848" s="67"/>
      <c r="F4848" s="67"/>
      <c r="G4848" s="70"/>
      <c r="H4848" s="70"/>
      <c r="I4848" s="70"/>
      <c r="J4848" s="70"/>
      <c r="K4848" s="70"/>
      <c r="L4848" s="67"/>
      <c r="M4848" s="67"/>
      <c r="N4848" s="72"/>
      <c r="O4848" s="72"/>
      <c r="P4848" s="67"/>
      <c r="Q4848" s="67"/>
      <c r="R4848" s="67"/>
      <c r="S4848" s="67"/>
      <c r="T4848" s="32"/>
      <c r="U4848" s="32"/>
      <c r="X4848" s="32"/>
      <c r="Y4848" s="32"/>
      <c r="Z4848" s="32"/>
      <c r="AA4848" s="32"/>
      <c r="AB4848" s="32"/>
    </row>
    <row r="4849" spans="2:28" ht="23.25" customHeight="1" x14ac:dyDescent="0.2">
      <c r="B4849" s="75"/>
      <c r="C4849" s="67"/>
      <c r="D4849" s="75"/>
      <c r="E4849" s="67"/>
      <c r="F4849" s="67"/>
      <c r="G4849" s="70"/>
      <c r="H4849" s="70"/>
      <c r="I4849" s="70"/>
      <c r="J4849" s="70"/>
      <c r="K4849" s="70"/>
      <c r="L4849" s="67"/>
      <c r="M4849" s="67"/>
      <c r="N4849" s="72"/>
      <c r="O4849" s="72"/>
      <c r="P4849" s="67"/>
      <c r="Q4849" s="67"/>
      <c r="R4849" s="67"/>
      <c r="S4849" s="67"/>
      <c r="T4849" s="32"/>
      <c r="U4849" s="32"/>
      <c r="X4849" s="32"/>
      <c r="Y4849" s="32"/>
      <c r="Z4849" s="32"/>
      <c r="AA4849" s="32"/>
      <c r="AB4849" s="32"/>
    </row>
    <row r="4850" spans="2:28" ht="23.25" customHeight="1" x14ac:dyDescent="0.2">
      <c r="B4850" s="75"/>
      <c r="C4850" s="67"/>
      <c r="D4850" s="75"/>
      <c r="E4850" s="67"/>
      <c r="F4850" s="67"/>
      <c r="G4850" s="70"/>
      <c r="H4850" s="70"/>
      <c r="I4850" s="70"/>
      <c r="J4850" s="70"/>
      <c r="K4850" s="70"/>
      <c r="L4850" s="67"/>
      <c r="M4850" s="67"/>
      <c r="N4850" s="72"/>
      <c r="O4850" s="72"/>
      <c r="P4850" s="67"/>
      <c r="Q4850" s="67"/>
      <c r="R4850" s="67"/>
      <c r="S4850" s="67"/>
      <c r="T4850" s="32"/>
      <c r="U4850" s="32"/>
      <c r="X4850" s="32"/>
      <c r="Y4850" s="32"/>
      <c r="Z4850" s="32"/>
      <c r="AA4850" s="32"/>
      <c r="AB4850" s="32"/>
    </row>
    <row r="4851" spans="2:28" ht="23.25" customHeight="1" x14ac:dyDescent="0.2">
      <c r="B4851" s="75"/>
      <c r="C4851" s="67"/>
      <c r="D4851" s="75"/>
      <c r="E4851" s="67"/>
      <c r="F4851" s="67"/>
      <c r="G4851" s="70"/>
      <c r="H4851" s="70"/>
      <c r="I4851" s="70"/>
      <c r="J4851" s="70"/>
      <c r="K4851" s="70"/>
      <c r="L4851" s="67"/>
      <c r="M4851" s="67"/>
      <c r="N4851" s="72"/>
      <c r="O4851" s="72"/>
      <c r="P4851" s="67"/>
      <c r="Q4851" s="67"/>
      <c r="R4851" s="67"/>
      <c r="S4851" s="67"/>
      <c r="T4851" s="32"/>
      <c r="U4851" s="32"/>
      <c r="X4851" s="32"/>
      <c r="Y4851" s="32"/>
      <c r="Z4851" s="32"/>
      <c r="AA4851" s="32"/>
      <c r="AB4851" s="32"/>
    </row>
    <row r="4852" spans="2:28" ht="23.25" customHeight="1" x14ac:dyDescent="0.2">
      <c r="B4852" s="75"/>
      <c r="C4852" s="67"/>
      <c r="D4852" s="75"/>
      <c r="E4852" s="67"/>
      <c r="F4852" s="67"/>
      <c r="G4852" s="70"/>
      <c r="H4852" s="70"/>
      <c r="I4852" s="70"/>
      <c r="J4852" s="70"/>
      <c r="K4852" s="70"/>
      <c r="L4852" s="67"/>
      <c r="M4852" s="67"/>
      <c r="N4852" s="72"/>
      <c r="O4852" s="72"/>
      <c r="P4852" s="67"/>
      <c r="Q4852" s="67"/>
      <c r="R4852" s="67"/>
      <c r="S4852" s="67"/>
      <c r="T4852" s="32"/>
      <c r="U4852" s="32"/>
      <c r="X4852" s="32"/>
      <c r="Y4852" s="32"/>
      <c r="Z4852" s="32"/>
      <c r="AA4852" s="32"/>
      <c r="AB4852" s="32"/>
    </row>
    <row r="4853" spans="2:28" ht="23.25" customHeight="1" x14ac:dyDescent="0.2">
      <c r="B4853" s="75"/>
      <c r="C4853" s="67"/>
      <c r="D4853" s="75"/>
      <c r="E4853" s="67"/>
      <c r="F4853" s="67"/>
      <c r="G4853" s="70"/>
      <c r="H4853" s="70"/>
      <c r="I4853" s="70"/>
      <c r="J4853" s="70"/>
      <c r="K4853" s="70"/>
      <c r="L4853" s="67"/>
      <c r="M4853" s="67"/>
      <c r="N4853" s="72"/>
      <c r="O4853" s="72"/>
      <c r="P4853" s="67"/>
      <c r="Q4853" s="67"/>
      <c r="R4853" s="67"/>
      <c r="S4853" s="67"/>
      <c r="T4853" s="32"/>
      <c r="U4853" s="32"/>
      <c r="X4853" s="32"/>
      <c r="Y4853" s="32"/>
      <c r="Z4853" s="32"/>
      <c r="AA4853" s="32"/>
      <c r="AB4853" s="32"/>
    </row>
    <row r="4854" spans="2:28" ht="23.25" customHeight="1" x14ac:dyDescent="0.2">
      <c r="B4854" s="75"/>
      <c r="C4854" s="67"/>
      <c r="D4854" s="75"/>
      <c r="E4854" s="67"/>
      <c r="F4854" s="67"/>
      <c r="G4854" s="70"/>
      <c r="H4854" s="70"/>
      <c r="I4854" s="70"/>
      <c r="J4854" s="70"/>
      <c r="K4854" s="70"/>
      <c r="L4854" s="67"/>
      <c r="M4854" s="67"/>
      <c r="N4854" s="72"/>
      <c r="O4854" s="72"/>
      <c r="P4854" s="67"/>
      <c r="Q4854" s="67"/>
      <c r="R4854" s="67"/>
      <c r="S4854" s="67"/>
      <c r="T4854" s="32"/>
      <c r="U4854" s="32"/>
      <c r="X4854" s="32"/>
      <c r="Y4854" s="32"/>
      <c r="Z4854" s="32"/>
      <c r="AA4854" s="32"/>
      <c r="AB4854" s="32"/>
    </row>
    <row r="4855" spans="2:28" ht="23.25" customHeight="1" x14ac:dyDescent="0.2">
      <c r="B4855" s="75"/>
      <c r="C4855" s="67"/>
      <c r="D4855" s="75"/>
      <c r="E4855" s="67"/>
      <c r="F4855" s="67"/>
      <c r="G4855" s="70"/>
      <c r="H4855" s="70"/>
      <c r="I4855" s="70"/>
      <c r="J4855" s="70"/>
      <c r="K4855" s="70"/>
      <c r="L4855" s="67"/>
      <c r="M4855" s="67"/>
      <c r="N4855" s="72"/>
      <c r="O4855" s="72"/>
      <c r="P4855" s="67"/>
      <c r="Q4855" s="67"/>
      <c r="R4855" s="67"/>
      <c r="S4855" s="67"/>
      <c r="T4855" s="32"/>
      <c r="U4855" s="32"/>
      <c r="X4855" s="32"/>
      <c r="Y4855" s="32"/>
      <c r="Z4855" s="32"/>
      <c r="AA4855" s="32"/>
      <c r="AB4855" s="32"/>
    </row>
    <row r="4856" spans="2:28" ht="23.25" customHeight="1" x14ac:dyDescent="0.2">
      <c r="B4856" s="75"/>
      <c r="C4856" s="67"/>
      <c r="D4856" s="75"/>
      <c r="E4856" s="67"/>
      <c r="F4856" s="67"/>
      <c r="G4856" s="70"/>
      <c r="H4856" s="70"/>
      <c r="I4856" s="70"/>
      <c r="J4856" s="70"/>
      <c r="K4856" s="70"/>
      <c r="L4856" s="67"/>
      <c r="M4856" s="67"/>
      <c r="N4856" s="72"/>
      <c r="O4856" s="72"/>
      <c r="P4856" s="67"/>
      <c r="Q4856" s="67"/>
      <c r="R4856" s="67"/>
      <c r="S4856" s="67"/>
      <c r="T4856" s="32"/>
      <c r="U4856" s="32"/>
      <c r="X4856" s="32"/>
      <c r="Y4856" s="32"/>
      <c r="Z4856" s="32"/>
      <c r="AA4856" s="32"/>
      <c r="AB4856" s="32"/>
    </row>
    <row r="4857" spans="2:28" ht="23.25" customHeight="1" x14ac:dyDescent="0.2">
      <c r="B4857" s="75"/>
      <c r="C4857" s="67"/>
      <c r="D4857" s="75"/>
      <c r="E4857" s="67"/>
      <c r="F4857" s="67"/>
      <c r="G4857" s="70"/>
      <c r="H4857" s="70"/>
      <c r="I4857" s="70"/>
      <c r="J4857" s="70"/>
      <c r="K4857" s="70"/>
      <c r="L4857" s="67"/>
      <c r="M4857" s="67"/>
      <c r="N4857" s="72"/>
      <c r="O4857" s="72"/>
      <c r="P4857" s="67"/>
      <c r="Q4857" s="67"/>
      <c r="R4857" s="67"/>
      <c r="S4857" s="67"/>
      <c r="T4857" s="32"/>
      <c r="U4857" s="32"/>
      <c r="X4857" s="32"/>
      <c r="Y4857" s="32"/>
      <c r="Z4857" s="32"/>
      <c r="AA4857" s="32"/>
      <c r="AB4857" s="32"/>
    </row>
    <row r="4858" spans="2:28" ht="23.25" customHeight="1" x14ac:dyDescent="0.2">
      <c r="B4858" s="75"/>
      <c r="C4858" s="67"/>
      <c r="D4858" s="75"/>
      <c r="E4858" s="67"/>
      <c r="F4858" s="67"/>
      <c r="G4858" s="70"/>
      <c r="H4858" s="70"/>
      <c r="I4858" s="70"/>
      <c r="J4858" s="70"/>
      <c r="K4858" s="70"/>
      <c r="L4858" s="67"/>
      <c r="M4858" s="67"/>
      <c r="N4858" s="72"/>
      <c r="O4858" s="72"/>
      <c r="P4858" s="67"/>
      <c r="Q4858" s="67"/>
      <c r="R4858" s="67"/>
      <c r="S4858" s="67"/>
      <c r="T4858" s="32"/>
      <c r="U4858" s="32"/>
      <c r="X4858" s="32"/>
      <c r="Y4858" s="32"/>
      <c r="Z4858" s="32"/>
      <c r="AA4858" s="32"/>
      <c r="AB4858" s="32"/>
    </row>
    <row r="4859" spans="2:28" ht="23.25" customHeight="1" x14ac:dyDescent="0.2">
      <c r="B4859" s="75"/>
      <c r="C4859" s="67"/>
      <c r="D4859" s="75"/>
      <c r="E4859" s="67"/>
      <c r="F4859" s="67"/>
      <c r="G4859" s="70"/>
      <c r="H4859" s="70"/>
      <c r="I4859" s="70"/>
      <c r="J4859" s="70"/>
      <c r="K4859" s="70"/>
      <c r="L4859" s="67"/>
      <c r="M4859" s="67"/>
      <c r="N4859" s="72"/>
      <c r="O4859" s="72"/>
      <c r="P4859" s="67"/>
      <c r="Q4859" s="67"/>
      <c r="R4859" s="67"/>
      <c r="S4859" s="67"/>
      <c r="T4859" s="32"/>
      <c r="U4859" s="32"/>
      <c r="X4859" s="32"/>
      <c r="Y4859" s="32"/>
      <c r="Z4859" s="32"/>
      <c r="AA4859" s="32"/>
      <c r="AB4859" s="32"/>
    </row>
    <row r="4860" spans="2:28" ht="23.25" customHeight="1" x14ac:dyDescent="0.2">
      <c r="B4860" s="75"/>
      <c r="C4860" s="67"/>
      <c r="D4860" s="75"/>
      <c r="E4860" s="67"/>
      <c r="F4860" s="67"/>
      <c r="G4860" s="70"/>
      <c r="H4860" s="70"/>
      <c r="I4860" s="70"/>
      <c r="J4860" s="70"/>
      <c r="K4860" s="70"/>
      <c r="L4860" s="67"/>
      <c r="M4860" s="67"/>
      <c r="N4860" s="72"/>
      <c r="O4860" s="72"/>
      <c r="P4860" s="67"/>
      <c r="Q4860" s="67"/>
      <c r="R4860" s="67"/>
      <c r="S4860" s="67"/>
      <c r="T4860" s="32"/>
      <c r="U4860" s="32"/>
      <c r="X4860" s="32"/>
      <c r="Y4860" s="32"/>
      <c r="Z4860" s="32"/>
      <c r="AA4860" s="32"/>
      <c r="AB4860" s="32"/>
    </row>
    <row r="4861" spans="2:28" ht="23.25" customHeight="1" x14ac:dyDescent="0.2">
      <c r="B4861" s="75"/>
      <c r="C4861" s="67"/>
      <c r="D4861" s="75"/>
      <c r="E4861" s="67"/>
      <c r="F4861" s="67"/>
      <c r="G4861" s="70"/>
      <c r="H4861" s="70"/>
      <c r="I4861" s="70"/>
      <c r="J4861" s="70"/>
      <c r="K4861" s="70"/>
      <c r="L4861" s="67"/>
      <c r="M4861" s="67"/>
      <c r="N4861" s="72"/>
      <c r="O4861" s="72"/>
      <c r="P4861" s="67"/>
      <c r="Q4861" s="67"/>
      <c r="R4861" s="67"/>
      <c r="S4861" s="67"/>
      <c r="T4861" s="32"/>
      <c r="U4861" s="32"/>
      <c r="X4861" s="32"/>
      <c r="Y4861" s="32"/>
      <c r="Z4861" s="32"/>
      <c r="AA4861" s="32"/>
      <c r="AB4861" s="32"/>
    </row>
    <row r="4862" spans="2:28" ht="23.25" customHeight="1" x14ac:dyDescent="0.2">
      <c r="B4862" s="75"/>
      <c r="C4862" s="67"/>
      <c r="D4862" s="75"/>
      <c r="E4862" s="67"/>
      <c r="F4862" s="67"/>
      <c r="G4862" s="70"/>
      <c r="H4862" s="70"/>
      <c r="I4862" s="70"/>
      <c r="J4862" s="70"/>
      <c r="K4862" s="70"/>
      <c r="L4862" s="67"/>
      <c r="M4862" s="67"/>
      <c r="N4862" s="72"/>
      <c r="O4862" s="72"/>
      <c r="P4862" s="67"/>
      <c r="Q4862" s="67"/>
      <c r="R4862" s="67"/>
      <c r="S4862" s="67"/>
      <c r="T4862" s="32"/>
      <c r="U4862" s="32"/>
      <c r="X4862" s="32"/>
      <c r="Y4862" s="32"/>
      <c r="Z4862" s="32"/>
      <c r="AA4862" s="32"/>
      <c r="AB4862" s="32"/>
    </row>
    <row r="4863" spans="2:28" ht="23.25" customHeight="1" x14ac:dyDescent="0.2">
      <c r="B4863" s="75"/>
      <c r="C4863" s="67"/>
      <c r="D4863" s="75"/>
      <c r="E4863" s="67"/>
      <c r="F4863" s="67"/>
      <c r="G4863" s="70"/>
      <c r="H4863" s="70"/>
      <c r="I4863" s="70"/>
      <c r="J4863" s="70"/>
      <c r="K4863" s="70"/>
      <c r="L4863" s="67"/>
      <c r="M4863" s="67"/>
      <c r="N4863" s="72"/>
      <c r="O4863" s="72"/>
      <c r="P4863" s="67"/>
      <c r="Q4863" s="67"/>
      <c r="R4863" s="67"/>
      <c r="S4863" s="67"/>
      <c r="T4863" s="32"/>
      <c r="U4863" s="32"/>
      <c r="X4863" s="32"/>
      <c r="Y4863" s="32"/>
      <c r="Z4863" s="32"/>
      <c r="AA4863" s="32"/>
      <c r="AB4863" s="32"/>
    </row>
    <row r="4864" spans="2:28" ht="23.25" customHeight="1" x14ac:dyDescent="0.2">
      <c r="B4864" s="75"/>
      <c r="C4864" s="67"/>
      <c r="D4864" s="75"/>
      <c r="E4864" s="67"/>
      <c r="F4864" s="67"/>
      <c r="G4864" s="70"/>
      <c r="H4864" s="70"/>
      <c r="I4864" s="70"/>
      <c r="J4864" s="70"/>
      <c r="K4864" s="70"/>
      <c r="L4864" s="67"/>
      <c r="M4864" s="67"/>
      <c r="N4864" s="72"/>
      <c r="O4864" s="72"/>
      <c r="P4864" s="67"/>
      <c r="Q4864" s="67"/>
      <c r="R4864" s="67"/>
      <c r="S4864" s="67"/>
      <c r="T4864" s="32"/>
      <c r="U4864" s="32"/>
      <c r="X4864" s="32"/>
      <c r="Y4864" s="32"/>
      <c r="Z4864" s="32"/>
      <c r="AA4864" s="32"/>
      <c r="AB4864" s="32"/>
    </row>
    <row r="4865" spans="2:28" ht="23.25" customHeight="1" x14ac:dyDescent="0.2">
      <c r="B4865" s="75"/>
      <c r="C4865" s="67"/>
      <c r="D4865" s="75"/>
      <c r="E4865" s="67"/>
      <c r="F4865" s="67"/>
      <c r="G4865" s="70"/>
      <c r="H4865" s="70"/>
      <c r="I4865" s="70"/>
      <c r="J4865" s="70"/>
      <c r="K4865" s="70"/>
      <c r="L4865" s="67"/>
      <c r="M4865" s="67"/>
      <c r="N4865" s="72"/>
      <c r="O4865" s="72"/>
      <c r="P4865" s="67"/>
      <c r="Q4865" s="67"/>
      <c r="R4865" s="67"/>
      <c r="S4865" s="67"/>
      <c r="T4865" s="32"/>
      <c r="U4865" s="32"/>
      <c r="X4865" s="32"/>
      <c r="Y4865" s="32"/>
      <c r="Z4865" s="32"/>
      <c r="AA4865" s="32"/>
      <c r="AB4865" s="32"/>
    </row>
    <row r="4866" spans="2:28" ht="23.25" customHeight="1" x14ac:dyDescent="0.2">
      <c r="B4866" s="75"/>
      <c r="C4866" s="67"/>
      <c r="D4866" s="75"/>
      <c r="E4866" s="67"/>
      <c r="F4866" s="67"/>
      <c r="G4866" s="70"/>
      <c r="H4866" s="70"/>
      <c r="I4866" s="70"/>
      <c r="J4866" s="70"/>
      <c r="K4866" s="70"/>
      <c r="L4866" s="67"/>
      <c r="M4866" s="67"/>
      <c r="N4866" s="72"/>
      <c r="O4866" s="72"/>
      <c r="P4866" s="67"/>
      <c r="Q4866" s="67"/>
      <c r="R4866" s="67"/>
      <c r="S4866" s="67"/>
      <c r="T4866" s="32"/>
      <c r="U4866" s="32"/>
      <c r="X4866" s="32"/>
      <c r="Y4866" s="32"/>
      <c r="Z4866" s="32"/>
      <c r="AA4866" s="32"/>
      <c r="AB4866" s="32"/>
    </row>
    <row r="4867" spans="2:28" ht="23.25" customHeight="1" x14ac:dyDescent="0.2">
      <c r="B4867" s="75"/>
      <c r="C4867" s="67"/>
      <c r="D4867" s="75"/>
      <c r="E4867" s="67"/>
      <c r="F4867" s="67"/>
      <c r="G4867" s="70"/>
      <c r="H4867" s="70"/>
      <c r="I4867" s="70"/>
      <c r="J4867" s="70"/>
      <c r="K4867" s="70"/>
      <c r="L4867" s="67"/>
      <c r="M4867" s="67"/>
      <c r="N4867" s="72"/>
      <c r="O4867" s="72"/>
      <c r="P4867" s="67"/>
      <c r="Q4867" s="67"/>
      <c r="R4867" s="67"/>
      <c r="S4867" s="67"/>
      <c r="T4867" s="32"/>
      <c r="U4867" s="32"/>
      <c r="X4867" s="32"/>
      <c r="Y4867" s="32"/>
      <c r="Z4867" s="32"/>
      <c r="AA4867" s="32"/>
      <c r="AB4867" s="32"/>
    </row>
    <row r="4868" spans="2:28" ht="23.25" customHeight="1" x14ac:dyDescent="0.2">
      <c r="B4868" s="75"/>
      <c r="C4868" s="67"/>
      <c r="D4868" s="75"/>
      <c r="E4868" s="67"/>
      <c r="F4868" s="67"/>
      <c r="G4868" s="70"/>
      <c r="H4868" s="70"/>
      <c r="I4868" s="70"/>
      <c r="J4868" s="70"/>
      <c r="K4868" s="70"/>
      <c r="L4868" s="67"/>
      <c r="M4868" s="67"/>
      <c r="N4868" s="72"/>
      <c r="O4868" s="72"/>
      <c r="P4868" s="67"/>
      <c r="Q4868" s="67"/>
      <c r="R4868" s="67"/>
      <c r="S4868" s="67"/>
      <c r="T4868" s="32"/>
      <c r="U4868" s="32"/>
      <c r="X4868" s="32"/>
      <c r="Y4868" s="32"/>
      <c r="Z4868" s="32"/>
      <c r="AA4868" s="32"/>
      <c r="AB4868" s="32"/>
    </row>
    <row r="4869" spans="2:28" ht="23.25" customHeight="1" x14ac:dyDescent="0.2">
      <c r="B4869" s="75"/>
      <c r="C4869" s="67"/>
      <c r="D4869" s="75"/>
      <c r="E4869" s="67"/>
      <c r="F4869" s="67"/>
      <c r="G4869" s="70"/>
      <c r="H4869" s="70"/>
      <c r="I4869" s="70"/>
      <c r="J4869" s="70"/>
      <c r="K4869" s="70"/>
      <c r="L4869" s="67"/>
      <c r="M4869" s="67"/>
      <c r="N4869" s="72"/>
      <c r="O4869" s="72"/>
      <c r="P4869" s="67"/>
      <c r="Q4869" s="67"/>
      <c r="R4869" s="67"/>
      <c r="S4869" s="67"/>
      <c r="T4869" s="32"/>
      <c r="U4869" s="32"/>
      <c r="X4869" s="32"/>
      <c r="Y4869" s="32"/>
      <c r="Z4869" s="32"/>
      <c r="AA4869" s="32"/>
      <c r="AB4869" s="32"/>
    </row>
    <row r="4870" spans="2:28" ht="23.25" customHeight="1" x14ac:dyDescent="0.2">
      <c r="B4870" s="75"/>
      <c r="C4870" s="67"/>
      <c r="D4870" s="75"/>
      <c r="E4870" s="67"/>
      <c r="F4870" s="67"/>
      <c r="G4870" s="70"/>
      <c r="H4870" s="70"/>
      <c r="I4870" s="70"/>
      <c r="J4870" s="70"/>
      <c r="K4870" s="70"/>
      <c r="L4870" s="67"/>
      <c r="M4870" s="67"/>
      <c r="N4870" s="72"/>
      <c r="O4870" s="72"/>
      <c r="P4870" s="67"/>
      <c r="Q4870" s="67"/>
      <c r="R4870" s="67"/>
      <c r="S4870" s="67"/>
      <c r="T4870" s="32"/>
      <c r="U4870" s="32"/>
      <c r="X4870" s="32"/>
      <c r="Y4870" s="32"/>
      <c r="Z4870" s="32"/>
      <c r="AA4870" s="32"/>
      <c r="AB4870" s="32"/>
    </row>
    <row r="4871" spans="2:28" ht="23.25" customHeight="1" x14ac:dyDescent="0.2">
      <c r="B4871" s="75"/>
      <c r="C4871" s="67"/>
      <c r="D4871" s="75"/>
      <c r="E4871" s="67"/>
      <c r="F4871" s="67"/>
      <c r="G4871" s="70"/>
      <c r="H4871" s="70"/>
      <c r="I4871" s="70"/>
      <c r="J4871" s="70"/>
      <c r="K4871" s="70"/>
      <c r="L4871" s="67"/>
      <c r="M4871" s="67"/>
      <c r="N4871" s="72"/>
      <c r="O4871" s="72"/>
      <c r="P4871" s="67"/>
      <c r="Q4871" s="67"/>
      <c r="R4871" s="67"/>
      <c r="S4871" s="67"/>
      <c r="T4871" s="32"/>
      <c r="U4871" s="32"/>
      <c r="X4871" s="32"/>
      <c r="Y4871" s="32"/>
      <c r="Z4871" s="32"/>
      <c r="AA4871" s="32"/>
      <c r="AB4871" s="32"/>
    </row>
    <row r="4872" spans="2:28" ht="23.25" customHeight="1" x14ac:dyDescent="0.2">
      <c r="B4872" s="75"/>
      <c r="C4872" s="67"/>
      <c r="D4872" s="75"/>
      <c r="E4872" s="67"/>
      <c r="F4872" s="67"/>
      <c r="G4872" s="70"/>
      <c r="H4872" s="70"/>
      <c r="I4872" s="70"/>
      <c r="J4872" s="70"/>
      <c r="K4872" s="70"/>
      <c r="L4872" s="67"/>
      <c r="M4872" s="67"/>
      <c r="N4872" s="72"/>
      <c r="O4872" s="72"/>
      <c r="P4872" s="67"/>
      <c r="Q4872" s="67"/>
      <c r="R4872" s="67"/>
      <c r="S4872" s="67"/>
      <c r="T4872" s="32"/>
      <c r="U4872" s="32"/>
      <c r="X4872" s="32"/>
      <c r="Y4872" s="32"/>
      <c r="Z4872" s="32"/>
      <c r="AA4872" s="32"/>
      <c r="AB4872" s="32"/>
    </row>
    <row r="4873" spans="2:28" ht="23.25" customHeight="1" x14ac:dyDescent="0.2">
      <c r="B4873" s="75"/>
      <c r="C4873" s="67"/>
      <c r="D4873" s="75"/>
      <c r="E4873" s="67"/>
      <c r="F4873" s="67"/>
      <c r="G4873" s="70"/>
      <c r="H4873" s="70"/>
      <c r="I4873" s="70"/>
      <c r="J4873" s="70"/>
      <c r="K4873" s="70"/>
      <c r="L4873" s="67"/>
      <c r="M4873" s="67"/>
      <c r="N4873" s="72"/>
      <c r="O4873" s="72"/>
      <c r="P4873" s="67"/>
      <c r="Q4873" s="67"/>
      <c r="R4873" s="67"/>
      <c r="S4873" s="67"/>
      <c r="T4873" s="32"/>
      <c r="U4873" s="32"/>
      <c r="X4873" s="32"/>
      <c r="Y4873" s="32"/>
      <c r="Z4873" s="32"/>
      <c r="AA4873" s="32"/>
      <c r="AB4873" s="32"/>
    </row>
    <row r="4874" spans="2:28" ht="23.25" customHeight="1" x14ac:dyDescent="0.2">
      <c r="B4874" s="75"/>
      <c r="C4874" s="67"/>
      <c r="D4874" s="75"/>
      <c r="E4874" s="67"/>
      <c r="F4874" s="67"/>
      <c r="G4874" s="70"/>
      <c r="H4874" s="70"/>
      <c r="I4874" s="70"/>
      <c r="J4874" s="70"/>
      <c r="K4874" s="70"/>
      <c r="L4874" s="67"/>
      <c r="M4874" s="67"/>
      <c r="N4874" s="72"/>
      <c r="O4874" s="72"/>
      <c r="P4874" s="67"/>
      <c r="Q4874" s="67"/>
      <c r="R4874" s="67"/>
      <c r="S4874" s="67"/>
      <c r="T4874" s="32"/>
      <c r="U4874" s="32"/>
      <c r="X4874" s="32"/>
      <c r="Y4874" s="32"/>
      <c r="Z4874" s="32"/>
      <c r="AA4874" s="32"/>
      <c r="AB4874" s="32"/>
    </row>
    <row r="4875" spans="2:28" ht="23.25" customHeight="1" x14ac:dyDescent="0.2">
      <c r="B4875" s="75"/>
      <c r="C4875" s="67"/>
      <c r="D4875" s="75"/>
      <c r="E4875" s="67"/>
      <c r="F4875" s="67"/>
      <c r="G4875" s="70"/>
      <c r="H4875" s="70"/>
      <c r="I4875" s="70"/>
      <c r="J4875" s="70"/>
      <c r="K4875" s="70"/>
      <c r="L4875" s="67"/>
      <c r="M4875" s="67"/>
      <c r="N4875" s="72"/>
      <c r="O4875" s="72"/>
      <c r="P4875" s="67"/>
      <c r="Q4875" s="67"/>
      <c r="R4875" s="67"/>
      <c r="S4875" s="67"/>
      <c r="T4875" s="32"/>
      <c r="U4875" s="32"/>
      <c r="X4875" s="32"/>
      <c r="Y4875" s="32"/>
      <c r="Z4875" s="32"/>
      <c r="AA4875" s="32"/>
      <c r="AB4875" s="32"/>
    </row>
    <row r="4876" spans="2:28" ht="23.25" customHeight="1" x14ac:dyDescent="0.2">
      <c r="B4876" s="75"/>
      <c r="C4876" s="67"/>
      <c r="D4876" s="75"/>
      <c r="E4876" s="67"/>
      <c r="F4876" s="67"/>
      <c r="G4876" s="70"/>
      <c r="H4876" s="70"/>
      <c r="I4876" s="70"/>
      <c r="J4876" s="70"/>
      <c r="K4876" s="70"/>
      <c r="L4876" s="67"/>
      <c r="M4876" s="67"/>
      <c r="N4876" s="72"/>
      <c r="O4876" s="72"/>
      <c r="P4876" s="67"/>
      <c r="Q4876" s="67"/>
      <c r="R4876" s="67"/>
      <c r="S4876" s="67"/>
      <c r="T4876" s="32"/>
      <c r="U4876" s="32"/>
      <c r="X4876" s="32"/>
      <c r="Y4876" s="32"/>
      <c r="Z4876" s="32"/>
      <c r="AA4876" s="32"/>
      <c r="AB4876" s="32"/>
    </row>
    <row r="4877" spans="2:28" ht="23.25" customHeight="1" x14ac:dyDescent="0.2">
      <c r="B4877" s="75"/>
      <c r="C4877" s="67"/>
      <c r="D4877" s="75"/>
      <c r="E4877" s="67"/>
      <c r="F4877" s="67"/>
      <c r="G4877" s="70"/>
      <c r="H4877" s="70"/>
      <c r="I4877" s="70"/>
      <c r="J4877" s="70"/>
      <c r="K4877" s="70"/>
      <c r="L4877" s="67"/>
      <c r="M4877" s="67"/>
      <c r="N4877" s="72"/>
      <c r="O4877" s="72"/>
      <c r="P4877" s="67"/>
      <c r="Q4877" s="67"/>
      <c r="R4877" s="67"/>
      <c r="S4877" s="67"/>
      <c r="T4877" s="32"/>
      <c r="U4877" s="32"/>
      <c r="X4877" s="32"/>
      <c r="Y4877" s="32"/>
      <c r="Z4877" s="32"/>
      <c r="AA4877" s="32"/>
      <c r="AB4877" s="32"/>
    </row>
    <row r="4878" spans="2:28" ht="23.25" customHeight="1" x14ac:dyDescent="0.2">
      <c r="B4878" s="75"/>
      <c r="C4878" s="67"/>
      <c r="D4878" s="75"/>
      <c r="E4878" s="67"/>
      <c r="F4878" s="67"/>
      <c r="G4878" s="70"/>
      <c r="H4878" s="70"/>
      <c r="I4878" s="70"/>
      <c r="J4878" s="70"/>
      <c r="K4878" s="70"/>
      <c r="L4878" s="67"/>
      <c r="M4878" s="67"/>
      <c r="N4878" s="72"/>
      <c r="O4878" s="72"/>
      <c r="P4878" s="67"/>
      <c r="Q4878" s="67"/>
      <c r="R4878" s="67"/>
      <c r="S4878" s="67"/>
      <c r="T4878" s="32"/>
      <c r="U4878" s="32"/>
      <c r="X4878" s="32"/>
      <c r="Y4878" s="32"/>
      <c r="Z4878" s="32"/>
      <c r="AA4878" s="32"/>
      <c r="AB4878" s="32"/>
    </row>
    <row r="4879" spans="2:28" ht="23.25" customHeight="1" x14ac:dyDescent="0.2">
      <c r="B4879" s="75"/>
      <c r="C4879" s="67"/>
      <c r="D4879" s="75"/>
      <c r="E4879" s="67"/>
      <c r="F4879" s="67"/>
      <c r="G4879" s="70"/>
      <c r="H4879" s="70"/>
      <c r="I4879" s="70"/>
      <c r="J4879" s="70"/>
      <c r="K4879" s="70"/>
      <c r="L4879" s="67"/>
      <c r="M4879" s="67"/>
      <c r="N4879" s="72"/>
      <c r="O4879" s="72"/>
      <c r="P4879" s="67"/>
      <c r="Q4879" s="67"/>
      <c r="R4879" s="67"/>
      <c r="S4879" s="67"/>
      <c r="T4879" s="32"/>
      <c r="U4879" s="32"/>
      <c r="X4879" s="32"/>
      <c r="Y4879" s="32"/>
      <c r="Z4879" s="32"/>
      <c r="AA4879" s="32"/>
      <c r="AB4879" s="32"/>
    </row>
    <row r="4880" spans="2:28" ht="23.25" customHeight="1" x14ac:dyDescent="0.2">
      <c r="B4880" s="75"/>
      <c r="C4880" s="67"/>
      <c r="D4880" s="75"/>
      <c r="E4880" s="67"/>
      <c r="F4880" s="67"/>
      <c r="G4880" s="70"/>
      <c r="H4880" s="70"/>
      <c r="I4880" s="70"/>
      <c r="J4880" s="70"/>
      <c r="K4880" s="70"/>
      <c r="L4880" s="67"/>
      <c r="M4880" s="67"/>
      <c r="N4880" s="72"/>
      <c r="O4880" s="72"/>
      <c r="P4880" s="67"/>
      <c r="Q4880" s="67"/>
      <c r="R4880" s="67"/>
      <c r="S4880" s="67"/>
      <c r="T4880" s="32"/>
      <c r="U4880" s="32"/>
      <c r="X4880" s="32"/>
      <c r="Y4880" s="32"/>
      <c r="Z4880" s="32"/>
      <c r="AA4880" s="32"/>
      <c r="AB4880" s="32"/>
    </row>
    <row r="4881" spans="2:28" ht="23.25" customHeight="1" x14ac:dyDescent="0.2">
      <c r="B4881" s="75"/>
      <c r="C4881" s="67"/>
      <c r="D4881" s="75"/>
      <c r="E4881" s="67"/>
      <c r="F4881" s="67"/>
      <c r="G4881" s="70"/>
      <c r="H4881" s="70"/>
      <c r="I4881" s="70"/>
      <c r="J4881" s="70"/>
      <c r="K4881" s="70"/>
      <c r="L4881" s="67"/>
      <c r="M4881" s="67"/>
      <c r="N4881" s="72"/>
      <c r="O4881" s="72"/>
      <c r="P4881" s="67"/>
      <c r="Q4881" s="67"/>
      <c r="R4881" s="67"/>
      <c r="S4881" s="67"/>
      <c r="T4881" s="32"/>
      <c r="U4881" s="32"/>
      <c r="X4881" s="32"/>
      <c r="Y4881" s="32"/>
      <c r="Z4881" s="32"/>
      <c r="AA4881" s="32"/>
      <c r="AB4881" s="32"/>
    </row>
    <row r="4882" spans="2:28" ht="23.25" customHeight="1" x14ac:dyDescent="0.2">
      <c r="B4882" s="75"/>
      <c r="C4882" s="67"/>
      <c r="D4882" s="75"/>
      <c r="E4882" s="67"/>
      <c r="F4882" s="67"/>
      <c r="G4882" s="70"/>
      <c r="H4882" s="70"/>
      <c r="I4882" s="70"/>
      <c r="J4882" s="70"/>
      <c r="K4882" s="70"/>
      <c r="L4882" s="67"/>
      <c r="M4882" s="67"/>
      <c r="N4882" s="72"/>
      <c r="O4882" s="72"/>
      <c r="P4882" s="67"/>
      <c r="Q4882" s="67"/>
      <c r="R4882" s="67"/>
      <c r="S4882" s="67"/>
      <c r="T4882" s="32"/>
      <c r="U4882" s="32"/>
      <c r="X4882" s="32"/>
      <c r="Y4882" s="32"/>
      <c r="Z4882" s="32"/>
      <c r="AA4882" s="32"/>
      <c r="AB4882" s="32"/>
    </row>
    <row r="4883" spans="2:28" ht="23.25" customHeight="1" x14ac:dyDescent="0.2">
      <c r="B4883" s="75"/>
      <c r="C4883" s="67"/>
      <c r="D4883" s="75"/>
      <c r="E4883" s="67"/>
      <c r="F4883" s="67"/>
      <c r="G4883" s="70"/>
      <c r="H4883" s="70"/>
      <c r="I4883" s="70"/>
      <c r="J4883" s="70"/>
      <c r="K4883" s="70"/>
      <c r="L4883" s="67"/>
      <c r="M4883" s="67"/>
      <c r="N4883" s="72"/>
      <c r="O4883" s="72"/>
      <c r="P4883" s="67"/>
      <c r="Q4883" s="67"/>
      <c r="R4883" s="67"/>
      <c r="S4883" s="67"/>
      <c r="T4883" s="32"/>
      <c r="U4883" s="32"/>
      <c r="X4883" s="32"/>
      <c r="Y4883" s="32"/>
      <c r="Z4883" s="32"/>
      <c r="AA4883" s="32"/>
      <c r="AB4883" s="32"/>
    </row>
    <row r="4884" spans="2:28" ht="23.25" customHeight="1" x14ac:dyDescent="0.2">
      <c r="B4884" s="75"/>
      <c r="C4884" s="67"/>
      <c r="D4884" s="75"/>
      <c r="E4884" s="67"/>
      <c r="F4884" s="67"/>
      <c r="G4884" s="70"/>
      <c r="H4884" s="70"/>
      <c r="I4884" s="70"/>
      <c r="J4884" s="70"/>
      <c r="K4884" s="70"/>
      <c r="L4884" s="67"/>
      <c r="M4884" s="67"/>
      <c r="N4884" s="72"/>
      <c r="O4884" s="72"/>
      <c r="P4884" s="67"/>
      <c r="Q4884" s="67"/>
      <c r="R4884" s="67"/>
      <c r="S4884" s="67"/>
      <c r="T4884" s="32"/>
      <c r="U4884" s="32"/>
      <c r="X4884" s="32"/>
      <c r="Y4884" s="32"/>
      <c r="Z4884" s="32"/>
      <c r="AA4884" s="32"/>
      <c r="AB4884" s="32"/>
    </row>
    <row r="4885" spans="2:28" ht="23.25" customHeight="1" x14ac:dyDescent="0.2">
      <c r="B4885" s="75"/>
      <c r="C4885" s="67"/>
      <c r="D4885" s="75"/>
      <c r="E4885" s="67"/>
      <c r="F4885" s="67"/>
      <c r="G4885" s="70"/>
      <c r="H4885" s="70"/>
      <c r="I4885" s="70"/>
      <c r="J4885" s="70"/>
      <c r="K4885" s="70"/>
      <c r="L4885" s="67"/>
      <c r="M4885" s="67"/>
      <c r="N4885" s="72"/>
      <c r="O4885" s="72"/>
      <c r="P4885" s="67"/>
      <c r="Q4885" s="67"/>
      <c r="R4885" s="67"/>
      <c r="S4885" s="67"/>
      <c r="T4885" s="32"/>
      <c r="U4885" s="32"/>
      <c r="X4885" s="32"/>
      <c r="Y4885" s="32"/>
      <c r="Z4885" s="32"/>
      <c r="AA4885" s="32"/>
      <c r="AB4885" s="32"/>
    </row>
    <row r="4886" spans="2:28" ht="23.25" customHeight="1" x14ac:dyDescent="0.2">
      <c r="B4886" s="75"/>
      <c r="C4886" s="67"/>
      <c r="D4886" s="75"/>
      <c r="E4886" s="67"/>
      <c r="F4886" s="67"/>
      <c r="G4886" s="70"/>
      <c r="H4886" s="70"/>
      <c r="I4886" s="70"/>
      <c r="J4886" s="70"/>
      <c r="K4886" s="70"/>
      <c r="L4886" s="67"/>
      <c r="M4886" s="67"/>
      <c r="N4886" s="72"/>
      <c r="O4886" s="72"/>
      <c r="P4886" s="67"/>
      <c r="Q4886" s="67"/>
      <c r="R4886" s="67"/>
      <c r="S4886" s="67"/>
      <c r="T4886" s="32"/>
      <c r="U4886" s="32"/>
      <c r="X4886" s="32"/>
      <c r="Y4886" s="32"/>
      <c r="Z4886" s="32"/>
      <c r="AA4886" s="32"/>
      <c r="AB4886" s="32"/>
    </row>
    <row r="4887" spans="2:28" ht="23.25" customHeight="1" x14ac:dyDescent="0.2">
      <c r="B4887" s="75"/>
      <c r="C4887" s="67"/>
      <c r="D4887" s="75"/>
      <c r="E4887" s="67"/>
      <c r="F4887" s="67"/>
      <c r="G4887" s="70"/>
      <c r="H4887" s="70"/>
      <c r="I4887" s="70"/>
      <c r="J4887" s="70"/>
      <c r="K4887" s="70"/>
      <c r="L4887" s="67"/>
      <c r="M4887" s="67"/>
      <c r="N4887" s="72"/>
      <c r="O4887" s="72"/>
      <c r="P4887" s="67"/>
      <c r="Q4887" s="67"/>
      <c r="R4887" s="67"/>
      <c r="S4887" s="67"/>
      <c r="T4887" s="32"/>
      <c r="U4887" s="32"/>
      <c r="X4887" s="32"/>
      <c r="Y4887" s="32"/>
      <c r="Z4887" s="32"/>
      <c r="AA4887" s="32"/>
      <c r="AB4887" s="32"/>
    </row>
    <row r="4888" spans="2:28" ht="23.25" customHeight="1" x14ac:dyDescent="0.2">
      <c r="B4888" s="75"/>
      <c r="C4888" s="67"/>
      <c r="D4888" s="75"/>
      <c r="E4888" s="67"/>
      <c r="F4888" s="67"/>
      <c r="G4888" s="70"/>
      <c r="H4888" s="70"/>
      <c r="I4888" s="70"/>
      <c r="J4888" s="70"/>
      <c r="K4888" s="70"/>
      <c r="L4888" s="67"/>
      <c r="M4888" s="67"/>
      <c r="N4888" s="72"/>
      <c r="O4888" s="72"/>
      <c r="P4888" s="67"/>
      <c r="Q4888" s="67"/>
      <c r="R4888" s="67"/>
      <c r="S4888" s="67"/>
      <c r="T4888" s="32"/>
      <c r="U4888" s="32"/>
      <c r="X4888" s="32"/>
      <c r="Y4888" s="32"/>
      <c r="Z4888" s="32"/>
      <c r="AA4888" s="32"/>
      <c r="AB4888" s="32"/>
    </row>
    <row r="4889" spans="2:28" ht="23.25" customHeight="1" x14ac:dyDescent="0.2">
      <c r="B4889" s="75"/>
      <c r="C4889" s="67"/>
      <c r="D4889" s="75"/>
      <c r="E4889" s="67"/>
      <c r="F4889" s="67"/>
      <c r="G4889" s="70"/>
      <c r="H4889" s="70"/>
      <c r="I4889" s="70"/>
      <c r="J4889" s="70"/>
      <c r="K4889" s="70"/>
      <c r="L4889" s="67"/>
      <c r="M4889" s="67"/>
      <c r="N4889" s="72"/>
      <c r="O4889" s="72"/>
      <c r="P4889" s="67"/>
      <c r="Q4889" s="67"/>
      <c r="R4889" s="67"/>
      <c r="S4889" s="67"/>
      <c r="T4889" s="32"/>
      <c r="U4889" s="32"/>
      <c r="X4889" s="32"/>
      <c r="Y4889" s="32"/>
      <c r="Z4889" s="32"/>
      <c r="AA4889" s="32"/>
      <c r="AB4889" s="32"/>
    </row>
    <row r="4890" spans="2:28" ht="23.25" customHeight="1" x14ac:dyDescent="0.2">
      <c r="B4890" s="75"/>
      <c r="C4890" s="67"/>
      <c r="D4890" s="75"/>
      <c r="E4890" s="67"/>
      <c r="F4890" s="67"/>
      <c r="G4890" s="70"/>
      <c r="H4890" s="70"/>
      <c r="I4890" s="70"/>
      <c r="J4890" s="70"/>
      <c r="K4890" s="70"/>
      <c r="L4890" s="67"/>
      <c r="M4890" s="67"/>
      <c r="N4890" s="72"/>
      <c r="O4890" s="72"/>
      <c r="P4890" s="67"/>
      <c r="Q4890" s="67"/>
      <c r="R4890" s="67"/>
      <c r="S4890" s="67"/>
      <c r="T4890" s="32"/>
      <c r="U4890" s="32"/>
      <c r="X4890" s="32"/>
      <c r="Y4890" s="32"/>
      <c r="Z4890" s="32"/>
      <c r="AA4890" s="32"/>
      <c r="AB4890" s="32"/>
    </row>
    <row r="4891" spans="2:28" ht="23.25" customHeight="1" x14ac:dyDescent="0.2">
      <c r="B4891" s="75"/>
      <c r="C4891" s="67"/>
      <c r="D4891" s="75"/>
      <c r="E4891" s="67"/>
      <c r="F4891" s="67"/>
      <c r="G4891" s="70"/>
      <c r="H4891" s="70"/>
      <c r="I4891" s="70"/>
      <c r="J4891" s="70"/>
      <c r="K4891" s="70"/>
      <c r="L4891" s="67"/>
      <c r="M4891" s="67"/>
      <c r="N4891" s="72"/>
      <c r="O4891" s="72"/>
      <c r="P4891" s="67"/>
      <c r="Q4891" s="67"/>
      <c r="R4891" s="67"/>
      <c r="S4891" s="67"/>
      <c r="T4891" s="32"/>
      <c r="U4891" s="32"/>
      <c r="X4891" s="32"/>
      <c r="Y4891" s="32"/>
      <c r="Z4891" s="32"/>
      <c r="AA4891" s="32"/>
      <c r="AB4891" s="32"/>
    </row>
    <row r="4892" spans="2:28" ht="23.25" customHeight="1" x14ac:dyDescent="0.2">
      <c r="B4892" s="75"/>
      <c r="C4892" s="67"/>
      <c r="D4892" s="75"/>
      <c r="E4892" s="67"/>
      <c r="F4892" s="67"/>
      <c r="G4892" s="70"/>
      <c r="H4892" s="70"/>
      <c r="I4892" s="70"/>
      <c r="J4892" s="70"/>
      <c r="K4892" s="70"/>
      <c r="L4892" s="67"/>
      <c r="M4892" s="67"/>
      <c r="N4892" s="72"/>
      <c r="O4892" s="72"/>
      <c r="P4892" s="67"/>
      <c r="Q4892" s="67"/>
      <c r="R4892" s="67"/>
      <c r="S4892" s="67"/>
      <c r="T4892" s="32"/>
      <c r="U4892" s="32"/>
      <c r="X4892" s="32"/>
      <c r="Y4892" s="32"/>
      <c r="Z4892" s="32"/>
      <c r="AA4892" s="32"/>
      <c r="AB4892" s="32"/>
    </row>
    <row r="4893" spans="2:28" ht="23.25" customHeight="1" x14ac:dyDescent="0.2">
      <c r="B4893" s="75"/>
      <c r="C4893" s="67"/>
      <c r="D4893" s="75"/>
      <c r="E4893" s="67"/>
      <c r="F4893" s="67"/>
      <c r="G4893" s="70"/>
      <c r="H4893" s="70"/>
      <c r="I4893" s="70"/>
      <c r="J4893" s="70"/>
      <c r="K4893" s="70"/>
      <c r="L4893" s="67"/>
      <c r="M4893" s="67"/>
      <c r="N4893" s="72"/>
      <c r="O4893" s="72"/>
      <c r="P4893" s="67"/>
      <c r="Q4893" s="67"/>
      <c r="R4893" s="67"/>
      <c r="S4893" s="67"/>
      <c r="T4893" s="32"/>
      <c r="U4893" s="32"/>
      <c r="X4893" s="32"/>
      <c r="Y4893" s="32"/>
      <c r="Z4893" s="32"/>
      <c r="AA4893" s="32"/>
      <c r="AB4893" s="32"/>
    </row>
    <row r="4894" spans="2:28" ht="23.25" customHeight="1" x14ac:dyDescent="0.2">
      <c r="B4894" s="75"/>
      <c r="C4894" s="67"/>
      <c r="D4894" s="75"/>
      <c r="E4894" s="67"/>
      <c r="F4894" s="67"/>
      <c r="G4894" s="70"/>
      <c r="H4894" s="70"/>
      <c r="I4894" s="70"/>
      <c r="J4894" s="70"/>
      <c r="K4894" s="70"/>
      <c r="L4894" s="67"/>
      <c r="M4894" s="67"/>
      <c r="N4894" s="72"/>
      <c r="O4894" s="72"/>
      <c r="P4894" s="67"/>
      <c r="Q4894" s="67"/>
      <c r="R4894" s="67"/>
      <c r="S4894" s="67"/>
      <c r="T4894" s="32"/>
      <c r="U4894" s="32"/>
      <c r="X4894" s="32"/>
      <c r="Y4894" s="32"/>
      <c r="Z4894" s="32"/>
      <c r="AA4894" s="32"/>
      <c r="AB4894" s="32"/>
    </row>
    <row r="4895" spans="2:28" ht="23.25" customHeight="1" x14ac:dyDescent="0.2">
      <c r="B4895" s="75"/>
      <c r="C4895" s="67"/>
      <c r="D4895" s="75"/>
      <c r="E4895" s="67"/>
      <c r="F4895" s="67"/>
      <c r="G4895" s="70"/>
      <c r="H4895" s="70"/>
      <c r="I4895" s="70"/>
      <c r="J4895" s="70"/>
      <c r="K4895" s="70"/>
      <c r="L4895" s="67"/>
      <c r="M4895" s="67"/>
      <c r="N4895" s="72"/>
      <c r="O4895" s="72"/>
      <c r="P4895" s="67"/>
      <c r="Q4895" s="67"/>
      <c r="R4895" s="67"/>
      <c r="S4895" s="67"/>
      <c r="T4895" s="32"/>
      <c r="U4895" s="32"/>
      <c r="X4895" s="32"/>
      <c r="Y4895" s="32"/>
      <c r="Z4895" s="32"/>
      <c r="AA4895" s="32"/>
      <c r="AB4895" s="32"/>
    </row>
    <row r="4896" spans="2:28" ht="23.25" customHeight="1" x14ac:dyDescent="0.2">
      <c r="B4896" s="75"/>
      <c r="C4896" s="67"/>
      <c r="D4896" s="75"/>
      <c r="E4896" s="67"/>
      <c r="F4896" s="67"/>
      <c r="G4896" s="70"/>
      <c r="H4896" s="70"/>
      <c r="I4896" s="70"/>
      <c r="J4896" s="70"/>
      <c r="K4896" s="70"/>
      <c r="L4896" s="67"/>
      <c r="M4896" s="67"/>
      <c r="N4896" s="72"/>
      <c r="O4896" s="72"/>
      <c r="P4896" s="67"/>
      <c r="Q4896" s="67"/>
      <c r="R4896" s="67"/>
      <c r="S4896" s="67"/>
      <c r="T4896" s="32"/>
      <c r="U4896" s="32"/>
      <c r="X4896" s="32"/>
      <c r="Y4896" s="32"/>
      <c r="Z4896" s="32"/>
      <c r="AA4896" s="32"/>
      <c r="AB4896" s="32"/>
    </row>
    <row r="4897" spans="2:28" ht="23.25" customHeight="1" x14ac:dyDescent="0.2">
      <c r="B4897" s="75"/>
      <c r="C4897" s="67"/>
      <c r="D4897" s="75"/>
      <c r="E4897" s="67"/>
      <c r="F4897" s="67"/>
      <c r="G4897" s="70"/>
      <c r="H4897" s="70"/>
      <c r="I4897" s="70"/>
      <c r="J4897" s="70"/>
      <c r="K4897" s="70"/>
      <c r="L4897" s="67"/>
      <c r="M4897" s="67"/>
      <c r="N4897" s="72"/>
      <c r="O4897" s="72"/>
      <c r="P4897" s="67"/>
      <c r="Q4897" s="67"/>
      <c r="R4897" s="67"/>
      <c r="S4897" s="67"/>
      <c r="T4897" s="32"/>
      <c r="U4897" s="32"/>
      <c r="X4897" s="32"/>
      <c r="Y4897" s="32"/>
      <c r="Z4897" s="32"/>
      <c r="AA4897" s="32"/>
      <c r="AB4897" s="32"/>
    </row>
    <row r="4898" spans="2:28" ht="23.25" customHeight="1" x14ac:dyDescent="0.2">
      <c r="B4898" s="75"/>
      <c r="C4898" s="67"/>
      <c r="D4898" s="75"/>
      <c r="E4898" s="67"/>
      <c r="F4898" s="67"/>
      <c r="G4898" s="70"/>
      <c r="H4898" s="70"/>
      <c r="I4898" s="70"/>
      <c r="J4898" s="70"/>
      <c r="K4898" s="70"/>
      <c r="L4898" s="67"/>
      <c r="M4898" s="67"/>
      <c r="N4898" s="72"/>
      <c r="O4898" s="72"/>
      <c r="P4898" s="67"/>
      <c r="Q4898" s="67"/>
      <c r="R4898" s="67"/>
      <c r="S4898" s="67"/>
      <c r="T4898" s="32"/>
      <c r="U4898" s="32"/>
      <c r="X4898" s="32"/>
      <c r="Y4898" s="32"/>
      <c r="Z4898" s="32"/>
      <c r="AA4898" s="32"/>
      <c r="AB4898" s="32"/>
    </row>
    <row r="4899" spans="2:28" ht="23.25" customHeight="1" x14ac:dyDescent="0.2">
      <c r="B4899" s="75"/>
      <c r="C4899" s="67"/>
      <c r="D4899" s="75"/>
      <c r="E4899" s="67"/>
      <c r="F4899" s="67"/>
      <c r="G4899" s="70"/>
      <c r="H4899" s="70"/>
      <c r="I4899" s="70"/>
      <c r="J4899" s="70"/>
      <c r="K4899" s="70"/>
      <c r="L4899" s="67"/>
      <c r="M4899" s="67"/>
      <c r="N4899" s="72"/>
      <c r="O4899" s="72"/>
      <c r="P4899" s="67"/>
      <c r="Q4899" s="67"/>
      <c r="R4899" s="67"/>
      <c r="S4899" s="67"/>
      <c r="T4899" s="32"/>
      <c r="U4899" s="32"/>
      <c r="X4899" s="32"/>
      <c r="Y4899" s="32"/>
      <c r="Z4899" s="32"/>
      <c r="AA4899" s="32"/>
      <c r="AB4899" s="32"/>
    </row>
    <row r="4900" spans="2:28" ht="23.25" customHeight="1" x14ac:dyDescent="0.2">
      <c r="B4900" s="75"/>
      <c r="C4900" s="67"/>
      <c r="D4900" s="75"/>
      <c r="E4900" s="67"/>
      <c r="F4900" s="67"/>
      <c r="G4900" s="70"/>
      <c r="H4900" s="70"/>
      <c r="I4900" s="70"/>
      <c r="J4900" s="70"/>
      <c r="K4900" s="70"/>
      <c r="L4900" s="67"/>
      <c r="M4900" s="67"/>
      <c r="N4900" s="72"/>
      <c r="O4900" s="72"/>
      <c r="P4900" s="67"/>
      <c r="Q4900" s="67"/>
      <c r="R4900" s="67"/>
      <c r="S4900" s="67"/>
      <c r="T4900" s="32"/>
      <c r="U4900" s="32"/>
      <c r="X4900" s="32"/>
      <c r="Y4900" s="32"/>
      <c r="Z4900" s="32"/>
      <c r="AA4900" s="32"/>
      <c r="AB4900" s="32"/>
    </row>
    <row r="4901" spans="2:28" ht="23.25" customHeight="1" x14ac:dyDescent="0.2">
      <c r="B4901" s="75"/>
      <c r="C4901" s="67"/>
      <c r="D4901" s="75"/>
      <c r="E4901" s="67"/>
      <c r="F4901" s="67"/>
      <c r="G4901" s="70"/>
      <c r="H4901" s="70"/>
      <c r="I4901" s="70"/>
      <c r="J4901" s="70"/>
      <c r="K4901" s="70"/>
      <c r="L4901" s="67"/>
      <c r="M4901" s="67"/>
      <c r="N4901" s="72"/>
      <c r="O4901" s="72"/>
      <c r="P4901" s="67"/>
      <c r="Q4901" s="67"/>
      <c r="R4901" s="67"/>
      <c r="S4901" s="67"/>
      <c r="T4901" s="32"/>
      <c r="U4901" s="32"/>
      <c r="X4901" s="32"/>
      <c r="Y4901" s="32"/>
      <c r="Z4901" s="32"/>
      <c r="AA4901" s="32"/>
      <c r="AB4901" s="32"/>
    </row>
    <row r="4902" spans="2:28" ht="23.25" customHeight="1" x14ac:dyDescent="0.2">
      <c r="B4902" s="75"/>
      <c r="C4902" s="67"/>
      <c r="D4902" s="75"/>
      <c r="E4902" s="67"/>
      <c r="F4902" s="67"/>
      <c r="G4902" s="70"/>
      <c r="H4902" s="70"/>
      <c r="I4902" s="70"/>
      <c r="J4902" s="70"/>
      <c r="K4902" s="70"/>
      <c r="L4902" s="67"/>
      <c r="M4902" s="67"/>
      <c r="N4902" s="72"/>
      <c r="O4902" s="72"/>
      <c r="P4902" s="67"/>
      <c r="Q4902" s="67"/>
      <c r="R4902" s="67"/>
      <c r="S4902" s="67"/>
      <c r="T4902" s="32"/>
      <c r="U4902" s="32"/>
      <c r="X4902" s="32"/>
      <c r="Y4902" s="32"/>
      <c r="Z4902" s="32"/>
      <c r="AA4902" s="32"/>
      <c r="AB4902" s="32"/>
    </row>
    <row r="4903" spans="2:28" ht="23.25" customHeight="1" x14ac:dyDescent="0.2">
      <c r="B4903" s="75"/>
      <c r="C4903" s="67"/>
      <c r="D4903" s="75"/>
      <c r="E4903" s="67"/>
      <c r="F4903" s="67"/>
      <c r="G4903" s="70"/>
      <c r="H4903" s="70"/>
      <c r="I4903" s="70"/>
      <c r="J4903" s="70"/>
      <c r="K4903" s="70"/>
      <c r="L4903" s="67"/>
      <c r="M4903" s="67"/>
      <c r="N4903" s="72"/>
      <c r="O4903" s="72"/>
      <c r="P4903" s="67"/>
      <c r="Q4903" s="67"/>
      <c r="R4903" s="67"/>
      <c r="S4903" s="67"/>
      <c r="T4903" s="32"/>
      <c r="U4903" s="32"/>
      <c r="X4903" s="32"/>
      <c r="Y4903" s="32"/>
      <c r="Z4903" s="32"/>
      <c r="AA4903" s="32"/>
      <c r="AB4903" s="32"/>
    </row>
    <row r="4904" spans="2:28" ht="23.25" customHeight="1" x14ac:dyDescent="0.2">
      <c r="B4904" s="75"/>
      <c r="C4904" s="67"/>
      <c r="D4904" s="75"/>
      <c r="E4904" s="67"/>
      <c r="F4904" s="67"/>
      <c r="G4904" s="70"/>
      <c r="H4904" s="70"/>
      <c r="I4904" s="70"/>
      <c r="J4904" s="70"/>
      <c r="K4904" s="70"/>
      <c r="L4904" s="67"/>
      <c r="M4904" s="67"/>
      <c r="N4904" s="72"/>
      <c r="O4904" s="72"/>
      <c r="P4904" s="67"/>
      <c r="Q4904" s="67"/>
      <c r="R4904" s="67"/>
      <c r="S4904" s="67"/>
      <c r="T4904" s="32"/>
      <c r="U4904" s="32"/>
      <c r="X4904" s="32"/>
      <c r="Y4904" s="32"/>
      <c r="Z4904" s="32"/>
      <c r="AA4904" s="32"/>
      <c r="AB4904" s="32"/>
    </row>
    <row r="4905" spans="2:28" ht="23.25" customHeight="1" x14ac:dyDescent="0.2">
      <c r="B4905" s="75"/>
      <c r="C4905" s="67"/>
      <c r="D4905" s="75"/>
      <c r="E4905" s="67"/>
      <c r="F4905" s="67"/>
      <c r="G4905" s="70"/>
      <c r="H4905" s="70"/>
      <c r="I4905" s="70"/>
      <c r="J4905" s="70"/>
      <c r="K4905" s="70"/>
      <c r="L4905" s="67"/>
      <c r="M4905" s="67"/>
      <c r="N4905" s="72"/>
      <c r="O4905" s="72"/>
      <c r="P4905" s="67"/>
      <c r="Q4905" s="67"/>
      <c r="R4905" s="67"/>
      <c r="S4905" s="67"/>
      <c r="T4905" s="32"/>
      <c r="U4905" s="32"/>
      <c r="X4905" s="32"/>
      <c r="Y4905" s="32"/>
      <c r="Z4905" s="32"/>
      <c r="AA4905" s="32"/>
      <c r="AB4905" s="32"/>
    </row>
    <row r="4906" spans="2:28" ht="23.25" customHeight="1" x14ac:dyDescent="0.2">
      <c r="B4906" s="75"/>
      <c r="C4906" s="67"/>
      <c r="D4906" s="75"/>
      <c r="E4906" s="67"/>
      <c r="F4906" s="67"/>
      <c r="G4906" s="70"/>
      <c r="H4906" s="70"/>
      <c r="I4906" s="70"/>
      <c r="J4906" s="70"/>
      <c r="K4906" s="70"/>
      <c r="L4906" s="67"/>
      <c r="M4906" s="67"/>
      <c r="N4906" s="72"/>
      <c r="O4906" s="72"/>
      <c r="P4906" s="67"/>
      <c r="Q4906" s="67"/>
      <c r="R4906" s="67"/>
      <c r="S4906" s="67"/>
      <c r="T4906" s="32"/>
      <c r="U4906" s="32"/>
      <c r="X4906" s="32"/>
      <c r="Y4906" s="32"/>
      <c r="Z4906" s="32"/>
      <c r="AA4906" s="32"/>
      <c r="AB4906" s="32"/>
    </row>
    <row r="4907" spans="2:28" ht="23.25" customHeight="1" x14ac:dyDescent="0.2">
      <c r="B4907" s="75"/>
      <c r="C4907" s="67"/>
      <c r="D4907" s="75"/>
      <c r="E4907" s="67"/>
      <c r="F4907" s="67"/>
      <c r="G4907" s="70"/>
      <c r="H4907" s="70"/>
      <c r="I4907" s="70"/>
      <c r="J4907" s="70"/>
      <c r="K4907" s="70"/>
      <c r="L4907" s="67"/>
      <c r="M4907" s="67"/>
      <c r="N4907" s="72"/>
      <c r="O4907" s="72"/>
      <c r="P4907" s="67"/>
      <c r="Q4907" s="67"/>
      <c r="R4907" s="67"/>
      <c r="S4907" s="67"/>
      <c r="T4907" s="32"/>
      <c r="U4907" s="32"/>
      <c r="X4907" s="32"/>
      <c r="Y4907" s="32"/>
      <c r="Z4907" s="32"/>
      <c r="AA4907" s="32"/>
      <c r="AB4907" s="32"/>
    </row>
    <row r="4908" spans="2:28" ht="23.25" customHeight="1" x14ac:dyDescent="0.2">
      <c r="B4908" s="75"/>
      <c r="C4908" s="67"/>
      <c r="D4908" s="75"/>
      <c r="E4908" s="67"/>
      <c r="F4908" s="67"/>
      <c r="G4908" s="70"/>
      <c r="H4908" s="70"/>
      <c r="I4908" s="70"/>
      <c r="J4908" s="70"/>
      <c r="K4908" s="70"/>
      <c r="L4908" s="67"/>
      <c r="M4908" s="67"/>
      <c r="N4908" s="72"/>
      <c r="O4908" s="72"/>
      <c r="P4908" s="67"/>
      <c r="Q4908" s="67"/>
      <c r="R4908" s="67"/>
      <c r="S4908" s="67"/>
      <c r="T4908" s="32"/>
      <c r="U4908" s="32"/>
      <c r="X4908" s="32"/>
      <c r="Y4908" s="32"/>
      <c r="Z4908" s="32"/>
      <c r="AA4908" s="32"/>
      <c r="AB4908" s="32"/>
    </row>
    <row r="4909" spans="2:28" ht="23.25" customHeight="1" x14ac:dyDescent="0.2">
      <c r="B4909" s="75"/>
      <c r="C4909" s="67"/>
      <c r="D4909" s="75"/>
      <c r="E4909" s="67"/>
      <c r="F4909" s="67"/>
      <c r="G4909" s="70"/>
      <c r="H4909" s="70"/>
      <c r="I4909" s="70"/>
      <c r="J4909" s="70"/>
      <c r="K4909" s="70"/>
      <c r="L4909" s="67"/>
      <c r="M4909" s="67"/>
      <c r="N4909" s="72"/>
      <c r="O4909" s="72"/>
      <c r="P4909" s="67"/>
      <c r="Q4909" s="67"/>
      <c r="R4909" s="67"/>
      <c r="S4909" s="67"/>
      <c r="T4909" s="32"/>
      <c r="U4909" s="32"/>
      <c r="X4909" s="32"/>
      <c r="Y4909" s="32"/>
      <c r="Z4909" s="32"/>
      <c r="AA4909" s="32"/>
      <c r="AB4909" s="32"/>
    </row>
    <row r="4910" spans="2:28" ht="23.25" customHeight="1" x14ac:dyDescent="0.2">
      <c r="B4910" s="75"/>
      <c r="C4910" s="67"/>
      <c r="D4910" s="75"/>
      <c r="E4910" s="67"/>
      <c r="F4910" s="67"/>
      <c r="G4910" s="70"/>
      <c r="H4910" s="70"/>
      <c r="I4910" s="70"/>
      <c r="J4910" s="70"/>
      <c r="K4910" s="70"/>
      <c r="L4910" s="67"/>
      <c r="M4910" s="67"/>
      <c r="N4910" s="72"/>
      <c r="O4910" s="72"/>
      <c r="P4910" s="67"/>
      <c r="Q4910" s="67"/>
      <c r="R4910" s="67"/>
      <c r="S4910" s="67"/>
      <c r="T4910" s="32"/>
      <c r="U4910" s="32"/>
      <c r="X4910" s="32"/>
      <c r="Y4910" s="32"/>
      <c r="Z4910" s="32"/>
      <c r="AA4910" s="32"/>
      <c r="AB4910" s="32"/>
    </row>
    <row r="4911" spans="2:28" ht="23.25" customHeight="1" x14ac:dyDescent="0.2">
      <c r="B4911" s="75"/>
      <c r="C4911" s="67"/>
      <c r="D4911" s="75"/>
      <c r="E4911" s="67"/>
      <c r="F4911" s="67"/>
      <c r="G4911" s="70"/>
      <c r="H4911" s="70"/>
      <c r="I4911" s="70"/>
      <c r="J4911" s="70"/>
      <c r="K4911" s="70"/>
      <c r="L4911" s="67"/>
      <c r="M4911" s="67"/>
      <c r="N4911" s="72"/>
      <c r="O4911" s="72"/>
      <c r="P4911" s="67"/>
      <c r="Q4911" s="67"/>
      <c r="R4911" s="67"/>
      <c r="S4911" s="67"/>
      <c r="T4911" s="32"/>
      <c r="U4911" s="32"/>
      <c r="X4911" s="32"/>
      <c r="Y4911" s="32"/>
      <c r="Z4911" s="32"/>
      <c r="AA4911" s="32"/>
      <c r="AB4911" s="32"/>
    </row>
    <row r="4912" spans="2:28" ht="23.25" customHeight="1" x14ac:dyDescent="0.2">
      <c r="B4912" s="75"/>
      <c r="C4912" s="67"/>
      <c r="D4912" s="75"/>
      <c r="E4912" s="67"/>
      <c r="F4912" s="67"/>
      <c r="G4912" s="70"/>
      <c r="H4912" s="70"/>
      <c r="I4912" s="70"/>
      <c r="J4912" s="70"/>
      <c r="K4912" s="70"/>
      <c r="L4912" s="67"/>
      <c r="M4912" s="67"/>
      <c r="N4912" s="72"/>
      <c r="O4912" s="72"/>
      <c r="P4912" s="67"/>
      <c r="Q4912" s="67"/>
      <c r="R4912" s="67"/>
      <c r="S4912" s="67"/>
      <c r="T4912" s="32"/>
      <c r="U4912" s="32"/>
      <c r="X4912" s="32"/>
      <c r="Y4912" s="32"/>
      <c r="Z4912" s="32"/>
      <c r="AA4912" s="32"/>
      <c r="AB4912" s="32"/>
    </row>
    <row r="4913" spans="2:28" ht="23.25" customHeight="1" x14ac:dyDescent="0.2">
      <c r="B4913" s="75"/>
      <c r="C4913" s="67"/>
      <c r="D4913" s="75"/>
      <c r="E4913" s="67"/>
      <c r="F4913" s="67"/>
      <c r="G4913" s="70"/>
      <c r="H4913" s="70"/>
      <c r="I4913" s="70"/>
      <c r="J4913" s="70"/>
      <c r="K4913" s="70"/>
      <c r="L4913" s="67"/>
      <c r="M4913" s="67"/>
      <c r="N4913" s="72"/>
      <c r="O4913" s="72"/>
      <c r="P4913" s="67"/>
      <c r="Q4913" s="67"/>
      <c r="R4913" s="67"/>
      <c r="S4913" s="67"/>
      <c r="T4913" s="32"/>
      <c r="U4913" s="32"/>
      <c r="X4913" s="32"/>
      <c r="Y4913" s="32"/>
      <c r="Z4913" s="32"/>
      <c r="AA4913" s="32"/>
      <c r="AB4913" s="32"/>
    </row>
    <row r="4914" spans="2:28" ht="23.25" customHeight="1" x14ac:dyDescent="0.2">
      <c r="B4914" s="75"/>
      <c r="C4914" s="67"/>
      <c r="D4914" s="75"/>
      <c r="E4914" s="67"/>
      <c r="F4914" s="67"/>
      <c r="G4914" s="70"/>
      <c r="H4914" s="70"/>
      <c r="I4914" s="70"/>
      <c r="J4914" s="70"/>
      <c r="K4914" s="70"/>
      <c r="L4914" s="67"/>
      <c r="M4914" s="67"/>
      <c r="N4914" s="72"/>
      <c r="O4914" s="72"/>
      <c r="P4914" s="67"/>
      <c r="Q4914" s="67"/>
      <c r="R4914" s="67"/>
      <c r="S4914" s="67"/>
      <c r="T4914" s="32"/>
      <c r="U4914" s="32"/>
      <c r="X4914" s="32"/>
      <c r="Y4914" s="32"/>
      <c r="Z4914" s="32"/>
      <c r="AA4914" s="32"/>
      <c r="AB4914" s="32"/>
    </row>
    <row r="4915" spans="2:28" ht="23.25" customHeight="1" x14ac:dyDescent="0.2">
      <c r="B4915" s="75"/>
      <c r="C4915" s="67"/>
      <c r="D4915" s="75"/>
      <c r="E4915" s="67"/>
      <c r="F4915" s="67"/>
      <c r="G4915" s="70"/>
      <c r="H4915" s="70"/>
      <c r="I4915" s="70"/>
      <c r="J4915" s="70"/>
      <c r="K4915" s="70"/>
      <c r="L4915" s="67"/>
      <c r="M4915" s="67"/>
      <c r="N4915" s="72"/>
      <c r="O4915" s="72"/>
      <c r="P4915" s="67"/>
      <c r="Q4915" s="67"/>
      <c r="R4915" s="67"/>
      <c r="S4915" s="67"/>
      <c r="T4915" s="32"/>
      <c r="U4915" s="32"/>
      <c r="X4915" s="32"/>
      <c r="Y4915" s="32"/>
      <c r="Z4915" s="32"/>
      <c r="AA4915" s="32"/>
      <c r="AB4915" s="32"/>
    </row>
    <row r="4916" spans="2:28" ht="23.25" customHeight="1" x14ac:dyDescent="0.2">
      <c r="B4916" s="75"/>
      <c r="C4916" s="67"/>
      <c r="D4916" s="75"/>
      <c r="E4916" s="67"/>
      <c r="F4916" s="67"/>
      <c r="G4916" s="70"/>
      <c r="H4916" s="70"/>
      <c r="I4916" s="70"/>
      <c r="J4916" s="70"/>
      <c r="K4916" s="70"/>
      <c r="L4916" s="67"/>
      <c r="M4916" s="67"/>
      <c r="N4916" s="72"/>
      <c r="O4916" s="72"/>
      <c r="P4916" s="67"/>
      <c r="Q4916" s="67"/>
      <c r="R4916" s="67"/>
      <c r="S4916" s="67"/>
      <c r="T4916" s="32"/>
      <c r="U4916" s="32"/>
      <c r="X4916" s="32"/>
      <c r="Y4916" s="32"/>
      <c r="Z4916" s="32"/>
      <c r="AA4916" s="32"/>
      <c r="AB4916" s="32"/>
    </row>
    <row r="4917" spans="2:28" ht="23.25" customHeight="1" x14ac:dyDescent="0.2">
      <c r="B4917" s="75"/>
      <c r="C4917" s="67"/>
      <c r="D4917" s="75"/>
      <c r="E4917" s="67"/>
      <c r="F4917" s="67"/>
      <c r="G4917" s="70"/>
      <c r="H4917" s="70"/>
      <c r="I4917" s="70"/>
      <c r="J4917" s="70"/>
      <c r="K4917" s="70"/>
      <c r="L4917" s="67"/>
      <c r="M4917" s="67"/>
      <c r="N4917" s="72"/>
      <c r="O4917" s="72"/>
      <c r="P4917" s="67"/>
      <c r="Q4917" s="67"/>
      <c r="R4917" s="67"/>
      <c r="S4917" s="67"/>
      <c r="T4917" s="32"/>
      <c r="U4917" s="32"/>
      <c r="X4917" s="32"/>
      <c r="Y4917" s="32"/>
      <c r="Z4917" s="32"/>
      <c r="AA4917" s="32"/>
      <c r="AB4917" s="32"/>
    </row>
    <row r="4918" spans="2:28" ht="23.25" customHeight="1" x14ac:dyDescent="0.2">
      <c r="B4918" s="75"/>
      <c r="C4918" s="67"/>
      <c r="D4918" s="75"/>
      <c r="E4918" s="67"/>
      <c r="F4918" s="67"/>
      <c r="G4918" s="70"/>
      <c r="H4918" s="70"/>
      <c r="I4918" s="70"/>
      <c r="J4918" s="70"/>
      <c r="K4918" s="70"/>
      <c r="L4918" s="67"/>
      <c r="M4918" s="67"/>
      <c r="N4918" s="72"/>
      <c r="O4918" s="72"/>
      <c r="P4918" s="67"/>
      <c r="Q4918" s="67"/>
      <c r="R4918" s="67"/>
      <c r="S4918" s="67"/>
      <c r="T4918" s="32"/>
      <c r="U4918" s="32"/>
      <c r="X4918" s="32"/>
      <c r="Y4918" s="32"/>
      <c r="Z4918" s="32"/>
      <c r="AA4918" s="32"/>
      <c r="AB4918" s="32"/>
    </row>
    <row r="4919" spans="2:28" ht="23.25" customHeight="1" x14ac:dyDescent="0.2">
      <c r="B4919" s="75"/>
      <c r="C4919" s="67"/>
      <c r="D4919" s="75"/>
      <c r="E4919" s="67"/>
      <c r="F4919" s="67"/>
      <c r="G4919" s="70"/>
      <c r="H4919" s="70"/>
      <c r="I4919" s="70"/>
      <c r="J4919" s="70"/>
      <c r="K4919" s="70"/>
      <c r="L4919" s="67"/>
      <c r="M4919" s="67"/>
      <c r="N4919" s="72"/>
      <c r="O4919" s="72"/>
      <c r="P4919" s="67"/>
      <c r="Q4919" s="67"/>
      <c r="R4919" s="67"/>
      <c r="S4919" s="67"/>
      <c r="T4919" s="32"/>
      <c r="U4919" s="32"/>
      <c r="X4919" s="32"/>
      <c r="Y4919" s="32"/>
      <c r="Z4919" s="32"/>
      <c r="AA4919" s="32"/>
      <c r="AB4919" s="32"/>
    </row>
    <row r="4920" spans="2:28" ht="23.25" customHeight="1" x14ac:dyDescent="0.2">
      <c r="B4920" s="75"/>
      <c r="C4920" s="67"/>
      <c r="D4920" s="75"/>
      <c r="E4920" s="67"/>
      <c r="F4920" s="67"/>
      <c r="G4920" s="70"/>
      <c r="H4920" s="70"/>
      <c r="I4920" s="70"/>
      <c r="J4920" s="70"/>
      <c r="K4920" s="70"/>
      <c r="L4920" s="67"/>
      <c r="M4920" s="67"/>
      <c r="N4920" s="72"/>
      <c r="O4920" s="72"/>
      <c r="P4920" s="67"/>
      <c r="Q4920" s="67"/>
      <c r="R4920" s="67"/>
      <c r="S4920" s="67"/>
      <c r="T4920" s="32"/>
      <c r="U4920" s="32"/>
      <c r="X4920" s="32"/>
      <c r="Y4920" s="32"/>
      <c r="Z4920" s="32"/>
      <c r="AA4920" s="32"/>
      <c r="AB4920" s="32"/>
    </row>
    <row r="4921" spans="2:28" ht="23.25" customHeight="1" x14ac:dyDescent="0.2">
      <c r="B4921" s="75"/>
      <c r="C4921" s="67"/>
      <c r="D4921" s="75"/>
      <c r="E4921" s="67"/>
      <c r="F4921" s="67"/>
      <c r="G4921" s="70"/>
      <c r="H4921" s="70"/>
      <c r="I4921" s="70"/>
      <c r="J4921" s="70"/>
      <c r="K4921" s="70"/>
      <c r="L4921" s="67"/>
      <c r="M4921" s="67"/>
      <c r="N4921" s="72"/>
      <c r="O4921" s="72"/>
      <c r="P4921" s="67"/>
      <c r="Q4921" s="67"/>
      <c r="R4921" s="67"/>
      <c r="S4921" s="67"/>
      <c r="T4921" s="32"/>
      <c r="U4921" s="32"/>
      <c r="X4921" s="32"/>
      <c r="Y4921" s="32"/>
      <c r="Z4921" s="32"/>
      <c r="AA4921" s="32"/>
      <c r="AB4921" s="32"/>
    </row>
    <row r="4922" spans="2:28" ht="23.25" customHeight="1" x14ac:dyDescent="0.2">
      <c r="B4922" s="75"/>
      <c r="C4922" s="67"/>
      <c r="D4922" s="75"/>
      <c r="E4922" s="67"/>
      <c r="F4922" s="67"/>
      <c r="G4922" s="70"/>
      <c r="H4922" s="70"/>
      <c r="I4922" s="70"/>
      <c r="J4922" s="70"/>
      <c r="K4922" s="70"/>
      <c r="L4922" s="67"/>
      <c r="M4922" s="67"/>
      <c r="N4922" s="72"/>
      <c r="O4922" s="72"/>
      <c r="P4922" s="67"/>
      <c r="Q4922" s="67"/>
      <c r="R4922" s="67"/>
      <c r="S4922" s="67"/>
      <c r="T4922" s="32"/>
      <c r="U4922" s="32"/>
      <c r="X4922" s="32"/>
      <c r="Y4922" s="32"/>
      <c r="Z4922" s="32"/>
      <c r="AA4922" s="32"/>
      <c r="AB4922" s="32"/>
    </row>
    <row r="4923" spans="2:28" ht="23.25" customHeight="1" x14ac:dyDescent="0.2">
      <c r="B4923" s="75"/>
      <c r="C4923" s="67"/>
      <c r="D4923" s="75"/>
      <c r="E4923" s="67"/>
      <c r="F4923" s="67"/>
      <c r="G4923" s="70"/>
      <c r="H4923" s="70"/>
      <c r="I4923" s="70"/>
      <c r="J4923" s="70"/>
      <c r="K4923" s="70"/>
      <c r="L4923" s="67"/>
      <c r="M4923" s="67"/>
      <c r="N4923" s="72"/>
      <c r="O4923" s="72"/>
      <c r="P4923" s="67"/>
      <c r="Q4923" s="67"/>
      <c r="R4923" s="67"/>
      <c r="S4923" s="67"/>
      <c r="T4923" s="32"/>
      <c r="U4923" s="32"/>
      <c r="X4923" s="32"/>
      <c r="Y4923" s="32"/>
      <c r="Z4923" s="32"/>
      <c r="AA4923" s="32"/>
      <c r="AB4923" s="32"/>
    </row>
    <row r="4924" spans="2:28" ht="23.25" customHeight="1" x14ac:dyDescent="0.2">
      <c r="B4924" s="75"/>
      <c r="C4924" s="67"/>
      <c r="D4924" s="75"/>
      <c r="E4924" s="67"/>
      <c r="F4924" s="67"/>
      <c r="G4924" s="70"/>
      <c r="H4924" s="70"/>
      <c r="I4924" s="70"/>
      <c r="J4924" s="70"/>
      <c r="K4924" s="70"/>
      <c r="L4924" s="67"/>
      <c r="M4924" s="67"/>
      <c r="N4924" s="72"/>
      <c r="O4924" s="72"/>
      <c r="P4924" s="67"/>
      <c r="Q4924" s="67"/>
      <c r="R4924" s="67"/>
      <c r="S4924" s="67"/>
      <c r="T4924" s="32"/>
      <c r="U4924" s="32"/>
      <c r="X4924" s="32"/>
      <c r="Y4924" s="32"/>
      <c r="Z4924" s="32"/>
      <c r="AA4924" s="32"/>
      <c r="AB4924" s="32"/>
    </row>
    <row r="4925" spans="2:28" ht="23.25" customHeight="1" x14ac:dyDescent="0.2">
      <c r="B4925" s="75"/>
      <c r="C4925" s="67"/>
      <c r="D4925" s="75"/>
      <c r="E4925" s="67"/>
      <c r="F4925" s="67"/>
      <c r="G4925" s="70"/>
      <c r="H4925" s="70"/>
      <c r="I4925" s="70"/>
      <c r="J4925" s="70"/>
      <c r="K4925" s="70"/>
      <c r="L4925" s="67"/>
      <c r="M4925" s="67"/>
      <c r="N4925" s="72"/>
      <c r="O4925" s="72"/>
      <c r="P4925" s="67"/>
      <c r="Q4925" s="67"/>
      <c r="R4925" s="67"/>
      <c r="S4925" s="67"/>
      <c r="T4925" s="32"/>
      <c r="U4925" s="32"/>
      <c r="X4925" s="32"/>
      <c r="Y4925" s="32"/>
      <c r="Z4925" s="32"/>
      <c r="AA4925" s="32"/>
      <c r="AB4925" s="32"/>
    </row>
    <row r="4926" spans="2:28" ht="23.25" customHeight="1" x14ac:dyDescent="0.2">
      <c r="B4926" s="75"/>
      <c r="C4926" s="67"/>
      <c r="D4926" s="75"/>
      <c r="E4926" s="67"/>
      <c r="F4926" s="67"/>
      <c r="G4926" s="70"/>
      <c r="H4926" s="70"/>
      <c r="I4926" s="70"/>
      <c r="J4926" s="70"/>
      <c r="K4926" s="70"/>
      <c r="L4926" s="67"/>
      <c r="M4926" s="67"/>
      <c r="N4926" s="72"/>
      <c r="O4926" s="72"/>
      <c r="P4926" s="67"/>
      <c r="Q4926" s="67"/>
      <c r="R4926" s="67"/>
      <c r="S4926" s="67"/>
      <c r="T4926" s="32"/>
      <c r="U4926" s="32"/>
      <c r="X4926" s="32"/>
      <c r="Y4926" s="32"/>
      <c r="Z4926" s="32"/>
      <c r="AA4926" s="32"/>
      <c r="AB4926" s="32"/>
    </row>
    <row r="4927" spans="2:28" ht="23.25" customHeight="1" x14ac:dyDescent="0.2">
      <c r="B4927" s="75"/>
      <c r="C4927" s="67"/>
      <c r="D4927" s="75"/>
      <c r="E4927" s="67"/>
      <c r="F4927" s="67"/>
      <c r="G4927" s="70"/>
      <c r="H4927" s="70"/>
      <c r="I4927" s="70"/>
      <c r="J4927" s="70"/>
      <c r="K4927" s="70"/>
      <c r="L4927" s="67"/>
      <c r="M4927" s="67"/>
      <c r="N4927" s="72"/>
      <c r="O4927" s="72"/>
      <c r="P4927" s="67"/>
      <c r="Q4927" s="67"/>
      <c r="R4927" s="67"/>
      <c r="S4927" s="67"/>
      <c r="T4927" s="32"/>
      <c r="U4927" s="32"/>
      <c r="X4927" s="32"/>
      <c r="Y4927" s="32"/>
      <c r="Z4927" s="32"/>
      <c r="AA4927" s="32"/>
      <c r="AB4927" s="32"/>
    </row>
    <row r="4928" spans="2:28" ht="23.25" customHeight="1" x14ac:dyDescent="0.2">
      <c r="B4928" s="75"/>
      <c r="C4928" s="67"/>
      <c r="D4928" s="75"/>
      <c r="E4928" s="67"/>
      <c r="F4928" s="67"/>
      <c r="G4928" s="70"/>
      <c r="H4928" s="70"/>
      <c r="I4928" s="70"/>
      <c r="J4928" s="70"/>
      <c r="K4928" s="70"/>
      <c r="L4928" s="67"/>
      <c r="M4928" s="67"/>
      <c r="N4928" s="72"/>
      <c r="O4928" s="72"/>
      <c r="P4928" s="67"/>
      <c r="Q4928" s="67"/>
      <c r="R4928" s="67"/>
      <c r="S4928" s="67"/>
      <c r="T4928" s="32"/>
      <c r="U4928" s="32"/>
      <c r="X4928" s="32"/>
      <c r="Y4928" s="32"/>
      <c r="Z4928" s="32"/>
      <c r="AA4928" s="32"/>
      <c r="AB4928" s="32"/>
    </row>
    <row r="4929" spans="2:28" ht="23.25" customHeight="1" x14ac:dyDescent="0.2">
      <c r="B4929" s="75"/>
      <c r="C4929" s="67"/>
      <c r="D4929" s="75"/>
      <c r="E4929" s="67"/>
      <c r="F4929" s="67"/>
      <c r="G4929" s="70"/>
      <c r="H4929" s="70"/>
      <c r="I4929" s="70"/>
      <c r="J4929" s="70"/>
      <c r="K4929" s="70"/>
      <c r="L4929" s="67"/>
      <c r="M4929" s="67"/>
      <c r="N4929" s="72"/>
      <c r="O4929" s="72"/>
      <c r="P4929" s="67"/>
      <c r="Q4929" s="67"/>
      <c r="R4929" s="67"/>
      <c r="S4929" s="67"/>
      <c r="T4929" s="32"/>
      <c r="U4929" s="32"/>
      <c r="X4929" s="32"/>
      <c r="Y4929" s="32"/>
      <c r="Z4929" s="32"/>
      <c r="AA4929" s="32"/>
      <c r="AB4929" s="32"/>
    </row>
    <row r="4930" spans="2:28" ht="23.25" customHeight="1" x14ac:dyDescent="0.2">
      <c r="B4930" s="75"/>
      <c r="C4930" s="67"/>
      <c r="D4930" s="75"/>
      <c r="E4930" s="67"/>
      <c r="F4930" s="67"/>
      <c r="G4930" s="70"/>
      <c r="H4930" s="70"/>
      <c r="I4930" s="70"/>
      <c r="J4930" s="70"/>
      <c r="K4930" s="70"/>
      <c r="L4930" s="67"/>
      <c r="M4930" s="67"/>
      <c r="N4930" s="72"/>
      <c r="O4930" s="72"/>
      <c r="P4930" s="67"/>
      <c r="Q4930" s="67"/>
      <c r="R4930" s="67"/>
      <c r="S4930" s="67"/>
      <c r="T4930" s="32"/>
      <c r="U4930" s="32"/>
      <c r="X4930" s="32"/>
      <c r="Y4930" s="32"/>
      <c r="Z4930" s="32"/>
      <c r="AA4930" s="32"/>
      <c r="AB4930" s="32"/>
    </row>
    <row r="4931" spans="2:28" ht="23.25" customHeight="1" x14ac:dyDescent="0.2">
      <c r="B4931" s="75"/>
      <c r="C4931" s="67"/>
      <c r="D4931" s="75"/>
      <c r="E4931" s="67"/>
      <c r="F4931" s="67"/>
      <c r="G4931" s="70"/>
      <c r="H4931" s="70"/>
      <c r="I4931" s="70"/>
      <c r="J4931" s="70"/>
      <c r="K4931" s="70"/>
      <c r="L4931" s="67"/>
      <c r="M4931" s="67"/>
      <c r="N4931" s="72"/>
      <c r="O4931" s="72"/>
      <c r="P4931" s="67"/>
      <c r="Q4931" s="67"/>
      <c r="R4931" s="67"/>
      <c r="S4931" s="67"/>
      <c r="T4931" s="32"/>
      <c r="U4931" s="32"/>
      <c r="X4931" s="32"/>
      <c r="Y4931" s="32"/>
      <c r="Z4931" s="32"/>
      <c r="AA4931" s="32"/>
      <c r="AB4931" s="32"/>
    </row>
    <row r="4932" spans="2:28" ht="23.25" customHeight="1" x14ac:dyDescent="0.2">
      <c r="B4932" s="75"/>
      <c r="C4932" s="67"/>
      <c r="D4932" s="75"/>
      <c r="E4932" s="67"/>
      <c r="F4932" s="67"/>
      <c r="G4932" s="70"/>
      <c r="H4932" s="70"/>
      <c r="I4932" s="70"/>
      <c r="J4932" s="70"/>
      <c r="K4932" s="70"/>
      <c r="L4932" s="67"/>
      <c r="M4932" s="67"/>
      <c r="N4932" s="72"/>
      <c r="O4932" s="72"/>
      <c r="P4932" s="67"/>
      <c r="Q4932" s="67"/>
      <c r="R4932" s="67"/>
      <c r="S4932" s="67"/>
      <c r="T4932" s="32"/>
      <c r="U4932" s="32"/>
      <c r="X4932" s="32"/>
      <c r="Y4932" s="32"/>
      <c r="Z4932" s="32"/>
      <c r="AA4932" s="32"/>
      <c r="AB4932" s="32"/>
    </row>
    <row r="4933" spans="2:28" ht="23.25" customHeight="1" x14ac:dyDescent="0.2">
      <c r="B4933" s="75"/>
      <c r="C4933" s="67"/>
      <c r="D4933" s="75"/>
      <c r="E4933" s="67"/>
      <c r="F4933" s="67"/>
      <c r="G4933" s="70"/>
      <c r="H4933" s="70"/>
      <c r="I4933" s="70"/>
      <c r="J4933" s="70"/>
      <c r="K4933" s="70"/>
      <c r="L4933" s="67"/>
      <c r="M4933" s="67"/>
      <c r="N4933" s="72"/>
      <c r="O4933" s="72"/>
      <c r="P4933" s="67"/>
      <c r="Q4933" s="67"/>
      <c r="R4933" s="67"/>
      <c r="S4933" s="67"/>
      <c r="T4933" s="32"/>
      <c r="U4933" s="32"/>
      <c r="X4933" s="32"/>
      <c r="Y4933" s="32"/>
      <c r="Z4933" s="32"/>
      <c r="AA4933" s="32"/>
      <c r="AB4933" s="32"/>
    </row>
    <row r="4934" spans="2:28" ht="23.25" customHeight="1" x14ac:dyDescent="0.2">
      <c r="B4934" s="75"/>
      <c r="C4934" s="67"/>
      <c r="D4934" s="75"/>
      <c r="E4934" s="67"/>
      <c r="F4934" s="67"/>
      <c r="G4934" s="70"/>
      <c r="H4934" s="70"/>
      <c r="I4934" s="70"/>
      <c r="J4934" s="70"/>
      <c r="K4934" s="70"/>
      <c r="L4934" s="67"/>
      <c r="M4934" s="67"/>
      <c r="N4934" s="72"/>
      <c r="O4934" s="72"/>
      <c r="P4934" s="67"/>
      <c r="Q4934" s="67"/>
      <c r="R4934" s="67"/>
      <c r="S4934" s="67"/>
      <c r="T4934" s="32"/>
      <c r="U4934" s="32"/>
      <c r="X4934" s="32"/>
      <c r="Y4934" s="32"/>
      <c r="Z4934" s="32"/>
      <c r="AA4934" s="32"/>
      <c r="AB4934" s="32"/>
    </row>
    <row r="4935" spans="2:28" ht="23.25" customHeight="1" x14ac:dyDescent="0.2">
      <c r="B4935" s="75"/>
      <c r="C4935" s="67"/>
      <c r="D4935" s="75"/>
      <c r="E4935" s="67"/>
      <c r="F4935" s="67"/>
      <c r="G4935" s="70"/>
      <c r="H4935" s="70"/>
      <c r="I4935" s="70"/>
      <c r="J4935" s="70"/>
      <c r="K4935" s="70"/>
      <c r="L4935" s="67"/>
      <c r="M4935" s="67"/>
      <c r="N4935" s="72"/>
      <c r="O4935" s="72"/>
      <c r="P4935" s="67"/>
      <c r="Q4935" s="67"/>
      <c r="R4935" s="67"/>
      <c r="S4935" s="67"/>
      <c r="T4935" s="32"/>
      <c r="U4935" s="32"/>
      <c r="X4935" s="32"/>
      <c r="Y4935" s="32"/>
      <c r="Z4935" s="32"/>
      <c r="AA4935" s="32"/>
      <c r="AB4935" s="32"/>
    </row>
    <row r="4936" spans="2:28" ht="23.25" customHeight="1" x14ac:dyDescent="0.2">
      <c r="B4936" s="75"/>
      <c r="C4936" s="67"/>
      <c r="D4936" s="75"/>
      <c r="E4936" s="67"/>
      <c r="F4936" s="67"/>
      <c r="G4936" s="70"/>
      <c r="H4936" s="70"/>
      <c r="I4936" s="70"/>
      <c r="J4936" s="70"/>
      <c r="K4936" s="70"/>
      <c r="L4936" s="67"/>
      <c r="M4936" s="67"/>
      <c r="N4936" s="72"/>
      <c r="O4936" s="72"/>
      <c r="P4936" s="67"/>
      <c r="Q4936" s="67"/>
      <c r="R4936" s="67"/>
      <c r="S4936" s="67"/>
      <c r="T4936" s="32"/>
      <c r="U4936" s="32"/>
      <c r="X4936" s="32"/>
      <c r="Y4936" s="32"/>
      <c r="Z4936" s="32"/>
      <c r="AA4936" s="32"/>
      <c r="AB4936" s="32"/>
    </row>
    <row r="4937" spans="2:28" ht="23.25" customHeight="1" x14ac:dyDescent="0.2">
      <c r="B4937" s="75"/>
      <c r="C4937" s="67"/>
      <c r="D4937" s="75"/>
      <c r="E4937" s="67"/>
      <c r="F4937" s="67"/>
      <c r="G4937" s="70"/>
      <c r="H4937" s="70"/>
      <c r="I4937" s="70"/>
      <c r="J4937" s="70"/>
      <c r="K4937" s="70"/>
      <c r="L4937" s="67"/>
      <c r="M4937" s="67"/>
      <c r="N4937" s="72"/>
      <c r="O4937" s="72"/>
      <c r="P4937" s="67"/>
      <c r="Q4937" s="67"/>
      <c r="R4937" s="67"/>
      <c r="S4937" s="67"/>
      <c r="T4937" s="32"/>
      <c r="U4937" s="32"/>
      <c r="X4937" s="32"/>
      <c r="Y4937" s="32"/>
      <c r="Z4937" s="32"/>
      <c r="AA4937" s="32"/>
      <c r="AB4937" s="32"/>
    </row>
    <row r="4938" spans="2:28" ht="23.25" customHeight="1" x14ac:dyDescent="0.2">
      <c r="B4938" s="75"/>
      <c r="C4938" s="67"/>
      <c r="D4938" s="75"/>
      <c r="E4938" s="67"/>
      <c r="F4938" s="67"/>
      <c r="G4938" s="70"/>
      <c r="H4938" s="70"/>
      <c r="I4938" s="70"/>
      <c r="J4938" s="70"/>
      <c r="K4938" s="70"/>
      <c r="L4938" s="67"/>
      <c r="M4938" s="67"/>
      <c r="N4938" s="72"/>
      <c r="O4938" s="72"/>
      <c r="P4938" s="67"/>
      <c r="Q4938" s="67"/>
      <c r="R4938" s="67"/>
      <c r="S4938" s="67"/>
      <c r="T4938" s="32"/>
      <c r="U4938" s="32"/>
      <c r="X4938" s="32"/>
      <c r="Y4938" s="32"/>
      <c r="Z4938" s="32"/>
      <c r="AA4938" s="32"/>
      <c r="AB4938" s="32"/>
    </row>
    <row r="4939" spans="2:28" ht="23.25" customHeight="1" x14ac:dyDescent="0.2">
      <c r="B4939" s="75"/>
      <c r="C4939" s="67"/>
      <c r="D4939" s="75"/>
      <c r="E4939" s="67"/>
      <c r="F4939" s="67"/>
      <c r="G4939" s="70"/>
      <c r="H4939" s="70"/>
      <c r="I4939" s="70"/>
      <c r="J4939" s="70"/>
      <c r="K4939" s="70"/>
      <c r="L4939" s="67"/>
      <c r="M4939" s="67"/>
      <c r="N4939" s="72"/>
      <c r="O4939" s="72"/>
      <c r="P4939" s="67"/>
      <c r="Q4939" s="67"/>
      <c r="R4939" s="67"/>
      <c r="S4939" s="67"/>
      <c r="T4939" s="32"/>
      <c r="U4939" s="32"/>
      <c r="X4939" s="32"/>
      <c r="Y4939" s="32"/>
      <c r="Z4939" s="32"/>
      <c r="AA4939" s="32"/>
      <c r="AB4939" s="32"/>
    </row>
    <row r="4940" spans="2:28" ht="23.25" customHeight="1" x14ac:dyDescent="0.2">
      <c r="B4940" s="75"/>
      <c r="C4940" s="67"/>
      <c r="D4940" s="75"/>
      <c r="E4940" s="67"/>
      <c r="F4940" s="67"/>
      <c r="G4940" s="70"/>
      <c r="H4940" s="70"/>
      <c r="I4940" s="70"/>
      <c r="J4940" s="70"/>
      <c r="K4940" s="70"/>
      <c r="L4940" s="67"/>
      <c r="M4940" s="67"/>
      <c r="N4940" s="72"/>
      <c r="O4940" s="72"/>
      <c r="P4940" s="67"/>
      <c r="Q4940" s="67"/>
      <c r="R4940" s="67"/>
      <c r="S4940" s="67"/>
      <c r="T4940" s="32"/>
      <c r="U4940" s="32"/>
      <c r="X4940" s="32"/>
      <c r="Y4940" s="32"/>
      <c r="Z4940" s="32"/>
      <c r="AA4940" s="32"/>
      <c r="AB4940" s="32"/>
    </row>
    <row r="4941" spans="2:28" ht="23.25" customHeight="1" x14ac:dyDescent="0.2">
      <c r="B4941" s="75"/>
      <c r="C4941" s="67"/>
      <c r="D4941" s="75"/>
      <c r="E4941" s="67"/>
      <c r="F4941" s="67"/>
      <c r="G4941" s="70"/>
      <c r="H4941" s="70"/>
      <c r="I4941" s="70"/>
      <c r="J4941" s="70"/>
      <c r="K4941" s="70"/>
      <c r="L4941" s="67"/>
      <c r="M4941" s="67"/>
      <c r="N4941" s="72"/>
      <c r="O4941" s="72"/>
      <c r="P4941" s="67"/>
      <c r="Q4941" s="67"/>
      <c r="R4941" s="67"/>
      <c r="S4941" s="67"/>
      <c r="T4941" s="32"/>
      <c r="U4941" s="32"/>
      <c r="X4941" s="32"/>
      <c r="Y4941" s="32"/>
      <c r="Z4941" s="32"/>
      <c r="AA4941" s="32"/>
      <c r="AB4941" s="32"/>
    </row>
    <row r="4942" spans="2:28" ht="23.25" customHeight="1" x14ac:dyDescent="0.2">
      <c r="B4942" s="75"/>
      <c r="C4942" s="67"/>
      <c r="D4942" s="75"/>
      <c r="E4942" s="67"/>
      <c r="F4942" s="67"/>
      <c r="G4942" s="70"/>
      <c r="H4942" s="70"/>
      <c r="I4942" s="70"/>
      <c r="J4942" s="70"/>
      <c r="K4942" s="70"/>
      <c r="L4942" s="67"/>
      <c r="M4942" s="67"/>
      <c r="N4942" s="72"/>
      <c r="O4942" s="72"/>
      <c r="P4942" s="67"/>
      <c r="Q4942" s="67"/>
      <c r="R4942" s="67"/>
      <c r="S4942" s="67"/>
      <c r="T4942" s="32"/>
      <c r="U4942" s="32"/>
      <c r="X4942" s="32"/>
      <c r="Y4942" s="32"/>
      <c r="Z4942" s="32"/>
      <c r="AA4942" s="32"/>
      <c r="AB4942" s="32"/>
    </row>
    <row r="4943" spans="2:28" ht="23.25" customHeight="1" x14ac:dyDescent="0.2">
      <c r="B4943" s="75"/>
      <c r="C4943" s="67"/>
      <c r="D4943" s="75"/>
      <c r="E4943" s="67"/>
      <c r="F4943" s="67"/>
      <c r="G4943" s="70"/>
      <c r="H4943" s="70"/>
      <c r="I4943" s="70"/>
      <c r="J4943" s="70"/>
      <c r="K4943" s="70"/>
      <c r="L4943" s="67"/>
      <c r="M4943" s="67"/>
      <c r="N4943" s="72"/>
      <c r="O4943" s="72"/>
      <c r="P4943" s="67"/>
      <c r="Q4943" s="67"/>
      <c r="R4943" s="67"/>
      <c r="S4943" s="67"/>
      <c r="T4943" s="32"/>
      <c r="U4943" s="32"/>
      <c r="X4943" s="32"/>
      <c r="Y4943" s="32"/>
      <c r="Z4943" s="32"/>
      <c r="AA4943" s="32"/>
      <c r="AB4943" s="32"/>
    </row>
    <row r="4944" spans="2:28" ht="23.25" customHeight="1" x14ac:dyDescent="0.2">
      <c r="B4944" s="75"/>
      <c r="C4944" s="67"/>
      <c r="D4944" s="75"/>
      <c r="E4944" s="67"/>
      <c r="F4944" s="67"/>
      <c r="G4944" s="70"/>
      <c r="H4944" s="70"/>
      <c r="I4944" s="70"/>
      <c r="J4944" s="70"/>
      <c r="K4944" s="70"/>
      <c r="L4944" s="67"/>
      <c r="M4944" s="67"/>
      <c r="N4944" s="72"/>
      <c r="O4944" s="72"/>
      <c r="P4944" s="67"/>
      <c r="Q4944" s="67"/>
      <c r="R4944" s="67"/>
      <c r="S4944" s="67"/>
      <c r="T4944" s="32"/>
      <c r="U4944" s="32"/>
      <c r="X4944" s="32"/>
      <c r="Y4944" s="32"/>
      <c r="Z4944" s="32"/>
      <c r="AA4944" s="32"/>
      <c r="AB4944" s="32"/>
    </row>
    <row r="4945" spans="2:28" ht="23.25" customHeight="1" x14ac:dyDescent="0.2">
      <c r="B4945" s="75"/>
      <c r="C4945" s="67"/>
      <c r="D4945" s="75"/>
      <c r="E4945" s="67"/>
      <c r="F4945" s="67"/>
      <c r="G4945" s="70"/>
      <c r="H4945" s="70"/>
      <c r="I4945" s="70"/>
      <c r="J4945" s="70"/>
      <c r="K4945" s="70"/>
      <c r="L4945" s="67"/>
      <c r="M4945" s="67"/>
      <c r="N4945" s="72"/>
      <c r="O4945" s="72"/>
      <c r="P4945" s="67"/>
      <c r="Q4945" s="67"/>
      <c r="R4945" s="67"/>
      <c r="S4945" s="67"/>
      <c r="T4945" s="32"/>
      <c r="U4945" s="32"/>
      <c r="X4945" s="32"/>
      <c r="Y4945" s="32"/>
      <c r="Z4945" s="32"/>
      <c r="AA4945" s="32"/>
      <c r="AB4945" s="32"/>
    </row>
    <row r="4946" spans="2:28" ht="23.25" customHeight="1" x14ac:dyDescent="0.2">
      <c r="B4946" s="75"/>
      <c r="C4946" s="67"/>
      <c r="D4946" s="75"/>
      <c r="E4946" s="67"/>
      <c r="F4946" s="67"/>
      <c r="G4946" s="70"/>
      <c r="H4946" s="70"/>
      <c r="I4946" s="70"/>
      <c r="J4946" s="70"/>
      <c r="K4946" s="70"/>
      <c r="L4946" s="67"/>
      <c r="M4946" s="67"/>
      <c r="N4946" s="72"/>
      <c r="O4946" s="72"/>
      <c r="P4946" s="67"/>
      <c r="Q4946" s="67"/>
      <c r="R4946" s="67"/>
      <c r="S4946" s="67"/>
      <c r="T4946" s="32"/>
      <c r="U4946" s="32"/>
      <c r="X4946" s="32"/>
      <c r="Y4946" s="32"/>
      <c r="Z4946" s="32"/>
      <c r="AA4946" s="32"/>
      <c r="AB4946" s="32"/>
    </row>
    <row r="4947" spans="2:28" ht="23.25" customHeight="1" x14ac:dyDescent="0.2">
      <c r="B4947" s="75"/>
      <c r="C4947" s="67"/>
      <c r="D4947" s="75"/>
      <c r="E4947" s="67"/>
      <c r="F4947" s="67"/>
      <c r="G4947" s="70"/>
      <c r="H4947" s="70"/>
      <c r="I4947" s="70"/>
      <c r="J4947" s="70"/>
      <c r="K4947" s="70"/>
      <c r="L4947" s="67"/>
      <c r="M4947" s="67"/>
      <c r="N4947" s="72"/>
      <c r="O4947" s="72"/>
      <c r="P4947" s="67"/>
      <c r="Q4947" s="67"/>
      <c r="R4947" s="67"/>
      <c r="S4947" s="67"/>
      <c r="T4947" s="32"/>
      <c r="U4947" s="32"/>
      <c r="X4947" s="32"/>
      <c r="Y4947" s="32"/>
      <c r="Z4947" s="32"/>
      <c r="AA4947" s="32"/>
      <c r="AB4947" s="32"/>
    </row>
    <row r="4948" spans="2:28" ht="23.25" customHeight="1" x14ac:dyDescent="0.2">
      <c r="B4948" s="32"/>
      <c r="D4948" s="32"/>
      <c r="G4948" s="32"/>
      <c r="H4948" s="32"/>
      <c r="I4948" s="32"/>
      <c r="J4948" s="32"/>
      <c r="K4948" s="71"/>
      <c r="T4948" s="32"/>
      <c r="U4948" s="32"/>
      <c r="X4948" s="32"/>
      <c r="Y4948" s="32"/>
      <c r="Z4948" s="32"/>
      <c r="AA4948" s="32"/>
      <c r="AB4948" s="32"/>
    </row>
  </sheetData>
  <autoFilter ref="A4:AI2258"/>
  <mergeCells count="434">
    <mergeCell ref="D146:D148"/>
    <mergeCell ref="D1550:D1551"/>
    <mergeCell ref="D1553:D1554"/>
    <mergeCell ref="D1572:D1573"/>
    <mergeCell ref="D1495:D1497"/>
    <mergeCell ref="D1591:D1595"/>
    <mergeCell ref="D1597:D1599"/>
    <mergeCell ref="D1601:D1612"/>
    <mergeCell ref="D1614:D1617"/>
    <mergeCell ref="D770:D772"/>
    <mergeCell ref="D801:D802"/>
    <mergeCell ref="D839:D841"/>
    <mergeCell ref="D824:D825"/>
    <mergeCell ref="D830:D831"/>
    <mergeCell ref="D558:D559"/>
    <mergeCell ref="D878:D879"/>
    <mergeCell ref="D1211:D1215"/>
    <mergeCell ref="D935:D937"/>
    <mergeCell ref="D964:D967"/>
    <mergeCell ref="D1174:D1179"/>
    <mergeCell ref="D1025:D1026"/>
    <mergeCell ref="D850:D852"/>
    <mergeCell ref="D914:D916"/>
    <mergeCell ref="D881:D882"/>
    <mergeCell ref="D1619:D1620"/>
    <mergeCell ref="D1499:D1500"/>
    <mergeCell ref="D1506:D1508"/>
    <mergeCell ref="D1541:D1542"/>
    <mergeCell ref="D1538:D1539"/>
    <mergeCell ref="D1535:D1536"/>
    <mergeCell ref="D1521:D1522"/>
    <mergeCell ref="D1502:D1504"/>
    <mergeCell ref="D1563:D1564"/>
    <mergeCell ref="D1566:D1570"/>
    <mergeCell ref="D1580:D1582"/>
    <mergeCell ref="D1584:D1586"/>
    <mergeCell ref="D846:D848"/>
    <mergeCell ref="D858:D860"/>
    <mergeCell ref="D866:D867"/>
    <mergeCell ref="D869:D870"/>
    <mergeCell ref="D843:D844"/>
    <mergeCell ref="D854:D856"/>
    <mergeCell ref="D890:D891"/>
    <mergeCell ref="D862:D864"/>
    <mergeCell ref="D1149:D1152"/>
    <mergeCell ref="D1482:D1489"/>
    <mergeCell ref="D1253:D1255"/>
    <mergeCell ref="D1268:D1270"/>
    <mergeCell ref="D1379:D1383"/>
    <mergeCell ref="D1453:D1459"/>
    <mergeCell ref="D1433:D1437"/>
    <mergeCell ref="D1411:D1413"/>
    <mergeCell ref="D1265:D1266"/>
    <mergeCell ref="D1420:D1423"/>
    <mergeCell ref="D1391:D1394"/>
    <mergeCell ref="D1290:D1292"/>
    <mergeCell ref="D1286:D1288"/>
    <mergeCell ref="D1403:D1406"/>
    <mergeCell ref="D1385:D1389"/>
    <mergeCell ref="D1298:D1300"/>
    <mergeCell ref="D1471:D1480"/>
    <mergeCell ref="D1396:D1399"/>
    <mergeCell ref="D1275:D1282"/>
    <mergeCell ref="D1439:D1444"/>
    <mergeCell ref="D1429:D1431"/>
    <mergeCell ref="D1415:D1416"/>
    <mergeCell ref="D1356:D1357"/>
    <mergeCell ref="D1363:D1365"/>
    <mergeCell ref="D1359:D1361"/>
    <mergeCell ref="D1196:D1209"/>
    <mergeCell ref="D1034:D1035"/>
    <mergeCell ref="D1008:D1009"/>
    <mergeCell ref="D1308:D1330"/>
    <mergeCell ref="D1367:D1369"/>
    <mergeCell ref="D1294:D1296"/>
    <mergeCell ref="D1332:D1354"/>
    <mergeCell ref="D1019:D1020"/>
    <mergeCell ref="D1015:D1017"/>
    <mergeCell ref="D1302:D1304"/>
    <mergeCell ref="D1272:D1273"/>
    <mergeCell ref="D1238:D1251"/>
    <mergeCell ref="D1221:D1236"/>
    <mergeCell ref="D1183:D1185"/>
    <mergeCell ref="D1193:D1194"/>
    <mergeCell ref="D1022:D1023"/>
    <mergeCell ref="D1257:D1258"/>
    <mergeCell ref="D1154:D1155"/>
    <mergeCell ref="D804:D806"/>
    <mergeCell ref="D798:D799"/>
    <mergeCell ref="D1011:D1013"/>
    <mergeCell ref="D911:D912"/>
    <mergeCell ref="D1001:D1003"/>
    <mergeCell ref="D928:D929"/>
    <mergeCell ref="D951:D953"/>
    <mergeCell ref="D897:D898"/>
    <mergeCell ref="D931:D933"/>
    <mergeCell ref="D925:D926"/>
    <mergeCell ref="D992:D993"/>
    <mergeCell ref="D995:D996"/>
    <mergeCell ref="D988:D990"/>
    <mergeCell ref="D985:D986"/>
    <mergeCell ref="D959:D962"/>
    <mergeCell ref="D998:D999"/>
    <mergeCell ref="D955:D957"/>
    <mergeCell ref="D1005:D1006"/>
    <mergeCell ref="D972:D973"/>
    <mergeCell ref="D969:D970"/>
    <mergeCell ref="D978:D980"/>
    <mergeCell ref="D975:D976"/>
    <mergeCell ref="D982:D983"/>
    <mergeCell ref="D918:D920"/>
    <mergeCell ref="D599:D602"/>
    <mergeCell ref="D625:D626"/>
    <mergeCell ref="D887:D888"/>
    <mergeCell ref="D774:D776"/>
    <mergeCell ref="D904:D905"/>
    <mergeCell ref="D900:D902"/>
    <mergeCell ref="D907:D909"/>
    <mergeCell ref="D808:D809"/>
    <mergeCell ref="D811:D812"/>
    <mergeCell ref="D872:D873"/>
    <mergeCell ref="D875:D876"/>
    <mergeCell ref="D893:D895"/>
    <mergeCell ref="D884:D885"/>
    <mergeCell ref="D778:D781"/>
    <mergeCell ref="D787:D788"/>
    <mergeCell ref="D820:D822"/>
    <mergeCell ref="D836:D837"/>
    <mergeCell ref="D833:D834"/>
    <mergeCell ref="D827:D828"/>
    <mergeCell ref="D783:D785"/>
    <mergeCell ref="D790:D791"/>
    <mergeCell ref="D817:D818"/>
    <mergeCell ref="D814:D815"/>
    <mergeCell ref="D793:D796"/>
    <mergeCell ref="D234:D236"/>
    <mergeCell ref="D241:D244"/>
    <mergeCell ref="D246:D247"/>
    <mergeCell ref="D287:D288"/>
    <mergeCell ref="D280:D281"/>
    <mergeCell ref="D765:D766"/>
    <mergeCell ref="D706:D708"/>
    <mergeCell ref="D588:D590"/>
    <mergeCell ref="D761:D763"/>
    <mergeCell ref="D742:D743"/>
    <mergeCell ref="D739:D740"/>
    <mergeCell ref="D729:D731"/>
    <mergeCell ref="D725:D727"/>
    <mergeCell ref="D745:D746"/>
    <mergeCell ref="D756:D759"/>
    <mergeCell ref="D751:D754"/>
    <mergeCell ref="D733:D734"/>
    <mergeCell ref="D736:D737"/>
    <mergeCell ref="D748:D749"/>
    <mergeCell ref="D649:D650"/>
    <mergeCell ref="D655:D656"/>
    <mergeCell ref="D652:D653"/>
    <mergeCell ref="D713:D714"/>
    <mergeCell ref="D409:D412"/>
    <mergeCell ref="D304:D305"/>
    <mergeCell ref="D414:D415"/>
    <mergeCell ref="D544:D545"/>
    <mergeCell ref="D541:D542"/>
    <mergeCell ref="D549:D550"/>
    <mergeCell ref="D535:D536"/>
    <mergeCell ref="D538:D539"/>
    <mergeCell ref="D523:D524"/>
    <mergeCell ref="D498:D499"/>
    <mergeCell ref="D516:D517"/>
    <mergeCell ref="D510:D511"/>
    <mergeCell ref="D507:D508"/>
    <mergeCell ref="D504:D505"/>
    <mergeCell ref="D431:D433"/>
    <mergeCell ref="D481:D482"/>
    <mergeCell ref="D439:D443"/>
    <mergeCell ref="D445:D446"/>
    <mergeCell ref="D448:D449"/>
    <mergeCell ref="D478:D479"/>
    <mergeCell ref="D472:D473"/>
    <mergeCell ref="D336:D338"/>
    <mergeCell ref="D513:D514"/>
    <mergeCell ref="D501:D502"/>
    <mergeCell ref="D566:D567"/>
    <mergeCell ref="D585:D586"/>
    <mergeCell ref="D722:D723"/>
    <mergeCell ref="D691:D692"/>
    <mergeCell ref="D719:D720"/>
    <mergeCell ref="D578:D580"/>
    <mergeCell ref="D456:D458"/>
    <mergeCell ref="D487:D489"/>
    <mergeCell ref="D484:D485"/>
    <mergeCell ref="D466:D467"/>
    <mergeCell ref="D529:D530"/>
    <mergeCell ref="D532:D533"/>
    <mergeCell ref="D582:D583"/>
    <mergeCell ref="D592:D594"/>
    <mergeCell ref="D620:D623"/>
    <mergeCell ref="D604:D605"/>
    <mergeCell ref="D563:D564"/>
    <mergeCell ref="D596:D597"/>
    <mergeCell ref="D615:D618"/>
    <mergeCell ref="D575:D576"/>
    <mergeCell ref="D552:D554"/>
    <mergeCell ref="D572:D573"/>
    <mergeCell ref="D462:D464"/>
    <mergeCell ref="D676:D677"/>
    <mergeCell ref="D491:D493"/>
    <mergeCell ref="D51:D53"/>
    <mergeCell ref="D101:D102"/>
    <mergeCell ref="D78:D80"/>
    <mergeCell ref="D569:D570"/>
    <mergeCell ref="D55:D62"/>
    <mergeCell ref="D475:D476"/>
    <mergeCell ref="D526:D527"/>
    <mergeCell ref="D64:D66"/>
    <mergeCell ref="D68:D70"/>
    <mergeCell ref="D95:D96"/>
    <mergeCell ref="D117:D118"/>
    <mergeCell ref="D519:D521"/>
    <mergeCell ref="D417:D419"/>
    <mergeCell ref="D424:D425"/>
    <mergeCell ref="D495:D496"/>
    <mergeCell ref="D183:D185"/>
    <mergeCell ref="D136:D144"/>
    <mergeCell ref="D390:D392"/>
    <mergeCell ref="D435:D437"/>
    <mergeCell ref="D469:D470"/>
    <mergeCell ref="D421:D422"/>
    <mergeCell ref="D451:D454"/>
    <mergeCell ref="D132:D134"/>
    <mergeCell ref="B1:AB1"/>
    <mergeCell ref="B2:AB2"/>
    <mergeCell ref="X3:AB3"/>
    <mergeCell ref="V3:W3"/>
    <mergeCell ref="B3:C3"/>
    <mergeCell ref="D3:E3"/>
    <mergeCell ref="D12:D15"/>
    <mergeCell ref="D47:D48"/>
    <mergeCell ref="D36:D38"/>
    <mergeCell ref="D21:D22"/>
    <mergeCell ref="D30:D33"/>
    <mergeCell ref="D26:D28"/>
    <mergeCell ref="D165:D166"/>
    <mergeCell ref="D160:D163"/>
    <mergeCell ref="D187:D189"/>
    <mergeCell ref="D387:D388"/>
    <mergeCell ref="D405:D407"/>
    <mergeCell ref="D268:D269"/>
    <mergeCell ref="D394:D397"/>
    <mergeCell ref="D347:D352"/>
    <mergeCell ref="D322:D323"/>
    <mergeCell ref="D309:D314"/>
    <mergeCell ref="D273:D274"/>
    <mergeCell ref="D399:D401"/>
    <mergeCell ref="D343:D345"/>
    <mergeCell ref="D332:D334"/>
    <mergeCell ref="D316:D320"/>
    <mergeCell ref="D325:D326"/>
    <mergeCell ref="D191:D192"/>
    <mergeCell ref="D194:D199"/>
    <mergeCell ref="D218:D219"/>
    <mergeCell ref="D210:D212"/>
    <mergeCell ref="D259:D261"/>
    <mergeCell ref="D292:D294"/>
    <mergeCell ref="D340:D341"/>
    <mergeCell ref="D253:D255"/>
    <mergeCell ref="D688:D689"/>
    <mergeCell ref="D636:D637"/>
    <mergeCell ref="D642:D643"/>
    <mergeCell ref="D645:D647"/>
    <mergeCell ref="D639:D640"/>
    <mergeCell ref="D123:D124"/>
    <mergeCell ref="D120:D121"/>
    <mergeCell ref="D90:D91"/>
    <mergeCell ref="D110:D115"/>
    <mergeCell ref="D98:D99"/>
    <mergeCell ref="D106:D108"/>
    <mergeCell ref="D249:D251"/>
    <mergeCell ref="D263:D264"/>
    <mergeCell ref="D221:D232"/>
    <mergeCell ref="D201:D205"/>
    <mergeCell ref="D126:D130"/>
    <mergeCell ref="D177:D178"/>
    <mergeCell ref="D150:D151"/>
    <mergeCell ref="D207:D208"/>
    <mergeCell ref="D171:D172"/>
    <mergeCell ref="D174:D175"/>
    <mergeCell ref="D156:D158"/>
    <mergeCell ref="D180:D181"/>
    <mergeCell ref="D153:D154"/>
    <mergeCell ref="D2025:D2026"/>
    <mergeCell ref="D2123:D2125"/>
    <mergeCell ref="D2075:D2079"/>
    <mergeCell ref="D2109:D2111"/>
    <mergeCell ref="D2098:D2100"/>
    <mergeCell ref="D74:D76"/>
    <mergeCell ref="D168:D169"/>
    <mergeCell ref="D700:D701"/>
    <mergeCell ref="D703:D704"/>
    <mergeCell ref="D658:D661"/>
    <mergeCell ref="D607:D610"/>
    <mergeCell ref="D716:D717"/>
    <mergeCell ref="D697:D698"/>
    <mergeCell ref="D612:D613"/>
    <mergeCell ref="D684:D686"/>
    <mergeCell ref="D673:D674"/>
    <mergeCell ref="D679:D682"/>
    <mergeCell ref="D694:D695"/>
    <mergeCell ref="D628:D629"/>
    <mergeCell ref="D667:D668"/>
    <mergeCell ref="D670:D671"/>
    <mergeCell ref="D710:D711"/>
    <mergeCell ref="D663:D665"/>
    <mergeCell ref="D631:D634"/>
    <mergeCell ref="D1965:D1967"/>
    <mergeCell ref="D1912:D1913"/>
    <mergeCell ref="D1932:D1935"/>
    <mergeCell ref="D1924:D1930"/>
    <mergeCell ref="D1908:D1910"/>
    <mergeCell ref="D2248:D2249"/>
    <mergeCell ref="D1988:D1996"/>
    <mergeCell ref="D1969:D1972"/>
    <mergeCell ref="D1976:D1977"/>
    <mergeCell ref="D2235:D2236"/>
    <mergeCell ref="D2167:D2168"/>
    <mergeCell ref="D2120:D2121"/>
    <mergeCell ref="D2068:D2073"/>
    <mergeCell ref="D2093:D2096"/>
    <mergeCell ref="D2085:D2091"/>
    <mergeCell ref="D2105:D2107"/>
    <mergeCell ref="D2117:D2118"/>
    <mergeCell ref="D2102:D2103"/>
    <mergeCell ref="D2113:D2115"/>
    <mergeCell ref="D2043:D2044"/>
    <mergeCell ref="D2052:D2053"/>
    <mergeCell ref="D2049:D2050"/>
    <mergeCell ref="D2055:D2060"/>
    <mergeCell ref="D2012:D2014"/>
    <mergeCell ref="D1744:D1750"/>
    <mergeCell ref="D1919:D1922"/>
    <mergeCell ref="D1873:D1875"/>
    <mergeCell ref="D1959:D1960"/>
    <mergeCell ref="D2009:D2010"/>
    <mergeCell ref="D2046:D2047"/>
    <mergeCell ref="D2062:D2066"/>
    <mergeCell ref="D2036:D2041"/>
    <mergeCell ref="D2081:D2083"/>
    <mergeCell ref="D2028:D2034"/>
    <mergeCell ref="D2016:D2017"/>
    <mergeCell ref="D1998:D1999"/>
    <mergeCell ref="D2019:D2020"/>
    <mergeCell ref="D2003:D2007"/>
    <mergeCell ref="D1948:D1949"/>
    <mergeCell ref="D1937:D1938"/>
    <mergeCell ref="D1942:D1943"/>
    <mergeCell ref="D1979:D1983"/>
    <mergeCell ref="D1985:D1986"/>
    <mergeCell ref="D2022:D2023"/>
    <mergeCell ref="D1905:D1906"/>
    <mergeCell ref="D1951:D1953"/>
    <mergeCell ref="D1962:D1963"/>
    <mergeCell ref="D1955:D1957"/>
    <mergeCell ref="D1732:D1736"/>
    <mergeCell ref="D1769:D1772"/>
    <mergeCell ref="D1852:D1853"/>
    <mergeCell ref="D1752:D1759"/>
    <mergeCell ref="D1794:D1805"/>
    <mergeCell ref="D2170:D2171"/>
    <mergeCell ref="D1448:D1451"/>
    <mergeCell ref="D1530:D1531"/>
    <mergeCell ref="D1512:D1516"/>
    <mergeCell ref="D1526:D1528"/>
    <mergeCell ref="D1467:D1469"/>
    <mergeCell ref="D1864:D1868"/>
    <mergeCell ref="D1783:D1785"/>
    <mergeCell ref="D1774:D1775"/>
    <mergeCell ref="D1761:D1767"/>
    <mergeCell ref="D1678:D1680"/>
    <mergeCell ref="D1848:D1850"/>
    <mergeCell ref="D1841:D1842"/>
    <mergeCell ref="D1807:D1810"/>
    <mergeCell ref="D1787:D1792"/>
    <mergeCell ref="D1812:D1826"/>
    <mergeCell ref="D1777:D1781"/>
    <mergeCell ref="D1945:D1946"/>
    <mergeCell ref="D1915:D1917"/>
    <mergeCell ref="D1855:D1859"/>
    <mergeCell ref="D1828:D1839"/>
    <mergeCell ref="D1844:D1846"/>
    <mergeCell ref="D1881:D1885"/>
    <mergeCell ref="D1559:D1561"/>
    <mergeCell ref="D1624:D1626"/>
    <mergeCell ref="D1628:D1636"/>
    <mergeCell ref="D1671:D1672"/>
    <mergeCell ref="D1722:D1723"/>
    <mergeCell ref="D1715:D1720"/>
    <mergeCell ref="D1707:D1709"/>
    <mergeCell ref="D1682:D1687"/>
    <mergeCell ref="D1662:D1666"/>
    <mergeCell ref="D1689:D1691"/>
    <mergeCell ref="D1861:D1862"/>
    <mergeCell ref="D1877:D1879"/>
    <mergeCell ref="D1651:D1652"/>
    <mergeCell ref="D1645:D1646"/>
    <mergeCell ref="D1638:D1643"/>
    <mergeCell ref="D1696:D1697"/>
    <mergeCell ref="D1699:D1701"/>
    <mergeCell ref="D1656:D1660"/>
    <mergeCell ref="D1674:D1676"/>
    <mergeCell ref="D1648:D1649"/>
    <mergeCell ref="D1897:D1898"/>
    <mergeCell ref="D1217:D1219"/>
    <mergeCell ref="D1262:D1263"/>
    <mergeCell ref="D1408:D1409"/>
    <mergeCell ref="D6:D7"/>
    <mergeCell ref="D1900:D1903"/>
    <mergeCell ref="D1711:D1713"/>
    <mergeCell ref="D1738:D1742"/>
    <mergeCell ref="D1725:D1730"/>
    <mergeCell ref="D922:D923"/>
    <mergeCell ref="D1189:D1191"/>
    <mergeCell ref="D939:D941"/>
    <mergeCell ref="D943:D945"/>
    <mergeCell ref="D947:D949"/>
    <mergeCell ref="D1887:D1895"/>
    <mergeCell ref="D1518:D1519"/>
    <mergeCell ref="D1544:D1545"/>
    <mergeCell ref="D1547:D1548"/>
    <mergeCell ref="D1556:D1557"/>
    <mergeCell ref="D1693:D1694"/>
    <mergeCell ref="D1588:D1589"/>
    <mergeCell ref="D1575:D1578"/>
    <mergeCell ref="D1668:D1669"/>
    <mergeCell ref="D1870:D1871"/>
  </mergeCells>
  <conditionalFormatting sqref="U2:U3 U2259:U65818">
    <cfRule type="cellIs" dxfId="5957" priority="95547" stopIfTrue="1" operator="lessThan">
      <formula>0</formula>
    </cfRule>
  </conditionalFormatting>
  <conditionalFormatting sqref="N2:N3 N2259:N65818">
    <cfRule type="cellIs" dxfId="5956" priority="91854" stopIfTrue="1" operator="between">
      <formula>-350</formula>
      <formula>-1</formula>
    </cfRule>
  </conditionalFormatting>
  <conditionalFormatting sqref="AE1:AE5 AE50 AE11 AE386 AE17 AE238 AE20 AE2257:AE65818 AE1167 AE465 AE2137:AE2138 AE430 AE444 AE518 AE2128 AE635 AE1042 AE1038 AE477 AE480">
    <cfRule type="cellIs" dxfId="5955" priority="91837" stopIfTrue="1" operator="between">
      <formula>-0.15</formula>
      <formula>-0.0001</formula>
    </cfRule>
  </conditionalFormatting>
  <conditionalFormatting sqref="AH1:AI5 AH50:AI50 AH11:AI11 AH386:AI386 AH17:AI17 AH238:AI238 AH20:AI20 AH2257:AI65818 AH1167:AI1167 AH465:AI465 AH2137:AI2138 AH430:AI430 AH444:AI444 AH518:AI518 AH2128:AI2128 AH635:AI635 AH1042:AI1042 AH1038:AI1038 AH477:AI477 AH480:AI480">
    <cfRule type="cellIs" dxfId="5954" priority="91735" stopIfTrue="1" operator="between">
      <formula>-0.15</formula>
      <formula>0.005</formula>
    </cfRule>
  </conditionalFormatting>
  <conditionalFormatting sqref="N4:N5">
    <cfRule type="cellIs" dxfId="5953" priority="54976" stopIfTrue="1" operator="between">
      <formula>-350</formula>
      <formula>-1</formula>
    </cfRule>
  </conditionalFormatting>
  <conditionalFormatting sqref="AE44">
    <cfRule type="cellIs" dxfId="5952" priority="52282" stopIfTrue="1" operator="between">
      <formula>-0.15</formula>
      <formula>-0.0001</formula>
    </cfRule>
  </conditionalFormatting>
  <conditionalFormatting sqref="AH44:AI44">
    <cfRule type="cellIs" dxfId="5951" priority="52281" stopIfTrue="1" operator="between">
      <formula>-0.15</formula>
      <formula>0.005</formula>
    </cfRule>
  </conditionalFormatting>
  <conditionalFormatting sqref="AE1028:AE1029">
    <cfRule type="cellIs" dxfId="5950" priority="39362" stopIfTrue="1" operator="between">
      <formula>-0.15</formula>
      <formula>-0.0001</formula>
    </cfRule>
  </conditionalFormatting>
  <conditionalFormatting sqref="AH1028:AI1029">
    <cfRule type="cellIs" dxfId="5949" priority="39361" stopIfTrue="1" operator="between">
      <formula>-0.15</formula>
      <formula>0.005</formula>
    </cfRule>
  </conditionalFormatting>
  <conditionalFormatting sqref="N1028:N1029">
    <cfRule type="cellIs" dxfId="5948" priority="39363" stopIfTrue="1" operator="between">
      <formula>-350</formula>
      <formula>-1</formula>
    </cfRule>
  </conditionalFormatting>
  <conditionalFormatting sqref="AE1030:AE1031">
    <cfRule type="cellIs" dxfId="5947" priority="37810" stopIfTrue="1" operator="between">
      <formula>-0.15</formula>
      <formula>-0.0001</formula>
    </cfRule>
  </conditionalFormatting>
  <conditionalFormatting sqref="AH1030:AI1031">
    <cfRule type="cellIs" dxfId="5946" priority="37809" stopIfTrue="1" operator="between">
      <formula>-0.15</formula>
      <formula>0.005</formula>
    </cfRule>
  </conditionalFormatting>
  <conditionalFormatting sqref="N1030:N1031">
    <cfRule type="cellIs" dxfId="5945" priority="37811" stopIfTrue="1" operator="between">
      <formula>-350</formula>
      <formula>-1</formula>
    </cfRule>
  </conditionalFormatting>
  <conditionalFormatting sqref="N1049:N1050">
    <cfRule type="cellIs" dxfId="5944" priority="34294" stopIfTrue="1" operator="between">
      <formula>-350</formula>
      <formula>-1</formula>
    </cfRule>
  </conditionalFormatting>
  <conditionalFormatting sqref="AE1049:AE1050">
    <cfRule type="cellIs" dxfId="5943" priority="34293" stopIfTrue="1" operator="between">
      <formula>-0.15</formula>
      <formula>-0.0001</formula>
    </cfRule>
  </conditionalFormatting>
  <conditionalFormatting sqref="AH1049:AI1050">
    <cfRule type="cellIs" dxfId="5942" priority="34292" stopIfTrue="1" operator="between">
      <formula>-0.15</formula>
      <formula>0.005</formula>
    </cfRule>
  </conditionalFormatting>
  <conditionalFormatting sqref="AE416">
    <cfRule type="cellIs" dxfId="5941" priority="31709" stopIfTrue="1" operator="between">
      <formula>-0.15</formula>
      <formula>-0.0001</formula>
    </cfRule>
  </conditionalFormatting>
  <conditionalFormatting sqref="AH416:AI416">
    <cfRule type="cellIs" dxfId="5940" priority="31708" stopIfTrue="1" operator="between">
      <formula>-0.15</formula>
      <formula>0.005</formula>
    </cfRule>
  </conditionalFormatting>
  <conditionalFormatting sqref="N414">
    <cfRule type="cellIs" dxfId="5939" priority="31707" stopIfTrue="1" operator="between">
      <formula>-350</formula>
      <formula>-1</formula>
    </cfRule>
  </conditionalFormatting>
  <conditionalFormatting sqref="AE414">
    <cfRule type="cellIs" dxfId="5938" priority="31706" stopIfTrue="1" operator="between">
      <formula>-0.15</formula>
      <formula>-0.0001</formula>
    </cfRule>
  </conditionalFormatting>
  <conditionalFormatting sqref="AH414:AI414">
    <cfRule type="cellIs" dxfId="5937" priority="31705" stopIfTrue="1" operator="between">
      <formula>-0.15</formula>
      <formula>0.005</formula>
    </cfRule>
  </conditionalFormatting>
  <conditionalFormatting sqref="N1051:N1052">
    <cfRule type="cellIs" dxfId="5936" priority="31435" stopIfTrue="1" operator="between">
      <formula>-350</formula>
      <formula>-1</formula>
    </cfRule>
  </conditionalFormatting>
  <conditionalFormatting sqref="AE1051:AE1052">
    <cfRule type="cellIs" dxfId="5935" priority="31434" stopIfTrue="1" operator="between">
      <formula>-0.15</formula>
      <formula>-0.0001</formula>
    </cfRule>
  </conditionalFormatting>
  <conditionalFormatting sqref="AH1051:AI1052">
    <cfRule type="cellIs" dxfId="5934" priority="31433" stopIfTrue="1" operator="between">
      <formula>-0.15</formula>
      <formula>0.005</formula>
    </cfRule>
  </conditionalFormatting>
  <conditionalFormatting sqref="AE1045:AE1046">
    <cfRule type="cellIs" dxfId="5933" priority="31374" stopIfTrue="1" operator="between">
      <formula>-0.15</formula>
      <formula>-0.0001</formula>
    </cfRule>
  </conditionalFormatting>
  <conditionalFormatting sqref="AH1045:AI1046">
    <cfRule type="cellIs" dxfId="5932" priority="31373" stopIfTrue="1" operator="between">
      <formula>-0.15</formula>
      <formula>0.005</formula>
    </cfRule>
  </conditionalFormatting>
  <conditionalFormatting sqref="N1045:N1046">
    <cfRule type="cellIs" dxfId="5931" priority="31375" stopIfTrue="1" operator="between">
      <formula>-350</formula>
      <formula>-1</formula>
    </cfRule>
  </conditionalFormatting>
  <conditionalFormatting sqref="AE1059:AE1060">
    <cfRule type="cellIs" dxfId="5930" priority="30554" stopIfTrue="1" operator="between">
      <formula>-0.15</formula>
      <formula>-0.0001</formula>
    </cfRule>
  </conditionalFormatting>
  <conditionalFormatting sqref="AH1059:AI1060">
    <cfRule type="cellIs" dxfId="5929" priority="30553" stopIfTrue="1" operator="between">
      <formula>-0.15</formula>
      <formula>0.005</formula>
    </cfRule>
  </conditionalFormatting>
  <conditionalFormatting sqref="N1059:N1060">
    <cfRule type="cellIs" dxfId="5928" priority="30555" stopIfTrue="1" operator="between">
      <formula>-350</formula>
      <formula>-1</formula>
    </cfRule>
  </conditionalFormatting>
  <conditionalFormatting sqref="AE35">
    <cfRule type="cellIs" dxfId="5927" priority="30396" stopIfTrue="1" operator="between">
      <formula>-0.15</formula>
      <formula>-0.0001</formula>
    </cfRule>
  </conditionalFormatting>
  <conditionalFormatting sqref="AH35:AI35">
    <cfRule type="cellIs" dxfId="5926" priority="30395" stopIfTrue="1" operator="between">
      <formula>-0.15</formula>
      <formula>0.005</formula>
    </cfRule>
  </conditionalFormatting>
  <conditionalFormatting sqref="AE43">
    <cfRule type="cellIs" dxfId="5925" priority="30244" stopIfTrue="1" operator="between">
      <formula>-0.15</formula>
      <formula>-0.0001</formula>
    </cfRule>
  </conditionalFormatting>
  <conditionalFormatting sqref="AH43:AI43">
    <cfRule type="cellIs" dxfId="5924" priority="30243" stopIfTrue="1" operator="between">
      <formula>-0.15</formula>
      <formula>0.005</formula>
    </cfRule>
  </conditionalFormatting>
  <conditionalFormatting sqref="N42">
    <cfRule type="cellIs" dxfId="5923" priority="30242" stopIfTrue="1" operator="between">
      <formula>-350</formula>
      <formula>-1</formula>
    </cfRule>
  </conditionalFormatting>
  <conditionalFormatting sqref="AE42">
    <cfRule type="cellIs" dxfId="5922" priority="30241" stopIfTrue="1" operator="between">
      <formula>-0.15</formula>
      <formula>-0.0001</formula>
    </cfRule>
  </conditionalFormatting>
  <conditionalFormatting sqref="AH42:AI42">
    <cfRule type="cellIs" dxfId="5921" priority="30240" stopIfTrue="1" operator="between">
      <formula>-0.15</formula>
      <formula>0.005</formula>
    </cfRule>
  </conditionalFormatting>
  <conditionalFormatting sqref="N2137">
    <cfRule type="cellIs" dxfId="5920" priority="29990" stopIfTrue="1" operator="between">
      <formula>-350</formula>
      <formula>-1</formula>
    </cfRule>
  </conditionalFormatting>
  <conditionalFormatting sqref="N1055:N1056">
    <cfRule type="cellIs" dxfId="5919" priority="29731" stopIfTrue="1" operator="between">
      <formula>-350</formula>
      <formula>-1</formula>
    </cfRule>
  </conditionalFormatting>
  <conditionalFormatting sqref="AE1055:AE1056">
    <cfRule type="cellIs" dxfId="5918" priority="29730" stopIfTrue="1" operator="between">
      <formula>-0.15</formula>
      <formula>-0.0001</formula>
    </cfRule>
  </conditionalFormatting>
  <conditionalFormatting sqref="AH1055:AI1056">
    <cfRule type="cellIs" dxfId="5917" priority="29729" stopIfTrue="1" operator="between">
      <formula>-0.15</formula>
      <formula>0.005</formula>
    </cfRule>
  </conditionalFormatting>
  <conditionalFormatting sqref="AE1057:AE1058">
    <cfRule type="cellIs" dxfId="5916" priority="29347" stopIfTrue="1" operator="between">
      <formula>-0.15</formula>
      <formula>-0.0001</formula>
    </cfRule>
  </conditionalFormatting>
  <conditionalFormatting sqref="AH1057:AI1058">
    <cfRule type="cellIs" dxfId="5915" priority="29346" stopIfTrue="1" operator="between">
      <formula>-0.15</formula>
      <formula>0.005</formula>
    </cfRule>
  </conditionalFormatting>
  <conditionalFormatting sqref="N1057:N1058">
    <cfRule type="cellIs" dxfId="5914" priority="29348" stopIfTrue="1" operator="between">
      <formula>-350</formula>
      <formula>-1</formula>
    </cfRule>
  </conditionalFormatting>
  <conditionalFormatting sqref="AE239">
    <cfRule type="cellIs" dxfId="5913" priority="27132" stopIfTrue="1" operator="between">
      <formula>-0.15</formula>
      <formula>-0.0001</formula>
    </cfRule>
  </conditionalFormatting>
  <conditionalFormatting sqref="AH239:AI239">
    <cfRule type="cellIs" dxfId="5912" priority="27131" stopIfTrue="1" operator="between">
      <formula>-0.15</formula>
      <formula>0.005</formula>
    </cfRule>
  </conditionalFormatting>
  <conditionalFormatting sqref="N239">
    <cfRule type="cellIs" dxfId="5911" priority="27130" stopIfTrue="1" operator="between">
      <formula>-350</formula>
      <formula>-1</formula>
    </cfRule>
  </conditionalFormatting>
  <conditionalFormatting sqref="AE240">
    <cfRule type="cellIs" dxfId="5910" priority="27134" stopIfTrue="1" operator="between">
      <formula>-0.15</formula>
      <formula>-0.0001</formula>
    </cfRule>
  </conditionalFormatting>
  <conditionalFormatting sqref="AH240:AI240">
    <cfRule type="cellIs" dxfId="5909" priority="27133" stopIfTrue="1" operator="between">
      <formula>-0.15</formula>
      <formula>0.005</formula>
    </cfRule>
  </conditionalFormatting>
  <conditionalFormatting sqref="AH55:AI55">
    <cfRule type="cellIs" dxfId="5908" priority="26584" stopIfTrue="1" operator="between">
      <formula>-0.15</formula>
      <formula>0.005</formula>
    </cfRule>
  </conditionalFormatting>
  <conditionalFormatting sqref="AH63:AI63">
    <cfRule type="cellIs" dxfId="5907" priority="26587" stopIfTrue="1" operator="between">
      <formula>-0.15</formula>
      <formula>0.005</formula>
    </cfRule>
  </conditionalFormatting>
  <conditionalFormatting sqref="AE55">
    <cfRule type="cellIs" dxfId="5906" priority="26586" stopIfTrue="1" operator="between">
      <formula>-0.15</formula>
      <formula>-0.0001</formula>
    </cfRule>
  </conditionalFormatting>
  <conditionalFormatting sqref="AE63">
    <cfRule type="cellIs" dxfId="5905" priority="26588" stopIfTrue="1" operator="between">
      <formula>-0.15</formula>
      <formula>-0.0001</formula>
    </cfRule>
  </conditionalFormatting>
  <conditionalFormatting sqref="N63">
    <cfRule type="cellIs" dxfId="5904" priority="26589" stopIfTrue="1" operator="between">
      <formula>-350</formula>
      <formula>-1</formula>
    </cfRule>
  </conditionalFormatting>
  <conditionalFormatting sqref="AE1043:AE1044">
    <cfRule type="cellIs" dxfId="5903" priority="26307" stopIfTrue="1" operator="between">
      <formula>-0.15</formula>
      <formula>-0.0001</formula>
    </cfRule>
  </conditionalFormatting>
  <conditionalFormatting sqref="AH1043:AI1044">
    <cfRule type="cellIs" dxfId="5902" priority="26306" stopIfTrue="1" operator="between">
      <formula>-0.15</formula>
      <formula>0.005</formula>
    </cfRule>
  </conditionalFormatting>
  <conditionalFormatting sqref="N1043:N1044">
    <cfRule type="cellIs" dxfId="5901" priority="26308" stopIfTrue="1" operator="between">
      <formula>-350</formula>
      <formula>-1</formula>
    </cfRule>
  </conditionalFormatting>
  <conditionalFormatting sqref="N2145">
    <cfRule type="cellIs" dxfId="5900" priority="26082" stopIfTrue="1" operator="between">
      <formula>-350</formula>
      <formula>-1</formula>
    </cfRule>
  </conditionalFormatting>
  <conditionalFormatting sqref="AE237">
    <cfRule type="cellIs" dxfId="5899" priority="26256" stopIfTrue="1" operator="between">
      <formula>-0.15</formula>
      <formula>-0.0001</formula>
    </cfRule>
  </conditionalFormatting>
  <conditionalFormatting sqref="AH237:AI237">
    <cfRule type="cellIs" dxfId="5898" priority="26255" stopIfTrue="1" operator="between">
      <formula>-0.15</formula>
      <formula>0.005</formula>
    </cfRule>
  </conditionalFormatting>
  <conditionalFormatting sqref="AE234">
    <cfRule type="cellIs" dxfId="5897" priority="26254" stopIfTrue="1" operator="between">
      <formula>-0.15</formula>
      <formula>-0.0001</formula>
    </cfRule>
  </conditionalFormatting>
  <conditionalFormatting sqref="AH234:AI234">
    <cfRule type="cellIs" dxfId="5896" priority="26252" stopIfTrue="1" operator="between">
      <formula>-0.15</formula>
      <formula>0.005</formula>
    </cfRule>
  </conditionalFormatting>
  <conditionalFormatting sqref="N237">
    <cfRule type="cellIs" dxfId="5895" priority="26257" stopIfTrue="1" operator="between">
      <formula>-350</formula>
      <formula>-1</formula>
    </cfRule>
  </conditionalFormatting>
  <conditionalFormatting sqref="N234">
    <cfRule type="cellIs" dxfId="5894" priority="26253" stopIfTrue="1" operator="between">
      <formula>-350</formula>
      <formula>-1</formula>
    </cfRule>
  </conditionalFormatting>
  <conditionalFormatting sqref="AE2145:AE2146">
    <cfRule type="cellIs" dxfId="5893" priority="26084" stopIfTrue="1" operator="between">
      <formula>-0.15</formula>
      <formula>-0.0001</formula>
    </cfRule>
  </conditionalFormatting>
  <conditionalFormatting sqref="AH2145:AI2146">
    <cfRule type="cellIs" dxfId="5892" priority="26083" stopIfTrue="1" operator="between">
      <formula>-0.15</formula>
      <formula>0.005</formula>
    </cfRule>
  </conditionalFormatting>
  <conditionalFormatting sqref="AE2133:AE2134">
    <cfRule type="cellIs" dxfId="5891" priority="25583" stopIfTrue="1" operator="between">
      <formula>-0.15</formula>
      <formula>-0.0001</formula>
    </cfRule>
  </conditionalFormatting>
  <conditionalFormatting sqref="AH2133:AI2134">
    <cfRule type="cellIs" dxfId="5890" priority="25582" stopIfTrue="1" operator="between">
      <formula>-0.15</formula>
      <formula>0.005</formula>
    </cfRule>
  </conditionalFormatting>
  <conditionalFormatting sqref="N2133">
    <cfRule type="cellIs" dxfId="5889" priority="25581" stopIfTrue="1" operator="between">
      <formula>-350</formula>
      <formula>-1</formula>
    </cfRule>
  </conditionalFormatting>
  <conditionalFormatting sqref="AE425">
    <cfRule type="cellIs" dxfId="5888" priority="25107" stopIfTrue="1" operator="between">
      <formula>-0.15</formula>
      <formula>-0.0001</formula>
    </cfRule>
  </conditionalFormatting>
  <conditionalFormatting sqref="AH425:AI425">
    <cfRule type="cellIs" dxfId="5887" priority="25106" stopIfTrue="1" operator="between">
      <formula>-0.15</formula>
      <formula>0.005</formula>
    </cfRule>
  </conditionalFormatting>
  <conditionalFormatting sqref="N425">
    <cfRule type="cellIs" dxfId="5886" priority="25108" stopIfTrue="1" operator="between">
      <formula>-350</formula>
      <formula>-1</formula>
    </cfRule>
  </conditionalFormatting>
  <conditionalFormatting sqref="N424">
    <cfRule type="cellIs" dxfId="5885" priority="25111" stopIfTrue="1" operator="between">
      <formula>-350</formula>
      <formula>-1</formula>
    </cfRule>
  </conditionalFormatting>
  <conditionalFormatting sqref="AE424">
    <cfRule type="cellIs" dxfId="5884" priority="25110" stopIfTrue="1" operator="between">
      <formula>-0.15</formula>
      <formula>-0.0001</formula>
    </cfRule>
  </conditionalFormatting>
  <conditionalFormatting sqref="AH424:AI424">
    <cfRule type="cellIs" dxfId="5883" priority="25109" stopIfTrue="1" operator="between">
      <formula>-0.15</formula>
      <formula>0.005</formula>
    </cfRule>
  </conditionalFormatting>
  <conditionalFormatting sqref="AE426">
    <cfRule type="cellIs" dxfId="5882" priority="25113" stopIfTrue="1" operator="between">
      <formula>-0.15</formula>
      <formula>-0.0001</formula>
    </cfRule>
  </conditionalFormatting>
  <conditionalFormatting sqref="AH426:AI426">
    <cfRule type="cellIs" dxfId="5881" priority="25112" stopIfTrue="1" operator="between">
      <formula>-0.15</formula>
      <formula>0.005</formula>
    </cfRule>
  </conditionalFormatting>
  <conditionalFormatting sqref="AE428">
    <cfRule type="cellIs" dxfId="5880" priority="25127" stopIfTrue="1" operator="between">
      <formula>-0.15</formula>
      <formula>-0.0001</formula>
    </cfRule>
  </conditionalFormatting>
  <conditionalFormatting sqref="AH428:AI428">
    <cfRule type="cellIs" dxfId="5879" priority="25126" stopIfTrue="1" operator="between">
      <formula>-0.15</formula>
      <formula>0.005</formula>
    </cfRule>
  </conditionalFormatting>
  <conditionalFormatting sqref="N427">
    <cfRule type="cellIs" dxfId="5878" priority="25125" stopIfTrue="1" operator="between">
      <formula>-350</formula>
      <formula>-1</formula>
    </cfRule>
  </conditionalFormatting>
  <conditionalFormatting sqref="AE427">
    <cfRule type="cellIs" dxfId="5877" priority="25124" stopIfTrue="1" operator="between">
      <formula>-0.15</formula>
      <formula>-0.0001</formula>
    </cfRule>
  </conditionalFormatting>
  <conditionalFormatting sqref="AH427:AI427">
    <cfRule type="cellIs" dxfId="5876" priority="25123" stopIfTrue="1" operator="between">
      <formula>-0.15</formula>
      <formula>0.005</formula>
    </cfRule>
  </conditionalFormatting>
  <conditionalFormatting sqref="AE385">
    <cfRule type="cellIs" dxfId="5875" priority="23056" stopIfTrue="1" operator="between">
      <formula>-0.15</formula>
      <formula>-0.0001</formula>
    </cfRule>
  </conditionalFormatting>
  <conditionalFormatting sqref="AH385:AI385">
    <cfRule type="cellIs" dxfId="5874" priority="23055" stopIfTrue="1" operator="between">
      <formula>-0.15</formula>
      <formula>0.005</formula>
    </cfRule>
  </conditionalFormatting>
  <conditionalFormatting sqref="AE1053:AE1054">
    <cfRule type="cellIs" dxfId="5873" priority="23026" stopIfTrue="1" operator="between">
      <formula>-0.15</formula>
      <formula>-0.0001</formula>
    </cfRule>
  </conditionalFormatting>
  <conditionalFormatting sqref="N1053:N1054">
    <cfRule type="cellIs" dxfId="5872" priority="23027" stopIfTrue="1" operator="between">
      <formula>-350</formula>
      <formula>-1</formula>
    </cfRule>
  </conditionalFormatting>
  <conditionalFormatting sqref="AH1053:AI1054">
    <cfRule type="cellIs" dxfId="5871" priority="23025" stopIfTrue="1" operator="between">
      <formula>-0.15</formula>
      <formula>0.005</formula>
    </cfRule>
  </conditionalFormatting>
  <conditionalFormatting sqref="N1409">
    <cfRule type="cellIs" dxfId="5870" priority="22793" stopIfTrue="1" operator="between">
      <formula>-350</formula>
      <formula>-1</formula>
    </cfRule>
  </conditionalFormatting>
  <conditionalFormatting sqref="AE1410">
    <cfRule type="cellIs" dxfId="5869" priority="22799" stopIfTrue="1" operator="between">
      <formula>-0.15</formula>
      <formula>-0.0001</formula>
    </cfRule>
  </conditionalFormatting>
  <conditionalFormatting sqref="AH1410:AI1410">
    <cfRule type="cellIs" dxfId="5868" priority="22798" stopIfTrue="1" operator="between">
      <formula>-0.15</formula>
      <formula>0.005</formula>
    </cfRule>
  </conditionalFormatting>
  <conditionalFormatting sqref="AE1409">
    <cfRule type="cellIs" dxfId="5867" priority="22797" stopIfTrue="1" operator="between">
      <formula>-0.15</formula>
      <formula>-0.0001</formula>
    </cfRule>
  </conditionalFormatting>
  <conditionalFormatting sqref="AH1409:AI1409">
    <cfRule type="cellIs" dxfId="5866" priority="22796" stopIfTrue="1" operator="between">
      <formula>-0.15</formula>
      <formula>0.005</formula>
    </cfRule>
  </conditionalFormatting>
  <conditionalFormatting sqref="AE1401">
    <cfRule type="cellIs" dxfId="5865" priority="22531" stopIfTrue="1" operator="between">
      <formula>-0.15</formula>
      <formula>-0.0001</formula>
    </cfRule>
  </conditionalFormatting>
  <conditionalFormatting sqref="AH1401:AI1401">
    <cfRule type="cellIs" dxfId="5864" priority="22530" stopIfTrue="1" operator="between">
      <formula>-0.15</formula>
      <formula>0.005</formula>
    </cfRule>
  </conditionalFormatting>
  <conditionalFormatting sqref="AE1402">
    <cfRule type="cellIs" dxfId="5863" priority="22533" stopIfTrue="1" operator="between">
      <formula>-0.15</formula>
      <formula>-0.0001</formula>
    </cfRule>
  </conditionalFormatting>
  <conditionalFormatting sqref="AH1402:AI1402">
    <cfRule type="cellIs" dxfId="5862" priority="22532" stopIfTrue="1" operator="between">
      <formula>-0.15</formula>
      <formula>0.005</formula>
    </cfRule>
  </conditionalFormatting>
  <conditionalFormatting sqref="N1401">
    <cfRule type="cellIs" dxfId="5861" priority="22529" stopIfTrue="1" operator="between">
      <formula>-350</formula>
      <formula>-1</formula>
    </cfRule>
  </conditionalFormatting>
  <conditionalFormatting sqref="AE34">
    <cfRule type="cellIs" dxfId="5860" priority="21698" stopIfTrue="1" operator="between">
      <formula>-0.15</formula>
      <formula>-0.0001</formula>
    </cfRule>
  </conditionalFormatting>
  <conditionalFormatting sqref="AH34:AI34">
    <cfRule type="cellIs" dxfId="5859" priority="21697" stopIfTrue="1" operator="between">
      <formula>-0.15</formula>
      <formula>0.005</formula>
    </cfRule>
  </conditionalFormatting>
  <conditionalFormatting sqref="AE2147:AE2148">
    <cfRule type="cellIs" dxfId="5858" priority="21310" stopIfTrue="1" operator="between">
      <formula>-0.15</formula>
      <formula>-0.0001</formula>
    </cfRule>
  </conditionalFormatting>
  <conditionalFormatting sqref="AH2147:AI2148">
    <cfRule type="cellIs" dxfId="5857" priority="21309" stopIfTrue="1" operator="between">
      <formula>-0.15</formula>
      <formula>0.005</formula>
    </cfRule>
  </conditionalFormatting>
  <conditionalFormatting sqref="N2147">
    <cfRule type="cellIs" dxfId="5856" priority="21308" stopIfTrue="1" operator="between">
      <formula>-350</formula>
      <formula>-1</formula>
    </cfRule>
  </conditionalFormatting>
  <conditionalFormatting sqref="AE245">
    <cfRule type="cellIs" dxfId="5855" priority="20817" stopIfTrue="1" operator="between">
      <formula>-0.15</formula>
      <formula>-0.0001</formula>
    </cfRule>
  </conditionalFormatting>
  <conditionalFormatting sqref="AH245:AI245">
    <cfRule type="cellIs" dxfId="5854" priority="20816" stopIfTrue="1" operator="between">
      <formula>-0.15</formula>
      <formula>0.005</formula>
    </cfRule>
  </conditionalFormatting>
  <conditionalFormatting sqref="AE241">
    <cfRule type="cellIs" dxfId="5853" priority="20815" stopIfTrue="1" operator="between">
      <formula>-0.15</formula>
      <formula>-0.0001</formula>
    </cfRule>
  </conditionalFormatting>
  <conditionalFormatting sqref="AH241:AI241">
    <cfRule type="cellIs" dxfId="5852" priority="20814" stopIfTrue="1" operator="between">
      <formula>-0.15</formula>
      <formula>0.005</formula>
    </cfRule>
  </conditionalFormatting>
  <conditionalFormatting sqref="N241">
    <cfRule type="cellIs" dxfId="5851" priority="20813" stopIfTrue="1" operator="between">
      <formula>-350</formula>
      <formula>-1</formula>
    </cfRule>
  </conditionalFormatting>
  <conditionalFormatting sqref="N271">
    <cfRule type="cellIs" dxfId="5850" priority="19535" stopIfTrue="1" operator="between">
      <formula>-350</formula>
      <formula>-1</formula>
    </cfRule>
  </conditionalFormatting>
  <conditionalFormatting sqref="AE271">
    <cfRule type="cellIs" dxfId="5849" priority="19537" stopIfTrue="1" operator="between">
      <formula>-0.15</formula>
      <formula>-0.0001</formula>
    </cfRule>
  </conditionalFormatting>
  <conditionalFormatting sqref="AH271:AI271">
    <cfRule type="cellIs" dxfId="5848" priority="19536" stopIfTrue="1" operator="between">
      <formula>-0.15</formula>
      <formula>0.005</formula>
    </cfRule>
  </conditionalFormatting>
  <conditionalFormatting sqref="AE272">
    <cfRule type="cellIs" dxfId="5847" priority="19539" stopIfTrue="1" operator="between">
      <formula>-0.15</formula>
      <formula>-0.0001</formula>
    </cfRule>
  </conditionalFormatting>
  <conditionalFormatting sqref="AH272:AI272">
    <cfRule type="cellIs" dxfId="5846" priority="19538" stopIfTrue="1" operator="between">
      <formula>-0.15</formula>
      <formula>0.005</formula>
    </cfRule>
  </conditionalFormatting>
  <conditionalFormatting sqref="N2151">
    <cfRule type="cellIs" dxfId="5845" priority="18858" stopIfTrue="1" operator="between">
      <formula>-350</formula>
      <formula>-1</formula>
    </cfRule>
  </conditionalFormatting>
  <conditionalFormatting sqref="AE2151:AE2152">
    <cfRule type="cellIs" dxfId="5844" priority="18860" stopIfTrue="1" operator="between">
      <formula>-0.15</formula>
      <formula>-0.0001</formula>
    </cfRule>
  </conditionalFormatting>
  <conditionalFormatting sqref="AH2151:AI2152">
    <cfRule type="cellIs" dxfId="5843" priority="18859" stopIfTrue="1" operator="between">
      <formula>-0.15</formula>
      <formula>0.005</formula>
    </cfRule>
  </conditionalFormatting>
  <conditionalFormatting sqref="AE1403">
    <cfRule type="cellIs" dxfId="5842" priority="18781" stopIfTrue="1" operator="between">
      <formula>-0.15</formula>
      <formula>-0.0001</formula>
    </cfRule>
  </conditionalFormatting>
  <conditionalFormatting sqref="AH1403:AI1403">
    <cfRule type="cellIs" dxfId="5841" priority="18780" stopIfTrue="1" operator="between">
      <formula>-0.15</formula>
      <formula>0.005</formula>
    </cfRule>
  </conditionalFormatting>
  <conditionalFormatting sqref="AE1407">
    <cfRule type="cellIs" dxfId="5840" priority="18783" stopIfTrue="1" operator="between">
      <formula>-0.15</formula>
      <formula>-0.0001</formula>
    </cfRule>
  </conditionalFormatting>
  <conditionalFormatting sqref="AH1407:AI1407">
    <cfRule type="cellIs" dxfId="5839" priority="18782" stopIfTrue="1" operator="between">
      <formula>-0.15</formula>
      <formula>0.005</formula>
    </cfRule>
  </conditionalFormatting>
  <conditionalFormatting sqref="N1403">
    <cfRule type="cellIs" dxfId="5838" priority="18779" stopIfTrue="1" operator="between">
      <formula>-350</formula>
      <formula>-1</formula>
    </cfRule>
  </conditionalFormatting>
  <conditionalFormatting sqref="AE1406">
    <cfRule type="cellIs" dxfId="5837" priority="18772" stopIfTrue="1" operator="between">
      <formula>-0.15</formula>
      <formula>-0.0001</formula>
    </cfRule>
  </conditionalFormatting>
  <conditionalFormatting sqref="AH1406:AI1406">
    <cfRule type="cellIs" dxfId="5836" priority="18771" stopIfTrue="1" operator="between">
      <formula>-0.15</formula>
      <formula>0.005</formula>
    </cfRule>
  </conditionalFormatting>
  <conditionalFormatting sqref="N1406">
    <cfRule type="cellIs" dxfId="5835" priority="18770" stopIfTrue="1" operator="between">
      <formula>-350</formula>
      <formula>-1</formula>
    </cfRule>
  </conditionalFormatting>
  <conditionalFormatting sqref="AE1404">
    <cfRule type="cellIs" dxfId="5834" priority="18769" stopIfTrue="1" operator="between">
      <formula>-0.15</formula>
      <formula>-0.0001</formula>
    </cfRule>
  </conditionalFormatting>
  <conditionalFormatting sqref="AH1404:AI1404">
    <cfRule type="cellIs" dxfId="5833" priority="18768" stopIfTrue="1" operator="between">
      <formula>-0.15</formula>
      <formula>0.005</formula>
    </cfRule>
  </conditionalFormatting>
  <conditionalFormatting sqref="N1404">
    <cfRule type="cellIs" dxfId="5832" priority="18767" stopIfTrue="1" operator="between">
      <formula>-350</formula>
      <formula>-1</formula>
    </cfRule>
  </conditionalFormatting>
  <conditionalFormatting sqref="AE2149:AE2150">
    <cfRule type="cellIs" dxfId="5831" priority="18343" stopIfTrue="1" operator="between">
      <formula>-0.15</formula>
      <formula>-0.0001</formula>
    </cfRule>
  </conditionalFormatting>
  <conditionalFormatting sqref="AH2149:AI2150">
    <cfRule type="cellIs" dxfId="5830" priority="18342" stopIfTrue="1" operator="between">
      <formula>-0.15</formula>
      <formula>0.005</formula>
    </cfRule>
  </conditionalFormatting>
  <conditionalFormatting sqref="N2149">
    <cfRule type="cellIs" dxfId="5829" priority="18341" stopIfTrue="1" operator="between">
      <formula>-350</formula>
      <formula>-1</formula>
    </cfRule>
  </conditionalFormatting>
  <conditionalFormatting sqref="AE2155:AE2156">
    <cfRule type="cellIs" dxfId="5828" priority="18313" stopIfTrue="1" operator="between">
      <formula>-0.15</formula>
      <formula>-0.0001</formula>
    </cfRule>
  </conditionalFormatting>
  <conditionalFormatting sqref="AH2155:AI2156">
    <cfRule type="cellIs" dxfId="5827" priority="18312" stopIfTrue="1" operator="between">
      <formula>-0.15</formula>
      <formula>0.005</formula>
    </cfRule>
  </conditionalFormatting>
  <conditionalFormatting sqref="N2155">
    <cfRule type="cellIs" dxfId="5826" priority="18311" stopIfTrue="1" operator="between">
      <formula>-350</formula>
      <formula>-1</formula>
    </cfRule>
  </conditionalFormatting>
  <conditionalFormatting sqref="AE2159:AE2160">
    <cfRule type="cellIs" dxfId="5825" priority="18304" stopIfTrue="1" operator="between">
      <formula>-0.15</formula>
      <formula>-0.0001</formula>
    </cfRule>
  </conditionalFormatting>
  <conditionalFormatting sqref="AH2159:AI2160">
    <cfRule type="cellIs" dxfId="5824" priority="18303" stopIfTrue="1" operator="between">
      <formula>-0.15</formula>
      <formula>0.005</formula>
    </cfRule>
  </conditionalFormatting>
  <conditionalFormatting sqref="N2159">
    <cfRule type="cellIs" dxfId="5823" priority="18302" stopIfTrue="1" operator="between">
      <formula>-350</formula>
      <formula>-1</formula>
    </cfRule>
  </conditionalFormatting>
  <conditionalFormatting sqref="AE475">
    <cfRule type="cellIs" dxfId="5822" priority="18248" stopIfTrue="1" operator="between">
      <formula>-0.15</formula>
      <formula>-0.0001</formula>
    </cfRule>
  </conditionalFormatting>
  <conditionalFormatting sqref="AH475:AI475">
    <cfRule type="cellIs" dxfId="5821" priority="18247" stopIfTrue="1" operator="between">
      <formula>-0.15</formula>
      <formula>0.005</formula>
    </cfRule>
  </conditionalFormatting>
  <conditionalFormatting sqref="N475">
    <cfRule type="cellIs" dxfId="5820" priority="18249" stopIfTrue="1" operator="between">
      <formula>-350</formula>
      <formula>-1</formula>
    </cfRule>
  </conditionalFormatting>
  <conditionalFormatting sqref="U1">
    <cfRule type="cellIs" dxfId="5819" priority="18201" stopIfTrue="1" operator="lessThan">
      <formula>0</formula>
    </cfRule>
  </conditionalFormatting>
  <conditionalFormatting sqref="N1">
    <cfRule type="cellIs" dxfId="5818" priority="18200" stopIfTrue="1" operator="between">
      <formula>-350</formula>
      <formula>-1</formula>
    </cfRule>
  </conditionalFormatting>
  <conditionalFormatting sqref="AE2157:AE2158">
    <cfRule type="cellIs" dxfId="5817" priority="18157" stopIfTrue="1" operator="between">
      <formula>-0.15</formula>
      <formula>-0.0001</formula>
    </cfRule>
  </conditionalFormatting>
  <conditionalFormatting sqref="AH2157:AI2158">
    <cfRule type="cellIs" dxfId="5816" priority="18156" stopIfTrue="1" operator="between">
      <formula>-0.15</formula>
      <formula>0.005</formula>
    </cfRule>
  </conditionalFormatting>
  <conditionalFormatting sqref="N2157">
    <cfRule type="cellIs" dxfId="5815" priority="18155" stopIfTrue="1" operator="between">
      <formula>-350</formula>
      <formula>-1</formula>
    </cfRule>
  </conditionalFormatting>
  <conditionalFormatting sqref="AH2165:AI2166">
    <cfRule type="cellIs" dxfId="5814" priority="18144" stopIfTrue="1" operator="between">
      <formula>-0.15</formula>
      <formula>0.005</formula>
    </cfRule>
  </conditionalFormatting>
  <conditionalFormatting sqref="N2165">
    <cfRule type="cellIs" dxfId="5813" priority="18143" stopIfTrue="1" operator="between">
      <formula>-350</formula>
      <formula>-1</formula>
    </cfRule>
  </conditionalFormatting>
  <conditionalFormatting sqref="AE2165:AE2166">
    <cfRule type="cellIs" dxfId="5812" priority="18145" stopIfTrue="1" operator="between">
      <formula>-0.15</formula>
      <formula>-0.0001</formula>
    </cfRule>
  </conditionalFormatting>
  <conditionalFormatting sqref="AE2163:AE2164">
    <cfRule type="cellIs" dxfId="5811" priority="18084" stopIfTrue="1" operator="between">
      <formula>-0.15</formula>
      <formula>-0.0001</formula>
    </cfRule>
  </conditionalFormatting>
  <conditionalFormatting sqref="AH2163:AI2164">
    <cfRule type="cellIs" dxfId="5810" priority="18083" stopIfTrue="1" operator="between">
      <formula>-0.15</formula>
      <formula>0.005</formula>
    </cfRule>
  </conditionalFormatting>
  <conditionalFormatting sqref="N2163">
    <cfRule type="cellIs" dxfId="5809" priority="18082" stopIfTrue="1" operator="between">
      <formula>-350</formula>
      <formula>-1</formula>
    </cfRule>
  </conditionalFormatting>
  <conditionalFormatting sqref="AH2170:AI2170">
    <cfRule type="cellIs" dxfId="5808" priority="18058" stopIfTrue="1" operator="between">
      <formula>-0.15</formula>
      <formula>0.005</formula>
    </cfRule>
  </conditionalFormatting>
  <conditionalFormatting sqref="N2170">
    <cfRule type="cellIs" dxfId="5807" priority="18057" stopIfTrue="1" operator="between">
      <formula>-350</formula>
      <formula>-1</formula>
    </cfRule>
  </conditionalFormatting>
  <conditionalFormatting sqref="AE2170">
    <cfRule type="cellIs" dxfId="5806" priority="18059" stopIfTrue="1" operator="between">
      <formula>-0.15</formula>
      <formula>-0.0001</formula>
    </cfRule>
  </conditionalFormatting>
  <conditionalFormatting sqref="AE1061">
    <cfRule type="cellIs" dxfId="5805" priority="17997" stopIfTrue="1" operator="between">
      <formula>-0.15</formula>
      <formula>-0.0001</formula>
    </cfRule>
  </conditionalFormatting>
  <conditionalFormatting sqref="AH1061:AI1061">
    <cfRule type="cellIs" dxfId="5804" priority="17996" stopIfTrue="1" operator="between">
      <formula>-0.15</formula>
      <formula>0.005</formula>
    </cfRule>
  </conditionalFormatting>
  <conditionalFormatting sqref="N1061">
    <cfRule type="cellIs" dxfId="5803" priority="17998" stopIfTrue="1" operator="between">
      <formula>-350</formula>
      <formula>-1</formula>
    </cfRule>
  </conditionalFormatting>
  <conditionalFormatting sqref="AE1062">
    <cfRule type="cellIs" dxfId="5802" priority="18000" stopIfTrue="1" operator="between">
      <formula>-0.15</formula>
      <formula>-0.0001</formula>
    </cfRule>
  </conditionalFormatting>
  <conditionalFormatting sqref="AH1062:AI1062">
    <cfRule type="cellIs" dxfId="5801" priority="17999" stopIfTrue="1" operator="between">
      <formula>-0.15</formula>
      <formula>0.005</formula>
    </cfRule>
  </conditionalFormatting>
  <conditionalFormatting sqref="AE439">
    <cfRule type="cellIs" dxfId="5800" priority="18005" stopIfTrue="1" operator="between">
      <formula>-0.15</formula>
      <formula>-0.0001</formula>
    </cfRule>
  </conditionalFormatting>
  <conditionalFormatting sqref="AH439:AI439">
    <cfRule type="cellIs" dxfId="5799" priority="18004" stopIfTrue="1" operator="between">
      <formula>-0.15</formula>
      <formula>0.005</formula>
    </cfRule>
  </conditionalFormatting>
  <conditionalFormatting sqref="N439">
    <cfRule type="cellIs" dxfId="5798" priority="18006" stopIfTrue="1" operator="between">
      <formula>-350</formula>
      <formula>-1</formula>
    </cfRule>
  </conditionalFormatting>
  <conditionalFormatting sqref="AE443">
    <cfRule type="cellIs" dxfId="5797" priority="18002" stopIfTrue="1" operator="between">
      <formula>-0.15</formula>
      <formula>-0.0001</formula>
    </cfRule>
  </conditionalFormatting>
  <conditionalFormatting sqref="AH443:AI443">
    <cfRule type="cellIs" dxfId="5796" priority="18001" stopIfTrue="1" operator="between">
      <formula>-0.15</formula>
      <formula>0.005</formula>
    </cfRule>
  </conditionalFormatting>
  <conditionalFormatting sqref="N443">
    <cfRule type="cellIs" dxfId="5795" priority="18003" stopIfTrue="1" operator="between">
      <formula>-350</formula>
      <formula>-1</formula>
    </cfRule>
  </conditionalFormatting>
  <conditionalFormatting sqref="AE464">
    <cfRule type="cellIs" dxfId="5794" priority="17972" stopIfTrue="1" operator="between">
      <formula>-0.15</formula>
      <formula>-0.0001</formula>
    </cfRule>
  </conditionalFormatting>
  <conditionalFormatting sqref="AH464:AI464">
    <cfRule type="cellIs" dxfId="5793" priority="17971" stopIfTrue="1" operator="between">
      <formula>-0.15</formula>
      <formula>0.005</formula>
    </cfRule>
  </conditionalFormatting>
  <conditionalFormatting sqref="N464">
    <cfRule type="cellIs" dxfId="5792" priority="17973" stopIfTrue="1" operator="between">
      <formula>-350</formula>
      <formula>-1</formula>
    </cfRule>
  </conditionalFormatting>
  <conditionalFormatting sqref="AE2255:AE2256">
    <cfRule type="cellIs" dxfId="5791" priority="17506" stopIfTrue="1" operator="between">
      <formula>-0.15</formula>
      <formula>-0.0001</formula>
    </cfRule>
  </conditionalFormatting>
  <conditionalFormatting sqref="AH2255:AI2256">
    <cfRule type="cellIs" dxfId="5790" priority="17505" stopIfTrue="1" operator="between">
      <formula>-0.15</formula>
      <formula>0.005</formula>
    </cfRule>
  </conditionalFormatting>
  <conditionalFormatting sqref="N2255">
    <cfRule type="cellIs" dxfId="5789" priority="17504" stopIfTrue="1" operator="between">
      <formula>-350</formula>
      <formula>-1</formula>
    </cfRule>
  </conditionalFormatting>
  <conditionalFormatting sqref="AE429">
    <cfRule type="cellIs" dxfId="5788" priority="17191" stopIfTrue="1" operator="between">
      <formula>-0.15</formula>
      <formula>-0.0001</formula>
    </cfRule>
  </conditionalFormatting>
  <conditionalFormatting sqref="AH429:AI429">
    <cfRule type="cellIs" dxfId="5787" priority="17190" stopIfTrue="1" operator="between">
      <formula>-0.15</formula>
      <formula>0.005</formula>
    </cfRule>
  </conditionalFormatting>
  <conditionalFormatting sqref="N429">
    <cfRule type="cellIs" dxfId="5786" priority="17192" stopIfTrue="1" operator="between">
      <formula>-350</formula>
      <formula>-1</formula>
    </cfRule>
  </conditionalFormatting>
  <conditionalFormatting sqref="AE445">
    <cfRule type="cellIs" dxfId="5785" priority="16848" stopIfTrue="1" operator="between">
      <formula>-0.15</formula>
      <formula>-0.0001</formula>
    </cfRule>
  </conditionalFormatting>
  <conditionalFormatting sqref="AH445:AI445">
    <cfRule type="cellIs" dxfId="5784" priority="16847" stopIfTrue="1" operator="between">
      <formula>-0.15</formula>
      <formula>0.005</formula>
    </cfRule>
  </conditionalFormatting>
  <conditionalFormatting sqref="N445">
    <cfRule type="cellIs" dxfId="5783" priority="16846" stopIfTrue="1" operator="between">
      <formula>-350</formula>
      <formula>-1</formula>
    </cfRule>
  </conditionalFormatting>
  <conditionalFormatting sqref="AE447">
    <cfRule type="cellIs" dxfId="5782" priority="16850" stopIfTrue="1" operator="between">
      <formula>-0.15</formula>
      <formula>-0.0001</formula>
    </cfRule>
  </conditionalFormatting>
  <conditionalFormatting sqref="AH447:AI447">
    <cfRule type="cellIs" dxfId="5781" priority="16849" stopIfTrue="1" operator="between">
      <formula>-0.15</formula>
      <formula>0.005</formula>
    </cfRule>
  </conditionalFormatting>
  <conditionalFormatting sqref="AE1063">
    <cfRule type="cellIs" dxfId="5780" priority="16503" stopIfTrue="1" operator="between">
      <formula>-0.15</formula>
      <formula>-0.0001</formula>
    </cfRule>
  </conditionalFormatting>
  <conditionalFormatting sqref="AH1063:AI1063">
    <cfRule type="cellIs" dxfId="5779" priority="16502" stopIfTrue="1" operator="between">
      <formula>-0.15</formula>
      <formula>0.005</formula>
    </cfRule>
  </conditionalFormatting>
  <conditionalFormatting sqref="N1063">
    <cfRule type="cellIs" dxfId="5778" priority="16504" stopIfTrue="1" operator="between">
      <formula>-350</formula>
      <formula>-1</formula>
    </cfRule>
  </conditionalFormatting>
  <conditionalFormatting sqref="AE2173:AE2174">
    <cfRule type="cellIs" dxfId="5777" priority="16520" stopIfTrue="1" operator="between">
      <formula>-0.15</formula>
      <formula>-0.0001</formula>
    </cfRule>
  </conditionalFormatting>
  <conditionalFormatting sqref="AH2173:AI2174">
    <cfRule type="cellIs" dxfId="5776" priority="16519" stopIfTrue="1" operator="between">
      <formula>-0.15</formula>
      <formula>0.005</formula>
    </cfRule>
  </conditionalFormatting>
  <conditionalFormatting sqref="N2173">
    <cfRule type="cellIs" dxfId="5775" priority="16518" stopIfTrue="1" operator="between">
      <formula>-350</formula>
      <formula>-1</formula>
    </cfRule>
  </conditionalFormatting>
  <conditionalFormatting sqref="AE1064">
    <cfRule type="cellIs" dxfId="5774" priority="16506" stopIfTrue="1" operator="between">
      <formula>-0.15</formula>
      <formula>-0.0001</formula>
    </cfRule>
  </conditionalFormatting>
  <conditionalFormatting sqref="AH1064:AI1064">
    <cfRule type="cellIs" dxfId="5773" priority="16505" stopIfTrue="1" operator="between">
      <formula>-0.15</formula>
      <formula>0.005</formula>
    </cfRule>
  </conditionalFormatting>
  <conditionalFormatting sqref="AE244">
    <cfRule type="cellIs" dxfId="5772" priority="15967" stopIfTrue="1" operator="between">
      <formula>-0.15</formula>
      <formula>-0.0001</formula>
    </cfRule>
  </conditionalFormatting>
  <conditionalFormatting sqref="AH244:AI244">
    <cfRule type="cellIs" dxfId="5771" priority="15966" stopIfTrue="1" operator="between">
      <formula>-0.15</formula>
      <formula>0.005</formula>
    </cfRule>
  </conditionalFormatting>
  <conditionalFormatting sqref="N244">
    <cfRule type="cellIs" dxfId="5770" priority="15965" stopIfTrue="1" operator="between">
      <formula>-350</formula>
      <formula>-1</formula>
    </cfRule>
  </conditionalFormatting>
  <conditionalFormatting sqref="AE1032:AE1033">
    <cfRule type="cellIs" dxfId="5769" priority="15955" stopIfTrue="1" operator="between">
      <formula>-0.15</formula>
      <formula>-0.0001</formula>
    </cfRule>
  </conditionalFormatting>
  <conditionalFormatting sqref="AH1032:AI1033">
    <cfRule type="cellIs" dxfId="5768" priority="15954" stopIfTrue="1" operator="between">
      <formula>-0.15</formula>
      <formula>0.005</formula>
    </cfRule>
  </conditionalFormatting>
  <conditionalFormatting sqref="N1032:N1033">
    <cfRule type="cellIs" dxfId="5767" priority="15956" stopIfTrue="1" operator="between">
      <formula>-350</formula>
      <formula>-1</formula>
    </cfRule>
  </conditionalFormatting>
  <conditionalFormatting sqref="AE2127">
    <cfRule type="cellIs" dxfId="5766" priority="15803" stopIfTrue="1" operator="between">
      <formula>-0.15</formula>
      <formula>-0.0001</formula>
    </cfRule>
  </conditionalFormatting>
  <conditionalFormatting sqref="AH2127:AI2127">
    <cfRule type="cellIs" dxfId="5765" priority="15802" stopIfTrue="1" operator="between">
      <formula>-0.15</formula>
      <formula>0.005</formula>
    </cfRule>
  </conditionalFormatting>
  <conditionalFormatting sqref="N2127">
    <cfRule type="cellIs" dxfId="5764" priority="15801" stopIfTrue="1" operator="between">
      <formula>-350</formula>
      <formula>-1</formula>
    </cfRule>
  </conditionalFormatting>
  <conditionalFormatting sqref="AE47">
    <cfRule type="cellIs" dxfId="5763" priority="15729" stopIfTrue="1" operator="between">
      <formula>-0.15</formula>
      <formula>-0.0001</formula>
    </cfRule>
  </conditionalFormatting>
  <conditionalFormatting sqref="AH47:AI47">
    <cfRule type="cellIs" dxfId="5762" priority="15728" stopIfTrue="1" operator="between">
      <formula>-0.15</formula>
      <formula>0.005</formula>
    </cfRule>
  </conditionalFormatting>
  <conditionalFormatting sqref="N47">
    <cfRule type="cellIs" dxfId="5761" priority="15730" stopIfTrue="1" operator="between">
      <formula>-350</formula>
      <formula>-1</formula>
    </cfRule>
  </conditionalFormatting>
  <conditionalFormatting sqref="N48">
    <cfRule type="cellIs" dxfId="5760" priority="15727" stopIfTrue="1" operator="between">
      <formula>-350</formula>
      <formula>-1</formula>
    </cfRule>
  </conditionalFormatting>
  <conditionalFormatting sqref="AE48">
    <cfRule type="cellIs" dxfId="5759" priority="15726" stopIfTrue="1" operator="between">
      <formula>-0.15</formula>
      <formula>-0.0001</formula>
    </cfRule>
  </conditionalFormatting>
  <conditionalFormatting sqref="AH48:AI48">
    <cfRule type="cellIs" dxfId="5758" priority="15725" stopIfTrue="1" operator="between">
      <formula>-0.15</formula>
      <formula>0.005</formula>
    </cfRule>
  </conditionalFormatting>
  <conditionalFormatting sqref="AE49">
    <cfRule type="cellIs" dxfId="5757" priority="15735" stopIfTrue="1" operator="between">
      <formula>-0.15</formula>
      <formula>-0.0001</formula>
    </cfRule>
  </conditionalFormatting>
  <conditionalFormatting sqref="AH49:AI49">
    <cfRule type="cellIs" dxfId="5756" priority="15734" stopIfTrue="1" operator="between">
      <formula>-0.15</formula>
      <formula>0.005</formula>
    </cfRule>
  </conditionalFormatting>
  <conditionalFormatting sqref="AE2171:AE2172">
    <cfRule type="cellIs" dxfId="5755" priority="15445" stopIfTrue="1" operator="between">
      <formula>-0.15</formula>
      <formula>-0.0001</formula>
    </cfRule>
  </conditionalFormatting>
  <conditionalFormatting sqref="AH2171:AI2172">
    <cfRule type="cellIs" dxfId="5754" priority="15444" stopIfTrue="1" operator="between">
      <formula>-0.15</formula>
      <formula>0.005</formula>
    </cfRule>
  </conditionalFormatting>
  <conditionalFormatting sqref="N2171">
    <cfRule type="cellIs" dxfId="5753" priority="15443" stopIfTrue="1" operator="between">
      <formula>-350</formula>
      <formula>-1</formula>
    </cfRule>
  </conditionalFormatting>
  <conditionalFormatting sqref="AE2175:AE2176">
    <cfRule type="cellIs" dxfId="5752" priority="15303" stopIfTrue="1" operator="between">
      <formula>-0.15</formula>
      <formula>-0.0001</formula>
    </cfRule>
  </conditionalFormatting>
  <conditionalFormatting sqref="AH2175:AI2176">
    <cfRule type="cellIs" dxfId="5751" priority="15302" stopIfTrue="1" operator="between">
      <formula>-0.15</formula>
      <formula>0.005</formula>
    </cfRule>
  </conditionalFormatting>
  <conditionalFormatting sqref="N2175">
    <cfRule type="cellIs" dxfId="5750" priority="15301" stopIfTrue="1" operator="between">
      <formula>-350</formula>
      <formula>-1</formula>
    </cfRule>
  </conditionalFormatting>
  <conditionalFormatting sqref="AE2177:AE2178">
    <cfRule type="cellIs" dxfId="5749" priority="15064" stopIfTrue="1" operator="between">
      <formula>-0.15</formula>
      <formula>-0.0001</formula>
    </cfRule>
  </conditionalFormatting>
  <conditionalFormatting sqref="AH2177:AI2178">
    <cfRule type="cellIs" dxfId="5748" priority="15063" stopIfTrue="1" operator="between">
      <formula>-0.15</formula>
      <formula>0.005</formula>
    </cfRule>
  </conditionalFormatting>
  <conditionalFormatting sqref="N2177">
    <cfRule type="cellIs" dxfId="5747" priority="15062" stopIfTrue="1" operator="between">
      <formula>-350</formula>
      <formula>-1</formula>
    </cfRule>
  </conditionalFormatting>
  <conditionalFormatting sqref="AE450">
    <cfRule type="cellIs" dxfId="5746" priority="14849" stopIfTrue="1" operator="between">
      <formula>-0.15</formula>
      <formula>-0.0001</formula>
    </cfRule>
  </conditionalFormatting>
  <conditionalFormatting sqref="AH450:AI450">
    <cfRule type="cellIs" dxfId="5745" priority="14848" stopIfTrue="1" operator="between">
      <formula>-0.15</formula>
      <formula>0.005</formula>
    </cfRule>
  </conditionalFormatting>
  <conditionalFormatting sqref="AE448">
    <cfRule type="cellIs" dxfId="5744" priority="14847" stopIfTrue="1" operator="between">
      <formula>-0.15</formula>
      <formula>-0.0001</formula>
    </cfRule>
  </conditionalFormatting>
  <conditionalFormatting sqref="AH448:AI448">
    <cfRule type="cellIs" dxfId="5743" priority="14846" stopIfTrue="1" operator="between">
      <formula>-0.15</formula>
      <formula>0.005</formula>
    </cfRule>
  </conditionalFormatting>
  <conditionalFormatting sqref="N448">
    <cfRule type="cellIs" dxfId="5742" priority="14845" stopIfTrue="1" operator="between">
      <formula>-350</formula>
      <formula>-1</formula>
    </cfRule>
  </conditionalFormatting>
  <conditionalFormatting sqref="AE2168:AE2169">
    <cfRule type="cellIs" dxfId="5741" priority="14555" stopIfTrue="1" operator="between">
      <formula>-0.15</formula>
      <formula>-0.0001</formula>
    </cfRule>
  </conditionalFormatting>
  <conditionalFormatting sqref="AH2168:AI2169">
    <cfRule type="cellIs" dxfId="5740" priority="14554" stopIfTrue="1" operator="between">
      <formula>-0.15</formula>
      <formula>0.005</formula>
    </cfRule>
  </conditionalFormatting>
  <conditionalFormatting sqref="N2168">
    <cfRule type="cellIs" dxfId="5739" priority="14553" stopIfTrue="1" operator="between">
      <formula>-350</formula>
      <formula>-1</formula>
    </cfRule>
  </conditionalFormatting>
  <conditionalFormatting sqref="AE1498">
    <cfRule type="cellIs" dxfId="5738" priority="14527" stopIfTrue="1" operator="between">
      <formula>-0.15</formula>
      <formula>-0.0001</formula>
    </cfRule>
  </conditionalFormatting>
  <conditionalFormatting sqref="AH1498:AI1498">
    <cfRule type="cellIs" dxfId="5737" priority="14526" stopIfTrue="1" operator="between">
      <formula>-0.15</formula>
      <formula>0.005</formula>
    </cfRule>
  </conditionalFormatting>
  <conditionalFormatting sqref="AH1497:AI1497">
    <cfRule type="cellIs" dxfId="5736" priority="14524" stopIfTrue="1" operator="between">
      <formula>-0.15</formula>
      <formula>0.005</formula>
    </cfRule>
  </conditionalFormatting>
  <conditionalFormatting sqref="N1497">
    <cfRule type="cellIs" dxfId="5735" priority="14523" stopIfTrue="1" operator="between">
      <formula>-350</formula>
      <formula>-1</formula>
    </cfRule>
  </conditionalFormatting>
  <conditionalFormatting sqref="AE1497">
    <cfRule type="cellIs" dxfId="5734" priority="14525" stopIfTrue="1" operator="between">
      <formula>-0.15</formula>
      <formula>-0.0001</formula>
    </cfRule>
  </conditionalFormatting>
  <conditionalFormatting sqref="AE1391">
    <cfRule type="cellIs" dxfId="5733" priority="14282" stopIfTrue="1" operator="between">
      <formula>-0.15</formula>
      <formula>-0.0001</formula>
    </cfRule>
  </conditionalFormatting>
  <conditionalFormatting sqref="AH1391:AI1391">
    <cfRule type="cellIs" dxfId="5732" priority="14281" stopIfTrue="1" operator="between">
      <formula>-0.15</formula>
      <formula>0.005</formula>
    </cfRule>
  </conditionalFormatting>
  <conditionalFormatting sqref="AE1395">
    <cfRule type="cellIs" dxfId="5731" priority="14284" stopIfTrue="1" operator="between">
      <formula>-0.15</formula>
      <formula>-0.0001</formula>
    </cfRule>
  </conditionalFormatting>
  <conditionalFormatting sqref="AH1395:AI1395">
    <cfRule type="cellIs" dxfId="5730" priority="14283" stopIfTrue="1" operator="between">
      <formula>-0.15</formula>
      <formula>0.005</formula>
    </cfRule>
  </conditionalFormatting>
  <conditionalFormatting sqref="N1391">
    <cfRule type="cellIs" dxfId="5729" priority="14280" stopIfTrue="1" operator="between">
      <formula>-350</formula>
      <formula>-1</formula>
    </cfRule>
  </conditionalFormatting>
  <conditionalFormatting sqref="AE1394">
    <cfRule type="cellIs" dxfId="5728" priority="14270" stopIfTrue="1" operator="between">
      <formula>-0.15</formula>
      <formula>-0.0001</formula>
    </cfRule>
  </conditionalFormatting>
  <conditionalFormatting sqref="AH1394:AI1394">
    <cfRule type="cellIs" dxfId="5727" priority="14269" stopIfTrue="1" operator="between">
      <formula>-0.15</formula>
      <formula>0.005</formula>
    </cfRule>
  </conditionalFormatting>
  <conditionalFormatting sqref="N1394">
    <cfRule type="cellIs" dxfId="5726" priority="14268" stopIfTrue="1" operator="between">
      <formula>-350</formula>
      <formula>-1</formula>
    </cfRule>
  </conditionalFormatting>
  <conditionalFormatting sqref="AE1271">
    <cfRule type="cellIs" dxfId="5725" priority="14154" stopIfTrue="1" operator="between">
      <formula>-0.15</formula>
      <formula>-0.0001</formula>
    </cfRule>
  </conditionalFormatting>
  <conditionalFormatting sqref="AH1271:AI1271">
    <cfRule type="cellIs" dxfId="5724" priority="14153" stopIfTrue="1" operator="between">
      <formula>-0.15</formula>
      <formula>0.005</formula>
    </cfRule>
  </conditionalFormatting>
  <conditionalFormatting sqref="AE1170:AE1171">
    <cfRule type="cellIs" dxfId="5723" priority="14190" stopIfTrue="1" operator="between">
      <formula>-0.15</formula>
      <formula>-0.0001</formula>
    </cfRule>
  </conditionalFormatting>
  <conditionalFormatting sqref="AH1170:AI1171">
    <cfRule type="cellIs" dxfId="5722" priority="14189" stopIfTrue="1" operator="between">
      <formula>-0.15</formula>
      <formula>0.005</formula>
    </cfRule>
  </conditionalFormatting>
  <conditionalFormatting sqref="N1171">
    <cfRule type="cellIs" dxfId="5721" priority="14188" stopIfTrue="1" operator="between">
      <formula>-350</formula>
      <formula>-1</formula>
    </cfRule>
  </conditionalFormatting>
  <conditionalFormatting sqref="N1170">
    <cfRule type="cellIs" dxfId="5720" priority="14187" stopIfTrue="1" operator="between">
      <formula>-350</formula>
      <formula>-1</formula>
    </cfRule>
  </conditionalFormatting>
  <conditionalFormatting sqref="AE1268">
    <cfRule type="cellIs" dxfId="5719" priority="14152" stopIfTrue="1" operator="between">
      <formula>-0.15</formula>
      <formula>-0.0001</formula>
    </cfRule>
  </conditionalFormatting>
  <conditionalFormatting sqref="AH1268:AI1268">
    <cfRule type="cellIs" dxfId="5718" priority="14151" stopIfTrue="1" operator="between">
      <formula>-0.15</formula>
      <formula>0.005</formula>
    </cfRule>
  </conditionalFormatting>
  <conditionalFormatting sqref="N1268">
    <cfRule type="cellIs" dxfId="5717" priority="14150" stopIfTrue="1" operator="between">
      <formula>-350</formula>
      <formula>-1</formula>
    </cfRule>
  </conditionalFormatting>
  <conditionalFormatting sqref="AE1270">
    <cfRule type="cellIs" dxfId="5716" priority="14149" stopIfTrue="1" operator="between">
      <formula>-0.15</formula>
      <formula>-0.0001</formula>
    </cfRule>
  </conditionalFormatting>
  <conditionalFormatting sqref="AH1270:AI1270">
    <cfRule type="cellIs" dxfId="5715" priority="14148" stopIfTrue="1" operator="between">
      <formula>-0.15</formula>
      <formula>0.005</formula>
    </cfRule>
  </conditionalFormatting>
  <conditionalFormatting sqref="N1270">
    <cfRule type="cellIs" dxfId="5714" priority="14147" stopIfTrue="1" operator="between">
      <formula>-350</formula>
      <formula>-1</formula>
    </cfRule>
  </conditionalFormatting>
  <conditionalFormatting sqref="AE471">
    <cfRule type="cellIs" dxfId="5713" priority="14066" stopIfTrue="1" operator="between">
      <formula>-0.15</formula>
      <formula>-0.0001</formula>
    </cfRule>
  </conditionalFormatting>
  <conditionalFormatting sqref="AH471:AI471">
    <cfRule type="cellIs" dxfId="5712" priority="14065" stopIfTrue="1" operator="between">
      <formula>-0.15</formula>
      <formula>0.005</formula>
    </cfRule>
  </conditionalFormatting>
  <conditionalFormatting sqref="AE469">
    <cfRule type="cellIs" dxfId="5711" priority="14064" stopIfTrue="1" operator="between">
      <formula>-0.15</formula>
      <formula>-0.0001</formula>
    </cfRule>
  </conditionalFormatting>
  <conditionalFormatting sqref="AH469:AI469">
    <cfRule type="cellIs" dxfId="5710" priority="14063" stopIfTrue="1" operator="between">
      <formula>-0.15</formula>
      <formula>0.005</formula>
    </cfRule>
  </conditionalFormatting>
  <conditionalFormatting sqref="N469">
    <cfRule type="cellIs" dxfId="5709" priority="14062" stopIfTrue="1" operator="between">
      <formula>-350</formula>
      <formula>-1</formula>
    </cfRule>
  </conditionalFormatting>
  <conditionalFormatting sqref="AE468">
    <cfRule type="cellIs" dxfId="5708" priority="14018" stopIfTrue="1" operator="between">
      <formula>-0.15</formula>
      <formula>-0.0001</formula>
    </cfRule>
  </conditionalFormatting>
  <conditionalFormatting sqref="AH468:AI468">
    <cfRule type="cellIs" dxfId="5707" priority="14017" stopIfTrue="1" operator="between">
      <formula>-0.15</formula>
      <formula>0.005</formula>
    </cfRule>
  </conditionalFormatting>
  <conditionalFormatting sqref="AE466">
    <cfRule type="cellIs" dxfId="5706" priority="14016" stopIfTrue="1" operator="between">
      <formula>-0.15</formula>
      <formula>-0.0001</formula>
    </cfRule>
  </conditionalFormatting>
  <conditionalFormatting sqref="AH466:AI466">
    <cfRule type="cellIs" dxfId="5705" priority="14015" stopIfTrue="1" operator="between">
      <formula>-0.15</formula>
      <formula>0.005</formula>
    </cfRule>
  </conditionalFormatting>
  <conditionalFormatting sqref="N466">
    <cfRule type="cellIs" dxfId="5704" priority="14014" stopIfTrue="1" operator="between">
      <formula>-350</formula>
      <formula>-1</formula>
    </cfRule>
  </conditionalFormatting>
  <conditionalFormatting sqref="N2179">
    <cfRule type="cellIs" dxfId="5703" priority="13456" stopIfTrue="1" operator="between">
      <formula>-350</formula>
      <formula>-1</formula>
    </cfRule>
  </conditionalFormatting>
  <conditionalFormatting sqref="AE2179:AE2180">
    <cfRule type="cellIs" dxfId="5702" priority="13458" stopIfTrue="1" operator="between">
      <formula>-0.15</formula>
      <formula>-0.0001</formula>
    </cfRule>
  </conditionalFormatting>
  <conditionalFormatting sqref="AH2179:AI2180">
    <cfRule type="cellIs" dxfId="5701" priority="13457" stopIfTrue="1" operator="between">
      <formula>-0.15</formula>
      <formula>0.005</formula>
    </cfRule>
  </conditionalFormatting>
  <conditionalFormatting sqref="AE2183:AE2184">
    <cfRule type="cellIs" dxfId="5700" priority="13461" stopIfTrue="1" operator="between">
      <formula>-0.15</formula>
      <formula>-0.0001</formula>
    </cfRule>
  </conditionalFormatting>
  <conditionalFormatting sqref="AH2183:AI2184">
    <cfRule type="cellIs" dxfId="5699" priority="13460" stopIfTrue="1" operator="between">
      <formula>-0.15</formula>
      <formula>0.005</formula>
    </cfRule>
  </conditionalFormatting>
  <conditionalFormatting sqref="N2183">
    <cfRule type="cellIs" dxfId="5698" priority="13459" stopIfTrue="1" operator="between">
      <formula>-350</formula>
      <formula>-1</formula>
    </cfRule>
  </conditionalFormatting>
  <conditionalFormatting sqref="AE1168:AE1169">
    <cfRule type="cellIs" dxfId="5697" priority="13384" stopIfTrue="1" operator="between">
      <formula>-0.15</formula>
      <formula>-0.0001</formula>
    </cfRule>
  </conditionalFormatting>
  <conditionalFormatting sqref="AH1168:AI1169">
    <cfRule type="cellIs" dxfId="5696" priority="13383" stopIfTrue="1" operator="between">
      <formula>-0.15</formula>
      <formula>0.005</formula>
    </cfRule>
  </conditionalFormatting>
  <conditionalFormatting sqref="N1169">
    <cfRule type="cellIs" dxfId="5695" priority="13382" stopIfTrue="1" operator="between">
      <formula>-350</formula>
      <formula>-1</formula>
    </cfRule>
  </conditionalFormatting>
  <conditionalFormatting sqref="N1168">
    <cfRule type="cellIs" dxfId="5694" priority="13381" stopIfTrue="1" operator="between">
      <formula>-350</formula>
      <formula>-1</formula>
    </cfRule>
  </conditionalFormatting>
  <conditionalFormatting sqref="AE384">
    <cfRule type="cellIs" dxfId="5693" priority="13335" stopIfTrue="1" operator="between">
      <formula>-0.15</formula>
      <formula>-0.0001</formula>
    </cfRule>
  </conditionalFormatting>
  <conditionalFormatting sqref="AH384:AI384">
    <cfRule type="cellIs" dxfId="5692" priority="13334" stopIfTrue="1" operator="between">
      <formula>-0.15</formula>
      <formula>0.005</formula>
    </cfRule>
  </conditionalFormatting>
  <conditionalFormatting sqref="N384">
    <cfRule type="cellIs" dxfId="5691" priority="13333" stopIfTrue="1" operator="between">
      <formula>-350</formula>
      <formula>-1</formula>
    </cfRule>
  </conditionalFormatting>
  <conditionalFormatting sqref="AE390">
    <cfRule type="cellIs" dxfId="5690" priority="13049" stopIfTrue="1" operator="between">
      <formula>-0.15</formula>
      <formula>-0.0001</formula>
    </cfRule>
  </conditionalFormatting>
  <conditionalFormatting sqref="AH390:AI390">
    <cfRule type="cellIs" dxfId="5689" priority="13048" stopIfTrue="1" operator="between">
      <formula>-0.15</formula>
      <formula>0.005</formula>
    </cfRule>
  </conditionalFormatting>
  <conditionalFormatting sqref="AE392">
    <cfRule type="cellIs" dxfId="5688" priority="13043" stopIfTrue="1" operator="between">
      <formula>-0.15</formula>
      <formula>-0.0001</formula>
    </cfRule>
  </conditionalFormatting>
  <conditionalFormatting sqref="AH392:AI392">
    <cfRule type="cellIs" dxfId="5687" priority="13042" stopIfTrue="1" operator="between">
      <formula>-0.15</formula>
      <formula>0.005</formula>
    </cfRule>
  </conditionalFormatting>
  <conditionalFormatting sqref="N392">
    <cfRule type="cellIs" dxfId="5686" priority="13044" stopIfTrue="1" operator="between">
      <formula>-350</formula>
      <formula>-1</formula>
    </cfRule>
  </conditionalFormatting>
  <conditionalFormatting sqref="AE393">
    <cfRule type="cellIs" dxfId="5685" priority="13052" stopIfTrue="1" operator="between">
      <formula>-0.15</formula>
      <formula>-0.0001</formula>
    </cfRule>
  </conditionalFormatting>
  <conditionalFormatting sqref="AH393:AI393">
    <cfRule type="cellIs" dxfId="5684" priority="13051" stopIfTrue="1" operator="between">
      <formula>-0.15</formula>
      <formula>0.005</formula>
    </cfRule>
  </conditionalFormatting>
  <conditionalFormatting sqref="N390">
    <cfRule type="cellIs" dxfId="5683" priority="13050" stopIfTrue="1" operator="between">
      <formula>-350</formula>
      <formula>-1</formula>
    </cfRule>
  </conditionalFormatting>
  <conditionalFormatting sqref="N478">
    <cfRule type="cellIs" dxfId="5682" priority="12958" stopIfTrue="1" operator="between">
      <formula>-350</formula>
      <formula>-1</formula>
    </cfRule>
  </conditionalFormatting>
  <conditionalFormatting sqref="AE478">
    <cfRule type="cellIs" dxfId="5681" priority="12957" stopIfTrue="1" operator="between">
      <formula>-0.15</formula>
      <formula>-0.0001</formula>
    </cfRule>
  </conditionalFormatting>
  <conditionalFormatting sqref="AH478:AI478">
    <cfRule type="cellIs" dxfId="5680" priority="12956" stopIfTrue="1" operator="between">
      <formula>-0.15</formula>
      <formula>0.005</formula>
    </cfRule>
  </conditionalFormatting>
  <conditionalFormatting sqref="N1047:N1048">
    <cfRule type="cellIs" dxfId="5679" priority="12937" stopIfTrue="1" operator="between">
      <formula>-350</formula>
      <formula>-1</formula>
    </cfRule>
  </conditionalFormatting>
  <conditionalFormatting sqref="AE1047:AE1048">
    <cfRule type="cellIs" dxfId="5678" priority="12936" stopIfTrue="1" operator="between">
      <formula>-0.15</formula>
      <formula>-0.0001</formula>
    </cfRule>
  </conditionalFormatting>
  <conditionalFormatting sqref="AH1047:AI1048">
    <cfRule type="cellIs" dxfId="5677" priority="12935" stopIfTrue="1" operator="between">
      <formula>-0.15</formula>
      <formula>0.005</formula>
    </cfRule>
  </conditionalFormatting>
  <conditionalFormatting sqref="AE2189:AE2190">
    <cfRule type="cellIs" dxfId="5676" priority="12754" stopIfTrue="1" operator="between">
      <formula>-0.15</formula>
      <formula>-0.0001</formula>
    </cfRule>
  </conditionalFormatting>
  <conditionalFormatting sqref="AH2189:AI2190">
    <cfRule type="cellIs" dxfId="5675" priority="12753" stopIfTrue="1" operator="between">
      <formula>-0.15</formula>
      <formula>0.005</formula>
    </cfRule>
  </conditionalFormatting>
  <conditionalFormatting sqref="N2189">
    <cfRule type="cellIs" dxfId="5674" priority="12752" stopIfTrue="1" operator="between">
      <formula>-350</formula>
      <formula>-1</formula>
    </cfRule>
  </conditionalFormatting>
  <conditionalFormatting sqref="AH517:AI517">
    <cfRule type="cellIs" dxfId="5673" priority="12377" stopIfTrue="1" operator="between">
      <formula>-0.15</formula>
      <formula>0.005</formula>
    </cfRule>
  </conditionalFormatting>
  <conditionalFormatting sqref="AE517">
    <cfRule type="cellIs" dxfId="5672" priority="12378" stopIfTrue="1" operator="between">
      <formula>-0.15</formula>
      <formula>-0.0001</formula>
    </cfRule>
  </conditionalFormatting>
  <conditionalFormatting sqref="N517">
    <cfRule type="cellIs" dxfId="5671" priority="12379" stopIfTrue="1" operator="between">
      <formula>-350</formula>
      <formula>-1</formula>
    </cfRule>
  </conditionalFormatting>
  <conditionalFormatting sqref="AE484">
    <cfRule type="cellIs" dxfId="5670" priority="12370" stopIfTrue="1" operator="between">
      <formula>-0.15</formula>
      <formula>-0.0001</formula>
    </cfRule>
  </conditionalFormatting>
  <conditionalFormatting sqref="AH484:AI484">
    <cfRule type="cellIs" dxfId="5669" priority="12369" stopIfTrue="1" operator="between">
      <formula>-0.15</formula>
      <formula>0.005</formula>
    </cfRule>
  </conditionalFormatting>
  <conditionalFormatting sqref="AE1066">
    <cfRule type="cellIs" dxfId="5668" priority="12387" stopIfTrue="1" operator="between">
      <formula>-0.15</formula>
      <formula>-0.0001</formula>
    </cfRule>
  </conditionalFormatting>
  <conditionalFormatting sqref="AH1066:AI1066">
    <cfRule type="cellIs" dxfId="5667" priority="12386" stopIfTrue="1" operator="between">
      <formula>-0.15</formula>
      <formula>0.005</formula>
    </cfRule>
  </conditionalFormatting>
  <conditionalFormatting sqref="AH1065:AI1065">
    <cfRule type="cellIs" dxfId="5666" priority="12383" stopIfTrue="1" operator="between">
      <formula>-0.15</formula>
      <formula>0.005</formula>
    </cfRule>
  </conditionalFormatting>
  <conditionalFormatting sqref="N1065">
    <cfRule type="cellIs" dxfId="5665" priority="12385" stopIfTrue="1" operator="between">
      <formula>-350</formula>
      <formula>-1</formula>
    </cfRule>
  </conditionalFormatting>
  <conditionalFormatting sqref="AE1065">
    <cfRule type="cellIs" dxfId="5664" priority="12384" stopIfTrue="1" operator="between">
      <formula>-0.15</formula>
      <formula>-0.0001</formula>
    </cfRule>
  </conditionalFormatting>
  <conditionalFormatting sqref="AE486">
    <cfRule type="cellIs" dxfId="5663" priority="12373" stopIfTrue="1" operator="between">
      <formula>-0.15</formula>
      <formula>-0.0001</formula>
    </cfRule>
  </conditionalFormatting>
  <conditionalFormatting sqref="AH486:AI486">
    <cfRule type="cellIs" dxfId="5662" priority="12372" stopIfTrue="1" operator="between">
      <formula>-0.15</formula>
      <formula>0.005</formula>
    </cfRule>
  </conditionalFormatting>
  <conditionalFormatting sqref="N484">
    <cfRule type="cellIs" dxfId="5661" priority="12371" stopIfTrue="1" operator="between">
      <formula>-350</formula>
      <formula>-1</formula>
    </cfRule>
  </conditionalFormatting>
  <conditionalFormatting sqref="AE2195:AE2196">
    <cfRule type="cellIs" dxfId="5660" priority="12319" stopIfTrue="1" operator="between">
      <formula>-0.15</formula>
      <formula>-0.0001</formula>
    </cfRule>
  </conditionalFormatting>
  <conditionalFormatting sqref="AH2195:AI2196">
    <cfRule type="cellIs" dxfId="5659" priority="12318" stopIfTrue="1" operator="between">
      <formula>-0.15</formula>
      <formula>0.005</formula>
    </cfRule>
  </conditionalFormatting>
  <conditionalFormatting sqref="N2195">
    <cfRule type="cellIs" dxfId="5658" priority="12317" stopIfTrue="1" operator="between">
      <formula>-350</formula>
      <formula>-1</formula>
    </cfRule>
  </conditionalFormatting>
  <conditionalFormatting sqref="AE483">
    <cfRule type="cellIs" dxfId="5657" priority="12349" stopIfTrue="1" operator="between">
      <formula>-0.15</formula>
      <formula>-0.0001</formula>
    </cfRule>
  </conditionalFormatting>
  <conditionalFormatting sqref="AH483:AI483">
    <cfRule type="cellIs" dxfId="5656" priority="12348" stopIfTrue="1" operator="between">
      <formula>-0.15</formula>
      <formula>0.005</formula>
    </cfRule>
  </conditionalFormatting>
  <conditionalFormatting sqref="N481">
    <cfRule type="cellIs" dxfId="5655" priority="12347" stopIfTrue="1" operator="between">
      <formula>-350</formula>
      <formula>-1</formula>
    </cfRule>
  </conditionalFormatting>
  <conditionalFormatting sqref="AE481">
    <cfRule type="cellIs" dxfId="5654" priority="12346" stopIfTrue="1" operator="between">
      <formula>-0.15</formula>
      <formula>-0.0001</formula>
    </cfRule>
  </conditionalFormatting>
  <conditionalFormatting sqref="AH481:AI481">
    <cfRule type="cellIs" dxfId="5653" priority="12345" stopIfTrue="1" operator="between">
      <formula>-0.15</formula>
      <formula>0.005</formula>
    </cfRule>
  </conditionalFormatting>
  <conditionalFormatting sqref="AE487">
    <cfRule type="cellIs" dxfId="5652" priority="12203" stopIfTrue="1" operator="between">
      <formula>-0.15</formula>
      <formula>-0.0001</formula>
    </cfRule>
  </conditionalFormatting>
  <conditionalFormatting sqref="AH487:AI487">
    <cfRule type="cellIs" dxfId="5651" priority="12202" stopIfTrue="1" operator="between">
      <formula>-0.15</formula>
      <formula>0.005</formula>
    </cfRule>
  </conditionalFormatting>
  <conditionalFormatting sqref="AE2153:AE2154">
    <cfRule type="cellIs" dxfId="5650" priority="12162" stopIfTrue="1" operator="between">
      <formula>-0.15</formula>
      <formula>-0.0001</formula>
    </cfRule>
  </conditionalFormatting>
  <conditionalFormatting sqref="AH2153:AI2154">
    <cfRule type="cellIs" dxfId="5649" priority="12161" stopIfTrue="1" operator="between">
      <formula>-0.15</formula>
      <formula>0.005</formula>
    </cfRule>
  </conditionalFormatting>
  <conditionalFormatting sqref="N2153">
    <cfRule type="cellIs" dxfId="5648" priority="12160" stopIfTrue="1" operator="between">
      <formula>-350</formula>
      <formula>-1</formula>
    </cfRule>
  </conditionalFormatting>
  <conditionalFormatting sqref="AE490">
    <cfRule type="cellIs" dxfId="5647" priority="12206" stopIfTrue="1" operator="between">
      <formula>-0.15</formula>
      <formula>-0.0001</formula>
    </cfRule>
  </conditionalFormatting>
  <conditionalFormatting sqref="AH490:AI490">
    <cfRule type="cellIs" dxfId="5646" priority="12205" stopIfTrue="1" operator="between">
      <formula>-0.15</formula>
      <formula>0.005</formula>
    </cfRule>
  </conditionalFormatting>
  <conditionalFormatting sqref="N487">
    <cfRule type="cellIs" dxfId="5645" priority="12204" stopIfTrue="1" operator="between">
      <formula>-350</formula>
      <formula>-1</formula>
    </cfRule>
  </conditionalFormatting>
  <conditionalFormatting sqref="AE18">
    <cfRule type="cellIs" dxfId="5644" priority="12174" stopIfTrue="1" operator="between">
      <formula>-0.15</formula>
      <formula>-0.0001</formula>
    </cfRule>
  </conditionalFormatting>
  <conditionalFormatting sqref="AH18:AI18">
    <cfRule type="cellIs" dxfId="5643" priority="12173" stopIfTrue="1" operator="between">
      <formula>-0.15</formula>
      <formula>0.005</formula>
    </cfRule>
  </conditionalFormatting>
  <conditionalFormatting sqref="AE2143:AE2144">
    <cfRule type="cellIs" dxfId="5642" priority="12159" stopIfTrue="1" operator="between">
      <formula>-0.15</formula>
      <formula>-0.0001</formula>
    </cfRule>
  </conditionalFormatting>
  <conditionalFormatting sqref="AH2143:AI2144">
    <cfRule type="cellIs" dxfId="5641" priority="12158" stopIfTrue="1" operator="between">
      <formula>-0.15</formula>
      <formula>0.005</formula>
    </cfRule>
  </conditionalFormatting>
  <conditionalFormatting sqref="AE2161:AE2162">
    <cfRule type="cellIs" dxfId="5640" priority="12171" stopIfTrue="1" operator="between">
      <formula>-0.15</formula>
      <formula>-0.0001</formula>
    </cfRule>
  </conditionalFormatting>
  <conditionalFormatting sqref="AH2161:AI2162">
    <cfRule type="cellIs" dxfId="5639" priority="12170" stopIfTrue="1" operator="between">
      <formula>-0.15</formula>
      <formula>0.005</formula>
    </cfRule>
  </conditionalFormatting>
  <conditionalFormatting sqref="AE19">
    <cfRule type="cellIs" dxfId="5638" priority="12176" stopIfTrue="1" operator="between">
      <formula>-0.15</formula>
      <formula>-0.0001</formula>
    </cfRule>
  </conditionalFormatting>
  <conditionalFormatting sqref="AH19:AI19">
    <cfRule type="cellIs" dxfId="5637" priority="12175" stopIfTrue="1" operator="between">
      <formula>-0.15</formula>
      <formula>0.005</formula>
    </cfRule>
  </conditionalFormatting>
  <conditionalFormatting sqref="N18">
    <cfRule type="cellIs" dxfId="5636" priority="12172" stopIfTrue="1" operator="between">
      <formula>-350</formula>
      <formula>-1</formula>
    </cfRule>
  </conditionalFormatting>
  <conditionalFormatting sqref="N2161">
    <cfRule type="cellIs" dxfId="5635" priority="12169" stopIfTrue="1" operator="between">
      <formula>-350</formula>
      <formula>-1</formula>
    </cfRule>
  </conditionalFormatting>
  <conditionalFormatting sqref="N2143">
    <cfRule type="cellIs" dxfId="5634" priority="12157" stopIfTrue="1" operator="between">
      <formula>-350</formula>
      <formula>-1</formula>
    </cfRule>
  </conditionalFormatting>
  <conditionalFormatting sqref="AE1413">
    <cfRule type="cellIs" dxfId="5633" priority="12078" stopIfTrue="1" operator="between">
      <formula>-0.15</formula>
      <formula>-0.0001</formula>
    </cfRule>
  </conditionalFormatting>
  <conditionalFormatting sqref="AH1413:AI1413">
    <cfRule type="cellIs" dxfId="5632" priority="12077" stopIfTrue="1" operator="between">
      <formula>-0.15</formula>
      <formula>0.005</formula>
    </cfRule>
  </conditionalFormatting>
  <conditionalFormatting sqref="N1413">
    <cfRule type="cellIs" dxfId="5631" priority="12076" stopIfTrue="1" operator="between">
      <formula>-350</formula>
      <formula>-1</formula>
    </cfRule>
  </conditionalFormatting>
  <conditionalFormatting sqref="AE1411">
    <cfRule type="cellIs" dxfId="5630" priority="12081" stopIfTrue="1" operator="between">
      <formula>-0.15</formula>
      <formula>-0.0001</formula>
    </cfRule>
  </conditionalFormatting>
  <conditionalFormatting sqref="AH1411:AI1411">
    <cfRule type="cellIs" dxfId="5629" priority="12080" stopIfTrue="1" operator="between">
      <formula>-0.15</formula>
      <formula>0.005</formula>
    </cfRule>
  </conditionalFormatting>
  <conditionalFormatting sqref="N1411">
    <cfRule type="cellIs" dxfId="5628" priority="12079" stopIfTrue="1" operator="between">
      <formula>-350</formula>
      <formula>-1</formula>
    </cfRule>
  </conditionalFormatting>
  <conditionalFormatting sqref="AE1412">
    <cfRule type="cellIs" dxfId="5627" priority="12075" stopIfTrue="1" operator="between">
      <formula>-0.15</formula>
      <formula>-0.0001</formula>
    </cfRule>
  </conditionalFormatting>
  <conditionalFormatting sqref="AH1412:AI1412">
    <cfRule type="cellIs" dxfId="5626" priority="12074" stopIfTrue="1" operator="between">
      <formula>-0.15</formula>
      <formula>0.005</formula>
    </cfRule>
  </conditionalFormatting>
  <conditionalFormatting sqref="N1412">
    <cfRule type="cellIs" dxfId="5625" priority="12073" stopIfTrue="1" operator="between">
      <formula>-350</formula>
      <formula>-1</formula>
    </cfRule>
  </conditionalFormatting>
  <conditionalFormatting sqref="AE249">
    <cfRule type="cellIs" dxfId="5624" priority="12070" stopIfTrue="1" operator="between">
      <formula>-0.15</formula>
      <formula>-0.0001</formula>
    </cfRule>
  </conditionalFormatting>
  <conditionalFormatting sqref="AH249:AI249">
    <cfRule type="cellIs" dxfId="5623" priority="12069" stopIfTrue="1" operator="between">
      <formula>-0.15</formula>
      <formula>0.005</formula>
    </cfRule>
  </conditionalFormatting>
  <conditionalFormatting sqref="N249">
    <cfRule type="cellIs" dxfId="5622" priority="12068" stopIfTrue="1" operator="between">
      <formula>-350</formula>
      <formula>-1</formula>
    </cfRule>
  </conditionalFormatting>
  <conditionalFormatting sqref="AE252">
    <cfRule type="cellIs" dxfId="5621" priority="12072" stopIfTrue="1" operator="between">
      <formula>-0.15</formula>
      <formula>-0.0001</formula>
    </cfRule>
  </conditionalFormatting>
  <conditionalFormatting sqref="AH252:AI252">
    <cfRule type="cellIs" dxfId="5620" priority="12071" stopIfTrue="1" operator="between">
      <formula>-0.15</formula>
      <formula>0.005</formula>
    </cfRule>
  </conditionalFormatting>
  <conditionalFormatting sqref="AE1414">
    <cfRule type="cellIs" dxfId="5619" priority="12083" stopIfTrue="1" operator="between">
      <formula>-0.15</formula>
      <formula>-0.0001</formula>
    </cfRule>
  </conditionalFormatting>
  <conditionalFormatting sqref="AH1414:AI1414">
    <cfRule type="cellIs" dxfId="5618" priority="12082" stopIfTrue="1" operator="between">
      <formula>-0.15</formula>
      <formula>0.005</formula>
    </cfRule>
  </conditionalFormatting>
  <conditionalFormatting sqref="AE248">
    <cfRule type="cellIs" dxfId="5617" priority="12058" stopIfTrue="1" operator="between">
      <formula>-0.15</formula>
      <formula>-0.0001</formula>
    </cfRule>
  </conditionalFormatting>
  <conditionalFormatting sqref="AH248:AI248">
    <cfRule type="cellIs" dxfId="5616" priority="12057" stopIfTrue="1" operator="between">
      <formula>-0.15</formula>
      <formula>0.005</formula>
    </cfRule>
  </conditionalFormatting>
  <conditionalFormatting sqref="AE251">
    <cfRule type="cellIs" dxfId="5615" priority="12064" stopIfTrue="1" operator="between">
      <formula>-0.15</formula>
      <formula>-0.0001</formula>
    </cfRule>
  </conditionalFormatting>
  <conditionalFormatting sqref="AH251:AI251">
    <cfRule type="cellIs" dxfId="5614" priority="12063" stopIfTrue="1" operator="between">
      <formula>-0.15</formula>
      <formula>0.005</formula>
    </cfRule>
  </conditionalFormatting>
  <conditionalFormatting sqref="N251">
    <cfRule type="cellIs" dxfId="5613" priority="12062" stopIfTrue="1" operator="between">
      <formula>-350</formula>
      <formula>-1</formula>
    </cfRule>
  </conditionalFormatting>
  <conditionalFormatting sqref="AE246">
    <cfRule type="cellIs" dxfId="5612" priority="12056" stopIfTrue="1" operator="between">
      <formula>-0.15</formula>
      <formula>-0.0001</formula>
    </cfRule>
  </conditionalFormatting>
  <conditionalFormatting sqref="AH246:AI246">
    <cfRule type="cellIs" dxfId="5611" priority="12055" stopIfTrue="1" operator="between">
      <formula>-0.15</formula>
      <formula>0.005</formula>
    </cfRule>
  </conditionalFormatting>
  <conditionalFormatting sqref="N246">
    <cfRule type="cellIs" dxfId="5610" priority="12054" stopIfTrue="1" operator="between">
      <formula>-350</formula>
      <formula>-1</formula>
    </cfRule>
  </conditionalFormatting>
  <conditionalFormatting sqref="AE505">
    <cfRule type="cellIs" dxfId="5609" priority="12039" stopIfTrue="1" operator="between">
      <formula>-0.15</formula>
      <formula>-0.0001</formula>
    </cfRule>
  </conditionalFormatting>
  <conditionalFormatting sqref="AH505:AI505">
    <cfRule type="cellIs" dxfId="5608" priority="12038" stopIfTrue="1" operator="between">
      <formula>-0.15</formula>
      <formula>0.005</formula>
    </cfRule>
  </conditionalFormatting>
  <conditionalFormatting sqref="N505">
    <cfRule type="cellIs" dxfId="5607" priority="12037" stopIfTrue="1" operator="between">
      <formula>-350</formula>
      <formula>-1</formula>
    </cfRule>
  </conditionalFormatting>
  <conditionalFormatting sqref="AE506">
    <cfRule type="cellIs" dxfId="5606" priority="12044" stopIfTrue="1" operator="between">
      <formula>-0.15</formula>
      <formula>-0.0001</formula>
    </cfRule>
  </conditionalFormatting>
  <conditionalFormatting sqref="AH506:AI506">
    <cfRule type="cellIs" dxfId="5605" priority="12043" stopIfTrue="1" operator="between">
      <formula>-0.15</formula>
      <formula>0.005</formula>
    </cfRule>
  </conditionalFormatting>
  <conditionalFormatting sqref="N504">
    <cfRule type="cellIs" dxfId="5604" priority="12042" stopIfTrue="1" operator="between">
      <formula>-350</formula>
      <formula>-1</formula>
    </cfRule>
  </conditionalFormatting>
  <conditionalFormatting sqref="AE504">
    <cfRule type="cellIs" dxfId="5603" priority="12041" stopIfTrue="1" operator="between">
      <formula>-0.15</formula>
      <formula>-0.0001</formula>
    </cfRule>
  </conditionalFormatting>
  <conditionalFormatting sqref="AH504:AI504">
    <cfRule type="cellIs" dxfId="5602" priority="12040" stopIfTrue="1" operator="between">
      <formula>-0.15</formula>
      <formula>0.005</formula>
    </cfRule>
  </conditionalFormatting>
  <conditionalFormatting sqref="AE253">
    <cfRule type="cellIs" dxfId="5601" priority="11954" stopIfTrue="1" operator="between">
      <formula>-0.15</formula>
      <formula>-0.0001</formula>
    </cfRule>
  </conditionalFormatting>
  <conditionalFormatting sqref="AH253:AI253">
    <cfRule type="cellIs" dxfId="5600" priority="11953" stopIfTrue="1" operator="between">
      <formula>-0.15</formula>
      <formula>0.005</formula>
    </cfRule>
  </conditionalFormatting>
  <conditionalFormatting sqref="N253">
    <cfRule type="cellIs" dxfId="5599" priority="11952" stopIfTrue="1" operator="between">
      <formula>-350</formula>
      <formula>-1</formula>
    </cfRule>
  </conditionalFormatting>
  <conditionalFormatting sqref="AE256">
    <cfRule type="cellIs" dxfId="5598" priority="11956" stopIfTrue="1" operator="between">
      <formula>-0.15</formula>
      <formula>-0.0001</formula>
    </cfRule>
  </conditionalFormatting>
  <conditionalFormatting sqref="AH256:AI256">
    <cfRule type="cellIs" dxfId="5597" priority="11955" stopIfTrue="1" operator="between">
      <formula>-0.15</formula>
      <formula>0.005</formula>
    </cfRule>
  </conditionalFormatting>
  <conditionalFormatting sqref="AE259">
    <cfRule type="cellIs" dxfId="5596" priority="11929" stopIfTrue="1" operator="between">
      <formula>-0.15</formula>
      <formula>-0.0001</formula>
    </cfRule>
  </conditionalFormatting>
  <conditionalFormatting sqref="AH259:AI259">
    <cfRule type="cellIs" dxfId="5595" priority="11928" stopIfTrue="1" operator="between">
      <formula>-0.15</formula>
      <formula>0.005</formula>
    </cfRule>
  </conditionalFormatting>
  <conditionalFormatting sqref="AE507">
    <cfRule type="cellIs" dxfId="5594" priority="11873" stopIfTrue="1" operator="between">
      <formula>-0.15</formula>
      <formula>-0.0001</formula>
    </cfRule>
  </conditionalFormatting>
  <conditionalFormatting sqref="AH507:AI507">
    <cfRule type="cellIs" dxfId="5593" priority="11872" stopIfTrue="1" operator="between">
      <formula>-0.15</formula>
      <formula>0.005</formula>
    </cfRule>
  </conditionalFormatting>
  <conditionalFormatting sqref="AE261">
    <cfRule type="cellIs" dxfId="5592" priority="11926" stopIfTrue="1" operator="between">
      <formula>-0.15</formula>
      <formula>-0.0001</formula>
    </cfRule>
  </conditionalFormatting>
  <conditionalFormatting sqref="AH261:AI261">
    <cfRule type="cellIs" dxfId="5591" priority="11925" stopIfTrue="1" operator="between">
      <formula>-0.15</formula>
      <formula>0.005</formula>
    </cfRule>
  </conditionalFormatting>
  <conditionalFormatting sqref="N259">
    <cfRule type="cellIs" dxfId="5590" priority="11927" stopIfTrue="1" operator="between">
      <formula>-350</formula>
      <formula>-1</formula>
    </cfRule>
  </conditionalFormatting>
  <conditionalFormatting sqref="AE262">
    <cfRule type="cellIs" dxfId="5589" priority="11931" stopIfTrue="1" operator="between">
      <formula>-0.15</formula>
      <formula>-0.0001</formula>
    </cfRule>
  </conditionalFormatting>
  <conditionalFormatting sqref="AH262:AI262">
    <cfRule type="cellIs" dxfId="5588" priority="11930" stopIfTrue="1" operator="between">
      <formula>-0.15</formula>
      <formula>0.005</formula>
    </cfRule>
  </conditionalFormatting>
  <conditionalFormatting sqref="N261">
    <cfRule type="cellIs" dxfId="5587" priority="11924" stopIfTrue="1" operator="between">
      <formula>-350</formula>
      <formula>-1</formula>
    </cfRule>
  </conditionalFormatting>
  <conditionalFormatting sqref="AE509">
    <cfRule type="cellIs" dxfId="5586" priority="11876" stopIfTrue="1" operator="between">
      <formula>-0.15</formula>
      <formula>-0.0001</formula>
    </cfRule>
  </conditionalFormatting>
  <conditionalFormatting sqref="AH509:AI509">
    <cfRule type="cellIs" dxfId="5585" priority="11875" stopIfTrue="1" operator="between">
      <formula>-0.15</formula>
      <formula>0.005</formula>
    </cfRule>
  </conditionalFormatting>
  <conditionalFormatting sqref="N507">
    <cfRule type="cellIs" dxfId="5584" priority="11874" stopIfTrue="1" operator="between">
      <formula>-350</formula>
      <formula>-1</formula>
    </cfRule>
  </conditionalFormatting>
  <conditionalFormatting sqref="AE12">
    <cfRule type="cellIs" dxfId="5583" priority="11718" stopIfTrue="1" operator="between">
      <formula>-0.15</formula>
      <formula>-0.0001</formula>
    </cfRule>
  </conditionalFormatting>
  <conditionalFormatting sqref="AH12:AI12">
    <cfRule type="cellIs" dxfId="5582" priority="11717" stopIfTrue="1" operator="between">
      <formula>-0.15</formula>
      <formula>0.005</formula>
    </cfRule>
  </conditionalFormatting>
  <conditionalFormatting sqref="N12">
    <cfRule type="cellIs" dxfId="5581" priority="11716" stopIfTrue="1" operator="between">
      <formula>-350</formula>
      <formula>-1</formula>
    </cfRule>
  </conditionalFormatting>
  <conditionalFormatting sqref="AE15">
    <cfRule type="cellIs" dxfId="5580" priority="11715" stopIfTrue="1" operator="between">
      <formula>-0.15</formula>
      <formula>-0.0001</formula>
    </cfRule>
  </conditionalFormatting>
  <conditionalFormatting sqref="AH15:AI15">
    <cfRule type="cellIs" dxfId="5579" priority="11714" stopIfTrue="1" operator="between">
      <formula>-0.15</formula>
      <formula>0.005</formula>
    </cfRule>
  </conditionalFormatting>
  <conditionalFormatting sqref="N15">
    <cfRule type="cellIs" dxfId="5578" priority="11713" stopIfTrue="1" operator="between">
      <formula>-350</formula>
      <formula>-1</formula>
    </cfRule>
  </conditionalFormatting>
  <conditionalFormatting sqref="AE16">
    <cfRule type="cellIs" dxfId="5577" priority="11720" stopIfTrue="1" operator="between">
      <formula>-0.15</formula>
      <formula>-0.0001</formula>
    </cfRule>
  </conditionalFormatting>
  <conditionalFormatting sqref="AH16:AI16">
    <cfRule type="cellIs" dxfId="5576" priority="11719" stopIfTrue="1" operator="between">
      <formula>-0.15</formula>
      <formula>0.005</formula>
    </cfRule>
  </conditionalFormatting>
  <conditionalFormatting sqref="AE13">
    <cfRule type="cellIs" dxfId="5575" priority="11712" stopIfTrue="1" operator="between">
      <formula>-0.15</formula>
      <formula>-0.0001</formula>
    </cfRule>
  </conditionalFormatting>
  <conditionalFormatting sqref="AH13:AI13">
    <cfRule type="cellIs" dxfId="5574" priority="11711" stopIfTrue="1" operator="between">
      <formula>-0.15</formula>
      <formula>0.005</formula>
    </cfRule>
  </conditionalFormatting>
  <conditionalFormatting sqref="N13">
    <cfRule type="cellIs" dxfId="5573" priority="11710" stopIfTrue="1" operator="between">
      <formula>-350</formula>
      <formula>-1</formula>
    </cfRule>
  </conditionalFormatting>
  <conditionalFormatting sqref="AE14">
    <cfRule type="cellIs" dxfId="5572" priority="11709" stopIfTrue="1" operator="between">
      <formula>-0.15</formula>
      <formula>-0.0001</formula>
    </cfRule>
  </conditionalFormatting>
  <conditionalFormatting sqref="AH14:AI14">
    <cfRule type="cellIs" dxfId="5571" priority="11708" stopIfTrue="1" operator="between">
      <formula>-0.15</formula>
      <formula>0.005</formula>
    </cfRule>
  </conditionalFormatting>
  <conditionalFormatting sqref="N14">
    <cfRule type="cellIs" dxfId="5570" priority="11707" stopIfTrue="1" operator="between">
      <formula>-350</formula>
      <formula>-1</formula>
    </cfRule>
  </conditionalFormatting>
  <conditionalFormatting sqref="AH1067:AI1067">
    <cfRule type="cellIs" dxfId="5569" priority="11672" stopIfTrue="1" operator="between">
      <formula>-0.15</formula>
      <formula>0.005</formula>
    </cfRule>
  </conditionalFormatting>
  <conditionalFormatting sqref="AE257">
    <cfRule type="cellIs" dxfId="5568" priority="11696" stopIfTrue="1" operator="between">
      <formula>-0.15</formula>
      <formula>-0.0001</formula>
    </cfRule>
  </conditionalFormatting>
  <conditionalFormatting sqref="AH257:AI257">
    <cfRule type="cellIs" dxfId="5567" priority="11695" stopIfTrue="1" operator="between">
      <formula>-0.15</formula>
      <formula>0.005</formula>
    </cfRule>
  </conditionalFormatting>
  <conditionalFormatting sqref="N257">
    <cfRule type="cellIs" dxfId="5566" priority="11694" stopIfTrue="1" operator="between">
      <formula>-350</formula>
      <formula>-1</formula>
    </cfRule>
  </conditionalFormatting>
  <conditionalFormatting sqref="AE258">
    <cfRule type="cellIs" dxfId="5565" priority="11698" stopIfTrue="1" operator="between">
      <formula>-0.15</formula>
      <formula>-0.0001</formula>
    </cfRule>
  </conditionalFormatting>
  <conditionalFormatting sqref="AH258:AI258">
    <cfRule type="cellIs" dxfId="5564" priority="11697" stopIfTrue="1" operator="between">
      <formula>-0.15</formula>
      <formula>0.005</formula>
    </cfRule>
  </conditionalFormatting>
  <conditionalFormatting sqref="AE1067">
    <cfRule type="cellIs" dxfId="5563" priority="11673" stopIfTrue="1" operator="between">
      <formula>-0.15</formula>
      <formula>-0.0001</formula>
    </cfRule>
  </conditionalFormatting>
  <conditionalFormatting sqref="AH1082:AI1082">
    <cfRule type="cellIs" dxfId="5562" priority="11680" stopIfTrue="1" operator="between">
      <formula>-0.15</formula>
      <formula>0.005</formula>
    </cfRule>
  </conditionalFormatting>
  <conditionalFormatting sqref="N1081">
    <cfRule type="cellIs" dxfId="5561" priority="11679" stopIfTrue="1" operator="between">
      <formula>-350</formula>
      <formula>-1</formula>
    </cfRule>
  </conditionalFormatting>
  <conditionalFormatting sqref="AE1081">
    <cfRule type="cellIs" dxfId="5560" priority="11678" stopIfTrue="1" operator="between">
      <formula>-0.15</formula>
      <formula>-0.0001</formula>
    </cfRule>
  </conditionalFormatting>
  <conditionalFormatting sqref="AH1081:AI1081">
    <cfRule type="cellIs" dxfId="5559" priority="11677" stopIfTrue="1" operator="between">
      <formula>-0.15</formula>
      <formula>0.005</formula>
    </cfRule>
  </conditionalFormatting>
  <conditionalFormatting sqref="N1069">
    <cfRule type="cellIs" dxfId="5558" priority="11669" stopIfTrue="1" operator="between">
      <formula>-350</formula>
      <formula>-1</formula>
    </cfRule>
  </conditionalFormatting>
  <conditionalFormatting sqref="AE1082">
    <cfRule type="cellIs" dxfId="5557" priority="11681" stopIfTrue="1" operator="between">
      <formula>-0.15</formula>
      <formula>-0.0001</formula>
    </cfRule>
  </conditionalFormatting>
  <conditionalFormatting sqref="AE1068">
    <cfRule type="cellIs" dxfId="5556" priority="11676" stopIfTrue="1" operator="between">
      <formula>-0.15</formula>
      <formula>-0.0001</formula>
    </cfRule>
  </conditionalFormatting>
  <conditionalFormatting sqref="N1067">
    <cfRule type="cellIs" dxfId="5555" priority="11674" stopIfTrue="1" operator="between">
      <formula>-350</formula>
      <formula>-1</formula>
    </cfRule>
  </conditionalFormatting>
  <conditionalFormatting sqref="AH1068:AI1068">
    <cfRule type="cellIs" dxfId="5554" priority="11675" stopIfTrue="1" operator="between">
      <formula>-0.15</formula>
      <formula>0.005</formula>
    </cfRule>
  </conditionalFormatting>
  <conditionalFormatting sqref="AH1069:AI1069">
    <cfRule type="cellIs" dxfId="5553" priority="11667" stopIfTrue="1" operator="between">
      <formula>-0.15</formula>
      <formula>0.005</formula>
    </cfRule>
  </conditionalFormatting>
  <conditionalFormatting sqref="AE1070">
    <cfRule type="cellIs" dxfId="5552" priority="11671" stopIfTrue="1" operator="between">
      <formula>-0.15</formula>
      <formula>-0.0001</formula>
    </cfRule>
  </conditionalFormatting>
  <conditionalFormatting sqref="AH1070:AI1070">
    <cfRule type="cellIs" dxfId="5551" priority="11670" stopIfTrue="1" operator="between">
      <formula>-0.15</formula>
      <formula>0.005</formula>
    </cfRule>
  </conditionalFormatting>
  <conditionalFormatting sqref="AE1069">
    <cfRule type="cellIs" dxfId="5550" priority="11668" stopIfTrue="1" operator="between">
      <formula>-0.15</formula>
      <formula>-0.0001</formula>
    </cfRule>
  </conditionalFormatting>
  <conditionalFormatting sqref="AE1071">
    <cfRule type="cellIs" dxfId="5549" priority="11602" stopIfTrue="1" operator="between">
      <formula>-0.15</formula>
      <formula>-0.0001</formula>
    </cfRule>
  </conditionalFormatting>
  <conditionalFormatting sqref="AH1071:AI1071">
    <cfRule type="cellIs" dxfId="5548" priority="11601" stopIfTrue="1" operator="between">
      <formula>-0.15</formula>
      <formula>0.005</formula>
    </cfRule>
  </conditionalFormatting>
  <conditionalFormatting sqref="N1071">
    <cfRule type="cellIs" dxfId="5547" priority="11603" stopIfTrue="1" operator="between">
      <formula>-350</formula>
      <formula>-1</formula>
    </cfRule>
  </conditionalFormatting>
  <conditionalFormatting sqref="AE1072">
    <cfRule type="cellIs" dxfId="5546" priority="11605" stopIfTrue="1" operator="between">
      <formula>-0.15</formula>
      <formula>-0.0001</formula>
    </cfRule>
  </conditionalFormatting>
  <conditionalFormatting sqref="AH1072:AI1072">
    <cfRule type="cellIs" dxfId="5545" priority="11604" stopIfTrue="1" operator="between">
      <formula>-0.15</formula>
      <formula>0.005</formula>
    </cfRule>
  </conditionalFormatting>
  <conditionalFormatting sqref="AE1077">
    <cfRule type="cellIs" dxfId="5544" priority="11589" stopIfTrue="1" operator="between">
      <formula>-0.15</formula>
      <formula>-0.0001</formula>
    </cfRule>
  </conditionalFormatting>
  <conditionalFormatting sqref="AH1077:AI1077">
    <cfRule type="cellIs" dxfId="5543" priority="11588" stopIfTrue="1" operator="between">
      <formula>-0.15</formula>
      <formula>0.005</formula>
    </cfRule>
  </conditionalFormatting>
  <conditionalFormatting sqref="N1077">
    <cfRule type="cellIs" dxfId="5542" priority="11590" stopIfTrue="1" operator="between">
      <formula>-350</formula>
      <formula>-1</formula>
    </cfRule>
  </conditionalFormatting>
  <conditionalFormatting sqref="AE1078">
    <cfRule type="cellIs" dxfId="5541" priority="11592" stopIfTrue="1" operator="between">
      <formula>-0.15</formula>
      <formula>-0.0001</formula>
    </cfRule>
  </conditionalFormatting>
  <conditionalFormatting sqref="AH1078:AI1078">
    <cfRule type="cellIs" dxfId="5540" priority="11591" stopIfTrue="1" operator="between">
      <formula>-0.15</formula>
      <formula>0.005</formula>
    </cfRule>
  </conditionalFormatting>
  <conditionalFormatting sqref="AE1073">
    <cfRule type="cellIs" dxfId="5539" priority="11584" stopIfTrue="1" operator="between">
      <formula>-0.15</formula>
      <formula>-0.0001</formula>
    </cfRule>
  </conditionalFormatting>
  <conditionalFormatting sqref="AH1073:AI1073">
    <cfRule type="cellIs" dxfId="5538" priority="11583" stopIfTrue="1" operator="between">
      <formula>-0.15</formula>
      <formula>0.005</formula>
    </cfRule>
  </conditionalFormatting>
  <conditionalFormatting sqref="N1073">
    <cfRule type="cellIs" dxfId="5537" priority="11585" stopIfTrue="1" operator="between">
      <formula>-350</formula>
      <formula>-1</formula>
    </cfRule>
  </conditionalFormatting>
  <conditionalFormatting sqref="AE1074">
    <cfRule type="cellIs" dxfId="5536" priority="11587" stopIfTrue="1" operator="between">
      <formula>-0.15</formula>
      <formula>-0.0001</formula>
    </cfRule>
  </conditionalFormatting>
  <conditionalFormatting sqref="AH1074:AI1074">
    <cfRule type="cellIs" dxfId="5535" priority="11586" stopIfTrue="1" operator="between">
      <formula>-0.15</formula>
      <formula>0.005</formula>
    </cfRule>
  </conditionalFormatting>
  <conditionalFormatting sqref="AE1075">
    <cfRule type="cellIs" dxfId="5534" priority="11579" stopIfTrue="1" operator="between">
      <formula>-0.15</formula>
      <formula>-0.0001</formula>
    </cfRule>
  </conditionalFormatting>
  <conditionalFormatting sqref="AH1075:AI1075">
    <cfRule type="cellIs" dxfId="5533" priority="11578" stopIfTrue="1" operator="between">
      <formula>-0.15</formula>
      <formula>0.005</formula>
    </cfRule>
  </conditionalFormatting>
  <conditionalFormatting sqref="N1075">
    <cfRule type="cellIs" dxfId="5532" priority="11580" stopIfTrue="1" operator="between">
      <formula>-350</formula>
      <formula>-1</formula>
    </cfRule>
  </conditionalFormatting>
  <conditionalFormatting sqref="AE1076">
    <cfRule type="cellIs" dxfId="5531" priority="11582" stopIfTrue="1" operator="between">
      <formula>-0.15</formula>
      <formula>-0.0001</formula>
    </cfRule>
  </conditionalFormatting>
  <conditionalFormatting sqref="AH1076:AI1076">
    <cfRule type="cellIs" dxfId="5530" priority="11581" stopIfTrue="1" operator="between">
      <formula>-0.15</formula>
      <formula>0.005</formula>
    </cfRule>
  </conditionalFormatting>
  <conditionalFormatting sqref="AE512">
    <cfRule type="cellIs" dxfId="5529" priority="11569" stopIfTrue="1" operator="between">
      <formula>-0.15</formula>
      <formula>-0.0001</formula>
    </cfRule>
  </conditionalFormatting>
  <conditionalFormatting sqref="AH512:AI512">
    <cfRule type="cellIs" dxfId="5528" priority="11568" stopIfTrue="1" operator="between">
      <formula>-0.15</formula>
      <formula>0.005</formula>
    </cfRule>
  </conditionalFormatting>
  <conditionalFormatting sqref="N510">
    <cfRule type="cellIs" dxfId="5527" priority="11567" stopIfTrue="1" operator="between">
      <formula>-350</formula>
      <formula>-1</formula>
    </cfRule>
  </conditionalFormatting>
  <conditionalFormatting sqref="AE510">
    <cfRule type="cellIs" dxfId="5526" priority="11566" stopIfTrue="1" operator="between">
      <formula>-0.15</formula>
      <formula>-0.0001</formula>
    </cfRule>
  </conditionalFormatting>
  <conditionalFormatting sqref="AH510:AI510">
    <cfRule type="cellIs" dxfId="5525" priority="11565" stopIfTrue="1" operator="between">
      <formula>-0.15</formula>
      <formula>0.005</formula>
    </cfRule>
  </conditionalFormatting>
  <conditionalFormatting sqref="AE1079">
    <cfRule type="cellIs" dxfId="5524" priority="11547" stopIfTrue="1" operator="between">
      <formula>-0.15</formula>
      <formula>-0.0001</formula>
    </cfRule>
  </conditionalFormatting>
  <conditionalFormatting sqref="AH1079:AI1079">
    <cfRule type="cellIs" dxfId="5523" priority="11546" stopIfTrue="1" operator="between">
      <formula>-0.15</formula>
      <formula>0.005</formula>
    </cfRule>
  </conditionalFormatting>
  <conditionalFormatting sqref="N1079">
    <cfRule type="cellIs" dxfId="5522" priority="11548" stopIfTrue="1" operator="between">
      <formula>-350</formula>
      <formula>-1</formula>
    </cfRule>
  </conditionalFormatting>
  <conditionalFormatting sqref="AE1080">
    <cfRule type="cellIs" dxfId="5521" priority="11550" stopIfTrue="1" operator="between">
      <formula>-0.15</formula>
      <formula>-0.0001</formula>
    </cfRule>
  </conditionalFormatting>
  <conditionalFormatting sqref="AH1080:AI1080">
    <cfRule type="cellIs" dxfId="5520" priority="11549" stopIfTrue="1" operator="between">
      <formula>-0.15</formula>
      <formula>0.005</formula>
    </cfRule>
  </conditionalFormatting>
  <conditionalFormatting sqref="AE265">
    <cfRule type="cellIs" dxfId="5519" priority="11503" stopIfTrue="1" operator="between">
      <formula>-0.15</formula>
      <formula>-0.0001</formula>
    </cfRule>
  </conditionalFormatting>
  <conditionalFormatting sqref="AH265:AI265">
    <cfRule type="cellIs" dxfId="5518" priority="11502" stopIfTrue="1" operator="between">
      <formula>-0.15</formula>
      <formula>0.005</formula>
    </cfRule>
  </conditionalFormatting>
  <conditionalFormatting sqref="AH1505:AI1505">
    <cfRule type="cellIs" dxfId="5517" priority="11432" stopIfTrue="1" operator="between">
      <formula>-0.15</formula>
      <formula>0.005</formula>
    </cfRule>
  </conditionalFormatting>
  <conditionalFormatting sqref="AH1504:AI1504">
    <cfRule type="cellIs" dxfId="5516" priority="11427" stopIfTrue="1" operator="between">
      <formula>-0.15</formula>
      <formula>0.005</formula>
    </cfRule>
  </conditionalFormatting>
  <conditionalFormatting sqref="AE1504">
    <cfRule type="cellIs" dxfId="5515" priority="11428" stopIfTrue="1" operator="between">
      <formula>-0.15</formula>
      <formula>-0.0001</formula>
    </cfRule>
  </conditionalFormatting>
  <conditionalFormatting sqref="AE1505">
    <cfRule type="cellIs" dxfId="5514" priority="11433" stopIfTrue="1" operator="between">
      <formula>-0.15</formula>
      <formula>-0.0001</formula>
    </cfRule>
  </conditionalFormatting>
  <conditionalFormatting sqref="AH266:AI266">
    <cfRule type="cellIs" dxfId="5513" priority="11412" stopIfTrue="1" operator="between">
      <formula>-0.15</formula>
      <formula>0.005</formula>
    </cfRule>
  </conditionalFormatting>
  <conditionalFormatting sqref="N1504">
    <cfRule type="cellIs" dxfId="5512" priority="11426" stopIfTrue="1" operator="between">
      <formula>-350</formula>
      <formula>-1</formula>
    </cfRule>
  </conditionalFormatting>
  <conditionalFormatting sqref="AE266">
    <cfRule type="cellIs" dxfId="5511" priority="11413" stopIfTrue="1" operator="between">
      <formula>-0.15</formula>
      <formula>-0.0001</formula>
    </cfRule>
  </conditionalFormatting>
  <conditionalFormatting sqref="AH1127:AI1127">
    <cfRule type="cellIs" dxfId="5510" priority="11416" stopIfTrue="1" operator="between">
      <formula>-0.15</formula>
      <formula>0.005</formula>
    </cfRule>
  </conditionalFormatting>
  <conditionalFormatting sqref="N1127">
    <cfRule type="cellIs" dxfId="5509" priority="11418" stopIfTrue="1" operator="between">
      <formula>-350</formula>
      <formula>-1</formula>
    </cfRule>
  </conditionalFormatting>
  <conditionalFormatting sqref="AE1128">
    <cfRule type="cellIs" dxfId="5508" priority="11420" stopIfTrue="1" operator="between">
      <formula>-0.15</formula>
      <formula>-0.0001</formula>
    </cfRule>
  </conditionalFormatting>
  <conditionalFormatting sqref="AH1128:AI1128">
    <cfRule type="cellIs" dxfId="5507" priority="11419" stopIfTrue="1" operator="between">
      <formula>-0.15</formula>
      <formula>0.005</formula>
    </cfRule>
  </conditionalFormatting>
  <conditionalFormatting sqref="AE1127">
    <cfRule type="cellIs" dxfId="5506" priority="11417" stopIfTrue="1" operator="between">
      <formula>-0.15</formula>
      <formula>-0.0001</formula>
    </cfRule>
  </conditionalFormatting>
  <conditionalFormatting sqref="N266">
    <cfRule type="cellIs" dxfId="5505" priority="11411" stopIfTrue="1" operator="between">
      <formula>-350</formula>
      <formula>-1</formula>
    </cfRule>
  </conditionalFormatting>
  <conditionalFormatting sqref="AE267">
    <cfRule type="cellIs" dxfId="5504" priority="11415" stopIfTrue="1" operator="between">
      <formula>-0.15</formula>
      <formula>-0.0001</formula>
    </cfRule>
  </conditionalFormatting>
  <conditionalFormatting sqref="AH267:AI267">
    <cfRule type="cellIs" dxfId="5503" priority="11414" stopIfTrue="1" operator="between">
      <formula>-0.15</formula>
      <formula>0.005</formula>
    </cfRule>
  </conditionalFormatting>
  <conditionalFormatting sqref="AE1267">
    <cfRule type="cellIs" dxfId="5502" priority="11359" stopIfTrue="1" operator="between">
      <formula>-0.15</formula>
      <formula>-0.0001</formula>
    </cfRule>
  </conditionalFormatting>
  <conditionalFormatting sqref="AH1267:AI1267">
    <cfRule type="cellIs" dxfId="5501" priority="11358" stopIfTrue="1" operator="between">
      <formula>-0.15</formula>
      <formula>0.005</formula>
    </cfRule>
  </conditionalFormatting>
  <conditionalFormatting sqref="N1266">
    <cfRule type="cellIs" dxfId="5500" priority="11349" stopIfTrue="1" operator="between">
      <formula>-350</formula>
      <formula>-1</formula>
    </cfRule>
  </conditionalFormatting>
  <conditionalFormatting sqref="AE268">
    <cfRule type="cellIs" dxfId="5499" priority="11337" stopIfTrue="1" operator="between">
      <formula>-0.15</formula>
      <formula>-0.0001</formula>
    </cfRule>
  </conditionalFormatting>
  <conditionalFormatting sqref="AH268:AI268">
    <cfRule type="cellIs" dxfId="5498" priority="11336" stopIfTrue="1" operator="between">
      <formula>-0.15</formula>
      <formula>0.005</formula>
    </cfRule>
  </conditionalFormatting>
  <conditionalFormatting sqref="AE1265">
    <cfRule type="cellIs" dxfId="5497" priority="11357" stopIfTrue="1" operator="between">
      <formula>-0.15</formula>
      <formula>-0.0001</formula>
    </cfRule>
  </conditionalFormatting>
  <conditionalFormatting sqref="AH1265:AI1265">
    <cfRule type="cellIs" dxfId="5496" priority="11356" stopIfTrue="1" operator="between">
      <formula>-0.15</formula>
      <formula>0.005</formula>
    </cfRule>
  </conditionalFormatting>
  <conditionalFormatting sqref="N268">
    <cfRule type="cellIs" dxfId="5495" priority="11335" stopIfTrue="1" operator="between">
      <formula>-350</formula>
      <formula>-1</formula>
    </cfRule>
  </conditionalFormatting>
  <conditionalFormatting sqref="N1265">
    <cfRule type="cellIs" dxfId="5494" priority="11355" stopIfTrue="1" operator="between">
      <formula>-350</formula>
      <formula>-1</formula>
    </cfRule>
  </conditionalFormatting>
  <conditionalFormatting sqref="AE1266">
    <cfRule type="cellIs" dxfId="5493" priority="11351" stopIfTrue="1" operator="between">
      <formula>-0.15</formula>
      <formula>-0.0001</formula>
    </cfRule>
  </conditionalFormatting>
  <conditionalFormatting sqref="AH1266:AI1266">
    <cfRule type="cellIs" dxfId="5492" priority="11350" stopIfTrue="1" operator="between">
      <formula>-0.15</formula>
      <formula>0.005</formula>
    </cfRule>
  </conditionalFormatting>
  <conditionalFormatting sqref="AE280">
    <cfRule type="cellIs" dxfId="5491" priority="11284" stopIfTrue="1" operator="between">
      <formula>-0.15</formula>
      <formula>-0.0001</formula>
    </cfRule>
  </conditionalFormatting>
  <conditionalFormatting sqref="AH280:AI280">
    <cfRule type="cellIs" dxfId="5490" priority="11283" stopIfTrue="1" operator="between">
      <formula>-0.15</formula>
      <formula>0.005</formula>
    </cfRule>
  </conditionalFormatting>
  <conditionalFormatting sqref="AE270">
    <cfRule type="cellIs" dxfId="5489" priority="11339" stopIfTrue="1" operator="between">
      <formula>-0.15</formula>
      <formula>-0.0001</formula>
    </cfRule>
  </conditionalFormatting>
  <conditionalFormatting sqref="AH270:AI270">
    <cfRule type="cellIs" dxfId="5488" priority="11338" stopIfTrue="1" operator="between">
      <formula>-0.15</formula>
      <formula>0.005</formula>
    </cfRule>
  </conditionalFormatting>
  <conditionalFormatting sqref="N280">
    <cfRule type="cellIs" dxfId="5487" priority="11282" stopIfTrue="1" operator="between">
      <formula>-350</formula>
      <formula>-1</formula>
    </cfRule>
  </conditionalFormatting>
  <conditionalFormatting sqref="N55">
    <cfRule type="cellIs" dxfId="5486" priority="11288" stopIfTrue="1" operator="between">
      <formula>-350</formula>
      <formula>-1</formula>
    </cfRule>
  </conditionalFormatting>
  <conditionalFormatting sqref="AE282">
    <cfRule type="cellIs" dxfId="5485" priority="11286" stopIfTrue="1" operator="between">
      <formula>-0.15</formula>
      <formula>-0.0001</formula>
    </cfRule>
  </conditionalFormatting>
  <conditionalFormatting sqref="AH282:AI282">
    <cfRule type="cellIs" dxfId="5484" priority="11285" stopIfTrue="1" operator="between">
      <formula>-0.15</formula>
      <formula>0.005</formula>
    </cfRule>
  </conditionalFormatting>
  <conditionalFormatting sqref="AE281">
    <cfRule type="cellIs" dxfId="5483" priority="11278" stopIfTrue="1" operator="between">
      <formula>-0.15</formula>
      <formula>-0.0001</formula>
    </cfRule>
  </conditionalFormatting>
  <conditionalFormatting sqref="AH281:AI281">
    <cfRule type="cellIs" dxfId="5482" priority="11277" stopIfTrue="1" operator="between">
      <formula>-0.15</formula>
      <formula>0.005</formula>
    </cfRule>
  </conditionalFormatting>
  <conditionalFormatting sqref="N281">
    <cfRule type="cellIs" dxfId="5481" priority="11276" stopIfTrue="1" operator="between">
      <formula>-350</formula>
      <formula>-1</formula>
    </cfRule>
  </conditionalFormatting>
  <conditionalFormatting sqref="AE2129:AE2130">
    <cfRule type="cellIs" dxfId="5480" priority="11234" stopIfTrue="1" operator="between">
      <formula>-0.15</formula>
      <formula>-0.0001</formula>
    </cfRule>
  </conditionalFormatting>
  <conditionalFormatting sqref="AH2129:AI2130">
    <cfRule type="cellIs" dxfId="5479" priority="11233" stopIfTrue="1" operator="between">
      <formula>-0.15</formula>
      <formula>0.005</formula>
    </cfRule>
  </conditionalFormatting>
  <conditionalFormatting sqref="N2129">
    <cfRule type="cellIs" dxfId="5478" priority="11232" stopIfTrue="1" operator="between">
      <formula>-350</formula>
      <formula>-1</formula>
    </cfRule>
  </conditionalFormatting>
  <conditionalFormatting sqref="AE279">
    <cfRule type="cellIs" dxfId="5477" priority="11189" stopIfTrue="1" operator="between">
      <formula>-0.15</formula>
      <formula>-0.0001</formula>
    </cfRule>
  </conditionalFormatting>
  <conditionalFormatting sqref="AH279:AI279">
    <cfRule type="cellIs" dxfId="5476" priority="11188" stopIfTrue="1" operator="between">
      <formula>-0.15</formula>
      <formula>0.005</formula>
    </cfRule>
  </conditionalFormatting>
  <conditionalFormatting sqref="AE278">
    <cfRule type="cellIs" dxfId="5475" priority="11187" stopIfTrue="1" operator="between">
      <formula>-0.15</formula>
      <formula>-0.0001</formula>
    </cfRule>
  </conditionalFormatting>
  <conditionalFormatting sqref="AH278:AI278">
    <cfRule type="cellIs" dxfId="5474" priority="11186" stopIfTrue="1" operator="between">
      <formula>-0.15</formula>
      <formula>0.005</formula>
    </cfRule>
  </conditionalFormatting>
  <conditionalFormatting sqref="N278">
    <cfRule type="cellIs" dxfId="5473" priority="11185" stopIfTrue="1" operator="between">
      <formula>-350</formula>
      <formula>-1</formula>
    </cfRule>
  </conditionalFormatting>
  <conditionalFormatting sqref="AE275">
    <cfRule type="cellIs" dxfId="5472" priority="11175" stopIfTrue="1" operator="between">
      <formula>-0.15</formula>
      <formula>-0.0001</formula>
    </cfRule>
  </conditionalFormatting>
  <conditionalFormatting sqref="AH275:AI275">
    <cfRule type="cellIs" dxfId="5471" priority="11174" stopIfTrue="1" operator="between">
      <formula>-0.15</formula>
      <formula>0.005</formula>
    </cfRule>
  </conditionalFormatting>
  <conditionalFormatting sqref="AE273">
    <cfRule type="cellIs" dxfId="5470" priority="11173" stopIfTrue="1" operator="between">
      <formula>-0.15</formula>
      <formula>-0.0001</formula>
    </cfRule>
  </conditionalFormatting>
  <conditionalFormatting sqref="AH273:AI273">
    <cfRule type="cellIs" dxfId="5469" priority="11172" stopIfTrue="1" operator="between">
      <formula>-0.15</formula>
      <formula>0.005</formula>
    </cfRule>
  </conditionalFormatting>
  <conditionalFormatting sqref="N273">
    <cfRule type="cellIs" dxfId="5468" priority="11171" stopIfTrue="1" operator="between">
      <formula>-350</formula>
      <formula>-1</formula>
    </cfRule>
  </conditionalFormatting>
  <conditionalFormatting sqref="AE274">
    <cfRule type="cellIs" dxfId="5467" priority="11167" stopIfTrue="1" operator="between">
      <formula>-0.15</formula>
      <formula>-0.0001</formula>
    </cfRule>
  </conditionalFormatting>
  <conditionalFormatting sqref="AH274:AI274">
    <cfRule type="cellIs" dxfId="5466" priority="11166" stopIfTrue="1" operator="between">
      <formula>-0.15</formula>
      <formula>0.005</formula>
    </cfRule>
  </conditionalFormatting>
  <conditionalFormatting sqref="N274">
    <cfRule type="cellIs" dxfId="5465" priority="11165" stopIfTrue="1" operator="between">
      <formula>-350</formula>
      <formula>-1</formula>
    </cfRule>
  </conditionalFormatting>
  <conditionalFormatting sqref="AE284">
    <cfRule type="cellIs" dxfId="5464" priority="11153" stopIfTrue="1" operator="between">
      <formula>-0.15</formula>
      <formula>-0.0001</formula>
    </cfRule>
  </conditionalFormatting>
  <conditionalFormatting sqref="AH284:AI284">
    <cfRule type="cellIs" dxfId="5463" priority="11152" stopIfTrue="1" operator="between">
      <formula>-0.15</formula>
      <formula>0.005</formula>
    </cfRule>
  </conditionalFormatting>
  <conditionalFormatting sqref="AE286">
    <cfRule type="cellIs" dxfId="5462" priority="11161" stopIfTrue="1" operator="between">
      <formula>-0.15</formula>
      <formula>-0.0001</formula>
    </cfRule>
  </conditionalFormatting>
  <conditionalFormatting sqref="AH286:AI286">
    <cfRule type="cellIs" dxfId="5461" priority="11160" stopIfTrue="1" operator="between">
      <formula>-0.15</formula>
      <formula>0.005</formula>
    </cfRule>
  </conditionalFormatting>
  <conditionalFormatting sqref="AE285">
    <cfRule type="cellIs" dxfId="5460" priority="11159" stopIfTrue="1" operator="between">
      <formula>-0.15</formula>
      <formula>-0.0001</formula>
    </cfRule>
  </conditionalFormatting>
  <conditionalFormatting sqref="AH285:AI285">
    <cfRule type="cellIs" dxfId="5459" priority="11158" stopIfTrue="1" operator="between">
      <formula>-0.15</formula>
      <formula>0.005</formula>
    </cfRule>
  </conditionalFormatting>
  <conditionalFormatting sqref="N285">
    <cfRule type="cellIs" dxfId="5458" priority="11157" stopIfTrue="1" operator="between">
      <formula>-350</formula>
      <formula>-1</formula>
    </cfRule>
  </conditionalFormatting>
  <conditionalFormatting sqref="AE283">
    <cfRule type="cellIs" dxfId="5457" priority="11151" stopIfTrue="1" operator="between">
      <formula>-0.15</formula>
      <formula>-0.0001</formula>
    </cfRule>
  </conditionalFormatting>
  <conditionalFormatting sqref="AH283:AI283">
    <cfRule type="cellIs" dxfId="5456" priority="11150" stopIfTrue="1" operator="between">
      <formula>-0.15</formula>
      <formula>0.005</formula>
    </cfRule>
  </conditionalFormatting>
  <conditionalFormatting sqref="N283">
    <cfRule type="cellIs" dxfId="5455" priority="11149" stopIfTrue="1" operator="between">
      <formula>-350</formula>
      <formula>-1</formula>
    </cfRule>
  </conditionalFormatting>
  <conditionalFormatting sqref="AE515">
    <cfRule type="cellIs" dxfId="5454" priority="11119" stopIfTrue="1" operator="between">
      <formula>-0.15</formula>
      <formula>-0.0001</formula>
    </cfRule>
  </conditionalFormatting>
  <conditionalFormatting sqref="AH515:AI515">
    <cfRule type="cellIs" dxfId="5453" priority="11118" stopIfTrue="1" operator="between">
      <formula>-0.15</formula>
      <formula>0.005</formula>
    </cfRule>
  </conditionalFormatting>
  <conditionalFormatting sqref="N513">
    <cfRule type="cellIs" dxfId="5452" priority="11117" stopIfTrue="1" operator="between">
      <formula>-350</formula>
      <formula>-1</formula>
    </cfRule>
  </conditionalFormatting>
  <conditionalFormatting sqref="AE513">
    <cfRule type="cellIs" dxfId="5451" priority="11116" stopIfTrue="1" operator="between">
      <formula>-0.15</formula>
      <formula>-0.0001</formula>
    </cfRule>
  </conditionalFormatting>
  <conditionalFormatting sqref="AH513:AI513">
    <cfRule type="cellIs" dxfId="5450" priority="11115" stopIfTrue="1" operator="between">
      <formula>-0.15</formula>
      <formula>0.005</formula>
    </cfRule>
  </conditionalFormatting>
  <conditionalFormatting sqref="AE514">
    <cfRule type="cellIs" dxfId="5449" priority="11114" stopIfTrue="1" operator="between">
      <formula>-0.15</formula>
      <formula>-0.0001</formula>
    </cfRule>
  </conditionalFormatting>
  <conditionalFormatting sqref="AH514:AI514">
    <cfRule type="cellIs" dxfId="5448" priority="11113" stopIfTrue="1" operator="between">
      <formula>-0.15</formula>
      <formula>0.005</formula>
    </cfRule>
  </conditionalFormatting>
  <conditionalFormatting sqref="N514">
    <cfRule type="cellIs" dxfId="5447" priority="11112" stopIfTrue="1" operator="between">
      <formula>-350</formula>
      <formula>-1</formula>
    </cfRule>
  </conditionalFormatting>
  <conditionalFormatting sqref="AE1509">
    <cfRule type="cellIs" dxfId="5446" priority="11060" stopIfTrue="1" operator="between">
      <formula>-0.15</formula>
      <formula>-0.0001</formula>
    </cfRule>
  </conditionalFormatting>
  <conditionalFormatting sqref="AH1509:AI1509">
    <cfRule type="cellIs" dxfId="5445" priority="11059" stopIfTrue="1" operator="between">
      <formula>-0.15</formula>
      <formula>0.005</formula>
    </cfRule>
  </conditionalFormatting>
  <conditionalFormatting sqref="AE1506">
    <cfRule type="cellIs" dxfId="5444" priority="11058" stopIfTrue="1" operator="between">
      <formula>-0.15</formula>
      <formula>-0.0001</formula>
    </cfRule>
  </conditionalFormatting>
  <conditionalFormatting sqref="AH1506:AI1506">
    <cfRule type="cellIs" dxfId="5443" priority="11057" stopIfTrue="1" operator="between">
      <formula>-0.15</formula>
      <formula>0.005</formula>
    </cfRule>
  </conditionalFormatting>
  <conditionalFormatting sqref="N1506">
    <cfRule type="cellIs" dxfId="5442" priority="11056" stopIfTrue="1" operator="between">
      <formula>-350</formula>
      <formula>-1</formula>
    </cfRule>
  </conditionalFormatting>
  <conditionalFormatting sqref="AE449">
    <cfRule type="cellIs" dxfId="5441" priority="11017" stopIfTrue="1" operator="between">
      <formula>-0.15</formula>
      <formula>-0.0001</formula>
    </cfRule>
  </conditionalFormatting>
  <conditionalFormatting sqref="AH449:AI449">
    <cfRule type="cellIs" dxfId="5440" priority="11016" stopIfTrue="1" operator="between">
      <formula>-0.15</formula>
      <formula>0.005</formula>
    </cfRule>
  </conditionalFormatting>
  <conditionalFormatting sqref="N449">
    <cfRule type="cellIs" dxfId="5439" priority="11015" stopIfTrue="1" operator="between">
      <formula>-350</formula>
      <formula>-1</formula>
    </cfRule>
  </conditionalFormatting>
  <conditionalFormatting sqref="AE631">
    <cfRule type="cellIs" dxfId="5438" priority="10965" stopIfTrue="1" operator="between">
      <formula>-0.15</formula>
      <formula>-0.0001</formula>
    </cfRule>
  </conditionalFormatting>
  <conditionalFormatting sqref="AH631:AI631">
    <cfRule type="cellIs" dxfId="5437" priority="10964" stopIfTrue="1" operator="between">
      <formula>-0.15</formula>
      <formula>0.005</formula>
    </cfRule>
  </conditionalFormatting>
  <conditionalFormatting sqref="N634">
    <cfRule type="cellIs" dxfId="5436" priority="10963" stopIfTrue="1" operator="between">
      <formula>-350</formula>
      <formula>-1</formula>
    </cfRule>
  </conditionalFormatting>
  <conditionalFormatting sqref="N631">
    <cfRule type="cellIs" dxfId="5435" priority="10966" stopIfTrue="1" operator="between">
      <formula>-350</formula>
      <formula>-1</formula>
    </cfRule>
  </conditionalFormatting>
  <conditionalFormatting sqref="AE387">
    <cfRule type="cellIs" dxfId="5434" priority="10934" stopIfTrue="1" operator="between">
      <formula>-0.15</formula>
      <formula>-0.0001</formula>
    </cfRule>
  </conditionalFormatting>
  <conditionalFormatting sqref="AH387:AI387">
    <cfRule type="cellIs" dxfId="5433" priority="10933" stopIfTrue="1" operator="between">
      <formula>-0.15</formula>
      <formula>0.005</formula>
    </cfRule>
  </conditionalFormatting>
  <conditionalFormatting sqref="AE634">
    <cfRule type="cellIs" dxfId="5432" priority="10962" stopIfTrue="1" operator="between">
      <formula>-0.15</formula>
      <formula>-0.0001</formula>
    </cfRule>
  </conditionalFormatting>
  <conditionalFormatting sqref="AH634:AI634">
    <cfRule type="cellIs" dxfId="5431" priority="10961" stopIfTrue="1" operator="between">
      <formula>-0.15</formula>
      <formula>0.005</formula>
    </cfRule>
  </conditionalFormatting>
  <conditionalFormatting sqref="N387">
    <cfRule type="cellIs" dxfId="5430" priority="10935" stopIfTrue="1" operator="between">
      <formula>-350</formula>
      <formula>-1</formula>
    </cfRule>
  </conditionalFormatting>
  <conditionalFormatting sqref="AE389">
    <cfRule type="cellIs" dxfId="5429" priority="10937" stopIfTrue="1" operator="between">
      <formula>-0.15</formula>
      <formula>-0.0001</formula>
    </cfRule>
  </conditionalFormatting>
  <conditionalFormatting sqref="AH389:AI389">
    <cfRule type="cellIs" dxfId="5428" priority="10936" stopIfTrue="1" operator="between">
      <formula>-0.15</formula>
      <formula>0.005</formula>
    </cfRule>
  </conditionalFormatting>
  <conditionalFormatting sqref="AE388">
    <cfRule type="cellIs" dxfId="5427" priority="10928" stopIfTrue="1" operator="between">
      <formula>-0.15</formula>
      <formula>-0.0001</formula>
    </cfRule>
  </conditionalFormatting>
  <conditionalFormatting sqref="AH388:AI388">
    <cfRule type="cellIs" dxfId="5426" priority="10927" stopIfTrue="1" operator="between">
      <formula>-0.15</formula>
      <formula>0.005</formula>
    </cfRule>
  </conditionalFormatting>
  <conditionalFormatting sqref="N388">
    <cfRule type="cellIs" dxfId="5425" priority="10929" stopIfTrue="1" operator="between">
      <formula>-350</formula>
      <formula>-1</formula>
    </cfRule>
  </conditionalFormatting>
  <conditionalFormatting sqref="AE546">
    <cfRule type="cellIs" dxfId="5424" priority="10872" stopIfTrue="1" operator="between">
      <formula>-0.15</formula>
      <formula>-0.0001</formula>
    </cfRule>
  </conditionalFormatting>
  <conditionalFormatting sqref="AH546:AI546">
    <cfRule type="cellIs" dxfId="5423" priority="10871" stopIfTrue="1" operator="between">
      <formula>-0.15</formula>
      <formula>0.005</formula>
    </cfRule>
  </conditionalFormatting>
  <conditionalFormatting sqref="AE276">
    <cfRule type="cellIs" dxfId="5422" priority="10884" stopIfTrue="1" operator="between">
      <formula>-0.15</formula>
      <formula>-0.0001</formula>
    </cfRule>
  </conditionalFormatting>
  <conditionalFormatting sqref="AH276:AI276">
    <cfRule type="cellIs" dxfId="5421" priority="10883" stopIfTrue="1" operator="between">
      <formula>-0.15</formula>
      <formula>0.005</formula>
    </cfRule>
  </conditionalFormatting>
  <conditionalFormatting sqref="N276">
    <cfRule type="cellIs" dxfId="5420" priority="10882" stopIfTrue="1" operator="between">
      <formula>-350</formula>
      <formula>-1</formula>
    </cfRule>
  </conditionalFormatting>
  <conditionalFormatting sqref="AE545">
    <cfRule type="cellIs" dxfId="5419" priority="10864" stopIfTrue="1" operator="between">
      <formula>-0.15</formula>
      <formula>-0.0001</formula>
    </cfRule>
  </conditionalFormatting>
  <conditionalFormatting sqref="AH545:AI545">
    <cfRule type="cellIs" dxfId="5418" priority="10863" stopIfTrue="1" operator="between">
      <formula>-0.15</formula>
      <formula>0.005</formula>
    </cfRule>
  </conditionalFormatting>
  <conditionalFormatting sqref="N544">
    <cfRule type="cellIs" dxfId="5417" priority="10870" stopIfTrue="1" operator="between">
      <formula>-350</formula>
      <formula>-1</formula>
    </cfRule>
  </conditionalFormatting>
  <conditionalFormatting sqref="AE277">
    <cfRule type="cellIs" dxfId="5416" priority="10886" stopIfTrue="1" operator="between">
      <formula>-0.15</formula>
      <formula>-0.0001</formula>
    </cfRule>
  </conditionalFormatting>
  <conditionalFormatting sqref="AH277:AI277">
    <cfRule type="cellIs" dxfId="5415" priority="10885" stopIfTrue="1" operator="between">
      <formula>-0.15</formula>
      <formula>0.005</formula>
    </cfRule>
  </conditionalFormatting>
  <conditionalFormatting sqref="N545">
    <cfRule type="cellIs" dxfId="5414" priority="10862" stopIfTrue="1" operator="between">
      <formula>-350</formula>
      <formula>-1</formula>
    </cfRule>
  </conditionalFormatting>
  <conditionalFormatting sqref="AE544">
    <cfRule type="cellIs" dxfId="5413" priority="10869" stopIfTrue="1" operator="between">
      <formula>-0.15</formula>
      <formula>-0.0001</formula>
    </cfRule>
  </conditionalFormatting>
  <conditionalFormatting sqref="AH544:AI544">
    <cfRule type="cellIs" dxfId="5412" priority="10868" stopIfTrue="1" operator="between">
      <formula>-0.15</formula>
      <formula>0.005</formula>
    </cfRule>
  </conditionalFormatting>
  <conditionalFormatting sqref="N508">
    <cfRule type="cellIs" dxfId="5411" priority="10724" stopIfTrue="1" operator="between">
      <formula>-350</formula>
      <formula>-1</formula>
    </cfRule>
  </conditionalFormatting>
  <conditionalFormatting sqref="AE2167">
    <cfRule type="cellIs" dxfId="5410" priority="10762" stopIfTrue="1" operator="between">
      <formula>-0.15</formula>
      <formula>-0.0001</formula>
    </cfRule>
  </conditionalFormatting>
  <conditionalFormatting sqref="AH508:AI508">
    <cfRule type="cellIs" dxfId="5409" priority="10725" stopIfTrue="1" operator="between">
      <formula>-0.15</formula>
      <formula>0.005</formula>
    </cfRule>
  </conditionalFormatting>
  <conditionalFormatting sqref="N2167">
    <cfRule type="cellIs" dxfId="5408" priority="10760" stopIfTrue="1" operator="between">
      <formula>-350</formula>
      <formula>-1</formula>
    </cfRule>
  </conditionalFormatting>
  <conditionalFormatting sqref="AH1523:AI1523">
    <cfRule type="cellIs" dxfId="5407" priority="10739" stopIfTrue="1" operator="between">
      <formula>-0.15</formula>
      <formula>0.005</formula>
    </cfRule>
  </conditionalFormatting>
  <conditionalFormatting sqref="AE508">
    <cfRule type="cellIs" dxfId="5406" priority="10726" stopIfTrue="1" operator="between">
      <formula>-0.15</formula>
      <formula>-0.0001</formula>
    </cfRule>
  </conditionalFormatting>
  <conditionalFormatting sqref="AE1521">
    <cfRule type="cellIs" dxfId="5405" priority="10738" stopIfTrue="1" operator="between">
      <formula>-0.15</formula>
      <formula>-0.0001</formula>
    </cfRule>
  </conditionalFormatting>
  <conditionalFormatting sqref="AH1493:AI1493">
    <cfRule type="cellIs" dxfId="5404" priority="10661" stopIfTrue="1" operator="between">
      <formula>-0.15</formula>
      <formula>0.005</formula>
    </cfRule>
  </conditionalFormatting>
  <conditionalFormatting sqref="AH2167:AI2167">
    <cfRule type="cellIs" dxfId="5403" priority="10761" stopIfTrue="1" operator="between">
      <formula>-0.15</formula>
      <formula>0.005</formula>
    </cfRule>
  </conditionalFormatting>
  <conditionalFormatting sqref="AE1523">
    <cfRule type="cellIs" dxfId="5402" priority="10740" stopIfTrue="1" operator="between">
      <formula>-0.15</formula>
      <formula>-0.0001</formula>
    </cfRule>
  </conditionalFormatting>
  <conditionalFormatting sqref="AE1494">
    <cfRule type="cellIs" dxfId="5401" priority="10665" stopIfTrue="1" operator="between">
      <formula>-0.15</formula>
      <formula>-0.0001</formula>
    </cfRule>
  </conditionalFormatting>
  <conditionalFormatting sqref="AH1521:AI1521">
    <cfRule type="cellIs" dxfId="5400" priority="10737" stopIfTrue="1" operator="between">
      <formula>-0.15</formula>
      <formula>0.005</formula>
    </cfRule>
  </conditionalFormatting>
  <conditionalFormatting sqref="N1521">
    <cfRule type="cellIs" dxfId="5399" priority="10736" stopIfTrue="1" operator="between">
      <formula>-350</formula>
      <formula>-1</formula>
    </cfRule>
  </conditionalFormatting>
  <conditionalFormatting sqref="AH1494:AI1494">
    <cfRule type="cellIs" dxfId="5398" priority="10664" stopIfTrue="1" operator="between">
      <formula>-0.15</formula>
      <formula>0.005</formula>
    </cfRule>
  </conditionalFormatting>
  <conditionalFormatting sqref="N1493">
    <cfRule type="cellIs" dxfId="5397" priority="10663" stopIfTrue="1" operator="between">
      <formula>-350</formula>
      <formula>-1</formula>
    </cfRule>
  </conditionalFormatting>
  <conditionalFormatting sqref="AE1493">
    <cfRule type="cellIs" dxfId="5396" priority="10662" stopIfTrue="1" operator="between">
      <formula>-0.15</formula>
      <formula>-0.0001</formula>
    </cfRule>
  </conditionalFormatting>
  <conditionalFormatting sqref="N287">
    <cfRule type="cellIs" dxfId="5395" priority="10615" stopIfTrue="1" operator="between">
      <formula>-350</formula>
      <formula>-1</formula>
    </cfRule>
  </conditionalFormatting>
  <conditionalFormatting sqref="AE287">
    <cfRule type="cellIs" dxfId="5394" priority="10617" stopIfTrue="1" operator="between">
      <formula>-0.15</formula>
      <formula>-0.0001</formula>
    </cfRule>
  </conditionalFormatting>
  <conditionalFormatting sqref="AH287:AI287">
    <cfRule type="cellIs" dxfId="5393" priority="10616" stopIfTrue="1" operator="between">
      <formula>-0.15</formula>
      <formula>0.005</formula>
    </cfRule>
  </conditionalFormatting>
  <conditionalFormatting sqref="AE296">
    <cfRule type="cellIs" dxfId="5392" priority="10564" stopIfTrue="1" operator="between">
      <formula>-0.15</formula>
      <formula>-0.0001</formula>
    </cfRule>
  </conditionalFormatting>
  <conditionalFormatting sqref="AH296:AI296">
    <cfRule type="cellIs" dxfId="5391" priority="10563" stopIfTrue="1" operator="between">
      <formula>-0.15</formula>
      <formula>0.005</formula>
    </cfRule>
  </conditionalFormatting>
  <conditionalFormatting sqref="N296">
    <cfRule type="cellIs" dxfId="5390" priority="10562" stopIfTrue="1" operator="between">
      <formula>-350</formula>
      <formula>-1</formula>
    </cfRule>
  </conditionalFormatting>
  <conditionalFormatting sqref="AE289">
    <cfRule type="cellIs" dxfId="5389" priority="10619" stopIfTrue="1" operator="between">
      <formula>-0.15</formula>
      <formula>-0.0001</formula>
    </cfRule>
  </conditionalFormatting>
  <conditionalFormatting sqref="AH289:AI289">
    <cfRule type="cellIs" dxfId="5388" priority="10618" stopIfTrue="1" operator="between">
      <formula>-0.15</formula>
      <formula>0.005</formula>
    </cfRule>
  </conditionalFormatting>
  <conditionalFormatting sqref="AE297">
    <cfRule type="cellIs" dxfId="5387" priority="10566" stopIfTrue="1" operator="between">
      <formula>-0.15</formula>
      <formula>-0.0001</formula>
    </cfRule>
  </conditionalFormatting>
  <conditionalFormatting sqref="AH297:AI297">
    <cfRule type="cellIs" dxfId="5386" priority="10565" stopIfTrue="1" operator="between">
      <formula>-0.15</formula>
      <formula>0.005</formula>
    </cfRule>
  </conditionalFormatting>
  <conditionalFormatting sqref="N1542">
    <cfRule type="cellIs" dxfId="5385" priority="10513" stopIfTrue="1" operator="between">
      <formula>-350</formula>
      <formula>-1</formula>
    </cfRule>
  </conditionalFormatting>
  <conditionalFormatting sqref="AE1543">
    <cfRule type="cellIs" dxfId="5384" priority="10520" stopIfTrue="1" operator="between">
      <formula>-0.15</formula>
      <formula>-0.0001</formula>
    </cfRule>
  </conditionalFormatting>
  <conditionalFormatting sqref="AH1543:AI1543">
    <cfRule type="cellIs" dxfId="5383" priority="10519" stopIfTrue="1" operator="between">
      <formula>-0.15</formula>
      <formula>0.005</formula>
    </cfRule>
  </conditionalFormatting>
  <conditionalFormatting sqref="AE1541">
    <cfRule type="cellIs" dxfId="5382" priority="10518" stopIfTrue="1" operator="between">
      <formula>-0.15</formula>
      <formula>-0.0001</formula>
    </cfRule>
  </conditionalFormatting>
  <conditionalFormatting sqref="AH1541:AI1541">
    <cfRule type="cellIs" dxfId="5381" priority="10517" stopIfTrue="1" operator="between">
      <formula>-0.15</formula>
      <formula>0.005</formula>
    </cfRule>
  </conditionalFormatting>
  <conditionalFormatting sqref="N1541">
    <cfRule type="cellIs" dxfId="5380" priority="10516" stopIfTrue="1" operator="between">
      <formula>-350</formula>
      <formula>-1</formula>
    </cfRule>
  </conditionalFormatting>
  <conditionalFormatting sqref="AE1272">
    <cfRule type="cellIs" dxfId="5379" priority="10578" stopIfTrue="1" operator="between">
      <formula>-0.15</formula>
      <formula>-0.0001</formula>
    </cfRule>
  </conditionalFormatting>
  <conditionalFormatting sqref="AH1272:AI1272">
    <cfRule type="cellIs" dxfId="5378" priority="10577" stopIfTrue="1" operator="between">
      <formula>-0.15</formula>
      <formula>0.005</formula>
    </cfRule>
  </conditionalFormatting>
  <conditionalFormatting sqref="N1272">
    <cfRule type="cellIs" dxfId="5377" priority="10576" stopIfTrue="1" operator="between">
      <formula>-350</formula>
      <formula>-1</formula>
    </cfRule>
  </conditionalFormatting>
  <conditionalFormatting sqref="AE1274">
    <cfRule type="cellIs" dxfId="5376" priority="10580" stopIfTrue="1" operator="between">
      <formula>-0.15</formula>
      <formula>-0.0001</formula>
    </cfRule>
  </conditionalFormatting>
  <conditionalFormatting sqref="AH1274:AI1274">
    <cfRule type="cellIs" dxfId="5375" priority="10579" stopIfTrue="1" operator="between">
      <formula>-0.15</formula>
      <formula>0.005</formula>
    </cfRule>
  </conditionalFormatting>
  <conditionalFormatting sqref="AE1542">
    <cfRule type="cellIs" dxfId="5374" priority="10515" stopIfTrue="1" operator="between">
      <formula>-0.15</formula>
      <formula>-0.0001</formula>
    </cfRule>
  </conditionalFormatting>
  <conditionalFormatting sqref="AH1542:AI1542">
    <cfRule type="cellIs" dxfId="5373" priority="10514" stopIfTrue="1" operator="between">
      <formula>-0.15</formula>
      <formula>0.005</formula>
    </cfRule>
  </conditionalFormatting>
  <conditionalFormatting sqref="N64">
    <cfRule type="cellIs" dxfId="5372" priority="10353" stopIfTrue="1" operator="between">
      <formula>-350</formula>
      <formula>-1</formula>
    </cfRule>
  </conditionalFormatting>
  <conditionalFormatting sqref="N66">
    <cfRule type="cellIs" dxfId="5371" priority="10350" stopIfTrue="1" operator="between">
      <formula>-350</formula>
      <formula>-1</formula>
    </cfRule>
  </conditionalFormatting>
  <conditionalFormatting sqref="AH66:AI66">
    <cfRule type="cellIs" dxfId="5370" priority="10349" stopIfTrue="1" operator="between">
      <formula>-0.15</formula>
      <formula>0.005</formula>
    </cfRule>
  </conditionalFormatting>
  <conditionalFormatting sqref="AE66">
    <cfRule type="cellIs" dxfId="5369" priority="10351" stopIfTrue="1" operator="between">
      <formula>-0.15</formula>
      <formula>-0.0001</formula>
    </cfRule>
  </conditionalFormatting>
  <conditionalFormatting sqref="AH67:AI67">
    <cfRule type="cellIs" dxfId="5368" priority="10355" stopIfTrue="1" operator="between">
      <formula>-0.15</formula>
      <formula>0.005</formula>
    </cfRule>
  </conditionalFormatting>
  <conditionalFormatting sqref="N65">
    <cfRule type="cellIs" dxfId="5367" priority="10347" stopIfTrue="1" operator="between">
      <formula>-350</formula>
      <formula>-1</formula>
    </cfRule>
  </conditionalFormatting>
  <conditionalFormatting sqref="AH65:AI65">
    <cfRule type="cellIs" dxfId="5366" priority="10346" stopIfTrue="1" operator="between">
      <formula>-0.15</formula>
      <formula>0.005</formula>
    </cfRule>
  </conditionalFormatting>
  <conditionalFormatting sqref="AE65">
    <cfRule type="cellIs" dxfId="5365" priority="10348" stopIfTrue="1" operator="between">
      <formula>-0.15</formula>
      <formula>-0.0001</formula>
    </cfRule>
  </conditionalFormatting>
  <conditionalFormatting sqref="AH64:AI64">
    <cfRule type="cellIs" dxfId="5364" priority="10352" stopIfTrue="1" operator="between">
      <formula>-0.15</formula>
      <formula>0.005</formula>
    </cfRule>
  </conditionalFormatting>
  <conditionalFormatting sqref="AE64">
    <cfRule type="cellIs" dxfId="5363" priority="10354" stopIfTrue="1" operator="between">
      <formula>-0.15</formula>
      <formula>-0.0001</formula>
    </cfRule>
  </conditionalFormatting>
  <conditionalFormatting sqref="AE67">
    <cfRule type="cellIs" dxfId="5362" priority="10356" stopIfTrue="1" operator="between">
      <formula>-0.15</formula>
      <formula>-0.0001</formula>
    </cfRule>
  </conditionalFormatting>
  <conditionalFormatting sqref="N67">
    <cfRule type="cellIs" dxfId="5361" priority="10357" stopIfTrue="1" operator="between">
      <formula>-350</formula>
      <formula>-1</formula>
    </cfRule>
  </conditionalFormatting>
  <conditionalFormatting sqref="AE1172:AE1173">
    <cfRule type="cellIs" dxfId="5360" priority="10246" stopIfTrue="1" operator="between">
      <formula>-0.15</formula>
      <formula>-0.0001</formula>
    </cfRule>
  </conditionalFormatting>
  <conditionalFormatting sqref="AH1172:AI1173">
    <cfRule type="cellIs" dxfId="5359" priority="10245" stopIfTrue="1" operator="between">
      <formula>-0.15</formula>
      <formula>0.005</formula>
    </cfRule>
  </conditionalFormatting>
  <conditionalFormatting sqref="N1173">
    <cfRule type="cellIs" dxfId="5358" priority="10244" stopIfTrue="1" operator="between">
      <formula>-350</formula>
      <formula>-1</formula>
    </cfRule>
  </conditionalFormatting>
  <conditionalFormatting sqref="N1172">
    <cfRule type="cellIs" dxfId="5357" priority="10243" stopIfTrue="1" operator="between">
      <formula>-350</formula>
      <formula>-1</formula>
    </cfRule>
  </conditionalFormatting>
  <conditionalFormatting sqref="AH306:AI306">
    <cfRule type="cellIs" dxfId="5356" priority="10118" stopIfTrue="1" operator="between">
      <formula>-0.15</formula>
      <formula>0.005</formula>
    </cfRule>
  </conditionalFormatting>
  <conditionalFormatting sqref="N300">
    <cfRule type="cellIs" dxfId="5355" priority="10128" stopIfTrue="1" operator="between">
      <formula>-350</formula>
      <formula>-1</formula>
    </cfRule>
  </conditionalFormatting>
  <conditionalFormatting sqref="AE304">
    <cfRule type="cellIs" dxfId="5354" priority="10117" stopIfTrue="1" operator="between">
      <formula>-0.15</formula>
      <formula>-0.0001</formula>
    </cfRule>
  </conditionalFormatting>
  <conditionalFormatting sqref="AE1037">
    <cfRule type="cellIs" dxfId="5353" priority="10075" stopIfTrue="1" operator="between">
      <formula>-0.15</formula>
      <formula>-0.0001</formula>
    </cfRule>
  </conditionalFormatting>
  <conditionalFormatting sqref="AE301">
    <cfRule type="cellIs" dxfId="5352" priority="10132" stopIfTrue="1" operator="between">
      <formula>-0.15</formula>
      <formula>-0.0001</formula>
    </cfRule>
  </conditionalFormatting>
  <conditionalFormatting sqref="AH301:AI301">
    <cfRule type="cellIs" dxfId="5351" priority="10131" stopIfTrue="1" operator="between">
      <formula>-0.15</formula>
      <formula>0.005</formula>
    </cfRule>
  </conditionalFormatting>
  <conditionalFormatting sqref="AE300">
    <cfRule type="cellIs" dxfId="5350" priority="10130" stopIfTrue="1" operator="between">
      <formula>-0.15</formula>
      <formula>-0.0001</formula>
    </cfRule>
  </conditionalFormatting>
  <conditionalFormatting sqref="AH300:AI300">
    <cfRule type="cellIs" dxfId="5349" priority="10129" stopIfTrue="1" operator="between">
      <formula>-0.15</formula>
      <formula>0.005</formula>
    </cfRule>
  </conditionalFormatting>
  <conditionalFormatting sqref="AE306">
    <cfRule type="cellIs" dxfId="5348" priority="10119" stopIfTrue="1" operator="between">
      <formula>-0.15</formula>
      <formula>-0.0001</formula>
    </cfRule>
  </conditionalFormatting>
  <conditionalFormatting sqref="AH304:AI304">
    <cfRule type="cellIs" dxfId="5347" priority="10116" stopIfTrue="1" operator="between">
      <formula>-0.15</formula>
      <formula>0.005</formula>
    </cfRule>
  </conditionalFormatting>
  <conditionalFormatting sqref="N304">
    <cfRule type="cellIs" dxfId="5346" priority="10115" stopIfTrue="1" operator="between">
      <formula>-350</formula>
      <formula>-1</formula>
    </cfRule>
  </conditionalFormatting>
  <conditionalFormatting sqref="AH1037:AI1037">
    <cfRule type="cellIs" dxfId="5345" priority="10074" stopIfTrue="1" operator="between">
      <formula>-0.15</formula>
      <formula>0.005</formula>
    </cfRule>
  </conditionalFormatting>
  <conditionalFormatting sqref="N1037">
    <cfRule type="cellIs" dxfId="5344" priority="10076" stopIfTrue="1" operator="between">
      <formula>-350</formula>
      <formula>-1</formula>
    </cfRule>
  </conditionalFormatting>
  <conditionalFormatting sqref="N2191">
    <cfRule type="cellIs" dxfId="5343" priority="9919" stopIfTrue="1" operator="between">
      <formula>-350</formula>
      <formula>-1</formula>
    </cfRule>
  </conditionalFormatting>
  <conditionalFormatting sqref="AE2181:AE2182">
    <cfRule type="cellIs" dxfId="5342" priority="9993" stopIfTrue="1" operator="between">
      <formula>-0.15</formula>
      <formula>-0.0001</formula>
    </cfRule>
  </conditionalFormatting>
  <conditionalFormatting sqref="N2181">
    <cfRule type="cellIs" dxfId="5341" priority="9991" stopIfTrue="1" operator="between">
      <formula>-350</formula>
      <formula>-1</formula>
    </cfRule>
  </conditionalFormatting>
  <conditionalFormatting sqref="N1041">
    <cfRule type="cellIs" dxfId="5340" priority="10054" stopIfTrue="1" operator="between">
      <formula>-350</formula>
      <formula>-1</formula>
    </cfRule>
  </conditionalFormatting>
  <conditionalFormatting sqref="AE1041">
    <cfRule type="cellIs" dxfId="5339" priority="10053" stopIfTrue="1" operator="between">
      <formula>-0.15</formula>
      <formula>-0.0001</formula>
    </cfRule>
  </conditionalFormatting>
  <conditionalFormatting sqref="AH1041:AI1041">
    <cfRule type="cellIs" dxfId="5338" priority="10052" stopIfTrue="1" operator="between">
      <formula>-0.15</formula>
      <formula>0.005</formula>
    </cfRule>
  </conditionalFormatting>
  <conditionalFormatting sqref="AE493">
    <cfRule type="cellIs" dxfId="5337" priority="10068" stopIfTrue="1" operator="between">
      <formula>-0.15</formula>
      <formula>-0.0001</formula>
    </cfRule>
  </conditionalFormatting>
  <conditionalFormatting sqref="AH493:AI493">
    <cfRule type="cellIs" dxfId="5336" priority="10067" stopIfTrue="1" operator="between">
      <formula>-0.15</formula>
      <formula>0.005</formula>
    </cfRule>
  </conditionalFormatting>
  <conditionalFormatting sqref="N493">
    <cfRule type="cellIs" dxfId="5335" priority="10066" stopIfTrue="1" operator="between">
      <formula>-350</formula>
      <formula>-1</formula>
    </cfRule>
  </conditionalFormatting>
  <conditionalFormatting sqref="AE494">
    <cfRule type="cellIs" dxfId="5334" priority="10073" stopIfTrue="1" operator="between">
      <formula>-0.15</formula>
      <formula>-0.0001</formula>
    </cfRule>
  </conditionalFormatting>
  <conditionalFormatting sqref="AH494:AI494">
    <cfRule type="cellIs" dxfId="5333" priority="10072" stopIfTrue="1" operator="between">
      <formula>-0.15</formula>
      <formula>0.005</formula>
    </cfRule>
  </conditionalFormatting>
  <conditionalFormatting sqref="N491">
    <cfRule type="cellIs" dxfId="5332" priority="10071" stopIfTrue="1" operator="between">
      <formula>-350</formula>
      <formula>-1</formula>
    </cfRule>
  </conditionalFormatting>
  <conditionalFormatting sqref="AE491">
    <cfRule type="cellIs" dxfId="5331" priority="10070" stopIfTrue="1" operator="between">
      <formula>-0.15</formula>
      <formula>-0.0001</formula>
    </cfRule>
  </conditionalFormatting>
  <conditionalFormatting sqref="AH491:AI491">
    <cfRule type="cellIs" dxfId="5330" priority="10069" stopIfTrue="1" operator="between">
      <formula>-0.15</formula>
      <formula>0.005</formula>
    </cfRule>
  </conditionalFormatting>
  <conditionalFormatting sqref="AE548">
    <cfRule type="cellIs" dxfId="5329" priority="10042" stopIfTrue="1" operator="between">
      <formula>-0.15</formula>
      <formula>-0.0001</formula>
    </cfRule>
  </conditionalFormatting>
  <conditionalFormatting sqref="AH548:AI548">
    <cfRule type="cellIs" dxfId="5328" priority="10041" stopIfTrue="1" operator="between">
      <formula>-0.15</formula>
      <formula>0.005</formula>
    </cfRule>
  </conditionalFormatting>
  <conditionalFormatting sqref="N547">
    <cfRule type="cellIs" dxfId="5327" priority="10040" stopIfTrue="1" operator="between">
      <formula>-350</formula>
      <formula>-1</formula>
    </cfRule>
  </conditionalFormatting>
  <conditionalFormatting sqref="AE547">
    <cfRule type="cellIs" dxfId="5326" priority="10039" stopIfTrue="1" operator="between">
      <formula>-0.15</formula>
      <formula>-0.0001</formula>
    </cfRule>
  </conditionalFormatting>
  <conditionalFormatting sqref="AH547:AI547">
    <cfRule type="cellIs" dxfId="5325" priority="10038" stopIfTrue="1" operator="between">
      <formula>-0.15</formula>
      <formula>0.005</formula>
    </cfRule>
  </conditionalFormatting>
  <conditionalFormatting sqref="AE2191:AE2192">
    <cfRule type="cellIs" dxfId="5324" priority="9921" stopIfTrue="1" operator="between">
      <formula>-0.15</formula>
      <formula>-0.0001</formula>
    </cfRule>
  </conditionalFormatting>
  <conditionalFormatting sqref="AH2181:AI2182">
    <cfRule type="cellIs" dxfId="5323" priority="9992" stopIfTrue="1" operator="between">
      <formula>-0.15</formula>
      <formula>0.005</formula>
    </cfRule>
  </conditionalFormatting>
  <conditionalFormatting sqref="AH2191:AI2192">
    <cfRule type="cellIs" dxfId="5322" priority="9920" stopIfTrue="1" operator="between">
      <formula>-0.15</formula>
      <formula>0.005</formula>
    </cfRule>
  </conditionalFormatting>
  <conditionalFormatting sqref="AH290:AI290">
    <cfRule type="cellIs" dxfId="5321" priority="9770" stopIfTrue="1" operator="between">
      <formula>-0.15</formula>
      <formula>0.005</formula>
    </cfRule>
  </conditionalFormatting>
  <conditionalFormatting sqref="N290">
    <cfRule type="cellIs" dxfId="5320" priority="9769" stopIfTrue="1" operator="between">
      <formula>-350</formula>
      <formula>-1</formula>
    </cfRule>
  </conditionalFormatting>
  <conditionalFormatting sqref="AE290">
    <cfRule type="cellIs" dxfId="5319" priority="9771" stopIfTrue="1" operator="between">
      <formula>-0.15</formula>
      <formula>-0.0001</formula>
    </cfRule>
  </conditionalFormatting>
  <conditionalFormatting sqref="AE295">
    <cfRule type="cellIs" dxfId="5318" priority="9787" stopIfTrue="1" operator="between">
      <formula>-0.15</formula>
      <formula>-0.0001</formula>
    </cfRule>
  </conditionalFormatting>
  <conditionalFormatting sqref="AH295:AI295">
    <cfRule type="cellIs" dxfId="5317" priority="9786" stopIfTrue="1" operator="between">
      <formula>-0.15</formula>
      <formula>0.005</formula>
    </cfRule>
  </conditionalFormatting>
  <conditionalFormatting sqref="AE292">
    <cfRule type="cellIs" dxfId="5316" priority="9785" stopIfTrue="1" operator="between">
      <formula>-0.15</formula>
      <formula>-0.0001</formula>
    </cfRule>
  </conditionalFormatting>
  <conditionalFormatting sqref="AH292:AI292">
    <cfRule type="cellIs" dxfId="5315" priority="9784" stopIfTrue="1" operator="between">
      <formula>-0.15</formula>
      <formula>0.005</formula>
    </cfRule>
  </conditionalFormatting>
  <conditionalFormatting sqref="N292">
    <cfRule type="cellIs" dxfId="5314" priority="9783" stopIfTrue="1" operator="between">
      <formula>-350</formula>
      <formula>-1</formula>
    </cfRule>
  </conditionalFormatting>
  <conditionalFormatting sqref="AE294">
    <cfRule type="cellIs" dxfId="5313" priority="9779" stopIfTrue="1" operator="between">
      <formula>-0.15</formula>
      <formula>-0.0001</formula>
    </cfRule>
  </conditionalFormatting>
  <conditionalFormatting sqref="AH294:AI294">
    <cfRule type="cellIs" dxfId="5312" priority="9778" stopIfTrue="1" operator="between">
      <formula>-0.15</formula>
      <formula>0.005</formula>
    </cfRule>
  </conditionalFormatting>
  <conditionalFormatting sqref="N294">
    <cfRule type="cellIs" dxfId="5311" priority="9777" stopIfTrue="1" operator="between">
      <formula>-350</formula>
      <formula>-1</formula>
    </cfRule>
  </conditionalFormatting>
  <conditionalFormatting sqref="AE291">
    <cfRule type="cellIs" dxfId="5310" priority="9773" stopIfTrue="1" operator="between">
      <formula>-0.15</formula>
      <formula>-0.0001</formula>
    </cfRule>
  </conditionalFormatting>
  <conditionalFormatting sqref="AH291:AI291">
    <cfRule type="cellIs" dxfId="5309" priority="9772" stopIfTrue="1" operator="between">
      <formula>-0.15</formula>
      <formula>0.005</formula>
    </cfRule>
  </conditionalFormatting>
  <conditionalFormatting sqref="AE415">
    <cfRule type="cellIs" dxfId="5308" priority="9603" stopIfTrue="1" operator="between">
      <formula>-0.15</formula>
      <formula>-0.0001</formula>
    </cfRule>
  </conditionalFormatting>
  <conditionalFormatting sqref="AH415:AI415">
    <cfRule type="cellIs" dxfId="5307" priority="9602" stopIfTrue="1" operator="between">
      <formula>-0.15</formula>
      <formula>0.005</formula>
    </cfRule>
  </conditionalFormatting>
  <conditionalFormatting sqref="N415">
    <cfRule type="cellIs" dxfId="5306" priority="9604" stopIfTrue="1" operator="between">
      <formula>-350</formula>
      <formula>-1</formula>
    </cfRule>
  </conditionalFormatting>
  <conditionalFormatting sqref="N411">
    <cfRule type="cellIs" dxfId="5305" priority="9584" stopIfTrue="1" operator="between">
      <formula>-350</formula>
      <formula>-1</formula>
    </cfRule>
  </conditionalFormatting>
  <conditionalFormatting sqref="AE413">
    <cfRule type="cellIs" dxfId="5304" priority="9595" stopIfTrue="1" operator="between">
      <formula>-0.15</formula>
      <formula>-0.0001</formula>
    </cfRule>
  </conditionalFormatting>
  <conditionalFormatting sqref="AH413:AI413">
    <cfRule type="cellIs" dxfId="5303" priority="9594" stopIfTrue="1" operator="between">
      <formula>-0.15</formula>
      <formula>0.005</formula>
    </cfRule>
  </conditionalFormatting>
  <conditionalFormatting sqref="N409">
    <cfRule type="cellIs" dxfId="5302" priority="9593" stopIfTrue="1" operator="between">
      <formula>-350</formula>
      <formula>-1</formula>
    </cfRule>
  </conditionalFormatting>
  <conditionalFormatting sqref="AE409">
    <cfRule type="cellIs" dxfId="5301" priority="9592" stopIfTrue="1" operator="between">
      <formula>-0.15</formula>
      <formula>-0.0001</formula>
    </cfRule>
  </conditionalFormatting>
  <conditionalFormatting sqref="AH409:AI409">
    <cfRule type="cellIs" dxfId="5300" priority="9591" stopIfTrue="1" operator="between">
      <formula>-0.15</formula>
      <formula>0.005</formula>
    </cfRule>
  </conditionalFormatting>
  <conditionalFormatting sqref="N412">
    <cfRule type="cellIs" dxfId="5299" priority="9575" stopIfTrue="1" operator="between">
      <formula>-350</formula>
      <formula>-1</formula>
    </cfRule>
  </conditionalFormatting>
  <conditionalFormatting sqref="AE411">
    <cfRule type="cellIs" dxfId="5298" priority="9583" stopIfTrue="1" operator="between">
      <formula>-0.15</formula>
      <formula>-0.0001</formula>
    </cfRule>
  </conditionalFormatting>
  <conditionalFormatting sqref="AH411:AI411">
    <cfRule type="cellIs" dxfId="5297" priority="9582" stopIfTrue="1" operator="between">
      <formula>-0.15</formula>
      <formula>0.005</formula>
    </cfRule>
  </conditionalFormatting>
  <conditionalFormatting sqref="N410">
    <cfRule type="cellIs" dxfId="5296" priority="9581" stopIfTrue="1" operator="between">
      <formula>-350</formula>
      <formula>-1</formula>
    </cfRule>
  </conditionalFormatting>
  <conditionalFormatting sqref="AE410">
    <cfRule type="cellIs" dxfId="5295" priority="9580" stopIfTrue="1" operator="between">
      <formula>-0.15</formula>
      <formula>-0.0001</formula>
    </cfRule>
  </conditionalFormatting>
  <conditionalFormatting sqref="AH410:AI410">
    <cfRule type="cellIs" dxfId="5294" priority="9579" stopIfTrue="1" operator="between">
      <formula>-0.15</formula>
      <formula>0.005</formula>
    </cfRule>
  </conditionalFormatting>
  <conditionalFormatting sqref="AE412">
    <cfRule type="cellIs" dxfId="5293" priority="9574" stopIfTrue="1" operator="between">
      <formula>-0.15</formula>
      <formula>-0.0001</formula>
    </cfRule>
  </conditionalFormatting>
  <conditionalFormatting sqref="AH412:AI412">
    <cfRule type="cellIs" dxfId="5292" priority="9573" stopIfTrue="1" operator="between">
      <formula>-0.15</formula>
      <formula>0.005</formula>
    </cfRule>
  </conditionalFormatting>
  <conditionalFormatting sqref="AE446">
    <cfRule type="cellIs" dxfId="5291" priority="9566" stopIfTrue="1" operator="between">
      <formula>-0.15</formula>
      <formula>-0.0001</formula>
    </cfRule>
  </conditionalFormatting>
  <conditionalFormatting sqref="AH446:AI446">
    <cfRule type="cellIs" dxfId="5290" priority="9565" stopIfTrue="1" operator="between">
      <formula>-0.15</formula>
      <formula>0.005</formula>
    </cfRule>
  </conditionalFormatting>
  <conditionalFormatting sqref="N446">
    <cfRule type="cellIs" dxfId="5289" priority="9564" stopIfTrue="1" operator="between">
      <formula>-350</formula>
      <formula>-1</formula>
    </cfRule>
  </conditionalFormatting>
  <conditionalFormatting sqref="AE1628">
    <cfRule type="cellIs" dxfId="5288" priority="9516" stopIfTrue="1" operator="between">
      <formula>-0.15</formula>
      <formula>-0.0001</formula>
    </cfRule>
  </conditionalFormatting>
  <conditionalFormatting sqref="AH1628:AI1628">
    <cfRule type="cellIs" dxfId="5287" priority="9515" stopIfTrue="1" operator="between">
      <formula>-0.15</formula>
      <formula>0.005</formula>
    </cfRule>
  </conditionalFormatting>
  <conditionalFormatting sqref="N1628">
    <cfRule type="cellIs" dxfId="5286" priority="9514" stopIfTrue="1" operator="between">
      <formula>-350</formula>
      <formula>-1</formula>
    </cfRule>
  </conditionalFormatting>
  <conditionalFormatting sqref="AE1637">
    <cfRule type="cellIs" dxfId="5285" priority="9518" stopIfTrue="1" operator="between">
      <formula>-0.15</formula>
      <formula>-0.0001</formula>
    </cfRule>
  </conditionalFormatting>
  <conditionalFormatting sqref="AH1637:AI1637">
    <cfRule type="cellIs" dxfId="5284" priority="9517" stopIfTrue="1" operator="between">
      <formula>-0.15</formula>
      <formula>0.005</formula>
    </cfRule>
  </conditionalFormatting>
  <conditionalFormatting sqref="AE1636">
    <cfRule type="cellIs" dxfId="5283" priority="9513" stopIfTrue="1" operator="between">
      <formula>-0.15</formula>
      <formula>-0.0001</formula>
    </cfRule>
  </conditionalFormatting>
  <conditionalFormatting sqref="AH1636:AI1636">
    <cfRule type="cellIs" dxfId="5282" priority="9512" stopIfTrue="1" operator="between">
      <formula>-0.15</formula>
      <formula>0.005</formula>
    </cfRule>
  </conditionalFormatting>
  <conditionalFormatting sqref="N1636">
    <cfRule type="cellIs" dxfId="5281" priority="9511" stopIfTrue="1" operator="between">
      <formula>-350</formula>
      <formula>-1</formula>
    </cfRule>
  </conditionalFormatting>
  <conditionalFormatting sqref="AE1525">
    <cfRule type="cellIs" dxfId="5280" priority="9472" stopIfTrue="1" operator="between">
      <formula>-0.15</formula>
      <formula>-0.0001</formula>
    </cfRule>
  </conditionalFormatting>
  <conditionalFormatting sqref="AH1525:AI1525">
    <cfRule type="cellIs" dxfId="5279" priority="9471" stopIfTrue="1" operator="between">
      <formula>-0.15</formula>
      <formula>0.005</formula>
    </cfRule>
  </conditionalFormatting>
  <conditionalFormatting sqref="AE1524">
    <cfRule type="cellIs" dxfId="5278" priority="9470" stopIfTrue="1" operator="between">
      <formula>-0.15</formula>
      <formula>-0.0001</formula>
    </cfRule>
  </conditionalFormatting>
  <conditionalFormatting sqref="AH1524:AI1524">
    <cfRule type="cellIs" dxfId="5277" priority="9469" stopIfTrue="1" operator="between">
      <formula>-0.15</formula>
      <formula>0.005</formula>
    </cfRule>
  </conditionalFormatting>
  <conditionalFormatting sqref="N1524">
    <cfRule type="cellIs" dxfId="5276" priority="9468" stopIfTrue="1" operator="between">
      <formula>-350</formula>
      <formula>-1</formula>
    </cfRule>
  </conditionalFormatting>
  <conditionalFormatting sqref="AE1638">
    <cfRule type="cellIs" dxfId="5275" priority="9247" stopIfTrue="1" operator="between">
      <formula>-0.15</formula>
      <formula>-0.0001</formula>
    </cfRule>
  </conditionalFormatting>
  <conditionalFormatting sqref="AH1638:AI1638">
    <cfRule type="cellIs" dxfId="5274" priority="9246" stopIfTrue="1" operator="between">
      <formula>-0.15</formula>
      <formula>0.005</formula>
    </cfRule>
  </conditionalFormatting>
  <conditionalFormatting sqref="N1638">
    <cfRule type="cellIs" dxfId="5273" priority="9245" stopIfTrue="1" operator="between">
      <formula>-350</formula>
      <formula>-1</formula>
    </cfRule>
  </conditionalFormatting>
  <conditionalFormatting sqref="AE1644">
    <cfRule type="cellIs" dxfId="5272" priority="9249" stopIfTrue="1" operator="between">
      <formula>-0.15</formula>
      <formula>-0.0001</formula>
    </cfRule>
  </conditionalFormatting>
  <conditionalFormatting sqref="AH1644:AI1644">
    <cfRule type="cellIs" dxfId="5271" priority="9248" stopIfTrue="1" operator="between">
      <formula>-0.15</formula>
      <formula>0.005</formula>
    </cfRule>
  </conditionalFormatting>
  <conditionalFormatting sqref="AE2131:AE2132">
    <cfRule type="cellIs" dxfId="5270" priority="9233" stopIfTrue="1" operator="between">
      <formula>-0.15</formula>
      <formula>-0.0001</formula>
    </cfRule>
  </conditionalFormatting>
  <conditionalFormatting sqref="AH2131:AI2132">
    <cfRule type="cellIs" dxfId="5269" priority="9232" stopIfTrue="1" operator="between">
      <formula>-0.15</formula>
      <formula>0.005</formula>
    </cfRule>
  </conditionalFormatting>
  <conditionalFormatting sqref="N2131">
    <cfRule type="cellIs" dxfId="5268" priority="9231" stopIfTrue="1" operator="between">
      <formula>-350</formula>
      <formula>-1</formula>
    </cfRule>
  </conditionalFormatting>
  <conditionalFormatting sqref="AE1549">
    <cfRule type="cellIs" dxfId="5267" priority="9170" stopIfTrue="1" operator="between">
      <formula>-0.15</formula>
      <formula>-0.0001</formula>
    </cfRule>
  </conditionalFormatting>
  <conditionalFormatting sqref="AH1549:AI1549">
    <cfRule type="cellIs" dxfId="5266" priority="9169" stopIfTrue="1" operator="between">
      <formula>-0.15</formula>
      <formula>0.005</formula>
    </cfRule>
  </conditionalFormatting>
  <conditionalFormatting sqref="AE1646">
    <cfRule type="cellIs" dxfId="5265" priority="9062" stopIfTrue="1" operator="between">
      <formula>-0.15</formula>
      <formula>-0.0001</formula>
    </cfRule>
  </conditionalFormatting>
  <conditionalFormatting sqref="AH1646:AI1646">
    <cfRule type="cellIs" dxfId="5264" priority="9061" stopIfTrue="1" operator="between">
      <formula>-0.15</formula>
      <formula>0.005</formula>
    </cfRule>
  </conditionalFormatting>
  <conditionalFormatting sqref="N1646">
    <cfRule type="cellIs" dxfId="5263" priority="9060" stopIfTrue="1" operator="between">
      <formula>-350</formula>
      <formula>-1</formula>
    </cfRule>
  </conditionalFormatting>
  <conditionalFormatting sqref="AE1648">
    <cfRule type="cellIs" dxfId="5262" priority="8999" stopIfTrue="1" operator="between">
      <formula>-0.15</formula>
      <formula>-0.0001</formula>
    </cfRule>
  </conditionalFormatting>
  <conditionalFormatting sqref="AH1648:AI1648">
    <cfRule type="cellIs" dxfId="5261" priority="8998" stopIfTrue="1" operator="between">
      <formula>-0.15</formula>
      <formula>0.005</formula>
    </cfRule>
  </conditionalFormatting>
  <conditionalFormatting sqref="N1648">
    <cfRule type="cellIs" dxfId="5260" priority="8997" stopIfTrue="1" operator="between">
      <formula>-350</formula>
      <formula>-1</formula>
    </cfRule>
  </conditionalFormatting>
  <conditionalFormatting sqref="AE1480">
    <cfRule type="cellIs" dxfId="5259" priority="9103" stopIfTrue="1" operator="between">
      <formula>-0.15</formula>
      <formula>-0.0001</formula>
    </cfRule>
  </conditionalFormatting>
  <conditionalFormatting sqref="AH1480:AI1480">
    <cfRule type="cellIs" dxfId="5258" priority="9102" stopIfTrue="1" operator="between">
      <formula>-0.15</formula>
      <formula>0.005</formula>
    </cfRule>
  </conditionalFormatting>
  <conditionalFormatting sqref="N1480">
    <cfRule type="cellIs" dxfId="5257" priority="9101" stopIfTrue="1" operator="between">
      <formula>-350</formula>
      <formula>-1</formula>
    </cfRule>
  </conditionalFormatting>
  <conditionalFormatting sqref="AE1547">
    <cfRule type="cellIs" dxfId="5256" priority="9168" stopIfTrue="1" operator="between">
      <formula>-0.15</formula>
      <formula>-0.0001</formula>
    </cfRule>
  </conditionalFormatting>
  <conditionalFormatting sqref="AH1547:AI1547">
    <cfRule type="cellIs" dxfId="5255" priority="9167" stopIfTrue="1" operator="between">
      <formula>-0.15</formula>
      <formula>0.005</formula>
    </cfRule>
  </conditionalFormatting>
  <conditionalFormatting sqref="N1547">
    <cfRule type="cellIs" dxfId="5254" priority="9166" stopIfTrue="1" operator="between">
      <formula>-350</formula>
      <formula>-1</formula>
    </cfRule>
  </conditionalFormatting>
  <conditionalFormatting sqref="AE1647">
    <cfRule type="cellIs" dxfId="5253" priority="9064" stopIfTrue="1" operator="between">
      <formula>-0.15</formula>
      <formula>-0.0001</formula>
    </cfRule>
  </conditionalFormatting>
  <conditionalFormatting sqref="AH1647:AI1647">
    <cfRule type="cellIs" dxfId="5252" priority="9063" stopIfTrue="1" operator="between">
      <formula>-0.15</formula>
      <formula>0.005</formula>
    </cfRule>
  </conditionalFormatting>
  <conditionalFormatting sqref="AE1548">
    <cfRule type="cellIs" dxfId="5251" priority="9162" stopIfTrue="1" operator="between">
      <formula>-0.15</formula>
      <formula>-0.0001</formula>
    </cfRule>
  </conditionalFormatting>
  <conditionalFormatting sqref="AH1548:AI1548">
    <cfRule type="cellIs" dxfId="5250" priority="9161" stopIfTrue="1" operator="between">
      <formula>-0.15</formula>
      <formula>0.005</formula>
    </cfRule>
  </conditionalFormatting>
  <conditionalFormatting sqref="N1548">
    <cfRule type="cellIs" dxfId="5249" priority="9160" stopIfTrue="1" operator="between">
      <formula>-350</formula>
      <formula>-1</formula>
    </cfRule>
  </conditionalFormatting>
  <conditionalFormatting sqref="AE1481">
    <cfRule type="cellIs" dxfId="5248" priority="9108" stopIfTrue="1" operator="between">
      <formula>-0.15</formula>
      <formula>-0.0001</formula>
    </cfRule>
  </conditionalFormatting>
  <conditionalFormatting sqref="AH1481:AI1481">
    <cfRule type="cellIs" dxfId="5247" priority="9107" stopIfTrue="1" operator="between">
      <formula>-0.15</formula>
      <formula>0.005</formula>
    </cfRule>
  </conditionalFormatting>
  <conditionalFormatting sqref="N1471">
    <cfRule type="cellIs" dxfId="5246" priority="9106" stopIfTrue="1" operator="between">
      <formula>-350</formula>
      <formula>-1</formula>
    </cfRule>
  </conditionalFormatting>
  <conditionalFormatting sqref="AE1471">
    <cfRule type="cellIs" dxfId="5245" priority="9105" stopIfTrue="1" operator="between">
      <formula>-0.15</formula>
      <formula>-0.0001</formula>
    </cfRule>
  </conditionalFormatting>
  <conditionalFormatting sqref="AH1471:AI1471">
    <cfRule type="cellIs" dxfId="5244" priority="9104" stopIfTrue="1" operator="between">
      <formula>-0.15</formula>
      <formula>0.005</formula>
    </cfRule>
  </conditionalFormatting>
  <conditionalFormatting sqref="N302">
    <cfRule type="cellIs" dxfId="5243" priority="9032" stopIfTrue="1" operator="between">
      <formula>-350</formula>
      <formula>-1</formula>
    </cfRule>
  </conditionalFormatting>
  <conditionalFormatting sqref="AE302">
    <cfRule type="cellIs" dxfId="5242" priority="9034" stopIfTrue="1" operator="between">
      <formula>-0.15</formula>
      <formula>-0.0001</formula>
    </cfRule>
  </conditionalFormatting>
  <conditionalFormatting sqref="AH302:AI302">
    <cfRule type="cellIs" dxfId="5241" priority="9033" stopIfTrue="1" operator="between">
      <formula>-0.15</formula>
      <formula>0.005</formula>
    </cfRule>
  </conditionalFormatting>
  <conditionalFormatting sqref="AE1650">
    <cfRule type="cellIs" dxfId="5240" priority="9001" stopIfTrue="1" operator="between">
      <formula>-0.15</formula>
      <formula>-0.0001</formula>
    </cfRule>
  </conditionalFormatting>
  <conditionalFormatting sqref="AH1650:AI1650">
    <cfRule type="cellIs" dxfId="5239" priority="9000" stopIfTrue="1" operator="between">
      <formula>-0.15</formula>
      <formula>0.005</formula>
    </cfRule>
  </conditionalFormatting>
  <conditionalFormatting sqref="N1649">
    <cfRule type="cellIs" dxfId="5238" priority="8985" stopIfTrue="1" operator="between">
      <formula>-350</formula>
      <formula>-1</formula>
    </cfRule>
  </conditionalFormatting>
  <conditionalFormatting sqref="AE303">
    <cfRule type="cellIs" dxfId="5237" priority="9036" stopIfTrue="1" operator="between">
      <formula>-0.15</formula>
      <formula>-0.0001</formula>
    </cfRule>
  </conditionalFormatting>
  <conditionalFormatting sqref="AH303:AI303">
    <cfRule type="cellIs" dxfId="5236" priority="9035" stopIfTrue="1" operator="between">
      <formula>-0.15</formula>
      <formula>0.005</formula>
    </cfRule>
  </conditionalFormatting>
  <conditionalFormatting sqref="AE1649">
    <cfRule type="cellIs" dxfId="5235" priority="8987" stopIfTrue="1" operator="between">
      <formula>-0.15</formula>
      <formula>-0.0001</formula>
    </cfRule>
  </conditionalFormatting>
  <conditionalFormatting sqref="AH1649:AI1649">
    <cfRule type="cellIs" dxfId="5234" priority="8986" stopIfTrue="1" operator="between">
      <formula>-0.15</formula>
      <formula>0.005</formula>
    </cfRule>
  </conditionalFormatting>
  <conditionalFormatting sqref="N1189">
    <cfRule type="cellIs" dxfId="5233" priority="8765" stopIfTrue="1" operator="between">
      <formula>-350</formula>
      <formula>-1</formula>
    </cfRule>
  </conditionalFormatting>
  <conditionalFormatting sqref="N1192">
    <cfRule type="cellIs" dxfId="5232" priority="8766" stopIfTrue="1" operator="between">
      <formula>-350</formula>
      <formula>-1</formula>
    </cfRule>
  </conditionalFormatting>
  <conditionalFormatting sqref="AE1189 AE1192">
    <cfRule type="cellIs" dxfId="5231" priority="8768" stopIfTrue="1" operator="between">
      <formula>-0.15</formula>
      <formula>-0.0001</formula>
    </cfRule>
  </conditionalFormatting>
  <conditionalFormatting sqref="AH1189:AI1189 AH1192:AI1192">
    <cfRule type="cellIs" dxfId="5230" priority="8767" stopIfTrue="1" operator="between">
      <formula>-0.15</formula>
      <formula>0.005</formula>
    </cfRule>
  </conditionalFormatting>
  <conditionalFormatting sqref="AE1219:AE1220">
    <cfRule type="cellIs" dxfId="5229" priority="8758" stopIfTrue="1" operator="between">
      <formula>-0.15</formula>
      <formula>-0.0001</formula>
    </cfRule>
  </conditionalFormatting>
  <conditionalFormatting sqref="AH1219:AI1220">
    <cfRule type="cellIs" dxfId="5228" priority="8757" stopIfTrue="1" operator="between">
      <formula>-0.15</formula>
      <formula>0.005</formula>
    </cfRule>
  </conditionalFormatting>
  <conditionalFormatting sqref="N1219">
    <cfRule type="cellIs" dxfId="5227" priority="8755" stopIfTrue="1" operator="between">
      <formula>-350</formula>
      <formula>-1</formula>
    </cfRule>
  </conditionalFormatting>
  <conditionalFormatting sqref="N1651">
    <cfRule type="cellIs" dxfId="5226" priority="8680" stopIfTrue="1" operator="between">
      <formula>-350</formula>
      <formula>-1</formula>
    </cfRule>
  </conditionalFormatting>
  <conditionalFormatting sqref="AE1651">
    <cfRule type="cellIs" dxfId="5225" priority="8682" stopIfTrue="1" operator="between">
      <formula>-0.15</formula>
      <formula>-0.0001</formula>
    </cfRule>
  </conditionalFormatting>
  <conditionalFormatting sqref="AH1651:AI1651">
    <cfRule type="cellIs" dxfId="5224" priority="8681" stopIfTrue="1" operator="between">
      <formula>-0.15</formula>
      <formula>0.005</formula>
    </cfRule>
  </conditionalFormatting>
  <conditionalFormatting sqref="N1652">
    <cfRule type="cellIs" dxfId="5223" priority="8677" stopIfTrue="1" operator="between">
      <formula>-350</formula>
      <formula>-1</formula>
    </cfRule>
  </conditionalFormatting>
  <conditionalFormatting sqref="AE1652">
    <cfRule type="cellIs" dxfId="5222" priority="8679" stopIfTrue="1" operator="between">
      <formula>-0.15</formula>
      <formula>-0.0001</formula>
    </cfRule>
  </conditionalFormatting>
  <conditionalFormatting sqref="AH1652:AI1652">
    <cfRule type="cellIs" dxfId="5221" priority="8678" stopIfTrue="1" operator="between">
      <formula>-0.15</formula>
      <formula>0.005</formula>
    </cfRule>
  </conditionalFormatting>
  <conditionalFormatting sqref="AE86">
    <cfRule type="cellIs" dxfId="5220" priority="8640" stopIfTrue="1" operator="between">
      <formula>-0.15</formula>
      <formula>-0.0001</formula>
    </cfRule>
  </conditionalFormatting>
  <conditionalFormatting sqref="N479">
    <cfRule type="cellIs" dxfId="5219" priority="8652" stopIfTrue="1" operator="between">
      <formula>-350</formula>
      <formula>-1</formula>
    </cfRule>
  </conditionalFormatting>
  <conditionalFormatting sqref="AE1653">
    <cfRule type="cellIs" dxfId="5218" priority="8684" stopIfTrue="1" operator="between">
      <formula>-0.15</formula>
      <formula>-0.0001</formula>
    </cfRule>
  </conditionalFormatting>
  <conditionalFormatting sqref="AH1653:AI1653">
    <cfRule type="cellIs" dxfId="5217" priority="8683" stopIfTrue="1" operator="between">
      <formula>-0.15</formula>
      <formula>0.005</formula>
    </cfRule>
  </conditionalFormatting>
  <conditionalFormatting sqref="AE1453">
    <cfRule type="cellIs" dxfId="5216" priority="8612" stopIfTrue="1" operator="between">
      <formula>-0.15</formula>
      <formula>-0.0001</formula>
    </cfRule>
  </conditionalFormatting>
  <conditionalFormatting sqref="N86">
    <cfRule type="cellIs" dxfId="5215" priority="8639" stopIfTrue="1" operator="between">
      <formula>-350</formula>
      <formula>-1</formula>
    </cfRule>
  </conditionalFormatting>
  <conditionalFormatting sqref="AE479">
    <cfRule type="cellIs" dxfId="5214" priority="8651" stopIfTrue="1" operator="between">
      <formula>-0.15</formula>
      <formula>-0.0001</formula>
    </cfRule>
  </conditionalFormatting>
  <conditionalFormatting sqref="AH479:AI479">
    <cfRule type="cellIs" dxfId="5213" priority="8650" stopIfTrue="1" operator="between">
      <formula>-0.15</formula>
      <formula>0.005</formula>
    </cfRule>
  </conditionalFormatting>
  <conditionalFormatting sqref="N87">
    <cfRule type="cellIs" dxfId="5212" priority="8643" stopIfTrue="1" operator="between">
      <formula>-350</formula>
      <formula>-1</formula>
    </cfRule>
  </conditionalFormatting>
  <conditionalFormatting sqref="AH86:AI86">
    <cfRule type="cellIs" dxfId="5211" priority="8638" stopIfTrue="1" operator="between">
      <formula>-0.15</formula>
      <formula>0.005</formula>
    </cfRule>
  </conditionalFormatting>
  <conditionalFormatting sqref="AH87:AI87">
    <cfRule type="cellIs" dxfId="5210" priority="8641" stopIfTrue="1" operator="between">
      <formula>-0.15</formula>
      <formula>0.005</formula>
    </cfRule>
  </conditionalFormatting>
  <conditionalFormatting sqref="AE1667">
    <cfRule type="cellIs" dxfId="5209" priority="8552" stopIfTrue="1" operator="between">
      <formula>-0.15</formula>
      <formula>-0.0001</formula>
    </cfRule>
  </conditionalFormatting>
  <conditionalFormatting sqref="AH1453:AI1453">
    <cfRule type="cellIs" dxfId="5208" priority="8611" stopIfTrue="1" operator="between">
      <formula>-0.15</formula>
      <formula>0.005</formula>
    </cfRule>
  </conditionalFormatting>
  <conditionalFormatting sqref="N1453">
    <cfRule type="cellIs" dxfId="5207" priority="8610" stopIfTrue="1" operator="between">
      <formula>-350</formula>
      <formula>-1</formula>
    </cfRule>
  </conditionalFormatting>
  <conditionalFormatting sqref="AE87">
    <cfRule type="cellIs" dxfId="5206" priority="8642" stopIfTrue="1" operator="between">
      <formula>-0.15</formula>
      <formula>-0.0001</formula>
    </cfRule>
  </conditionalFormatting>
  <conditionalFormatting sqref="AH1460:AI1460">
    <cfRule type="cellIs" dxfId="5205" priority="8613" stopIfTrue="1" operator="between">
      <formula>-0.15</formula>
      <formula>0.005</formula>
    </cfRule>
  </conditionalFormatting>
  <conditionalFormatting sqref="AE1460">
    <cfRule type="cellIs" dxfId="5204" priority="8614" stopIfTrue="1" operator="between">
      <formula>-0.15</formula>
      <formula>-0.0001</formula>
    </cfRule>
  </conditionalFormatting>
  <conditionalFormatting sqref="AH1667:AI1667">
    <cfRule type="cellIs" dxfId="5203" priority="8551" stopIfTrue="1" operator="between">
      <formula>-0.15</formula>
      <formula>0.005</formula>
    </cfRule>
  </conditionalFormatting>
  <conditionalFormatting sqref="AH1655:AI1655">
    <cfRule type="cellIs" dxfId="5202" priority="8559" stopIfTrue="1" operator="between">
      <formula>-0.15</formula>
      <formula>0.005</formula>
    </cfRule>
  </conditionalFormatting>
  <conditionalFormatting sqref="AE1655">
    <cfRule type="cellIs" dxfId="5201" priority="8560" stopIfTrue="1" operator="between">
      <formula>-0.15</formula>
      <formula>-0.0001</formula>
    </cfRule>
  </conditionalFormatting>
  <conditionalFormatting sqref="N1654">
    <cfRule type="cellIs" dxfId="5200" priority="8556" stopIfTrue="1" operator="between">
      <formula>-350</formula>
      <formula>-1</formula>
    </cfRule>
  </conditionalFormatting>
  <conditionalFormatting sqref="AE1654">
    <cfRule type="cellIs" dxfId="5199" priority="8558" stopIfTrue="1" operator="between">
      <formula>-0.15</formula>
      <formula>-0.0001</formula>
    </cfRule>
  </conditionalFormatting>
  <conditionalFormatting sqref="AH1654:AI1654">
    <cfRule type="cellIs" dxfId="5198" priority="8557" stopIfTrue="1" operator="between">
      <formula>-0.15</formula>
      <formula>0.005</formula>
    </cfRule>
  </conditionalFormatting>
  <conditionalFormatting sqref="AH1666:AI1666">
    <cfRule type="cellIs" dxfId="5197" priority="8546" stopIfTrue="1" operator="between">
      <formula>-0.15</formula>
      <formula>0.005</formula>
    </cfRule>
  </conditionalFormatting>
  <conditionalFormatting sqref="N1666">
    <cfRule type="cellIs" dxfId="5196" priority="8545" stopIfTrue="1" operator="between">
      <formula>-350</formula>
      <formula>-1</formula>
    </cfRule>
  </conditionalFormatting>
  <conditionalFormatting sqref="AE1666">
    <cfRule type="cellIs" dxfId="5195" priority="8547" stopIfTrue="1" operator="between">
      <formula>-0.15</formula>
      <formula>-0.0001</formula>
    </cfRule>
  </conditionalFormatting>
  <conditionalFormatting sqref="AE1662">
    <cfRule type="cellIs" dxfId="5194" priority="8550" stopIfTrue="1" operator="between">
      <formula>-0.15</formula>
      <formula>-0.0001</formula>
    </cfRule>
  </conditionalFormatting>
  <conditionalFormatting sqref="AH1662:AI1662">
    <cfRule type="cellIs" dxfId="5193" priority="8549" stopIfTrue="1" operator="between">
      <formula>-0.15</formula>
      <formula>0.005</formula>
    </cfRule>
  </conditionalFormatting>
  <conditionalFormatting sqref="N1662">
    <cfRule type="cellIs" dxfId="5192" priority="8548" stopIfTrue="1" operator="between">
      <formula>-350</formula>
      <formula>-1</formula>
    </cfRule>
  </conditionalFormatting>
  <conditionalFormatting sqref="N298">
    <cfRule type="cellIs" dxfId="5191" priority="8459" stopIfTrue="1" operator="between">
      <formula>-350</formula>
      <formula>-1</formula>
    </cfRule>
  </conditionalFormatting>
  <conditionalFormatting sqref="AE1671">
    <cfRule type="cellIs" dxfId="5190" priority="8490" stopIfTrue="1" operator="between">
      <formula>-0.15</formula>
      <formula>-0.0001</formula>
    </cfRule>
  </conditionalFormatting>
  <conditionalFormatting sqref="AH1671:AI1671">
    <cfRule type="cellIs" dxfId="5189" priority="8489" stopIfTrue="1" operator="between">
      <formula>-0.15</formula>
      <formula>0.005</formula>
    </cfRule>
  </conditionalFormatting>
  <conditionalFormatting sqref="AE2199:AE2200">
    <cfRule type="cellIs" dxfId="5188" priority="8404" stopIfTrue="1" operator="between">
      <formula>-0.15</formula>
      <formula>-0.0001</formula>
    </cfRule>
  </conditionalFormatting>
  <conditionalFormatting sqref="AE1673">
    <cfRule type="cellIs" dxfId="5187" priority="8492" stopIfTrue="1" operator="between">
      <formula>-0.15</formula>
      <formula>-0.0001</formula>
    </cfRule>
  </conditionalFormatting>
  <conditionalFormatting sqref="AH1673:AI1673">
    <cfRule type="cellIs" dxfId="5186" priority="8491" stopIfTrue="1" operator="between">
      <formula>-0.15</formula>
      <formula>0.005</formula>
    </cfRule>
  </conditionalFormatting>
  <conditionalFormatting sqref="N1671">
    <cfRule type="cellIs" dxfId="5185" priority="8488" stopIfTrue="1" operator="between">
      <formula>-350</formula>
      <formula>-1</formula>
    </cfRule>
  </conditionalFormatting>
  <conditionalFormatting sqref="AE1672">
    <cfRule type="cellIs" dxfId="5184" priority="8487" stopIfTrue="1" operator="between">
      <formula>-0.15</formula>
      <formula>-0.0001</formula>
    </cfRule>
  </conditionalFormatting>
  <conditionalFormatting sqref="AH1672:AI1672">
    <cfRule type="cellIs" dxfId="5183" priority="8486" stopIfTrue="1" operator="between">
      <formula>-0.15</formula>
      <formula>0.005</formula>
    </cfRule>
  </conditionalFormatting>
  <conditionalFormatting sqref="N1672">
    <cfRule type="cellIs" dxfId="5182" priority="8485" stopIfTrue="1" operator="between">
      <formula>-350</formula>
      <formula>-1</formula>
    </cfRule>
  </conditionalFormatting>
  <conditionalFormatting sqref="AE299">
    <cfRule type="cellIs" dxfId="5181" priority="8463" stopIfTrue="1" operator="between">
      <formula>-0.15</formula>
      <formula>-0.0001</formula>
    </cfRule>
  </conditionalFormatting>
  <conditionalFormatting sqref="AH2199:AI2200">
    <cfRule type="cellIs" dxfId="5180" priority="8403" stopIfTrue="1" operator="between">
      <formula>-0.15</formula>
      <formula>0.005</formula>
    </cfRule>
  </conditionalFormatting>
  <conditionalFormatting sqref="N2199">
    <cfRule type="cellIs" dxfId="5179" priority="8402" stopIfTrue="1" operator="between">
      <formula>-350</formula>
      <formula>-1</formula>
    </cfRule>
  </conditionalFormatting>
  <conditionalFormatting sqref="AH299:AI299">
    <cfRule type="cellIs" dxfId="5178" priority="8462" stopIfTrue="1" operator="between">
      <formula>-0.15</formula>
      <formula>0.005</formula>
    </cfRule>
  </conditionalFormatting>
  <conditionalFormatting sqref="AE298">
    <cfRule type="cellIs" dxfId="5177" priority="8461" stopIfTrue="1" operator="between">
      <formula>-0.15</formula>
      <formula>-0.0001</formula>
    </cfRule>
  </conditionalFormatting>
  <conditionalFormatting sqref="AH298:AI298">
    <cfRule type="cellIs" dxfId="5176" priority="8460" stopIfTrue="1" operator="between">
      <formula>-0.15</formula>
      <formula>0.005</formula>
    </cfRule>
  </conditionalFormatting>
  <conditionalFormatting sqref="AE2205:AE2206">
    <cfRule type="cellIs" dxfId="5175" priority="8369" stopIfTrue="1" operator="between">
      <formula>-0.15</formula>
      <formula>-0.0001</formula>
    </cfRule>
  </conditionalFormatting>
  <conditionalFormatting sqref="AH2205:AI2206">
    <cfRule type="cellIs" dxfId="5174" priority="8368" stopIfTrue="1" operator="between">
      <formula>-0.15</formula>
      <formula>0.005</formula>
    </cfRule>
  </conditionalFormatting>
  <conditionalFormatting sqref="N2205">
    <cfRule type="cellIs" dxfId="5173" priority="8367" stopIfTrue="1" operator="between">
      <formula>-350</formula>
      <formula>-1</formula>
    </cfRule>
  </conditionalFormatting>
  <conditionalFormatting sqref="AE467">
    <cfRule type="cellIs" dxfId="5172" priority="8315" stopIfTrue="1" operator="between">
      <formula>-0.15</formula>
      <formula>-0.0001</formula>
    </cfRule>
  </conditionalFormatting>
  <conditionalFormatting sqref="AH467:AI467">
    <cfRule type="cellIs" dxfId="5171" priority="8314" stopIfTrue="1" operator="between">
      <formula>-0.15</formula>
      <formula>0.005</formula>
    </cfRule>
  </conditionalFormatting>
  <conditionalFormatting sqref="N467">
    <cfRule type="cellIs" dxfId="5170" priority="8313" stopIfTrue="1" operator="between">
      <formula>-350</formula>
      <formula>-1</formula>
    </cfRule>
  </conditionalFormatting>
  <conditionalFormatting sqref="N632">
    <cfRule type="cellIs" dxfId="5169" priority="8300" stopIfTrue="1" operator="between">
      <formula>-350</formula>
      <formula>-1</formula>
    </cfRule>
  </conditionalFormatting>
  <conditionalFormatting sqref="N470">
    <cfRule type="cellIs" dxfId="5168" priority="8307" stopIfTrue="1" operator="between">
      <formula>-350</formula>
      <formula>-1</formula>
    </cfRule>
  </conditionalFormatting>
  <conditionalFormatting sqref="AE470">
    <cfRule type="cellIs" dxfId="5167" priority="8309" stopIfTrue="1" operator="between">
      <formula>-0.15</formula>
      <formula>-0.0001</formula>
    </cfRule>
  </conditionalFormatting>
  <conditionalFormatting sqref="AH470:AI470">
    <cfRule type="cellIs" dxfId="5166" priority="8308" stopIfTrue="1" operator="between">
      <formula>-0.15</formula>
      <formula>0.005</formula>
    </cfRule>
  </conditionalFormatting>
  <conditionalFormatting sqref="AE2253:AE2254">
    <cfRule type="cellIs" dxfId="5165" priority="8306" stopIfTrue="1" operator="between">
      <formula>-0.15</formula>
      <formula>-0.0001</formula>
    </cfRule>
  </conditionalFormatting>
  <conditionalFormatting sqref="AH2253:AI2254">
    <cfRule type="cellIs" dxfId="5164" priority="8305" stopIfTrue="1" operator="between">
      <formula>-0.15</formula>
      <formula>0.005</formula>
    </cfRule>
  </conditionalFormatting>
  <conditionalFormatting sqref="N2253">
    <cfRule type="cellIs" dxfId="5163" priority="8304" stopIfTrue="1" operator="between">
      <formula>-350</formula>
      <formula>-1</formula>
    </cfRule>
  </conditionalFormatting>
  <conditionalFormatting sqref="AE492">
    <cfRule type="cellIs" dxfId="5162" priority="8303" stopIfTrue="1" operator="between">
      <formula>-0.15</formula>
      <formula>-0.0001</formula>
    </cfRule>
  </conditionalFormatting>
  <conditionalFormatting sqref="AH492:AI492">
    <cfRule type="cellIs" dxfId="5161" priority="8302" stopIfTrue="1" operator="between">
      <formula>-0.15</formula>
      <formula>0.005</formula>
    </cfRule>
  </conditionalFormatting>
  <conditionalFormatting sqref="N492">
    <cfRule type="cellIs" dxfId="5160" priority="8301" stopIfTrue="1" operator="between">
      <formula>-350</formula>
      <formula>-1</formula>
    </cfRule>
  </conditionalFormatting>
  <conditionalFormatting sqref="AE632">
    <cfRule type="cellIs" dxfId="5159" priority="8299" stopIfTrue="1" operator="between">
      <formula>-0.15</formula>
      <formula>-0.0001</formula>
    </cfRule>
  </conditionalFormatting>
  <conditionalFormatting sqref="AH632:AI632">
    <cfRule type="cellIs" dxfId="5158" priority="8298" stopIfTrue="1" operator="between">
      <formula>-0.15</formula>
      <formula>0.005</formula>
    </cfRule>
  </conditionalFormatting>
  <conditionalFormatting sqref="AE375">
    <cfRule type="cellIs" dxfId="5157" priority="8278" stopIfTrue="1" operator="between">
      <formula>-0.15</formula>
      <formula>-0.0001</formula>
    </cfRule>
  </conditionalFormatting>
  <conditionalFormatting sqref="AH375:AI375">
    <cfRule type="cellIs" dxfId="5156" priority="8277" stopIfTrue="1" operator="between">
      <formula>-0.15</formula>
      <formula>0.005</formula>
    </cfRule>
  </conditionalFormatting>
  <conditionalFormatting sqref="AE374">
    <cfRule type="cellIs" dxfId="5155" priority="8276" stopIfTrue="1" operator="between">
      <formula>-0.15</formula>
      <formula>-0.0001</formula>
    </cfRule>
  </conditionalFormatting>
  <conditionalFormatting sqref="AH374:AI374">
    <cfRule type="cellIs" dxfId="5154" priority="8275" stopIfTrue="1" operator="between">
      <formula>-0.15</formula>
      <formula>0.005</formula>
    </cfRule>
  </conditionalFormatting>
  <conditionalFormatting sqref="N374">
    <cfRule type="cellIs" dxfId="5153" priority="8274" stopIfTrue="1" operator="between">
      <formula>-350</formula>
      <formula>-1</formula>
    </cfRule>
  </conditionalFormatting>
  <conditionalFormatting sqref="AE1084">
    <cfRule type="cellIs" dxfId="5152" priority="8236" stopIfTrue="1" operator="between">
      <formula>-0.15</formula>
      <formula>-0.0001</formula>
    </cfRule>
  </conditionalFormatting>
  <conditionalFormatting sqref="AH1677:AI1677">
    <cfRule type="cellIs" dxfId="5151" priority="8211" stopIfTrue="1" operator="between">
      <formula>-0.15</formula>
      <formula>0.005</formula>
    </cfRule>
  </conditionalFormatting>
  <conditionalFormatting sqref="AE1674">
    <cfRule type="cellIs" dxfId="5150" priority="8210" stopIfTrue="1" operator="between">
      <formula>-0.15</formula>
      <formula>-0.0001</formula>
    </cfRule>
  </conditionalFormatting>
  <conditionalFormatting sqref="AH1674:AI1674">
    <cfRule type="cellIs" dxfId="5149" priority="8209" stopIfTrue="1" operator="between">
      <formula>-0.15</formula>
      <formula>0.005</formula>
    </cfRule>
  </conditionalFormatting>
  <conditionalFormatting sqref="N1674">
    <cfRule type="cellIs" dxfId="5148" priority="8208" stopIfTrue="1" operator="between">
      <formula>-350</formula>
      <formula>-1</formula>
    </cfRule>
  </conditionalFormatting>
  <conditionalFormatting sqref="AE1677">
    <cfRule type="cellIs" dxfId="5147" priority="8212" stopIfTrue="1" operator="between">
      <formula>-0.15</formula>
      <formula>-0.0001</formula>
    </cfRule>
  </conditionalFormatting>
  <conditionalFormatting sqref="N1675">
    <cfRule type="cellIs" dxfId="5146" priority="8196" stopIfTrue="1" operator="between">
      <formula>-350</formula>
      <formula>-1</formula>
    </cfRule>
  </conditionalFormatting>
  <conditionalFormatting sqref="AH1083:AI1083">
    <cfRule type="cellIs" dxfId="5145" priority="8232" stopIfTrue="1" operator="between">
      <formula>-0.15</formula>
      <formula>0.005</formula>
    </cfRule>
  </conditionalFormatting>
  <conditionalFormatting sqref="N1083">
    <cfRule type="cellIs" dxfId="5144" priority="8234" stopIfTrue="1" operator="between">
      <formula>-350</formula>
      <formula>-1</formula>
    </cfRule>
  </conditionalFormatting>
  <conditionalFormatting sqref="AE1083">
    <cfRule type="cellIs" dxfId="5143" priority="8233" stopIfTrue="1" operator="between">
      <formula>-0.15</formula>
      <formula>-0.0001</formula>
    </cfRule>
  </conditionalFormatting>
  <conditionalFormatting sqref="AH1084:AI1084">
    <cfRule type="cellIs" dxfId="5142" priority="8235" stopIfTrue="1" operator="between">
      <formula>-0.15</formula>
      <formula>0.005</formula>
    </cfRule>
  </conditionalFormatting>
  <conditionalFormatting sqref="AE1675">
    <cfRule type="cellIs" dxfId="5141" priority="8198" stopIfTrue="1" operator="between">
      <formula>-0.15</formula>
      <formula>-0.0001</formula>
    </cfRule>
  </conditionalFormatting>
  <conditionalFormatting sqref="AH1675:AI1675">
    <cfRule type="cellIs" dxfId="5140" priority="8197" stopIfTrue="1" operator="between">
      <formula>-0.15</formula>
      <formula>0.005</formula>
    </cfRule>
  </conditionalFormatting>
  <conditionalFormatting sqref="N1676">
    <cfRule type="cellIs" dxfId="5139" priority="8193" stopIfTrue="1" operator="between">
      <formula>-350</formula>
      <formula>-1</formula>
    </cfRule>
  </conditionalFormatting>
  <conditionalFormatting sqref="AE1085">
    <cfRule type="cellIs" dxfId="5138" priority="8214" stopIfTrue="1" operator="between">
      <formula>-0.15</formula>
      <formula>-0.0001</formula>
    </cfRule>
  </conditionalFormatting>
  <conditionalFormatting sqref="AH1085:AI1085">
    <cfRule type="cellIs" dxfId="5137" priority="8213" stopIfTrue="1" operator="between">
      <formula>-0.15</formula>
      <formula>0.005</formula>
    </cfRule>
  </conditionalFormatting>
  <conditionalFormatting sqref="N1085">
    <cfRule type="cellIs" dxfId="5136" priority="8215" stopIfTrue="1" operator="between">
      <formula>-350</formula>
      <formula>-1</formula>
    </cfRule>
  </conditionalFormatting>
  <conditionalFormatting sqref="AE1086">
    <cfRule type="cellIs" dxfId="5135" priority="8217" stopIfTrue="1" operator="between">
      <formula>-0.15</formula>
      <formula>-0.0001</formula>
    </cfRule>
  </conditionalFormatting>
  <conditionalFormatting sqref="AH1086:AI1086">
    <cfRule type="cellIs" dxfId="5134" priority="8216" stopIfTrue="1" operator="between">
      <formula>-0.15</formula>
      <formula>0.005</formula>
    </cfRule>
  </conditionalFormatting>
  <conditionalFormatting sqref="AE1676">
    <cfRule type="cellIs" dxfId="5133" priority="8195" stopIfTrue="1" operator="between">
      <formula>-0.15</formula>
      <formula>-0.0001</formula>
    </cfRule>
  </conditionalFormatting>
  <conditionalFormatting sqref="AH1676:AI1676">
    <cfRule type="cellIs" dxfId="5132" priority="8194" stopIfTrue="1" operator="between">
      <formula>-0.15</formula>
      <formula>0.005</formula>
    </cfRule>
  </conditionalFormatting>
  <conditionalFormatting sqref="AE308">
    <cfRule type="cellIs" dxfId="5131" priority="8164" stopIfTrue="1" operator="between">
      <formula>-0.15</formula>
      <formula>-0.0001</formula>
    </cfRule>
  </conditionalFormatting>
  <conditionalFormatting sqref="AH308:AI308">
    <cfRule type="cellIs" dxfId="5130" priority="8163" stopIfTrue="1" operator="between">
      <formula>-0.15</formula>
      <formula>0.005</formula>
    </cfRule>
  </conditionalFormatting>
  <conditionalFormatting sqref="AE307">
    <cfRule type="cellIs" dxfId="5129" priority="8162" stopIfTrue="1" operator="between">
      <formula>-0.15</formula>
      <formula>-0.0001</formula>
    </cfRule>
  </conditionalFormatting>
  <conditionalFormatting sqref="AH307:AI307">
    <cfRule type="cellIs" dxfId="5128" priority="8161" stopIfTrue="1" operator="between">
      <formula>-0.15</formula>
      <formula>0.005</formula>
    </cfRule>
  </conditionalFormatting>
  <conditionalFormatting sqref="N307">
    <cfRule type="cellIs" dxfId="5127" priority="8160" stopIfTrue="1" operator="between">
      <formula>-350</formula>
      <formula>-1</formula>
    </cfRule>
  </conditionalFormatting>
  <conditionalFormatting sqref="AE500">
    <cfRule type="cellIs" dxfId="5126" priority="8148" stopIfTrue="1" operator="between">
      <formula>-0.15</formula>
      <formula>-0.0001</formula>
    </cfRule>
  </conditionalFormatting>
  <conditionalFormatting sqref="AH500:AI500">
    <cfRule type="cellIs" dxfId="5125" priority="8147" stopIfTrue="1" operator="between">
      <formula>-0.15</formula>
      <formula>0.005</formula>
    </cfRule>
  </conditionalFormatting>
  <conditionalFormatting sqref="N498">
    <cfRule type="cellIs" dxfId="5124" priority="8146" stopIfTrue="1" operator="between">
      <formula>-350</formula>
      <formula>-1</formula>
    </cfRule>
  </conditionalFormatting>
  <conditionalFormatting sqref="AE498">
    <cfRule type="cellIs" dxfId="5123" priority="8145" stopIfTrue="1" operator="between">
      <formula>-0.15</formula>
      <formula>-0.0001</formula>
    </cfRule>
  </conditionalFormatting>
  <conditionalFormatting sqref="AH498:AI498">
    <cfRule type="cellIs" dxfId="5122" priority="8144" stopIfTrue="1" operator="between">
      <formula>-0.15</formula>
      <formula>0.005</formula>
    </cfRule>
  </conditionalFormatting>
  <conditionalFormatting sqref="AE499">
    <cfRule type="cellIs" dxfId="5121" priority="8143" stopIfTrue="1" operator="between">
      <formula>-0.15</formula>
      <formula>-0.0001</formula>
    </cfRule>
  </conditionalFormatting>
  <conditionalFormatting sqref="AH499:AI499">
    <cfRule type="cellIs" dxfId="5120" priority="8142" stopIfTrue="1" operator="between">
      <formula>-0.15</formula>
      <formula>0.005</formula>
    </cfRule>
  </conditionalFormatting>
  <conditionalFormatting sqref="N499">
    <cfRule type="cellIs" dxfId="5119" priority="8141" stopIfTrue="1" operator="between">
      <formula>-350</formula>
      <formula>-1</formula>
    </cfRule>
  </conditionalFormatting>
  <conditionalFormatting sqref="AE459">
    <cfRule type="cellIs" dxfId="5118" priority="8137" stopIfTrue="1" operator="between">
      <formula>-0.15</formula>
      <formula>-0.0001</formula>
    </cfRule>
  </conditionalFormatting>
  <conditionalFormatting sqref="AH459:AI459">
    <cfRule type="cellIs" dxfId="5117" priority="8136" stopIfTrue="1" operator="between">
      <formula>-0.15</formula>
      <formula>0.005</formula>
    </cfRule>
  </conditionalFormatting>
  <conditionalFormatting sqref="AE456">
    <cfRule type="cellIs" dxfId="5116" priority="8135" stopIfTrue="1" operator="between">
      <formula>-0.15</formula>
      <formula>-0.0001</formula>
    </cfRule>
  </conditionalFormatting>
  <conditionalFormatting sqref="AH456:AI456">
    <cfRule type="cellIs" dxfId="5115" priority="8134" stopIfTrue="1" operator="between">
      <formula>-0.15</formula>
      <formula>0.005</formula>
    </cfRule>
  </conditionalFormatting>
  <conditionalFormatting sqref="N456">
    <cfRule type="cellIs" dxfId="5114" priority="8133" stopIfTrue="1" operator="between">
      <formula>-350</formula>
      <formula>-1</formula>
    </cfRule>
  </conditionalFormatting>
  <conditionalFormatting sqref="AE523">
    <cfRule type="cellIs" dxfId="5113" priority="8073" stopIfTrue="1" operator="between">
      <formula>-0.15</formula>
      <formula>-0.0001</formula>
    </cfRule>
  </conditionalFormatting>
  <conditionalFormatting sqref="AH523:AI523">
    <cfRule type="cellIs" dxfId="5112" priority="8072" stopIfTrue="1" operator="between">
      <formula>-0.15</formula>
      <formula>0.005</formula>
    </cfRule>
  </conditionalFormatting>
  <conditionalFormatting sqref="AE533">
    <cfRule type="cellIs" dxfId="5111" priority="8098" stopIfTrue="1" operator="between">
      <formula>-0.15</formula>
      <formula>-0.0001</formula>
    </cfRule>
  </conditionalFormatting>
  <conditionalFormatting sqref="AH533:AI533">
    <cfRule type="cellIs" dxfId="5110" priority="8097" stopIfTrue="1" operator="between">
      <formula>-0.15</formula>
      <formula>0.005</formula>
    </cfRule>
  </conditionalFormatting>
  <conditionalFormatting sqref="AE526">
    <cfRule type="cellIs" dxfId="5109" priority="8084" stopIfTrue="1" operator="between">
      <formula>-0.15</formula>
      <formula>-0.0001</formula>
    </cfRule>
  </conditionalFormatting>
  <conditionalFormatting sqref="AH526:AI526">
    <cfRule type="cellIs" dxfId="5108" priority="8083" stopIfTrue="1" operator="between">
      <formula>-0.15</formula>
      <formula>0.005</formula>
    </cfRule>
  </conditionalFormatting>
  <conditionalFormatting sqref="N523">
    <cfRule type="cellIs" dxfId="5107" priority="8074" stopIfTrue="1" operator="between">
      <formula>-350</formula>
      <formula>-1</formula>
    </cfRule>
  </conditionalFormatting>
  <conditionalFormatting sqref="AE534">
    <cfRule type="cellIs" dxfId="5106" priority="8106" stopIfTrue="1" operator="between">
      <formula>-0.15</formula>
      <formula>-0.0001</formula>
    </cfRule>
  </conditionalFormatting>
  <conditionalFormatting sqref="AH534:AI534">
    <cfRule type="cellIs" dxfId="5105" priority="8105" stopIfTrue="1" operator="between">
      <formula>-0.15</formula>
      <formula>0.005</formula>
    </cfRule>
  </conditionalFormatting>
  <conditionalFormatting sqref="N532">
    <cfRule type="cellIs" dxfId="5104" priority="8104" stopIfTrue="1" operator="between">
      <formula>-350</formula>
      <formula>-1</formula>
    </cfRule>
  </conditionalFormatting>
  <conditionalFormatting sqref="AE532">
    <cfRule type="cellIs" dxfId="5103" priority="8103" stopIfTrue="1" operator="between">
      <formula>-0.15</formula>
      <formula>-0.0001</formula>
    </cfRule>
  </conditionalFormatting>
  <conditionalFormatting sqref="AH532:AI532">
    <cfRule type="cellIs" dxfId="5102" priority="8102" stopIfTrue="1" operator="between">
      <formula>-0.15</formula>
      <formula>0.005</formula>
    </cfRule>
  </conditionalFormatting>
  <conditionalFormatting sqref="N533">
    <cfRule type="cellIs" dxfId="5101" priority="8096" stopIfTrue="1" operator="between">
      <formula>-350</formula>
      <formula>-1</formula>
    </cfRule>
  </conditionalFormatting>
  <conditionalFormatting sqref="AE529">
    <cfRule type="cellIs" dxfId="5100" priority="8062" stopIfTrue="1" operator="between">
      <formula>-0.15</formula>
      <formula>-0.0001</formula>
    </cfRule>
  </conditionalFormatting>
  <conditionalFormatting sqref="AH529:AI529">
    <cfRule type="cellIs" dxfId="5099" priority="8061" stopIfTrue="1" operator="between">
      <formula>-0.15</formula>
      <formula>0.005</formula>
    </cfRule>
  </conditionalFormatting>
  <conditionalFormatting sqref="N529">
    <cfRule type="cellIs" dxfId="5098" priority="8063" stopIfTrue="1" operator="between">
      <formula>-350</formula>
      <formula>-1</formula>
    </cfRule>
  </conditionalFormatting>
  <conditionalFormatting sqref="AE528">
    <cfRule type="cellIs" dxfId="5097" priority="8087" stopIfTrue="1" operator="between">
      <formula>-0.15</formula>
      <formula>-0.0001</formula>
    </cfRule>
  </conditionalFormatting>
  <conditionalFormatting sqref="AH528:AI528">
    <cfRule type="cellIs" dxfId="5096" priority="8086" stopIfTrue="1" operator="between">
      <formula>-0.15</formula>
      <formula>0.005</formula>
    </cfRule>
  </conditionalFormatting>
  <conditionalFormatting sqref="N526">
    <cfRule type="cellIs" dxfId="5095" priority="8085" stopIfTrue="1" operator="between">
      <formula>-350</formula>
      <formula>-1</formula>
    </cfRule>
  </conditionalFormatting>
  <conditionalFormatting sqref="AE525">
    <cfRule type="cellIs" dxfId="5094" priority="8076" stopIfTrue="1" operator="between">
      <formula>-0.15</formula>
      <formula>-0.0001</formula>
    </cfRule>
  </conditionalFormatting>
  <conditionalFormatting sqref="AH525:AI525">
    <cfRule type="cellIs" dxfId="5093" priority="8075" stopIfTrue="1" operator="between">
      <formula>-0.15</formula>
      <formula>0.005</formula>
    </cfRule>
  </conditionalFormatting>
  <conditionalFormatting sqref="AE527">
    <cfRule type="cellIs" dxfId="5092" priority="8079" stopIfTrue="1" operator="between">
      <formula>-0.15</formula>
      <formula>-0.0001</formula>
    </cfRule>
  </conditionalFormatting>
  <conditionalFormatting sqref="AH527:AI527">
    <cfRule type="cellIs" dxfId="5091" priority="8078" stopIfTrue="1" operator="between">
      <formula>-0.15</formula>
      <formula>0.005</formula>
    </cfRule>
  </conditionalFormatting>
  <conditionalFormatting sqref="N527">
    <cfRule type="cellIs" dxfId="5090" priority="8077" stopIfTrue="1" operator="between">
      <formula>-350</formula>
      <formula>-1</formula>
    </cfRule>
  </conditionalFormatting>
  <conditionalFormatting sqref="AE524">
    <cfRule type="cellIs" dxfId="5089" priority="8068" stopIfTrue="1" operator="between">
      <formula>-0.15</formula>
      <formula>-0.0001</formula>
    </cfRule>
  </conditionalFormatting>
  <conditionalFormatting sqref="AH524:AI524">
    <cfRule type="cellIs" dxfId="5088" priority="8067" stopIfTrue="1" operator="between">
      <formula>-0.15</formula>
      <formula>0.005</formula>
    </cfRule>
  </conditionalFormatting>
  <conditionalFormatting sqref="N524">
    <cfRule type="cellIs" dxfId="5087" priority="8066" stopIfTrue="1" operator="between">
      <formula>-350</formula>
      <formula>-1</formula>
    </cfRule>
  </conditionalFormatting>
  <conditionalFormatting sqref="AE531">
    <cfRule type="cellIs" dxfId="5086" priority="8065" stopIfTrue="1" operator="between">
      <formula>-0.15</formula>
      <formula>-0.0001</formula>
    </cfRule>
  </conditionalFormatting>
  <conditionalFormatting sqref="AH531:AI531">
    <cfRule type="cellIs" dxfId="5085" priority="8064" stopIfTrue="1" operator="between">
      <formula>-0.15</formula>
      <formula>0.005</formula>
    </cfRule>
  </conditionalFormatting>
  <conditionalFormatting sqref="AE530">
    <cfRule type="cellIs" dxfId="5084" priority="8057" stopIfTrue="1" operator="between">
      <formula>-0.15</formula>
      <formula>-0.0001</formula>
    </cfRule>
  </conditionalFormatting>
  <conditionalFormatting sqref="AH530:AI530">
    <cfRule type="cellIs" dxfId="5083" priority="8056" stopIfTrue="1" operator="between">
      <formula>-0.15</formula>
      <formula>0.005</formula>
    </cfRule>
  </conditionalFormatting>
  <conditionalFormatting sqref="N530">
    <cfRule type="cellIs" dxfId="5082" priority="8055" stopIfTrue="1" operator="between">
      <formula>-350</formula>
      <formula>-1</formula>
    </cfRule>
  </conditionalFormatting>
  <conditionalFormatting sqref="AE309">
    <cfRule type="cellIs" dxfId="5081" priority="7986" stopIfTrue="1" operator="between">
      <formula>-0.15</formula>
      <formula>-0.0001</formula>
    </cfRule>
  </conditionalFormatting>
  <conditionalFormatting sqref="AH309:AI309">
    <cfRule type="cellIs" dxfId="5080" priority="7985" stopIfTrue="1" operator="between">
      <formula>-0.15</formula>
      <formula>0.005</formula>
    </cfRule>
  </conditionalFormatting>
  <conditionalFormatting sqref="N309">
    <cfRule type="cellIs" dxfId="5079" priority="7984" stopIfTrue="1" operator="between">
      <formula>-350</formula>
      <formula>-1</formula>
    </cfRule>
  </conditionalFormatting>
  <conditionalFormatting sqref="AE2207:AE2208">
    <cfRule type="cellIs" dxfId="5078" priority="8021" stopIfTrue="1" operator="between">
      <formula>-0.15</formula>
      <formula>-0.0001</formula>
    </cfRule>
  </conditionalFormatting>
  <conditionalFormatting sqref="AH2207:AI2208">
    <cfRule type="cellIs" dxfId="5077" priority="8020" stopIfTrue="1" operator="between">
      <formula>-0.15</formula>
      <formula>0.005</formula>
    </cfRule>
  </conditionalFormatting>
  <conditionalFormatting sqref="N2207">
    <cfRule type="cellIs" dxfId="5076" priority="8019" stopIfTrue="1" operator="between">
      <formula>-350</formula>
      <formula>-1</formula>
    </cfRule>
  </conditionalFormatting>
  <conditionalFormatting sqref="AE314">
    <cfRule type="cellIs" dxfId="5075" priority="7974" stopIfTrue="1" operator="between">
      <formula>-0.15</formula>
      <formula>-0.0001</formula>
    </cfRule>
  </conditionalFormatting>
  <conditionalFormatting sqref="AH314:AI314">
    <cfRule type="cellIs" dxfId="5074" priority="7973" stopIfTrue="1" operator="between">
      <formula>-0.15</formula>
      <formula>0.005</formula>
    </cfRule>
  </conditionalFormatting>
  <conditionalFormatting sqref="AE315">
    <cfRule type="cellIs" dxfId="5073" priority="7988" stopIfTrue="1" operator="between">
      <formula>-0.15</formula>
      <formula>-0.0001</formula>
    </cfRule>
  </conditionalFormatting>
  <conditionalFormatting sqref="AH315:AI315">
    <cfRule type="cellIs" dxfId="5072" priority="7987" stopIfTrue="1" operator="between">
      <formula>-0.15</formula>
      <formula>0.005</formula>
    </cfRule>
  </conditionalFormatting>
  <conditionalFormatting sqref="N314">
    <cfRule type="cellIs" dxfId="5071" priority="7972" stopIfTrue="1" operator="between">
      <formula>-350</formula>
      <formula>-1</formula>
    </cfRule>
  </conditionalFormatting>
  <conditionalFormatting sqref="AE247">
    <cfRule type="cellIs" dxfId="5070" priority="7951" stopIfTrue="1" operator="between">
      <formula>-0.15</formula>
      <formula>-0.0001</formula>
    </cfRule>
  </conditionalFormatting>
  <conditionalFormatting sqref="AH247:AI247">
    <cfRule type="cellIs" dxfId="5069" priority="7950" stopIfTrue="1" operator="between">
      <formula>-0.15</formula>
      <formula>0.005</formula>
    </cfRule>
  </conditionalFormatting>
  <conditionalFormatting sqref="N247">
    <cfRule type="cellIs" dxfId="5068" priority="7949" stopIfTrue="1" operator="between">
      <formula>-350</formula>
      <formula>-1</formula>
    </cfRule>
  </conditionalFormatting>
  <conditionalFormatting sqref="AE567">
    <cfRule type="cellIs" dxfId="5067" priority="7893" stopIfTrue="1" operator="between">
      <formula>-0.15</formula>
      <formula>-0.0001</formula>
    </cfRule>
  </conditionalFormatting>
  <conditionalFormatting sqref="AH567:AI567">
    <cfRule type="cellIs" dxfId="5066" priority="7892" stopIfTrue="1" operator="between">
      <formula>-0.15</formula>
      <formula>0.005</formula>
    </cfRule>
  </conditionalFormatting>
  <conditionalFormatting sqref="AE553">
    <cfRule type="cellIs" dxfId="5065" priority="7929" stopIfTrue="1" operator="between">
      <formula>-0.15</formula>
      <formula>-0.0001</formula>
    </cfRule>
  </conditionalFormatting>
  <conditionalFormatting sqref="AH553:AI553">
    <cfRule type="cellIs" dxfId="5064" priority="7928" stopIfTrue="1" operator="between">
      <formula>-0.15</formula>
      <formula>0.005</formula>
    </cfRule>
  </conditionalFormatting>
  <conditionalFormatting sqref="N553">
    <cfRule type="cellIs" dxfId="5063" priority="7927" stopIfTrue="1" operator="between">
      <formula>-350</formula>
      <formula>-1</formula>
    </cfRule>
  </conditionalFormatting>
  <conditionalFormatting sqref="AE570">
    <cfRule type="cellIs" dxfId="5062" priority="7904" stopIfTrue="1" operator="between">
      <formula>-0.15</formula>
      <formula>-0.0001</formula>
    </cfRule>
  </conditionalFormatting>
  <conditionalFormatting sqref="AH570:AI570">
    <cfRule type="cellIs" dxfId="5061" priority="7903" stopIfTrue="1" operator="between">
      <formula>-0.15</formula>
      <formula>0.005</formula>
    </cfRule>
  </conditionalFormatting>
  <conditionalFormatting sqref="AE555">
    <cfRule type="cellIs" dxfId="5060" priority="7937" stopIfTrue="1" operator="between">
      <formula>-0.15</formula>
      <formula>-0.0001</formula>
    </cfRule>
  </conditionalFormatting>
  <conditionalFormatting sqref="AH555:AI555">
    <cfRule type="cellIs" dxfId="5059" priority="7936" stopIfTrue="1" operator="between">
      <formula>-0.15</formula>
      <formula>0.005</formula>
    </cfRule>
  </conditionalFormatting>
  <conditionalFormatting sqref="N552">
    <cfRule type="cellIs" dxfId="5058" priority="7935" stopIfTrue="1" operator="between">
      <formula>-350</formula>
      <formula>-1</formula>
    </cfRule>
  </conditionalFormatting>
  <conditionalFormatting sqref="AE552">
    <cfRule type="cellIs" dxfId="5057" priority="7934" stopIfTrue="1" operator="between">
      <formula>-0.15</formula>
      <formula>-0.0001</formula>
    </cfRule>
  </conditionalFormatting>
  <conditionalFormatting sqref="AH552:AI552">
    <cfRule type="cellIs" dxfId="5056" priority="7933" stopIfTrue="1" operator="between">
      <formula>-0.15</formula>
      <formula>0.005</formula>
    </cfRule>
  </conditionalFormatting>
  <conditionalFormatting sqref="N567">
    <cfRule type="cellIs" dxfId="5055" priority="7891" stopIfTrue="1" operator="between">
      <formula>-350</formula>
      <formula>-1</formula>
    </cfRule>
  </conditionalFormatting>
  <conditionalFormatting sqref="AE554">
    <cfRule type="cellIs" dxfId="5054" priority="7926" stopIfTrue="1" operator="between">
      <formula>-0.15</formula>
      <formula>-0.0001</formula>
    </cfRule>
  </conditionalFormatting>
  <conditionalFormatting sqref="AH554:AI554">
    <cfRule type="cellIs" dxfId="5053" priority="7925" stopIfTrue="1" operator="between">
      <formula>-0.15</formula>
      <formula>0.005</formula>
    </cfRule>
  </conditionalFormatting>
  <conditionalFormatting sqref="N554">
    <cfRule type="cellIs" dxfId="5052" priority="7924" stopIfTrue="1" operator="between">
      <formula>-350</formula>
      <formula>-1</formula>
    </cfRule>
  </conditionalFormatting>
  <conditionalFormatting sqref="AE566">
    <cfRule type="cellIs" dxfId="5051" priority="7898" stopIfTrue="1" operator="between">
      <formula>-0.15</formula>
      <formula>-0.0001</formula>
    </cfRule>
  </conditionalFormatting>
  <conditionalFormatting sqref="AH566:AI566">
    <cfRule type="cellIs" dxfId="5050" priority="7897" stopIfTrue="1" operator="between">
      <formula>-0.15</formula>
      <formula>0.005</formula>
    </cfRule>
  </conditionalFormatting>
  <conditionalFormatting sqref="N563">
    <cfRule type="cellIs" dxfId="5049" priority="7888" stopIfTrue="1" operator="between">
      <formula>-350</formula>
      <formula>-1</formula>
    </cfRule>
  </conditionalFormatting>
  <conditionalFormatting sqref="AE563">
    <cfRule type="cellIs" dxfId="5048" priority="7887" stopIfTrue="1" operator="between">
      <formula>-0.15</formula>
      <formula>-0.0001</formula>
    </cfRule>
  </conditionalFormatting>
  <conditionalFormatting sqref="AH563:AI563">
    <cfRule type="cellIs" dxfId="5047" priority="7886" stopIfTrue="1" operator="between">
      <formula>-0.15</formula>
      <formula>0.005</formula>
    </cfRule>
  </conditionalFormatting>
  <conditionalFormatting sqref="AE565">
    <cfRule type="cellIs" dxfId="5046" priority="7890" stopIfTrue="1" operator="between">
      <formula>-0.15</formula>
      <formula>-0.0001</formula>
    </cfRule>
  </conditionalFormatting>
  <conditionalFormatting sqref="AH565:AI565">
    <cfRule type="cellIs" dxfId="5045" priority="7889" stopIfTrue="1" operator="between">
      <formula>-0.15</formula>
      <formula>0.005</formula>
    </cfRule>
  </conditionalFormatting>
  <conditionalFormatting sqref="N564">
    <cfRule type="cellIs" dxfId="5044" priority="7880" stopIfTrue="1" operator="between">
      <formula>-350</formula>
      <formula>-1</formula>
    </cfRule>
  </conditionalFormatting>
  <conditionalFormatting sqref="AE571">
    <cfRule type="cellIs" dxfId="5043" priority="7912" stopIfTrue="1" operator="between">
      <formula>-0.15</formula>
      <formula>-0.0001</formula>
    </cfRule>
  </conditionalFormatting>
  <conditionalFormatting sqref="AH571:AI571">
    <cfRule type="cellIs" dxfId="5042" priority="7911" stopIfTrue="1" operator="between">
      <formula>-0.15</formula>
      <formula>0.005</formula>
    </cfRule>
  </conditionalFormatting>
  <conditionalFormatting sqref="N569">
    <cfRule type="cellIs" dxfId="5041" priority="7910" stopIfTrue="1" operator="between">
      <formula>-350</formula>
      <formula>-1</formula>
    </cfRule>
  </conditionalFormatting>
  <conditionalFormatting sqref="AE569">
    <cfRule type="cellIs" dxfId="5040" priority="7909" stopIfTrue="1" operator="between">
      <formula>-0.15</formula>
      <formula>-0.0001</formula>
    </cfRule>
  </conditionalFormatting>
  <conditionalFormatting sqref="AH569:AI569">
    <cfRule type="cellIs" dxfId="5039" priority="7908" stopIfTrue="1" operator="between">
      <formula>-0.15</formula>
      <formula>0.005</formula>
    </cfRule>
  </conditionalFormatting>
  <conditionalFormatting sqref="N570">
    <cfRule type="cellIs" dxfId="5038" priority="7902" stopIfTrue="1" operator="between">
      <formula>-350</formula>
      <formula>-1</formula>
    </cfRule>
  </conditionalFormatting>
  <conditionalFormatting sqref="AE568">
    <cfRule type="cellIs" dxfId="5037" priority="7901" stopIfTrue="1" operator="between">
      <formula>-0.15</formula>
      <formula>-0.0001</formula>
    </cfRule>
  </conditionalFormatting>
  <conditionalFormatting sqref="AH568:AI568">
    <cfRule type="cellIs" dxfId="5036" priority="7900" stopIfTrue="1" operator="between">
      <formula>-0.15</formula>
      <formula>0.005</formula>
    </cfRule>
  </conditionalFormatting>
  <conditionalFormatting sqref="N566">
    <cfRule type="cellIs" dxfId="5035" priority="7899" stopIfTrue="1" operator="between">
      <formula>-350</formula>
      <formula>-1</formula>
    </cfRule>
  </conditionalFormatting>
  <conditionalFormatting sqref="AE564">
    <cfRule type="cellIs" dxfId="5034" priority="7882" stopIfTrue="1" operator="between">
      <formula>-0.15</formula>
      <formula>-0.0001</formula>
    </cfRule>
  </conditionalFormatting>
  <conditionalFormatting sqref="AH564:AI564">
    <cfRule type="cellIs" dxfId="5033" priority="7881" stopIfTrue="1" operator="between">
      <formula>-0.15</formula>
      <formula>0.005</formula>
    </cfRule>
  </conditionalFormatting>
  <conditionalFormatting sqref="AE543">
    <cfRule type="cellIs" dxfId="5032" priority="7879" stopIfTrue="1" operator="between">
      <formula>-0.15</formula>
      <formula>-0.0001</formula>
    </cfRule>
  </conditionalFormatting>
  <conditionalFormatting sqref="AH543:AI543">
    <cfRule type="cellIs" dxfId="5031" priority="7878" stopIfTrue="1" operator="between">
      <formula>-0.15</formula>
      <formula>0.005</formula>
    </cfRule>
  </conditionalFormatting>
  <conditionalFormatting sqref="N541">
    <cfRule type="cellIs" dxfId="5030" priority="7877" stopIfTrue="1" operator="between">
      <formula>-350</formula>
      <formula>-1</formula>
    </cfRule>
  </conditionalFormatting>
  <conditionalFormatting sqref="AE541">
    <cfRule type="cellIs" dxfId="5029" priority="7876" stopIfTrue="1" operator="between">
      <formula>-0.15</formula>
      <formula>-0.0001</formula>
    </cfRule>
  </conditionalFormatting>
  <conditionalFormatting sqref="AH541:AI541">
    <cfRule type="cellIs" dxfId="5028" priority="7875" stopIfTrue="1" operator="between">
      <formula>-0.15</formula>
      <formula>0.005</formula>
    </cfRule>
  </conditionalFormatting>
  <conditionalFormatting sqref="AE572">
    <cfRule type="cellIs" dxfId="5027" priority="7830" stopIfTrue="1" operator="between">
      <formula>-0.15</formula>
      <formula>-0.0001</formula>
    </cfRule>
  </conditionalFormatting>
  <conditionalFormatting sqref="AH572:AI572">
    <cfRule type="cellIs" dxfId="5026" priority="7829" stopIfTrue="1" operator="between">
      <formula>-0.15</formula>
      <formula>0.005</formula>
    </cfRule>
  </conditionalFormatting>
  <conditionalFormatting sqref="AE576">
    <cfRule type="cellIs" dxfId="5025" priority="7817" stopIfTrue="1" operator="between">
      <formula>-0.15</formula>
      <formula>-0.0001</formula>
    </cfRule>
  </conditionalFormatting>
  <conditionalFormatting sqref="AH576:AI576">
    <cfRule type="cellIs" dxfId="5024" priority="7816" stopIfTrue="1" operator="between">
      <formula>-0.15</formula>
      <formula>0.005</formula>
    </cfRule>
  </conditionalFormatting>
  <conditionalFormatting sqref="N576">
    <cfRule type="cellIs" dxfId="5023" priority="7815" stopIfTrue="1" operator="between">
      <formula>-350</formula>
      <formula>-1</formula>
    </cfRule>
  </conditionalFormatting>
  <conditionalFormatting sqref="AE540">
    <cfRule type="cellIs" dxfId="5022" priority="7860" stopIfTrue="1" operator="between">
      <formula>-0.15</formula>
      <formula>-0.0001</formula>
    </cfRule>
  </conditionalFormatting>
  <conditionalFormatting sqref="AH540:AI540">
    <cfRule type="cellIs" dxfId="5021" priority="7859" stopIfTrue="1" operator="between">
      <formula>-0.15</formula>
      <formula>0.005</formula>
    </cfRule>
  </conditionalFormatting>
  <conditionalFormatting sqref="N538">
    <cfRule type="cellIs" dxfId="5020" priority="7858" stopIfTrue="1" operator="between">
      <formula>-350</formula>
      <formula>-1</formula>
    </cfRule>
  </conditionalFormatting>
  <conditionalFormatting sqref="AE538">
    <cfRule type="cellIs" dxfId="5019" priority="7857" stopIfTrue="1" operator="between">
      <formula>-0.15</formula>
      <formula>-0.0001</formula>
    </cfRule>
  </conditionalFormatting>
  <conditionalFormatting sqref="AH538:AI538">
    <cfRule type="cellIs" dxfId="5018" priority="7856" stopIfTrue="1" operator="between">
      <formula>-0.15</formula>
      <formula>0.005</formula>
    </cfRule>
  </conditionalFormatting>
  <conditionalFormatting sqref="AE537">
    <cfRule type="cellIs" dxfId="5017" priority="7852" stopIfTrue="1" operator="between">
      <formula>-0.15</formula>
      <formula>-0.0001</formula>
    </cfRule>
  </conditionalFormatting>
  <conditionalFormatting sqref="AH537:AI537">
    <cfRule type="cellIs" dxfId="5016" priority="7851" stopIfTrue="1" operator="between">
      <formula>-0.15</formula>
      <formula>0.005</formula>
    </cfRule>
  </conditionalFormatting>
  <conditionalFormatting sqref="N535">
    <cfRule type="cellIs" dxfId="5015" priority="7850" stopIfTrue="1" operator="between">
      <formula>-350</formula>
      <formula>-1</formula>
    </cfRule>
  </conditionalFormatting>
  <conditionalFormatting sqref="AE535">
    <cfRule type="cellIs" dxfId="5014" priority="7849" stopIfTrue="1" operator="between">
      <formula>-0.15</formula>
      <formula>-0.0001</formula>
    </cfRule>
  </conditionalFormatting>
  <conditionalFormatting sqref="AH535:AI535">
    <cfRule type="cellIs" dxfId="5013" priority="7848" stopIfTrue="1" operator="between">
      <formula>-0.15</formula>
      <formula>0.005</formula>
    </cfRule>
  </conditionalFormatting>
  <conditionalFormatting sqref="AE536">
    <cfRule type="cellIs" dxfId="5012" priority="7847" stopIfTrue="1" operator="between">
      <formula>-0.15</formula>
      <formula>-0.0001</formula>
    </cfRule>
  </conditionalFormatting>
  <conditionalFormatting sqref="AH536:AI536">
    <cfRule type="cellIs" dxfId="5011" priority="7846" stopIfTrue="1" operator="between">
      <formula>-0.15</formula>
      <formula>0.005</formula>
    </cfRule>
  </conditionalFormatting>
  <conditionalFormatting sqref="N536">
    <cfRule type="cellIs" dxfId="5010" priority="7845" stopIfTrue="1" operator="between">
      <formula>-350</formula>
      <formula>-1</formula>
    </cfRule>
  </conditionalFormatting>
  <conditionalFormatting sqref="AE582">
    <cfRule type="cellIs" dxfId="5009" priority="7742" stopIfTrue="1" operator="between">
      <formula>-0.15</formula>
      <formula>-0.0001</formula>
    </cfRule>
  </conditionalFormatting>
  <conditionalFormatting sqref="AH582:AI582">
    <cfRule type="cellIs" dxfId="5008" priority="7741" stopIfTrue="1" operator="between">
      <formula>-0.15</formula>
      <formula>0.005</formula>
    </cfRule>
  </conditionalFormatting>
  <conditionalFormatting sqref="AE1261">
    <cfRule type="cellIs" dxfId="5007" priority="7795" stopIfTrue="1" operator="between">
      <formula>-0.15</formula>
      <formula>-0.0001</formula>
    </cfRule>
  </conditionalFormatting>
  <conditionalFormatting sqref="AH1261:AI1261">
    <cfRule type="cellIs" dxfId="5006" priority="7794" stopIfTrue="1" operator="between">
      <formula>-0.15</formula>
      <formula>0.005</formula>
    </cfRule>
  </conditionalFormatting>
  <conditionalFormatting sqref="AE574">
    <cfRule type="cellIs" dxfId="5005" priority="7833" stopIfTrue="1" operator="between">
      <formula>-0.15</formula>
      <formula>-0.0001</formula>
    </cfRule>
  </conditionalFormatting>
  <conditionalFormatting sqref="AH574:AI574">
    <cfRule type="cellIs" dxfId="5004" priority="7832" stopIfTrue="1" operator="between">
      <formula>-0.15</formula>
      <formula>0.005</formula>
    </cfRule>
  </conditionalFormatting>
  <conditionalFormatting sqref="N572">
    <cfRule type="cellIs" dxfId="5003" priority="7831" stopIfTrue="1" operator="between">
      <formula>-350</formula>
      <formula>-1</formula>
    </cfRule>
  </conditionalFormatting>
  <conditionalFormatting sqref="AE575">
    <cfRule type="cellIs" dxfId="5002" priority="7822" stopIfTrue="1" operator="between">
      <formula>-0.15</formula>
      <formula>-0.0001</formula>
    </cfRule>
  </conditionalFormatting>
  <conditionalFormatting sqref="AH575:AI575">
    <cfRule type="cellIs" dxfId="5001" priority="7821" stopIfTrue="1" operator="between">
      <formula>-0.15</formula>
      <formula>0.005</formula>
    </cfRule>
  </conditionalFormatting>
  <conditionalFormatting sqref="AE577">
    <cfRule type="cellIs" dxfId="5000" priority="7825" stopIfTrue="1" operator="between">
      <formula>-0.15</formula>
      <formula>-0.0001</formula>
    </cfRule>
  </conditionalFormatting>
  <conditionalFormatting sqref="AH577:AI577">
    <cfRule type="cellIs" dxfId="4999" priority="7824" stopIfTrue="1" operator="between">
      <formula>-0.15</formula>
      <formula>0.005</formula>
    </cfRule>
  </conditionalFormatting>
  <conditionalFormatting sqref="N575">
    <cfRule type="cellIs" dxfId="4998" priority="7823" stopIfTrue="1" operator="between">
      <formula>-350</formula>
      <formula>-1</formula>
    </cfRule>
  </conditionalFormatting>
  <conditionalFormatting sqref="AE1259">
    <cfRule type="cellIs" dxfId="4997" priority="7784" stopIfTrue="1" operator="between">
      <formula>-0.15</formula>
      <formula>-0.0001</formula>
    </cfRule>
  </conditionalFormatting>
  <conditionalFormatting sqref="AH1259:AI1259">
    <cfRule type="cellIs" dxfId="4996" priority="7783" stopIfTrue="1" operator="between">
      <formula>-0.15</formula>
      <formula>0.005</formula>
    </cfRule>
  </conditionalFormatting>
  <conditionalFormatting sqref="AE1260">
    <cfRule type="cellIs" dxfId="4995" priority="7793" stopIfTrue="1" operator="between">
      <formula>-0.15</formula>
      <formula>-0.0001</formula>
    </cfRule>
  </conditionalFormatting>
  <conditionalFormatting sqref="AH1260:AI1260">
    <cfRule type="cellIs" dxfId="4994" priority="7792" stopIfTrue="1" operator="between">
      <formula>-0.15</formula>
      <formula>0.005</formula>
    </cfRule>
  </conditionalFormatting>
  <conditionalFormatting sqref="N1260">
    <cfRule type="cellIs" dxfId="4993" priority="7791" stopIfTrue="1" operator="between">
      <formula>-350</formula>
      <formula>-1</formula>
    </cfRule>
  </conditionalFormatting>
  <conditionalFormatting sqref="AE581">
    <cfRule type="cellIs" dxfId="4992" priority="7756" stopIfTrue="1" operator="between">
      <formula>-0.15</formula>
      <formula>-0.0001</formula>
    </cfRule>
  </conditionalFormatting>
  <conditionalFormatting sqref="AH581:AI581">
    <cfRule type="cellIs" dxfId="4991" priority="7755" stopIfTrue="1" operator="between">
      <formula>-0.15</formula>
      <formula>0.005</formula>
    </cfRule>
  </conditionalFormatting>
  <conditionalFormatting sqref="AE1258">
    <cfRule type="cellIs" dxfId="4990" priority="7782" stopIfTrue="1" operator="between">
      <formula>-0.15</formula>
      <formula>-0.0001</formula>
    </cfRule>
  </conditionalFormatting>
  <conditionalFormatting sqref="AH1258:AI1258">
    <cfRule type="cellIs" dxfId="4989" priority="7781" stopIfTrue="1" operator="between">
      <formula>-0.15</formula>
      <formula>0.005</formula>
    </cfRule>
  </conditionalFormatting>
  <conditionalFormatting sqref="N1258">
    <cfRule type="cellIs" dxfId="4988" priority="7780" stopIfTrue="1" operator="between">
      <formula>-350</formula>
      <formula>-1</formula>
    </cfRule>
  </conditionalFormatting>
  <conditionalFormatting sqref="AH1097:AI1097">
    <cfRule type="cellIs" dxfId="4987" priority="7757" stopIfTrue="1" operator="between">
      <formula>-0.15</formula>
      <formula>0.005</formula>
    </cfRule>
  </conditionalFormatting>
  <conditionalFormatting sqref="N1097">
    <cfRule type="cellIs" dxfId="4986" priority="7759" stopIfTrue="1" operator="between">
      <formula>-350</formula>
      <formula>-1</formula>
    </cfRule>
  </conditionalFormatting>
  <conditionalFormatting sqref="AE1098">
    <cfRule type="cellIs" dxfId="4985" priority="7761" stopIfTrue="1" operator="between">
      <formula>-0.15</formula>
      <formula>-0.0001</formula>
    </cfRule>
  </conditionalFormatting>
  <conditionalFormatting sqref="AH1098:AI1098">
    <cfRule type="cellIs" dxfId="4984" priority="7760" stopIfTrue="1" operator="between">
      <formula>-0.15</formula>
      <formula>0.005</formula>
    </cfRule>
  </conditionalFormatting>
  <conditionalFormatting sqref="AE1097">
    <cfRule type="cellIs" dxfId="4983" priority="7758" stopIfTrue="1" operator="between">
      <formula>-0.15</formula>
      <formula>-0.0001</formula>
    </cfRule>
  </conditionalFormatting>
  <conditionalFormatting sqref="N578">
    <cfRule type="cellIs" dxfId="4982" priority="7754" stopIfTrue="1" operator="between">
      <formula>-350</formula>
      <formula>-1</formula>
    </cfRule>
  </conditionalFormatting>
  <conditionalFormatting sqref="AE578">
    <cfRule type="cellIs" dxfId="4981" priority="7753" stopIfTrue="1" operator="between">
      <formula>-0.15</formula>
      <formula>-0.0001</formula>
    </cfRule>
  </conditionalFormatting>
  <conditionalFormatting sqref="AH578:AI578">
    <cfRule type="cellIs" dxfId="4980" priority="7752" stopIfTrue="1" operator="between">
      <formula>-0.15</formula>
      <formula>0.005</formula>
    </cfRule>
  </conditionalFormatting>
  <conditionalFormatting sqref="AE580">
    <cfRule type="cellIs" dxfId="4979" priority="7748" stopIfTrue="1" operator="between">
      <formula>-0.15</formula>
      <formula>-0.0001</formula>
    </cfRule>
  </conditionalFormatting>
  <conditionalFormatting sqref="AH580:AI580">
    <cfRule type="cellIs" dxfId="4978" priority="7747" stopIfTrue="1" operator="between">
      <formula>-0.15</formula>
      <formula>0.005</formula>
    </cfRule>
  </conditionalFormatting>
  <conditionalFormatting sqref="N580">
    <cfRule type="cellIs" dxfId="4977" priority="7746" stopIfTrue="1" operator="between">
      <formula>-350</formula>
      <formula>-1</formula>
    </cfRule>
  </conditionalFormatting>
  <conditionalFormatting sqref="AE584">
    <cfRule type="cellIs" dxfId="4976" priority="7745" stopIfTrue="1" operator="between">
      <formula>-0.15</formula>
      <formula>-0.0001</formula>
    </cfRule>
  </conditionalFormatting>
  <conditionalFormatting sqref="AH584:AI584">
    <cfRule type="cellIs" dxfId="4975" priority="7744" stopIfTrue="1" operator="between">
      <formula>-0.15</formula>
      <formula>0.005</formula>
    </cfRule>
  </conditionalFormatting>
  <conditionalFormatting sqref="N582">
    <cfRule type="cellIs" dxfId="4974" priority="7743" stopIfTrue="1" operator="between">
      <formula>-350</formula>
      <formula>-1</formula>
    </cfRule>
  </conditionalFormatting>
  <conditionalFormatting sqref="AE583">
    <cfRule type="cellIs" dxfId="4973" priority="7737" stopIfTrue="1" operator="between">
      <formula>-0.15</formula>
      <formula>-0.0001</formula>
    </cfRule>
  </conditionalFormatting>
  <conditionalFormatting sqref="AH583:AI583">
    <cfRule type="cellIs" dxfId="4972" priority="7736" stopIfTrue="1" operator="between">
      <formula>-0.15</formula>
      <formula>0.005</formula>
    </cfRule>
  </conditionalFormatting>
  <conditionalFormatting sqref="N583">
    <cfRule type="cellIs" dxfId="4971" priority="7735" stopIfTrue="1" operator="between">
      <formula>-350</formula>
      <formula>-1</formula>
    </cfRule>
  </conditionalFormatting>
  <conditionalFormatting sqref="AE1526">
    <cfRule type="cellIs" dxfId="4970" priority="7686" stopIfTrue="1" operator="between">
      <formula>-0.15</formula>
      <formula>-0.0001</formula>
    </cfRule>
  </conditionalFormatting>
  <conditionalFormatting sqref="AH1526:AI1526">
    <cfRule type="cellIs" dxfId="4969" priority="7685" stopIfTrue="1" operator="between">
      <formula>-0.15</formula>
      <formula>0.005</formula>
    </cfRule>
  </conditionalFormatting>
  <conditionalFormatting sqref="N1526">
    <cfRule type="cellIs" dxfId="4968" priority="7684" stopIfTrue="1" operator="between">
      <formula>-350</formula>
      <formula>-1</formula>
    </cfRule>
  </conditionalFormatting>
  <conditionalFormatting sqref="AE1529">
    <cfRule type="cellIs" dxfId="4967" priority="7688" stopIfTrue="1" operator="between">
      <formula>-0.15</formula>
      <formula>-0.0001</formula>
    </cfRule>
  </conditionalFormatting>
  <conditionalFormatting sqref="AH1529:AI1529">
    <cfRule type="cellIs" dxfId="4966" priority="7687" stopIfTrue="1" operator="between">
      <formula>-0.15</formula>
      <formula>0.005</formula>
    </cfRule>
  </conditionalFormatting>
  <conditionalFormatting sqref="AE1528">
    <cfRule type="cellIs" dxfId="4965" priority="7683" stopIfTrue="1" operator="between">
      <formula>-0.15</formula>
      <formula>-0.0001</formula>
    </cfRule>
  </conditionalFormatting>
  <conditionalFormatting sqref="AH1528:AI1528">
    <cfRule type="cellIs" dxfId="4964" priority="7682" stopIfTrue="1" operator="between">
      <formula>-0.15</formula>
      <formula>0.005</formula>
    </cfRule>
  </conditionalFormatting>
  <conditionalFormatting sqref="N1528">
    <cfRule type="cellIs" dxfId="4963" priority="7681" stopIfTrue="1" operator="between">
      <formula>-350</formula>
      <formula>-1</formula>
    </cfRule>
  </conditionalFormatting>
  <conditionalFormatting sqref="AE317">
    <cfRule type="cellIs" dxfId="4962" priority="7594" stopIfTrue="1" operator="between">
      <formula>-0.15</formula>
      <formula>-0.0001</formula>
    </cfRule>
  </conditionalFormatting>
  <conditionalFormatting sqref="AH317:AI317">
    <cfRule type="cellIs" dxfId="4961" priority="7593" stopIfTrue="1" operator="between">
      <formula>-0.15</formula>
      <formula>0.005</formula>
    </cfRule>
  </conditionalFormatting>
  <conditionalFormatting sqref="N317">
    <cfRule type="cellIs" dxfId="4960" priority="7592" stopIfTrue="1" operator="between">
      <formula>-350</formula>
      <formula>-1</formula>
    </cfRule>
  </conditionalFormatting>
  <conditionalFormatting sqref="AE316">
    <cfRule type="cellIs" dxfId="4959" priority="7600" stopIfTrue="1" operator="between">
      <formula>-0.15</formula>
      <formula>-0.0001</formula>
    </cfRule>
  </conditionalFormatting>
  <conditionalFormatting sqref="AH316:AI316">
    <cfRule type="cellIs" dxfId="4958" priority="7599" stopIfTrue="1" operator="between">
      <formula>-0.15</formula>
      <formula>0.005</formula>
    </cfRule>
  </conditionalFormatting>
  <conditionalFormatting sqref="N316">
    <cfRule type="cellIs" dxfId="4957" priority="7598" stopIfTrue="1" operator="between">
      <formula>-350</formula>
      <formula>-1</formula>
    </cfRule>
  </conditionalFormatting>
  <conditionalFormatting sqref="AE320">
    <cfRule type="cellIs" dxfId="4956" priority="7591" stopIfTrue="1" operator="between">
      <formula>-0.15</formula>
      <formula>-0.0001</formula>
    </cfRule>
  </conditionalFormatting>
  <conditionalFormatting sqref="AH320:AI320">
    <cfRule type="cellIs" dxfId="4955" priority="7590" stopIfTrue="1" operator="between">
      <formula>-0.15</formula>
      <formula>0.005</formula>
    </cfRule>
  </conditionalFormatting>
  <conditionalFormatting sqref="AE322">
    <cfRule type="cellIs" dxfId="4954" priority="7586" stopIfTrue="1" operator="between">
      <formula>-0.15</formula>
      <formula>-0.0001</formula>
    </cfRule>
  </conditionalFormatting>
  <conditionalFormatting sqref="AH322:AI322">
    <cfRule type="cellIs" dxfId="4953" priority="7585" stopIfTrue="1" operator="between">
      <formula>-0.15</formula>
      <formula>0.005</formula>
    </cfRule>
  </conditionalFormatting>
  <conditionalFormatting sqref="N322">
    <cfRule type="cellIs" dxfId="4952" priority="7584" stopIfTrue="1" operator="between">
      <formula>-350</formula>
      <formula>-1</formula>
    </cfRule>
  </conditionalFormatting>
  <conditionalFormatting sqref="AE321">
    <cfRule type="cellIs" dxfId="4951" priority="7602" stopIfTrue="1" operator="between">
      <formula>-0.15</formula>
      <formula>-0.0001</formula>
    </cfRule>
  </conditionalFormatting>
  <conditionalFormatting sqref="AH321:AI321">
    <cfRule type="cellIs" dxfId="4950" priority="7601" stopIfTrue="1" operator="between">
      <formula>-0.15</formula>
      <formula>0.005</formula>
    </cfRule>
  </conditionalFormatting>
  <conditionalFormatting sqref="AE326">
    <cfRule type="cellIs" dxfId="4949" priority="7563" stopIfTrue="1" operator="between">
      <formula>-0.15</formula>
      <formula>-0.0001</formula>
    </cfRule>
  </conditionalFormatting>
  <conditionalFormatting sqref="AH326:AI326">
    <cfRule type="cellIs" dxfId="4948" priority="7562" stopIfTrue="1" operator="between">
      <formula>-0.15</formula>
      <formula>0.005</formula>
    </cfRule>
  </conditionalFormatting>
  <conditionalFormatting sqref="N326">
    <cfRule type="cellIs" dxfId="4947" priority="7561" stopIfTrue="1" operator="between">
      <formula>-350</formula>
      <formula>-1</formula>
    </cfRule>
  </conditionalFormatting>
  <conditionalFormatting sqref="AE325">
    <cfRule type="cellIs" dxfId="4946" priority="7575" stopIfTrue="1" operator="between">
      <formula>-0.15</formula>
      <formula>-0.0001</formula>
    </cfRule>
  </conditionalFormatting>
  <conditionalFormatting sqref="AH325:AI325">
    <cfRule type="cellIs" dxfId="4945" priority="7574" stopIfTrue="1" operator="between">
      <formula>-0.15</formula>
      <formula>0.005</formula>
    </cfRule>
  </conditionalFormatting>
  <conditionalFormatting sqref="N320">
    <cfRule type="cellIs" dxfId="4944" priority="7589" stopIfTrue="1" operator="between">
      <formula>-350</formula>
      <formula>-1</formula>
    </cfRule>
  </conditionalFormatting>
  <conditionalFormatting sqref="AE323">
    <cfRule type="cellIs" dxfId="4943" priority="7580" stopIfTrue="1" operator="between">
      <formula>-0.15</formula>
      <formula>-0.0001</formula>
    </cfRule>
  </conditionalFormatting>
  <conditionalFormatting sqref="AH323:AI323">
    <cfRule type="cellIs" dxfId="4942" priority="7579" stopIfTrue="1" operator="between">
      <formula>-0.15</formula>
      <formula>0.005</formula>
    </cfRule>
  </conditionalFormatting>
  <conditionalFormatting sqref="N323">
    <cfRule type="cellIs" dxfId="4941" priority="7578" stopIfTrue="1" operator="between">
      <formula>-350</formula>
      <formula>-1</formula>
    </cfRule>
  </conditionalFormatting>
  <conditionalFormatting sqref="AE324">
    <cfRule type="cellIs" dxfId="4940" priority="7588" stopIfTrue="1" operator="between">
      <formula>-0.15</formula>
      <formula>-0.0001</formula>
    </cfRule>
  </conditionalFormatting>
  <conditionalFormatting sqref="AH324:AI324">
    <cfRule type="cellIs" dxfId="4939" priority="7587" stopIfTrue="1" operator="between">
      <formula>-0.15</formula>
      <formula>0.005</formula>
    </cfRule>
  </conditionalFormatting>
  <conditionalFormatting sqref="AE327">
    <cfRule type="cellIs" dxfId="4938" priority="7577" stopIfTrue="1" operator="between">
      <formula>-0.15</formula>
      <formula>-0.0001</formula>
    </cfRule>
  </conditionalFormatting>
  <conditionalFormatting sqref="AH327:AI327">
    <cfRule type="cellIs" dxfId="4937" priority="7576" stopIfTrue="1" operator="between">
      <formula>-0.15</formula>
      <formula>0.005</formula>
    </cfRule>
  </conditionalFormatting>
  <conditionalFormatting sqref="N325">
    <cfRule type="cellIs" dxfId="4936" priority="7573" stopIfTrue="1" operator="between">
      <formula>-350</formula>
      <formula>-1</formula>
    </cfRule>
  </conditionalFormatting>
  <conditionalFormatting sqref="AE377">
    <cfRule type="cellIs" dxfId="4935" priority="7531" stopIfTrue="1" operator="between">
      <formula>-0.15</formula>
      <formula>-0.0001</formula>
    </cfRule>
  </conditionalFormatting>
  <conditionalFormatting sqref="AH377:AI377">
    <cfRule type="cellIs" dxfId="4934" priority="7530" stopIfTrue="1" operator="between">
      <formula>-0.15</formula>
      <formula>0.005</formula>
    </cfRule>
  </conditionalFormatting>
  <conditionalFormatting sqref="AE587">
    <cfRule type="cellIs" dxfId="4933" priority="7487" stopIfTrue="1" operator="between">
      <formula>-0.15</formula>
      <formula>-0.0001</formula>
    </cfRule>
  </conditionalFormatting>
  <conditionalFormatting sqref="AH587:AI587">
    <cfRule type="cellIs" dxfId="4932" priority="7486" stopIfTrue="1" operator="between">
      <formula>-0.15</formula>
      <formula>0.005</formula>
    </cfRule>
  </conditionalFormatting>
  <conditionalFormatting sqref="N585">
    <cfRule type="cellIs" dxfId="4931" priority="7485" stopIfTrue="1" operator="between">
      <formula>-350</formula>
      <formula>-1</formula>
    </cfRule>
  </conditionalFormatting>
  <conditionalFormatting sqref="AE585">
    <cfRule type="cellIs" dxfId="4930" priority="7484" stopIfTrue="1" operator="between">
      <formula>-0.15</formula>
      <formula>-0.0001</formula>
    </cfRule>
  </conditionalFormatting>
  <conditionalFormatting sqref="AH585:AI585">
    <cfRule type="cellIs" dxfId="4929" priority="7483" stopIfTrue="1" operator="between">
      <formula>-0.15</formula>
      <formula>0.005</formula>
    </cfRule>
  </conditionalFormatting>
  <conditionalFormatting sqref="AE586">
    <cfRule type="cellIs" dxfId="4928" priority="7479" stopIfTrue="1" operator="between">
      <formula>-0.15</formula>
      <formula>-0.0001</formula>
    </cfRule>
  </conditionalFormatting>
  <conditionalFormatting sqref="AH586:AI586">
    <cfRule type="cellIs" dxfId="4927" priority="7478" stopIfTrue="1" operator="between">
      <formula>-0.15</formula>
      <formula>0.005</formula>
    </cfRule>
  </conditionalFormatting>
  <conditionalFormatting sqref="N586">
    <cfRule type="cellIs" dxfId="4926" priority="7477" stopIfTrue="1" operator="between">
      <formula>-350</formula>
      <formula>-1</formula>
    </cfRule>
  </conditionalFormatting>
  <conditionalFormatting sqref="AE592">
    <cfRule type="cellIs" dxfId="4925" priority="7437" stopIfTrue="1" operator="between">
      <formula>-0.15</formula>
      <formula>-0.0001</formula>
    </cfRule>
  </conditionalFormatting>
  <conditionalFormatting sqref="AH592:AI592">
    <cfRule type="cellIs" dxfId="4924" priority="7436" stopIfTrue="1" operator="between">
      <formula>-0.15</formula>
      <formula>0.005</formula>
    </cfRule>
  </conditionalFormatting>
  <conditionalFormatting sqref="N588">
    <cfRule type="cellIs" dxfId="4923" priority="7427" stopIfTrue="1" operator="between">
      <formula>-350</formula>
      <formula>-1</formula>
    </cfRule>
  </conditionalFormatting>
  <conditionalFormatting sqref="AE590">
    <cfRule type="cellIs" dxfId="4922" priority="7424" stopIfTrue="1" operator="between">
      <formula>-0.15</formula>
      <formula>-0.0001</formula>
    </cfRule>
  </conditionalFormatting>
  <conditionalFormatting sqref="AH590:AI590">
    <cfRule type="cellIs" dxfId="4921" priority="7423" stopIfTrue="1" operator="between">
      <formula>-0.15</formula>
      <formula>0.005</formula>
    </cfRule>
  </conditionalFormatting>
  <conditionalFormatting sqref="N590">
    <cfRule type="cellIs" dxfId="4920" priority="7422" stopIfTrue="1" operator="between">
      <formula>-350</formula>
      <formula>-1</formula>
    </cfRule>
  </conditionalFormatting>
  <conditionalFormatting sqref="AE551">
    <cfRule type="cellIs" dxfId="4919" priority="7456" stopIfTrue="1" operator="between">
      <formula>-0.15</formula>
      <formula>-0.0001</formula>
    </cfRule>
  </conditionalFormatting>
  <conditionalFormatting sqref="AH551:AI551">
    <cfRule type="cellIs" dxfId="4918" priority="7455" stopIfTrue="1" operator="between">
      <formula>-0.15</formula>
      <formula>0.005</formula>
    </cfRule>
  </conditionalFormatting>
  <conditionalFormatting sqref="N549">
    <cfRule type="cellIs" dxfId="4917" priority="7454" stopIfTrue="1" operator="between">
      <formula>-350</formula>
      <formula>-1</formula>
    </cfRule>
  </conditionalFormatting>
  <conditionalFormatting sqref="AE549">
    <cfRule type="cellIs" dxfId="4916" priority="7453" stopIfTrue="1" operator="between">
      <formula>-0.15</formula>
      <formula>-0.0001</formula>
    </cfRule>
  </conditionalFormatting>
  <conditionalFormatting sqref="AH549:AI549">
    <cfRule type="cellIs" dxfId="4915" priority="7452" stopIfTrue="1" operator="between">
      <formula>-0.15</formula>
      <formula>0.005</formula>
    </cfRule>
  </conditionalFormatting>
  <conditionalFormatting sqref="AE588">
    <cfRule type="cellIs" dxfId="4914" priority="7426" stopIfTrue="1" operator="between">
      <formula>-0.15</formula>
      <formula>-0.0001</formula>
    </cfRule>
  </conditionalFormatting>
  <conditionalFormatting sqref="AH588:AI588">
    <cfRule type="cellIs" dxfId="4913" priority="7425" stopIfTrue="1" operator="between">
      <formula>-0.15</formula>
      <formula>0.005</formula>
    </cfRule>
  </conditionalFormatting>
  <conditionalFormatting sqref="N1211">
    <cfRule type="cellIs" dxfId="4912" priority="7413" stopIfTrue="1" operator="between">
      <formula>-350</formula>
      <formula>-1</formula>
    </cfRule>
  </conditionalFormatting>
  <conditionalFormatting sqref="AE595">
    <cfRule type="cellIs" dxfId="4911" priority="7440" stopIfTrue="1" operator="between">
      <formula>-0.15</formula>
      <formula>-0.0001</formula>
    </cfRule>
  </conditionalFormatting>
  <conditionalFormatting sqref="AH595:AI595">
    <cfRule type="cellIs" dxfId="4910" priority="7439" stopIfTrue="1" operator="between">
      <formula>-0.15</formula>
      <formula>0.005</formula>
    </cfRule>
  </conditionalFormatting>
  <conditionalFormatting sqref="N592">
    <cfRule type="cellIs" dxfId="4909" priority="7438" stopIfTrue="1" operator="between">
      <formula>-350</formula>
      <formula>-1</formula>
    </cfRule>
  </conditionalFormatting>
  <conditionalFormatting sqref="AE594">
    <cfRule type="cellIs" dxfId="4908" priority="7432" stopIfTrue="1" operator="between">
      <formula>-0.15</formula>
      <formula>-0.0001</formula>
    </cfRule>
  </conditionalFormatting>
  <conditionalFormatting sqref="AH594:AI594">
    <cfRule type="cellIs" dxfId="4907" priority="7431" stopIfTrue="1" operator="between">
      <formula>-0.15</formula>
      <formula>0.005</formula>
    </cfRule>
  </conditionalFormatting>
  <conditionalFormatting sqref="N594">
    <cfRule type="cellIs" dxfId="4906" priority="7430" stopIfTrue="1" operator="between">
      <formula>-350</formula>
      <formula>-1</formula>
    </cfRule>
  </conditionalFormatting>
  <conditionalFormatting sqref="AE591">
    <cfRule type="cellIs" dxfId="4905" priority="7429" stopIfTrue="1" operator="between">
      <formula>-0.15</formula>
      <formula>-0.0001</formula>
    </cfRule>
  </conditionalFormatting>
  <conditionalFormatting sqref="AH591:AI591">
    <cfRule type="cellIs" dxfId="4904" priority="7428" stopIfTrue="1" operator="between">
      <formula>-0.15</formula>
      <formula>0.005</formula>
    </cfRule>
  </conditionalFormatting>
  <conditionalFormatting sqref="AH602:AI602">
    <cfRule type="cellIs" dxfId="4903" priority="7378" stopIfTrue="1" operator="between">
      <formula>-0.15</formula>
      <formula>0.005</formula>
    </cfRule>
  </conditionalFormatting>
  <conditionalFormatting sqref="N602">
    <cfRule type="cellIs" dxfId="4902" priority="7377" stopIfTrue="1" operator="between">
      <formula>-350</formula>
      <formula>-1</formula>
    </cfRule>
  </conditionalFormatting>
  <conditionalFormatting sqref="AE602">
    <cfRule type="cellIs" dxfId="4901" priority="7379" stopIfTrue="1" operator="between">
      <formula>-0.15</formula>
      <formula>-0.0001</formula>
    </cfRule>
  </conditionalFormatting>
  <conditionalFormatting sqref="AE1215">
    <cfRule type="cellIs" dxfId="4900" priority="7412" stopIfTrue="1" operator="between">
      <formula>-0.15</formula>
      <formula>-0.0001</formula>
    </cfRule>
  </conditionalFormatting>
  <conditionalFormatting sqref="AH1215:AI1215">
    <cfRule type="cellIs" dxfId="4899" priority="7411" stopIfTrue="1" operator="between">
      <formula>-0.15</formula>
      <formula>0.005</formula>
    </cfRule>
  </conditionalFormatting>
  <conditionalFormatting sqref="N1215">
    <cfRule type="cellIs" dxfId="4898" priority="7410" stopIfTrue="1" operator="between">
      <formula>-350</formula>
      <formula>-1</formula>
    </cfRule>
  </conditionalFormatting>
  <conditionalFormatting sqref="N1216">
    <cfRule type="cellIs" dxfId="4897" priority="7414" stopIfTrue="1" operator="between">
      <formula>-350</formula>
      <formula>-1</formula>
    </cfRule>
  </conditionalFormatting>
  <conditionalFormatting sqref="AE1211 AE1216">
    <cfRule type="cellIs" dxfId="4896" priority="7416" stopIfTrue="1" operator="between">
      <formula>-0.15</formula>
      <formula>-0.0001</formula>
    </cfRule>
  </conditionalFormatting>
  <conditionalFormatting sqref="AH1211:AI1211 AH1216:AI1216">
    <cfRule type="cellIs" dxfId="4895" priority="7415" stopIfTrue="1" operator="between">
      <formula>-0.15</formula>
      <formula>0.005</formula>
    </cfRule>
  </conditionalFormatting>
  <conditionalFormatting sqref="AE598">
    <cfRule type="cellIs" dxfId="4894" priority="7409" stopIfTrue="1" operator="between">
      <formula>-0.15</formula>
      <formula>-0.0001</formula>
    </cfRule>
  </conditionalFormatting>
  <conditionalFormatting sqref="AH598:AI598">
    <cfRule type="cellIs" dxfId="4893" priority="7408" stopIfTrue="1" operator="between">
      <formula>-0.15</formula>
      <formula>0.005</formula>
    </cfRule>
  </conditionalFormatting>
  <conditionalFormatting sqref="N596">
    <cfRule type="cellIs" dxfId="4892" priority="7407" stopIfTrue="1" operator="between">
      <formula>-350</formula>
      <formula>-1</formula>
    </cfRule>
  </conditionalFormatting>
  <conditionalFormatting sqref="AE596">
    <cfRule type="cellIs" dxfId="4891" priority="7406" stopIfTrue="1" operator="between">
      <formula>-0.15</formula>
      <formula>-0.0001</formula>
    </cfRule>
  </conditionalFormatting>
  <conditionalFormatting sqref="AH596:AI596">
    <cfRule type="cellIs" dxfId="4890" priority="7405" stopIfTrue="1" operator="between">
      <formula>-0.15</formula>
      <formula>0.005</formula>
    </cfRule>
  </conditionalFormatting>
  <conditionalFormatting sqref="AE597">
    <cfRule type="cellIs" dxfId="4889" priority="7401" stopIfTrue="1" operator="between">
      <formula>-0.15</formula>
      <formula>-0.0001</formula>
    </cfRule>
  </conditionalFormatting>
  <conditionalFormatting sqref="AH597:AI597">
    <cfRule type="cellIs" dxfId="4888" priority="7400" stopIfTrue="1" operator="between">
      <formula>-0.15</formula>
      <formula>0.005</formula>
    </cfRule>
  </conditionalFormatting>
  <conditionalFormatting sqref="N597">
    <cfRule type="cellIs" dxfId="4887" priority="7399" stopIfTrue="1" operator="between">
      <formula>-350</formula>
      <formula>-1</formula>
    </cfRule>
  </conditionalFormatting>
  <conditionalFormatting sqref="AE603">
    <cfRule type="cellIs" dxfId="4886" priority="7384" stopIfTrue="1" operator="between">
      <formula>-0.15</formula>
      <formula>-0.0001</formula>
    </cfRule>
  </conditionalFormatting>
  <conditionalFormatting sqref="AH603:AI603">
    <cfRule type="cellIs" dxfId="4885" priority="7383" stopIfTrue="1" operator="between">
      <formula>-0.15</formula>
      <formula>0.005</formula>
    </cfRule>
  </conditionalFormatting>
  <conditionalFormatting sqref="N599">
    <cfRule type="cellIs" dxfId="4884" priority="7382" stopIfTrue="1" operator="between">
      <formula>-350</formula>
      <formula>-1</formula>
    </cfRule>
  </conditionalFormatting>
  <conditionalFormatting sqref="AE605">
    <cfRule type="cellIs" dxfId="4883" priority="7229" stopIfTrue="1" operator="between">
      <formula>-0.15</formula>
      <formula>-0.0001</formula>
    </cfRule>
  </conditionalFormatting>
  <conditionalFormatting sqref="AH605:AI605">
    <cfRule type="cellIs" dxfId="4882" priority="7228" stopIfTrue="1" operator="between">
      <formula>-0.15</formula>
      <formula>0.005</formula>
    </cfRule>
  </conditionalFormatting>
  <conditionalFormatting sqref="AE599">
    <cfRule type="cellIs" dxfId="4881" priority="7381" stopIfTrue="1" operator="between">
      <formula>-0.15</formula>
      <formula>-0.0001</formula>
    </cfRule>
  </conditionalFormatting>
  <conditionalFormatting sqref="AH599:AI599">
    <cfRule type="cellIs" dxfId="4880" priority="7380" stopIfTrue="1" operator="between">
      <formula>-0.15</formula>
      <formula>0.005</formula>
    </cfRule>
  </conditionalFormatting>
  <conditionalFormatting sqref="AE600">
    <cfRule type="cellIs" dxfId="4879" priority="7376" stopIfTrue="1" operator="between">
      <formula>-0.15</formula>
      <formula>-0.0001</formula>
    </cfRule>
  </conditionalFormatting>
  <conditionalFormatting sqref="AH600:AI600">
    <cfRule type="cellIs" dxfId="4878" priority="7375" stopIfTrue="1" operator="between">
      <formula>-0.15</formula>
      <formula>0.005</formula>
    </cfRule>
  </conditionalFormatting>
  <conditionalFormatting sqref="N600">
    <cfRule type="cellIs" dxfId="4877" priority="7374" stopIfTrue="1" operator="between">
      <formula>-350</formula>
      <formula>-1</formula>
    </cfRule>
  </conditionalFormatting>
  <conditionalFormatting sqref="AE1574">
    <cfRule type="cellIs" dxfId="4876" priority="7365" stopIfTrue="1" operator="between">
      <formula>-0.15</formula>
      <formula>-0.0001</formula>
    </cfRule>
  </conditionalFormatting>
  <conditionalFormatting sqref="AH1574:AI1574">
    <cfRule type="cellIs" dxfId="4875" priority="7364" stopIfTrue="1" operator="between">
      <formula>-0.15</formula>
      <formula>0.005</formula>
    </cfRule>
  </conditionalFormatting>
  <conditionalFormatting sqref="N607">
    <cfRule type="cellIs" dxfId="4874" priority="7246" stopIfTrue="1" operator="between">
      <formula>-350</formula>
      <formula>-1</formula>
    </cfRule>
  </conditionalFormatting>
  <conditionalFormatting sqref="AE610">
    <cfRule type="cellIs" dxfId="4873" priority="7243" stopIfTrue="1" operator="between">
      <formula>-0.15</formula>
      <formula>-0.0001</formula>
    </cfRule>
  </conditionalFormatting>
  <conditionalFormatting sqref="AH610:AI610">
    <cfRule type="cellIs" dxfId="4872" priority="7242" stopIfTrue="1" operator="between">
      <formula>-0.15</formula>
      <formula>0.005</formula>
    </cfRule>
  </conditionalFormatting>
  <conditionalFormatting sqref="AE1572">
    <cfRule type="cellIs" dxfId="4871" priority="7360" stopIfTrue="1" operator="between">
      <formula>-0.15</formula>
      <formula>-0.0001</formula>
    </cfRule>
  </conditionalFormatting>
  <conditionalFormatting sqref="AH1572:AI1572">
    <cfRule type="cellIs" dxfId="4870" priority="7359" stopIfTrue="1" operator="between">
      <formula>-0.15</formula>
      <formula>0.005</formula>
    </cfRule>
  </conditionalFormatting>
  <conditionalFormatting sqref="N1572">
    <cfRule type="cellIs" dxfId="4869" priority="7358" stopIfTrue="1" operator="between">
      <formula>-350</formula>
      <formula>-1</formula>
    </cfRule>
  </conditionalFormatting>
  <conditionalFormatting sqref="AE1093">
    <cfRule type="cellIs" dxfId="4868" priority="7284" stopIfTrue="1" operator="between">
      <formula>-0.15</formula>
      <formula>-0.0001</formula>
    </cfRule>
  </conditionalFormatting>
  <conditionalFormatting sqref="AH1093:AI1093">
    <cfRule type="cellIs" dxfId="4867" priority="7283" stopIfTrue="1" operator="between">
      <formula>-0.15</formula>
      <formula>0.005</formula>
    </cfRule>
  </conditionalFormatting>
  <conditionalFormatting sqref="AE81">
    <cfRule type="cellIs" dxfId="4866" priority="7172" stopIfTrue="1" operator="between">
      <formula>-0.15</formula>
      <formula>-0.0001</formula>
    </cfRule>
  </conditionalFormatting>
  <conditionalFormatting sqref="AH81:AI81">
    <cfRule type="cellIs" dxfId="4865" priority="7171" stopIfTrue="1" operator="between">
      <formula>-0.15</formula>
      <formula>0.005</formula>
    </cfRule>
  </conditionalFormatting>
  <conditionalFormatting sqref="N605">
    <cfRule type="cellIs" dxfId="4864" priority="7227" stopIfTrue="1" operator="between">
      <formula>-350</formula>
      <formula>-1</formula>
    </cfRule>
  </conditionalFormatting>
  <conditionalFormatting sqref="AE1094">
    <cfRule type="cellIs" dxfId="4863" priority="7287" stopIfTrue="1" operator="between">
      <formula>-0.15</formula>
      <formula>-0.0001</formula>
    </cfRule>
  </conditionalFormatting>
  <conditionalFormatting sqref="AH1094:AI1094">
    <cfRule type="cellIs" dxfId="4862" priority="7286" stopIfTrue="1" operator="between">
      <formula>-0.15</formula>
      <formula>0.005</formula>
    </cfRule>
  </conditionalFormatting>
  <conditionalFormatting sqref="N1093">
    <cfRule type="cellIs" dxfId="4861" priority="7285" stopIfTrue="1" operator="between">
      <formula>-350</formula>
      <formula>-1</formula>
    </cfRule>
  </conditionalFormatting>
  <conditionalFormatting sqref="AE82">
    <cfRule type="cellIs" dxfId="4860" priority="7164" stopIfTrue="1" operator="between">
      <formula>-0.15</formula>
      <formula>-0.0001</formula>
    </cfRule>
  </conditionalFormatting>
  <conditionalFormatting sqref="AE1092">
    <cfRule type="cellIs" dxfId="4859" priority="7272" stopIfTrue="1" operator="between">
      <formula>-0.15</formula>
      <formula>-0.0001</formula>
    </cfRule>
  </conditionalFormatting>
  <conditionalFormatting sqref="AH1092:AI1092">
    <cfRule type="cellIs" dxfId="4858" priority="7271" stopIfTrue="1" operator="between">
      <formula>-0.15</formula>
      <formula>0.005</formula>
    </cfRule>
  </conditionalFormatting>
  <conditionalFormatting sqref="N1091">
    <cfRule type="cellIs" dxfId="4857" priority="7270" stopIfTrue="1" operator="between">
      <formula>-350</formula>
      <formula>-1</formula>
    </cfRule>
  </conditionalFormatting>
  <conditionalFormatting sqref="AE1091">
    <cfRule type="cellIs" dxfId="4856" priority="7269" stopIfTrue="1" operator="between">
      <formula>-0.15</formula>
      <formula>-0.0001</formula>
    </cfRule>
  </conditionalFormatting>
  <conditionalFormatting sqref="AH1091:AI1091">
    <cfRule type="cellIs" dxfId="4855" priority="7268" stopIfTrue="1" operator="between">
      <formula>-0.15</formula>
      <formula>0.005</formula>
    </cfRule>
  </conditionalFormatting>
  <conditionalFormatting sqref="AE1090">
    <cfRule type="cellIs" dxfId="4854" priority="7282" stopIfTrue="1" operator="between">
      <formula>-0.15</formula>
      <formula>-0.0001</formula>
    </cfRule>
  </conditionalFormatting>
  <conditionalFormatting sqref="AH1090:AI1090">
    <cfRule type="cellIs" dxfId="4853" priority="7281" stopIfTrue="1" operator="between">
      <formula>-0.15</formula>
      <formula>0.005</formula>
    </cfRule>
  </conditionalFormatting>
  <conditionalFormatting sqref="N1089">
    <cfRule type="cellIs" dxfId="4852" priority="7280" stopIfTrue="1" operator="between">
      <formula>-350</formula>
      <formula>-1</formula>
    </cfRule>
  </conditionalFormatting>
  <conditionalFormatting sqref="AE1089">
    <cfRule type="cellIs" dxfId="4851" priority="7279" stopIfTrue="1" operator="between">
      <formula>-0.15</formula>
      <formula>-0.0001</formula>
    </cfRule>
  </conditionalFormatting>
  <conditionalFormatting sqref="AH1089:AI1089">
    <cfRule type="cellIs" dxfId="4850" priority="7278" stopIfTrue="1" operator="between">
      <formula>-0.15</formula>
      <formula>0.005</formula>
    </cfRule>
  </conditionalFormatting>
  <conditionalFormatting sqref="N80">
    <cfRule type="cellIs" dxfId="4849" priority="7169" stopIfTrue="1" operator="between">
      <formula>-350</formula>
      <formula>-1</formula>
    </cfRule>
  </conditionalFormatting>
  <conditionalFormatting sqref="AE606">
    <cfRule type="cellIs" dxfId="4848" priority="7237" stopIfTrue="1" operator="between">
      <formula>-0.15</formula>
      <formula>-0.0001</formula>
    </cfRule>
  </conditionalFormatting>
  <conditionalFormatting sqref="AH606:AI606">
    <cfRule type="cellIs" dxfId="4847" priority="7236" stopIfTrue="1" operator="between">
      <formula>-0.15</formula>
      <formula>0.005</formula>
    </cfRule>
  </conditionalFormatting>
  <conditionalFormatting sqref="N604">
    <cfRule type="cellIs" dxfId="4846" priority="7235" stopIfTrue="1" operator="between">
      <formula>-350</formula>
      <formula>-1</formula>
    </cfRule>
  </conditionalFormatting>
  <conditionalFormatting sqref="AE611">
    <cfRule type="cellIs" dxfId="4845" priority="7248" stopIfTrue="1" operator="between">
      <formula>-0.15</formula>
      <formula>-0.0001</formula>
    </cfRule>
  </conditionalFormatting>
  <conditionalFormatting sqref="AH611:AI611">
    <cfRule type="cellIs" dxfId="4844" priority="7247" stopIfTrue="1" operator="between">
      <formula>-0.15</formula>
      <formula>0.005</formula>
    </cfRule>
  </conditionalFormatting>
  <conditionalFormatting sqref="AE604">
    <cfRule type="cellIs" dxfId="4843" priority="7234" stopIfTrue="1" operator="between">
      <formula>-0.15</formula>
      <formula>-0.0001</formula>
    </cfRule>
  </conditionalFormatting>
  <conditionalFormatting sqref="AH604:AI604">
    <cfRule type="cellIs" dxfId="4842" priority="7233" stopIfTrue="1" operator="between">
      <formula>-0.15</formula>
      <formula>0.005</formula>
    </cfRule>
  </conditionalFormatting>
  <conditionalFormatting sqref="N82">
    <cfRule type="cellIs" dxfId="4841" priority="7163" stopIfTrue="1" operator="between">
      <formula>-350</formula>
      <formula>-1</formula>
    </cfRule>
  </conditionalFormatting>
  <conditionalFormatting sqref="AH1087:AI1087">
    <cfRule type="cellIs" dxfId="4840" priority="7273" stopIfTrue="1" operator="between">
      <formula>-0.15</formula>
      <formula>0.005</formula>
    </cfRule>
  </conditionalFormatting>
  <conditionalFormatting sqref="N1087">
    <cfRule type="cellIs" dxfId="4839" priority="7275" stopIfTrue="1" operator="between">
      <formula>-350</formula>
      <formula>-1</formula>
    </cfRule>
  </conditionalFormatting>
  <conditionalFormatting sqref="AE1088">
    <cfRule type="cellIs" dxfId="4838" priority="7277" stopIfTrue="1" operator="between">
      <formula>-0.15</formula>
      <formula>-0.0001</formula>
    </cfRule>
  </conditionalFormatting>
  <conditionalFormatting sqref="AH1088:AI1088">
    <cfRule type="cellIs" dxfId="4837" priority="7276" stopIfTrue="1" operator="between">
      <formula>-0.15</formula>
      <formula>0.005</formula>
    </cfRule>
  </conditionalFormatting>
  <conditionalFormatting sqref="AE1087">
    <cfRule type="cellIs" dxfId="4836" priority="7274" stopIfTrue="1" operator="between">
      <formula>-0.15</formula>
      <formula>-0.0001</formula>
    </cfRule>
  </conditionalFormatting>
  <conditionalFormatting sqref="AE607">
    <cfRule type="cellIs" dxfId="4835" priority="7245" stopIfTrue="1" operator="between">
      <formula>-0.15</formula>
      <formula>-0.0001</formula>
    </cfRule>
  </conditionalFormatting>
  <conditionalFormatting sqref="AH607:AI607">
    <cfRule type="cellIs" dxfId="4834" priority="7244" stopIfTrue="1" operator="between">
      <formula>-0.15</formula>
      <formula>0.005</formula>
    </cfRule>
  </conditionalFormatting>
  <conditionalFormatting sqref="AE608">
    <cfRule type="cellIs" dxfId="4833" priority="7240" stopIfTrue="1" operator="between">
      <formula>-0.15</formula>
      <formula>-0.0001</formula>
    </cfRule>
  </conditionalFormatting>
  <conditionalFormatting sqref="AH608:AI608">
    <cfRule type="cellIs" dxfId="4832" priority="7239" stopIfTrue="1" operator="between">
      <formula>-0.15</formula>
      <formula>0.005</formula>
    </cfRule>
  </conditionalFormatting>
  <conditionalFormatting sqref="N608">
    <cfRule type="cellIs" dxfId="4831" priority="7238" stopIfTrue="1" operator="between">
      <formula>-350</formula>
      <formula>-1</formula>
    </cfRule>
  </conditionalFormatting>
  <conditionalFormatting sqref="AE80">
    <cfRule type="cellIs" dxfId="4830" priority="7170" stopIfTrue="1" operator="between">
      <formula>-0.15</formula>
      <formula>-0.0001</formula>
    </cfRule>
  </conditionalFormatting>
  <conditionalFormatting sqref="N610">
    <cfRule type="cellIs" dxfId="4829" priority="7241" stopIfTrue="1" operator="between">
      <formula>-350</formula>
      <formula>-1</formula>
    </cfRule>
  </conditionalFormatting>
  <conditionalFormatting sqref="AH83:AI83">
    <cfRule type="cellIs" dxfId="4828" priority="7165" stopIfTrue="1" operator="between">
      <formula>-0.15</formula>
      <formula>0.005</formula>
    </cfRule>
  </conditionalFormatting>
  <conditionalFormatting sqref="AH80:AI80">
    <cfRule type="cellIs" dxfId="4827" priority="7168" stopIfTrue="1" operator="between">
      <formula>-0.15</formula>
      <formula>0.005</formula>
    </cfRule>
  </conditionalFormatting>
  <conditionalFormatting sqref="AE83">
    <cfRule type="cellIs" dxfId="4826" priority="7166" stopIfTrue="1" operator="between">
      <formula>-0.15</formula>
      <formula>-0.0001</formula>
    </cfRule>
  </conditionalFormatting>
  <conditionalFormatting sqref="AH82:AI82">
    <cfRule type="cellIs" dxfId="4825" priority="7162" stopIfTrue="1" operator="between">
      <formula>-0.15</formula>
      <formula>0.005</formula>
    </cfRule>
  </conditionalFormatting>
  <conditionalFormatting sqref="N83">
    <cfRule type="cellIs" dxfId="4824" priority="7167" stopIfTrue="1" operator="between">
      <formula>-350</formula>
      <formula>-1</formula>
    </cfRule>
  </conditionalFormatting>
  <conditionalFormatting sqref="N94">
    <cfRule type="cellIs" dxfId="4823" priority="7110" stopIfTrue="1" operator="between">
      <formula>-350</formula>
      <formula>-1</formula>
    </cfRule>
  </conditionalFormatting>
  <conditionalFormatting sqref="N93">
    <cfRule type="cellIs" dxfId="4822" priority="7106" stopIfTrue="1" operator="between">
      <formula>-350</formula>
      <formula>-1</formula>
    </cfRule>
  </conditionalFormatting>
  <conditionalFormatting sqref="AH93:AI93">
    <cfRule type="cellIs" dxfId="4821" priority="7105" stopIfTrue="1" operator="between">
      <formula>-0.15</formula>
      <formula>0.005</formula>
    </cfRule>
  </conditionalFormatting>
  <conditionalFormatting sqref="AE93">
    <cfRule type="cellIs" dxfId="4820" priority="7107" stopIfTrue="1" operator="between">
      <formula>-0.15</formula>
      <formula>-0.0001</formula>
    </cfRule>
  </conditionalFormatting>
  <conditionalFormatting sqref="AH94:AI94">
    <cfRule type="cellIs" dxfId="4819" priority="7108" stopIfTrue="1" operator="between">
      <formula>-0.15</formula>
      <formula>0.005</formula>
    </cfRule>
  </conditionalFormatting>
  <conditionalFormatting sqref="AE94">
    <cfRule type="cellIs" dxfId="4818" priority="7109" stopIfTrue="1" operator="between">
      <formula>-0.15</formula>
      <formula>-0.0001</formula>
    </cfRule>
  </conditionalFormatting>
  <conditionalFormatting sqref="N71">
    <cfRule type="cellIs" dxfId="4817" priority="7002" stopIfTrue="1" operator="between">
      <formula>-350</formula>
      <formula>-1</formula>
    </cfRule>
  </conditionalFormatting>
  <conditionalFormatting sqref="AH71:AI71">
    <cfRule type="cellIs" dxfId="4816" priority="7000" stopIfTrue="1" operator="between">
      <formula>-0.15</formula>
      <formula>0.005</formula>
    </cfRule>
  </conditionalFormatting>
  <conditionalFormatting sqref="AE68">
    <cfRule type="cellIs" dxfId="4815" priority="6999" stopIfTrue="1" operator="between">
      <formula>-0.15</formula>
      <formula>-0.0001</formula>
    </cfRule>
  </conditionalFormatting>
  <conditionalFormatting sqref="AH619:AI619">
    <cfRule type="cellIs" dxfId="4814" priority="6914" stopIfTrue="1" operator="between">
      <formula>-0.15</formula>
      <formula>0.005</formula>
    </cfRule>
  </conditionalFormatting>
  <conditionalFormatting sqref="AE612">
    <cfRule type="cellIs" dxfId="4813" priority="6931" stopIfTrue="1" operator="between">
      <formula>-0.15</formula>
      <formula>-0.0001</formula>
    </cfRule>
  </conditionalFormatting>
  <conditionalFormatting sqref="AE70">
    <cfRule type="cellIs" dxfId="4812" priority="6990" stopIfTrue="1" operator="between">
      <formula>-0.15</formula>
      <formula>-0.0001</formula>
    </cfRule>
  </conditionalFormatting>
  <conditionalFormatting sqref="AH68:AI68">
    <cfRule type="cellIs" dxfId="4811" priority="6997" stopIfTrue="1" operator="between">
      <formula>-0.15</formula>
      <formula>0.005</formula>
    </cfRule>
  </conditionalFormatting>
  <conditionalFormatting sqref="N68">
    <cfRule type="cellIs" dxfId="4810" priority="6998" stopIfTrue="1" operator="between">
      <formula>-350</formula>
      <formula>-1</formula>
    </cfRule>
  </conditionalFormatting>
  <conditionalFormatting sqref="AE69">
    <cfRule type="cellIs" dxfId="4809" priority="6987" stopIfTrue="1" operator="between">
      <formula>-0.15</formula>
      <formula>-0.0001</formula>
    </cfRule>
  </conditionalFormatting>
  <conditionalFormatting sqref="AH70:AI70">
    <cfRule type="cellIs" dxfId="4808" priority="6988" stopIfTrue="1" operator="between">
      <formula>-0.15</formula>
      <formula>0.005</formula>
    </cfRule>
  </conditionalFormatting>
  <conditionalFormatting sqref="N70">
    <cfRule type="cellIs" dxfId="4807" priority="6989" stopIfTrue="1" operator="between">
      <formula>-350</formula>
      <formula>-1</formula>
    </cfRule>
  </conditionalFormatting>
  <conditionalFormatting sqref="AE614">
    <cfRule type="cellIs" dxfId="4806" priority="6934" stopIfTrue="1" operator="between">
      <formula>-0.15</formula>
      <formula>-0.0001</formula>
    </cfRule>
  </conditionalFormatting>
  <conditionalFormatting sqref="N615">
    <cfRule type="cellIs" dxfId="4805" priority="6913" stopIfTrue="1" operator="between">
      <formula>-350</formula>
      <formula>-1</formula>
    </cfRule>
  </conditionalFormatting>
  <conditionalFormatting sqref="AH69:AI69">
    <cfRule type="cellIs" dxfId="4804" priority="6985" stopIfTrue="1" operator="between">
      <formula>-0.15</formula>
      <formula>0.005</formula>
    </cfRule>
  </conditionalFormatting>
  <conditionalFormatting sqref="N69">
    <cfRule type="cellIs" dxfId="4803" priority="6986" stopIfTrue="1" operator="between">
      <formula>-350</formula>
      <formula>-1</formula>
    </cfRule>
  </conditionalFormatting>
  <conditionalFormatting sqref="AE619">
    <cfRule type="cellIs" dxfId="4802" priority="6915" stopIfTrue="1" operator="between">
      <formula>-0.15</formula>
      <formula>-0.0001</formula>
    </cfRule>
  </conditionalFormatting>
  <conditionalFormatting sqref="AH637:AI637">
    <cfRule type="cellIs" dxfId="4801" priority="6887" stopIfTrue="1" operator="between">
      <formula>-0.15</formula>
      <formula>0.005</formula>
    </cfRule>
  </conditionalFormatting>
  <conditionalFormatting sqref="N613">
    <cfRule type="cellIs" dxfId="4800" priority="6924" stopIfTrue="1" operator="between">
      <formula>-350</formula>
      <formula>-1</formula>
    </cfRule>
  </conditionalFormatting>
  <conditionalFormatting sqref="AE71">
    <cfRule type="cellIs" dxfId="4799" priority="7001" stopIfTrue="1" operator="between">
      <formula>-0.15</formula>
      <formula>-0.0001</formula>
    </cfRule>
  </conditionalFormatting>
  <conditionalFormatting sqref="N612">
    <cfRule type="cellIs" dxfId="4798" priority="6932" stopIfTrue="1" operator="between">
      <formula>-350</formula>
      <formula>-1</formula>
    </cfRule>
  </conditionalFormatting>
  <conditionalFormatting sqref="AE636">
    <cfRule type="cellIs" dxfId="4797" priority="6890" stopIfTrue="1" operator="between">
      <formula>-0.15</formula>
      <formula>-0.0001</formula>
    </cfRule>
  </conditionalFormatting>
  <conditionalFormatting sqref="AH614:AI614">
    <cfRule type="cellIs" dxfId="4796" priority="6933" stopIfTrue="1" operator="between">
      <formula>-0.15</formula>
      <formula>0.005</formula>
    </cfRule>
  </conditionalFormatting>
  <conditionalFormatting sqref="N616">
    <cfRule type="cellIs" dxfId="4795" priority="6905" stopIfTrue="1" operator="between">
      <formula>-350</formula>
      <formula>-1</formula>
    </cfRule>
  </conditionalFormatting>
  <conditionalFormatting sqref="AE613">
    <cfRule type="cellIs" dxfId="4794" priority="6926" stopIfTrue="1" operator="between">
      <formula>-0.15</formula>
      <formula>-0.0001</formula>
    </cfRule>
  </conditionalFormatting>
  <conditionalFormatting sqref="AH612:AI612">
    <cfRule type="cellIs" dxfId="4793" priority="6930" stopIfTrue="1" operator="between">
      <formula>-0.15</formula>
      <formula>0.005</formula>
    </cfRule>
  </conditionalFormatting>
  <conditionalFormatting sqref="AH613:AI613">
    <cfRule type="cellIs" dxfId="4792" priority="6925" stopIfTrue="1" operator="between">
      <formula>-0.15</formula>
      <formula>0.005</formula>
    </cfRule>
  </conditionalFormatting>
  <conditionalFormatting sqref="N618">
    <cfRule type="cellIs" dxfId="4791" priority="6908" stopIfTrue="1" operator="between">
      <formula>-350</formula>
      <formula>-1</formula>
    </cfRule>
  </conditionalFormatting>
  <conditionalFormatting sqref="AE637">
    <cfRule type="cellIs" dxfId="4790" priority="6888" stopIfTrue="1" operator="between">
      <formula>-0.15</formula>
      <formula>-0.0001</formula>
    </cfRule>
  </conditionalFormatting>
  <conditionalFormatting sqref="AH615:AI615">
    <cfRule type="cellIs" dxfId="4789" priority="6911" stopIfTrue="1" operator="between">
      <formula>-0.15</formula>
      <formula>0.005</formula>
    </cfRule>
  </conditionalFormatting>
  <conditionalFormatting sqref="AE618">
    <cfRule type="cellIs" dxfId="4788" priority="6910" stopIfTrue="1" operator="between">
      <formula>-0.15</formula>
      <formula>-0.0001</formula>
    </cfRule>
  </conditionalFormatting>
  <conditionalFormatting sqref="AH618:AI618">
    <cfRule type="cellIs" dxfId="4787" priority="6909" stopIfTrue="1" operator="between">
      <formula>-0.15</formula>
      <formula>0.005</formula>
    </cfRule>
  </conditionalFormatting>
  <conditionalFormatting sqref="AE624">
    <cfRule type="cellIs" dxfId="4786" priority="6874" stopIfTrue="1" operator="between">
      <formula>-0.15</formula>
      <formula>-0.0001</formula>
    </cfRule>
  </conditionalFormatting>
  <conditionalFormatting sqref="AH636:AI636">
    <cfRule type="cellIs" dxfId="4785" priority="6889" stopIfTrue="1" operator="between">
      <formula>-0.15</formula>
      <formula>0.005</formula>
    </cfRule>
  </conditionalFormatting>
  <conditionalFormatting sqref="AE638">
    <cfRule type="cellIs" dxfId="4784" priority="6893" stopIfTrue="1" operator="between">
      <formula>-0.15</formula>
      <formula>-0.0001</formula>
    </cfRule>
  </conditionalFormatting>
  <conditionalFormatting sqref="AH638:AI638">
    <cfRule type="cellIs" dxfId="4783" priority="6892" stopIfTrue="1" operator="between">
      <formula>-0.15</formula>
      <formula>0.005</formula>
    </cfRule>
  </conditionalFormatting>
  <conditionalFormatting sqref="N636">
    <cfRule type="cellIs" dxfId="4782" priority="6891" stopIfTrue="1" operator="between">
      <formula>-350</formula>
      <formula>-1</formula>
    </cfRule>
  </conditionalFormatting>
  <conditionalFormatting sqref="AE615">
    <cfRule type="cellIs" dxfId="4781" priority="6912" stopIfTrue="1" operator="between">
      <formula>-0.15</formula>
      <formula>-0.0001</formula>
    </cfRule>
  </conditionalFormatting>
  <conditionalFormatting sqref="AH621:AI621">
    <cfRule type="cellIs" dxfId="4780" priority="6865" stopIfTrue="1" operator="between">
      <formula>-0.15</formula>
      <formula>0.005</formula>
    </cfRule>
  </conditionalFormatting>
  <conditionalFormatting sqref="AE621">
    <cfRule type="cellIs" dxfId="4779" priority="6866" stopIfTrue="1" operator="between">
      <formula>-0.15</formula>
      <formula>-0.0001</formula>
    </cfRule>
  </conditionalFormatting>
  <conditionalFormatting sqref="AH624:AI624">
    <cfRule type="cellIs" dxfId="4778" priority="6873" stopIfTrue="1" operator="between">
      <formula>-0.15</formula>
      <formula>0.005</formula>
    </cfRule>
  </conditionalFormatting>
  <conditionalFormatting sqref="N620">
    <cfRule type="cellIs" dxfId="4777" priority="6872" stopIfTrue="1" operator="between">
      <formula>-350</formula>
      <formula>-1</formula>
    </cfRule>
  </conditionalFormatting>
  <conditionalFormatting sqref="AE616">
    <cfRule type="cellIs" dxfId="4776" priority="6907" stopIfTrue="1" operator="between">
      <formula>-0.15</formula>
      <formula>-0.0001</formula>
    </cfRule>
  </conditionalFormatting>
  <conditionalFormatting sqref="AH616:AI616">
    <cfRule type="cellIs" dxfId="4775" priority="6906" stopIfTrue="1" operator="between">
      <formula>-0.15</formula>
      <formula>0.005</formula>
    </cfRule>
  </conditionalFormatting>
  <conditionalFormatting sqref="AE620">
    <cfRule type="cellIs" dxfId="4774" priority="6871" stopIfTrue="1" operator="between">
      <formula>-0.15</formula>
      <formula>-0.0001</formula>
    </cfRule>
  </conditionalFormatting>
  <conditionalFormatting sqref="AH620:AI620">
    <cfRule type="cellIs" dxfId="4773" priority="6870" stopIfTrue="1" operator="between">
      <formula>-0.15</formula>
      <formula>0.005</formula>
    </cfRule>
  </conditionalFormatting>
  <conditionalFormatting sqref="N628">
    <cfRule type="cellIs" dxfId="4772" priority="6861" stopIfTrue="1" operator="between">
      <formula>-350</formula>
      <formula>-1</formula>
    </cfRule>
  </conditionalFormatting>
  <conditionalFormatting sqref="AE628">
    <cfRule type="cellIs" dxfId="4771" priority="6860" stopIfTrue="1" operator="between">
      <formula>-0.15</formula>
      <formula>-0.0001</formula>
    </cfRule>
  </conditionalFormatting>
  <conditionalFormatting sqref="AH628:AI628">
    <cfRule type="cellIs" dxfId="4770" priority="6859" stopIfTrue="1" operator="between">
      <formula>-0.15</formula>
      <formula>0.005</formula>
    </cfRule>
  </conditionalFormatting>
  <conditionalFormatting sqref="AE630">
    <cfRule type="cellIs" dxfId="4769" priority="6863" stopIfTrue="1" operator="between">
      <formula>-0.15</formula>
      <formula>-0.0001</formula>
    </cfRule>
  </conditionalFormatting>
  <conditionalFormatting sqref="AH630:AI630">
    <cfRule type="cellIs" dxfId="4768" priority="6862" stopIfTrue="1" operator="between">
      <formula>-0.15</formula>
      <formula>0.005</formula>
    </cfRule>
  </conditionalFormatting>
  <conditionalFormatting sqref="N629">
    <cfRule type="cellIs" dxfId="4767" priority="6853" stopIfTrue="1" operator="between">
      <formula>-350</formula>
      <formula>-1</formula>
    </cfRule>
  </conditionalFormatting>
  <conditionalFormatting sqref="AE623">
    <cfRule type="cellIs" dxfId="4766" priority="6869" stopIfTrue="1" operator="between">
      <formula>-0.15</formula>
      <formula>-0.0001</formula>
    </cfRule>
  </conditionalFormatting>
  <conditionalFormatting sqref="AH623:AI623">
    <cfRule type="cellIs" dxfId="4765" priority="6868" stopIfTrue="1" operator="between">
      <formula>-0.15</formula>
      <formula>0.005</formula>
    </cfRule>
  </conditionalFormatting>
  <conditionalFormatting sqref="N637">
    <cfRule type="cellIs" dxfId="4764" priority="6886" stopIfTrue="1" operator="between">
      <formula>-350</formula>
      <formula>-1</formula>
    </cfRule>
  </conditionalFormatting>
  <conditionalFormatting sqref="N625">
    <cfRule type="cellIs" dxfId="4763" priority="6850" stopIfTrue="1" operator="between">
      <formula>-350</formula>
      <formula>-1</formula>
    </cfRule>
  </conditionalFormatting>
  <conditionalFormatting sqref="AE625">
    <cfRule type="cellIs" dxfId="4762" priority="6849" stopIfTrue="1" operator="between">
      <formula>-0.15</formula>
      <formula>-0.0001</formula>
    </cfRule>
  </conditionalFormatting>
  <conditionalFormatting sqref="AH625:AI625">
    <cfRule type="cellIs" dxfId="4761" priority="6848" stopIfTrue="1" operator="between">
      <formula>-0.15</formula>
      <formula>0.005</formula>
    </cfRule>
  </conditionalFormatting>
  <conditionalFormatting sqref="N623">
    <cfRule type="cellIs" dxfId="4760" priority="6867" stopIfTrue="1" operator="between">
      <formula>-350</formula>
      <formula>-1</formula>
    </cfRule>
  </conditionalFormatting>
  <conditionalFormatting sqref="AE627">
    <cfRule type="cellIs" dxfId="4759" priority="6852" stopIfTrue="1" operator="between">
      <formula>-0.15</formula>
      <formula>-0.0001</formula>
    </cfRule>
  </conditionalFormatting>
  <conditionalFormatting sqref="AH627:AI627">
    <cfRule type="cellIs" dxfId="4758" priority="6851" stopIfTrue="1" operator="between">
      <formula>-0.15</formula>
      <formula>0.005</formula>
    </cfRule>
  </conditionalFormatting>
  <conditionalFormatting sqref="N626">
    <cfRule type="cellIs" dxfId="4757" priority="6842" stopIfTrue="1" operator="between">
      <formula>-350</formula>
      <formula>-1</formula>
    </cfRule>
  </conditionalFormatting>
  <conditionalFormatting sqref="AE629">
    <cfRule type="cellIs" dxfId="4756" priority="6855" stopIfTrue="1" operator="between">
      <formula>-0.15</formula>
      <formula>-0.0001</formula>
    </cfRule>
  </conditionalFormatting>
  <conditionalFormatting sqref="AH629:AI629">
    <cfRule type="cellIs" dxfId="4755" priority="6854" stopIfTrue="1" operator="between">
      <formula>-0.15</formula>
      <formula>0.005</formula>
    </cfRule>
  </conditionalFormatting>
  <conditionalFormatting sqref="AE626">
    <cfRule type="cellIs" dxfId="4754" priority="6844" stopIfTrue="1" operator="between">
      <formula>-0.15</formula>
      <formula>-0.0001</formula>
    </cfRule>
  </conditionalFormatting>
  <conditionalFormatting sqref="N621">
    <cfRule type="cellIs" dxfId="4753" priority="6864" stopIfTrue="1" operator="between">
      <formula>-350</formula>
      <formula>-1</formula>
    </cfRule>
  </conditionalFormatting>
  <conditionalFormatting sqref="AH626:AI626">
    <cfRule type="cellIs" dxfId="4752" priority="6843" stopIfTrue="1" operator="between">
      <formula>-0.15</formula>
      <formula>0.005</formula>
    </cfRule>
  </conditionalFormatting>
  <conditionalFormatting sqref="AE521:AE522">
    <cfRule type="cellIs" dxfId="4751" priority="6840" stopIfTrue="1" operator="between">
      <formula>-0.15</formula>
      <formula>-0.0001</formula>
    </cfRule>
  </conditionalFormatting>
  <conditionalFormatting sqref="AH521:AI522">
    <cfRule type="cellIs" dxfId="4750" priority="6839" stopIfTrue="1" operator="between">
      <formula>-0.15</formula>
      <formula>0.005</formula>
    </cfRule>
  </conditionalFormatting>
  <conditionalFormatting sqref="N521">
    <cfRule type="cellIs" dxfId="4749" priority="6841" stopIfTrue="1" operator="between">
      <formula>-350</formula>
      <formula>-1</formula>
    </cfRule>
  </conditionalFormatting>
  <conditionalFormatting sqref="AE519">
    <cfRule type="cellIs" dxfId="4748" priority="6837" stopIfTrue="1" operator="between">
      <formula>-0.15</formula>
      <formula>-0.0001</formula>
    </cfRule>
  </conditionalFormatting>
  <conditionalFormatting sqref="AH519:AI519">
    <cfRule type="cellIs" dxfId="4747" priority="6836" stopIfTrue="1" operator="between">
      <formula>-0.15</formula>
      <formula>0.005</formula>
    </cfRule>
  </conditionalFormatting>
  <conditionalFormatting sqref="N519">
    <cfRule type="cellIs" dxfId="4746" priority="6838" stopIfTrue="1" operator="between">
      <formula>-350</formula>
      <formula>-1</formula>
    </cfRule>
  </conditionalFormatting>
  <conditionalFormatting sqref="AE651">
    <cfRule type="cellIs" dxfId="4745" priority="6835" stopIfTrue="1" operator="between">
      <formula>-0.15</formula>
      <formula>-0.0001</formula>
    </cfRule>
  </conditionalFormatting>
  <conditionalFormatting sqref="AH651:AI651">
    <cfRule type="cellIs" dxfId="4744" priority="6834" stopIfTrue="1" operator="between">
      <formula>-0.15</formula>
      <formula>0.005</formula>
    </cfRule>
  </conditionalFormatting>
  <conditionalFormatting sqref="N649">
    <cfRule type="cellIs" dxfId="4743" priority="6833" stopIfTrue="1" operator="between">
      <formula>-350</formula>
      <formula>-1</formula>
    </cfRule>
  </conditionalFormatting>
  <conditionalFormatting sqref="AE649">
    <cfRule type="cellIs" dxfId="4742" priority="6832" stopIfTrue="1" operator="between">
      <formula>-0.15</formula>
      <formula>-0.0001</formula>
    </cfRule>
  </conditionalFormatting>
  <conditionalFormatting sqref="AH649:AI649">
    <cfRule type="cellIs" dxfId="4741" priority="6831" stopIfTrue="1" operator="between">
      <formula>-0.15</formula>
      <formula>0.005</formula>
    </cfRule>
  </conditionalFormatting>
  <conditionalFormatting sqref="AE650">
    <cfRule type="cellIs" dxfId="4740" priority="6827" stopIfTrue="1" operator="between">
      <formula>-0.15</formula>
      <formula>-0.0001</formula>
    </cfRule>
  </conditionalFormatting>
  <conditionalFormatting sqref="AH650:AI650">
    <cfRule type="cellIs" dxfId="4739" priority="6826" stopIfTrue="1" operator="between">
      <formula>-0.15</formula>
      <formula>0.005</formula>
    </cfRule>
  </conditionalFormatting>
  <conditionalFormatting sqref="N650">
    <cfRule type="cellIs" dxfId="4738" priority="6825" stopIfTrue="1" operator="between">
      <formula>-350</formula>
      <formula>-1</formula>
    </cfRule>
  </conditionalFormatting>
  <conditionalFormatting sqref="AE641">
    <cfRule type="cellIs" dxfId="4737" priority="6813" stopIfTrue="1" operator="between">
      <formula>-0.15</formula>
      <formula>-0.0001</formula>
    </cfRule>
  </conditionalFormatting>
  <conditionalFormatting sqref="AH641:AI641">
    <cfRule type="cellIs" dxfId="4736" priority="6812" stopIfTrue="1" operator="between">
      <formula>-0.15</formula>
      <formula>0.005</formula>
    </cfRule>
  </conditionalFormatting>
  <conditionalFormatting sqref="N639">
    <cfRule type="cellIs" dxfId="4735" priority="6811" stopIfTrue="1" operator="between">
      <formula>-350</formula>
      <formula>-1</formula>
    </cfRule>
  </conditionalFormatting>
  <conditionalFormatting sqref="AE639">
    <cfRule type="cellIs" dxfId="4734" priority="6810" stopIfTrue="1" operator="between">
      <formula>-0.15</formula>
      <formula>-0.0001</formula>
    </cfRule>
  </conditionalFormatting>
  <conditionalFormatting sqref="AH639:AI639">
    <cfRule type="cellIs" dxfId="4733" priority="6809" stopIfTrue="1" operator="between">
      <formula>-0.15</formula>
      <formula>0.005</formula>
    </cfRule>
  </conditionalFormatting>
  <conditionalFormatting sqref="AE640">
    <cfRule type="cellIs" dxfId="4732" priority="6805" stopIfTrue="1" operator="between">
      <formula>-0.15</formula>
      <formula>-0.0001</formula>
    </cfRule>
  </conditionalFormatting>
  <conditionalFormatting sqref="AH640:AI640">
    <cfRule type="cellIs" dxfId="4731" priority="6804" stopIfTrue="1" operator="between">
      <formula>-0.15</formula>
      <formula>0.005</formula>
    </cfRule>
  </conditionalFormatting>
  <conditionalFormatting sqref="N640">
    <cfRule type="cellIs" dxfId="4730" priority="6803" stopIfTrue="1" operator="between">
      <formula>-350</formula>
      <formula>-1</formula>
    </cfRule>
  </conditionalFormatting>
  <conditionalFormatting sqref="AE653">
    <cfRule type="cellIs" dxfId="4729" priority="6774" stopIfTrue="1" operator="between">
      <formula>-0.15</formula>
      <formula>-0.0001</formula>
    </cfRule>
  </conditionalFormatting>
  <conditionalFormatting sqref="AH653:AI653">
    <cfRule type="cellIs" dxfId="4728" priority="6773" stopIfTrue="1" operator="between">
      <formula>-0.15</formula>
      <formula>0.005</formula>
    </cfRule>
  </conditionalFormatting>
  <conditionalFormatting sqref="N653">
    <cfRule type="cellIs" dxfId="4727" priority="6772" stopIfTrue="1" operator="between">
      <formula>-350</formula>
      <formula>-1</formula>
    </cfRule>
  </conditionalFormatting>
  <conditionalFormatting sqref="AE647">
    <cfRule type="cellIs" dxfId="4726" priority="6752" stopIfTrue="1" operator="between">
      <formula>-0.15</formula>
      <formula>-0.0001</formula>
    </cfRule>
  </conditionalFormatting>
  <conditionalFormatting sqref="AH647:AI647">
    <cfRule type="cellIs" dxfId="4725" priority="6751" stopIfTrue="1" operator="between">
      <formula>-0.15</formula>
      <formula>0.005</formula>
    </cfRule>
  </conditionalFormatting>
  <conditionalFormatting sqref="N647">
    <cfRule type="cellIs" dxfId="4724" priority="6750" stopIfTrue="1" operator="between">
      <formula>-350</formula>
      <formula>-1</formula>
    </cfRule>
  </conditionalFormatting>
  <conditionalFormatting sqref="AE1269">
    <cfRule type="cellIs" dxfId="4723" priority="6782" stopIfTrue="1" operator="between">
      <formula>-0.15</formula>
      <formula>-0.0001</formula>
    </cfRule>
  </conditionalFormatting>
  <conditionalFormatting sqref="AH1269:AI1269">
    <cfRule type="cellIs" dxfId="4722" priority="6781" stopIfTrue="1" operator="between">
      <formula>-0.15</formula>
      <formula>0.005</formula>
    </cfRule>
  </conditionalFormatting>
  <conditionalFormatting sqref="N1269">
    <cfRule type="cellIs" dxfId="4721" priority="6780" stopIfTrue="1" operator="between">
      <formula>-350</formula>
      <formula>-1</formula>
    </cfRule>
  </conditionalFormatting>
  <conditionalFormatting sqref="AE654">
    <cfRule type="cellIs" dxfId="4720" priority="6779" stopIfTrue="1" operator="between">
      <formula>-0.15</formula>
      <formula>-0.0001</formula>
    </cfRule>
  </conditionalFormatting>
  <conditionalFormatting sqref="AH654:AI654">
    <cfRule type="cellIs" dxfId="4719" priority="6778" stopIfTrue="1" operator="between">
      <formula>-0.15</formula>
      <formula>0.005</formula>
    </cfRule>
  </conditionalFormatting>
  <conditionalFormatting sqref="N652">
    <cfRule type="cellIs" dxfId="4718" priority="6777" stopIfTrue="1" operator="between">
      <formula>-350</formula>
      <formula>-1</formula>
    </cfRule>
  </conditionalFormatting>
  <conditionalFormatting sqref="AE652">
    <cfRule type="cellIs" dxfId="4717" priority="6776" stopIfTrue="1" operator="between">
      <formula>-0.15</formula>
      <formula>-0.0001</formula>
    </cfRule>
  </conditionalFormatting>
  <conditionalFormatting sqref="AH652:AI652">
    <cfRule type="cellIs" dxfId="4716" priority="6775" stopIfTrue="1" operator="between">
      <formula>-0.15</formula>
      <formula>0.005</formula>
    </cfRule>
  </conditionalFormatting>
  <conditionalFormatting sqref="AE642">
    <cfRule type="cellIs" dxfId="4715" priority="6738" stopIfTrue="1" operator="between">
      <formula>-0.15</formula>
      <formula>-0.0001</formula>
    </cfRule>
  </conditionalFormatting>
  <conditionalFormatting sqref="AH642:AI642">
    <cfRule type="cellIs" dxfId="4714" priority="6737" stopIfTrue="1" operator="between">
      <formula>-0.15</formula>
      <formula>0.005</formula>
    </cfRule>
  </conditionalFormatting>
  <conditionalFormatting sqref="AE644">
    <cfRule type="cellIs" dxfId="4713" priority="6741" stopIfTrue="1" operator="between">
      <formula>-0.15</formula>
      <formula>-0.0001</formula>
    </cfRule>
  </conditionalFormatting>
  <conditionalFormatting sqref="AH644:AI644">
    <cfRule type="cellIs" dxfId="4712" priority="6740" stopIfTrue="1" operator="between">
      <formula>-0.15</formula>
      <formula>0.005</formula>
    </cfRule>
  </conditionalFormatting>
  <conditionalFormatting sqref="N642">
    <cfRule type="cellIs" dxfId="4711" priority="6739" stopIfTrue="1" operator="between">
      <formula>-350</formula>
      <formula>-1</formula>
    </cfRule>
  </conditionalFormatting>
  <conditionalFormatting sqref="AE648">
    <cfRule type="cellIs" dxfId="4710" priority="6760" stopIfTrue="1" operator="between">
      <formula>-0.15</formula>
      <formula>-0.0001</formula>
    </cfRule>
  </conditionalFormatting>
  <conditionalFormatting sqref="AH648:AI648">
    <cfRule type="cellIs" dxfId="4709" priority="6759" stopIfTrue="1" operator="between">
      <formula>-0.15</formula>
      <formula>0.005</formula>
    </cfRule>
  </conditionalFormatting>
  <conditionalFormatting sqref="N645">
    <cfRule type="cellIs" dxfId="4708" priority="6758" stopIfTrue="1" operator="between">
      <formula>-350</formula>
      <formula>-1</formula>
    </cfRule>
  </conditionalFormatting>
  <conditionalFormatting sqref="AE645">
    <cfRule type="cellIs" dxfId="4707" priority="6757" stopIfTrue="1" operator="between">
      <formula>-0.15</formula>
      <formula>-0.0001</formula>
    </cfRule>
  </conditionalFormatting>
  <conditionalFormatting sqref="AH645:AI645">
    <cfRule type="cellIs" dxfId="4706" priority="6756" stopIfTrue="1" operator="between">
      <formula>-0.15</formula>
      <formula>0.005</formula>
    </cfRule>
  </conditionalFormatting>
  <conditionalFormatting sqref="AE643">
    <cfRule type="cellIs" dxfId="4705" priority="6733" stopIfTrue="1" operator="between">
      <formula>-0.15</formula>
      <formula>-0.0001</formula>
    </cfRule>
  </conditionalFormatting>
  <conditionalFormatting sqref="AH643:AI643">
    <cfRule type="cellIs" dxfId="4704" priority="6732" stopIfTrue="1" operator="between">
      <formula>-0.15</formula>
      <formula>0.005</formula>
    </cfRule>
  </conditionalFormatting>
  <conditionalFormatting sqref="AE1714">
    <cfRule type="cellIs" dxfId="4703" priority="6700" stopIfTrue="1" operator="between">
      <formula>-0.15</formula>
      <formula>-0.0001</formula>
    </cfRule>
  </conditionalFormatting>
  <conditionalFormatting sqref="AH1714:AI1714">
    <cfRule type="cellIs" dxfId="4702" priority="6699" stopIfTrue="1" operator="between">
      <formula>-0.15</formula>
      <formula>0.005</formula>
    </cfRule>
  </conditionalFormatting>
  <conditionalFormatting sqref="N643">
    <cfRule type="cellIs" dxfId="4701" priority="6731" stopIfTrue="1" operator="between">
      <formula>-350</formula>
      <formula>-1</formula>
    </cfRule>
  </conditionalFormatting>
  <conditionalFormatting sqref="AE1508">
    <cfRule type="cellIs" dxfId="4700" priority="6686" stopIfTrue="1" operator="between">
      <formula>-0.15</formula>
      <formula>-0.0001</formula>
    </cfRule>
  </conditionalFormatting>
  <conditionalFormatting sqref="AH1508:AI1508">
    <cfRule type="cellIs" dxfId="4699" priority="6685" stopIfTrue="1" operator="between">
      <formula>-0.15</formula>
      <formula>0.005</formula>
    </cfRule>
  </conditionalFormatting>
  <conditionalFormatting sqref="AE1713">
    <cfRule type="cellIs" dxfId="4698" priority="6692" stopIfTrue="1" operator="between">
      <formula>-0.15</formula>
      <formula>-0.0001</formula>
    </cfRule>
  </conditionalFormatting>
  <conditionalFormatting sqref="AH1713:AI1713">
    <cfRule type="cellIs" dxfId="4697" priority="6691" stopIfTrue="1" operator="between">
      <formula>-0.15</formula>
      <formula>0.005</formula>
    </cfRule>
  </conditionalFormatting>
  <conditionalFormatting sqref="N1713">
    <cfRule type="cellIs" dxfId="4696" priority="6690" stopIfTrue="1" operator="between">
      <formula>-350</formula>
      <formula>-1</formula>
    </cfRule>
  </conditionalFormatting>
  <conditionalFormatting sqref="N1508">
    <cfRule type="cellIs" dxfId="4695" priority="6684" stopIfTrue="1" operator="between">
      <formula>-350</formula>
      <formula>-1</formula>
    </cfRule>
  </conditionalFormatting>
  <conditionalFormatting sqref="AE1711">
    <cfRule type="cellIs" dxfId="4694" priority="6698" stopIfTrue="1" operator="between">
      <formula>-0.15</formula>
      <formula>-0.0001</formula>
    </cfRule>
  </conditionalFormatting>
  <conditionalFormatting sqref="AH1711:AI1711">
    <cfRule type="cellIs" dxfId="4693" priority="6697" stopIfTrue="1" operator="between">
      <formula>-0.15</formula>
      <formula>0.005</formula>
    </cfRule>
  </conditionalFormatting>
  <conditionalFormatting sqref="N1711">
    <cfRule type="cellIs" dxfId="4692" priority="6696" stopIfTrue="1" operator="between">
      <formula>-350</formula>
      <formula>-1</formula>
    </cfRule>
  </conditionalFormatting>
  <conditionalFormatting sqref="AE663">
    <cfRule type="cellIs" dxfId="4691" priority="6618" stopIfTrue="1" operator="between">
      <formula>-0.15</formula>
      <formula>-0.0001</formula>
    </cfRule>
  </conditionalFormatting>
  <conditionalFormatting sqref="AH663:AI663">
    <cfRule type="cellIs" dxfId="4690" priority="6617" stopIfTrue="1" operator="between">
      <formula>-0.15</formula>
      <formula>0.005</formula>
    </cfRule>
  </conditionalFormatting>
  <conditionalFormatting sqref="AE657">
    <cfRule type="cellIs" dxfId="4689" priority="6656" stopIfTrue="1" operator="between">
      <formula>-0.15</formula>
      <formula>-0.0001</formula>
    </cfRule>
  </conditionalFormatting>
  <conditionalFormatting sqref="AH657:AI657">
    <cfRule type="cellIs" dxfId="4688" priority="6655" stopIfTrue="1" operator="between">
      <formula>-0.15</formula>
      <formula>0.005</formula>
    </cfRule>
  </conditionalFormatting>
  <conditionalFormatting sqref="N655">
    <cfRule type="cellIs" dxfId="4687" priority="6654" stopIfTrue="1" operator="between">
      <formula>-350</formula>
      <formula>-1</formula>
    </cfRule>
  </conditionalFormatting>
  <conditionalFormatting sqref="AE655">
    <cfRule type="cellIs" dxfId="4686" priority="6653" stopIfTrue="1" operator="between">
      <formula>-0.15</formula>
      <formula>-0.0001</formula>
    </cfRule>
  </conditionalFormatting>
  <conditionalFormatting sqref="AH655:AI655">
    <cfRule type="cellIs" dxfId="4685" priority="6652" stopIfTrue="1" operator="between">
      <formula>-0.15</formula>
      <formula>0.005</formula>
    </cfRule>
  </conditionalFormatting>
  <conditionalFormatting sqref="AE658">
    <cfRule type="cellIs" dxfId="4684" priority="6602" stopIfTrue="1" operator="between">
      <formula>-0.15</formula>
      <formula>-0.0001</formula>
    </cfRule>
  </conditionalFormatting>
  <conditionalFormatting sqref="AH658:AI658">
    <cfRule type="cellIs" dxfId="4683" priority="6601" stopIfTrue="1" operator="between">
      <formula>-0.15</formula>
      <formula>0.005</formula>
    </cfRule>
  </conditionalFormatting>
  <conditionalFormatting sqref="N2249">
    <cfRule type="cellIs" dxfId="4682" priority="6592" stopIfTrue="1" operator="between">
      <formula>-350</formula>
      <formula>-1</formula>
    </cfRule>
  </conditionalFormatting>
  <conditionalFormatting sqref="AE2240:AE2241">
    <cfRule type="cellIs" dxfId="4681" priority="6591" stopIfTrue="1" operator="between">
      <formula>-0.15</formula>
      <formula>-0.0001</formula>
    </cfRule>
  </conditionalFormatting>
  <conditionalFormatting sqref="AH2240:AI2241">
    <cfRule type="cellIs" dxfId="4680" priority="6590" stopIfTrue="1" operator="between">
      <formula>-0.15</formula>
      <formula>0.005</formula>
    </cfRule>
  </conditionalFormatting>
  <conditionalFormatting sqref="N2240">
    <cfRule type="cellIs" dxfId="4679" priority="6589" stopIfTrue="1" operator="between">
      <formula>-350</formula>
      <formula>-1</formula>
    </cfRule>
  </conditionalFormatting>
  <conditionalFormatting sqref="AE2246:AE2247">
    <cfRule type="cellIs" dxfId="4678" priority="6588" stopIfTrue="1" operator="between">
      <formula>-0.15</formula>
      <formula>-0.0001</formula>
    </cfRule>
  </conditionalFormatting>
  <conditionalFormatting sqref="AH2246:AI2247">
    <cfRule type="cellIs" dxfId="4677" priority="6587" stopIfTrue="1" operator="between">
      <formula>-0.15</formula>
      <formula>0.005</formula>
    </cfRule>
  </conditionalFormatting>
  <conditionalFormatting sqref="AE656">
    <cfRule type="cellIs" dxfId="4676" priority="6624" stopIfTrue="1" operator="between">
      <formula>-0.15</formula>
      <formula>-0.0001</formula>
    </cfRule>
  </conditionalFormatting>
  <conditionalFormatting sqref="AH656:AI656">
    <cfRule type="cellIs" dxfId="4675" priority="6623" stopIfTrue="1" operator="between">
      <formula>-0.15</formula>
      <formula>0.005</formula>
    </cfRule>
  </conditionalFormatting>
  <conditionalFormatting sqref="N656">
    <cfRule type="cellIs" dxfId="4674" priority="6622" stopIfTrue="1" operator="between">
      <formula>-350</formula>
      <formula>-1</formula>
    </cfRule>
  </conditionalFormatting>
  <conditionalFormatting sqref="AE666">
    <cfRule type="cellIs" dxfId="4673" priority="6621" stopIfTrue="1" operator="between">
      <formula>-0.15</formula>
      <formula>-0.0001</formula>
    </cfRule>
  </conditionalFormatting>
  <conditionalFormatting sqref="AH666:AI666">
    <cfRule type="cellIs" dxfId="4672" priority="6620" stopIfTrue="1" operator="between">
      <formula>-0.15</formula>
      <formula>0.005</formula>
    </cfRule>
  </conditionalFormatting>
  <conditionalFormatting sqref="N663">
    <cfRule type="cellIs" dxfId="4671" priority="6619" stopIfTrue="1" operator="between">
      <formula>-350</formula>
      <formula>-1</formula>
    </cfRule>
  </conditionalFormatting>
  <conditionalFormatting sqref="AE2249:AE2250">
    <cfRule type="cellIs" dxfId="4670" priority="6594" stopIfTrue="1" operator="between">
      <formula>-0.15</formula>
      <formula>-0.0001</formula>
    </cfRule>
  </conditionalFormatting>
  <conditionalFormatting sqref="AH2249:AI2250">
    <cfRule type="cellIs" dxfId="4669" priority="6593" stopIfTrue="1" operator="between">
      <formula>-0.15</formula>
      <formula>0.005</formula>
    </cfRule>
  </conditionalFormatting>
  <conditionalFormatting sqref="AE665">
    <cfRule type="cellIs" dxfId="4668" priority="6616" stopIfTrue="1" operator="between">
      <formula>-0.15</formula>
      <formula>-0.0001</formula>
    </cfRule>
  </conditionalFormatting>
  <conditionalFormatting sqref="AH665:AI665">
    <cfRule type="cellIs" dxfId="4667" priority="6615" stopIfTrue="1" operator="between">
      <formula>-0.15</formula>
      <formula>0.005</formula>
    </cfRule>
  </conditionalFormatting>
  <conditionalFormatting sqref="N665">
    <cfRule type="cellIs" dxfId="4666" priority="6614" stopIfTrue="1" operator="between">
      <formula>-350</formula>
      <formula>-1</formula>
    </cfRule>
  </conditionalFormatting>
  <conditionalFormatting sqref="N2246">
    <cfRule type="cellIs" dxfId="4665" priority="6586" stopIfTrue="1" operator="between">
      <formula>-350</formula>
      <formula>-1</formula>
    </cfRule>
  </conditionalFormatting>
  <conditionalFormatting sqref="AE661">
    <cfRule type="cellIs" dxfId="4664" priority="6600" stopIfTrue="1" operator="between">
      <formula>-0.15</formula>
      <formula>-0.0001</formula>
    </cfRule>
  </conditionalFormatting>
  <conditionalFormatting sqref="AH661:AI661">
    <cfRule type="cellIs" dxfId="4663" priority="6599" stopIfTrue="1" operator="between">
      <formula>-0.15</formula>
      <formula>0.005</formula>
    </cfRule>
  </conditionalFormatting>
  <conditionalFormatting sqref="AE662">
    <cfRule type="cellIs" dxfId="4662" priority="6605" stopIfTrue="1" operator="between">
      <formula>-0.15</formula>
      <formula>-0.0001</formula>
    </cfRule>
  </conditionalFormatting>
  <conditionalFormatting sqref="AH662:AI662">
    <cfRule type="cellIs" dxfId="4661" priority="6604" stopIfTrue="1" operator="between">
      <formula>-0.15</formula>
      <formula>0.005</formula>
    </cfRule>
  </conditionalFormatting>
  <conditionalFormatting sqref="N658">
    <cfRule type="cellIs" dxfId="4660" priority="6603" stopIfTrue="1" operator="between">
      <formula>-350</formula>
      <formula>-1</formula>
    </cfRule>
  </conditionalFormatting>
  <conditionalFormatting sqref="N661">
    <cfRule type="cellIs" dxfId="4659" priority="6598" stopIfTrue="1" operator="between">
      <formula>-350</formula>
      <formula>-1</formula>
    </cfRule>
  </conditionalFormatting>
  <conditionalFormatting sqref="AE2251:AE2252">
    <cfRule type="cellIs" dxfId="4658" priority="6597" stopIfTrue="1" operator="between">
      <formula>-0.15</formula>
      <formula>-0.0001</formula>
    </cfRule>
  </conditionalFormatting>
  <conditionalFormatting sqref="AH2251:AI2252">
    <cfRule type="cellIs" dxfId="4657" priority="6596" stopIfTrue="1" operator="between">
      <formula>-0.15</formula>
      <formula>0.005</formula>
    </cfRule>
  </conditionalFormatting>
  <conditionalFormatting sqref="N2251">
    <cfRule type="cellIs" dxfId="4656" priority="6595" stopIfTrue="1" operator="between">
      <formula>-350</formula>
      <formula>-1</formula>
    </cfRule>
  </conditionalFormatting>
  <conditionalFormatting sqref="N235">
    <cfRule type="cellIs" dxfId="4655" priority="6550" stopIfTrue="1" operator="between">
      <formula>-350</formula>
      <formula>-1</formula>
    </cfRule>
  </conditionalFormatting>
  <conditionalFormatting sqref="AE2139:AE2140">
    <cfRule type="cellIs" dxfId="4654" priority="6582" stopIfTrue="1" operator="between">
      <formula>-0.15</formula>
      <formula>-0.0001</formula>
    </cfRule>
  </conditionalFormatting>
  <conditionalFormatting sqref="AH2139:AI2140">
    <cfRule type="cellIs" dxfId="4653" priority="6581" stopIfTrue="1" operator="between">
      <formula>-0.15</formula>
      <formula>0.005</formula>
    </cfRule>
  </conditionalFormatting>
  <conditionalFormatting sqref="N2139">
    <cfRule type="cellIs" dxfId="4652" priority="6580" stopIfTrue="1" operator="between">
      <formula>-350</formula>
      <formula>-1</formula>
    </cfRule>
  </conditionalFormatting>
  <conditionalFormatting sqref="AE2201:AE2202">
    <cfRule type="cellIs" dxfId="4651" priority="6579" stopIfTrue="1" operator="between">
      <formula>-0.15</formula>
      <formula>-0.0001</formula>
    </cfRule>
  </conditionalFormatting>
  <conditionalFormatting sqref="AH2201:AI2202">
    <cfRule type="cellIs" dxfId="4650" priority="6578" stopIfTrue="1" operator="between">
      <formula>-0.15</formula>
      <formula>0.005</formula>
    </cfRule>
  </conditionalFormatting>
  <conditionalFormatting sqref="N2201">
    <cfRule type="cellIs" dxfId="4649" priority="6577" stopIfTrue="1" operator="between">
      <formula>-350</formula>
      <formula>-1</formula>
    </cfRule>
  </conditionalFormatting>
  <conditionalFormatting sqref="AE236">
    <cfRule type="cellIs" dxfId="4648" priority="6554" stopIfTrue="1" operator="between">
      <formula>-0.15</formula>
      <formula>-0.0001</formula>
    </cfRule>
  </conditionalFormatting>
  <conditionalFormatting sqref="AH236:AI236">
    <cfRule type="cellIs" dxfId="4647" priority="6552" stopIfTrue="1" operator="between">
      <formula>-0.15</formula>
      <formula>0.005</formula>
    </cfRule>
  </conditionalFormatting>
  <conditionalFormatting sqref="N236">
    <cfRule type="cellIs" dxfId="4646" priority="6553" stopIfTrue="1" operator="between">
      <formula>-350</formula>
      <formula>-1</formula>
    </cfRule>
  </conditionalFormatting>
  <conditionalFormatting sqref="AH235:AI235">
    <cfRule type="cellIs" dxfId="4645" priority="6549" stopIfTrue="1" operator="between">
      <formula>-0.15</formula>
      <formula>0.005</formula>
    </cfRule>
  </conditionalFormatting>
  <conditionalFormatting sqref="AE235">
    <cfRule type="cellIs" dxfId="4644" priority="6551" stopIfTrue="1" operator="between">
      <formula>-0.15</formula>
      <formula>-0.0001</formula>
    </cfRule>
  </conditionalFormatting>
  <conditionalFormatting sqref="AE2211:AE2212">
    <cfRule type="cellIs" dxfId="4643" priority="6548" stopIfTrue="1" operator="between">
      <formula>-0.15</formula>
      <formula>-0.0001</formula>
    </cfRule>
  </conditionalFormatting>
  <conditionalFormatting sqref="AH2211:AI2212">
    <cfRule type="cellIs" dxfId="4642" priority="6547" stopIfTrue="1" operator="between">
      <formula>-0.15</formula>
      <formula>0.005</formula>
    </cfRule>
  </conditionalFormatting>
  <conditionalFormatting sqref="N2211">
    <cfRule type="cellIs" dxfId="4641" priority="6546" stopIfTrue="1" operator="between">
      <formula>-350</formula>
      <formula>-1</formula>
    </cfRule>
  </conditionalFormatting>
  <conditionalFormatting sqref="AE2209:AE2210">
    <cfRule type="cellIs" dxfId="4640" priority="6545" stopIfTrue="1" operator="between">
      <formula>-0.15</formula>
      <formula>-0.0001</formula>
    </cfRule>
  </conditionalFormatting>
  <conditionalFormatting sqref="AH2209:AI2210">
    <cfRule type="cellIs" dxfId="4639" priority="6544" stopIfTrue="1" operator="between">
      <formula>-0.15</formula>
      <formula>0.005</formula>
    </cfRule>
  </conditionalFormatting>
  <conditionalFormatting sqref="N2209">
    <cfRule type="cellIs" dxfId="4638" priority="6543" stopIfTrue="1" operator="between">
      <formula>-350</formula>
      <formula>-1</formula>
    </cfRule>
  </conditionalFormatting>
  <conditionalFormatting sqref="AE1027">
    <cfRule type="cellIs" dxfId="4637" priority="6542" stopIfTrue="1" operator="between">
      <formula>-0.15</formula>
      <formula>-0.0001</formula>
    </cfRule>
  </conditionalFormatting>
  <conditionalFormatting sqref="AH1027:AI1027">
    <cfRule type="cellIs" dxfId="4636" priority="6541" stopIfTrue="1" operator="between">
      <formula>-0.15</formula>
      <formula>0.005</formula>
    </cfRule>
  </conditionalFormatting>
  <conditionalFormatting sqref="N1025">
    <cfRule type="cellIs" dxfId="4635" priority="6540" stopIfTrue="1" operator="between">
      <formula>-350</formula>
      <formula>-1</formula>
    </cfRule>
  </conditionalFormatting>
  <conditionalFormatting sqref="AE1025">
    <cfRule type="cellIs" dxfId="4634" priority="6539" stopIfTrue="1" operator="between">
      <formula>-0.15</formula>
      <formula>-0.0001</formula>
    </cfRule>
  </conditionalFormatting>
  <conditionalFormatting sqref="AH1025:AI1025">
    <cfRule type="cellIs" dxfId="4633" priority="6538" stopIfTrue="1" operator="between">
      <formula>-0.15</formula>
      <formula>0.005</formula>
    </cfRule>
  </conditionalFormatting>
  <conditionalFormatting sqref="AE1026">
    <cfRule type="cellIs" dxfId="4632" priority="6537" stopIfTrue="1" operator="between">
      <formula>-0.15</formula>
      <formula>-0.0001</formula>
    </cfRule>
  </conditionalFormatting>
  <conditionalFormatting sqref="AH1026:AI1026">
    <cfRule type="cellIs" dxfId="4631" priority="6536" stopIfTrue="1" operator="between">
      <formula>-0.15</formula>
      <formula>0.005</formula>
    </cfRule>
  </conditionalFormatting>
  <conditionalFormatting sqref="N1026">
    <cfRule type="cellIs" dxfId="4630" priority="6535" stopIfTrue="1" operator="between">
      <formula>-350</formula>
      <formula>-1</formula>
    </cfRule>
  </conditionalFormatting>
  <conditionalFormatting sqref="AE668">
    <cfRule type="cellIs" dxfId="4629" priority="6521" stopIfTrue="1" operator="between">
      <formula>-0.15</formula>
      <formula>-0.0001</formula>
    </cfRule>
  </conditionalFormatting>
  <conditionalFormatting sqref="AH668:AI668">
    <cfRule type="cellIs" dxfId="4628" priority="6520" stopIfTrue="1" operator="between">
      <formula>-0.15</formula>
      <formula>0.005</formula>
    </cfRule>
  </conditionalFormatting>
  <conditionalFormatting sqref="AE670">
    <cfRule type="cellIs" dxfId="4627" priority="6496" stopIfTrue="1" operator="between">
      <formula>-0.15</formula>
      <formula>-0.0001</formula>
    </cfRule>
  </conditionalFormatting>
  <conditionalFormatting sqref="AH670:AI670">
    <cfRule type="cellIs" dxfId="4626" priority="6495" stopIfTrue="1" operator="between">
      <formula>-0.15</formula>
      <formula>0.005</formula>
    </cfRule>
  </conditionalFormatting>
  <conditionalFormatting sqref="AE669">
    <cfRule type="cellIs" dxfId="4625" priority="6526" stopIfTrue="1" operator="between">
      <formula>-0.15</formula>
      <formula>-0.0001</formula>
    </cfRule>
  </conditionalFormatting>
  <conditionalFormatting sqref="AH669:AI669">
    <cfRule type="cellIs" dxfId="4624" priority="6525" stopIfTrue="1" operator="between">
      <formula>-0.15</formula>
      <formula>0.005</formula>
    </cfRule>
  </conditionalFormatting>
  <conditionalFormatting sqref="N667">
    <cfRule type="cellIs" dxfId="4623" priority="6524" stopIfTrue="1" operator="between">
      <formula>-350</formula>
      <formula>-1</formula>
    </cfRule>
  </conditionalFormatting>
  <conditionalFormatting sqref="AE667">
    <cfRule type="cellIs" dxfId="4622" priority="6523" stopIfTrue="1" operator="between">
      <formula>-0.15</formula>
      <formula>-0.0001</formula>
    </cfRule>
  </conditionalFormatting>
  <conditionalFormatting sqref="AH667:AI667">
    <cfRule type="cellIs" dxfId="4621" priority="6522" stopIfTrue="1" operator="between">
      <formula>-0.15</formula>
      <formula>0.005</formula>
    </cfRule>
  </conditionalFormatting>
  <conditionalFormatting sqref="N668">
    <cfRule type="cellIs" dxfId="4620" priority="6519" stopIfTrue="1" operator="between">
      <formula>-350</formula>
      <formula>-1</formula>
    </cfRule>
  </conditionalFormatting>
  <conditionalFormatting sqref="AE1661">
    <cfRule type="cellIs" dxfId="4619" priority="6485" stopIfTrue="1" operator="between">
      <formula>-0.15</formula>
      <formula>-0.0001</formula>
    </cfRule>
  </conditionalFormatting>
  <conditionalFormatting sqref="AH1661:AI1661">
    <cfRule type="cellIs" dxfId="4618" priority="6484" stopIfTrue="1" operator="between">
      <formula>-0.15</formula>
      <formula>0.005</formula>
    </cfRule>
  </conditionalFormatting>
  <conditionalFormatting sqref="AE674">
    <cfRule type="cellIs" dxfId="4617" priority="6502" stopIfTrue="1" operator="between">
      <formula>-0.15</formula>
      <formula>-0.0001</formula>
    </cfRule>
  </conditionalFormatting>
  <conditionalFormatting sqref="AH674:AI674">
    <cfRule type="cellIs" dxfId="4616" priority="6501" stopIfTrue="1" operator="between">
      <formula>-0.15</formula>
      <formula>0.005</formula>
    </cfRule>
  </conditionalFormatting>
  <conditionalFormatting sqref="AE675">
    <cfRule type="cellIs" dxfId="4615" priority="6510" stopIfTrue="1" operator="between">
      <formula>-0.15</formula>
      <formula>-0.0001</formula>
    </cfRule>
  </conditionalFormatting>
  <conditionalFormatting sqref="AH675:AI675">
    <cfRule type="cellIs" dxfId="4614" priority="6509" stopIfTrue="1" operator="between">
      <formula>-0.15</formula>
      <formula>0.005</formula>
    </cfRule>
  </conditionalFormatting>
  <conditionalFormatting sqref="N673">
    <cfRule type="cellIs" dxfId="4613" priority="6508" stopIfTrue="1" operator="between">
      <formula>-350</formula>
      <formula>-1</formula>
    </cfRule>
  </conditionalFormatting>
  <conditionalFormatting sqref="AE673">
    <cfRule type="cellIs" dxfId="4612" priority="6507" stopIfTrue="1" operator="between">
      <formula>-0.15</formula>
      <formula>-0.0001</formula>
    </cfRule>
  </conditionalFormatting>
  <conditionalFormatting sqref="AH673:AI673">
    <cfRule type="cellIs" dxfId="4611" priority="6506" stopIfTrue="1" operator="between">
      <formula>-0.15</formula>
      <formula>0.005</formula>
    </cfRule>
  </conditionalFormatting>
  <conditionalFormatting sqref="N674">
    <cfRule type="cellIs" dxfId="4610" priority="6500" stopIfTrue="1" operator="between">
      <formula>-350</formula>
      <formula>-1</formula>
    </cfRule>
  </conditionalFormatting>
  <conditionalFormatting sqref="AE672">
    <cfRule type="cellIs" dxfId="4609" priority="6499" stopIfTrue="1" operator="between">
      <formula>-0.15</formula>
      <formula>-0.0001</formula>
    </cfRule>
  </conditionalFormatting>
  <conditionalFormatting sqref="AH672:AI672">
    <cfRule type="cellIs" dxfId="4608" priority="6498" stopIfTrue="1" operator="between">
      <formula>-0.15</formula>
      <formula>0.005</formula>
    </cfRule>
  </conditionalFormatting>
  <conditionalFormatting sqref="N670">
    <cfRule type="cellIs" dxfId="4607" priority="6497" stopIfTrue="1" operator="between">
      <formula>-350</formula>
      <formula>-1</formula>
    </cfRule>
  </conditionalFormatting>
  <conditionalFormatting sqref="AE671">
    <cfRule type="cellIs" dxfId="4606" priority="6491" stopIfTrue="1" operator="between">
      <formula>-0.15</formula>
      <formula>-0.0001</formula>
    </cfRule>
  </conditionalFormatting>
  <conditionalFormatting sqref="AH671:AI671">
    <cfRule type="cellIs" dxfId="4605" priority="6490" stopIfTrue="1" operator="between">
      <formula>-0.15</formula>
      <formula>0.005</formula>
    </cfRule>
  </conditionalFormatting>
  <conditionalFormatting sqref="N671">
    <cfRule type="cellIs" dxfId="4604" priority="6489" stopIfTrue="1" operator="between">
      <formula>-350</formula>
      <formula>-1</formula>
    </cfRule>
  </conditionalFormatting>
  <conditionalFormatting sqref="AE1656">
    <cfRule type="cellIs" dxfId="4603" priority="6483" stopIfTrue="1" operator="between">
      <formula>-0.15</formula>
      <formula>-0.0001</formula>
    </cfRule>
  </conditionalFormatting>
  <conditionalFormatting sqref="AH1656:AI1656">
    <cfRule type="cellIs" dxfId="4602" priority="6482" stopIfTrue="1" operator="between">
      <formula>-0.15</formula>
      <formula>0.005</formula>
    </cfRule>
  </conditionalFormatting>
  <conditionalFormatting sqref="N1656">
    <cfRule type="cellIs" dxfId="4601" priority="6481" stopIfTrue="1" operator="between">
      <formula>-350</formula>
      <formula>-1</formula>
    </cfRule>
  </conditionalFormatting>
  <conditionalFormatting sqref="AE1660">
    <cfRule type="cellIs" dxfId="4600" priority="6480" stopIfTrue="1" operator="between">
      <formula>-0.15</formula>
      <formula>-0.0001</formula>
    </cfRule>
  </conditionalFormatting>
  <conditionalFormatting sqref="AH1660:AI1660">
    <cfRule type="cellIs" dxfId="4599" priority="6479" stopIfTrue="1" operator="between">
      <formula>-0.15</formula>
      <formula>0.005</formula>
    </cfRule>
  </conditionalFormatting>
  <conditionalFormatting sqref="N1660">
    <cfRule type="cellIs" dxfId="4598" priority="6478" stopIfTrue="1" operator="between">
      <formula>-350</formula>
      <formula>-1</formula>
    </cfRule>
  </conditionalFormatting>
  <conditionalFormatting sqref="AE689">
    <cfRule type="cellIs" dxfId="4597" priority="6461" stopIfTrue="1" operator="between">
      <formula>-0.15</formula>
      <formula>-0.0001</formula>
    </cfRule>
  </conditionalFormatting>
  <conditionalFormatting sqref="AH689:AI689">
    <cfRule type="cellIs" dxfId="4596" priority="6460" stopIfTrue="1" operator="between">
      <formula>-0.15</formula>
      <formula>0.005</formula>
    </cfRule>
  </conditionalFormatting>
  <conditionalFormatting sqref="N689">
    <cfRule type="cellIs" dxfId="4595" priority="6459" stopIfTrue="1" operator="between">
      <formula>-350</formula>
      <formula>-1</formula>
    </cfRule>
  </conditionalFormatting>
  <conditionalFormatting sqref="AE690">
    <cfRule type="cellIs" dxfId="4594" priority="6466" stopIfTrue="1" operator="between">
      <formula>-0.15</formula>
      <formula>-0.0001</formula>
    </cfRule>
  </conditionalFormatting>
  <conditionalFormatting sqref="AH690:AI690">
    <cfRule type="cellIs" dxfId="4593" priority="6465" stopIfTrue="1" operator="between">
      <formula>-0.15</formula>
      <formula>0.005</formula>
    </cfRule>
  </conditionalFormatting>
  <conditionalFormatting sqref="N688">
    <cfRule type="cellIs" dxfId="4592" priority="6464" stopIfTrue="1" operator="between">
      <formula>-350</formula>
      <formula>-1</formula>
    </cfRule>
  </conditionalFormatting>
  <conditionalFormatting sqref="AE688">
    <cfRule type="cellIs" dxfId="4591" priority="6463" stopIfTrue="1" operator="between">
      <formula>-0.15</formula>
      <formula>-0.0001</formula>
    </cfRule>
  </conditionalFormatting>
  <conditionalFormatting sqref="AH688:AI688">
    <cfRule type="cellIs" dxfId="4590" priority="6462" stopIfTrue="1" operator="between">
      <formula>-0.15</formula>
      <formula>0.005</formula>
    </cfRule>
  </conditionalFormatting>
  <conditionalFormatting sqref="AE682">
    <cfRule type="cellIs" dxfId="4589" priority="6445" stopIfTrue="1" operator="between">
      <formula>-0.15</formula>
      <formula>-0.0001</formula>
    </cfRule>
  </conditionalFormatting>
  <conditionalFormatting sqref="AH682:AI682">
    <cfRule type="cellIs" dxfId="4588" priority="6444" stopIfTrue="1" operator="between">
      <formula>-0.15</formula>
      <formula>0.005</formula>
    </cfRule>
  </conditionalFormatting>
  <conditionalFormatting sqref="N682">
    <cfRule type="cellIs" dxfId="4587" priority="6443" stopIfTrue="1" operator="between">
      <formula>-350</formula>
      <formula>-1</formula>
    </cfRule>
  </conditionalFormatting>
  <conditionalFormatting sqref="AE678">
    <cfRule type="cellIs" dxfId="4586" priority="6458" stopIfTrue="1" operator="between">
      <formula>-0.15</formula>
      <formula>-0.0001</formula>
    </cfRule>
  </conditionalFormatting>
  <conditionalFormatting sqref="AH678:AI678">
    <cfRule type="cellIs" dxfId="4585" priority="6457" stopIfTrue="1" operator="between">
      <formula>-0.15</formula>
      <formula>0.005</formula>
    </cfRule>
  </conditionalFormatting>
  <conditionalFormatting sqref="N676">
    <cfRule type="cellIs" dxfId="4584" priority="6456" stopIfTrue="1" operator="between">
      <formula>-350</formula>
      <formula>-1</formula>
    </cfRule>
  </conditionalFormatting>
  <conditionalFormatting sqref="AE676">
    <cfRule type="cellIs" dxfId="4583" priority="6455" stopIfTrue="1" operator="between">
      <formula>-0.15</formula>
      <formula>-0.0001</formula>
    </cfRule>
  </conditionalFormatting>
  <conditionalFormatting sqref="AH676:AI676">
    <cfRule type="cellIs" dxfId="4582" priority="6454" stopIfTrue="1" operator="between">
      <formula>-0.15</formula>
      <formula>0.005</formula>
    </cfRule>
  </conditionalFormatting>
  <conditionalFormatting sqref="AE677">
    <cfRule type="cellIs" dxfId="4581" priority="6453" stopIfTrue="1" operator="between">
      <formula>-0.15</formula>
      <formula>-0.0001</formula>
    </cfRule>
  </conditionalFormatting>
  <conditionalFormatting sqref="AH677:AI677">
    <cfRule type="cellIs" dxfId="4580" priority="6452" stopIfTrue="1" operator="between">
      <formula>-0.15</formula>
      <formula>0.005</formula>
    </cfRule>
  </conditionalFormatting>
  <conditionalFormatting sqref="N677">
    <cfRule type="cellIs" dxfId="4579" priority="6451" stopIfTrue="1" operator="between">
      <formula>-350</formula>
      <formula>-1</formula>
    </cfRule>
  </conditionalFormatting>
  <conditionalFormatting sqref="AE683">
    <cfRule type="cellIs" dxfId="4578" priority="6450" stopIfTrue="1" operator="between">
      <formula>-0.15</formula>
      <formula>-0.0001</formula>
    </cfRule>
  </conditionalFormatting>
  <conditionalFormatting sqref="AH683:AI683">
    <cfRule type="cellIs" dxfId="4577" priority="6449" stopIfTrue="1" operator="between">
      <formula>-0.15</formula>
      <formula>0.005</formula>
    </cfRule>
  </conditionalFormatting>
  <conditionalFormatting sqref="N679">
    <cfRule type="cellIs" dxfId="4576" priority="6448" stopIfTrue="1" operator="between">
      <formula>-350</formula>
      <formula>-1</formula>
    </cfRule>
  </conditionalFormatting>
  <conditionalFormatting sqref="AE679">
    <cfRule type="cellIs" dxfId="4575" priority="6447" stopIfTrue="1" operator="between">
      <formula>-0.15</formula>
      <formula>-0.0001</formula>
    </cfRule>
  </conditionalFormatting>
  <conditionalFormatting sqref="AH679:AI679">
    <cfRule type="cellIs" dxfId="4574" priority="6446" stopIfTrue="1" operator="between">
      <formula>-0.15</formula>
      <formula>0.005</formula>
    </cfRule>
  </conditionalFormatting>
  <conditionalFormatting sqref="AE680">
    <cfRule type="cellIs" dxfId="4573" priority="6442" stopIfTrue="1" operator="between">
      <formula>-0.15</formula>
      <formula>-0.0001</formula>
    </cfRule>
  </conditionalFormatting>
  <conditionalFormatting sqref="AH680:AI680">
    <cfRule type="cellIs" dxfId="4572" priority="6441" stopIfTrue="1" operator="between">
      <formula>-0.15</formula>
      <formula>0.005</formula>
    </cfRule>
  </conditionalFormatting>
  <conditionalFormatting sqref="N680">
    <cfRule type="cellIs" dxfId="4571" priority="6440" stopIfTrue="1" operator="between">
      <formula>-350</formula>
      <formula>-1</formula>
    </cfRule>
  </conditionalFormatting>
  <conditionalFormatting sqref="AE687">
    <cfRule type="cellIs" dxfId="4570" priority="6439" stopIfTrue="1" operator="between">
      <formula>-0.15</formula>
      <formula>-0.0001</formula>
    </cfRule>
  </conditionalFormatting>
  <conditionalFormatting sqref="AH687:AI687">
    <cfRule type="cellIs" dxfId="4569" priority="6438" stopIfTrue="1" operator="between">
      <formula>-0.15</formula>
      <formula>0.005</formula>
    </cfRule>
  </conditionalFormatting>
  <conditionalFormatting sqref="N684">
    <cfRule type="cellIs" dxfId="4568" priority="6437" stopIfTrue="1" operator="between">
      <formula>-350</formula>
      <formula>-1</formula>
    </cfRule>
  </conditionalFormatting>
  <conditionalFormatting sqref="AE684">
    <cfRule type="cellIs" dxfId="4567" priority="6436" stopIfTrue="1" operator="between">
      <formula>-0.15</formula>
      <formula>-0.0001</formula>
    </cfRule>
  </conditionalFormatting>
  <conditionalFormatting sqref="AH684:AI684">
    <cfRule type="cellIs" dxfId="4566" priority="6435" stopIfTrue="1" operator="between">
      <formula>-0.15</formula>
      <formula>0.005</formula>
    </cfRule>
  </conditionalFormatting>
  <conditionalFormatting sqref="AE686">
    <cfRule type="cellIs" dxfId="4565" priority="6434" stopIfTrue="1" operator="between">
      <formula>-0.15</formula>
      <formula>-0.0001</formula>
    </cfRule>
  </conditionalFormatting>
  <conditionalFormatting sqref="AH686:AI686">
    <cfRule type="cellIs" dxfId="4564" priority="6433" stopIfTrue="1" operator="between">
      <formula>-0.15</formula>
      <formula>0.005</formula>
    </cfRule>
  </conditionalFormatting>
  <conditionalFormatting sqref="N686">
    <cfRule type="cellIs" dxfId="4563" priority="6432" stopIfTrue="1" operator="between">
      <formula>-350</formula>
      <formula>-1</formula>
    </cfRule>
  </conditionalFormatting>
  <conditionalFormatting sqref="AE488">
    <cfRule type="cellIs" dxfId="4562" priority="6405" stopIfTrue="1" operator="between">
      <formula>-0.15</formula>
      <formula>-0.0001</formula>
    </cfRule>
  </conditionalFormatting>
  <conditionalFormatting sqref="AH488:AI488">
    <cfRule type="cellIs" dxfId="4561" priority="6404" stopIfTrue="1" operator="between">
      <formula>-0.15</formula>
      <formula>0.005</formula>
    </cfRule>
  </conditionalFormatting>
  <conditionalFormatting sqref="N488">
    <cfRule type="cellIs" dxfId="4560" priority="6403" stopIfTrue="1" operator="between">
      <formula>-350</formula>
      <formula>-1</formula>
    </cfRule>
  </conditionalFormatting>
  <conditionalFormatting sqref="AE2203:AE2204">
    <cfRule type="cellIs" dxfId="4559" priority="6377" stopIfTrue="1" operator="between">
      <formula>-0.15</formula>
      <formula>-0.0001</formula>
    </cfRule>
  </conditionalFormatting>
  <conditionalFormatting sqref="AH2203:AI2204">
    <cfRule type="cellIs" dxfId="4558" priority="6376" stopIfTrue="1" operator="between">
      <formula>-0.15</formula>
      <formula>0.005</formula>
    </cfRule>
  </conditionalFormatting>
  <conditionalFormatting sqref="N2203">
    <cfRule type="cellIs" dxfId="4557" priority="6375" stopIfTrue="1" operator="between">
      <formula>-350</formula>
      <formula>-1</formula>
    </cfRule>
  </conditionalFormatting>
  <conditionalFormatting sqref="AE692">
    <cfRule type="cellIs" dxfId="4556" priority="6265" stopIfTrue="1" operator="between">
      <formula>-0.15</formula>
      <formula>-0.0001</formula>
    </cfRule>
  </conditionalFormatting>
  <conditionalFormatting sqref="AH704:AI704">
    <cfRule type="cellIs" dxfId="4555" priority="6225" stopIfTrue="1" operator="between">
      <formula>-0.15</formula>
      <formula>0.005</formula>
    </cfRule>
  </conditionalFormatting>
  <conditionalFormatting sqref="N704">
    <cfRule type="cellIs" dxfId="4554" priority="6224" stopIfTrue="1" operator="between">
      <formula>-350</formula>
      <formula>-1</formula>
    </cfRule>
  </conditionalFormatting>
  <conditionalFormatting sqref="AE699">
    <cfRule type="cellIs" dxfId="4553" priority="6286" stopIfTrue="1" operator="between">
      <formula>-0.15</formula>
      <formula>-0.0001</formula>
    </cfRule>
  </conditionalFormatting>
  <conditionalFormatting sqref="AH692:AI692">
    <cfRule type="cellIs" dxfId="4552" priority="6264" stopIfTrue="1" operator="between">
      <formula>-0.15</formula>
      <formula>0.005</formula>
    </cfRule>
  </conditionalFormatting>
  <conditionalFormatting sqref="N692">
    <cfRule type="cellIs" dxfId="4551" priority="6263" stopIfTrue="1" operator="between">
      <formula>-350</formula>
      <formula>-1</formula>
    </cfRule>
  </conditionalFormatting>
  <conditionalFormatting sqref="AH699:AI699">
    <cfRule type="cellIs" dxfId="4550" priority="6285" stopIfTrue="1" operator="between">
      <formula>-0.15</formula>
      <formula>0.005</formula>
    </cfRule>
  </conditionalFormatting>
  <conditionalFormatting sqref="N697">
    <cfRule type="cellIs" dxfId="4549" priority="6284" stopIfTrue="1" operator="between">
      <formula>-350</formula>
      <formula>-1</formula>
    </cfRule>
  </conditionalFormatting>
  <conditionalFormatting sqref="AH718:AI718">
    <cfRule type="cellIs" dxfId="4548" priority="6222" stopIfTrue="1" operator="between">
      <formula>-0.15</formula>
      <formula>0.005</formula>
    </cfRule>
  </conditionalFormatting>
  <conditionalFormatting sqref="N716">
    <cfRule type="cellIs" dxfId="4547" priority="6221" stopIfTrue="1" operator="between">
      <formula>-350</formula>
      <formula>-1</formula>
    </cfRule>
  </conditionalFormatting>
  <conditionalFormatting sqref="AE695">
    <cfRule type="cellIs" dxfId="4546" priority="6273" stopIfTrue="1" operator="between">
      <formula>-0.15</formula>
      <formula>-0.0001</formula>
    </cfRule>
  </conditionalFormatting>
  <conditionalFormatting sqref="AH697:AI697">
    <cfRule type="cellIs" dxfId="4545" priority="6282" stopIfTrue="1" operator="between">
      <formula>-0.15</formula>
      <formula>0.005</formula>
    </cfRule>
  </conditionalFormatting>
  <conditionalFormatting sqref="AE62">
    <cfRule type="cellIs" dxfId="4544" priority="6322" stopIfTrue="1" operator="between">
      <formula>-0.15</formula>
      <formula>-0.0001</formula>
    </cfRule>
  </conditionalFormatting>
  <conditionalFormatting sqref="AH62:AI62">
    <cfRule type="cellIs" dxfId="4543" priority="6321" stopIfTrue="1" operator="between">
      <formula>-0.15</formula>
      <formula>0.005</formula>
    </cfRule>
  </conditionalFormatting>
  <conditionalFormatting sqref="N62">
    <cfRule type="cellIs" dxfId="4542" priority="6320" stopIfTrue="1" operator="between">
      <formula>-350</formula>
      <formula>-1</formula>
    </cfRule>
  </conditionalFormatting>
  <conditionalFormatting sqref="AH696:AI696">
    <cfRule type="cellIs" dxfId="4541" priority="6277" stopIfTrue="1" operator="between">
      <formula>-0.15</formula>
      <formula>0.005</formula>
    </cfRule>
  </conditionalFormatting>
  <conditionalFormatting sqref="AE704">
    <cfRule type="cellIs" dxfId="4540" priority="6226" stopIfTrue="1" operator="between">
      <formula>-0.15</formula>
      <formula>-0.0001</formula>
    </cfRule>
  </conditionalFormatting>
  <conditionalFormatting sqref="N713">
    <cfRule type="cellIs" dxfId="4539" priority="6205" stopIfTrue="1" operator="between">
      <formula>-350</formula>
      <formula>-1</formula>
    </cfRule>
  </conditionalFormatting>
  <conditionalFormatting sqref="AH694:AI694">
    <cfRule type="cellIs" dxfId="4538" priority="6274" stopIfTrue="1" operator="between">
      <formula>-0.15</formula>
      <formula>0.005</formula>
    </cfRule>
  </conditionalFormatting>
  <conditionalFormatting sqref="AE696">
    <cfRule type="cellIs" dxfId="4537" priority="6278" stopIfTrue="1" operator="between">
      <formula>-0.15</formula>
      <formula>-0.0001</formula>
    </cfRule>
  </conditionalFormatting>
  <conditionalFormatting sqref="N698">
    <cfRule type="cellIs" dxfId="4536" priority="6279" stopIfTrue="1" operator="between">
      <formula>-350</formula>
      <formula>-1</formula>
    </cfRule>
  </conditionalFormatting>
  <conditionalFormatting sqref="AE697">
    <cfRule type="cellIs" dxfId="4535" priority="6283" stopIfTrue="1" operator="between">
      <formula>-0.15</formula>
      <formula>-0.0001</formula>
    </cfRule>
  </conditionalFormatting>
  <conditionalFormatting sqref="AH710:AI710">
    <cfRule type="cellIs" dxfId="4534" priority="6211" stopIfTrue="1" operator="between">
      <formula>-0.15</formula>
      <formula>0.005</formula>
    </cfRule>
  </conditionalFormatting>
  <conditionalFormatting sqref="N1113">
    <cfRule type="cellIs" dxfId="4533" priority="6164" stopIfTrue="1" operator="between">
      <formula>-350</formula>
      <formula>-1</formula>
    </cfRule>
  </conditionalFormatting>
  <conditionalFormatting sqref="AE718">
    <cfRule type="cellIs" dxfId="4532" priority="6223" stopIfTrue="1" operator="between">
      <formula>-0.15</formula>
      <formula>-0.0001</formula>
    </cfRule>
  </conditionalFormatting>
  <conditionalFormatting sqref="AE708">
    <cfRule type="cellIs" dxfId="4531" priority="6257" stopIfTrue="1" operator="between">
      <formula>-0.15</formula>
      <formula>-0.0001</formula>
    </cfRule>
  </conditionalFormatting>
  <conditionalFormatting sqref="N714">
    <cfRule type="cellIs" dxfId="4530" priority="6200" stopIfTrue="1" operator="between">
      <formula>-350</formula>
      <formula>-1</formula>
    </cfRule>
  </conditionalFormatting>
  <conditionalFormatting sqref="AE716">
    <cfRule type="cellIs" dxfId="4529" priority="6220" stopIfTrue="1" operator="between">
      <formula>-0.15</formula>
      <formula>-0.0001</formula>
    </cfRule>
  </conditionalFormatting>
  <conditionalFormatting sqref="AH716:AI716">
    <cfRule type="cellIs" dxfId="4528" priority="6219" stopIfTrue="1" operator="between">
      <formula>-0.15</formula>
      <formula>0.005</formula>
    </cfRule>
  </conditionalFormatting>
  <conditionalFormatting sqref="AE698">
    <cfRule type="cellIs" dxfId="4527" priority="6281" stopIfTrue="1" operator="between">
      <formula>-0.15</formula>
      <formula>-0.0001</formula>
    </cfRule>
  </conditionalFormatting>
  <conditionalFormatting sqref="AH698:AI698">
    <cfRule type="cellIs" dxfId="4526" priority="6280" stopIfTrue="1" operator="between">
      <formula>-0.15</formula>
      <formula>0.005</formula>
    </cfRule>
  </conditionalFormatting>
  <conditionalFormatting sqref="N691">
    <cfRule type="cellIs" dxfId="4525" priority="6268" stopIfTrue="1" operator="between">
      <formula>-350</formula>
      <formula>-1</formula>
    </cfRule>
  </conditionalFormatting>
  <conditionalFormatting sqref="AE691">
    <cfRule type="cellIs" dxfId="4524" priority="6267" stopIfTrue="1" operator="between">
      <formula>-0.15</formula>
      <formula>-0.0001</formula>
    </cfRule>
  </conditionalFormatting>
  <conditionalFormatting sqref="AH691:AI691">
    <cfRule type="cellIs" dxfId="4523" priority="6266" stopIfTrue="1" operator="between">
      <formula>-0.15</formula>
      <formula>0.005</formula>
    </cfRule>
  </conditionalFormatting>
  <conditionalFormatting sqref="N694">
    <cfRule type="cellIs" dxfId="4522" priority="6276" stopIfTrue="1" operator="between">
      <formula>-350</formula>
      <formula>-1</formula>
    </cfRule>
  </conditionalFormatting>
  <conditionalFormatting sqref="AE694">
    <cfRule type="cellIs" dxfId="4521" priority="6275" stopIfTrue="1" operator="between">
      <formula>-0.15</formula>
      <formula>-0.0001</formula>
    </cfRule>
  </conditionalFormatting>
  <conditionalFormatting sqref="AH706:AI706">
    <cfRule type="cellIs" dxfId="4520" priority="6258" stopIfTrue="1" operator="between">
      <formula>-0.15</formula>
      <formula>0.005</formula>
    </cfRule>
  </conditionalFormatting>
  <conditionalFormatting sqref="AE709">
    <cfRule type="cellIs" dxfId="4519" priority="6262" stopIfTrue="1" operator="between">
      <formula>-0.15</formula>
      <formula>-0.0001</formula>
    </cfRule>
  </conditionalFormatting>
  <conditionalFormatting sqref="AH695:AI695">
    <cfRule type="cellIs" dxfId="4518" priority="6272" stopIfTrue="1" operator="between">
      <formula>-0.15</formula>
      <formula>0.005</formula>
    </cfRule>
  </conditionalFormatting>
  <conditionalFormatting sqref="N695">
    <cfRule type="cellIs" dxfId="4517" priority="6271" stopIfTrue="1" operator="between">
      <formula>-350</formula>
      <formula>-1</formula>
    </cfRule>
  </conditionalFormatting>
  <conditionalFormatting sqref="AE693">
    <cfRule type="cellIs" dxfId="4516" priority="6270" stopIfTrue="1" operator="between">
      <formula>-0.15</formula>
      <formula>-0.0001</formula>
    </cfRule>
  </conditionalFormatting>
  <conditionalFormatting sqref="AH693:AI693">
    <cfRule type="cellIs" dxfId="4515" priority="6269" stopIfTrue="1" operator="between">
      <formula>-0.15</formula>
      <formula>0.005</formula>
    </cfRule>
  </conditionalFormatting>
  <conditionalFormatting sqref="N706">
    <cfRule type="cellIs" dxfId="4514" priority="6260" stopIfTrue="1" operator="between">
      <formula>-350</formula>
      <formula>-1</formula>
    </cfRule>
  </conditionalFormatting>
  <conditionalFormatting sqref="AE706">
    <cfRule type="cellIs" dxfId="4513" priority="6259" stopIfTrue="1" operator="between">
      <formula>-0.15</formula>
      <formula>-0.0001</formula>
    </cfRule>
  </conditionalFormatting>
  <conditionalFormatting sqref="AH709:AI709">
    <cfRule type="cellIs" dxfId="4512" priority="6261" stopIfTrue="1" operator="between">
      <formula>-0.15</formula>
      <formula>0.005</formula>
    </cfRule>
  </conditionalFormatting>
  <conditionalFormatting sqref="AE701">
    <cfRule type="cellIs" dxfId="4511" priority="6249" stopIfTrue="1" operator="between">
      <formula>-0.15</formula>
      <formula>-0.0001</formula>
    </cfRule>
  </conditionalFormatting>
  <conditionalFormatting sqref="AH700:AI700">
    <cfRule type="cellIs" dxfId="4510" priority="6250" stopIfTrue="1" operator="between">
      <formula>-0.15</formula>
      <formula>0.005</formula>
    </cfRule>
  </conditionalFormatting>
  <conditionalFormatting sqref="N700">
    <cfRule type="cellIs" dxfId="4509" priority="6252" stopIfTrue="1" operator="between">
      <formula>-350</formula>
      <formula>-1</formula>
    </cfRule>
  </conditionalFormatting>
  <conditionalFormatting sqref="AE700">
    <cfRule type="cellIs" dxfId="4508" priority="6251" stopIfTrue="1" operator="between">
      <formula>-0.15</formula>
      <formula>-0.0001</formula>
    </cfRule>
  </conditionalFormatting>
  <conditionalFormatting sqref="AH712:AI712">
    <cfRule type="cellIs" dxfId="4507" priority="6214" stopIfTrue="1" operator="between">
      <formula>-0.15</formula>
      <formula>0.005</formula>
    </cfRule>
  </conditionalFormatting>
  <conditionalFormatting sqref="AE702">
    <cfRule type="cellIs" dxfId="4506" priority="6254" stopIfTrue="1" operator="between">
      <formula>-0.15</formula>
      <formula>-0.0001</formula>
    </cfRule>
  </conditionalFormatting>
  <conditionalFormatting sqref="AH708:AI708">
    <cfRule type="cellIs" dxfId="4505" priority="6256" stopIfTrue="1" operator="between">
      <formula>-0.15</formula>
      <formula>0.005</formula>
    </cfRule>
  </conditionalFormatting>
  <conditionalFormatting sqref="N708">
    <cfRule type="cellIs" dxfId="4504" priority="6255" stopIfTrue="1" operator="between">
      <formula>-350</formula>
      <formula>-1</formula>
    </cfRule>
  </conditionalFormatting>
  <conditionalFormatting sqref="AE1104">
    <cfRule type="cellIs" dxfId="4503" priority="6246" stopIfTrue="1" operator="between">
      <formula>-0.15</formula>
      <formula>-0.0001</formula>
    </cfRule>
  </conditionalFormatting>
  <conditionalFormatting sqref="AH702:AI702">
    <cfRule type="cellIs" dxfId="4502" priority="6253" stopIfTrue="1" operator="between">
      <formula>-0.15</formula>
      <formula>0.005</formula>
    </cfRule>
  </conditionalFormatting>
  <conditionalFormatting sqref="N1103">
    <cfRule type="cellIs" dxfId="4501" priority="6244" stopIfTrue="1" operator="between">
      <formula>-350</formula>
      <formula>-1</formula>
    </cfRule>
  </conditionalFormatting>
  <conditionalFormatting sqref="AE1103">
    <cfRule type="cellIs" dxfId="4500" priority="6243" stopIfTrue="1" operator="between">
      <formula>-0.15</formula>
      <formula>-0.0001</formula>
    </cfRule>
  </conditionalFormatting>
  <conditionalFormatting sqref="AH1103:AI1103">
    <cfRule type="cellIs" dxfId="4499" priority="6242" stopIfTrue="1" operator="between">
      <formula>-0.15</formula>
      <formula>0.005</formula>
    </cfRule>
  </conditionalFormatting>
  <conditionalFormatting sqref="AE1100">
    <cfRule type="cellIs" dxfId="4498" priority="6241" stopIfTrue="1" operator="between">
      <formula>-0.15</formula>
      <formula>-0.0001</formula>
    </cfRule>
  </conditionalFormatting>
  <conditionalFormatting sqref="AH701:AI701">
    <cfRule type="cellIs" dxfId="4497" priority="6248" stopIfTrue="1" operator="between">
      <formula>-0.15</formula>
      <formula>0.005</formula>
    </cfRule>
  </conditionalFormatting>
  <conditionalFormatting sqref="N701">
    <cfRule type="cellIs" dxfId="4496" priority="6247" stopIfTrue="1" operator="between">
      <formula>-350</formula>
      <formula>-1</formula>
    </cfRule>
  </conditionalFormatting>
  <conditionalFormatting sqref="AH1099:AI1099">
    <cfRule type="cellIs" dxfId="4495" priority="6237" stopIfTrue="1" operator="between">
      <formula>-0.15</formula>
      <formula>0.005</formula>
    </cfRule>
  </conditionalFormatting>
  <conditionalFormatting sqref="N1099">
    <cfRule type="cellIs" dxfId="4494" priority="6239" stopIfTrue="1" operator="between">
      <formula>-350</formula>
      <formula>-1</formula>
    </cfRule>
  </conditionalFormatting>
  <conditionalFormatting sqref="AE1099">
    <cfRule type="cellIs" dxfId="4493" priority="6238" stopIfTrue="1" operator="between">
      <formula>-0.15</formula>
      <formula>-0.0001</formula>
    </cfRule>
  </conditionalFormatting>
  <conditionalFormatting sqref="AH1104:AI1104">
    <cfRule type="cellIs" dxfId="4492" priority="6245" stopIfTrue="1" operator="between">
      <formula>-0.15</formula>
      <formula>0.005</formula>
    </cfRule>
  </conditionalFormatting>
  <conditionalFormatting sqref="AE1101">
    <cfRule type="cellIs" dxfId="4491" priority="6233" stopIfTrue="1" operator="between">
      <formula>-0.15</formula>
      <formula>-0.0001</formula>
    </cfRule>
  </conditionalFormatting>
  <conditionalFormatting sqref="AH1101:AI1101">
    <cfRule type="cellIs" dxfId="4490" priority="6232" stopIfTrue="1" operator="between">
      <formula>-0.15</formula>
      <formula>0.005</formula>
    </cfRule>
  </conditionalFormatting>
  <conditionalFormatting sqref="N1101">
    <cfRule type="cellIs" dxfId="4489" priority="6234" stopIfTrue="1" operator="between">
      <formula>-350</formula>
      <formula>-1</formula>
    </cfRule>
  </conditionalFormatting>
  <conditionalFormatting sqref="AE1102">
    <cfRule type="cellIs" dxfId="4488" priority="6236" stopIfTrue="1" operator="between">
      <formula>-0.15</formula>
      <formula>-0.0001</formula>
    </cfRule>
  </conditionalFormatting>
  <conditionalFormatting sqref="AH1100:AI1100">
    <cfRule type="cellIs" dxfId="4487" priority="6240" stopIfTrue="1" operator="between">
      <formula>-0.15</formula>
      <formula>0.005</formula>
    </cfRule>
  </conditionalFormatting>
  <conditionalFormatting sqref="AE703">
    <cfRule type="cellIs" dxfId="4486" priority="6228" stopIfTrue="1" operator="between">
      <formula>-0.15</formula>
      <formula>-0.0001</formula>
    </cfRule>
  </conditionalFormatting>
  <conditionalFormatting sqref="AH703:AI703">
    <cfRule type="cellIs" dxfId="4485" priority="6227" stopIfTrue="1" operator="between">
      <formula>-0.15</formula>
      <formula>0.005</formula>
    </cfRule>
  </conditionalFormatting>
  <conditionalFormatting sqref="N703">
    <cfRule type="cellIs" dxfId="4484" priority="6229" stopIfTrue="1" operator="between">
      <formula>-350</formula>
      <formula>-1</formula>
    </cfRule>
  </conditionalFormatting>
  <conditionalFormatting sqref="AE705">
    <cfRule type="cellIs" dxfId="4483" priority="6231" stopIfTrue="1" operator="between">
      <formula>-0.15</formula>
      <formula>-0.0001</formula>
    </cfRule>
  </conditionalFormatting>
  <conditionalFormatting sqref="AH1102:AI1102">
    <cfRule type="cellIs" dxfId="4482" priority="6235" stopIfTrue="1" operator="between">
      <formula>-0.15</formula>
      <formula>0.005</formula>
    </cfRule>
  </conditionalFormatting>
  <conditionalFormatting sqref="AE717">
    <cfRule type="cellIs" dxfId="4481" priority="6218" stopIfTrue="1" operator="between">
      <formula>-0.15</formula>
      <formula>-0.0001</formula>
    </cfRule>
  </conditionalFormatting>
  <conditionalFormatting sqref="AE1110">
    <cfRule type="cellIs" dxfId="4480" priority="6176" stopIfTrue="1" operator="between">
      <formula>-0.15</formula>
      <formula>-0.0001</formula>
    </cfRule>
  </conditionalFormatting>
  <conditionalFormatting sqref="AH705:AI705">
    <cfRule type="cellIs" dxfId="4479" priority="6230" stopIfTrue="1" operator="between">
      <formula>-0.15</formula>
      <formula>0.005</formula>
    </cfRule>
  </conditionalFormatting>
  <conditionalFormatting sqref="N1105">
    <cfRule type="cellIs" dxfId="4478" priority="6179" stopIfTrue="1" operator="between">
      <formula>-350</formula>
      <formula>-1</formula>
    </cfRule>
  </conditionalFormatting>
  <conditionalFormatting sqref="AE720">
    <cfRule type="cellIs" dxfId="4477" priority="6194" stopIfTrue="1" operator="between">
      <formula>-0.15</formula>
      <formula>-0.0001</formula>
    </cfRule>
  </conditionalFormatting>
  <conditionalFormatting sqref="AH717:AI717">
    <cfRule type="cellIs" dxfId="4476" priority="6217" stopIfTrue="1" operator="between">
      <formula>-0.15</formula>
      <formula>0.005</formula>
    </cfRule>
  </conditionalFormatting>
  <conditionalFormatting sqref="AE721">
    <cfRule type="cellIs" dxfId="4475" priority="6199" stopIfTrue="1" operator="between">
      <formula>-0.15</formula>
      <formula>-0.0001</formula>
    </cfRule>
  </conditionalFormatting>
  <conditionalFormatting sqref="AH721:AI721">
    <cfRule type="cellIs" dxfId="4474" priority="6198" stopIfTrue="1" operator="between">
      <formula>-0.15</formula>
      <formula>0.005</formula>
    </cfRule>
  </conditionalFormatting>
  <conditionalFormatting sqref="N719">
    <cfRule type="cellIs" dxfId="4473" priority="6197" stopIfTrue="1" operator="between">
      <formula>-350</formula>
      <formula>-1</formula>
    </cfRule>
  </conditionalFormatting>
  <conditionalFormatting sqref="AE714">
    <cfRule type="cellIs" dxfId="4472" priority="6202" stopIfTrue="1" operator="between">
      <formula>-0.15</formula>
      <formula>-0.0001</formula>
    </cfRule>
  </conditionalFormatting>
  <conditionalFormatting sqref="AH714:AI714">
    <cfRule type="cellIs" dxfId="4471" priority="6201" stopIfTrue="1" operator="between">
      <formula>-0.15</formula>
      <formula>0.005</formula>
    </cfRule>
  </conditionalFormatting>
  <conditionalFormatting sqref="AE719">
    <cfRule type="cellIs" dxfId="4470" priority="6196" stopIfTrue="1" operator="between">
      <formula>-0.15</formula>
      <formula>-0.0001</formula>
    </cfRule>
  </conditionalFormatting>
  <conditionalFormatting sqref="AH719:AI719">
    <cfRule type="cellIs" dxfId="4469" priority="6195" stopIfTrue="1" operator="between">
      <formula>-0.15</formula>
      <formula>0.005</formula>
    </cfRule>
  </conditionalFormatting>
  <conditionalFormatting sqref="AE1106">
    <cfRule type="cellIs" dxfId="4468" priority="6181" stopIfTrue="1" operator="between">
      <formula>-0.15</formula>
      <formula>-0.0001</formula>
    </cfRule>
  </conditionalFormatting>
  <conditionalFormatting sqref="AH720:AI720">
    <cfRule type="cellIs" dxfId="4467" priority="6193" stopIfTrue="1" operator="between">
      <formula>-0.15</formula>
      <formula>0.005</formula>
    </cfRule>
  </conditionalFormatting>
  <conditionalFormatting sqref="N717">
    <cfRule type="cellIs" dxfId="4466" priority="6216" stopIfTrue="1" operator="between">
      <formula>-350</formula>
      <formula>-1</formula>
    </cfRule>
  </conditionalFormatting>
  <conditionalFormatting sqref="AE712">
    <cfRule type="cellIs" dxfId="4465" priority="6215" stopIfTrue="1" operator="between">
      <formula>-0.15</formula>
      <formula>-0.0001</formula>
    </cfRule>
  </conditionalFormatting>
  <conditionalFormatting sqref="AH711:AI711">
    <cfRule type="cellIs" dxfId="4464" priority="6209" stopIfTrue="1" operator="between">
      <formula>-0.15</formula>
      <formula>0.005</formula>
    </cfRule>
  </conditionalFormatting>
  <conditionalFormatting sqref="N710">
    <cfRule type="cellIs" dxfId="4463" priority="6213" stopIfTrue="1" operator="between">
      <formula>-350</formula>
      <formula>-1</formula>
    </cfRule>
  </conditionalFormatting>
  <conditionalFormatting sqref="AE710">
    <cfRule type="cellIs" dxfId="4462" priority="6212" stopIfTrue="1" operator="between">
      <formula>-0.15</formula>
      <formula>-0.0001</formula>
    </cfRule>
  </conditionalFormatting>
  <conditionalFormatting sqref="AH715:AI715">
    <cfRule type="cellIs" dxfId="4461" priority="6206" stopIfTrue="1" operator="between">
      <formula>-0.15</formula>
      <formula>0.005</formula>
    </cfRule>
  </conditionalFormatting>
  <conditionalFormatting sqref="AE711">
    <cfRule type="cellIs" dxfId="4460" priority="6210" stopIfTrue="1" operator="between">
      <formula>-0.15</formula>
      <formula>-0.0001</formula>
    </cfRule>
  </conditionalFormatting>
  <conditionalFormatting sqref="AH1116:AI1116">
    <cfRule type="cellIs" dxfId="4459" priority="6190" stopIfTrue="1" operator="between">
      <formula>-0.15</formula>
      <formula>0.005</formula>
    </cfRule>
  </conditionalFormatting>
  <conditionalFormatting sqref="N711">
    <cfRule type="cellIs" dxfId="4458" priority="6208" stopIfTrue="1" operator="between">
      <formula>-350</formula>
      <formula>-1</formula>
    </cfRule>
  </conditionalFormatting>
  <conditionalFormatting sqref="AE715">
    <cfRule type="cellIs" dxfId="4457" priority="6207" stopIfTrue="1" operator="between">
      <formula>-0.15</formula>
      <formula>-0.0001</formula>
    </cfRule>
  </conditionalFormatting>
  <conditionalFormatting sqref="AH1115:AI1115">
    <cfRule type="cellIs" dxfId="4456" priority="6187" stopIfTrue="1" operator="between">
      <formula>-0.15</formula>
      <formula>0.005</formula>
    </cfRule>
  </conditionalFormatting>
  <conditionalFormatting sqref="AE713">
    <cfRule type="cellIs" dxfId="4455" priority="6204" stopIfTrue="1" operator="between">
      <formula>-0.15</formula>
      <formula>-0.0001</formula>
    </cfRule>
  </conditionalFormatting>
  <conditionalFormatting sqref="AH713:AI713">
    <cfRule type="cellIs" dxfId="4454" priority="6203" stopIfTrue="1" operator="between">
      <formula>-0.15</formula>
      <formula>0.005</formula>
    </cfRule>
  </conditionalFormatting>
  <conditionalFormatting sqref="AE1108">
    <cfRule type="cellIs" dxfId="4453" priority="6186" stopIfTrue="1" operator="between">
      <formula>-0.15</formula>
      <formula>-0.0001</formula>
    </cfRule>
  </conditionalFormatting>
  <conditionalFormatting sqref="AH1108:AI1108">
    <cfRule type="cellIs" dxfId="4452" priority="6185" stopIfTrue="1" operator="between">
      <formula>-0.15</formula>
      <formula>0.005</formula>
    </cfRule>
  </conditionalFormatting>
  <conditionalFormatting sqref="N720">
    <cfRule type="cellIs" dxfId="4451" priority="6192" stopIfTrue="1" operator="between">
      <formula>-350</formula>
      <formula>-1</formula>
    </cfRule>
  </conditionalFormatting>
  <conditionalFormatting sqref="N1115">
    <cfRule type="cellIs" dxfId="4450" priority="6189" stopIfTrue="1" operator="between">
      <formula>-350</formula>
      <formula>-1</formula>
    </cfRule>
  </conditionalFormatting>
  <conditionalFormatting sqref="AE1116">
    <cfRule type="cellIs" dxfId="4449" priority="6191" stopIfTrue="1" operator="between">
      <formula>-0.15</formula>
      <formula>-0.0001</formula>
    </cfRule>
  </conditionalFormatting>
  <conditionalFormatting sqref="AH1107:AI1107">
    <cfRule type="cellIs" dxfId="4448" priority="6182" stopIfTrue="1" operator="between">
      <formula>-0.15</formula>
      <formula>0.005</formula>
    </cfRule>
  </conditionalFormatting>
  <conditionalFormatting sqref="AE1115">
    <cfRule type="cellIs" dxfId="4447" priority="6188" stopIfTrue="1" operator="between">
      <formula>-0.15</formula>
      <formula>-0.0001</formula>
    </cfRule>
  </conditionalFormatting>
  <conditionalFormatting sqref="N1107">
    <cfRule type="cellIs" dxfId="4446" priority="6184" stopIfTrue="1" operator="between">
      <formula>-350</formula>
      <formula>-1</formula>
    </cfRule>
  </conditionalFormatting>
  <conditionalFormatting sqref="AE1105">
    <cfRule type="cellIs" dxfId="4445" priority="6178" stopIfTrue="1" operator="between">
      <formula>-0.15</formula>
      <formula>-0.0001</formula>
    </cfRule>
  </conditionalFormatting>
  <conditionalFormatting sqref="AH1105:AI1105">
    <cfRule type="cellIs" dxfId="4444" priority="6177" stopIfTrue="1" operator="between">
      <formula>-0.15</formula>
      <formula>0.005</formula>
    </cfRule>
  </conditionalFormatting>
  <conditionalFormatting sqref="AE1107">
    <cfRule type="cellIs" dxfId="4443" priority="6183" stopIfTrue="1" operator="between">
      <formula>-0.15</formula>
      <formula>-0.0001</formula>
    </cfRule>
  </conditionalFormatting>
  <conditionalFormatting sqref="AE1109">
    <cfRule type="cellIs" dxfId="4442" priority="6173" stopIfTrue="1" operator="between">
      <formula>-0.15</formula>
      <formula>-0.0001</formula>
    </cfRule>
  </conditionalFormatting>
  <conditionalFormatting sqref="AH1106:AI1106">
    <cfRule type="cellIs" dxfId="4441" priority="6180" stopIfTrue="1" operator="between">
      <formula>-0.15</formula>
      <formula>0.005</formula>
    </cfRule>
  </conditionalFormatting>
  <conditionalFormatting sqref="AH1109:AI1109">
    <cfRule type="cellIs" dxfId="4440" priority="6172" stopIfTrue="1" operator="between">
      <formula>-0.15</formula>
      <formula>0.005</formula>
    </cfRule>
  </conditionalFormatting>
  <conditionalFormatting sqref="N1109">
    <cfRule type="cellIs" dxfId="4439" priority="6174" stopIfTrue="1" operator="between">
      <formula>-350</formula>
      <formula>-1</formula>
    </cfRule>
  </conditionalFormatting>
  <conditionalFormatting sqref="AE1111">
    <cfRule type="cellIs" dxfId="4438" priority="6168" stopIfTrue="1" operator="between">
      <formula>-0.15</formula>
      <formula>-0.0001</formula>
    </cfRule>
  </conditionalFormatting>
  <conditionalFormatting sqref="AH1110:AI1110">
    <cfRule type="cellIs" dxfId="4437" priority="6175" stopIfTrue="1" operator="between">
      <formula>-0.15</formula>
      <formula>0.005</formula>
    </cfRule>
  </conditionalFormatting>
  <conditionalFormatting sqref="AH1111:AI1111">
    <cfRule type="cellIs" dxfId="4436" priority="6167" stopIfTrue="1" operator="between">
      <formula>-0.15</formula>
      <formula>0.005</formula>
    </cfRule>
  </conditionalFormatting>
  <conditionalFormatting sqref="N1111">
    <cfRule type="cellIs" dxfId="4435" priority="6169" stopIfTrue="1" operator="between">
      <formula>-350</formula>
      <formula>-1</formula>
    </cfRule>
  </conditionalFormatting>
  <conditionalFormatting sqref="AE1112">
    <cfRule type="cellIs" dxfId="4434" priority="6171" stopIfTrue="1" operator="between">
      <formula>-0.15</formula>
      <formula>-0.0001</formula>
    </cfRule>
  </conditionalFormatting>
  <conditionalFormatting sqref="AH1112:AI1112">
    <cfRule type="cellIs" dxfId="4433" priority="6170" stopIfTrue="1" operator="between">
      <formula>-0.15</formula>
      <formula>0.005</formula>
    </cfRule>
  </conditionalFormatting>
  <conditionalFormatting sqref="AH1113:AI1113">
    <cfRule type="cellIs" dxfId="4432" priority="6162" stopIfTrue="1" operator="between">
      <formula>-0.15</formula>
      <formula>0.005</formula>
    </cfRule>
  </conditionalFormatting>
  <conditionalFormatting sqref="AE1114">
    <cfRule type="cellIs" dxfId="4431" priority="6166" stopIfTrue="1" operator="between">
      <formula>-0.15</formula>
      <formula>-0.0001</formula>
    </cfRule>
  </conditionalFormatting>
  <conditionalFormatting sqref="AH1114:AI1114">
    <cfRule type="cellIs" dxfId="4430" priority="6165" stopIfTrue="1" operator="between">
      <formula>-0.15</formula>
      <formula>0.005</formula>
    </cfRule>
  </conditionalFormatting>
  <conditionalFormatting sqref="AE1113">
    <cfRule type="cellIs" dxfId="4429" priority="6163" stopIfTrue="1" operator="between">
      <formula>-0.15</formula>
      <formula>-0.0001</formula>
    </cfRule>
  </conditionalFormatting>
  <conditionalFormatting sqref="AE1221 AE1237">
    <cfRule type="cellIs" dxfId="4428" priority="6082" stopIfTrue="1" operator="between">
      <formula>-0.15</formula>
      <formula>-0.0001</formula>
    </cfRule>
  </conditionalFormatting>
  <conditionalFormatting sqref="AE1224">
    <cfRule type="cellIs" dxfId="4427" priority="6063" stopIfTrue="1" operator="between">
      <formula>-0.15</formula>
      <formula>-0.0001</formula>
    </cfRule>
  </conditionalFormatting>
  <conditionalFormatting sqref="AH2187:AI2188">
    <cfRule type="cellIs" dxfId="4426" priority="6036" stopIfTrue="1" operator="between">
      <formula>-0.15</formula>
      <formula>0.005</formula>
    </cfRule>
  </conditionalFormatting>
  <conditionalFormatting sqref="N1117">
    <cfRule type="cellIs" dxfId="4425" priority="6032" stopIfTrue="1" operator="between">
      <formula>-350</formula>
      <formula>-1</formula>
    </cfRule>
  </conditionalFormatting>
  <conditionalFormatting sqref="AH2217:AI2218">
    <cfRule type="cellIs" dxfId="4424" priority="6090" stopIfTrue="1" operator="between">
      <formula>-0.15</formula>
      <formula>0.005</formula>
    </cfRule>
  </conditionalFormatting>
  <conditionalFormatting sqref="N1237">
    <cfRule type="cellIs" dxfId="4423" priority="6080" stopIfTrue="1" operator="between">
      <formula>-350</formula>
      <formula>-1</formula>
    </cfRule>
  </conditionalFormatting>
  <conditionalFormatting sqref="N1224">
    <cfRule type="cellIs" dxfId="4422" priority="6061" stopIfTrue="1" operator="between">
      <formula>-350</formula>
      <formula>-1</formula>
    </cfRule>
  </conditionalFormatting>
  <conditionalFormatting sqref="AE2219:AE2220">
    <cfRule type="cellIs" dxfId="4421" priority="6088" stopIfTrue="1" operator="between">
      <formula>-0.15</formula>
      <formula>-0.0001</formula>
    </cfRule>
  </conditionalFormatting>
  <conditionalFormatting sqref="AH2219:AI2220">
    <cfRule type="cellIs" dxfId="4420" priority="6087" stopIfTrue="1" operator="between">
      <formula>-0.15</formula>
      <formula>0.005</formula>
    </cfRule>
  </conditionalFormatting>
  <conditionalFormatting sqref="AE2217:AE2218">
    <cfRule type="cellIs" dxfId="4419" priority="6091" stopIfTrue="1" operator="between">
      <formula>-0.15</formula>
      <formula>-0.0001</formula>
    </cfRule>
  </conditionalFormatting>
  <conditionalFormatting sqref="AH1221:AI1221 AH1237:AI1237">
    <cfRule type="cellIs" dxfId="4418" priority="6081" stopIfTrue="1" operator="between">
      <formula>-0.15</formula>
      <formula>0.005</formula>
    </cfRule>
  </conditionalFormatting>
  <conditionalFormatting sqref="N2217">
    <cfRule type="cellIs" dxfId="4417" priority="6089" stopIfTrue="1" operator="between">
      <formula>-350</formula>
      <formula>-1</formula>
    </cfRule>
  </conditionalFormatting>
  <conditionalFormatting sqref="AE1118">
    <cfRule type="cellIs" dxfId="4416" priority="6034" stopIfTrue="1" operator="between">
      <formula>-0.15</formula>
      <formula>-0.0001</formula>
    </cfRule>
  </conditionalFormatting>
  <conditionalFormatting sqref="N1119">
    <cfRule type="cellIs" dxfId="4415" priority="6027" stopIfTrue="1" operator="between">
      <formula>-350</formula>
      <formula>-1</formula>
    </cfRule>
  </conditionalFormatting>
  <conditionalFormatting sqref="AE1236">
    <cfRule type="cellIs" dxfId="4414" priority="6072" stopIfTrue="1" operator="between">
      <formula>-0.15</formula>
      <formula>-0.0001</formula>
    </cfRule>
  </conditionalFormatting>
  <conditionalFormatting sqref="AH1236:AI1236">
    <cfRule type="cellIs" dxfId="4413" priority="6071" stopIfTrue="1" operator="between">
      <formula>-0.15</formula>
      <formula>0.005</formula>
    </cfRule>
  </conditionalFormatting>
  <conditionalFormatting sqref="N729">
    <cfRule type="cellIs" dxfId="4412" priority="6006" stopIfTrue="1" operator="between">
      <formula>-350</formula>
      <formula>-1</formula>
    </cfRule>
  </conditionalFormatting>
  <conditionalFormatting sqref="AE1373">
    <cfRule type="cellIs" dxfId="4411" priority="6058" stopIfTrue="1" operator="between">
      <formula>-0.15</formula>
      <formula>-0.0001</formula>
    </cfRule>
  </conditionalFormatting>
  <conditionalFormatting sqref="AE743">
    <cfRule type="cellIs" dxfId="4410" priority="6019" stopIfTrue="1" operator="between">
      <formula>-0.15</formula>
      <formula>-0.0001</formula>
    </cfRule>
  </conditionalFormatting>
  <conditionalFormatting sqref="AH1118:AI1118">
    <cfRule type="cellIs" dxfId="4409" priority="6033" stopIfTrue="1" operator="between">
      <formula>-0.15</formula>
      <formula>0.005</formula>
    </cfRule>
  </conditionalFormatting>
  <conditionalFormatting sqref="N2219">
    <cfRule type="cellIs" dxfId="4408" priority="6086" stopIfTrue="1" operator="between">
      <formula>-350</formula>
      <formula>-1</formula>
    </cfRule>
  </conditionalFormatting>
  <conditionalFormatting sqref="N1236">
    <cfRule type="cellIs" dxfId="4407" priority="6070" stopIfTrue="1" operator="between">
      <formula>-350</formula>
      <formula>-1</formula>
    </cfRule>
  </conditionalFormatting>
  <conditionalFormatting sqref="AE1374">
    <cfRule type="cellIs" dxfId="4406" priority="6060" stopIfTrue="1" operator="between">
      <formula>-0.15</formula>
      <formula>-0.0001</formula>
    </cfRule>
  </conditionalFormatting>
  <conditionalFormatting sqref="AH1374:AI1374">
    <cfRule type="cellIs" dxfId="4405" priority="6059" stopIfTrue="1" operator="between">
      <formula>-0.15</formula>
      <formula>0.005</formula>
    </cfRule>
  </conditionalFormatting>
  <conditionalFormatting sqref="N1221">
    <cfRule type="cellIs" dxfId="4404" priority="6079" stopIfTrue="1" operator="between">
      <formula>-350</formula>
      <formula>-1</formula>
    </cfRule>
  </conditionalFormatting>
  <conditionalFormatting sqref="N2187">
    <cfRule type="cellIs" dxfId="4403" priority="6035" stopIfTrue="1" operator="between">
      <formula>-350</formula>
      <formula>-1</formula>
    </cfRule>
  </conditionalFormatting>
  <conditionalFormatting sqref="N737">
    <cfRule type="cellIs" dxfId="4402" priority="5977" stopIfTrue="1" operator="between">
      <formula>-350</formula>
      <formula>-1</formula>
    </cfRule>
  </conditionalFormatting>
  <conditionalFormatting sqref="AE741">
    <cfRule type="cellIs" dxfId="4401" priority="6016" stopIfTrue="1" operator="between">
      <formula>-0.15</formula>
      <formula>-0.0001</formula>
    </cfRule>
  </conditionalFormatting>
  <conditionalFormatting sqref="AH744:AI744">
    <cfRule type="cellIs" dxfId="4400" priority="6023" stopIfTrue="1" operator="between">
      <formula>-0.15</formula>
      <formula>0.005</formula>
    </cfRule>
  </conditionalFormatting>
  <conditionalFormatting sqref="AE2187:AE2188">
    <cfRule type="cellIs" dxfId="4399" priority="6037" stopIfTrue="1" operator="between">
      <formula>-0.15</formula>
      <formula>-0.0001</formula>
    </cfRule>
  </conditionalFormatting>
  <conditionalFormatting sqref="AH742:AI742">
    <cfRule type="cellIs" dxfId="4398" priority="6020" stopIfTrue="1" operator="between">
      <formula>-0.15</formula>
      <formula>0.005</formula>
    </cfRule>
  </conditionalFormatting>
  <conditionalFormatting sqref="AE744">
    <cfRule type="cellIs" dxfId="4397" priority="6024" stopIfTrue="1" operator="between">
      <formula>-0.15</formula>
      <formula>-0.0001</formula>
    </cfRule>
  </conditionalFormatting>
  <conditionalFormatting sqref="AH1224:AI1224">
    <cfRule type="cellIs" dxfId="4396" priority="6062" stopIfTrue="1" operator="between">
      <formula>-0.15</formula>
      <formula>0.005</formula>
    </cfRule>
  </conditionalFormatting>
  <conditionalFormatting sqref="N1373">
    <cfRule type="cellIs" dxfId="4395" priority="6056" stopIfTrue="1" operator="between">
      <formula>-350</formula>
      <formula>-1</formula>
    </cfRule>
  </conditionalFormatting>
  <conditionalFormatting sqref="AE747">
    <cfRule type="cellIs" dxfId="4394" priority="5963" stopIfTrue="1" operator="between">
      <formula>-0.15</formula>
      <formula>-0.0001</formula>
    </cfRule>
  </conditionalFormatting>
  <conditionalFormatting sqref="AH1373:AI1373">
    <cfRule type="cellIs" dxfId="4393" priority="6057" stopIfTrue="1" operator="between">
      <formula>-0.15</formula>
      <formula>0.005</formula>
    </cfRule>
  </conditionalFormatting>
  <conditionalFormatting sqref="N743">
    <cfRule type="cellIs" dxfId="4392" priority="6017" stopIfTrue="1" operator="between">
      <formula>-350</formula>
      <formula>-1</formula>
    </cfRule>
  </conditionalFormatting>
  <conditionalFormatting sqref="AE742">
    <cfRule type="cellIs" dxfId="4391" priority="6021" stopIfTrue="1" operator="between">
      <formula>-0.15</formula>
      <formula>-0.0001</formula>
    </cfRule>
  </conditionalFormatting>
  <conditionalFormatting sqref="AH1117:AI1117">
    <cfRule type="cellIs" dxfId="4390" priority="6030" stopIfTrue="1" operator="between">
      <formula>-0.15</formula>
      <formula>0.005</formula>
    </cfRule>
  </conditionalFormatting>
  <conditionalFormatting sqref="N742">
    <cfRule type="cellIs" dxfId="4389" priority="6022" stopIfTrue="1" operator="between">
      <formula>-350</formula>
      <formula>-1</formula>
    </cfRule>
  </conditionalFormatting>
  <conditionalFormatting sqref="AE1120">
    <cfRule type="cellIs" dxfId="4388" priority="6029" stopIfTrue="1" operator="between">
      <formula>-0.15</formula>
      <formula>-0.0001</formula>
    </cfRule>
  </conditionalFormatting>
  <conditionalFormatting sqref="AH743:AI743">
    <cfRule type="cellIs" dxfId="4387" priority="6018" stopIfTrue="1" operator="between">
      <formula>-0.15</formula>
      <formula>0.005</formula>
    </cfRule>
  </conditionalFormatting>
  <conditionalFormatting sqref="AH724:AI724">
    <cfRule type="cellIs" dxfId="4386" priority="5970" stopIfTrue="1" operator="between">
      <formula>-0.15</formula>
      <formula>0.005</formula>
    </cfRule>
  </conditionalFormatting>
  <conditionalFormatting sqref="AE1117">
    <cfRule type="cellIs" dxfId="4385" priority="6031" stopIfTrue="1" operator="between">
      <formula>-0.15</formula>
      <formula>-0.0001</formula>
    </cfRule>
  </conditionalFormatting>
  <conditionalFormatting sqref="AH1119:AI1119">
    <cfRule type="cellIs" dxfId="4384" priority="6025" stopIfTrue="1" operator="between">
      <formula>-0.15</formula>
      <formula>0.005</formula>
    </cfRule>
  </conditionalFormatting>
  <conditionalFormatting sqref="N740">
    <cfRule type="cellIs" dxfId="4383" priority="6009" stopIfTrue="1" operator="between">
      <formula>-350</formula>
      <formula>-1</formula>
    </cfRule>
  </conditionalFormatting>
  <conditionalFormatting sqref="AH1120:AI1120">
    <cfRule type="cellIs" dxfId="4382" priority="6028" stopIfTrue="1" operator="between">
      <formula>-0.15</formula>
      <formula>0.005</formula>
    </cfRule>
  </conditionalFormatting>
  <conditionalFormatting sqref="AE1119">
    <cfRule type="cellIs" dxfId="4381" priority="6026" stopIfTrue="1" operator="between">
      <formula>-0.15</formula>
      <formula>-0.0001</formula>
    </cfRule>
  </conditionalFormatting>
  <conditionalFormatting sqref="AE732">
    <cfRule type="cellIs" dxfId="4380" priority="6008" stopIfTrue="1" operator="between">
      <formula>-0.15</formula>
      <formula>-0.0001</formula>
    </cfRule>
  </conditionalFormatting>
  <conditionalFormatting sqref="AH727:AI727">
    <cfRule type="cellIs" dxfId="4379" priority="5994" stopIfTrue="1" operator="between">
      <formula>-0.15</formula>
      <formula>0.005</formula>
    </cfRule>
  </conditionalFormatting>
  <conditionalFormatting sqref="AE734">
    <cfRule type="cellIs" dxfId="4378" priority="5987" stopIfTrue="1" operator="between">
      <formula>-0.15</formula>
      <formula>-0.0001</formula>
    </cfRule>
  </conditionalFormatting>
  <conditionalFormatting sqref="AH732:AI732">
    <cfRule type="cellIs" dxfId="4377" priority="6007" stopIfTrue="1" operator="between">
      <formula>-0.15</formula>
      <formula>0.005</formula>
    </cfRule>
  </conditionalFormatting>
  <conditionalFormatting sqref="N731">
    <cfRule type="cellIs" dxfId="4376" priority="6001" stopIfTrue="1" operator="between">
      <formula>-350</formula>
      <formula>-1</formula>
    </cfRule>
  </conditionalFormatting>
  <conditionalFormatting sqref="AE738">
    <cfRule type="cellIs" dxfId="4375" priority="5984" stopIfTrue="1" operator="between">
      <formula>-0.15</formula>
      <formula>-0.0001</formula>
    </cfRule>
  </conditionalFormatting>
  <conditionalFormatting sqref="AH741:AI741">
    <cfRule type="cellIs" dxfId="4374" priority="6015" stopIfTrue="1" operator="between">
      <formula>-0.15</formula>
      <formula>0.005</formula>
    </cfRule>
  </conditionalFormatting>
  <conditionalFormatting sqref="N739">
    <cfRule type="cellIs" dxfId="4373" priority="6014" stopIfTrue="1" operator="between">
      <formula>-350</formula>
      <formula>-1</formula>
    </cfRule>
  </conditionalFormatting>
  <conditionalFormatting sqref="AE739">
    <cfRule type="cellIs" dxfId="4372" priority="6013" stopIfTrue="1" operator="between">
      <formula>-0.15</formula>
      <formula>-0.0001</formula>
    </cfRule>
  </conditionalFormatting>
  <conditionalFormatting sqref="AH739:AI739">
    <cfRule type="cellIs" dxfId="4371" priority="6012" stopIfTrue="1" operator="between">
      <formula>-0.15</formula>
      <formula>0.005</formula>
    </cfRule>
  </conditionalFormatting>
  <conditionalFormatting sqref="AE740">
    <cfRule type="cellIs" dxfId="4370" priority="6011" stopIfTrue="1" operator="between">
      <formula>-0.15</formula>
      <formula>-0.0001</formula>
    </cfRule>
  </conditionalFormatting>
  <conditionalFormatting sqref="AH740:AI740">
    <cfRule type="cellIs" dxfId="4369" priority="6010" stopIfTrue="1" operator="between">
      <formula>-0.15</formula>
      <formula>0.005</formula>
    </cfRule>
  </conditionalFormatting>
  <conditionalFormatting sqref="N725">
    <cfRule type="cellIs" dxfId="4368" priority="5998" stopIfTrue="1" operator="between">
      <formula>-350</formula>
      <formula>-1</formula>
    </cfRule>
  </conditionalFormatting>
  <conditionalFormatting sqref="AE728">
    <cfRule type="cellIs" dxfId="4367" priority="6000" stopIfTrue="1" operator="between">
      <formula>-0.15</formula>
      <formula>-0.0001</formula>
    </cfRule>
  </conditionalFormatting>
  <conditionalFormatting sqref="AH728:AI728">
    <cfRule type="cellIs" dxfId="4366" priority="5999" stopIfTrue="1" operator="between">
      <formula>-0.15</formula>
      <formula>0.005</formula>
    </cfRule>
  </conditionalFormatting>
  <conditionalFormatting sqref="AE729">
    <cfRule type="cellIs" dxfId="4365" priority="6005" stopIfTrue="1" operator="between">
      <formula>-0.15</formula>
      <formula>-0.0001</formula>
    </cfRule>
  </conditionalFormatting>
  <conditionalFormatting sqref="AH729:AI729">
    <cfRule type="cellIs" dxfId="4364" priority="6004" stopIfTrue="1" operator="between">
      <formula>-0.15</formula>
      <formula>0.005</formula>
    </cfRule>
  </conditionalFormatting>
  <conditionalFormatting sqref="AE731">
    <cfRule type="cellIs" dxfId="4363" priority="6003" stopIfTrue="1" operator="between">
      <formula>-0.15</formula>
      <formula>-0.0001</formula>
    </cfRule>
  </conditionalFormatting>
  <conditionalFormatting sqref="AH731:AI731">
    <cfRule type="cellIs" dxfId="4362" priority="6002" stopIfTrue="1" operator="between">
      <formula>-0.15</formula>
      <formula>0.005</formula>
    </cfRule>
  </conditionalFormatting>
  <conditionalFormatting sqref="N727">
    <cfRule type="cellIs" dxfId="4361" priority="5993" stopIfTrue="1" operator="between">
      <formula>-350</formula>
      <formula>-1</formula>
    </cfRule>
  </conditionalFormatting>
  <conditionalFormatting sqref="AE733">
    <cfRule type="cellIs" dxfId="4360" priority="5989" stopIfTrue="1" operator="between">
      <formula>-0.15</formula>
      <formula>-0.0001</formula>
    </cfRule>
  </conditionalFormatting>
  <conditionalFormatting sqref="AH735:AI735">
    <cfRule type="cellIs" dxfId="4359" priority="5991" stopIfTrue="1" operator="between">
      <formula>-0.15</formula>
      <formula>0.005</formula>
    </cfRule>
  </conditionalFormatting>
  <conditionalFormatting sqref="AE725">
    <cfRule type="cellIs" dxfId="4358" priority="5997" stopIfTrue="1" operator="between">
      <formula>-0.15</formula>
      <formula>-0.0001</formula>
    </cfRule>
  </conditionalFormatting>
  <conditionalFormatting sqref="AH725:AI725">
    <cfRule type="cellIs" dxfId="4357" priority="5996" stopIfTrue="1" operator="between">
      <formula>-0.15</formula>
      <formula>0.005</formula>
    </cfRule>
  </conditionalFormatting>
  <conditionalFormatting sqref="AE727">
    <cfRule type="cellIs" dxfId="4356" priority="5995" stopIfTrue="1" operator="between">
      <formula>-0.15</formula>
      <formula>-0.0001</formula>
    </cfRule>
  </conditionalFormatting>
  <conditionalFormatting sqref="AH750:AI750">
    <cfRule type="cellIs" dxfId="4355" priority="5943" stopIfTrue="1" operator="between">
      <formula>-0.15</formula>
      <formula>0.005</formula>
    </cfRule>
  </conditionalFormatting>
  <conditionalFormatting sqref="N736">
    <cfRule type="cellIs" dxfId="4354" priority="5982" stopIfTrue="1" operator="between">
      <formula>-350</formula>
      <formula>-1</formula>
    </cfRule>
  </conditionalFormatting>
  <conditionalFormatting sqref="AE735">
    <cfRule type="cellIs" dxfId="4353" priority="5992" stopIfTrue="1" operator="between">
      <formula>-0.15</formula>
      <formula>-0.0001</formula>
    </cfRule>
  </conditionalFormatting>
  <conditionalFormatting sqref="AH738:AI738">
    <cfRule type="cellIs" dxfId="4352" priority="5983" stopIfTrue="1" operator="between">
      <formula>-0.15</formula>
      <formula>0.005</formula>
    </cfRule>
  </conditionalFormatting>
  <conditionalFormatting sqref="N733">
    <cfRule type="cellIs" dxfId="4351" priority="5990" stopIfTrue="1" operator="between">
      <formula>-350</formula>
      <formula>-1</formula>
    </cfRule>
  </conditionalFormatting>
  <conditionalFormatting sqref="AH733:AI733">
    <cfRule type="cellIs" dxfId="4350" priority="5988" stopIfTrue="1" operator="between">
      <formula>-0.15</formula>
      <formula>0.005</formula>
    </cfRule>
  </conditionalFormatting>
  <conditionalFormatting sqref="AE736">
    <cfRule type="cellIs" dxfId="4349" priority="5981" stopIfTrue="1" operator="between">
      <formula>-0.15</formula>
      <formula>-0.0001</formula>
    </cfRule>
  </conditionalFormatting>
  <conditionalFormatting sqref="AH734:AI734">
    <cfRule type="cellIs" dxfId="4348" priority="5986" stopIfTrue="1" operator="between">
      <formula>-0.15</formula>
      <formula>0.005</formula>
    </cfRule>
  </conditionalFormatting>
  <conditionalFormatting sqref="N734">
    <cfRule type="cellIs" dxfId="4347" priority="5985" stopIfTrue="1" operator="between">
      <formula>-350</formula>
      <formula>-1</formula>
    </cfRule>
  </conditionalFormatting>
  <conditionalFormatting sqref="AE760">
    <cfRule type="cellIs" dxfId="4346" priority="5936" stopIfTrue="1" operator="between">
      <formula>-0.15</formula>
      <formula>-0.0001</formula>
    </cfRule>
  </conditionalFormatting>
  <conditionalFormatting sqref="AH1165:AI1165">
    <cfRule type="cellIs" dxfId="4345" priority="5972" stopIfTrue="1" operator="between">
      <formula>-0.15</formula>
      <formula>0.005</formula>
    </cfRule>
  </conditionalFormatting>
  <conditionalFormatting sqref="AE749">
    <cfRule type="cellIs" dxfId="4344" priority="5939" stopIfTrue="1" operator="between">
      <formula>-0.15</formula>
      <formula>-0.0001</formula>
    </cfRule>
  </conditionalFormatting>
  <conditionalFormatting sqref="AH736:AI736">
    <cfRule type="cellIs" dxfId="4343" priority="5980" stopIfTrue="1" operator="between">
      <formula>-0.15</formula>
      <formula>0.005</formula>
    </cfRule>
  </conditionalFormatting>
  <conditionalFormatting sqref="AE737">
    <cfRule type="cellIs" dxfId="4342" priority="5979" stopIfTrue="1" operator="between">
      <formula>-0.15</formula>
      <formula>-0.0001</formula>
    </cfRule>
  </conditionalFormatting>
  <conditionalFormatting sqref="AH737:AI737">
    <cfRule type="cellIs" dxfId="4341" priority="5978" stopIfTrue="1" operator="between">
      <formula>-0.15</formula>
      <formula>0.005</formula>
    </cfRule>
  </conditionalFormatting>
  <conditionalFormatting sqref="N1165">
    <cfRule type="cellIs" dxfId="4340" priority="5974" stopIfTrue="1" operator="between">
      <formula>-350</formula>
      <formula>-1</formula>
    </cfRule>
  </conditionalFormatting>
  <conditionalFormatting sqref="N746">
    <cfRule type="cellIs" dxfId="4339" priority="5953" stopIfTrue="1" operator="between">
      <formula>-350</formula>
      <formula>-1</formula>
    </cfRule>
  </conditionalFormatting>
  <conditionalFormatting sqref="AE1166">
    <cfRule type="cellIs" dxfId="4338" priority="5976" stopIfTrue="1" operator="between">
      <formula>-0.15</formula>
      <formula>-0.0001</formula>
    </cfRule>
  </conditionalFormatting>
  <conditionalFormatting sqref="AH1166:AI1166">
    <cfRule type="cellIs" dxfId="4337" priority="5975" stopIfTrue="1" operator="between">
      <formula>-0.15</formula>
      <formula>0.005</formula>
    </cfRule>
  </conditionalFormatting>
  <conditionalFormatting sqref="AE1165">
    <cfRule type="cellIs" dxfId="4336" priority="5973" stopIfTrue="1" operator="between">
      <formula>-0.15</formula>
      <formula>-0.0001</formula>
    </cfRule>
  </conditionalFormatting>
  <conditionalFormatting sqref="AE724">
    <cfRule type="cellIs" dxfId="4335" priority="5971" stopIfTrue="1" operator="between">
      <formula>-0.15</formula>
      <formula>-0.0001</formula>
    </cfRule>
  </conditionalFormatting>
  <conditionalFormatting sqref="N722">
    <cfRule type="cellIs" dxfId="4334" priority="5969" stopIfTrue="1" operator="between">
      <formula>-350</formula>
      <formula>-1</formula>
    </cfRule>
  </conditionalFormatting>
  <conditionalFormatting sqref="AE722">
    <cfRule type="cellIs" dxfId="4333" priority="5968" stopIfTrue="1" operator="between">
      <formula>-0.15</formula>
      <formula>-0.0001</formula>
    </cfRule>
  </conditionalFormatting>
  <conditionalFormatting sqref="AH722:AI722">
    <cfRule type="cellIs" dxfId="4332" priority="5967" stopIfTrue="1" operator="between">
      <formula>-0.15</formula>
      <formula>0.005</formula>
    </cfRule>
  </conditionalFormatting>
  <conditionalFormatting sqref="AE723">
    <cfRule type="cellIs" dxfId="4331" priority="5966" stopIfTrue="1" operator="between">
      <formula>-0.15</formula>
      <formula>-0.0001</formula>
    </cfRule>
  </conditionalFormatting>
  <conditionalFormatting sqref="AH723:AI723">
    <cfRule type="cellIs" dxfId="4330" priority="5965" stopIfTrue="1" operator="between">
      <formula>-0.15</formula>
      <formula>0.005</formula>
    </cfRule>
  </conditionalFormatting>
  <conditionalFormatting sqref="N723">
    <cfRule type="cellIs" dxfId="4329" priority="5964" stopIfTrue="1" operator="between">
      <formula>-350</formula>
      <formula>-1</formula>
    </cfRule>
  </conditionalFormatting>
  <conditionalFormatting sqref="AH747:AI747">
    <cfRule type="cellIs" dxfId="4328" priority="5962" stopIfTrue="1" operator="between">
      <formula>-0.15</formula>
      <formula>0.005</formula>
    </cfRule>
  </conditionalFormatting>
  <conditionalFormatting sqref="N745">
    <cfRule type="cellIs" dxfId="4327" priority="5961" stopIfTrue="1" operator="between">
      <formula>-350</formula>
      <formula>-1</formula>
    </cfRule>
  </conditionalFormatting>
  <conditionalFormatting sqref="AE745">
    <cfRule type="cellIs" dxfId="4326" priority="5960" stopIfTrue="1" operator="between">
      <formula>-0.15</formula>
      <formula>-0.0001</formula>
    </cfRule>
  </conditionalFormatting>
  <conditionalFormatting sqref="AH745:AI745">
    <cfRule type="cellIs" dxfId="4325" priority="5959" stopIfTrue="1" operator="between">
      <formula>-0.15</formula>
      <formula>0.005</formula>
    </cfRule>
  </conditionalFormatting>
  <conditionalFormatting sqref="N759">
    <cfRule type="cellIs" dxfId="4324" priority="5929" stopIfTrue="1" operator="between">
      <formula>-350</formula>
      <formula>-1</formula>
    </cfRule>
  </conditionalFormatting>
  <conditionalFormatting sqref="AE746">
    <cfRule type="cellIs" dxfId="4323" priority="5955" stopIfTrue="1" operator="between">
      <formula>-0.15</formula>
      <formula>-0.0001</formula>
    </cfRule>
  </conditionalFormatting>
  <conditionalFormatting sqref="AH746:AI746">
    <cfRule type="cellIs" dxfId="4322" priority="5954" stopIfTrue="1" operator="between">
      <formula>-0.15</formula>
      <formula>0.005</formula>
    </cfRule>
  </conditionalFormatting>
  <conditionalFormatting sqref="N751">
    <cfRule type="cellIs" dxfId="4321" priority="5926" stopIfTrue="1" operator="between">
      <formula>-350</formula>
      <formula>-1</formula>
    </cfRule>
  </conditionalFormatting>
  <conditionalFormatting sqref="AE927">
    <cfRule type="cellIs" dxfId="4320" priority="5952" stopIfTrue="1" operator="between">
      <formula>-0.15</formula>
      <formula>-0.0001</formula>
    </cfRule>
  </conditionalFormatting>
  <conditionalFormatting sqref="AH927:AI927">
    <cfRule type="cellIs" dxfId="4319" priority="5951" stopIfTrue="1" operator="between">
      <formula>-0.15</formula>
      <formula>0.005</formula>
    </cfRule>
  </conditionalFormatting>
  <conditionalFormatting sqref="N925">
    <cfRule type="cellIs" dxfId="4318" priority="5950" stopIfTrue="1" operator="between">
      <formula>-350</formula>
      <formula>-1</formula>
    </cfRule>
  </conditionalFormatting>
  <conditionalFormatting sqref="AE925">
    <cfRule type="cellIs" dxfId="4317" priority="5949" stopIfTrue="1" operator="between">
      <formula>-0.15</formula>
      <formula>-0.0001</formula>
    </cfRule>
  </conditionalFormatting>
  <conditionalFormatting sqref="AH925:AI925">
    <cfRule type="cellIs" dxfId="4316" priority="5948" stopIfTrue="1" operator="between">
      <formula>-0.15</formula>
      <formula>0.005</formula>
    </cfRule>
  </conditionalFormatting>
  <conditionalFormatting sqref="AH749:AI749">
    <cfRule type="cellIs" dxfId="4315" priority="5938" stopIfTrue="1" operator="between">
      <formula>-0.15</formula>
      <formula>0.005</formula>
    </cfRule>
  </conditionalFormatting>
  <conditionalFormatting sqref="N749">
    <cfRule type="cellIs" dxfId="4314" priority="5937" stopIfTrue="1" operator="between">
      <formula>-350</formula>
      <formula>-1</formula>
    </cfRule>
  </conditionalFormatting>
  <conditionalFormatting sqref="AE750">
    <cfRule type="cellIs" dxfId="4313" priority="5944" stopIfTrue="1" operator="between">
      <formula>-0.15</formula>
      <formula>-0.0001</formula>
    </cfRule>
  </conditionalFormatting>
  <conditionalFormatting sqref="N748">
    <cfRule type="cellIs" dxfId="4312" priority="5942" stopIfTrue="1" operator="between">
      <formula>-350</formula>
      <formula>-1</formula>
    </cfRule>
  </conditionalFormatting>
  <conditionalFormatting sqref="AE748">
    <cfRule type="cellIs" dxfId="4311" priority="5941" stopIfTrue="1" operator="between">
      <formula>-0.15</formula>
      <formula>-0.0001</formula>
    </cfRule>
  </conditionalFormatting>
  <conditionalFormatting sqref="AH748:AI748">
    <cfRule type="cellIs" dxfId="4310" priority="5940" stopIfTrue="1" operator="between">
      <formula>-0.15</formula>
      <formula>0.005</formula>
    </cfRule>
  </conditionalFormatting>
  <conditionalFormatting sqref="AH760:AI760">
    <cfRule type="cellIs" dxfId="4309" priority="5935" stopIfTrue="1" operator="between">
      <formula>-0.15</formula>
      <formula>0.005</formula>
    </cfRule>
  </conditionalFormatting>
  <conditionalFormatting sqref="N756">
    <cfRule type="cellIs" dxfId="4308" priority="5934" stopIfTrue="1" operator="between">
      <formula>-350</formula>
      <formula>-1</formula>
    </cfRule>
  </conditionalFormatting>
  <conditionalFormatting sqref="AE751">
    <cfRule type="cellIs" dxfId="4307" priority="5925" stopIfTrue="1" operator="between">
      <formula>-0.15</formula>
      <formula>-0.0001</formula>
    </cfRule>
  </conditionalFormatting>
  <conditionalFormatting sqref="AH751:AI751">
    <cfRule type="cellIs" dxfId="4306" priority="5924" stopIfTrue="1" operator="between">
      <formula>-0.15</formula>
      <formula>0.005</formula>
    </cfRule>
  </conditionalFormatting>
  <conditionalFormatting sqref="AE756">
    <cfRule type="cellIs" dxfId="4305" priority="5933" stopIfTrue="1" operator="between">
      <formula>-0.15</formula>
      <formula>-0.0001</formula>
    </cfRule>
  </conditionalFormatting>
  <conditionalFormatting sqref="AH756:AI756">
    <cfRule type="cellIs" dxfId="4304" priority="5932" stopIfTrue="1" operator="between">
      <formula>-0.15</formula>
      <formula>0.005</formula>
    </cfRule>
  </conditionalFormatting>
  <conditionalFormatting sqref="AE759">
    <cfRule type="cellIs" dxfId="4303" priority="5931" stopIfTrue="1" operator="between">
      <formula>-0.15</formula>
      <formula>-0.0001</formula>
    </cfRule>
  </conditionalFormatting>
  <conditionalFormatting sqref="AH759:AI759">
    <cfRule type="cellIs" dxfId="4302" priority="5930" stopIfTrue="1" operator="between">
      <formula>-0.15</formula>
      <formula>0.005</formula>
    </cfRule>
  </conditionalFormatting>
  <conditionalFormatting sqref="AE755">
    <cfRule type="cellIs" dxfId="4301" priority="5928" stopIfTrue="1" operator="between">
      <formula>-0.15</formula>
      <formula>-0.0001</formula>
    </cfRule>
  </conditionalFormatting>
  <conditionalFormatting sqref="AH755:AI755">
    <cfRule type="cellIs" dxfId="4300" priority="5927" stopIfTrue="1" operator="between">
      <formula>-0.15</formula>
      <formula>0.005</formula>
    </cfRule>
  </conditionalFormatting>
  <conditionalFormatting sqref="AE754">
    <cfRule type="cellIs" dxfId="4299" priority="5923" stopIfTrue="1" operator="between">
      <formula>-0.15</formula>
      <formula>-0.0001</formula>
    </cfRule>
  </conditionalFormatting>
  <conditionalFormatting sqref="AH754:AI754">
    <cfRule type="cellIs" dxfId="4298" priority="5922" stopIfTrue="1" operator="between">
      <formula>-0.15</formula>
      <formula>0.005</formula>
    </cfRule>
  </conditionalFormatting>
  <conditionalFormatting sqref="N754">
    <cfRule type="cellIs" dxfId="4297" priority="5921" stopIfTrue="1" operator="between">
      <formula>-350</formula>
      <formula>-1</formula>
    </cfRule>
  </conditionalFormatting>
  <conditionalFormatting sqref="AH1121:AI1121">
    <cfRule type="cellIs" dxfId="4296" priority="5916" stopIfTrue="1" operator="between">
      <formula>-0.15</formula>
      <formula>0.005</formula>
    </cfRule>
  </conditionalFormatting>
  <conditionalFormatting sqref="N1121">
    <cfRule type="cellIs" dxfId="4295" priority="5918" stopIfTrue="1" operator="between">
      <formula>-350</formula>
      <formula>-1</formula>
    </cfRule>
  </conditionalFormatting>
  <conditionalFormatting sqref="AE1122">
    <cfRule type="cellIs" dxfId="4294" priority="5920" stopIfTrue="1" operator="between">
      <formula>-0.15</formula>
      <formula>-0.0001</formula>
    </cfRule>
  </conditionalFormatting>
  <conditionalFormatting sqref="AH1122:AI1122">
    <cfRule type="cellIs" dxfId="4293" priority="5919" stopIfTrue="1" operator="between">
      <formula>-0.15</formula>
      <formula>0.005</formula>
    </cfRule>
  </conditionalFormatting>
  <conditionalFormatting sqref="AE1121">
    <cfRule type="cellIs" dxfId="4292" priority="5917" stopIfTrue="1" operator="between">
      <formula>-0.15</formula>
      <formula>-0.0001</formula>
    </cfRule>
  </conditionalFormatting>
  <conditionalFormatting sqref="N1680">
    <cfRule type="cellIs" dxfId="4291" priority="5870" stopIfTrue="1" operator="between">
      <formula>-350</formula>
      <formula>-1</formula>
    </cfRule>
  </conditionalFormatting>
  <conditionalFormatting sqref="AE1692">
    <cfRule type="cellIs" dxfId="4290" priority="5902" stopIfTrue="1" operator="between">
      <formula>-0.15</formula>
      <formula>-0.0001</formula>
    </cfRule>
  </conditionalFormatting>
  <conditionalFormatting sqref="AH1692:AI1692">
    <cfRule type="cellIs" dxfId="4289" priority="5901" stopIfTrue="1" operator="between">
      <formula>-0.15</formula>
      <formula>0.005</formula>
    </cfRule>
  </conditionalFormatting>
  <conditionalFormatting sqref="AE1689">
    <cfRule type="cellIs" dxfId="4288" priority="5900" stopIfTrue="1" operator="between">
      <formula>-0.15</formula>
      <formula>-0.0001</formula>
    </cfRule>
  </conditionalFormatting>
  <conditionalFormatting sqref="AH1689:AI1689">
    <cfRule type="cellIs" dxfId="4287" priority="5899" stopIfTrue="1" operator="between">
      <formula>-0.15</formula>
      <formula>0.005</formula>
    </cfRule>
  </conditionalFormatting>
  <conditionalFormatting sqref="N1689">
    <cfRule type="cellIs" dxfId="4286" priority="5898" stopIfTrue="1" operator="between">
      <formula>-350</formula>
      <formula>-1</formula>
    </cfRule>
  </conditionalFormatting>
  <conditionalFormatting sqref="AE1690">
    <cfRule type="cellIs" dxfId="4285" priority="5894" stopIfTrue="1" operator="between">
      <formula>-0.15</formula>
      <formula>-0.0001</formula>
    </cfRule>
  </conditionalFormatting>
  <conditionalFormatting sqref="AH1690:AI1690">
    <cfRule type="cellIs" dxfId="4284" priority="5893" stopIfTrue="1" operator="between">
      <formula>-0.15</formula>
      <formula>0.005</formula>
    </cfRule>
  </conditionalFormatting>
  <conditionalFormatting sqref="N1690">
    <cfRule type="cellIs" dxfId="4283" priority="5892" stopIfTrue="1" operator="between">
      <formula>-350</formula>
      <formula>-1</formula>
    </cfRule>
  </conditionalFormatting>
  <conditionalFormatting sqref="AE1691">
    <cfRule type="cellIs" dxfId="4282" priority="5891" stopIfTrue="1" operator="between">
      <formula>-0.15</formula>
      <formula>-0.0001</formula>
    </cfRule>
  </conditionalFormatting>
  <conditionalFormatting sqref="AH1691:AI1691">
    <cfRule type="cellIs" dxfId="4281" priority="5890" stopIfTrue="1" operator="between">
      <formula>-0.15</formula>
      <formula>0.005</formula>
    </cfRule>
  </conditionalFormatting>
  <conditionalFormatting sqref="N1691">
    <cfRule type="cellIs" dxfId="4280" priority="5889" stopIfTrue="1" operator="between">
      <formula>-350</formula>
      <formula>-1</formula>
    </cfRule>
  </conditionalFormatting>
  <conditionalFormatting sqref="AE1681">
    <cfRule type="cellIs" dxfId="4279" priority="5880" stopIfTrue="1" operator="between">
      <formula>-0.15</formula>
      <formula>-0.0001</formula>
    </cfRule>
  </conditionalFormatting>
  <conditionalFormatting sqref="AH1681:AI1681">
    <cfRule type="cellIs" dxfId="4278" priority="5879" stopIfTrue="1" operator="between">
      <formula>-0.15</formula>
      <formula>0.005</formula>
    </cfRule>
  </conditionalFormatting>
  <conditionalFormatting sqref="AE1680">
    <cfRule type="cellIs" dxfId="4277" priority="5872" stopIfTrue="1" operator="between">
      <formula>-0.15</formula>
      <formula>-0.0001</formula>
    </cfRule>
  </conditionalFormatting>
  <conditionalFormatting sqref="AH1680:AI1680">
    <cfRule type="cellIs" dxfId="4276" priority="5871" stopIfTrue="1" operator="between">
      <formula>-0.15</formula>
      <formula>0.005</formula>
    </cfRule>
  </conditionalFormatting>
  <conditionalFormatting sqref="AE1678">
    <cfRule type="cellIs" dxfId="4275" priority="5878" stopIfTrue="1" operator="between">
      <formula>-0.15</formula>
      <formula>-0.0001</formula>
    </cfRule>
  </conditionalFormatting>
  <conditionalFormatting sqref="AH1678:AI1678">
    <cfRule type="cellIs" dxfId="4274" priority="5877" stopIfTrue="1" operator="between">
      <formula>-0.15</formula>
      <formula>0.005</formula>
    </cfRule>
  </conditionalFormatting>
  <conditionalFormatting sqref="N1678">
    <cfRule type="cellIs" dxfId="4273" priority="5876" stopIfTrue="1" operator="between">
      <formula>-350</formula>
      <formula>-1</formula>
    </cfRule>
  </conditionalFormatting>
  <conditionalFormatting sqref="AE378">
    <cfRule type="cellIs" dxfId="4272" priority="5846" stopIfTrue="1" operator="between">
      <formula>-0.15</formula>
      <formula>-0.0001</formula>
    </cfRule>
  </conditionalFormatting>
  <conditionalFormatting sqref="AH378:AI378">
    <cfRule type="cellIs" dxfId="4271" priority="5845" stopIfTrue="1" operator="between">
      <formula>-0.15</formula>
      <formula>0.005</formula>
    </cfRule>
  </conditionalFormatting>
  <conditionalFormatting sqref="AE379">
    <cfRule type="cellIs" dxfId="4270" priority="5848" stopIfTrue="1" operator="between">
      <formula>-0.15</formula>
      <formula>-0.0001</formula>
    </cfRule>
  </conditionalFormatting>
  <conditionalFormatting sqref="AH379:AI379">
    <cfRule type="cellIs" dxfId="4269" priority="5847" stopIfTrue="1" operator="between">
      <formula>-0.15</formula>
      <formula>0.005</formula>
    </cfRule>
  </conditionalFormatting>
  <conditionalFormatting sqref="N378">
    <cfRule type="cellIs" dxfId="4268" priority="5844" stopIfTrue="1" operator="between">
      <formula>-350</formula>
      <formula>-1</formula>
    </cfRule>
  </conditionalFormatting>
  <conditionalFormatting sqref="AE764">
    <cfRule type="cellIs" dxfId="4267" priority="5843" stopIfTrue="1" operator="between">
      <formula>-0.15</formula>
      <formula>-0.0001</formula>
    </cfRule>
  </conditionalFormatting>
  <conditionalFormatting sqref="AH764:AI764">
    <cfRule type="cellIs" dxfId="4266" priority="5842" stopIfTrue="1" operator="between">
      <formula>-0.15</formula>
      <formula>0.005</formula>
    </cfRule>
  </conditionalFormatting>
  <conditionalFormatting sqref="N761">
    <cfRule type="cellIs" dxfId="4265" priority="5841" stopIfTrue="1" operator="between">
      <formula>-350</formula>
      <formula>-1</formula>
    </cfRule>
  </conditionalFormatting>
  <conditionalFormatting sqref="AE761">
    <cfRule type="cellIs" dxfId="4264" priority="5840" stopIfTrue="1" operator="between">
      <formula>-0.15</formula>
      <formula>-0.0001</formula>
    </cfRule>
  </conditionalFormatting>
  <conditionalFormatting sqref="AH761:AI761">
    <cfRule type="cellIs" dxfId="4263" priority="5839" stopIfTrue="1" operator="between">
      <formula>-0.15</formula>
      <formula>0.005</formula>
    </cfRule>
  </conditionalFormatting>
  <conditionalFormatting sqref="AE763">
    <cfRule type="cellIs" dxfId="4262" priority="5838" stopIfTrue="1" operator="between">
      <formula>-0.15</formula>
      <formula>-0.0001</formula>
    </cfRule>
  </conditionalFormatting>
  <conditionalFormatting sqref="AH763:AI763">
    <cfRule type="cellIs" dxfId="4261" priority="5837" stopIfTrue="1" operator="between">
      <formula>-0.15</formula>
      <formula>0.005</formula>
    </cfRule>
  </conditionalFormatting>
  <conditionalFormatting sqref="N763">
    <cfRule type="cellIs" dxfId="4260" priority="5836" stopIfTrue="1" operator="between">
      <formula>-350</formula>
      <formula>-1</formula>
    </cfRule>
  </conditionalFormatting>
  <conditionalFormatting sqref="AE767">
    <cfRule type="cellIs" dxfId="4259" priority="5835" stopIfTrue="1" operator="between">
      <formula>-0.15</formula>
      <formula>-0.0001</formula>
    </cfRule>
  </conditionalFormatting>
  <conditionalFormatting sqref="AH767:AI767">
    <cfRule type="cellIs" dxfId="4258" priority="5834" stopIfTrue="1" operator="between">
      <formula>-0.15</formula>
      <formula>0.005</formula>
    </cfRule>
  </conditionalFormatting>
  <conditionalFormatting sqref="N765">
    <cfRule type="cellIs" dxfId="4257" priority="5833" stopIfTrue="1" operator="between">
      <formula>-350</formula>
      <formula>-1</formula>
    </cfRule>
  </conditionalFormatting>
  <conditionalFormatting sqref="AE765">
    <cfRule type="cellIs" dxfId="4256" priority="5832" stopIfTrue="1" operator="between">
      <formula>-0.15</formula>
      <formula>-0.0001</formula>
    </cfRule>
  </conditionalFormatting>
  <conditionalFormatting sqref="AH765:AI765">
    <cfRule type="cellIs" dxfId="4255" priority="5831" stopIfTrue="1" operator="between">
      <formula>-0.15</formula>
      <formula>0.005</formula>
    </cfRule>
  </conditionalFormatting>
  <conditionalFormatting sqref="AE766">
    <cfRule type="cellIs" dxfId="4254" priority="5830" stopIfTrue="1" operator="between">
      <formula>-0.15</formula>
      <formula>-0.0001</formula>
    </cfRule>
  </conditionalFormatting>
  <conditionalFormatting sqref="AH766:AI766">
    <cfRule type="cellIs" dxfId="4253" priority="5829" stopIfTrue="1" operator="between">
      <formula>-0.15</formula>
      <formula>0.005</formula>
    </cfRule>
  </conditionalFormatting>
  <conditionalFormatting sqref="N766">
    <cfRule type="cellIs" dxfId="4252" priority="5828" stopIfTrue="1" operator="between">
      <formula>-350</formula>
      <formula>-1</formula>
    </cfRule>
  </conditionalFormatting>
  <conditionalFormatting sqref="AE769">
    <cfRule type="cellIs" dxfId="4251" priority="5827" stopIfTrue="1" operator="between">
      <formula>-0.15</formula>
      <formula>-0.0001</formula>
    </cfRule>
  </conditionalFormatting>
  <conditionalFormatting sqref="AH769:AI769">
    <cfRule type="cellIs" dxfId="4250" priority="5826" stopIfTrue="1" operator="between">
      <formula>-0.15</formula>
      <formula>0.005</formula>
    </cfRule>
  </conditionalFormatting>
  <conditionalFormatting sqref="N768">
    <cfRule type="cellIs" dxfId="4249" priority="5825" stopIfTrue="1" operator="between">
      <formula>-350</formula>
      <formula>-1</formula>
    </cfRule>
  </conditionalFormatting>
  <conditionalFormatting sqref="AE768">
    <cfRule type="cellIs" dxfId="4248" priority="5824" stopIfTrue="1" operator="between">
      <formula>-0.15</formula>
      <formula>-0.0001</formula>
    </cfRule>
  </conditionalFormatting>
  <conditionalFormatting sqref="AH768:AI768">
    <cfRule type="cellIs" dxfId="4247" priority="5823" stopIfTrue="1" operator="between">
      <formula>-0.15</formula>
      <formula>0.005</formula>
    </cfRule>
  </conditionalFormatting>
  <conditionalFormatting sqref="AE773">
    <cfRule type="cellIs" dxfId="4246" priority="5816" stopIfTrue="1" operator="between">
      <formula>-0.15</formula>
      <formula>-0.0001</formula>
    </cfRule>
  </conditionalFormatting>
  <conditionalFormatting sqref="AH773:AI773">
    <cfRule type="cellIs" dxfId="4245" priority="5815" stopIfTrue="1" operator="between">
      <formula>-0.15</formula>
      <formula>0.005</formula>
    </cfRule>
  </conditionalFormatting>
  <conditionalFormatting sqref="N770">
    <cfRule type="cellIs" dxfId="4244" priority="5814" stopIfTrue="1" operator="between">
      <formula>-350</formula>
      <formula>-1</formula>
    </cfRule>
  </conditionalFormatting>
  <conditionalFormatting sqref="AE770">
    <cfRule type="cellIs" dxfId="4243" priority="5813" stopIfTrue="1" operator="between">
      <formula>-0.15</formula>
      <formula>-0.0001</formula>
    </cfRule>
  </conditionalFormatting>
  <conditionalFormatting sqref="AH770:AI770">
    <cfRule type="cellIs" dxfId="4242" priority="5812" stopIfTrue="1" operator="between">
      <formula>-0.15</formula>
      <formula>0.005</formula>
    </cfRule>
  </conditionalFormatting>
  <conditionalFormatting sqref="AE772">
    <cfRule type="cellIs" dxfId="4241" priority="5808" stopIfTrue="1" operator="between">
      <formula>-0.15</formula>
      <formula>-0.0001</formula>
    </cfRule>
  </conditionalFormatting>
  <conditionalFormatting sqref="AH772:AI772">
    <cfRule type="cellIs" dxfId="4240" priority="5807" stopIfTrue="1" operator="between">
      <formula>-0.15</formula>
      <formula>0.005</formula>
    </cfRule>
  </conditionalFormatting>
  <conditionalFormatting sqref="N772">
    <cfRule type="cellIs" dxfId="4239" priority="5806" stopIfTrue="1" operator="between">
      <formula>-350</formula>
      <formula>-1</formula>
    </cfRule>
  </conditionalFormatting>
  <conditionalFormatting sqref="N419">
    <cfRule type="cellIs" dxfId="4238" priority="5803" stopIfTrue="1" operator="between">
      <formula>-350</formula>
      <formula>-1</formula>
    </cfRule>
  </conditionalFormatting>
  <conditionalFormatting sqref="AE419">
    <cfRule type="cellIs" dxfId="4237" priority="5802" stopIfTrue="1" operator="between">
      <formula>-0.15</formula>
      <formula>-0.0001</formula>
    </cfRule>
  </conditionalFormatting>
  <conditionalFormatting sqref="AH419:AI419">
    <cfRule type="cellIs" dxfId="4236" priority="5801" stopIfTrue="1" operator="between">
      <formula>-0.15</formula>
      <formula>0.005</formula>
    </cfRule>
  </conditionalFormatting>
  <conditionalFormatting sqref="AE420">
    <cfRule type="cellIs" dxfId="4235" priority="5805" stopIfTrue="1" operator="between">
      <formula>-0.15</formula>
      <formula>-0.0001</formula>
    </cfRule>
  </conditionalFormatting>
  <conditionalFormatting sqref="AH420:AI420">
    <cfRule type="cellIs" dxfId="4234" priority="5804" stopIfTrue="1" operator="between">
      <formula>-0.15</formula>
      <formula>0.005</formula>
    </cfRule>
  </conditionalFormatting>
  <conditionalFormatting sqref="N417">
    <cfRule type="cellIs" dxfId="4233" priority="5800" stopIfTrue="1" operator="between">
      <formula>-350</formula>
      <formula>-1</formula>
    </cfRule>
  </conditionalFormatting>
  <conditionalFormatting sqref="AE417">
    <cfRule type="cellIs" dxfId="4232" priority="5799" stopIfTrue="1" operator="between">
      <formula>-0.15</formula>
      <formula>-0.0001</formula>
    </cfRule>
  </conditionalFormatting>
  <conditionalFormatting sqref="AH417:AI417">
    <cfRule type="cellIs" dxfId="4231" priority="5798" stopIfTrue="1" operator="between">
      <formula>-0.15</formula>
      <formula>0.005</formula>
    </cfRule>
  </conditionalFormatting>
  <conditionalFormatting sqref="AE503">
    <cfRule type="cellIs" dxfId="4230" priority="5797" stopIfTrue="1" operator="between">
      <formula>-0.15</formula>
      <formula>-0.0001</formula>
    </cfRule>
  </conditionalFormatting>
  <conditionalFormatting sqref="AH503:AI503">
    <cfRule type="cellIs" dxfId="4229" priority="5796" stopIfTrue="1" operator="between">
      <formula>-0.15</formula>
      <formula>0.005</formula>
    </cfRule>
  </conditionalFormatting>
  <conditionalFormatting sqref="N501">
    <cfRule type="cellIs" dxfId="4228" priority="5795" stopIfTrue="1" operator="between">
      <formula>-350</formula>
      <formula>-1</formula>
    </cfRule>
  </conditionalFormatting>
  <conditionalFormatting sqref="AE502">
    <cfRule type="cellIs" dxfId="4227" priority="5792" stopIfTrue="1" operator="between">
      <formula>-0.15</formula>
      <formula>-0.0001</formula>
    </cfRule>
  </conditionalFormatting>
  <conditionalFormatting sqref="AH502:AI502">
    <cfRule type="cellIs" dxfId="4226" priority="5791" stopIfTrue="1" operator="between">
      <formula>-0.15</formula>
      <formula>0.005</formula>
    </cfRule>
  </conditionalFormatting>
  <conditionalFormatting sqref="AE501">
    <cfRule type="cellIs" dxfId="4225" priority="5794" stopIfTrue="1" operator="between">
      <formula>-0.15</formula>
      <formula>-0.0001</formula>
    </cfRule>
  </conditionalFormatting>
  <conditionalFormatting sqref="AH501:AI501">
    <cfRule type="cellIs" dxfId="4224" priority="5793" stopIfTrue="1" operator="between">
      <formula>-0.15</formula>
      <formula>0.005</formula>
    </cfRule>
  </conditionalFormatting>
  <conditionalFormatting sqref="N502">
    <cfRule type="cellIs" dxfId="4223" priority="5790" stopIfTrue="1" operator="between">
      <formula>-350</formula>
      <formula>-1</formula>
    </cfRule>
  </conditionalFormatting>
  <conditionalFormatting sqref="AE1688">
    <cfRule type="cellIs" dxfId="4222" priority="5789" stopIfTrue="1" operator="between">
      <formula>-0.15</formula>
      <formula>-0.0001</formula>
    </cfRule>
  </conditionalFormatting>
  <conditionalFormatting sqref="AH1688:AI1688">
    <cfRule type="cellIs" dxfId="4221" priority="5788" stopIfTrue="1" operator="between">
      <formula>-0.15</formula>
      <formula>0.005</formula>
    </cfRule>
  </conditionalFormatting>
  <conditionalFormatting sqref="AE1682">
    <cfRule type="cellIs" dxfId="4220" priority="5787" stopIfTrue="1" operator="between">
      <formula>-0.15</formula>
      <formula>-0.0001</formula>
    </cfRule>
  </conditionalFormatting>
  <conditionalFormatting sqref="AH1682:AI1682">
    <cfRule type="cellIs" dxfId="4219" priority="5786" stopIfTrue="1" operator="between">
      <formula>-0.15</formula>
      <formula>0.005</formula>
    </cfRule>
  </conditionalFormatting>
  <conditionalFormatting sqref="N1682">
    <cfRule type="cellIs" dxfId="4218" priority="5785" stopIfTrue="1" operator="between">
      <formula>-350</formula>
      <formula>-1</formula>
    </cfRule>
  </conditionalFormatting>
  <conditionalFormatting sqref="AE1685">
    <cfRule type="cellIs" dxfId="4217" priority="5784" stopIfTrue="1" operator="between">
      <formula>-0.15</formula>
      <formula>-0.0001</formula>
    </cfRule>
  </conditionalFormatting>
  <conditionalFormatting sqref="AH1685:AI1685">
    <cfRule type="cellIs" dxfId="4216" priority="5783" stopIfTrue="1" operator="between">
      <formula>-0.15</formula>
      <formula>0.005</formula>
    </cfRule>
  </conditionalFormatting>
  <conditionalFormatting sqref="N1685">
    <cfRule type="cellIs" dxfId="4215" priority="5782" stopIfTrue="1" operator="between">
      <formula>-350</formula>
      <formula>-1</formula>
    </cfRule>
  </conditionalFormatting>
  <conditionalFormatting sqref="AE1687">
    <cfRule type="cellIs" dxfId="4214" priority="5781" stopIfTrue="1" operator="between">
      <formula>-0.15</formula>
      <formula>-0.0001</formula>
    </cfRule>
  </conditionalFormatting>
  <conditionalFormatting sqref="AH1687:AI1687">
    <cfRule type="cellIs" dxfId="4213" priority="5780" stopIfTrue="1" operator="between">
      <formula>-0.15</formula>
      <formula>0.005</formula>
    </cfRule>
  </conditionalFormatting>
  <conditionalFormatting sqref="N1687">
    <cfRule type="cellIs" dxfId="4212" priority="5779" stopIfTrue="1" operator="between">
      <formula>-350</formula>
      <formula>-1</formula>
    </cfRule>
  </conditionalFormatting>
  <conditionalFormatting sqref="AE777">
    <cfRule type="cellIs" dxfId="4211" priority="5778" stopIfTrue="1" operator="between">
      <formula>-0.15</formula>
      <formula>-0.0001</formula>
    </cfRule>
  </conditionalFormatting>
  <conditionalFormatting sqref="AH777:AI777">
    <cfRule type="cellIs" dxfId="4210" priority="5777" stopIfTrue="1" operator="between">
      <formula>-0.15</formula>
      <formula>0.005</formula>
    </cfRule>
  </conditionalFormatting>
  <conditionalFormatting sqref="N774">
    <cfRule type="cellIs" dxfId="4209" priority="5776" stopIfTrue="1" operator="between">
      <formula>-350</formula>
      <formula>-1</formula>
    </cfRule>
  </conditionalFormatting>
  <conditionalFormatting sqref="AE774">
    <cfRule type="cellIs" dxfId="4208" priority="5775" stopIfTrue="1" operator="between">
      <formula>-0.15</formula>
      <formula>-0.0001</formula>
    </cfRule>
  </conditionalFormatting>
  <conditionalFormatting sqref="AH774:AI774">
    <cfRule type="cellIs" dxfId="4207" priority="5774" stopIfTrue="1" operator="between">
      <formula>-0.15</formula>
      <formula>0.005</formula>
    </cfRule>
  </conditionalFormatting>
  <conditionalFormatting sqref="AE776">
    <cfRule type="cellIs" dxfId="4206" priority="5773" stopIfTrue="1" operator="between">
      <formula>-0.15</formula>
      <formula>-0.0001</formula>
    </cfRule>
  </conditionalFormatting>
  <conditionalFormatting sqref="AH776:AI776">
    <cfRule type="cellIs" dxfId="4205" priority="5772" stopIfTrue="1" operator="between">
      <formula>-0.15</formula>
      <formula>0.005</formula>
    </cfRule>
  </conditionalFormatting>
  <conditionalFormatting sqref="N776">
    <cfRule type="cellIs" dxfId="4204" priority="5771" stopIfTrue="1" operator="between">
      <formula>-350</formula>
      <formula>-1</formula>
    </cfRule>
  </conditionalFormatting>
  <conditionalFormatting sqref="AE775">
    <cfRule type="cellIs" dxfId="4203" priority="5770" stopIfTrue="1" operator="between">
      <formula>-0.15</formula>
      <formula>-0.0001</formula>
    </cfRule>
  </conditionalFormatting>
  <conditionalFormatting sqref="AH775:AI775">
    <cfRule type="cellIs" dxfId="4202" priority="5769" stopIfTrue="1" operator="between">
      <formula>-0.15</formula>
      <formula>0.005</formula>
    </cfRule>
  </conditionalFormatting>
  <conditionalFormatting sqref="N775">
    <cfRule type="cellIs" dxfId="4201" priority="5768" stopIfTrue="1" operator="between">
      <formula>-350</formula>
      <formula>-1</formula>
    </cfRule>
  </conditionalFormatting>
  <conditionalFormatting sqref="AE786">
    <cfRule type="cellIs" dxfId="4200" priority="5767" stopIfTrue="1" operator="between">
      <formula>-0.15</formula>
      <formula>-0.0001</formula>
    </cfRule>
  </conditionalFormatting>
  <conditionalFormatting sqref="AH786:AI786">
    <cfRule type="cellIs" dxfId="4199" priority="5766" stopIfTrue="1" operator="between">
      <formula>-0.15</formula>
      <formula>0.005</formula>
    </cfRule>
  </conditionalFormatting>
  <conditionalFormatting sqref="N783">
    <cfRule type="cellIs" dxfId="4198" priority="5765" stopIfTrue="1" operator="between">
      <formula>-350</formula>
      <formula>-1</formula>
    </cfRule>
  </conditionalFormatting>
  <conditionalFormatting sqref="AE783">
    <cfRule type="cellIs" dxfId="4197" priority="5764" stopIfTrue="1" operator="between">
      <formula>-0.15</formula>
      <formula>-0.0001</formula>
    </cfRule>
  </conditionalFormatting>
  <conditionalFormatting sqref="AH783:AI783">
    <cfRule type="cellIs" dxfId="4196" priority="5763" stopIfTrue="1" operator="between">
      <formula>-0.15</formula>
      <formula>0.005</formula>
    </cfRule>
  </conditionalFormatting>
  <conditionalFormatting sqref="AE785">
    <cfRule type="cellIs" dxfId="4195" priority="5759" stopIfTrue="1" operator="between">
      <formula>-0.15</formula>
      <formula>-0.0001</formula>
    </cfRule>
  </conditionalFormatting>
  <conditionalFormatting sqref="AH785:AI785">
    <cfRule type="cellIs" dxfId="4194" priority="5758" stopIfTrue="1" operator="between">
      <formula>-0.15</formula>
      <formula>0.005</formula>
    </cfRule>
  </conditionalFormatting>
  <conditionalFormatting sqref="N785">
    <cfRule type="cellIs" dxfId="4193" priority="5757" stopIfTrue="1" operator="between">
      <formula>-350</formula>
      <formula>-1</formula>
    </cfRule>
  </conditionalFormatting>
  <conditionalFormatting sqref="AE782">
    <cfRule type="cellIs" dxfId="4192" priority="5756" stopIfTrue="1" operator="between">
      <formula>-0.15</formula>
      <formula>-0.0001</formula>
    </cfRule>
  </conditionalFormatting>
  <conditionalFormatting sqref="AH782:AI782">
    <cfRule type="cellIs" dxfId="4191" priority="5755" stopIfTrue="1" operator="between">
      <formula>-0.15</formula>
      <formula>0.005</formula>
    </cfRule>
  </conditionalFormatting>
  <conditionalFormatting sqref="N778">
    <cfRule type="cellIs" dxfId="4190" priority="5754" stopIfTrue="1" operator="between">
      <formula>-350</formula>
      <formula>-1</formula>
    </cfRule>
  </conditionalFormatting>
  <conditionalFormatting sqref="AE778">
    <cfRule type="cellIs" dxfId="4189" priority="5753" stopIfTrue="1" operator="between">
      <formula>-0.15</formula>
      <formula>-0.0001</formula>
    </cfRule>
  </conditionalFormatting>
  <conditionalFormatting sqref="AH778:AI778">
    <cfRule type="cellIs" dxfId="4188" priority="5752" stopIfTrue="1" operator="between">
      <formula>-0.15</formula>
      <formula>0.005</formula>
    </cfRule>
  </conditionalFormatting>
  <conditionalFormatting sqref="AE781">
    <cfRule type="cellIs" dxfId="4187" priority="5751" stopIfTrue="1" operator="between">
      <formula>-0.15</formula>
      <formula>-0.0001</formula>
    </cfRule>
  </conditionalFormatting>
  <conditionalFormatting sqref="AH781:AI781">
    <cfRule type="cellIs" dxfId="4186" priority="5750" stopIfTrue="1" operator="between">
      <formula>-0.15</formula>
      <formula>0.005</formula>
    </cfRule>
  </conditionalFormatting>
  <conditionalFormatting sqref="N781">
    <cfRule type="cellIs" dxfId="4185" priority="5749" stopIfTrue="1" operator="between">
      <formula>-350</formula>
      <formula>-1</formula>
    </cfRule>
  </conditionalFormatting>
  <conditionalFormatting sqref="AE779">
    <cfRule type="cellIs" dxfId="4184" priority="5748" stopIfTrue="1" operator="between">
      <formula>-0.15</formula>
      <formula>-0.0001</formula>
    </cfRule>
  </conditionalFormatting>
  <conditionalFormatting sqref="AH779:AI779">
    <cfRule type="cellIs" dxfId="4183" priority="5747" stopIfTrue="1" operator="between">
      <formula>-0.15</formula>
      <formula>0.005</formula>
    </cfRule>
  </conditionalFormatting>
  <conditionalFormatting sqref="N779">
    <cfRule type="cellIs" dxfId="4182" priority="5746" stopIfTrue="1" operator="between">
      <formula>-350</formula>
      <formula>-1</formula>
    </cfRule>
  </conditionalFormatting>
  <conditionalFormatting sqref="AE1036">
    <cfRule type="cellIs" dxfId="4181" priority="5745" stopIfTrue="1" operator="between">
      <formula>-0.15</formula>
      <formula>-0.0001</formula>
    </cfRule>
  </conditionalFormatting>
  <conditionalFormatting sqref="AH1036:AI1036">
    <cfRule type="cellIs" dxfId="4180" priority="5744" stopIfTrue="1" operator="between">
      <formula>-0.15</formula>
      <formula>0.005</formula>
    </cfRule>
  </conditionalFormatting>
  <conditionalFormatting sqref="N1035">
    <cfRule type="cellIs" dxfId="4179" priority="5743" stopIfTrue="1" operator="between">
      <formula>-350</formula>
      <formula>-1</formula>
    </cfRule>
  </conditionalFormatting>
  <conditionalFormatting sqref="AE1035">
    <cfRule type="cellIs" dxfId="4178" priority="5742" stopIfTrue="1" operator="between">
      <formula>-0.15</formula>
      <formula>-0.0001</formula>
    </cfRule>
  </conditionalFormatting>
  <conditionalFormatting sqref="AH1035:AI1035">
    <cfRule type="cellIs" dxfId="4177" priority="5741" stopIfTrue="1" operator="between">
      <formula>-0.15</formula>
      <formula>0.005</formula>
    </cfRule>
  </conditionalFormatting>
  <conditionalFormatting sqref="N1034">
    <cfRule type="cellIs" dxfId="4176" priority="5740" stopIfTrue="1" operator="between">
      <formula>-350</formula>
      <formula>-1</formula>
    </cfRule>
  </conditionalFormatting>
  <conditionalFormatting sqref="AE1034">
    <cfRule type="cellIs" dxfId="4175" priority="5739" stopIfTrue="1" operator="between">
      <formula>-0.15</formula>
      <formula>-0.0001</formula>
    </cfRule>
  </conditionalFormatting>
  <conditionalFormatting sqref="AH1034:AI1034">
    <cfRule type="cellIs" dxfId="4174" priority="5738" stopIfTrue="1" operator="between">
      <formula>-0.15</formula>
      <formula>0.005</formula>
    </cfRule>
  </conditionalFormatting>
  <conditionalFormatting sqref="AE476">
    <cfRule type="cellIs" dxfId="4173" priority="5704" stopIfTrue="1" operator="between">
      <formula>-0.15</formula>
      <formula>-0.0001</formula>
    </cfRule>
  </conditionalFormatting>
  <conditionalFormatting sqref="AH476:AI476">
    <cfRule type="cellIs" dxfId="4172" priority="5703" stopIfTrue="1" operator="between">
      <formula>-0.15</formula>
      <formula>0.005</formula>
    </cfRule>
  </conditionalFormatting>
  <conditionalFormatting sqref="AE485">
    <cfRule type="cellIs" dxfId="4171" priority="5696" stopIfTrue="1" operator="between">
      <formula>-0.15</formula>
      <formula>-0.0001</formula>
    </cfRule>
  </conditionalFormatting>
  <conditionalFormatting sqref="AH485:AI485">
    <cfRule type="cellIs" dxfId="4170" priority="5695" stopIfTrue="1" operator="between">
      <formula>-0.15</formula>
      <formula>0.005</formula>
    </cfRule>
  </conditionalFormatting>
  <conditionalFormatting sqref="N485">
    <cfRule type="cellIs" dxfId="4169" priority="5694" stopIfTrue="1" operator="between">
      <formula>-350</formula>
      <formula>-1</formula>
    </cfRule>
  </conditionalFormatting>
  <conditionalFormatting sqref="AH1415:AI1415">
    <cfRule type="cellIs" dxfId="4168" priority="5718" stopIfTrue="1" operator="between">
      <formula>-0.15</formula>
      <formula>0.005</formula>
    </cfRule>
  </conditionalFormatting>
  <conditionalFormatting sqref="N1415">
    <cfRule type="cellIs" dxfId="4167" priority="5717" stopIfTrue="1" operator="between">
      <formula>-350</formula>
      <formula>-1</formula>
    </cfRule>
  </conditionalFormatting>
  <conditionalFormatting sqref="AE1415">
    <cfRule type="cellIs" dxfId="4166" priority="5719" stopIfTrue="1" operator="between">
      <formula>-0.15</formula>
      <formula>-0.0001</formula>
    </cfRule>
  </conditionalFormatting>
  <conditionalFormatting sqref="AE1417">
    <cfRule type="cellIs" dxfId="4165" priority="5721" stopIfTrue="1" operator="between">
      <formula>-0.15</formula>
      <formula>-0.0001</formula>
    </cfRule>
  </conditionalFormatting>
  <conditionalFormatting sqref="AH1417:AI1417">
    <cfRule type="cellIs" dxfId="4164" priority="5720" stopIfTrue="1" operator="between">
      <formula>-0.15</formula>
      <formula>0.005</formula>
    </cfRule>
  </conditionalFormatting>
  <conditionalFormatting sqref="AH1416:AI1416">
    <cfRule type="cellIs" dxfId="4163" priority="5715" stopIfTrue="1" operator="between">
      <formula>-0.15</formula>
      <formula>0.005</formula>
    </cfRule>
  </conditionalFormatting>
  <conditionalFormatting sqref="N1416">
    <cfRule type="cellIs" dxfId="4162" priority="5714" stopIfTrue="1" operator="between">
      <formula>-350</formula>
      <formula>-1</formula>
    </cfRule>
  </conditionalFormatting>
  <conditionalFormatting sqref="AE1416">
    <cfRule type="cellIs" dxfId="4161" priority="5716" stopIfTrue="1" operator="between">
      <formula>-0.15</formula>
      <formula>-0.0001</formula>
    </cfRule>
  </conditionalFormatting>
  <conditionalFormatting sqref="AE1693">
    <cfRule type="cellIs" dxfId="4160" priority="5711" stopIfTrue="1" operator="between">
      <formula>-0.15</formula>
      <formula>-0.0001</formula>
    </cfRule>
  </conditionalFormatting>
  <conditionalFormatting sqref="AH1693:AI1693">
    <cfRule type="cellIs" dxfId="4159" priority="5710" stopIfTrue="1" operator="between">
      <formula>-0.15</formula>
      <formula>0.005</formula>
    </cfRule>
  </conditionalFormatting>
  <conditionalFormatting sqref="N1693">
    <cfRule type="cellIs" dxfId="4158" priority="5709" stopIfTrue="1" operator="between">
      <formula>-350</formula>
      <formula>-1</formula>
    </cfRule>
  </conditionalFormatting>
  <conditionalFormatting sqref="AE1695">
    <cfRule type="cellIs" dxfId="4157" priority="5713" stopIfTrue="1" operator="between">
      <formula>-0.15</formula>
      <formula>-0.0001</formula>
    </cfRule>
  </conditionalFormatting>
  <conditionalFormatting sqref="AH1695:AI1695">
    <cfRule type="cellIs" dxfId="4156" priority="5712" stopIfTrue="1" operator="between">
      <formula>-0.15</formula>
      <formula>0.005</formula>
    </cfRule>
  </conditionalFormatting>
  <conditionalFormatting sqref="AE1694">
    <cfRule type="cellIs" dxfId="4155" priority="5708" stopIfTrue="1" operator="between">
      <formula>-0.15</formula>
      <formula>-0.0001</formula>
    </cfRule>
  </conditionalFormatting>
  <conditionalFormatting sqref="AH1694:AI1694">
    <cfRule type="cellIs" dxfId="4154" priority="5707" stopIfTrue="1" operator="between">
      <formula>-0.15</formula>
      <formula>0.005</formula>
    </cfRule>
  </conditionalFormatting>
  <conditionalFormatting sqref="N1694">
    <cfRule type="cellIs" dxfId="4153" priority="5706" stopIfTrue="1" operator="between">
      <formula>-350</formula>
      <formula>-1</formula>
    </cfRule>
  </conditionalFormatting>
  <conditionalFormatting sqref="N476">
    <cfRule type="cellIs" dxfId="4152" priority="5705" stopIfTrue="1" operator="between">
      <formula>-350</formula>
      <formula>-1</formula>
    </cfRule>
  </conditionalFormatting>
  <conditionalFormatting sqref="AE482">
    <cfRule type="cellIs" dxfId="4151" priority="5681" stopIfTrue="1" operator="between">
      <formula>-0.15</formula>
      <formula>-0.0001</formula>
    </cfRule>
  </conditionalFormatting>
  <conditionalFormatting sqref="AH482:AI482">
    <cfRule type="cellIs" dxfId="4150" priority="5680" stopIfTrue="1" operator="between">
      <formula>-0.15</formula>
      <formula>0.005</formula>
    </cfRule>
  </conditionalFormatting>
  <conditionalFormatting sqref="N482">
    <cfRule type="cellIs" dxfId="4149" priority="5679" stopIfTrue="1" operator="between">
      <formula>-350</formula>
      <formula>-1</formula>
    </cfRule>
  </conditionalFormatting>
  <conditionalFormatting sqref="AE254">
    <cfRule type="cellIs" dxfId="4148" priority="5678" stopIfTrue="1" operator="between">
      <formula>-0.15</formula>
      <formula>-0.0001</formula>
    </cfRule>
  </conditionalFormatting>
  <conditionalFormatting sqref="AH254:AI254">
    <cfRule type="cellIs" dxfId="4147" priority="5677" stopIfTrue="1" operator="between">
      <formula>-0.15</formula>
      <formula>0.005</formula>
    </cfRule>
  </conditionalFormatting>
  <conditionalFormatting sqref="N254">
    <cfRule type="cellIs" dxfId="4146" priority="5676" stopIfTrue="1" operator="between">
      <formula>-350</formula>
      <formula>-1</formula>
    </cfRule>
  </conditionalFormatting>
  <conditionalFormatting sqref="AE1699">
    <cfRule type="cellIs" dxfId="4145" priority="5673" stopIfTrue="1" operator="between">
      <formula>-0.15</formula>
      <formula>-0.0001</formula>
    </cfRule>
  </conditionalFormatting>
  <conditionalFormatting sqref="AH1699:AI1699">
    <cfRule type="cellIs" dxfId="4144" priority="5672" stopIfTrue="1" operator="between">
      <formula>-0.15</formula>
      <formula>0.005</formula>
    </cfRule>
  </conditionalFormatting>
  <conditionalFormatting sqref="N1699">
    <cfRule type="cellIs" dxfId="4143" priority="5671" stopIfTrue="1" operator="between">
      <formula>-350</formula>
      <formula>-1</formula>
    </cfRule>
  </conditionalFormatting>
  <conditionalFormatting sqref="AE1702">
    <cfRule type="cellIs" dxfId="4142" priority="5675" stopIfTrue="1" operator="between">
      <formula>-0.15</formula>
      <formula>-0.0001</formula>
    </cfRule>
  </conditionalFormatting>
  <conditionalFormatting sqref="AH1702:AI1702">
    <cfRule type="cellIs" dxfId="4141" priority="5674" stopIfTrue="1" operator="between">
      <formula>-0.15</formula>
      <formula>0.005</formula>
    </cfRule>
  </conditionalFormatting>
  <conditionalFormatting sqref="AE1701">
    <cfRule type="cellIs" dxfId="4140" priority="5670" stopIfTrue="1" operator="between">
      <formula>-0.15</formula>
      <formula>-0.0001</formula>
    </cfRule>
  </conditionalFormatting>
  <conditionalFormatting sqref="AH1701:AI1701">
    <cfRule type="cellIs" dxfId="4139" priority="5669" stopIfTrue="1" operator="between">
      <formula>-0.15</formula>
      <formula>0.005</formula>
    </cfRule>
  </conditionalFormatting>
  <conditionalFormatting sqref="N1701">
    <cfRule type="cellIs" dxfId="4138" priority="5668" stopIfTrue="1" operator="between">
      <formula>-350</formula>
      <formula>-1</formula>
    </cfRule>
  </conditionalFormatting>
  <conditionalFormatting sqref="AE1700">
    <cfRule type="cellIs" dxfId="4137" priority="5667" stopIfTrue="1" operator="between">
      <formula>-0.15</formula>
      <formula>-0.0001</formula>
    </cfRule>
  </conditionalFormatting>
  <conditionalFormatting sqref="AH1700:AI1700">
    <cfRule type="cellIs" dxfId="4136" priority="5666" stopIfTrue="1" operator="between">
      <formula>-0.15</formula>
      <formula>0.005</formula>
    </cfRule>
  </conditionalFormatting>
  <conditionalFormatting sqref="N1700">
    <cfRule type="cellIs" dxfId="4135" priority="5665" stopIfTrue="1" operator="between">
      <formula>-350</formula>
      <formula>-1</formula>
    </cfRule>
  </conditionalFormatting>
  <conditionalFormatting sqref="AE1696">
    <cfRule type="cellIs" dxfId="4134" priority="5662" stopIfTrue="1" operator="between">
      <formula>-0.15</formula>
      <formula>-0.0001</formula>
    </cfRule>
  </conditionalFormatting>
  <conditionalFormatting sqref="AH1696:AI1696">
    <cfRule type="cellIs" dxfId="4133" priority="5661" stopIfTrue="1" operator="between">
      <formula>-0.15</formula>
      <formula>0.005</formula>
    </cfRule>
  </conditionalFormatting>
  <conditionalFormatting sqref="N1696">
    <cfRule type="cellIs" dxfId="4132" priority="5660" stopIfTrue="1" operator="between">
      <formula>-350</formula>
      <formula>-1</formula>
    </cfRule>
  </conditionalFormatting>
  <conditionalFormatting sqref="AE1698">
    <cfRule type="cellIs" dxfId="4131" priority="5664" stopIfTrue="1" operator="between">
      <formula>-0.15</formula>
      <formula>-0.0001</formula>
    </cfRule>
  </conditionalFormatting>
  <conditionalFormatting sqref="AH1698:AI1698">
    <cfRule type="cellIs" dxfId="4130" priority="5663" stopIfTrue="1" operator="between">
      <formula>-0.15</formula>
      <formula>0.005</formula>
    </cfRule>
  </conditionalFormatting>
  <conditionalFormatting sqref="AE1697">
    <cfRule type="cellIs" dxfId="4129" priority="5656" stopIfTrue="1" operator="between">
      <formula>-0.15</formula>
      <formula>-0.0001</formula>
    </cfRule>
  </conditionalFormatting>
  <conditionalFormatting sqref="AH1697:AI1697">
    <cfRule type="cellIs" dxfId="4128" priority="5655" stopIfTrue="1" operator="between">
      <formula>-0.15</formula>
      <formula>0.005</formula>
    </cfRule>
  </conditionalFormatting>
  <conditionalFormatting sqref="N1697">
    <cfRule type="cellIs" dxfId="4127" priority="5654" stopIfTrue="1" operator="between">
      <formula>-350</formula>
      <formula>-1</formula>
    </cfRule>
  </conditionalFormatting>
  <conditionalFormatting sqref="AE2221:AE2222">
    <cfRule type="cellIs" dxfId="4126" priority="5636" stopIfTrue="1" operator="between">
      <formula>-0.15</formula>
      <formula>-0.0001</formula>
    </cfRule>
  </conditionalFormatting>
  <conditionalFormatting sqref="AH2221:AI2222">
    <cfRule type="cellIs" dxfId="4125" priority="5635" stopIfTrue="1" operator="between">
      <formula>-0.15</formula>
      <formula>0.005</formula>
    </cfRule>
  </conditionalFormatting>
  <conditionalFormatting sqref="N2221">
    <cfRule type="cellIs" dxfId="4124" priority="5634" stopIfTrue="1" operator="between">
      <formula>-350</formula>
      <formula>-1</formula>
    </cfRule>
  </conditionalFormatting>
  <conditionalFormatting sqref="AE1705">
    <cfRule type="cellIs" dxfId="4123" priority="5628" stopIfTrue="1" operator="between">
      <formula>-0.15</formula>
      <formula>-0.0001</formula>
    </cfRule>
  </conditionalFormatting>
  <conditionalFormatting sqref="AH1705:AI1705">
    <cfRule type="cellIs" dxfId="4122" priority="5627" stopIfTrue="1" operator="between">
      <formula>-0.15</formula>
      <formula>0.005</formula>
    </cfRule>
  </conditionalFormatting>
  <conditionalFormatting sqref="N1705">
    <cfRule type="cellIs" dxfId="4121" priority="5626" stopIfTrue="1" operator="between">
      <formula>-350</formula>
      <formula>-1</formula>
    </cfRule>
  </conditionalFormatting>
  <conditionalFormatting sqref="AE1706">
    <cfRule type="cellIs" dxfId="4120" priority="5630" stopIfTrue="1" operator="between">
      <formula>-0.15</formula>
      <formula>-0.0001</formula>
    </cfRule>
  </conditionalFormatting>
  <conditionalFormatting sqref="AH1706:AI1706">
    <cfRule type="cellIs" dxfId="4119" priority="5629" stopIfTrue="1" operator="between">
      <formula>-0.15</formula>
      <formula>0.005</formula>
    </cfRule>
  </conditionalFormatting>
  <conditionalFormatting sqref="AE1707">
    <cfRule type="cellIs" dxfId="4118" priority="5620" stopIfTrue="1" operator="between">
      <formula>-0.15</formula>
      <formula>-0.0001</formula>
    </cfRule>
  </conditionalFormatting>
  <conditionalFormatting sqref="AH1707:AI1707">
    <cfRule type="cellIs" dxfId="4117" priority="5619" stopIfTrue="1" operator="between">
      <formula>-0.15</formula>
      <formula>0.005</formula>
    </cfRule>
  </conditionalFormatting>
  <conditionalFormatting sqref="N1707">
    <cfRule type="cellIs" dxfId="4116" priority="5618" stopIfTrue="1" operator="between">
      <formula>-350</formula>
      <formula>-1</formula>
    </cfRule>
  </conditionalFormatting>
  <conditionalFormatting sqref="AE1709">
    <cfRule type="cellIs" dxfId="4115" priority="5617" stopIfTrue="1" operator="between">
      <formula>-0.15</formula>
      <formula>-0.0001</formula>
    </cfRule>
  </conditionalFormatting>
  <conditionalFormatting sqref="AH1709:AI1709">
    <cfRule type="cellIs" dxfId="4114" priority="5616" stopIfTrue="1" operator="between">
      <formula>-0.15</formula>
      <formula>0.005</formula>
    </cfRule>
  </conditionalFormatting>
  <conditionalFormatting sqref="N1709">
    <cfRule type="cellIs" dxfId="4113" priority="5615" stopIfTrue="1" operator="between">
      <formula>-350</formula>
      <formula>-1</formula>
    </cfRule>
  </conditionalFormatting>
  <conditionalFormatting sqref="AE1710">
    <cfRule type="cellIs" dxfId="4112" priority="5622" stopIfTrue="1" operator="between">
      <formula>-0.15</formula>
      <formula>-0.0001</formula>
    </cfRule>
  </conditionalFormatting>
  <conditionalFormatting sqref="AH1710:AI1710">
    <cfRule type="cellIs" dxfId="4111" priority="5621" stopIfTrue="1" operator="between">
      <formula>-0.15</formula>
      <formula>0.005</formula>
    </cfRule>
  </conditionalFormatting>
  <conditionalFormatting sqref="AE305">
    <cfRule type="cellIs" dxfId="4110" priority="5614" stopIfTrue="1" operator="between">
      <formula>-0.15</formula>
      <formula>-0.0001</formula>
    </cfRule>
  </conditionalFormatting>
  <conditionalFormatting sqref="AH305:AI305">
    <cfRule type="cellIs" dxfId="4109" priority="5613" stopIfTrue="1" operator="between">
      <formula>-0.15</formula>
      <formula>0.005</formula>
    </cfRule>
  </conditionalFormatting>
  <conditionalFormatting sqref="N305">
    <cfRule type="cellIs" dxfId="4108" priority="5612" stopIfTrue="1" operator="between">
      <formula>-350</formula>
      <formula>-1</formula>
    </cfRule>
  </conditionalFormatting>
  <conditionalFormatting sqref="AE2227:AE2228">
    <cfRule type="cellIs" dxfId="4107" priority="5577" stopIfTrue="1" operator="between">
      <formula>-0.15</formula>
      <formula>-0.0001</formula>
    </cfRule>
  </conditionalFormatting>
  <conditionalFormatting sqref="AH2227:AI2228">
    <cfRule type="cellIs" dxfId="4106" priority="5576" stopIfTrue="1" operator="between">
      <formula>-0.15</formula>
      <formula>0.005</formula>
    </cfRule>
  </conditionalFormatting>
  <conditionalFormatting sqref="N2227">
    <cfRule type="cellIs" dxfId="4105" priority="5575" stopIfTrue="1" operator="between">
      <formula>-350</formula>
      <formula>-1</formula>
    </cfRule>
  </conditionalFormatting>
  <conditionalFormatting sqref="AE1721">
    <cfRule type="cellIs" dxfId="4104" priority="5597" stopIfTrue="1" operator="between">
      <formula>-0.15</formula>
      <formula>-0.0001</formula>
    </cfRule>
  </conditionalFormatting>
  <conditionalFormatting sqref="AH1721:AI1721">
    <cfRule type="cellIs" dxfId="4103" priority="5596" stopIfTrue="1" operator="between">
      <formula>-0.15</formula>
      <formula>0.005</formula>
    </cfRule>
  </conditionalFormatting>
  <conditionalFormatting sqref="AE1719">
    <cfRule type="cellIs" dxfId="4102" priority="5589" stopIfTrue="1" operator="between">
      <formula>-0.15</formula>
      <formula>-0.0001</formula>
    </cfRule>
  </conditionalFormatting>
  <conditionalFormatting sqref="AH1719:AI1719">
    <cfRule type="cellIs" dxfId="4101" priority="5588" stopIfTrue="1" operator="between">
      <formula>-0.15</formula>
      <formula>0.005</formula>
    </cfRule>
  </conditionalFormatting>
  <conditionalFormatting sqref="N1720">
    <cfRule type="cellIs" dxfId="4100" priority="5590" stopIfTrue="1" operator="between">
      <formula>-350</formula>
      <formula>-1</formula>
    </cfRule>
  </conditionalFormatting>
  <conditionalFormatting sqref="AE1715">
    <cfRule type="cellIs" dxfId="4099" priority="5595" stopIfTrue="1" operator="between">
      <formula>-0.15</formula>
      <formula>-0.0001</formula>
    </cfRule>
  </conditionalFormatting>
  <conditionalFormatting sqref="AH1715:AI1715">
    <cfRule type="cellIs" dxfId="4098" priority="5594" stopIfTrue="1" operator="between">
      <formula>-0.15</formula>
      <formula>0.005</formula>
    </cfRule>
  </conditionalFormatting>
  <conditionalFormatting sqref="N1715">
    <cfRule type="cellIs" dxfId="4097" priority="5593" stopIfTrue="1" operator="between">
      <formula>-350</formula>
      <formula>-1</formula>
    </cfRule>
  </conditionalFormatting>
  <conditionalFormatting sqref="AE1720">
    <cfRule type="cellIs" dxfId="4096" priority="5592" stopIfTrue="1" operator="between">
      <formula>-0.15</formula>
      <formula>-0.0001</formula>
    </cfRule>
  </conditionalFormatting>
  <conditionalFormatting sqref="AH1720:AI1720">
    <cfRule type="cellIs" dxfId="4095" priority="5591" stopIfTrue="1" operator="between">
      <formula>-0.15</formula>
      <formula>0.005</formula>
    </cfRule>
  </conditionalFormatting>
  <conditionalFormatting sqref="AE2231:AE2232">
    <cfRule type="cellIs" dxfId="4094" priority="5574" stopIfTrue="1" operator="between">
      <formula>-0.15</formula>
      <formula>-0.0001</formula>
    </cfRule>
  </conditionalFormatting>
  <conditionalFormatting sqref="AH2231:AI2232">
    <cfRule type="cellIs" dxfId="4093" priority="5573" stopIfTrue="1" operator="between">
      <formula>-0.15</formula>
      <formula>0.005</formula>
    </cfRule>
  </conditionalFormatting>
  <conditionalFormatting sqref="N1719">
    <cfRule type="cellIs" dxfId="4092" priority="5587" stopIfTrue="1" operator="between">
      <formula>-350</formula>
      <formula>-1</formula>
    </cfRule>
  </conditionalFormatting>
  <conditionalFormatting sqref="AE2225:AE2226">
    <cfRule type="cellIs" dxfId="4091" priority="5586" stopIfTrue="1" operator="between">
      <formula>-0.15</formula>
      <formula>-0.0001</formula>
    </cfRule>
  </conditionalFormatting>
  <conditionalFormatting sqref="AH2225:AI2226">
    <cfRule type="cellIs" dxfId="4090" priority="5585" stopIfTrue="1" operator="between">
      <formula>-0.15</formula>
      <formula>0.005</formula>
    </cfRule>
  </conditionalFormatting>
  <conditionalFormatting sqref="N2225">
    <cfRule type="cellIs" dxfId="4089" priority="5584" stopIfTrue="1" operator="between">
      <formula>-350</formula>
      <formula>-1</formula>
    </cfRule>
  </conditionalFormatting>
  <conditionalFormatting sqref="AE2233:AE2234">
    <cfRule type="cellIs" dxfId="4088" priority="5583" stopIfTrue="1" operator="between">
      <formula>-0.15</formula>
      <formula>-0.0001</formula>
    </cfRule>
  </conditionalFormatting>
  <conditionalFormatting sqref="AH2233:AI2234">
    <cfRule type="cellIs" dxfId="4087" priority="5582" stopIfTrue="1" operator="between">
      <formula>-0.15</formula>
      <formula>0.005</formula>
    </cfRule>
  </conditionalFormatting>
  <conditionalFormatting sqref="N2233">
    <cfRule type="cellIs" dxfId="4086" priority="5581" stopIfTrue="1" operator="between">
      <formula>-350</formula>
      <formula>-1</formula>
    </cfRule>
  </conditionalFormatting>
  <conditionalFormatting sqref="AE2229:AE2230">
    <cfRule type="cellIs" dxfId="4085" priority="5580" stopIfTrue="1" operator="between">
      <formula>-0.15</formula>
      <formula>-0.0001</formula>
    </cfRule>
  </conditionalFormatting>
  <conditionalFormatting sqref="AH2229:AI2230">
    <cfRule type="cellIs" dxfId="4084" priority="5579" stopIfTrue="1" operator="between">
      <formula>-0.15</formula>
      <formula>0.005</formula>
    </cfRule>
  </conditionalFormatting>
  <conditionalFormatting sqref="N2229">
    <cfRule type="cellIs" dxfId="4083" priority="5578" stopIfTrue="1" operator="between">
      <formula>-350</formula>
      <formula>-1</formula>
    </cfRule>
  </conditionalFormatting>
  <conditionalFormatting sqref="N2231">
    <cfRule type="cellIs" dxfId="4082" priority="5572" stopIfTrue="1" operator="between">
      <formula>-350</formula>
      <formula>-1</formula>
    </cfRule>
  </conditionalFormatting>
  <conditionalFormatting sqref="AE2238:AE2239">
    <cfRule type="cellIs" dxfId="4081" priority="5571" stopIfTrue="1" operator="between">
      <formula>-0.15</formula>
      <formula>-0.0001</formula>
    </cfRule>
  </conditionalFormatting>
  <conditionalFormatting sqref="AH2238:AI2239">
    <cfRule type="cellIs" dxfId="4080" priority="5570" stopIfTrue="1" operator="between">
      <formula>-0.15</formula>
      <formula>0.005</formula>
    </cfRule>
  </conditionalFormatting>
  <conditionalFormatting sqref="N2238">
    <cfRule type="cellIs" dxfId="4079" priority="5569" stopIfTrue="1" operator="between">
      <formula>-350</formula>
      <formula>-1</formula>
    </cfRule>
  </conditionalFormatting>
  <conditionalFormatting sqref="AE2236:AE2237">
    <cfRule type="cellIs" dxfId="4078" priority="5568" stopIfTrue="1" operator="between">
      <formula>-0.15</formula>
      <formula>-0.0001</formula>
    </cfRule>
  </conditionalFormatting>
  <conditionalFormatting sqref="AH2236:AI2237">
    <cfRule type="cellIs" dxfId="4077" priority="5567" stopIfTrue="1" operator="between">
      <formula>-0.15</formula>
      <formula>0.005</formula>
    </cfRule>
  </conditionalFormatting>
  <conditionalFormatting sqref="N2236">
    <cfRule type="cellIs" dxfId="4076" priority="5566" stopIfTrue="1" operator="between">
      <formula>-350</formula>
      <formula>-1</formula>
    </cfRule>
  </conditionalFormatting>
  <conditionalFormatting sqref="AE353">
    <cfRule type="cellIs" dxfId="4075" priority="5565" stopIfTrue="1" operator="between">
      <formula>-0.15</formula>
      <formula>-0.0001</formula>
    </cfRule>
  </conditionalFormatting>
  <conditionalFormatting sqref="AH353:AI353">
    <cfRule type="cellIs" dxfId="4074" priority="5564" stopIfTrue="1" operator="between">
      <formula>-0.15</formula>
      <formula>0.005</formula>
    </cfRule>
  </conditionalFormatting>
  <conditionalFormatting sqref="AE347">
    <cfRule type="cellIs" dxfId="4073" priority="5563" stopIfTrue="1" operator="between">
      <formula>-0.15</formula>
      <formula>-0.0001</formula>
    </cfRule>
  </conditionalFormatting>
  <conditionalFormatting sqref="AH347:AI347">
    <cfRule type="cellIs" dxfId="4072" priority="5562" stopIfTrue="1" operator="between">
      <formula>-0.15</formula>
      <formula>0.005</formula>
    </cfRule>
  </conditionalFormatting>
  <conditionalFormatting sqref="N347">
    <cfRule type="cellIs" dxfId="4071" priority="5561" stopIfTrue="1" operator="between">
      <formula>-350</formula>
      <formula>-1</formula>
    </cfRule>
  </conditionalFormatting>
  <conditionalFormatting sqref="AE352">
    <cfRule type="cellIs" dxfId="4070" priority="5557" stopIfTrue="1" operator="between">
      <formula>-0.15</formula>
      <formula>-0.0001</formula>
    </cfRule>
  </conditionalFormatting>
  <conditionalFormatting sqref="AH352:AI352">
    <cfRule type="cellIs" dxfId="4069" priority="5556" stopIfTrue="1" operator="between">
      <formula>-0.15</formula>
      <formula>0.005</formula>
    </cfRule>
  </conditionalFormatting>
  <conditionalFormatting sqref="N352">
    <cfRule type="cellIs" dxfId="4068" priority="5555" stopIfTrue="1" operator="between">
      <formula>-350</formula>
      <formula>-1</formula>
    </cfRule>
  </conditionalFormatting>
  <conditionalFormatting sqref="AE329">
    <cfRule type="cellIs" dxfId="4067" priority="5554" stopIfTrue="1" operator="between">
      <formula>-0.15</formula>
      <formula>-0.0001</formula>
    </cfRule>
  </conditionalFormatting>
  <conditionalFormatting sqref="AH329:AI329">
    <cfRule type="cellIs" dxfId="4066" priority="5553" stopIfTrue="1" operator="between">
      <formula>-0.15</formula>
      <formula>0.005</formula>
    </cfRule>
  </conditionalFormatting>
  <conditionalFormatting sqref="AE328">
    <cfRule type="cellIs" dxfId="4065" priority="5552" stopIfTrue="1" operator="between">
      <formula>-0.15</formula>
      <formula>-0.0001</formula>
    </cfRule>
  </conditionalFormatting>
  <conditionalFormatting sqref="AH328:AI328">
    <cfRule type="cellIs" dxfId="4064" priority="5551" stopIfTrue="1" operator="between">
      <formula>-0.15</formula>
      <formula>0.005</formula>
    </cfRule>
  </conditionalFormatting>
  <conditionalFormatting sqref="N328">
    <cfRule type="cellIs" dxfId="4063" priority="5550" stopIfTrue="1" operator="between">
      <formula>-350</formula>
      <formula>-1</formula>
    </cfRule>
  </conditionalFormatting>
  <conditionalFormatting sqref="AE789">
    <cfRule type="cellIs" dxfId="4062" priority="5546" stopIfTrue="1" operator="between">
      <formula>-0.15</formula>
      <formula>-0.0001</formula>
    </cfRule>
  </conditionalFormatting>
  <conditionalFormatting sqref="AH789:AI789">
    <cfRule type="cellIs" dxfId="4061" priority="5545" stopIfTrue="1" operator="between">
      <formula>-0.15</formula>
      <formula>0.005</formula>
    </cfRule>
  </conditionalFormatting>
  <conditionalFormatting sqref="N787">
    <cfRule type="cellIs" dxfId="4060" priority="5544" stopIfTrue="1" operator="between">
      <formula>-350</formula>
      <formula>-1</formula>
    </cfRule>
  </conditionalFormatting>
  <conditionalFormatting sqref="AE787">
    <cfRule type="cellIs" dxfId="4059" priority="5543" stopIfTrue="1" operator="between">
      <formula>-0.15</formula>
      <formula>-0.0001</formula>
    </cfRule>
  </conditionalFormatting>
  <conditionalFormatting sqref="AH787:AI787">
    <cfRule type="cellIs" dxfId="4058" priority="5542" stopIfTrue="1" operator="between">
      <formula>-0.15</formula>
      <formula>0.005</formula>
    </cfRule>
  </conditionalFormatting>
  <conditionalFormatting sqref="AE788">
    <cfRule type="cellIs" dxfId="4057" priority="5541" stopIfTrue="1" operator="between">
      <formula>-0.15</formula>
      <formula>-0.0001</formula>
    </cfRule>
  </conditionalFormatting>
  <conditionalFormatting sqref="AH788:AI788">
    <cfRule type="cellIs" dxfId="4056" priority="5540" stopIfTrue="1" operator="between">
      <formula>-0.15</formula>
      <formula>0.005</formula>
    </cfRule>
  </conditionalFormatting>
  <conditionalFormatting sqref="N788">
    <cfRule type="cellIs" dxfId="4055" priority="5539" stopIfTrue="1" operator="between">
      <formula>-350</formula>
      <formula>-1</formula>
    </cfRule>
  </conditionalFormatting>
  <conditionalFormatting sqref="AE792">
    <cfRule type="cellIs" dxfId="4054" priority="5538" stopIfTrue="1" operator="between">
      <formula>-0.15</formula>
      <formula>-0.0001</formula>
    </cfRule>
  </conditionalFormatting>
  <conditionalFormatting sqref="AH792:AI792">
    <cfRule type="cellIs" dxfId="4053" priority="5537" stopIfTrue="1" operator="between">
      <formula>-0.15</formula>
      <formula>0.005</formula>
    </cfRule>
  </conditionalFormatting>
  <conditionalFormatting sqref="N790">
    <cfRule type="cellIs" dxfId="4052" priority="5536" stopIfTrue="1" operator="between">
      <formula>-350</formula>
      <formula>-1</formula>
    </cfRule>
  </conditionalFormatting>
  <conditionalFormatting sqref="AE790">
    <cfRule type="cellIs" dxfId="4051" priority="5535" stopIfTrue="1" operator="between">
      <formula>-0.15</formula>
      <formula>-0.0001</formula>
    </cfRule>
  </conditionalFormatting>
  <conditionalFormatting sqref="AH790:AI790">
    <cfRule type="cellIs" dxfId="4050" priority="5534" stopIfTrue="1" operator="between">
      <formula>-0.15</formula>
      <formula>0.005</formula>
    </cfRule>
  </conditionalFormatting>
  <conditionalFormatting sqref="AE791">
    <cfRule type="cellIs" dxfId="4049" priority="5530" stopIfTrue="1" operator="between">
      <formula>-0.15</formula>
      <formula>-0.0001</formula>
    </cfRule>
  </conditionalFormatting>
  <conditionalFormatting sqref="AH791:AI791">
    <cfRule type="cellIs" dxfId="4048" priority="5529" stopIfTrue="1" operator="between">
      <formula>-0.15</formula>
      <formula>0.005</formula>
    </cfRule>
  </conditionalFormatting>
  <conditionalFormatting sqref="N791">
    <cfRule type="cellIs" dxfId="4047" priority="5528" stopIfTrue="1" operator="between">
      <formula>-350</formula>
      <formula>-1</formula>
    </cfRule>
  </conditionalFormatting>
  <conditionalFormatting sqref="AE1124">
    <cfRule type="cellIs" dxfId="4046" priority="5490" stopIfTrue="1" operator="between">
      <formula>-0.15</formula>
      <formula>-0.0001</formula>
    </cfRule>
  </conditionalFormatting>
  <conditionalFormatting sqref="AH1124:AI1124">
    <cfRule type="cellIs" dxfId="4045" priority="5489" stopIfTrue="1" operator="between">
      <formula>-0.15</formula>
      <formula>0.005</formula>
    </cfRule>
  </conditionalFormatting>
  <conditionalFormatting sqref="N1123">
    <cfRule type="cellIs" dxfId="4044" priority="5488" stopIfTrue="1" operator="between">
      <formula>-350</formula>
      <formula>-1</formula>
    </cfRule>
  </conditionalFormatting>
  <conditionalFormatting sqref="AE1123">
    <cfRule type="cellIs" dxfId="4043" priority="5487" stopIfTrue="1" operator="between">
      <formula>-0.15</formula>
      <formula>-0.0001</formula>
    </cfRule>
  </conditionalFormatting>
  <conditionalFormatting sqref="AH1123:AI1123">
    <cfRule type="cellIs" dxfId="4042" priority="5486" stopIfTrue="1" operator="between">
      <formula>-0.15</formula>
      <formula>0.005</formula>
    </cfRule>
  </conditionalFormatting>
  <conditionalFormatting sqref="AE1125">
    <cfRule type="cellIs" dxfId="4041" priority="5482" stopIfTrue="1" operator="between">
      <formula>-0.15</formula>
      <formula>-0.0001</formula>
    </cfRule>
  </conditionalFormatting>
  <conditionalFormatting sqref="AH1125:AI1125">
    <cfRule type="cellIs" dxfId="4040" priority="5481" stopIfTrue="1" operator="between">
      <formula>-0.15</formula>
      <formula>0.005</formula>
    </cfRule>
  </conditionalFormatting>
  <conditionalFormatting sqref="N1125">
    <cfRule type="cellIs" dxfId="4039" priority="5483" stopIfTrue="1" operator="between">
      <formula>-350</formula>
      <formula>-1</formula>
    </cfRule>
  </conditionalFormatting>
  <conditionalFormatting sqref="AE1126">
    <cfRule type="cellIs" dxfId="4038" priority="5485" stopIfTrue="1" operator="between">
      <formula>-0.15</formula>
      <formula>-0.0001</formula>
    </cfRule>
  </conditionalFormatting>
  <conditionalFormatting sqref="AH1126:AI1126">
    <cfRule type="cellIs" dxfId="4037" priority="5484" stopIfTrue="1" operator="between">
      <formula>-0.15</formula>
      <formula>0.005</formula>
    </cfRule>
  </conditionalFormatting>
  <conditionalFormatting sqref="AE796">
    <cfRule type="cellIs" dxfId="4036" priority="5440" stopIfTrue="1" operator="between">
      <formula>-0.15</formula>
      <formula>-0.0001</formula>
    </cfRule>
  </conditionalFormatting>
  <conditionalFormatting sqref="AH796:AI796">
    <cfRule type="cellIs" dxfId="4035" priority="5439" stopIfTrue="1" operator="between">
      <formula>-0.15</formula>
      <formula>0.005</formula>
    </cfRule>
  </conditionalFormatting>
  <conditionalFormatting sqref="AE803">
    <cfRule type="cellIs" dxfId="4034" priority="5399" stopIfTrue="1" operator="between">
      <formula>-0.15</formula>
      <formula>-0.0001</formula>
    </cfRule>
  </conditionalFormatting>
  <conditionalFormatting sqref="AH803:AI803">
    <cfRule type="cellIs" dxfId="4033" priority="5398" stopIfTrue="1" operator="between">
      <formula>-0.15</formula>
      <formula>0.005</formula>
    </cfRule>
  </conditionalFormatting>
  <conditionalFormatting sqref="N801">
    <cfRule type="cellIs" dxfId="4032" priority="5397" stopIfTrue="1" operator="between">
      <formula>-350</formula>
      <formula>-1</formula>
    </cfRule>
  </conditionalFormatting>
  <conditionalFormatting sqref="AE797">
    <cfRule type="cellIs" dxfId="4031" priority="5445" stopIfTrue="1" operator="between">
      <formula>-0.15</formula>
      <formula>-0.0001</formula>
    </cfRule>
  </conditionalFormatting>
  <conditionalFormatting sqref="AH797:AI797">
    <cfRule type="cellIs" dxfId="4030" priority="5444" stopIfTrue="1" operator="between">
      <formula>-0.15</formula>
      <formula>0.005</formula>
    </cfRule>
  </conditionalFormatting>
  <conditionalFormatting sqref="N793">
    <cfRule type="cellIs" dxfId="4029" priority="5443" stopIfTrue="1" operator="between">
      <formula>-350</formula>
      <formula>-1</formula>
    </cfRule>
  </conditionalFormatting>
  <conditionalFormatting sqref="AE793">
    <cfRule type="cellIs" dxfId="4028" priority="5442" stopIfTrue="1" operator="between">
      <formula>-0.15</formula>
      <formula>-0.0001</formula>
    </cfRule>
  </conditionalFormatting>
  <conditionalFormatting sqref="AH793:AI793">
    <cfRule type="cellIs" dxfId="4027" priority="5441" stopIfTrue="1" operator="between">
      <formula>-0.15</formula>
      <formula>0.005</formula>
    </cfRule>
  </conditionalFormatting>
  <conditionalFormatting sqref="N796">
    <cfRule type="cellIs" dxfId="4026" priority="5438" stopIfTrue="1" operator="between">
      <formula>-350</formula>
      <formula>-1</formula>
    </cfRule>
  </conditionalFormatting>
  <conditionalFormatting sqref="AE795">
    <cfRule type="cellIs" dxfId="4025" priority="5437" stopIfTrue="1" operator="between">
      <formula>-0.15</formula>
      <formula>-0.0001</formula>
    </cfRule>
  </conditionalFormatting>
  <conditionalFormatting sqref="AH795:AI795">
    <cfRule type="cellIs" dxfId="4024" priority="5436" stopIfTrue="1" operator="between">
      <formula>-0.15</formula>
      <formula>0.005</formula>
    </cfRule>
  </conditionalFormatting>
  <conditionalFormatting sqref="N795">
    <cfRule type="cellIs" dxfId="4023" priority="5435" stopIfTrue="1" operator="between">
      <formula>-350</formula>
      <formula>-1</formula>
    </cfRule>
  </conditionalFormatting>
  <conditionalFormatting sqref="AE794">
    <cfRule type="cellIs" dxfId="4022" priority="5434" stopIfTrue="1" operator="between">
      <formula>-0.15</formula>
      <formula>-0.0001</formula>
    </cfRule>
  </conditionalFormatting>
  <conditionalFormatting sqref="AH794:AI794">
    <cfRule type="cellIs" dxfId="4021" priority="5433" stopIfTrue="1" operator="between">
      <formula>-0.15</formula>
      <formula>0.005</formula>
    </cfRule>
  </conditionalFormatting>
  <conditionalFormatting sqref="N794">
    <cfRule type="cellIs" dxfId="4020" priority="5432" stopIfTrue="1" operator="between">
      <formula>-350</formula>
      <formula>-1</formula>
    </cfRule>
  </conditionalFormatting>
  <conditionalFormatting sqref="AE800">
    <cfRule type="cellIs" dxfId="4019" priority="5431" stopIfTrue="1" operator="between">
      <formula>-0.15</formula>
      <formula>-0.0001</formula>
    </cfRule>
  </conditionalFormatting>
  <conditionalFormatting sqref="AH800:AI800">
    <cfRule type="cellIs" dxfId="4018" priority="5430" stopIfTrue="1" operator="between">
      <formula>-0.15</formula>
      <formula>0.005</formula>
    </cfRule>
  </conditionalFormatting>
  <conditionalFormatting sqref="N798">
    <cfRule type="cellIs" dxfId="4017" priority="5429" stopIfTrue="1" operator="between">
      <formula>-350</formula>
      <formula>-1</formula>
    </cfRule>
  </conditionalFormatting>
  <conditionalFormatting sqref="AE798">
    <cfRule type="cellIs" dxfId="4016" priority="5428" stopIfTrue="1" operator="between">
      <formula>-0.15</formula>
      <formula>-0.0001</formula>
    </cfRule>
  </conditionalFormatting>
  <conditionalFormatting sqref="AH798:AI798">
    <cfRule type="cellIs" dxfId="4015" priority="5427" stopIfTrue="1" operator="between">
      <formula>-0.15</formula>
      <formula>0.005</formula>
    </cfRule>
  </conditionalFormatting>
  <conditionalFormatting sqref="AE799">
    <cfRule type="cellIs" dxfId="4014" priority="5420" stopIfTrue="1" operator="between">
      <formula>-0.15</formula>
      <formula>-0.0001</formula>
    </cfRule>
  </conditionalFormatting>
  <conditionalFormatting sqref="AH799:AI799">
    <cfRule type="cellIs" dxfId="4013" priority="5419" stopIfTrue="1" operator="between">
      <formula>-0.15</formula>
      <formula>0.005</formula>
    </cfRule>
  </conditionalFormatting>
  <conditionalFormatting sqref="N799">
    <cfRule type="cellIs" dxfId="4012" priority="5418" stopIfTrue="1" operator="between">
      <formula>-350</formula>
      <formula>-1</formula>
    </cfRule>
  </conditionalFormatting>
  <conditionalFormatting sqref="AE1130">
    <cfRule type="cellIs" dxfId="4011" priority="5404" stopIfTrue="1" operator="between">
      <formula>-0.15</formula>
      <formula>-0.0001</formula>
    </cfRule>
  </conditionalFormatting>
  <conditionalFormatting sqref="AH1130:AI1130">
    <cfRule type="cellIs" dxfId="4010" priority="5403" stopIfTrue="1" operator="between">
      <formula>-0.15</formula>
      <formula>0.005</formula>
    </cfRule>
  </conditionalFormatting>
  <conditionalFormatting sqref="AE801">
    <cfRule type="cellIs" dxfId="4009" priority="5396" stopIfTrue="1" operator="between">
      <formula>-0.15</formula>
      <formula>-0.0001</formula>
    </cfRule>
  </conditionalFormatting>
  <conditionalFormatting sqref="AH801:AI801">
    <cfRule type="cellIs" dxfId="4008" priority="5395" stopIfTrue="1" operator="between">
      <formula>-0.15</formula>
      <formula>0.005</formula>
    </cfRule>
  </conditionalFormatting>
  <conditionalFormatting sqref="N802">
    <cfRule type="cellIs" dxfId="4007" priority="5389" stopIfTrue="1" operator="between">
      <formula>-350</formula>
      <formula>-1</formula>
    </cfRule>
  </conditionalFormatting>
  <conditionalFormatting sqref="AE807">
    <cfRule type="cellIs" dxfId="4006" priority="5388" stopIfTrue="1" operator="between">
      <formula>-0.15</formula>
      <formula>-0.0001</formula>
    </cfRule>
  </conditionalFormatting>
  <conditionalFormatting sqref="AH807:AI807">
    <cfRule type="cellIs" dxfId="4005" priority="5387" stopIfTrue="1" operator="between">
      <formula>-0.15</formula>
      <formula>0.005</formula>
    </cfRule>
  </conditionalFormatting>
  <conditionalFormatting sqref="AH1129:AI1129">
    <cfRule type="cellIs" dxfId="4004" priority="5400" stopIfTrue="1" operator="between">
      <formula>-0.15</formula>
      <formula>0.005</formula>
    </cfRule>
  </conditionalFormatting>
  <conditionalFormatting sqref="N1129">
    <cfRule type="cellIs" dxfId="4003" priority="5402" stopIfTrue="1" operator="between">
      <formula>-350</formula>
      <formula>-1</formula>
    </cfRule>
  </conditionalFormatting>
  <conditionalFormatting sqref="AE1129">
    <cfRule type="cellIs" dxfId="4002" priority="5401" stopIfTrue="1" operator="between">
      <formula>-0.15</formula>
      <formula>-0.0001</formula>
    </cfRule>
  </conditionalFormatting>
  <conditionalFormatting sqref="AE824">
    <cfRule type="cellIs" dxfId="4001" priority="5344" stopIfTrue="1" operator="between">
      <formula>-0.15</formula>
      <formula>-0.0001</formula>
    </cfRule>
  </conditionalFormatting>
  <conditionalFormatting sqref="AH824:AI824">
    <cfRule type="cellIs" dxfId="4000" priority="5343" stopIfTrue="1" operator="between">
      <formula>-0.15</formula>
      <formula>0.005</formula>
    </cfRule>
  </conditionalFormatting>
  <conditionalFormatting sqref="N804">
    <cfRule type="cellIs" dxfId="3999" priority="5386" stopIfTrue="1" operator="between">
      <formula>-350</formula>
      <formula>-1</formula>
    </cfRule>
  </conditionalFormatting>
  <conditionalFormatting sqref="AE804">
    <cfRule type="cellIs" dxfId="3998" priority="5385" stopIfTrue="1" operator="between">
      <formula>-0.15</formula>
      <formula>-0.0001</formula>
    </cfRule>
  </conditionalFormatting>
  <conditionalFormatting sqref="AH804:AI804">
    <cfRule type="cellIs" dxfId="3997" priority="5384" stopIfTrue="1" operator="between">
      <formula>-0.15</formula>
      <formula>0.005</formula>
    </cfRule>
  </conditionalFormatting>
  <conditionalFormatting sqref="AE802">
    <cfRule type="cellIs" dxfId="3996" priority="5391" stopIfTrue="1" operator="between">
      <formula>-0.15</formula>
      <formula>-0.0001</formula>
    </cfRule>
  </conditionalFormatting>
  <conditionalFormatting sqref="AH802:AI802">
    <cfRule type="cellIs" dxfId="3995" priority="5390" stopIfTrue="1" operator="between">
      <formula>-0.15</formula>
      <formula>0.005</formula>
    </cfRule>
  </conditionalFormatting>
  <conditionalFormatting sqref="AE810">
    <cfRule type="cellIs" dxfId="3994" priority="5380" stopIfTrue="1" operator="between">
      <formula>-0.15</formula>
      <formula>-0.0001</formula>
    </cfRule>
  </conditionalFormatting>
  <conditionalFormatting sqref="AH810:AI810">
    <cfRule type="cellIs" dxfId="3993" priority="5379" stopIfTrue="1" operator="between">
      <formula>-0.15</formula>
      <formula>0.005</formula>
    </cfRule>
  </conditionalFormatting>
  <conditionalFormatting sqref="N808">
    <cfRule type="cellIs" dxfId="3992" priority="5378" stopIfTrue="1" operator="between">
      <formula>-350</formula>
      <formula>-1</formula>
    </cfRule>
  </conditionalFormatting>
  <conditionalFormatting sqref="AE806">
    <cfRule type="cellIs" dxfId="3991" priority="5383" stopIfTrue="1" operator="between">
      <formula>-0.15</formula>
      <formula>-0.0001</formula>
    </cfRule>
  </conditionalFormatting>
  <conditionalFormatting sqref="AH806:AI806">
    <cfRule type="cellIs" dxfId="3990" priority="5382" stopIfTrue="1" operator="between">
      <formula>-0.15</formula>
      <formula>0.005</formula>
    </cfRule>
  </conditionalFormatting>
  <conditionalFormatting sqref="N806">
    <cfRule type="cellIs" dxfId="3989" priority="5381" stopIfTrue="1" operator="between">
      <formula>-350</formula>
      <formula>-1</formula>
    </cfRule>
  </conditionalFormatting>
  <conditionalFormatting sqref="AE808">
    <cfRule type="cellIs" dxfId="3988" priority="5377" stopIfTrue="1" operator="between">
      <formula>-0.15</formula>
      <formula>-0.0001</formula>
    </cfRule>
  </conditionalFormatting>
  <conditionalFormatting sqref="AH808:AI808">
    <cfRule type="cellIs" dxfId="3987" priority="5376" stopIfTrue="1" operator="between">
      <formula>-0.15</formula>
      <formula>0.005</formula>
    </cfRule>
  </conditionalFormatting>
  <conditionalFormatting sqref="AE809">
    <cfRule type="cellIs" dxfId="3986" priority="5375" stopIfTrue="1" operator="between">
      <formula>-0.15</formula>
      <formula>-0.0001</formula>
    </cfRule>
  </conditionalFormatting>
  <conditionalFormatting sqref="AH809:AI809">
    <cfRule type="cellIs" dxfId="3985" priority="5374" stopIfTrue="1" operator="between">
      <formula>-0.15</formula>
      <formula>0.005</formula>
    </cfRule>
  </conditionalFormatting>
  <conditionalFormatting sqref="N809">
    <cfRule type="cellIs" dxfId="3984" priority="5373" stopIfTrue="1" operator="between">
      <formula>-350</formula>
      <formula>-1</formula>
    </cfRule>
  </conditionalFormatting>
  <conditionalFormatting sqref="AE926">
    <cfRule type="cellIs" dxfId="3983" priority="5372" stopIfTrue="1" operator="between">
      <formula>-0.15</formula>
      <formula>-0.0001</formula>
    </cfRule>
  </conditionalFormatting>
  <conditionalFormatting sqref="AH926:AI926">
    <cfRule type="cellIs" dxfId="3982" priority="5371" stopIfTrue="1" operator="between">
      <formula>-0.15</formula>
      <formula>0.005</formula>
    </cfRule>
  </conditionalFormatting>
  <conditionalFormatting sqref="N926">
    <cfRule type="cellIs" dxfId="3981" priority="5370" stopIfTrue="1" operator="between">
      <formula>-350</formula>
      <formula>-1</formula>
    </cfRule>
  </conditionalFormatting>
  <conditionalFormatting sqref="AE813">
    <cfRule type="cellIs" dxfId="3980" priority="5369" stopIfTrue="1" operator="between">
      <formula>-0.15</formula>
      <formula>-0.0001</formula>
    </cfRule>
  </conditionalFormatting>
  <conditionalFormatting sqref="AH813:AI813">
    <cfRule type="cellIs" dxfId="3979" priority="5368" stopIfTrue="1" operator="between">
      <formula>-0.15</formula>
      <formula>0.005</formula>
    </cfRule>
  </conditionalFormatting>
  <conditionalFormatting sqref="N811">
    <cfRule type="cellIs" dxfId="3978" priority="5367" stopIfTrue="1" operator="between">
      <formula>-350</formula>
      <formula>-1</formula>
    </cfRule>
  </conditionalFormatting>
  <conditionalFormatting sqref="AE811">
    <cfRule type="cellIs" dxfId="3977" priority="5366" stopIfTrue="1" operator="between">
      <formula>-0.15</formula>
      <formula>-0.0001</formula>
    </cfRule>
  </conditionalFormatting>
  <conditionalFormatting sqref="AH811:AI811">
    <cfRule type="cellIs" dxfId="3976" priority="5365" stopIfTrue="1" operator="between">
      <formula>-0.15</formula>
      <formula>0.005</formula>
    </cfRule>
  </conditionalFormatting>
  <conditionalFormatting sqref="AE812">
    <cfRule type="cellIs" dxfId="3975" priority="5361" stopIfTrue="1" operator="between">
      <formula>-0.15</formula>
      <formula>-0.0001</formula>
    </cfRule>
  </conditionalFormatting>
  <conditionalFormatting sqref="AH812:AI812">
    <cfRule type="cellIs" dxfId="3974" priority="5360" stopIfTrue="1" operator="between">
      <formula>-0.15</formula>
      <formula>0.005</formula>
    </cfRule>
  </conditionalFormatting>
  <conditionalFormatting sqref="N812">
    <cfRule type="cellIs" dxfId="3973" priority="5359" stopIfTrue="1" operator="between">
      <formula>-350</formula>
      <formula>-1</formula>
    </cfRule>
  </conditionalFormatting>
  <conditionalFormatting sqref="AE823">
    <cfRule type="cellIs" dxfId="3972" priority="5358" stopIfTrue="1" operator="between">
      <formula>-0.15</formula>
      <formula>-0.0001</formula>
    </cfRule>
  </conditionalFormatting>
  <conditionalFormatting sqref="AH823:AI823">
    <cfRule type="cellIs" dxfId="3971" priority="5357" stopIfTrue="1" operator="between">
      <formula>-0.15</formula>
      <formula>0.005</formula>
    </cfRule>
  </conditionalFormatting>
  <conditionalFormatting sqref="N820">
    <cfRule type="cellIs" dxfId="3970" priority="5356" stopIfTrue="1" operator="between">
      <formula>-350</formula>
      <formula>-1</formula>
    </cfRule>
  </conditionalFormatting>
  <conditionalFormatting sqref="AE820">
    <cfRule type="cellIs" dxfId="3969" priority="5355" stopIfTrue="1" operator="between">
      <formula>-0.15</formula>
      <formula>-0.0001</formula>
    </cfRule>
  </conditionalFormatting>
  <conditionalFormatting sqref="AH820:AI820">
    <cfRule type="cellIs" dxfId="3968" priority="5354" stopIfTrue="1" operator="between">
      <formula>-0.15</formula>
      <formula>0.005</formula>
    </cfRule>
  </conditionalFormatting>
  <conditionalFormatting sqref="AE822">
    <cfRule type="cellIs" dxfId="3967" priority="5353" stopIfTrue="1" operator="between">
      <formula>-0.15</formula>
      <formula>-0.0001</formula>
    </cfRule>
  </conditionalFormatting>
  <conditionalFormatting sqref="AH822:AI822">
    <cfRule type="cellIs" dxfId="3966" priority="5352" stopIfTrue="1" operator="between">
      <formula>-0.15</formula>
      <formula>0.005</formula>
    </cfRule>
  </conditionalFormatting>
  <conditionalFormatting sqref="N822">
    <cfRule type="cellIs" dxfId="3965" priority="5351" stopIfTrue="1" operator="between">
      <formula>-350</formula>
      <formula>-1</formula>
    </cfRule>
  </conditionalFormatting>
  <conditionalFormatting sqref="AE821">
    <cfRule type="cellIs" dxfId="3964" priority="5350" stopIfTrue="1" operator="between">
      <formula>-0.15</formula>
      <formula>-0.0001</formula>
    </cfRule>
  </conditionalFormatting>
  <conditionalFormatting sqref="AH821:AI821">
    <cfRule type="cellIs" dxfId="3963" priority="5349" stopIfTrue="1" operator="between">
      <formula>-0.15</formula>
      <formula>0.005</formula>
    </cfRule>
  </conditionalFormatting>
  <conditionalFormatting sqref="N821">
    <cfRule type="cellIs" dxfId="3962" priority="5348" stopIfTrue="1" operator="between">
      <formula>-350</formula>
      <formula>-1</formula>
    </cfRule>
  </conditionalFormatting>
  <conditionalFormatting sqref="AE826">
    <cfRule type="cellIs" dxfId="3961" priority="5347" stopIfTrue="1" operator="between">
      <formula>-0.15</formula>
      <formula>-0.0001</formula>
    </cfRule>
  </conditionalFormatting>
  <conditionalFormatting sqref="AH826:AI826">
    <cfRule type="cellIs" dxfId="3960" priority="5346" stopIfTrue="1" operator="between">
      <formula>-0.15</formula>
      <formula>0.005</formula>
    </cfRule>
  </conditionalFormatting>
  <conditionalFormatting sqref="N824">
    <cfRule type="cellIs" dxfId="3959" priority="5345" stopIfTrue="1" operator="between">
      <formula>-350</formula>
      <formula>-1</formula>
    </cfRule>
  </conditionalFormatting>
  <conditionalFormatting sqref="N407">
    <cfRule type="cellIs" dxfId="3958" priority="5264" stopIfTrue="1" operator="between">
      <formula>-350</formula>
      <formula>-1</formula>
    </cfRule>
  </conditionalFormatting>
  <conditionalFormatting sqref="AE825">
    <cfRule type="cellIs" dxfId="3957" priority="5339" stopIfTrue="1" operator="between">
      <formula>-0.15</formula>
      <formula>-0.0001</formula>
    </cfRule>
  </conditionalFormatting>
  <conditionalFormatting sqref="AH825:AI825">
    <cfRule type="cellIs" dxfId="3956" priority="5338" stopIfTrue="1" operator="between">
      <formula>-0.15</formula>
      <formula>0.005</formula>
    </cfRule>
  </conditionalFormatting>
  <conditionalFormatting sqref="N825">
    <cfRule type="cellIs" dxfId="3955" priority="5337" stopIfTrue="1" operator="between">
      <formula>-350</formula>
      <formula>-1</formula>
    </cfRule>
  </conditionalFormatting>
  <conditionalFormatting sqref="AE819">
    <cfRule type="cellIs" dxfId="3954" priority="5336" stopIfTrue="1" operator="between">
      <formula>-0.15</formula>
      <formula>-0.0001</formula>
    </cfRule>
  </conditionalFormatting>
  <conditionalFormatting sqref="AH819:AI819">
    <cfRule type="cellIs" dxfId="3953" priority="5335" stopIfTrue="1" operator="between">
      <formula>-0.15</formula>
      <formula>0.005</formula>
    </cfRule>
  </conditionalFormatting>
  <conditionalFormatting sqref="N817">
    <cfRule type="cellIs" dxfId="3952" priority="5334" stopIfTrue="1" operator="between">
      <formula>-350</formula>
      <formula>-1</formula>
    </cfRule>
  </conditionalFormatting>
  <conditionalFormatting sqref="AE817">
    <cfRule type="cellIs" dxfId="3951" priority="5333" stopIfTrue="1" operator="between">
      <formula>-0.15</formula>
      <formula>-0.0001</formula>
    </cfRule>
  </conditionalFormatting>
  <conditionalFormatting sqref="AH817:AI817">
    <cfRule type="cellIs" dxfId="3950" priority="5332" stopIfTrue="1" operator="between">
      <formula>-0.15</formula>
      <formula>0.005</formula>
    </cfRule>
  </conditionalFormatting>
  <conditionalFormatting sqref="AE815">
    <cfRule type="cellIs" dxfId="3949" priority="5320" stopIfTrue="1" operator="between">
      <formula>-0.15</formula>
      <formula>-0.0001</formula>
    </cfRule>
  </conditionalFormatting>
  <conditionalFormatting sqref="AH815:AI815">
    <cfRule type="cellIs" dxfId="3948" priority="5319" stopIfTrue="1" operator="between">
      <formula>-0.15</formula>
      <formula>0.005</formula>
    </cfRule>
  </conditionalFormatting>
  <conditionalFormatting sqref="N815">
    <cfRule type="cellIs" dxfId="3947" priority="5318" stopIfTrue="1" operator="between">
      <formula>-350</formula>
      <formula>-1</formula>
    </cfRule>
  </conditionalFormatting>
  <conditionalFormatting sqref="AE818">
    <cfRule type="cellIs" dxfId="3946" priority="5328" stopIfTrue="1" operator="between">
      <formula>-0.15</formula>
      <formula>-0.0001</formula>
    </cfRule>
  </conditionalFormatting>
  <conditionalFormatting sqref="AH818:AI818">
    <cfRule type="cellIs" dxfId="3945" priority="5327" stopIfTrue="1" operator="between">
      <formula>-0.15</formula>
      <formula>0.005</formula>
    </cfRule>
  </conditionalFormatting>
  <conditionalFormatting sqref="N818">
    <cfRule type="cellIs" dxfId="3944" priority="5326" stopIfTrue="1" operator="between">
      <formula>-350</formula>
      <formula>-1</formula>
    </cfRule>
  </conditionalFormatting>
  <conditionalFormatting sqref="AE816">
    <cfRule type="cellIs" dxfId="3943" priority="5325" stopIfTrue="1" operator="between">
      <formula>-0.15</formula>
      <formula>-0.0001</formula>
    </cfRule>
  </conditionalFormatting>
  <conditionalFormatting sqref="AH816:AI816">
    <cfRule type="cellIs" dxfId="3942" priority="5324" stopIfTrue="1" operator="between">
      <formula>-0.15</formula>
      <formula>0.005</formula>
    </cfRule>
  </conditionalFormatting>
  <conditionalFormatting sqref="N814">
    <cfRule type="cellIs" dxfId="3941" priority="5323" stopIfTrue="1" operator="between">
      <formula>-350</formula>
      <formula>-1</formula>
    </cfRule>
  </conditionalFormatting>
  <conditionalFormatting sqref="AE814">
    <cfRule type="cellIs" dxfId="3940" priority="5322" stopIfTrue="1" operator="between">
      <formula>-0.15</formula>
      <formula>-0.0001</formula>
    </cfRule>
  </conditionalFormatting>
  <conditionalFormatting sqref="AH814:AI814">
    <cfRule type="cellIs" dxfId="3939" priority="5321" stopIfTrue="1" operator="between">
      <formula>-0.15</formula>
      <formula>0.005</formula>
    </cfRule>
  </conditionalFormatting>
  <conditionalFormatting sqref="AE250">
    <cfRule type="cellIs" dxfId="3938" priority="5317" stopIfTrue="1" operator="between">
      <formula>-0.15</formula>
      <formula>-0.0001</formula>
    </cfRule>
  </conditionalFormatting>
  <conditionalFormatting sqref="AH250:AI250">
    <cfRule type="cellIs" dxfId="3937" priority="5316" stopIfTrue="1" operator="between">
      <formula>-0.15</formula>
      <formula>0.005</formula>
    </cfRule>
  </conditionalFormatting>
  <conditionalFormatting sqref="N250">
    <cfRule type="cellIs" dxfId="3936" priority="5315" stopIfTrue="1" operator="between">
      <formula>-350</formula>
      <formula>-1</formula>
    </cfRule>
  </conditionalFormatting>
  <conditionalFormatting sqref="AE331">
    <cfRule type="cellIs" dxfId="3935" priority="5314" stopIfTrue="1" operator="between">
      <formula>-0.15</formula>
      <formula>-0.0001</formula>
    </cfRule>
  </conditionalFormatting>
  <conditionalFormatting sqref="AH331:AI331">
    <cfRule type="cellIs" dxfId="3934" priority="5313" stopIfTrue="1" operator="between">
      <formula>-0.15</formula>
      <formula>0.005</formula>
    </cfRule>
  </conditionalFormatting>
  <conditionalFormatting sqref="AE330">
    <cfRule type="cellIs" dxfId="3933" priority="5312" stopIfTrue="1" operator="between">
      <formula>-0.15</formula>
      <formula>-0.0001</formula>
    </cfRule>
  </conditionalFormatting>
  <conditionalFormatting sqref="AH330:AI330">
    <cfRule type="cellIs" dxfId="3932" priority="5311" stopIfTrue="1" operator="between">
      <formula>-0.15</formula>
      <formula>0.005</formula>
    </cfRule>
  </conditionalFormatting>
  <conditionalFormatting sqref="N422">
    <cfRule type="cellIs" dxfId="3931" priority="5301" stopIfTrue="1" operator="between">
      <formula>-350</formula>
      <formula>-1</formula>
    </cfRule>
  </conditionalFormatting>
  <conditionalFormatting sqref="AE440">
    <cfRule type="cellIs" dxfId="3930" priority="5305" stopIfTrue="1" operator="between">
      <formula>-0.15</formula>
      <formula>-0.0001</formula>
    </cfRule>
  </conditionalFormatting>
  <conditionalFormatting sqref="AH440:AI440">
    <cfRule type="cellIs" dxfId="3929" priority="5304" stopIfTrue="1" operator="between">
      <formula>-0.15</formula>
      <formula>0.005</formula>
    </cfRule>
  </conditionalFormatting>
  <conditionalFormatting sqref="N440">
    <cfRule type="cellIs" dxfId="3928" priority="5306" stopIfTrue="1" operator="between">
      <formula>-350</formula>
      <formula>-1</formula>
    </cfRule>
  </conditionalFormatting>
  <conditionalFormatting sqref="AE423">
    <cfRule type="cellIs" dxfId="3927" priority="5303" stopIfTrue="1" operator="between">
      <formula>-0.15</formula>
      <formula>-0.0001</formula>
    </cfRule>
  </conditionalFormatting>
  <conditionalFormatting sqref="AH423:AI423">
    <cfRule type="cellIs" dxfId="3926" priority="5302" stopIfTrue="1" operator="between">
      <formula>-0.15</formula>
      <formula>0.005</formula>
    </cfRule>
  </conditionalFormatting>
  <conditionalFormatting sqref="AE422">
    <cfRule type="cellIs" dxfId="3925" priority="5300" stopIfTrue="1" operator="between">
      <formula>-0.15</formula>
      <formula>-0.0001</formula>
    </cfRule>
  </conditionalFormatting>
  <conditionalFormatting sqref="AH422:AI422">
    <cfRule type="cellIs" dxfId="3924" priority="5299" stopIfTrue="1" operator="between">
      <formula>-0.15</formula>
      <formula>0.005</formula>
    </cfRule>
  </conditionalFormatting>
  <conditionalFormatting sqref="AE474">
    <cfRule type="cellIs" dxfId="3923" priority="5298" stopIfTrue="1" operator="between">
      <formula>-0.15</formula>
      <formula>-0.0001</formula>
    </cfRule>
  </conditionalFormatting>
  <conditionalFormatting sqref="AH474:AI474">
    <cfRule type="cellIs" dxfId="3922" priority="5297" stopIfTrue="1" operator="between">
      <formula>-0.15</formula>
      <formula>0.005</formula>
    </cfRule>
  </conditionalFormatting>
  <conditionalFormatting sqref="AE472">
    <cfRule type="cellIs" dxfId="3921" priority="5296" stopIfTrue="1" operator="between">
      <formula>-0.15</formula>
      <formula>-0.0001</formula>
    </cfRule>
  </conditionalFormatting>
  <conditionalFormatting sqref="AH472:AI472">
    <cfRule type="cellIs" dxfId="3920" priority="5295" stopIfTrue="1" operator="between">
      <formula>-0.15</formula>
      <formula>0.005</formula>
    </cfRule>
  </conditionalFormatting>
  <conditionalFormatting sqref="N472">
    <cfRule type="cellIs" dxfId="3919" priority="5294" stopIfTrue="1" operator="between">
      <formula>-350</formula>
      <formula>-1</formula>
    </cfRule>
  </conditionalFormatting>
  <conditionalFormatting sqref="AE473">
    <cfRule type="cellIs" dxfId="3918" priority="5290" stopIfTrue="1" operator="between">
      <formula>-0.15</formula>
      <formula>-0.0001</formula>
    </cfRule>
  </conditionalFormatting>
  <conditionalFormatting sqref="AH473:AI473">
    <cfRule type="cellIs" dxfId="3917" priority="5289" stopIfTrue="1" operator="between">
      <formula>-0.15</formula>
      <formula>0.005</formula>
    </cfRule>
  </conditionalFormatting>
  <conditionalFormatting sqref="N473">
    <cfRule type="cellIs" dxfId="3916" priority="5288" stopIfTrue="1" operator="between">
      <formula>-350</formula>
      <formula>-1</formula>
    </cfRule>
  </conditionalFormatting>
  <conditionalFormatting sqref="AE406">
    <cfRule type="cellIs" dxfId="3915" priority="5272" stopIfTrue="1" operator="between">
      <formula>-0.15</formula>
      <formula>-0.0001</formula>
    </cfRule>
  </conditionalFormatting>
  <conditionalFormatting sqref="AH406:AI406">
    <cfRule type="cellIs" dxfId="3914" priority="5271" stopIfTrue="1" operator="between">
      <formula>-0.15</formula>
      <formula>0.005</formula>
    </cfRule>
  </conditionalFormatting>
  <conditionalFormatting sqref="N406">
    <cfRule type="cellIs" dxfId="3913" priority="5273" stopIfTrue="1" operator="between">
      <formula>-350</formula>
      <formula>-1</formula>
    </cfRule>
  </conditionalFormatting>
  <conditionalFormatting sqref="AE408">
    <cfRule type="cellIs" dxfId="3912" priority="5287" stopIfTrue="1" operator="between">
      <formula>-0.15</formula>
      <formula>-0.0001</formula>
    </cfRule>
  </conditionalFormatting>
  <conditionalFormatting sqref="AH408:AI408">
    <cfRule type="cellIs" dxfId="3911" priority="5286" stopIfTrue="1" operator="between">
      <formula>-0.15</formula>
      <formula>0.005</formula>
    </cfRule>
  </conditionalFormatting>
  <conditionalFormatting sqref="N405">
    <cfRule type="cellIs" dxfId="3910" priority="5285" stopIfTrue="1" operator="between">
      <formula>-350</formula>
      <formula>-1</formula>
    </cfRule>
  </conditionalFormatting>
  <conditionalFormatting sqref="AE405">
    <cfRule type="cellIs" dxfId="3909" priority="5284" stopIfTrue="1" operator="between">
      <formula>-0.15</formula>
      <formula>-0.0001</formula>
    </cfRule>
  </conditionalFormatting>
  <conditionalFormatting sqref="AH405:AI405">
    <cfRule type="cellIs" dxfId="3908" priority="5283" stopIfTrue="1" operator="between">
      <formula>-0.15</formula>
      <formula>0.005</formula>
    </cfRule>
  </conditionalFormatting>
  <conditionalFormatting sqref="AE1096">
    <cfRule type="cellIs" dxfId="3907" priority="5261" stopIfTrue="1" operator="between">
      <formula>-0.15</formula>
      <formula>-0.0001</formula>
    </cfRule>
  </conditionalFormatting>
  <conditionalFormatting sqref="AH1096:AI1096">
    <cfRule type="cellIs" dxfId="3906" priority="5260" stopIfTrue="1" operator="between">
      <formula>-0.15</formula>
      <formula>0.005</formula>
    </cfRule>
  </conditionalFormatting>
  <conditionalFormatting sqref="N1735">
    <cfRule type="cellIs" dxfId="3905" priority="5246" stopIfTrue="1" operator="between">
      <formula>-350</formula>
      <formula>-1</formula>
    </cfRule>
  </conditionalFormatting>
  <conditionalFormatting sqref="AE407">
    <cfRule type="cellIs" dxfId="3904" priority="5263" stopIfTrue="1" operator="between">
      <formula>-0.15</formula>
      <formula>-0.0001</formula>
    </cfRule>
  </conditionalFormatting>
  <conditionalFormatting sqref="AH407:AI407">
    <cfRule type="cellIs" dxfId="3903" priority="5262" stopIfTrue="1" operator="between">
      <formula>-0.15</formula>
      <formula>0.005</formula>
    </cfRule>
  </conditionalFormatting>
  <conditionalFormatting sqref="AE1732">
    <cfRule type="cellIs" dxfId="3902" priority="5254" stopIfTrue="1" operator="between">
      <formula>-0.15</formula>
      <formula>-0.0001</formula>
    </cfRule>
  </conditionalFormatting>
  <conditionalFormatting sqref="AH1732:AI1732">
    <cfRule type="cellIs" dxfId="3901" priority="5253" stopIfTrue="1" operator="between">
      <formula>-0.15</formula>
      <formula>0.005</formula>
    </cfRule>
  </conditionalFormatting>
  <conditionalFormatting sqref="N1095">
    <cfRule type="cellIs" dxfId="3900" priority="5259" stopIfTrue="1" operator="between">
      <formula>-350</formula>
      <formula>-1</formula>
    </cfRule>
  </conditionalFormatting>
  <conditionalFormatting sqref="AE1095">
    <cfRule type="cellIs" dxfId="3899" priority="5258" stopIfTrue="1" operator="between">
      <formula>-0.15</formula>
      <formula>-0.0001</formula>
    </cfRule>
  </conditionalFormatting>
  <conditionalFormatting sqref="AH1095:AI1095">
    <cfRule type="cellIs" dxfId="3898" priority="5257" stopIfTrue="1" operator="between">
      <formula>-0.15</formula>
      <formula>0.005</formula>
    </cfRule>
  </conditionalFormatting>
  <conditionalFormatting sqref="AE1737">
    <cfRule type="cellIs" dxfId="3897" priority="5256" stopIfTrue="1" operator="between">
      <formula>-0.15</formula>
      <formula>-0.0001</formula>
    </cfRule>
  </conditionalFormatting>
  <conditionalFormatting sqref="AH1737:AI1737">
    <cfRule type="cellIs" dxfId="3896" priority="5255" stopIfTrue="1" operator="between">
      <formula>-0.15</formula>
      <formula>0.005</formula>
    </cfRule>
  </conditionalFormatting>
  <conditionalFormatting sqref="AE1731">
    <cfRule type="cellIs" dxfId="3895" priority="5245" stopIfTrue="1" operator="between">
      <formula>-0.15</formula>
      <formula>-0.0001</formula>
    </cfRule>
  </conditionalFormatting>
  <conditionalFormatting sqref="AH1731:AI1731">
    <cfRule type="cellIs" dxfId="3894" priority="5244" stopIfTrue="1" operator="between">
      <formula>-0.15</formula>
      <formula>0.005</formula>
    </cfRule>
  </conditionalFormatting>
  <conditionalFormatting sqref="N1732">
    <cfRule type="cellIs" dxfId="3893" priority="5252" stopIfTrue="1" operator="between">
      <formula>-350</formula>
      <formula>-1</formula>
    </cfRule>
  </conditionalFormatting>
  <conditionalFormatting sqref="AE1736">
    <cfRule type="cellIs" dxfId="3892" priority="5251" stopIfTrue="1" operator="between">
      <formula>-0.15</formula>
      <formula>-0.0001</formula>
    </cfRule>
  </conditionalFormatting>
  <conditionalFormatting sqref="AH1736:AI1736">
    <cfRule type="cellIs" dxfId="3891" priority="5250" stopIfTrue="1" operator="between">
      <formula>-0.15</formula>
      <formula>0.005</formula>
    </cfRule>
  </conditionalFormatting>
  <conditionalFormatting sqref="N1736">
    <cfRule type="cellIs" dxfId="3890" priority="5249" stopIfTrue="1" operator="between">
      <formula>-350</formula>
      <formula>-1</formula>
    </cfRule>
  </conditionalFormatting>
  <conditionalFormatting sqref="AE1735">
    <cfRule type="cellIs" dxfId="3889" priority="5248" stopIfTrue="1" operator="between">
      <formula>-0.15</formula>
      <formula>-0.0001</formula>
    </cfRule>
  </conditionalFormatting>
  <conditionalFormatting sqref="AH1735:AI1735">
    <cfRule type="cellIs" dxfId="3888" priority="5247" stopIfTrue="1" operator="between">
      <formula>-0.15</formula>
      <formula>0.005</formula>
    </cfRule>
  </conditionalFormatting>
  <conditionalFormatting sqref="AE1725">
    <cfRule type="cellIs" dxfId="3887" priority="5243" stopIfTrue="1" operator="between">
      <formula>-0.15</formula>
      <formula>-0.0001</formula>
    </cfRule>
  </conditionalFormatting>
  <conditionalFormatting sqref="AH1725:AI1725">
    <cfRule type="cellIs" dxfId="3886" priority="5242" stopIfTrue="1" operator="between">
      <formula>-0.15</formula>
      <formula>0.005</formula>
    </cfRule>
  </conditionalFormatting>
  <conditionalFormatting sqref="N1725">
    <cfRule type="cellIs" dxfId="3885" priority="5241" stopIfTrue="1" operator="between">
      <formula>-350</formula>
      <formula>-1</formula>
    </cfRule>
  </conditionalFormatting>
  <conditionalFormatting sqref="AE1730">
    <cfRule type="cellIs" dxfId="3884" priority="5240" stopIfTrue="1" operator="between">
      <formula>-0.15</formula>
      <formula>-0.0001</formula>
    </cfRule>
  </conditionalFormatting>
  <conditionalFormatting sqref="AH1730:AI1730">
    <cfRule type="cellIs" dxfId="3883" priority="5239" stopIfTrue="1" operator="between">
      <formula>-0.15</formula>
      <formula>0.005</formula>
    </cfRule>
  </conditionalFormatting>
  <conditionalFormatting sqref="N1730">
    <cfRule type="cellIs" dxfId="3882" priority="5238" stopIfTrue="1" operator="between">
      <formula>-350</formula>
      <formula>-1</formula>
    </cfRule>
  </conditionalFormatting>
  <conditionalFormatting sqref="AE1726">
    <cfRule type="cellIs" dxfId="3881" priority="5237" stopIfTrue="1" operator="between">
      <formula>-0.15</formula>
      <formula>-0.0001</formula>
    </cfRule>
  </conditionalFormatting>
  <conditionalFormatting sqref="AH1726:AI1726">
    <cfRule type="cellIs" dxfId="3880" priority="5236" stopIfTrue="1" operator="between">
      <formula>-0.15</formula>
      <formula>0.005</formula>
    </cfRule>
  </conditionalFormatting>
  <conditionalFormatting sqref="N1726">
    <cfRule type="cellIs" dxfId="3879" priority="5235" stopIfTrue="1" operator="between">
      <formula>-350</formula>
      <formula>-1</formula>
    </cfRule>
  </conditionalFormatting>
  <conditionalFormatting sqref="AE1724">
    <cfRule type="cellIs" dxfId="3878" priority="5234" stopIfTrue="1" operator="between">
      <formula>-0.15</formula>
      <formula>-0.0001</formula>
    </cfRule>
  </conditionalFormatting>
  <conditionalFormatting sqref="AH1724:AI1724">
    <cfRule type="cellIs" dxfId="3877" priority="5233" stopIfTrue="1" operator="between">
      <formula>-0.15</formula>
      <formula>0.005</formula>
    </cfRule>
  </conditionalFormatting>
  <conditionalFormatting sqref="AE1722">
    <cfRule type="cellIs" dxfId="3876" priority="5232" stopIfTrue="1" operator="between">
      <formula>-0.15</formula>
      <formula>-0.0001</formula>
    </cfRule>
  </conditionalFormatting>
  <conditionalFormatting sqref="AH1722:AI1722">
    <cfRule type="cellIs" dxfId="3875" priority="5231" stopIfTrue="1" operator="between">
      <formula>-0.15</formula>
      <formula>0.005</formula>
    </cfRule>
  </conditionalFormatting>
  <conditionalFormatting sqref="N1722">
    <cfRule type="cellIs" dxfId="3874" priority="5230" stopIfTrue="1" operator="between">
      <formula>-350</formula>
      <formula>-1</formula>
    </cfRule>
  </conditionalFormatting>
  <conditionalFormatting sqref="AE1723">
    <cfRule type="cellIs" dxfId="3873" priority="5226" stopIfTrue="1" operator="between">
      <formula>-0.15</formula>
      <formula>-0.0001</formula>
    </cfRule>
  </conditionalFormatting>
  <conditionalFormatting sqref="AH1723:AI1723">
    <cfRule type="cellIs" dxfId="3872" priority="5225" stopIfTrue="1" operator="between">
      <formula>-0.15</formula>
      <formula>0.005</formula>
    </cfRule>
  </conditionalFormatting>
  <conditionalFormatting sqref="N1723">
    <cfRule type="cellIs" dxfId="3871" priority="5224" stopIfTrue="1" operator="between">
      <formula>-350</formula>
      <formula>-1</formula>
    </cfRule>
  </conditionalFormatting>
  <conditionalFormatting sqref="AE1727">
    <cfRule type="cellIs" dxfId="3870" priority="5223" stopIfTrue="1" operator="between">
      <formula>-0.15</formula>
      <formula>-0.0001</formula>
    </cfRule>
  </conditionalFormatting>
  <conditionalFormatting sqref="AH1727:AI1727">
    <cfRule type="cellIs" dxfId="3869" priority="5222" stopIfTrue="1" operator="between">
      <formula>-0.15</formula>
      <formula>0.005</formula>
    </cfRule>
  </conditionalFormatting>
  <conditionalFormatting sqref="N1727">
    <cfRule type="cellIs" dxfId="3868" priority="5221" stopIfTrue="1" operator="between">
      <formula>-350</formula>
      <formula>-1</formula>
    </cfRule>
  </conditionalFormatting>
  <conditionalFormatting sqref="AE1743">
    <cfRule type="cellIs" dxfId="3867" priority="5220" stopIfTrue="1" operator="between">
      <formula>-0.15</formula>
      <formula>-0.0001</formula>
    </cfRule>
  </conditionalFormatting>
  <conditionalFormatting sqref="AH1743:AI1743">
    <cfRule type="cellIs" dxfId="3866" priority="5219" stopIfTrue="1" operator="between">
      <formula>-0.15</formula>
      <formula>0.005</formula>
    </cfRule>
  </conditionalFormatting>
  <conditionalFormatting sqref="AE1738">
    <cfRule type="cellIs" dxfId="3865" priority="5218" stopIfTrue="1" operator="between">
      <formula>-0.15</formula>
      <formula>-0.0001</formula>
    </cfRule>
  </conditionalFormatting>
  <conditionalFormatting sqref="AH1738:AI1738">
    <cfRule type="cellIs" dxfId="3864" priority="5217" stopIfTrue="1" operator="between">
      <formula>-0.15</formula>
      <formula>0.005</formula>
    </cfRule>
  </conditionalFormatting>
  <conditionalFormatting sqref="N1738">
    <cfRule type="cellIs" dxfId="3863" priority="5216" stopIfTrue="1" operator="between">
      <formula>-350</formula>
      <formula>-1</formula>
    </cfRule>
  </conditionalFormatting>
  <conditionalFormatting sqref="AE1742">
    <cfRule type="cellIs" dxfId="3862" priority="5215" stopIfTrue="1" operator="between">
      <formula>-0.15</formula>
      <formula>-0.0001</formula>
    </cfRule>
  </conditionalFormatting>
  <conditionalFormatting sqref="AH1742:AI1742">
    <cfRule type="cellIs" dxfId="3861" priority="5214" stopIfTrue="1" operator="between">
      <formula>-0.15</formula>
      <formula>0.005</formula>
    </cfRule>
  </conditionalFormatting>
  <conditionalFormatting sqref="N1742">
    <cfRule type="cellIs" dxfId="3860" priority="5213" stopIfTrue="1" operator="between">
      <formula>-350</formula>
      <formula>-1</formula>
    </cfRule>
  </conditionalFormatting>
  <conditionalFormatting sqref="AH1141:AI1141">
    <cfRule type="cellIs" dxfId="3859" priority="5208" stopIfTrue="1" operator="between">
      <formula>-0.15</formula>
      <formula>0.005</formula>
    </cfRule>
  </conditionalFormatting>
  <conditionalFormatting sqref="N1141">
    <cfRule type="cellIs" dxfId="3858" priority="5210" stopIfTrue="1" operator="between">
      <formula>-350</formula>
      <formula>-1</formula>
    </cfRule>
  </conditionalFormatting>
  <conditionalFormatting sqref="AE1142">
    <cfRule type="cellIs" dxfId="3857" priority="5212" stopIfTrue="1" operator="between">
      <formula>-0.15</formula>
      <formula>-0.0001</formula>
    </cfRule>
  </conditionalFormatting>
  <conditionalFormatting sqref="AH1142:AI1142">
    <cfRule type="cellIs" dxfId="3856" priority="5211" stopIfTrue="1" operator="between">
      <formula>-0.15</formula>
      <formula>0.005</formula>
    </cfRule>
  </conditionalFormatting>
  <conditionalFormatting sqref="AE1141">
    <cfRule type="cellIs" dxfId="3855" priority="5209" stopIfTrue="1" operator="between">
      <formula>-0.15</formula>
      <formula>-0.0001</formula>
    </cfRule>
  </conditionalFormatting>
  <conditionalFormatting sqref="AE319">
    <cfRule type="cellIs" dxfId="3854" priority="5207" stopIfTrue="1" operator="between">
      <formula>-0.15</formula>
      <formula>-0.0001</formula>
    </cfRule>
  </conditionalFormatting>
  <conditionalFormatting sqref="AH319:AI319">
    <cfRule type="cellIs" dxfId="3853" priority="5206" stopIfTrue="1" operator="between">
      <formula>-0.15</formula>
      <formula>0.005</formula>
    </cfRule>
  </conditionalFormatting>
  <conditionalFormatting sqref="N319">
    <cfRule type="cellIs" dxfId="3852" priority="5205" stopIfTrue="1" operator="between">
      <formula>-350</formula>
      <formula>-1</formula>
    </cfRule>
  </conditionalFormatting>
  <conditionalFormatting sqref="AE318">
    <cfRule type="cellIs" dxfId="3851" priority="5204" stopIfTrue="1" operator="between">
      <formula>-0.15</formula>
      <formula>-0.0001</formula>
    </cfRule>
  </conditionalFormatting>
  <conditionalFormatting sqref="AH318:AI318">
    <cfRule type="cellIs" dxfId="3850" priority="5203" stopIfTrue="1" operator="between">
      <formula>-0.15</formula>
      <formula>0.005</formula>
    </cfRule>
  </conditionalFormatting>
  <conditionalFormatting sqref="N318">
    <cfRule type="cellIs" dxfId="3849" priority="5202" stopIfTrue="1" operator="between">
      <formula>-350</formula>
      <formula>-1</formula>
    </cfRule>
  </conditionalFormatting>
  <conditionalFormatting sqref="AE829">
    <cfRule type="cellIs" dxfId="3848" priority="5201" stopIfTrue="1" operator="between">
      <formula>-0.15</formula>
      <formula>-0.0001</formula>
    </cfRule>
  </conditionalFormatting>
  <conditionalFormatting sqref="AH829:AI829">
    <cfRule type="cellIs" dxfId="3847" priority="5200" stopIfTrue="1" operator="between">
      <formula>-0.15</formula>
      <formula>0.005</formula>
    </cfRule>
  </conditionalFormatting>
  <conditionalFormatting sqref="N827">
    <cfRule type="cellIs" dxfId="3846" priority="5199" stopIfTrue="1" operator="between">
      <formula>-350</formula>
      <formula>-1</formula>
    </cfRule>
  </conditionalFormatting>
  <conditionalFormatting sqref="AE827">
    <cfRule type="cellIs" dxfId="3845" priority="5198" stopIfTrue="1" operator="between">
      <formula>-0.15</formula>
      <formula>-0.0001</formula>
    </cfRule>
  </conditionalFormatting>
  <conditionalFormatting sqref="AH827:AI827">
    <cfRule type="cellIs" dxfId="3844" priority="5197" stopIfTrue="1" operator="between">
      <formula>-0.15</formula>
      <formula>0.005</formula>
    </cfRule>
  </conditionalFormatting>
  <conditionalFormatting sqref="AE72">
    <cfRule type="cellIs" dxfId="3843" priority="5164" stopIfTrue="1" operator="between">
      <formula>-0.15</formula>
      <formula>-0.0001</formula>
    </cfRule>
  </conditionalFormatting>
  <conditionalFormatting sqref="N91">
    <cfRule type="cellIs" dxfId="3842" priority="5186" stopIfTrue="1" operator="between">
      <formula>-350</formula>
      <formula>-1</formula>
    </cfRule>
  </conditionalFormatting>
  <conditionalFormatting sqref="AE828">
    <cfRule type="cellIs" dxfId="3841" priority="5193" stopIfTrue="1" operator="between">
      <formula>-0.15</formula>
      <formula>-0.0001</formula>
    </cfRule>
  </conditionalFormatting>
  <conditionalFormatting sqref="AH828:AI828">
    <cfRule type="cellIs" dxfId="3840" priority="5192" stopIfTrue="1" operator="between">
      <formula>-0.15</formula>
      <formula>0.005</formula>
    </cfRule>
  </conditionalFormatting>
  <conditionalFormatting sqref="N828">
    <cfRule type="cellIs" dxfId="3839" priority="5191" stopIfTrue="1" operator="between">
      <formula>-350</formula>
      <formula>-1</formula>
    </cfRule>
  </conditionalFormatting>
  <conditionalFormatting sqref="AH91:AI91">
    <cfRule type="cellIs" dxfId="3838" priority="5185" stopIfTrue="1" operator="between">
      <formula>-0.15</formula>
      <formula>0.005</formula>
    </cfRule>
  </conditionalFormatting>
  <conditionalFormatting sqref="AH92:AI92">
    <cfRule type="cellIs" dxfId="3837" priority="5188" stopIfTrue="1" operator="between">
      <formula>-0.15</formula>
      <formula>0.005</formula>
    </cfRule>
  </conditionalFormatting>
  <conditionalFormatting sqref="AE91">
    <cfRule type="cellIs" dxfId="3836" priority="5187" stopIfTrue="1" operator="between">
      <formula>-0.15</formula>
      <formula>-0.0001</formula>
    </cfRule>
  </conditionalFormatting>
  <conditionalFormatting sqref="AE92">
    <cfRule type="cellIs" dxfId="3835" priority="5189" stopIfTrue="1" operator="between">
      <formula>-0.15</formula>
      <formula>-0.0001</formula>
    </cfRule>
  </conditionalFormatting>
  <conditionalFormatting sqref="N84">
    <cfRule type="cellIs" dxfId="3834" priority="5076" stopIfTrue="1" operator="between">
      <formula>-350</formula>
      <formula>-1</formula>
    </cfRule>
  </conditionalFormatting>
  <conditionalFormatting sqref="AE461">
    <cfRule type="cellIs" dxfId="3833" priority="5184" stopIfTrue="1" operator="between">
      <formula>-0.15</formula>
      <formula>-0.0001</formula>
    </cfRule>
  </conditionalFormatting>
  <conditionalFormatting sqref="AH461:AI461">
    <cfRule type="cellIs" dxfId="3832" priority="5183" stopIfTrue="1" operator="between">
      <formula>-0.15</formula>
      <formula>0.005</formula>
    </cfRule>
  </conditionalFormatting>
  <conditionalFormatting sqref="AE460">
    <cfRule type="cellIs" dxfId="3831" priority="5182" stopIfTrue="1" operator="between">
      <formula>-0.15</formula>
      <formula>-0.0001</formula>
    </cfRule>
  </conditionalFormatting>
  <conditionalFormatting sqref="AH460:AI460">
    <cfRule type="cellIs" dxfId="3830" priority="5181" stopIfTrue="1" operator="between">
      <formula>-0.15</formula>
      <formula>0.005</formula>
    </cfRule>
  </conditionalFormatting>
  <conditionalFormatting sqref="N460">
    <cfRule type="cellIs" dxfId="3829" priority="5180" stopIfTrue="1" operator="between">
      <formula>-350</formula>
      <formula>-1</formula>
    </cfRule>
  </conditionalFormatting>
  <conditionalFormatting sqref="AH73:AI73">
    <cfRule type="cellIs" dxfId="3828" priority="5165" stopIfTrue="1" operator="between">
      <formula>-0.15</formula>
      <formula>0.005</formula>
    </cfRule>
  </conditionalFormatting>
  <conditionalFormatting sqref="AE78">
    <cfRule type="cellIs" dxfId="3827" priority="5161" stopIfTrue="1" operator="between">
      <formula>-0.15</formula>
      <formula>-0.0001</formula>
    </cfRule>
  </conditionalFormatting>
  <conditionalFormatting sqref="N72">
    <cfRule type="cellIs" dxfId="3826" priority="5163" stopIfTrue="1" operator="between">
      <formula>-350</formula>
      <formula>-1</formula>
    </cfRule>
  </conditionalFormatting>
  <conditionalFormatting sqref="AH72:AI72">
    <cfRule type="cellIs" dxfId="3825" priority="5162" stopIfTrue="1" operator="between">
      <formula>-0.15</formula>
      <formula>0.005</formula>
    </cfRule>
  </conditionalFormatting>
  <conditionalFormatting sqref="AE73">
    <cfRule type="cellIs" dxfId="3824" priority="5166" stopIfTrue="1" operator="between">
      <formula>-0.15</formula>
      <formula>-0.0001</formula>
    </cfRule>
  </conditionalFormatting>
  <conditionalFormatting sqref="N73">
    <cfRule type="cellIs" dxfId="3823" priority="5167" stopIfTrue="1" operator="between">
      <formula>-350</formula>
      <formula>-1</formula>
    </cfRule>
  </conditionalFormatting>
  <conditionalFormatting sqref="N78">
    <cfRule type="cellIs" dxfId="3822" priority="5160" stopIfTrue="1" operator="between">
      <formula>-350</formula>
      <formula>-1</formula>
    </cfRule>
  </conditionalFormatting>
  <conditionalFormatting sqref="AH78:AI78">
    <cfRule type="cellIs" dxfId="3821" priority="5159" stopIfTrue="1" operator="between">
      <formula>-0.15</formula>
      <formula>0.005</formula>
    </cfRule>
  </conditionalFormatting>
  <conditionalFormatting sqref="AE79">
    <cfRule type="cellIs" dxfId="3820" priority="5158" stopIfTrue="1" operator="between">
      <formula>-0.15</formula>
      <formula>-0.0001</formula>
    </cfRule>
  </conditionalFormatting>
  <conditionalFormatting sqref="N79">
    <cfRule type="cellIs" dxfId="3819" priority="5157" stopIfTrue="1" operator="between">
      <formula>-350</formula>
      <formula>-1</formula>
    </cfRule>
  </conditionalFormatting>
  <conditionalFormatting sqref="AH79:AI79">
    <cfRule type="cellIs" dxfId="3818" priority="5156" stopIfTrue="1" operator="between">
      <formula>-0.15</formula>
      <formula>0.005</formula>
    </cfRule>
  </conditionalFormatting>
  <conditionalFormatting sqref="N95">
    <cfRule type="cellIs" dxfId="3817" priority="5004" stopIfTrue="1" operator="between">
      <formula>-350</formula>
      <formula>-1</formula>
    </cfRule>
  </conditionalFormatting>
  <conditionalFormatting sqref="AH84:AI84">
    <cfRule type="cellIs" dxfId="3816" priority="5075" stopIfTrue="1" operator="between">
      <formula>-0.15</formula>
      <formula>0.005</formula>
    </cfRule>
  </conditionalFormatting>
  <conditionalFormatting sqref="AE84">
    <cfRule type="cellIs" dxfId="3815" priority="5077" stopIfTrue="1" operator="between">
      <formula>-0.15</formula>
      <formula>-0.0001</formula>
    </cfRule>
  </conditionalFormatting>
  <conditionalFormatting sqref="AE97">
    <cfRule type="cellIs" dxfId="3814" priority="5007" stopIfTrue="1" operator="between">
      <formula>-0.15</formula>
      <formula>-0.0001</formula>
    </cfRule>
  </conditionalFormatting>
  <conditionalFormatting sqref="AH97:AI97">
    <cfRule type="cellIs" dxfId="3813" priority="5006" stopIfTrue="1" operator="between">
      <formula>-0.15</formula>
      <formula>0.005</formula>
    </cfRule>
  </conditionalFormatting>
  <conditionalFormatting sqref="AE52">
    <cfRule type="cellIs" dxfId="3812" priority="5047" stopIfTrue="1" operator="between">
      <formula>-0.15</formula>
      <formula>-0.0001</formula>
    </cfRule>
  </conditionalFormatting>
  <conditionalFormatting sqref="AH124:AI124">
    <cfRule type="cellIs" dxfId="3811" priority="5030" stopIfTrue="1" operator="between">
      <formula>-0.15</formula>
      <formula>0.005</formula>
    </cfRule>
  </conditionalFormatting>
  <conditionalFormatting sqref="N52">
    <cfRule type="cellIs" dxfId="3810" priority="5045" stopIfTrue="1" operator="between">
      <formula>-350</formula>
      <formula>-1</formula>
    </cfRule>
  </conditionalFormatting>
  <conditionalFormatting sqref="N85">
    <cfRule type="cellIs" dxfId="3809" priority="5080" stopIfTrue="1" operator="between">
      <formula>-350</formula>
      <formula>-1</formula>
    </cfRule>
  </conditionalFormatting>
  <conditionalFormatting sqref="AH51:AI51">
    <cfRule type="cellIs" dxfId="3808" priority="5070" stopIfTrue="1" operator="between">
      <formula>-0.15</formula>
      <formula>0.005</formula>
    </cfRule>
  </conditionalFormatting>
  <conditionalFormatting sqref="AE125">
    <cfRule type="cellIs" dxfId="3807" priority="5043" stopIfTrue="1" operator="between">
      <formula>-0.15</formula>
      <formula>-0.0001</formula>
    </cfRule>
  </conditionalFormatting>
  <conditionalFormatting sqref="AE124">
    <cfRule type="cellIs" dxfId="3806" priority="5032" stopIfTrue="1" operator="between">
      <formula>-0.15</formula>
      <formula>-0.0001</formula>
    </cfRule>
  </conditionalFormatting>
  <conditionalFormatting sqref="N51">
    <cfRule type="cellIs" dxfId="3805" priority="5069" stopIfTrue="1" operator="between">
      <formula>-350</formula>
      <formula>-1</formula>
    </cfRule>
  </conditionalFormatting>
  <conditionalFormatting sqref="AH125:AI125">
    <cfRule type="cellIs" dxfId="3804" priority="5042" stopIfTrue="1" operator="between">
      <formula>-0.15</formula>
      <formula>0.005</formula>
    </cfRule>
  </conditionalFormatting>
  <conditionalFormatting sqref="AE95">
    <cfRule type="cellIs" dxfId="3803" priority="5005" stopIfTrue="1" operator="between">
      <formula>-0.15</formula>
      <formula>-0.0001</formula>
    </cfRule>
  </conditionalFormatting>
  <conditionalFormatting sqref="AE53">
    <cfRule type="cellIs" dxfId="3802" priority="5050" stopIfTrue="1" operator="between">
      <formula>-0.15</formula>
      <formula>-0.0001</formula>
    </cfRule>
  </conditionalFormatting>
  <conditionalFormatting sqref="AH54:AI54">
    <cfRule type="cellIs" dxfId="3801" priority="5072" stopIfTrue="1" operator="between">
      <formula>-0.15</formula>
      <formula>0.005</formula>
    </cfRule>
  </conditionalFormatting>
  <conditionalFormatting sqref="N123">
    <cfRule type="cellIs" dxfId="3800" priority="5040" stopIfTrue="1" operator="between">
      <formula>-350</formula>
      <formula>-1</formula>
    </cfRule>
  </conditionalFormatting>
  <conditionalFormatting sqref="AE51">
    <cfRule type="cellIs" dxfId="3799" priority="5071" stopIfTrue="1" operator="between">
      <formula>-0.15</formula>
      <formula>-0.0001</formula>
    </cfRule>
  </conditionalFormatting>
  <conditionalFormatting sqref="AH52:AI52">
    <cfRule type="cellIs" dxfId="3798" priority="5046" stopIfTrue="1" operator="between">
      <formula>-0.15</formula>
      <formula>0.005</formula>
    </cfRule>
  </conditionalFormatting>
  <conditionalFormatting sqref="AE123">
    <cfRule type="cellIs" dxfId="3797" priority="5041" stopIfTrue="1" operator="between">
      <formula>-0.15</formula>
      <formula>-0.0001</formula>
    </cfRule>
  </conditionalFormatting>
  <conditionalFormatting sqref="N97">
    <cfRule type="cellIs" dxfId="3796" priority="5008" stopIfTrue="1" operator="between">
      <formula>-350</formula>
      <formula>-1</formula>
    </cfRule>
  </conditionalFormatting>
  <conditionalFormatting sqref="AH85:AI85">
    <cfRule type="cellIs" dxfId="3795" priority="5078" stopIfTrue="1" operator="between">
      <formula>-0.15</formula>
      <formula>0.005</formula>
    </cfRule>
  </conditionalFormatting>
  <conditionalFormatting sqref="AE85">
    <cfRule type="cellIs" dxfId="3794" priority="5079" stopIfTrue="1" operator="between">
      <formula>-0.15</formula>
      <formula>-0.0001</formula>
    </cfRule>
  </conditionalFormatting>
  <conditionalFormatting sqref="N125">
    <cfRule type="cellIs" dxfId="3793" priority="5044" stopIfTrue="1" operator="between">
      <formula>-350</formula>
      <formula>-1</formula>
    </cfRule>
  </conditionalFormatting>
  <conditionalFormatting sqref="AH123:AI123">
    <cfRule type="cellIs" dxfId="3792" priority="5039" stopIfTrue="1" operator="between">
      <formula>-0.15</formula>
      <formula>0.005</formula>
    </cfRule>
  </conditionalFormatting>
  <conditionalFormatting sqref="AE54">
    <cfRule type="cellIs" dxfId="3791" priority="5073" stopIfTrue="1" operator="between">
      <formula>-0.15</formula>
      <formula>-0.0001</formula>
    </cfRule>
  </conditionalFormatting>
  <conditionalFormatting sqref="N54">
    <cfRule type="cellIs" dxfId="3790" priority="5074" stopIfTrue="1" operator="between">
      <formula>-350</formula>
      <formula>-1</formula>
    </cfRule>
  </conditionalFormatting>
  <conditionalFormatting sqref="N124">
    <cfRule type="cellIs" dxfId="3789" priority="5031" stopIfTrue="1" operator="between">
      <formula>-350</formula>
      <formula>-1</formula>
    </cfRule>
  </conditionalFormatting>
  <conditionalFormatting sqref="AE117">
    <cfRule type="cellIs" dxfId="3788" priority="4930" stopIfTrue="1" operator="between">
      <formula>-0.15</formula>
      <formula>-0.0001</formula>
    </cfRule>
  </conditionalFormatting>
  <conditionalFormatting sqref="AH53:AI53">
    <cfRule type="cellIs" dxfId="3787" priority="5049" stopIfTrue="1" operator="between">
      <formula>-0.15</formula>
      <formula>0.005</formula>
    </cfRule>
  </conditionalFormatting>
  <conditionalFormatting sqref="N53">
    <cfRule type="cellIs" dxfId="3786" priority="5048" stopIfTrue="1" operator="between">
      <formula>-350</formula>
      <formula>-1</formula>
    </cfRule>
  </conditionalFormatting>
  <conditionalFormatting sqref="N102">
    <cfRule type="cellIs" dxfId="3785" priority="4917" stopIfTrue="1" operator="between">
      <formula>-350</formula>
      <formula>-1</formula>
    </cfRule>
  </conditionalFormatting>
  <conditionalFormatting sqref="N120">
    <cfRule type="cellIs" dxfId="3784" priority="4911" stopIfTrue="1" operator="between">
      <formula>-350</formula>
      <formula>-1</formula>
    </cfRule>
  </conditionalFormatting>
  <conditionalFormatting sqref="N121">
    <cfRule type="cellIs" dxfId="3783" priority="4908" stopIfTrue="1" operator="between">
      <formula>-350</formula>
      <formula>-1</formula>
    </cfRule>
  </conditionalFormatting>
  <conditionalFormatting sqref="AE96">
    <cfRule type="cellIs" dxfId="3782" priority="4999" stopIfTrue="1" operator="between">
      <formula>-0.15</formula>
      <formula>-0.0001</formula>
    </cfRule>
  </conditionalFormatting>
  <conditionalFormatting sqref="N101">
    <cfRule type="cellIs" dxfId="3781" priority="4920" stopIfTrue="1" operator="between">
      <formula>-350</formula>
      <formula>-1</formula>
    </cfRule>
  </conditionalFormatting>
  <conditionalFormatting sqref="AE130">
    <cfRule type="cellIs" dxfId="3780" priority="4862" stopIfTrue="1" operator="between">
      <formula>-0.15</formula>
      <formula>-0.0001</formula>
    </cfRule>
  </conditionalFormatting>
  <conditionalFormatting sqref="AH101:AI101">
    <cfRule type="cellIs" dxfId="3779" priority="4919" stopIfTrue="1" operator="between">
      <formula>-0.15</formula>
      <formula>0.005</formula>
    </cfRule>
  </conditionalFormatting>
  <conditionalFormatting sqref="AH95:AI95">
    <cfRule type="cellIs" dxfId="3778" priority="5003" stopIfTrue="1" operator="between">
      <formula>-0.15</formula>
      <formula>0.005</formula>
    </cfRule>
  </conditionalFormatting>
  <conditionalFormatting sqref="N103">
    <cfRule type="cellIs" dxfId="3777" priority="4924" stopIfTrue="1" operator="between">
      <formula>-350</formula>
      <formula>-1</formula>
    </cfRule>
  </conditionalFormatting>
  <conditionalFormatting sqref="N126">
    <cfRule type="cellIs" dxfId="3776" priority="4867" stopIfTrue="1" operator="between">
      <formula>-350</formula>
      <formula>-1</formula>
    </cfRule>
  </conditionalFormatting>
  <conditionalFormatting sqref="N96">
    <cfRule type="cellIs" dxfId="3775" priority="4998" stopIfTrue="1" operator="between">
      <formula>-350</formula>
      <formula>-1</formula>
    </cfRule>
  </conditionalFormatting>
  <conditionalFormatting sqref="AH96:AI96">
    <cfRule type="cellIs" dxfId="3774" priority="4997" stopIfTrue="1" operator="between">
      <formula>-0.15</formula>
      <formula>0.005</formula>
    </cfRule>
  </conditionalFormatting>
  <conditionalFormatting sqref="AE118">
    <cfRule type="cellIs" dxfId="3773" priority="4927" stopIfTrue="1" operator="between">
      <formula>-0.15</formula>
      <formula>-0.0001</formula>
    </cfRule>
  </conditionalFormatting>
  <conditionalFormatting sqref="N129">
    <cfRule type="cellIs" dxfId="3772" priority="4858" stopIfTrue="1" operator="between">
      <formula>-350</formula>
      <formula>-1</formula>
    </cfRule>
  </conditionalFormatting>
  <conditionalFormatting sqref="AE102">
    <cfRule type="cellIs" dxfId="3771" priority="4918" stopIfTrue="1" operator="between">
      <formula>-0.15</formula>
      <formula>-0.0001</formula>
    </cfRule>
  </conditionalFormatting>
  <conditionalFormatting sqref="N131">
    <cfRule type="cellIs" dxfId="3770" priority="4871" stopIfTrue="1" operator="between">
      <formula>-350</formula>
      <formula>-1</formula>
    </cfRule>
  </conditionalFormatting>
  <conditionalFormatting sqref="AE129">
    <cfRule type="cellIs" dxfId="3769" priority="4859" stopIfTrue="1" operator="between">
      <formula>-0.15</formula>
      <formula>-0.0001</formula>
    </cfRule>
  </conditionalFormatting>
  <conditionalFormatting sqref="AH130:AI130">
    <cfRule type="cellIs" dxfId="3768" priority="4860" stopIfTrue="1" operator="between">
      <formula>-0.15</formula>
      <formula>0.005</formula>
    </cfRule>
  </conditionalFormatting>
  <conditionalFormatting sqref="AH102:AI102">
    <cfRule type="cellIs" dxfId="3767" priority="4916" stopIfTrue="1" operator="between">
      <formula>-0.15</formula>
      <formula>0.005</formula>
    </cfRule>
  </conditionalFormatting>
  <conditionalFormatting sqref="AE120">
    <cfRule type="cellIs" dxfId="3766" priority="4912" stopIfTrue="1" operator="between">
      <formula>-0.15</formula>
      <formula>-0.0001</formula>
    </cfRule>
  </conditionalFormatting>
  <conditionalFormatting sqref="AH118:AI118">
    <cfRule type="cellIs" dxfId="3765" priority="4925" stopIfTrue="1" operator="between">
      <formula>-0.15</formula>
      <formula>0.005</formula>
    </cfRule>
  </conditionalFormatting>
  <conditionalFormatting sqref="AH117:AI117">
    <cfRule type="cellIs" dxfId="3764" priority="4928" stopIfTrue="1" operator="between">
      <formula>-0.15</formula>
      <formula>0.005</formula>
    </cfRule>
  </conditionalFormatting>
  <conditionalFormatting sqref="N117">
    <cfRule type="cellIs" dxfId="3763" priority="4929" stopIfTrue="1" operator="between">
      <formula>-350</formula>
      <formula>-1</formula>
    </cfRule>
  </conditionalFormatting>
  <conditionalFormatting sqref="AH129:AI129">
    <cfRule type="cellIs" dxfId="3762" priority="4857" stopIfTrue="1" operator="between">
      <formula>-0.15</formula>
      <formula>0.005</formula>
    </cfRule>
  </conditionalFormatting>
  <conditionalFormatting sqref="N118">
    <cfRule type="cellIs" dxfId="3761" priority="4926" stopIfTrue="1" operator="between">
      <formula>-350</formula>
      <formula>-1</formula>
    </cfRule>
  </conditionalFormatting>
  <conditionalFormatting sqref="AE101">
    <cfRule type="cellIs" dxfId="3760" priority="4921" stopIfTrue="1" operator="between">
      <formula>-0.15</formula>
      <formula>-0.0001</formula>
    </cfRule>
  </conditionalFormatting>
  <conditionalFormatting sqref="AH119:AI119">
    <cfRule type="cellIs" dxfId="3759" priority="4931" stopIfTrue="1" operator="between">
      <formula>-0.15</formula>
      <formula>0.005</formula>
    </cfRule>
  </conditionalFormatting>
  <conditionalFormatting sqref="AE2135:AE2136">
    <cfRule type="cellIs" dxfId="3758" priority="4796" stopIfTrue="1" operator="between">
      <formula>-0.15</formula>
      <formula>-0.0001</formula>
    </cfRule>
  </conditionalFormatting>
  <conditionalFormatting sqref="AH1760:AI1760">
    <cfRule type="cellIs" dxfId="3757" priority="4846" stopIfTrue="1" operator="between">
      <formula>-0.15</formula>
      <formula>0.005</formula>
    </cfRule>
  </conditionalFormatting>
  <conditionalFormatting sqref="AE1760">
    <cfRule type="cellIs" dxfId="3756" priority="4847" stopIfTrue="1" operator="between">
      <formula>-0.15</formula>
      <formula>-0.0001</formula>
    </cfRule>
  </conditionalFormatting>
  <conditionalFormatting sqref="AH103:AI103">
    <cfRule type="cellIs" dxfId="3755" priority="4922" stopIfTrue="1" operator="between">
      <formula>-0.15</formula>
      <formula>0.005</formula>
    </cfRule>
  </conditionalFormatting>
  <conditionalFormatting sqref="AH122:AI122">
    <cfRule type="cellIs" dxfId="3754" priority="4913" stopIfTrue="1" operator="between">
      <formula>-0.15</formula>
      <formula>0.005</formula>
    </cfRule>
  </conditionalFormatting>
  <conditionalFormatting sqref="AE2126">
    <cfRule type="cellIs" dxfId="3753" priority="4804" stopIfTrue="1" operator="between">
      <formula>-0.15</formula>
      <formula>-0.0001</formula>
    </cfRule>
  </conditionalFormatting>
  <conditionalFormatting sqref="AE119">
    <cfRule type="cellIs" dxfId="3752" priority="4932" stopIfTrue="1" operator="between">
      <formula>-0.15</formula>
      <formula>-0.0001</formula>
    </cfRule>
  </conditionalFormatting>
  <conditionalFormatting sqref="AH120:AI120">
    <cfRule type="cellIs" dxfId="3751" priority="4910" stopIfTrue="1" operator="between">
      <formula>-0.15</formula>
      <formula>0.005</formula>
    </cfRule>
  </conditionalFormatting>
  <conditionalFormatting sqref="N119">
    <cfRule type="cellIs" dxfId="3750" priority="4933" stopIfTrue="1" operator="between">
      <formula>-350</formula>
      <formula>-1</formula>
    </cfRule>
  </conditionalFormatting>
  <conditionalFormatting sqref="AE103">
    <cfRule type="cellIs" dxfId="3749" priority="4923" stopIfTrue="1" operator="between">
      <formula>-0.15</formula>
      <formula>-0.0001</formula>
    </cfRule>
  </conditionalFormatting>
  <conditionalFormatting sqref="AH121:AI121">
    <cfRule type="cellIs" dxfId="3748" priority="4907" stopIfTrue="1" operator="between">
      <formula>-0.15</formula>
      <formula>0.005</formula>
    </cfRule>
  </conditionalFormatting>
  <conditionalFormatting sqref="AE121">
    <cfRule type="cellIs" dxfId="3747" priority="4909" stopIfTrue="1" operator="between">
      <formula>-0.15</formula>
      <formula>-0.0001</formula>
    </cfRule>
  </conditionalFormatting>
  <conditionalFormatting sqref="AE122">
    <cfRule type="cellIs" dxfId="3746" priority="4914" stopIfTrue="1" operator="between">
      <formula>-0.15</formula>
      <formula>-0.0001</formula>
    </cfRule>
  </conditionalFormatting>
  <conditionalFormatting sqref="N122">
    <cfRule type="cellIs" dxfId="3745" priority="4915" stopIfTrue="1" operator="between">
      <formula>-350</formula>
      <formula>-1</formula>
    </cfRule>
  </conditionalFormatting>
  <conditionalFormatting sqref="AE1511">
    <cfRule type="cellIs" dxfId="3744" priority="4793" stopIfTrue="1" operator="between">
      <formula>-0.15</formula>
      <formula>-0.0001</formula>
    </cfRule>
  </conditionalFormatting>
  <conditionalFormatting sqref="AH1751:AI1751">
    <cfRule type="cellIs" dxfId="3743" priority="4838" stopIfTrue="1" operator="between">
      <formula>-0.15</formula>
      <formula>0.005</formula>
    </cfRule>
  </conditionalFormatting>
  <conditionalFormatting sqref="AE1751">
    <cfRule type="cellIs" dxfId="3742" priority="4839" stopIfTrue="1" operator="between">
      <formula>-0.15</formula>
      <formula>-0.0001</formula>
    </cfRule>
  </conditionalFormatting>
  <conditionalFormatting sqref="AE126">
    <cfRule type="cellIs" dxfId="3741" priority="4868" stopIfTrue="1" operator="between">
      <formula>-0.15</formula>
      <formula>-0.0001</formula>
    </cfRule>
  </conditionalFormatting>
  <conditionalFormatting sqref="AH2135:AI2136">
    <cfRule type="cellIs" dxfId="3740" priority="4795" stopIfTrue="1" operator="between">
      <formula>-0.15</formula>
      <formula>0.005</formula>
    </cfRule>
  </conditionalFormatting>
  <conditionalFormatting sqref="N1750">
    <cfRule type="cellIs" dxfId="3739" priority="4832" stopIfTrue="1" operator="between">
      <formula>-350</formula>
      <formula>-1</formula>
    </cfRule>
  </conditionalFormatting>
  <conditionalFormatting sqref="N2123">
    <cfRule type="cellIs" dxfId="3738" priority="4800" stopIfTrue="1" operator="between">
      <formula>-350</formula>
      <formula>-1</formula>
    </cfRule>
  </conditionalFormatting>
  <conditionalFormatting sqref="AH1752:AI1752">
    <cfRule type="cellIs" dxfId="3737" priority="4844" stopIfTrue="1" operator="between">
      <formula>-0.15</formula>
      <formula>0.005</formula>
    </cfRule>
  </conditionalFormatting>
  <conditionalFormatting sqref="AE1752">
    <cfRule type="cellIs" dxfId="3736" priority="4845" stopIfTrue="1" operator="between">
      <formula>-0.15</formula>
      <formula>-0.0001</formula>
    </cfRule>
  </conditionalFormatting>
  <conditionalFormatting sqref="AH1744:AI1744">
    <cfRule type="cellIs" dxfId="3735" priority="4836" stopIfTrue="1" operator="between">
      <formula>-0.15</formula>
      <formula>0.005</formula>
    </cfRule>
  </conditionalFormatting>
  <conditionalFormatting sqref="N2125">
    <cfRule type="cellIs" dxfId="3734" priority="4797" stopIfTrue="1" operator="between">
      <formula>-350</formula>
      <formula>-1</formula>
    </cfRule>
  </conditionalFormatting>
  <conditionalFormatting sqref="AH1759:AI1759">
    <cfRule type="cellIs" dxfId="3733" priority="4841" stopIfTrue="1" operator="between">
      <formula>-0.15</formula>
      <formula>0.005</formula>
    </cfRule>
  </conditionalFormatting>
  <conditionalFormatting sqref="AE1510">
    <cfRule type="cellIs" dxfId="3732" priority="4791" stopIfTrue="1" operator="between">
      <formula>-0.15</formula>
      <formula>-0.0001</formula>
    </cfRule>
  </conditionalFormatting>
  <conditionalFormatting sqref="N837">
    <cfRule type="cellIs" dxfId="3731" priority="4722" stopIfTrue="1" operator="between">
      <formula>-350</formula>
      <formula>-1</formula>
    </cfRule>
  </conditionalFormatting>
  <conditionalFormatting sqref="N130">
    <cfRule type="cellIs" dxfId="3730" priority="4861" stopIfTrue="1" operator="between">
      <formula>-350</formula>
      <formula>-1</formula>
    </cfRule>
  </conditionalFormatting>
  <conditionalFormatting sqref="AH1467:AI1467">
    <cfRule type="cellIs" dxfId="3729" priority="4819" stopIfTrue="1" operator="between">
      <formula>-0.15</formula>
      <formula>0.005</formula>
    </cfRule>
  </conditionalFormatting>
  <conditionalFormatting sqref="N1759">
    <cfRule type="cellIs" dxfId="3728" priority="4840" stopIfTrue="1" operator="between">
      <formula>-350</formula>
      <formula>-1</formula>
    </cfRule>
  </conditionalFormatting>
  <conditionalFormatting sqref="AE131">
    <cfRule type="cellIs" dxfId="3727" priority="4870" stopIfTrue="1" operator="between">
      <formula>-0.15</formula>
      <formula>-0.0001</formula>
    </cfRule>
  </conditionalFormatting>
  <conditionalFormatting sqref="AH131:AI131">
    <cfRule type="cellIs" dxfId="3726" priority="4869" stopIfTrue="1" operator="between">
      <formula>-0.15</formula>
      <formula>0.005</formula>
    </cfRule>
  </conditionalFormatting>
  <conditionalFormatting sqref="AH126:AI126">
    <cfRule type="cellIs" dxfId="3725" priority="4866" stopIfTrue="1" operator="between">
      <formula>-0.15</formula>
      <formula>0.005</formula>
    </cfRule>
  </conditionalFormatting>
  <conditionalFormatting sqref="N1752">
    <cfRule type="cellIs" dxfId="3724" priority="4843" stopIfTrue="1" operator="between">
      <formula>-350</formula>
      <formula>-1</formula>
    </cfRule>
  </conditionalFormatting>
  <conditionalFormatting sqref="N1468">
    <cfRule type="cellIs" dxfId="3723" priority="4813" stopIfTrue="1" operator="between">
      <formula>-350</formula>
      <formula>-1</formula>
    </cfRule>
  </conditionalFormatting>
  <conditionalFormatting sqref="AE1138">
    <cfRule type="cellIs" dxfId="3722" priority="4778" stopIfTrue="1" operator="between">
      <formula>-0.15</formula>
      <formula>-0.0001</formula>
    </cfRule>
  </conditionalFormatting>
  <conditionalFormatting sqref="AE1759">
    <cfRule type="cellIs" dxfId="3721" priority="4842" stopIfTrue="1" operator="between">
      <formula>-0.15</formula>
      <formula>-0.0001</formula>
    </cfRule>
  </conditionalFormatting>
  <conditionalFormatting sqref="AE2123">
    <cfRule type="cellIs" dxfId="3720" priority="4802" stopIfTrue="1" operator="between">
      <formula>-0.15</formula>
      <formula>-0.0001</formula>
    </cfRule>
  </conditionalFormatting>
  <conditionalFormatting sqref="AE1744">
    <cfRule type="cellIs" dxfId="3719" priority="4837" stopIfTrue="1" operator="between">
      <formula>-0.15</formula>
      <formula>-0.0001</formula>
    </cfRule>
  </conditionalFormatting>
  <conditionalFormatting sqref="AH1470:AI1470">
    <cfRule type="cellIs" dxfId="3718" priority="4822" stopIfTrue="1" operator="between">
      <formula>-0.15</formula>
      <formula>0.005</formula>
    </cfRule>
  </conditionalFormatting>
  <conditionalFormatting sqref="AE1828">
    <cfRule type="cellIs" dxfId="3717" priority="4810" stopIfTrue="1" operator="between">
      <formula>-0.15</formula>
      <formula>-0.0001</formula>
    </cfRule>
  </conditionalFormatting>
  <conditionalFormatting sqref="AH1750:AI1750">
    <cfRule type="cellIs" dxfId="3716" priority="4833" stopIfTrue="1" operator="between">
      <formula>-0.15</formula>
      <formula>0.005</formula>
    </cfRule>
  </conditionalFormatting>
  <conditionalFormatting sqref="N1469">
    <cfRule type="cellIs" dxfId="3715" priority="4816" stopIfTrue="1" operator="between">
      <formula>-350</formula>
      <formula>-1</formula>
    </cfRule>
  </conditionalFormatting>
  <conditionalFormatting sqref="AE1750">
    <cfRule type="cellIs" dxfId="3714" priority="4834" stopIfTrue="1" operator="between">
      <formula>-0.15</formula>
      <formula>-0.0001</formula>
    </cfRule>
  </conditionalFormatting>
  <conditionalFormatting sqref="AH1840:AI1840">
    <cfRule type="cellIs" dxfId="3713" priority="4811" stopIfTrue="1" operator="between">
      <formula>-0.15</formula>
      <formula>0.005</formula>
    </cfRule>
  </conditionalFormatting>
  <conditionalFormatting sqref="N1467">
    <cfRule type="cellIs" dxfId="3712" priority="4821" stopIfTrue="1" operator="between">
      <formula>-350</formula>
      <formula>-1</formula>
    </cfRule>
  </conditionalFormatting>
  <conditionalFormatting sqref="AE1470">
    <cfRule type="cellIs" dxfId="3711" priority="4823" stopIfTrue="1" operator="between">
      <formula>-0.15</formula>
      <formula>-0.0001</formula>
    </cfRule>
  </conditionalFormatting>
  <conditionalFormatting sqref="AH1469:AI1469">
    <cfRule type="cellIs" dxfId="3710" priority="4817" stopIfTrue="1" operator="between">
      <formula>-0.15</formula>
      <formula>0.005</formula>
    </cfRule>
  </conditionalFormatting>
  <conditionalFormatting sqref="N1744">
    <cfRule type="cellIs" dxfId="3709" priority="4835" stopIfTrue="1" operator="between">
      <formula>-350</formula>
      <formula>-1</formula>
    </cfRule>
  </conditionalFormatting>
  <conditionalFormatting sqref="AH1511:AI1511">
    <cfRule type="cellIs" dxfId="3708" priority="4792" stopIfTrue="1" operator="between">
      <formula>-0.15</formula>
      <formula>0.005</formula>
    </cfRule>
  </conditionalFormatting>
  <conditionalFormatting sqref="AH1468:AI1468">
    <cfRule type="cellIs" dxfId="3707" priority="4814" stopIfTrue="1" operator="between">
      <formula>-0.15</formula>
      <formula>0.005</formula>
    </cfRule>
  </conditionalFormatting>
  <conditionalFormatting sqref="AE1469">
    <cfRule type="cellIs" dxfId="3706" priority="4818" stopIfTrue="1" operator="between">
      <formula>-0.15</formula>
      <formula>-0.0001</formula>
    </cfRule>
  </conditionalFormatting>
  <conditionalFormatting sqref="AH1828:AI1828">
    <cfRule type="cellIs" dxfId="3705" priority="4809" stopIfTrue="1" operator="between">
      <formula>-0.15</formula>
      <formula>0.005</formula>
    </cfRule>
  </conditionalFormatting>
  <conditionalFormatting sqref="AE2125">
    <cfRule type="cellIs" dxfId="3704" priority="4799" stopIfTrue="1" operator="between">
      <formula>-0.15</formula>
      <formula>-0.0001</formula>
    </cfRule>
  </conditionalFormatting>
  <conditionalFormatting sqref="AE1468">
    <cfRule type="cellIs" dxfId="3703" priority="4815" stopIfTrue="1" operator="between">
      <formula>-0.15</formula>
      <formula>-0.0001</formula>
    </cfRule>
  </conditionalFormatting>
  <conditionalFormatting sqref="AH1133:AI1133">
    <cfRule type="cellIs" dxfId="3702" priority="4779" stopIfTrue="1" operator="between">
      <formula>-0.15</formula>
      <formula>0.005</formula>
    </cfRule>
  </conditionalFormatting>
  <conditionalFormatting sqref="N1828">
    <cfRule type="cellIs" dxfId="3701" priority="4808" stopIfTrue="1" operator="between">
      <formula>-350</formula>
      <formula>-1</formula>
    </cfRule>
  </conditionalFormatting>
  <conditionalFormatting sqref="AE1840">
    <cfRule type="cellIs" dxfId="3700" priority="4812" stopIfTrue="1" operator="between">
      <formula>-0.15</formula>
      <formula>-0.0001</formula>
    </cfRule>
  </conditionalFormatting>
  <conditionalFormatting sqref="AE1467">
    <cfRule type="cellIs" dxfId="3699" priority="4820" stopIfTrue="1" operator="between">
      <formula>-0.15</formula>
      <formula>-0.0001</formula>
    </cfRule>
  </conditionalFormatting>
  <conditionalFormatting sqref="AH1134:AI1134">
    <cfRule type="cellIs" dxfId="3698" priority="4782" stopIfTrue="1" operator="between">
      <formula>-0.15</formula>
      <formula>0.005</formula>
    </cfRule>
  </conditionalFormatting>
  <conditionalFormatting sqref="AH2123:AI2123">
    <cfRule type="cellIs" dxfId="3697" priority="4801" stopIfTrue="1" operator="between">
      <formula>-0.15</formula>
      <formula>0.005</formula>
    </cfRule>
  </conditionalFormatting>
  <conditionalFormatting sqref="AH2126:AI2126">
    <cfRule type="cellIs" dxfId="3696" priority="4803" stopIfTrue="1" operator="between">
      <formula>-0.15</formula>
      <formula>0.005</formula>
    </cfRule>
  </conditionalFormatting>
  <conditionalFormatting sqref="AE1774">
    <cfRule type="cellIs" dxfId="3695" priority="4714" stopIfTrue="1" operator="between">
      <formula>-0.15</formula>
      <formula>-0.0001</formula>
    </cfRule>
  </conditionalFormatting>
  <conditionalFormatting sqref="AH1137:AI1137">
    <cfRule type="cellIs" dxfId="3694" priority="4774" stopIfTrue="1" operator="between">
      <formula>-0.15</formula>
      <formula>0.005</formula>
    </cfRule>
  </conditionalFormatting>
  <conditionalFormatting sqref="N1135">
    <cfRule type="cellIs" dxfId="3693" priority="4756" stopIfTrue="1" operator="between">
      <formula>-350</formula>
      <formula>-1</formula>
    </cfRule>
  </conditionalFormatting>
  <conditionalFormatting sqref="N1131">
    <cfRule type="cellIs" dxfId="3692" priority="4761" stopIfTrue="1" operator="between">
      <formula>-350</formula>
      <formula>-1</formula>
    </cfRule>
  </conditionalFormatting>
  <conditionalFormatting sqref="AH1510:AI1510">
    <cfRule type="cellIs" dxfId="3691" priority="4790" stopIfTrue="1" operator="between">
      <formula>-0.15</formula>
      <formula>0.005</formula>
    </cfRule>
  </conditionalFormatting>
  <conditionalFormatting sqref="AE1777">
    <cfRule type="cellIs" dxfId="3690" priority="4653" stopIfTrue="1" operator="between">
      <formula>-0.15</formula>
      <formula>-0.0001</formula>
    </cfRule>
  </conditionalFormatting>
  <conditionalFormatting sqref="AH1136:AI1136">
    <cfRule type="cellIs" dxfId="3689" priority="4757" stopIfTrue="1" operator="between">
      <formula>-0.15</formula>
      <formula>0.005</formula>
    </cfRule>
  </conditionalFormatting>
  <conditionalFormatting sqref="N879">
    <cfRule type="cellIs" dxfId="3688" priority="4746" stopIfTrue="1" operator="between">
      <formula>-350</formula>
      <formula>-1</formula>
    </cfRule>
  </conditionalFormatting>
  <conditionalFormatting sqref="AE1140">
    <cfRule type="cellIs" dxfId="3687" priority="4773" stopIfTrue="1" operator="between">
      <formula>-0.15</formula>
      <formula>-0.0001</formula>
    </cfRule>
  </conditionalFormatting>
  <conditionalFormatting sqref="AH2125:AI2125">
    <cfRule type="cellIs" dxfId="3686" priority="4798" stopIfTrue="1" operator="between">
      <formula>-0.15</formula>
      <formula>0.005</formula>
    </cfRule>
  </conditionalFormatting>
  <conditionalFormatting sqref="N1774">
    <cfRule type="cellIs" dxfId="3685" priority="4712" stopIfTrue="1" operator="between">
      <formula>-350</formula>
      <formula>-1</formula>
    </cfRule>
  </conditionalFormatting>
  <conditionalFormatting sqref="AE1132">
    <cfRule type="cellIs" dxfId="3684" priority="4763" stopIfTrue="1" operator="between">
      <formula>-0.15</formula>
      <formula>-0.0001</formula>
    </cfRule>
  </conditionalFormatting>
  <conditionalFormatting sqref="AH1138:AI1138">
    <cfRule type="cellIs" dxfId="3683" priority="4777" stopIfTrue="1" operator="between">
      <formula>-0.15</formula>
      <formula>0.005</formula>
    </cfRule>
  </conditionalFormatting>
  <conditionalFormatting sqref="N2135">
    <cfRule type="cellIs" dxfId="3682" priority="4794" stopIfTrue="1" operator="between">
      <formula>-350</formula>
      <formula>-1</formula>
    </cfRule>
  </conditionalFormatting>
  <conditionalFormatting sqref="AE1134">
    <cfRule type="cellIs" dxfId="3681" priority="4783" stopIfTrue="1" operator="between">
      <formula>-0.15</formula>
      <formula>-0.0001</formula>
    </cfRule>
  </conditionalFormatting>
  <conditionalFormatting sqref="AE879">
    <cfRule type="cellIs" dxfId="3680" priority="4748" stopIfTrue="1" operator="between">
      <formula>-0.15</formula>
      <formula>-0.0001</formula>
    </cfRule>
  </conditionalFormatting>
  <conditionalFormatting sqref="N1510">
    <cfRule type="cellIs" dxfId="3679" priority="4789" stopIfTrue="1" operator="between">
      <formula>-350</formula>
      <formula>-1</formula>
    </cfRule>
  </conditionalFormatting>
  <conditionalFormatting sqref="AH880:AI880">
    <cfRule type="cellIs" dxfId="3678" priority="4752" stopIfTrue="1" operator="between">
      <formula>-0.15</formula>
      <formula>0.005</formula>
    </cfRule>
  </conditionalFormatting>
  <conditionalFormatting sqref="AH835:AI835">
    <cfRule type="cellIs" dxfId="3677" priority="4744" stopIfTrue="1" operator="between">
      <formula>-0.15</formula>
      <formula>0.005</formula>
    </cfRule>
  </conditionalFormatting>
  <conditionalFormatting sqref="N1133">
    <cfRule type="cellIs" dxfId="3676" priority="4781" stopIfTrue="1" operator="between">
      <formula>-350</formula>
      <formula>-1</formula>
    </cfRule>
  </conditionalFormatting>
  <conditionalFormatting sqref="AH831:AI831">
    <cfRule type="cellIs" dxfId="3675" priority="4731" stopIfTrue="1" operator="between">
      <formula>-0.15</formula>
      <formula>0.005</formula>
    </cfRule>
  </conditionalFormatting>
  <conditionalFormatting sqref="AH1139:AI1139">
    <cfRule type="cellIs" dxfId="3674" priority="4769" stopIfTrue="1" operator="between">
      <formula>-0.15</formula>
      <formula>0.005</formula>
    </cfRule>
  </conditionalFormatting>
  <conditionalFormatting sqref="AH879:AI879">
    <cfRule type="cellIs" dxfId="3673" priority="4747" stopIfTrue="1" operator="between">
      <formula>-0.15</formula>
      <formula>0.005</formula>
    </cfRule>
  </conditionalFormatting>
  <conditionalFormatting sqref="N1137">
    <cfRule type="cellIs" dxfId="3672" priority="4776" stopIfTrue="1" operator="between">
      <formula>-350</formula>
      <formula>-1</formula>
    </cfRule>
  </conditionalFormatting>
  <conditionalFormatting sqref="AE831">
    <cfRule type="cellIs" dxfId="3671" priority="4732" stopIfTrue="1" operator="between">
      <formula>-0.15</formula>
      <formula>-0.0001</formula>
    </cfRule>
  </conditionalFormatting>
  <conditionalFormatting sqref="AE1133">
    <cfRule type="cellIs" dxfId="3670" priority="4780" stopIfTrue="1" operator="between">
      <formula>-0.15</formula>
      <formula>-0.0001</formula>
    </cfRule>
  </conditionalFormatting>
  <conditionalFormatting sqref="AH1774:AI1774">
    <cfRule type="cellIs" dxfId="3669" priority="4713" stopIfTrue="1" operator="between">
      <formula>-0.15</formula>
      <formula>0.005</formula>
    </cfRule>
  </conditionalFormatting>
  <conditionalFormatting sqref="N1139">
    <cfRule type="cellIs" dxfId="3668" priority="4771" stopIfTrue="1" operator="between">
      <formula>-350</formula>
      <formula>-1</formula>
    </cfRule>
  </conditionalFormatting>
  <conditionalFormatting sqref="AH1140:AI1140">
    <cfRule type="cellIs" dxfId="3667" priority="4772" stopIfTrue="1" operator="between">
      <formula>-0.15</formula>
      <formula>0.005</formula>
    </cfRule>
  </conditionalFormatting>
  <conditionalFormatting sqref="AE1776">
    <cfRule type="cellIs" dxfId="3666" priority="4716" stopIfTrue="1" operator="between">
      <formula>-0.15</formula>
      <formula>-0.0001</formula>
    </cfRule>
  </conditionalFormatting>
  <conditionalFormatting sqref="AE1137">
    <cfRule type="cellIs" dxfId="3665" priority="4775" stopIfTrue="1" operator="between">
      <formula>-0.15</formula>
      <formula>-0.0001</formula>
    </cfRule>
  </conditionalFormatting>
  <conditionalFormatting sqref="AE1139">
    <cfRule type="cellIs" dxfId="3664" priority="4770" stopIfTrue="1" operator="between">
      <formula>-0.15</formula>
      <formula>-0.0001</formula>
    </cfRule>
  </conditionalFormatting>
  <conditionalFormatting sqref="AE837">
    <cfRule type="cellIs" dxfId="3663" priority="4724" stopIfTrue="1" operator="between">
      <formula>-0.15</formula>
      <formula>-0.0001</formula>
    </cfRule>
  </conditionalFormatting>
  <conditionalFormatting sqref="AH1131:AI1131">
    <cfRule type="cellIs" dxfId="3662" priority="4759" stopIfTrue="1" operator="between">
      <formula>-0.15</formula>
      <formula>0.005</formula>
    </cfRule>
  </conditionalFormatting>
  <conditionalFormatting sqref="AH1132:AI1132">
    <cfRule type="cellIs" dxfId="3661" priority="4762" stopIfTrue="1" operator="between">
      <formula>-0.15</formula>
      <formula>0.005</formula>
    </cfRule>
  </conditionalFormatting>
  <conditionalFormatting sqref="AH1135:AI1135">
    <cfRule type="cellIs" dxfId="3660" priority="4754" stopIfTrue="1" operator="between">
      <formula>-0.15</formula>
      <formula>0.005</formula>
    </cfRule>
  </conditionalFormatting>
  <conditionalFormatting sqref="AH878:AI878">
    <cfRule type="cellIs" dxfId="3659" priority="4749" stopIfTrue="1" operator="between">
      <formula>-0.15</formula>
      <formula>0.005</formula>
    </cfRule>
  </conditionalFormatting>
  <conditionalFormatting sqref="AE1135">
    <cfRule type="cellIs" dxfId="3658" priority="4755" stopIfTrue="1" operator="between">
      <formula>-0.15</formula>
      <formula>-0.0001</formula>
    </cfRule>
  </conditionalFormatting>
  <conditionalFormatting sqref="AE1131">
    <cfRule type="cellIs" dxfId="3657" priority="4760" stopIfTrue="1" operator="between">
      <formula>-0.15</formula>
      <formula>-0.0001</formula>
    </cfRule>
  </conditionalFormatting>
  <conditionalFormatting sqref="AH1039:AI1039">
    <cfRule type="cellIs" dxfId="3656" priority="4717" stopIfTrue="1" operator="between">
      <formula>-0.15</formula>
      <formula>0.005</formula>
    </cfRule>
  </conditionalFormatting>
  <conditionalFormatting sqref="AH833:AI833">
    <cfRule type="cellIs" dxfId="3655" priority="4741" stopIfTrue="1" operator="between">
      <formula>-0.15</formula>
      <formula>0.005</formula>
    </cfRule>
  </conditionalFormatting>
  <conditionalFormatting sqref="AE1136">
    <cfRule type="cellIs" dxfId="3654" priority="4758" stopIfTrue="1" operator="between">
      <formula>-0.15</formula>
      <formula>-0.0001</formula>
    </cfRule>
  </conditionalFormatting>
  <conditionalFormatting sqref="AE830">
    <cfRule type="cellIs" dxfId="3653" priority="4734" stopIfTrue="1" operator="between">
      <formula>-0.15</formula>
      <formula>-0.0001</formula>
    </cfRule>
  </conditionalFormatting>
  <conditionalFormatting sqref="AE880">
    <cfRule type="cellIs" dxfId="3652" priority="4753" stopIfTrue="1" operator="between">
      <formula>-0.15</formula>
      <formula>-0.0001</formula>
    </cfRule>
  </conditionalFormatting>
  <conditionalFormatting sqref="AH832:AI832">
    <cfRule type="cellIs" dxfId="3651" priority="4736" stopIfTrue="1" operator="between">
      <formula>-0.15</formula>
      <formula>0.005</formula>
    </cfRule>
  </conditionalFormatting>
  <conditionalFormatting sqref="N878">
    <cfRule type="cellIs" dxfId="3650" priority="4751" stopIfTrue="1" operator="between">
      <formula>-350</formula>
      <formula>-1</formula>
    </cfRule>
  </conditionalFormatting>
  <conditionalFormatting sqref="AE878">
    <cfRule type="cellIs" dxfId="3649" priority="4750" stopIfTrue="1" operator="between">
      <formula>-0.15</formula>
      <formula>-0.0001</formula>
    </cfRule>
  </conditionalFormatting>
  <conditionalFormatting sqref="AH830:AI830">
    <cfRule type="cellIs" dxfId="3648" priority="4733" stopIfTrue="1" operator="between">
      <formula>-0.15</formula>
      <formula>0.005</formula>
    </cfRule>
  </conditionalFormatting>
  <conditionalFormatting sqref="AE834">
    <cfRule type="cellIs" dxfId="3647" priority="4740" stopIfTrue="1" operator="between">
      <formula>-0.15</formula>
      <formula>-0.0001</formula>
    </cfRule>
  </conditionalFormatting>
  <conditionalFormatting sqref="AH834:AI834">
    <cfRule type="cellIs" dxfId="3646" priority="4739" stopIfTrue="1" operator="between">
      <formula>-0.15</formula>
      <formula>0.005</formula>
    </cfRule>
  </conditionalFormatting>
  <conditionalFormatting sqref="N834">
    <cfRule type="cellIs" dxfId="3645" priority="4738" stopIfTrue="1" operator="between">
      <formula>-350</formula>
      <formula>-1</formula>
    </cfRule>
  </conditionalFormatting>
  <conditionalFormatting sqref="AE1040">
    <cfRule type="cellIs" dxfId="3644" priority="4721" stopIfTrue="1" operator="between">
      <formula>-0.15</formula>
      <formula>-0.0001</formula>
    </cfRule>
  </conditionalFormatting>
  <conditionalFormatting sqref="AH836:AI836">
    <cfRule type="cellIs" dxfId="3643" priority="4725" stopIfTrue="1" operator="between">
      <formula>-0.15</formula>
      <formula>0.005</formula>
    </cfRule>
  </conditionalFormatting>
  <conditionalFormatting sqref="AE835">
    <cfRule type="cellIs" dxfId="3642" priority="4745" stopIfTrue="1" operator="between">
      <formula>-0.15</formula>
      <formula>-0.0001</formula>
    </cfRule>
  </conditionalFormatting>
  <conditionalFormatting sqref="N833">
    <cfRule type="cellIs" dxfId="3641" priority="4743" stopIfTrue="1" operator="between">
      <formula>-350</formula>
      <formula>-1</formula>
    </cfRule>
  </conditionalFormatting>
  <conditionalFormatting sqref="AE833">
    <cfRule type="cellIs" dxfId="3640" priority="4742" stopIfTrue="1" operator="between">
      <formula>-0.15</formula>
      <formula>-0.0001</formula>
    </cfRule>
  </conditionalFormatting>
  <conditionalFormatting sqref="AH838:AI838">
    <cfRule type="cellIs" dxfId="3639" priority="4728" stopIfTrue="1" operator="between">
      <formula>-0.15</formula>
      <formula>0.005</formula>
    </cfRule>
  </conditionalFormatting>
  <conditionalFormatting sqref="AE832">
    <cfRule type="cellIs" dxfId="3638" priority="4737" stopIfTrue="1" operator="between">
      <formula>-0.15</formula>
      <formula>-0.0001</formula>
    </cfRule>
  </conditionalFormatting>
  <conditionalFormatting sqref="N830">
    <cfRule type="cellIs" dxfId="3637" priority="4735" stopIfTrue="1" operator="between">
      <formula>-350</formula>
      <formula>-1</formula>
    </cfRule>
  </conditionalFormatting>
  <conditionalFormatting sqref="AE836">
    <cfRule type="cellIs" dxfId="3636" priority="4726" stopIfTrue="1" operator="between">
      <formula>-0.15</formula>
      <formula>-0.0001</formula>
    </cfRule>
  </conditionalFormatting>
  <conditionalFormatting sqref="AH1040:AI1040">
    <cfRule type="cellIs" dxfId="3635" priority="4720" stopIfTrue="1" operator="between">
      <formula>-0.15</formula>
      <formula>0.005</formula>
    </cfRule>
  </conditionalFormatting>
  <conditionalFormatting sqref="N831">
    <cfRule type="cellIs" dxfId="3634" priority="4730" stopIfTrue="1" operator="between">
      <formula>-350</formula>
      <formula>-1</formula>
    </cfRule>
  </conditionalFormatting>
  <conditionalFormatting sqref="AH837:AI837">
    <cfRule type="cellIs" dxfId="3633" priority="4723" stopIfTrue="1" operator="between">
      <formula>-0.15</formula>
      <formula>0.005</formula>
    </cfRule>
  </conditionalFormatting>
  <conditionalFormatting sqref="AE838">
    <cfRule type="cellIs" dxfId="3632" priority="4729" stopIfTrue="1" operator="between">
      <formula>-0.15</formula>
      <formula>-0.0001</formula>
    </cfRule>
  </conditionalFormatting>
  <conditionalFormatting sqref="N836">
    <cfRule type="cellIs" dxfId="3631" priority="4727" stopIfTrue="1" operator="between">
      <formula>-350</formula>
      <formula>-1</formula>
    </cfRule>
  </conditionalFormatting>
  <conditionalFormatting sqref="AE1773">
    <cfRule type="cellIs" dxfId="3630" priority="4697" stopIfTrue="1" operator="between">
      <formula>-0.15</formula>
      <formula>-0.0001</formula>
    </cfRule>
  </conditionalFormatting>
  <conditionalFormatting sqref="AH1776:AI1776">
    <cfRule type="cellIs" dxfId="3629" priority="4715" stopIfTrue="1" operator="between">
      <formula>-0.15</formula>
      <formula>0.005</formula>
    </cfRule>
  </conditionalFormatting>
  <conditionalFormatting sqref="N1039">
    <cfRule type="cellIs" dxfId="3628" priority="4719" stopIfTrue="1" operator="between">
      <formula>-350</formula>
      <formula>-1</formula>
    </cfRule>
  </conditionalFormatting>
  <conditionalFormatting sqref="AE1039">
    <cfRule type="cellIs" dxfId="3627" priority="4718" stopIfTrue="1" operator="between">
      <formula>-0.15</formula>
      <formula>-0.0001</formula>
    </cfRule>
  </conditionalFormatting>
  <conditionalFormatting sqref="AH1143:AI1143">
    <cfRule type="cellIs" dxfId="3626" priority="4680" stopIfTrue="1" operator="between">
      <formula>-0.15</formula>
      <formula>0.005</formula>
    </cfRule>
  </conditionalFormatting>
  <conditionalFormatting sqref="AH1781:AI1781">
    <cfRule type="cellIs" dxfId="3625" priority="4649" stopIfTrue="1" operator="between">
      <formula>-0.15</formula>
      <formula>0.005</formula>
    </cfRule>
  </conditionalFormatting>
  <conditionalFormatting sqref="AE1761">
    <cfRule type="cellIs" dxfId="3624" priority="4703" stopIfTrue="1" operator="between">
      <formula>-0.15</formula>
      <formula>-0.0001</formula>
    </cfRule>
  </conditionalFormatting>
  <conditionalFormatting sqref="AH1768:AI1768">
    <cfRule type="cellIs" dxfId="3623" priority="4704" stopIfTrue="1" operator="between">
      <formula>-0.15</formula>
      <formula>0.005</formula>
    </cfRule>
  </conditionalFormatting>
  <conditionalFormatting sqref="AE1767">
    <cfRule type="cellIs" dxfId="3622" priority="4700" stopIfTrue="1" operator="between">
      <formula>-0.15</formula>
      <formula>-0.0001</formula>
    </cfRule>
  </conditionalFormatting>
  <conditionalFormatting sqref="N1761">
    <cfRule type="cellIs" dxfId="3621" priority="4701" stopIfTrue="1" operator="between">
      <formula>-350</formula>
      <formula>-1</formula>
    </cfRule>
  </conditionalFormatting>
  <conditionalFormatting sqref="AE1769">
    <cfRule type="cellIs" dxfId="3620" priority="4695" stopIfTrue="1" operator="between">
      <formula>-0.15</formula>
      <formula>-0.0001</formula>
    </cfRule>
  </conditionalFormatting>
  <conditionalFormatting sqref="AE1772">
    <cfRule type="cellIs" dxfId="3619" priority="4692" stopIfTrue="1" operator="between">
      <formula>-0.15</formula>
      <formula>-0.0001</formula>
    </cfRule>
  </conditionalFormatting>
  <conditionalFormatting sqref="AH1773:AI1773">
    <cfRule type="cellIs" dxfId="3618" priority="4696" stopIfTrue="1" operator="between">
      <formula>-0.15</formula>
      <formula>0.005</formula>
    </cfRule>
  </conditionalFormatting>
  <conditionalFormatting sqref="AH1761:AI1761">
    <cfRule type="cellIs" dxfId="3617" priority="4702" stopIfTrue="1" operator="between">
      <formula>-0.15</formula>
      <formula>0.005</formula>
    </cfRule>
  </conditionalFormatting>
  <conditionalFormatting sqref="N1767">
    <cfRule type="cellIs" dxfId="3616" priority="4698" stopIfTrue="1" operator="between">
      <formula>-350</formula>
      <formula>-1</formula>
    </cfRule>
  </conditionalFormatting>
  <conditionalFormatting sqref="AE1768">
    <cfRule type="cellIs" dxfId="3615" priority="4705" stopIfTrue="1" operator="between">
      <formula>-0.15</formula>
      <formula>-0.0001</formula>
    </cfRule>
  </conditionalFormatting>
  <conditionalFormatting sqref="N882">
    <cfRule type="cellIs" dxfId="3614" priority="4672" stopIfTrue="1" operator="between">
      <formula>-350</formula>
      <formula>-1</formula>
    </cfRule>
  </conditionalFormatting>
  <conditionalFormatting sqref="AH1767:AI1767">
    <cfRule type="cellIs" dxfId="3613" priority="4699" stopIfTrue="1" operator="between">
      <formula>-0.15</formula>
      <formula>0.005</formula>
    </cfRule>
  </conditionalFormatting>
  <conditionalFormatting sqref="AE1781">
    <cfRule type="cellIs" dxfId="3612" priority="4650" stopIfTrue="1" operator="between">
      <formula>-0.15</formula>
      <formula>-0.0001</formula>
    </cfRule>
  </conditionalFormatting>
  <conditionalFormatting sqref="AH1769:AI1769">
    <cfRule type="cellIs" dxfId="3611" priority="4694" stopIfTrue="1" operator="between">
      <formula>-0.15</formula>
      <formula>0.005</formula>
    </cfRule>
  </conditionalFormatting>
  <conditionalFormatting sqref="AH1772:AI1772">
    <cfRule type="cellIs" dxfId="3610" priority="4691" stopIfTrue="1" operator="between">
      <formula>-0.15</formula>
      <formula>0.005</formula>
    </cfRule>
  </conditionalFormatting>
  <conditionalFormatting sqref="N1772">
    <cfRule type="cellIs" dxfId="3609" priority="4690" stopIfTrue="1" operator="between">
      <formula>-350</formula>
      <formula>-1</formula>
    </cfRule>
  </conditionalFormatting>
  <conditionalFormatting sqref="N1769">
    <cfRule type="cellIs" dxfId="3608" priority="4693" stopIfTrue="1" operator="between">
      <formula>-350</formula>
      <formula>-1</formula>
    </cfRule>
  </conditionalFormatting>
  <conditionalFormatting sqref="AE882">
    <cfRule type="cellIs" dxfId="3607" priority="4674" stopIfTrue="1" operator="between">
      <formula>-0.15</formula>
      <formula>-0.0001</formula>
    </cfRule>
  </conditionalFormatting>
  <conditionalFormatting sqref="AH883:AI883">
    <cfRule type="cellIs" dxfId="3606" priority="4678" stopIfTrue="1" operator="between">
      <formula>-0.15</formula>
      <formula>0.005</formula>
    </cfRule>
  </conditionalFormatting>
  <conditionalFormatting sqref="AE1143">
    <cfRule type="cellIs" dxfId="3605" priority="4681" stopIfTrue="1" operator="between">
      <formula>-0.15</formula>
      <formula>-0.0001</formula>
    </cfRule>
  </conditionalFormatting>
  <conditionalFormatting sqref="AH1144:AI1144">
    <cfRule type="cellIs" dxfId="3604" priority="4683" stopIfTrue="1" operator="between">
      <formula>-0.15</formula>
      <formula>0.005</formula>
    </cfRule>
  </conditionalFormatting>
  <conditionalFormatting sqref="N1143">
    <cfRule type="cellIs" dxfId="3603" priority="4682" stopIfTrue="1" operator="between">
      <formula>-350</formula>
      <formula>-1</formula>
    </cfRule>
  </conditionalFormatting>
  <conditionalFormatting sqref="AE1144">
    <cfRule type="cellIs" dxfId="3602" priority="4684" stopIfTrue="1" operator="between">
      <formula>-0.15</formula>
      <formula>-0.0001</formula>
    </cfRule>
  </conditionalFormatting>
  <conditionalFormatting sqref="AH881:AI881">
    <cfRule type="cellIs" dxfId="3601" priority="4675" stopIfTrue="1" operator="between">
      <formula>-0.15</formula>
      <formula>0.005</formula>
    </cfRule>
  </conditionalFormatting>
  <conditionalFormatting sqref="AE883">
    <cfRule type="cellIs" dxfId="3600" priority="4679" stopIfTrue="1" operator="between">
      <formula>-0.15</formula>
      <formula>-0.0001</formula>
    </cfRule>
  </conditionalFormatting>
  <conditionalFormatting sqref="AH889:AI889">
    <cfRule type="cellIs" dxfId="3599" priority="4670" stopIfTrue="1" operator="between">
      <formula>-0.15</formula>
      <formula>0.005</formula>
    </cfRule>
  </conditionalFormatting>
  <conditionalFormatting sqref="N881">
    <cfRule type="cellIs" dxfId="3598" priority="4677" stopIfTrue="1" operator="between">
      <formula>-350</formula>
      <formula>-1</formula>
    </cfRule>
  </conditionalFormatting>
  <conditionalFormatting sqref="AE881">
    <cfRule type="cellIs" dxfId="3597" priority="4676" stopIfTrue="1" operator="between">
      <formula>-0.15</formula>
      <formula>-0.0001</formula>
    </cfRule>
  </conditionalFormatting>
  <conditionalFormatting sqref="AH887:AI887">
    <cfRule type="cellIs" dxfId="3596" priority="4667" stopIfTrue="1" operator="between">
      <formula>-0.15</formula>
      <formula>0.005</formula>
    </cfRule>
  </conditionalFormatting>
  <conditionalFormatting sqref="AE888">
    <cfRule type="cellIs" dxfId="3595" priority="4666" stopIfTrue="1" operator="between">
      <formula>-0.15</formula>
      <formula>-0.0001</formula>
    </cfRule>
  </conditionalFormatting>
  <conditionalFormatting sqref="AH882:AI882">
    <cfRule type="cellIs" dxfId="3594" priority="4673" stopIfTrue="1" operator="between">
      <formula>-0.15</formula>
      <formula>0.005</formula>
    </cfRule>
  </conditionalFormatting>
  <conditionalFormatting sqref="N884">
    <cfRule type="cellIs" dxfId="3593" priority="4661" stopIfTrue="1" operator="between">
      <formula>-350</formula>
      <formula>-1</formula>
    </cfRule>
  </conditionalFormatting>
  <conditionalFormatting sqref="AE889">
    <cfRule type="cellIs" dxfId="3592" priority="4671" stopIfTrue="1" operator="between">
      <formula>-0.15</formula>
      <formula>-0.0001</formula>
    </cfRule>
  </conditionalFormatting>
  <conditionalFormatting sqref="AH886:AI886">
    <cfRule type="cellIs" dxfId="3591" priority="4662" stopIfTrue="1" operator="between">
      <formula>-0.15</formula>
      <formula>0.005</formula>
    </cfRule>
  </conditionalFormatting>
  <conditionalFormatting sqref="N887">
    <cfRule type="cellIs" dxfId="3590" priority="4669" stopIfTrue="1" operator="between">
      <formula>-350</formula>
      <formula>-1</formula>
    </cfRule>
  </conditionalFormatting>
  <conditionalFormatting sqref="AE887">
    <cfRule type="cellIs" dxfId="3589" priority="4668" stopIfTrue="1" operator="between">
      <formula>-0.15</formula>
      <formula>-0.0001</formula>
    </cfRule>
  </conditionalFormatting>
  <conditionalFormatting sqref="AH884:AI884">
    <cfRule type="cellIs" dxfId="3588" priority="4659" stopIfTrue="1" operator="between">
      <formula>-0.15</formula>
      <formula>0.005</formula>
    </cfRule>
  </conditionalFormatting>
  <conditionalFormatting sqref="AE885">
    <cfRule type="cellIs" dxfId="3587" priority="4658" stopIfTrue="1" operator="between">
      <formula>-0.15</formula>
      <formula>-0.0001</formula>
    </cfRule>
  </conditionalFormatting>
  <conditionalFormatting sqref="AH888:AI888">
    <cfRule type="cellIs" dxfId="3586" priority="4665" stopIfTrue="1" operator="between">
      <formula>-0.15</formula>
      <formula>0.005</formula>
    </cfRule>
  </conditionalFormatting>
  <conditionalFormatting sqref="N888">
    <cfRule type="cellIs" dxfId="3585" priority="4664" stopIfTrue="1" operator="between">
      <formula>-350</formula>
      <formula>-1</formula>
    </cfRule>
  </conditionalFormatting>
  <conditionalFormatting sqref="AE1780">
    <cfRule type="cellIs" dxfId="3584" priority="4647" stopIfTrue="1" operator="between">
      <formula>-0.15</formula>
      <formula>-0.0001</formula>
    </cfRule>
  </conditionalFormatting>
  <conditionalFormatting sqref="AE886">
    <cfRule type="cellIs" dxfId="3583" priority="4663" stopIfTrue="1" operator="between">
      <formula>-0.15</formula>
      <formula>-0.0001</formula>
    </cfRule>
  </conditionalFormatting>
  <conditionalFormatting sqref="AE884">
    <cfRule type="cellIs" dxfId="3582" priority="4660" stopIfTrue="1" operator="between">
      <formula>-0.15</formula>
      <formula>-0.0001</formula>
    </cfRule>
  </conditionalFormatting>
  <conditionalFormatting sqref="AH885:AI885">
    <cfRule type="cellIs" dxfId="3581" priority="4657" stopIfTrue="1" operator="between">
      <formula>-0.15</formula>
      <formula>0.005</formula>
    </cfRule>
  </conditionalFormatting>
  <conditionalFormatting sqref="N885">
    <cfRule type="cellIs" dxfId="3580" priority="4656" stopIfTrue="1" operator="between">
      <formula>-350</formula>
      <formula>-1</formula>
    </cfRule>
  </conditionalFormatting>
  <conditionalFormatting sqref="AH1777:AI1777">
    <cfRule type="cellIs" dxfId="3579" priority="4652" stopIfTrue="1" operator="between">
      <formula>-0.15</formula>
      <formula>0.005</formula>
    </cfRule>
  </conditionalFormatting>
  <conditionalFormatting sqref="AE1783">
    <cfRule type="cellIs" dxfId="3578" priority="4642" stopIfTrue="1" operator="between">
      <formula>-0.15</formula>
      <formula>-0.0001</formula>
    </cfRule>
  </conditionalFormatting>
  <conditionalFormatting sqref="AH1782:AI1782">
    <cfRule type="cellIs" dxfId="3577" priority="4654" stopIfTrue="1" operator="between">
      <formula>-0.15</formula>
      <formula>0.005</formula>
    </cfRule>
  </conditionalFormatting>
  <conditionalFormatting sqref="AE1785">
    <cfRule type="cellIs" dxfId="3576" priority="4639" stopIfTrue="1" operator="between">
      <formula>-0.15</formula>
      <formula>-0.0001</formula>
    </cfRule>
  </conditionalFormatting>
  <conditionalFormatting sqref="N1781">
    <cfRule type="cellIs" dxfId="3575" priority="4648" stopIfTrue="1" operator="between">
      <formula>-350</formula>
      <formula>-1</formula>
    </cfRule>
  </conditionalFormatting>
  <conditionalFormatting sqref="AE1782">
    <cfRule type="cellIs" dxfId="3574" priority="4655" stopIfTrue="1" operator="between">
      <formula>-0.15</formula>
      <formula>-0.0001</formula>
    </cfRule>
  </conditionalFormatting>
  <conditionalFormatting sqref="N1777">
    <cfRule type="cellIs" dxfId="3573" priority="4651" stopIfTrue="1" operator="between">
      <formula>-350</formula>
      <formula>-1</formula>
    </cfRule>
  </conditionalFormatting>
  <conditionalFormatting sqref="AH1785:AI1785">
    <cfRule type="cellIs" dxfId="3572" priority="4638" stopIfTrue="1" operator="between">
      <formula>-0.15</formula>
      <formula>0.005</formula>
    </cfRule>
  </conditionalFormatting>
  <conditionalFormatting sqref="N1780">
    <cfRule type="cellIs" dxfId="3571" priority="4645" stopIfTrue="1" operator="between">
      <formula>-350</formula>
      <formula>-1</formula>
    </cfRule>
  </conditionalFormatting>
  <conditionalFormatting sqref="AE1784">
    <cfRule type="cellIs" dxfId="3570" priority="4636" stopIfTrue="1" operator="between">
      <formula>-0.15</formula>
      <formula>-0.0001</formula>
    </cfRule>
  </conditionalFormatting>
  <conditionalFormatting sqref="AH1780:AI1780">
    <cfRule type="cellIs" dxfId="3569" priority="4646" stopIfTrue="1" operator="between">
      <formula>-0.15</formula>
      <formula>0.005</formula>
    </cfRule>
  </conditionalFormatting>
  <conditionalFormatting sqref="AH1783:AI1783">
    <cfRule type="cellIs" dxfId="3568" priority="4641" stopIfTrue="1" operator="between">
      <formula>-0.15</formula>
      <formula>0.005</formula>
    </cfRule>
  </conditionalFormatting>
  <conditionalFormatting sqref="AE1787">
    <cfRule type="cellIs" dxfId="3567" priority="4631" stopIfTrue="1" operator="between">
      <formula>-0.15</formula>
      <formula>-0.0001</formula>
    </cfRule>
  </conditionalFormatting>
  <conditionalFormatting sqref="AH1786:AI1786">
    <cfRule type="cellIs" dxfId="3566" priority="4643" stopIfTrue="1" operator="between">
      <formula>-0.15</formula>
      <formula>0.005</formula>
    </cfRule>
  </conditionalFormatting>
  <conditionalFormatting sqref="AE1792">
    <cfRule type="cellIs" dxfId="3565" priority="4628" stopIfTrue="1" operator="between">
      <formula>-0.15</formula>
      <formula>-0.0001</formula>
    </cfRule>
  </conditionalFormatting>
  <conditionalFormatting sqref="N1785">
    <cfRule type="cellIs" dxfId="3564" priority="4637" stopIfTrue="1" operator="between">
      <formula>-350</formula>
      <formula>-1</formula>
    </cfRule>
  </conditionalFormatting>
  <conditionalFormatting sqref="AE1786">
    <cfRule type="cellIs" dxfId="3563" priority="4644" stopIfTrue="1" operator="between">
      <formula>-0.15</formula>
      <formula>-0.0001</formula>
    </cfRule>
  </conditionalFormatting>
  <conditionalFormatting sqref="N1783">
    <cfRule type="cellIs" dxfId="3562" priority="4640" stopIfTrue="1" operator="between">
      <formula>-350</formula>
      <formula>-1</formula>
    </cfRule>
  </conditionalFormatting>
  <conditionalFormatting sqref="N1784">
    <cfRule type="cellIs" dxfId="3561" priority="4634" stopIfTrue="1" operator="between">
      <formula>-350</formula>
      <formula>-1</formula>
    </cfRule>
  </conditionalFormatting>
  <conditionalFormatting sqref="AE1791">
    <cfRule type="cellIs" dxfId="3560" priority="4625" stopIfTrue="1" operator="between">
      <formula>-0.15</formula>
      <formula>-0.0001</formula>
    </cfRule>
  </conditionalFormatting>
  <conditionalFormatting sqref="AH1784:AI1784">
    <cfRule type="cellIs" dxfId="3559" priority="4635" stopIfTrue="1" operator="between">
      <formula>-0.15</formula>
      <formula>0.005</formula>
    </cfRule>
  </conditionalFormatting>
  <conditionalFormatting sqref="AH1787:AI1787">
    <cfRule type="cellIs" dxfId="3558" priority="4630" stopIfTrue="1" operator="between">
      <formula>-0.15</formula>
      <formula>0.005</formula>
    </cfRule>
  </conditionalFormatting>
  <conditionalFormatting sqref="AH1793:AI1793">
    <cfRule type="cellIs" dxfId="3557" priority="4632" stopIfTrue="1" operator="between">
      <formula>-0.15</formula>
      <formula>0.005</formula>
    </cfRule>
  </conditionalFormatting>
  <conditionalFormatting sqref="N1792">
    <cfRule type="cellIs" dxfId="3556" priority="4626" stopIfTrue="1" operator="between">
      <formula>-350</formula>
      <formula>-1</formula>
    </cfRule>
  </conditionalFormatting>
  <conditionalFormatting sqref="AE1793">
    <cfRule type="cellIs" dxfId="3555" priority="4633" stopIfTrue="1" operator="between">
      <formula>-0.15</formula>
      <formula>-0.0001</formula>
    </cfRule>
  </conditionalFormatting>
  <conditionalFormatting sqref="N1787">
    <cfRule type="cellIs" dxfId="3554" priority="4629" stopIfTrue="1" operator="between">
      <formula>-350</formula>
      <formula>-1</formula>
    </cfRule>
  </conditionalFormatting>
  <conditionalFormatting sqref="AH1792:AI1792">
    <cfRule type="cellIs" dxfId="3553" priority="4627" stopIfTrue="1" operator="between">
      <formula>-0.15</formula>
      <formula>0.005</formula>
    </cfRule>
  </conditionalFormatting>
  <conditionalFormatting sqref="N1791">
    <cfRule type="cellIs" dxfId="3552" priority="4623" stopIfTrue="1" operator="between">
      <formula>-350</formula>
      <formula>-1</formula>
    </cfRule>
  </conditionalFormatting>
  <conditionalFormatting sqref="AH1791:AI1791">
    <cfRule type="cellIs" dxfId="3551" priority="4624" stopIfTrue="1" operator="between">
      <formula>-0.15</formula>
      <formula>0.005</formula>
    </cfRule>
  </conditionalFormatting>
  <conditionalFormatting sqref="AE906">
    <cfRule type="cellIs" dxfId="3550" priority="4622" stopIfTrue="1" operator="between">
      <formula>-0.15</formula>
      <formula>-0.0001</formula>
    </cfRule>
  </conditionalFormatting>
  <conditionalFormatting sqref="AH906:AI906">
    <cfRule type="cellIs" dxfId="3549" priority="4621" stopIfTrue="1" operator="between">
      <formula>-0.15</formula>
      <formula>0.005</formula>
    </cfRule>
  </conditionalFormatting>
  <conditionalFormatting sqref="N904">
    <cfRule type="cellIs" dxfId="3548" priority="4620" stopIfTrue="1" operator="between">
      <formula>-350</formula>
      <formula>-1</formula>
    </cfRule>
  </conditionalFormatting>
  <conditionalFormatting sqref="AE904">
    <cfRule type="cellIs" dxfId="3547" priority="4619" stopIfTrue="1" operator="between">
      <formula>-0.15</formula>
      <formula>-0.0001</formula>
    </cfRule>
  </conditionalFormatting>
  <conditionalFormatting sqref="AH904:AI904">
    <cfRule type="cellIs" dxfId="3546" priority="4618" stopIfTrue="1" operator="between">
      <formula>-0.15</formula>
      <formula>0.005</formula>
    </cfRule>
  </conditionalFormatting>
  <conditionalFormatting sqref="AE905">
    <cfRule type="cellIs" dxfId="3545" priority="4617" stopIfTrue="1" operator="between">
      <formula>-0.15</formula>
      <formula>-0.0001</formula>
    </cfRule>
  </conditionalFormatting>
  <conditionalFormatting sqref="AH905:AI905">
    <cfRule type="cellIs" dxfId="3544" priority="4616" stopIfTrue="1" operator="between">
      <formula>-0.15</formula>
      <formula>0.005</formula>
    </cfRule>
  </conditionalFormatting>
  <conditionalFormatting sqref="N905">
    <cfRule type="cellIs" dxfId="3543" priority="4615" stopIfTrue="1" operator="between">
      <formula>-350</formula>
      <formula>-1</formula>
    </cfRule>
  </conditionalFormatting>
  <conditionalFormatting sqref="AE376">
    <cfRule type="cellIs" dxfId="3542" priority="4614" stopIfTrue="1" operator="between">
      <formula>-0.15</formula>
      <formula>-0.0001</formula>
    </cfRule>
  </conditionalFormatting>
  <conditionalFormatting sqref="AH376:AI376">
    <cfRule type="cellIs" dxfId="3541" priority="4613" stopIfTrue="1" operator="between">
      <formula>-0.15</formula>
      <formula>0.005</formula>
    </cfRule>
  </conditionalFormatting>
  <conditionalFormatting sqref="N376">
    <cfRule type="cellIs" dxfId="3540" priority="4612" stopIfTrue="1" operator="between">
      <formula>-350</formula>
      <formula>-1</formula>
    </cfRule>
  </conditionalFormatting>
  <conditionalFormatting sqref="AH1145:AI1145">
    <cfRule type="cellIs" dxfId="3539" priority="4607" stopIfTrue="1" operator="between">
      <formula>-0.15</formula>
      <formula>0.005</formula>
    </cfRule>
  </conditionalFormatting>
  <conditionalFormatting sqref="N1145">
    <cfRule type="cellIs" dxfId="3538" priority="4609" stopIfTrue="1" operator="between">
      <formula>-350</formula>
      <formula>-1</formula>
    </cfRule>
  </conditionalFormatting>
  <conditionalFormatting sqref="AE1146">
    <cfRule type="cellIs" dxfId="3537" priority="4611" stopIfTrue="1" operator="between">
      <formula>-0.15</formula>
      <formula>-0.0001</formula>
    </cfRule>
  </conditionalFormatting>
  <conditionalFormatting sqref="AH1146:AI1146">
    <cfRule type="cellIs" dxfId="3536" priority="4610" stopIfTrue="1" operator="between">
      <formula>-0.15</formula>
      <formula>0.005</formula>
    </cfRule>
  </conditionalFormatting>
  <conditionalFormatting sqref="AE1145">
    <cfRule type="cellIs" dxfId="3535" priority="4608" stopIfTrue="1" operator="between">
      <formula>-0.15</formula>
      <formula>-0.0001</formula>
    </cfRule>
  </conditionalFormatting>
  <conditionalFormatting sqref="AH1155:AI1155">
    <cfRule type="cellIs" dxfId="3534" priority="4602" stopIfTrue="1" operator="between">
      <formula>-0.15</formula>
      <formula>0.005</formula>
    </cfRule>
  </conditionalFormatting>
  <conditionalFormatting sqref="N1155">
    <cfRule type="cellIs" dxfId="3533" priority="4604" stopIfTrue="1" operator="between">
      <formula>-350</formula>
      <formula>-1</formula>
    </cfRule>
  </conditionalFormatting>
  <conditionalFormatting sqref="AE1156">
    <cfRule type="cellIs" dxfId="3532" priority="4606" stopIfTrue="1" operator="between">
      <formula>-0.15</formula>
      <formula>-0.0001</formula>
    </cfRule>
  </conditionalFormatting>
  <conditionalFormatting sqref="AH1156:AI1156">
    <cfRule type="cellIs" dxfId="3531" priority="4605" stopIfTrue="1" operator="between">
      <formula>-0.15</formula>
      <formula>0.005</formula>
    </cfRule>
  </conditionalFormatting>
  <conditionalFormatting sqref="AE1155">
    <cfRule type="cellIs" dxfId="3530" priority="4603" stopIfTrue="1" operator="between">
      <formula>-0.15</formula>
      <formula>-0.0001</formula>
    </cfRule>
  </conditionalFormatting>
  <conditionalFormatting sqref="AH1147:AI1147">
    <cfRule type="cellIs" dxfId="3529" priority="4597" stopIfTrue="1" operator="between">
      <formula>-0.15</formula>
      <formula>0.005</formula>
    </cfRule>
  </conditionalFormatting>
  <conditionalFormatting sqref="N1147">
    <cfRule type="cellIs" dxfId="3528" priority="4599" stopIfTrue="1" operator="between">
      <formula>-350</formula>
      <formula>-1</formula>
    </cfRule>
  </conditionalFormatting>
  <conditionalFormatting sqref="AE1148">
    <cfRule type="cellIs" dxfId="3527" priority="4601" stopIfTrue="1" operator="between">
      <formula>-0.15</formula>
      <formula>-0.0001</formula>
    </cfRule>
  </conditionalFormatting>
  <conditionalFormatting sqref="AH1148:AI1148">
    <cfRule type="cellIs" dxfId="3526" priority="4600" stopIfTrue="1" operator="between">
      <formula>-0.15</formula>
      <formula>0.005</formula>
    </cfRule>
  </conditionalFormatting>
  <conditionalFormatting sqref="AE1147">
    <cfRule type="cellIs" dxfId="3525" priority="4598" stopIfTrue="1" operator="between">
      <formula>-0.15</formula>
      <formula>-0.0001</formula>
    </cfRule>
  </conditionalFormatting>
  <conditionalFormatting sqref="AH1152:AI1152">
    <cfRule type="cellIs" dxfId="3524" priority="4592" stopIfTrue="1" operator="between">
      <formula>-0.15</formula>
      <formula>0.005</formula>
    </cfRule>
  </conditionalFormatting>
  <conditionalFormatting sqref="N1152">
    <cfRule type="cellIs" dxfId="3523" priority="4594" stopIfTrue="1" operator="between">
      <formula>-350</formula>
      <formula>-1</formula>
    </cfRule>
  </conditionalFormatting>
  <conditionalFormatting sqref="AE1153">
    <cfRule type="cellIs" dxfId="3522" priority="4596" stopIfTrue="1" operator="between">
      <formula>-0.15</formula>
      <formula>-0.0001</formula>
    </cfRule>
  </conditionalFormatting>
  <conditionalFormatting sqref="AH1153:AI1153">
    <cfRule type="cellIs" dxfId="3521" priority="4595" stopIfTrue="1" operator="between">
      <formula>-0.15</formula>
      <formula>0.005</formula>
    </cfRule>
  </conditionalFormatting>
  <conditionalFormatting sqref="AE1152">
    <cfRule type="cellIs" dxfId="3520" priority="4593" stopIfTrue="1" operator="between">
      <formula>-0.15</formula>
      <formula>-0.0001</formula>
    </cfRule>
  </conditionalFormatting>
  <conditionalFormatting sqref="AE899">
    <cfRule type="cellIs" dxfId="3519" priority="4591" stopIfTrue="1" operator="between">
      <formula>-0.15</formula>
      <formula>-0.0001</formula>
    </cfRule>
  </conditionalFormatting>
  <conditionalFormatting sqref="AH899:AI899">
    <cfRule type="cellIs" dxfId="3518" priority="4590" stopIfTrue="1" operator="between">
      <formula>-0.15</formula>
      <formula>0.005</formula>
    </cfRule>
  </conditionalFormatting>
  <conditionalFormatting sqref="N897">
    <cfRule type="cellIs" dxfId="3517" priority="4589" stopIfTrue="1" operator="between">
      <formula>-350</formula>
      <formula>-1</formula>
    </cfRule>
  </conditionalFormatting>
  <conditionalFormatting sqref="AE897">
    <cfRule type="cellIs" dxfId="3516" priority="4588" stopIfTrue="1" operator="between">
      <formula>-0.15</formula>
      <formula>-0.0001</formula>
    </cfRule>
  </conditionalFormatting>
  <conditionalFormatting sqref="AH897:AI897">
    <cfRule type="cellIs" dxfId="3515" priority="4587" stopIfTrue="1" operator="between">
      <formula>-0.15</formula>
      <formula>0.005</formula>
    </cfRule>
  </conditionalFormatting>
  <conditionalFormatting sqref="AE898">
    <cfRule type="cellIs" dxfId="3514" priority="4583" stopIfTrue="1" operator="between">
      <formula>-0.15</formula>
      <formula>-0.0001</formula>
    </cfRule>
  </conditionalFormatting>
  <conditionalFormatting sqref="AH898:AI898">
    <cfRule type="cellIs" dxfId="3513" priority="4582" stopIfTrue="1" operator="between">
      <formula>-0.15</formula>
      <formula>0.005</formula>
    </cfRule>
  </conditionalFormatting>
  <conditionalFormatting sqref="N898">
    <cfRule type="cellIs" dxfId="3512" priority="4581" stopIfTrue="1" operator="between">
      <formula>-350</formula>
      <formula>-1</formula>
    </cfRule>
  </conditionalFormatting>
  <conditionalFormatting sqref="AE1642">
    <cfRule type="cellIs" dxfId="3511" priority="4580" stopIfTrue="1" operator="between">
      <formula>-0.15</formula>
      <formula>-0.0001</formula>
    </cfRule>
  </conditionalFormatting>
  <conditionalFormatting sqref="AH1642:AI1642">
    <cfRule type="cellIs" dxfId="3510" priority="4579" stopIfTrue="1" operator="between">
      <formula>-0.15</formula>
      <formula>0.005</formula>
    </cfRule>
  </conditionalFormatting>
  <conditionalFormatting sqref="N1642">
    <cfRule type="cellIs" dxfId="3509" priority="4578" stopIfTrue="1" operator="between">
      <formula>-350</formula>
      <formula>-1</formula>
    </cfRule>
  </conditionalFormatting>
  <conditionalFormatting sqref="AE1641">
    <cfRule type="cellIs" dxfId="3508" priority="4577" stopIfTrue="1" operator="between">
      <formula>-0.15</formula>
      <formula>-0.0001</formula>
    </cfRule>
  </conditionalFormatting>
  <conditionalFormatting sqref="AH1641:AI1641">
    <cfRule type="cellIs" dxfId="3507" priority="4576" stopIfTrue="1" operator="between">
      <formula>-0.15</formula>
      <formula>0.005</formula>
    </cfRule>
  </conditionalFormatting>
  <conditionalFormatting sqref="N1641">
    <cfRule type="cellIs" dxfId="3506" priority="4575" stopIfTrue="1" operator="between">
      <formula>-350</formula>
      <formula>-1</formula>
    </cfRule>
  </conditionalFormatting>
  <conditionalFormatting sqref="AE1639">
    <cfRule type="cellIs" dxfId="3505" priority="4574" stopIfTrue="1" operator="between">
      <formula>-0.15</formula>
      <formula>-0.0001</formula>
    </cfRule>
  </conditionalFormatting>
  <conditionalFormatting sqref="AH1639:AI1639">
    <cfRule type="cellIs" dxfId="3504" priority="4573" stopIfTrue="1" operator="between">
      <formula>-0.15</formula>
      <formula>0.005</formula>
    </cfRule>
  </conditionalFormatting>
  <conditionalFormatting sqref="N1639">
    <cfRule type="cellIs" dxfId="3503" priority="4572" stopIfTrue="1" operator="between">
      <formula>-350</formula>
      <formula>-1</formula>
    </cfRule>
  </conditionalFormatting>
  <conditionalFormatting sqref="AE1640">
    <cfRule type="cellIs" dxfId="3502" priority="4571" stopIfTrue="1" operator="between">
      <formula>-0.15</formula>
      <formula>-0.0001</formula>
    </cfRule>
  </conditionalFormatting>
  <conditionalFormatting sqref="AH1640:AI1640">
    <cfRule type="cellIs" dxfId="3501" priority="4570" stopIfTrue="1" operator="between">
      <formula>-0.15</formula>
      <formula>0.005</formula>
    </cfRule>
  </conditionalFormatting>
  <conditionalFormatting sqref="N1640">
    <cfRule type="cellIs" dxfId="3500" priority="4569" stopIfTrue="1" operator="between">
      <formula>-350</formula>
      <formula>-1</formula>
    </cfRule>
  </conditionalFormatting>
  <conditionalFormatting sqref="AE1645">
    <cfRule type="cellIs" dxfId="3499" priority="4568" stopIfTrue="1" operator="between">
      <formula>-0.15</formula>
      <formula>-0.0001</formula>
    </cfRule>
  </conditionalFormatting>
  <conditionalFormatting sqref="AH1645:AI1645">
    <cfRule type="cellIs" dxfId="3498" priority="4567" stopIfTrue="1" operator="between">
      <formula>-0.15</formula>
      <formula>0.005</formula>
    </cfRule>
  </conditionalFormatting>
  <conditionalFormatting sqref="N1645">
    <cfRule type="cellIs" dxfId="3497" priority="4566" stopIfTrue="1" operator="between">
      <formula>-350</formula>
      <formula>-1</formula>
    </cfRule>
  </conditionalFormatting>
  <conditionalFormatting sqref="AE1544">
    <cfRule type="cellIs" dxfId="3496" priority="4563" stopIfTrue="1" operator="between">
      <formula>-0.15</formula>
      <formula>-0.0001</formula>
    </cfRule>
  </conditionalFormatting>
  <conditionalFormatting sqref="AH1544:AI1544">
    <cfRule type="cellIs" dxfId="3495" priority="4562" stopIfTrue="1" operator="between">
      <formula>-0.15</formula>
      <formula>0.005</formula>
    </cfRule>
  </conditionalFormatting>
  <conditionalFormatting sqref="N1544">
    <cfRule type="cellIs" dxfId="3494" priority="4561" stopIfTrue="1" operator="between">
      <formula>-350</formula>
      <formula>-1</formula>
    </cfRule>
  </conditionalFormatting>
  <conditionalFormatting sqref="AE1545">
    <cfRule type="cellIs" dxfId="3493" priority="4557" stopIfTrue="1" operator="between">
      <formula>-0.15</formula>
      <formula>-0.0001</formula>
    </cfRule>
  </conditionalFormatting>
  <conditionalFormatting sqref="AH1545:AI1545">
    <cfRule type="cellIs" dxfId="3492" priority="4556" stopIfTrue="1" operator="between">
      <formula>-0.15</formula>
      <formula>0.005</formula>
    </cfRule>
  </conditionalFormatting>
  <conditionalFormatting sqref="N1545">
    <cfRule type="cellIs" dxfId="3491" priority="4555" stopIfTrue="1" operator="between">
      <formula>-350</formula>
      <formula>-1</formula>
    </cfRule>
  </conditionalFormatting>
  <conditionalFormatting sqref="AE1546">
    <cfRule type="cellIs" dxfId="3490" priority="4565" stopIfTrue="1" operator="between">
      <formula>-0.15</formula>
      <formula>-0.0001</formula>
    </cfRule>
  </conditionalFormatting>
  <conditionalFormatting sqref="AH1546:AI1546">
    <cfRule type="cellIs" dxfId="3489" priority="4564" stopIfTrue="1" operator="between">
      <formula>-0.15</formula>
      <formula>0.005</formula>
    </cfRule>
  </conditionalFormatting>
  <conditionalFormatting sqref="AH1502:AI1502">
    <cfRule type="cellIs" dxfId="3488" priority="4510" stopIfTrue="1" operator="between">
      <formula>-0.15</formula>
      <formula>0.005</formula>
    </cfRule>
  </conditionalFormatting>
  <conditionalFormatting sqref="N1502">
    <cfRule type="cellIs" dxfId="3487" priority="4509" stopIfTrue="1" operator="between">
      <formula>-350</formula>
      <formula>-1</formula>
    </cfRule>
  </conditionalFormatting>
  <conditionalFormatting sqref="AE1502">
    <cfRule type="cellIs" dxfId="3486" priority="4511" stopIfTrue="1" operator="between">
      <formula>-0.15</formula>
      <formula>-0.0001</formula>
    </cfRule>
  </conditionalFormatting>
  <conditionalFormatting sqref="AH1503:AI1503">
    <cfRule type="cellIs" dxfId="3485" priority="4507" stopIfTrue="1" operator="between">
      <formula>-0.15</formula>
      <formula>0.005</formula>
    </cfRule>
  </conditionalFormatting>
  <conditionalFormatting sqref="N1503">
    <cfRule type="cellIs" dxfId="3484" priority="4506" stopIfTrue="1" operator="between">
      <formula>-350</formula>
      <formula>-1</formula>
    </cfRule>
  </conditionalFormatting>
  <conditionalFormatting sqref="AE1503">
    <cfRule type="cellIs" dxfId="3483" priority="4508" stopIfTrue="1" operator="between">
      <formula>-0.15</formula>
      <formula>-0.0001</formula>
    </cfRule>
  </conditionalFormatting>
  <conditionalFormatting sqref="AE903">
    <cfRule type="cellIs" dxfId="3482" priority="4505" stopIfTrue="1" operator="between">
      <formula>-0.15</formula>
      <formula>-0.0001</formula>
    </cfRule>
  </conditionalFormatting>
  <conditionalFormatting sqref="AH903:AI903">
    <cfRule type="cellIs" dxfId="3481" priority="4504" stopIfTrue="1" operator="between">
      <formula>-0.15</formula>
      <formula>0.005</formula>
    </cfRule>
  </conditionalFormatting>
  <conditionalFormatting sqref="N900">
    <cfRule type="cellIs" dxfId="3480" priority="4503" stopIfTrue="1" operator="between">
      <formula>-350</formula>
      <formula>-1</formula>
    </cfRule>
  </conditionalFormatting>
  <conditionalFormatting sqref="AE900">
    <cfRule type="cellIs" dxfId="3479" priority="4502" stopIfTrue="1" operator="between">
      <formula>-0.15</formula>
      <formula>-0.0001</formula>
    </cfRule>
  </conditionalFormatting>
  <conditionalFormatting sqref="AH900:AI900">
    <cfRule type="cellIs" dxfId="3478" priority="4501" stopIfTrue="1" operator="between">
      <formula>-0.15</formula>
      <formula>0.005</formula>
    </cfRule>
  </conditionalFormatting>
  <conditionalFormatting sqref="AE902">
    <cfRule type="cellIs" dxfId="3477" priority="4500" stopIfTrue="1" operator="between">
      <formula>-0.15</formula>
      <formula>-0.0001</formula>
    </cfRule>
  </conditionalFormatting>
  <conditionalFormatting sqref="AH902:AI902">
    <cfRule type="cellIs" dxfId="3476" priority="4499" stopIfTrue="1" operator="between">
      <formula>-0.15</formula>
      <formula>0.005</formula>
    </cfRule>
  </conditionalFormatting>
  <conditionalFormatting sqref="N902">
    <cfRule type="cellIs" dxfId="3475" priority="4498" stopIfTrue="1" operator="between">
      <formula>-350</formula>
      <formula>-1</formula>
    </cfRule>
  </conditionalFormatting>
  <conditionalFormatting sqref="AE896">
    <cfRule type="cellIs" dxfId="3474" priority="4497" stopIfTrue="1" operator="between">
      <formula>-0.15</formula>
      <formula>-0.0001</formula>
    </cfRule>
  </conditionalFormatting>
  <conditionalFormatting sqref="AH896:AI896">
    <cfRule type="cellIs" dxfId="3473" priority="4496" stopIfTrue="1" operator="between">
      <formula>-0.15</formula>
      <formula>0.005</formula>
    </cfRule>
  </conditionalFormatting>
  <conditionalFormatting sqref="N893">
    <cfRule type="cellIs" dxfId="3472" priority="4495" stopIfTrue="1" operator="between">
      <formula>-350</formula>
      <formula>-1</formula>
    </cfRule>
  </conditionalFormatting>
  <conditionalFormatting sqref="AE893">
    <cfRule type="cellIs" dxfId="3471" priority="4494" stopIfTrue="1" operator="between">
      <formula>-0.15</formula>
      <formula>-0.0001</formula>
    </cfRule>
  </conditionalFormatting>
  <conditionalFormatting sqref="AH893:AI893">
    <cfRule type="cellIs" dxfId="3470" priority="4493" stopIfTrue="1" operator="between">
      <formula>-0.15</formula>
      <formula>0.005</formula>
    </cfRule>
  </conditionalFormatting>
  <conditionalFormatting sqref="AE895">
    <cfRule type="cellIs" dxfId="3469" priority="4486" stopIfTrue="1" operator="between">
      <formula>-0.15</formula>
      <formula>-0.0001</formula>
    </cfRule>
  </conditionalFormatting>
  <conditionalFormatting sqref="AH895:AI895">
    <cfRule type="cellIs" dxfId="3468" priority="4485" stopIfTrue="1" operator="between">
      <formula>-0.15</formula>
      <formula>0.005</formula>
    </cfRule>
  </conditionalFormatting>
  <conditionalFormatting sqref="N895">
    <cfRule type="cellIs" dxfId="3467" priority="4484" stopIfTrue="1" operator="between">
      <formula>-350</formula>
      <formula>-1</formula>
    </cfRule>
  </conditionalFormatting>
  <conditionalFormatting sqref="AE894">
    <cfRule type="cellIs" dxfId="3466" priority="4483" stopIfTrue="1" operator="between">
      <formula>-0.15</formula>
      <formula>-0.0001</formula>
    </cfRule>
  </conditionalFormatting>
  <conditionalFormatting sqref="AH894:AI894">
    <cfRule type="cellIs" dxfId="3465" priority="4482" stopIfTrue="1" operator="between">
      <formula>-0.15</formula>
      <formula>0.005</formula>
    </cfRule>
  </conditionalFormatting>
  <conditionalFormatting sqref="N894">
    <cfRule type="cellIs" dxfId="3464" priority="4481" stopIfTrue="1" operator="between">
      <formula>-350</formula>
      <formula>-1</formula>
    </cfRule>
  </conditionalFormatting>
  <conditionalFormatting sqref="AE892">
    <cfRule type="cellIs" dxfId="3463" priority="4480" stopIfTrue="1" operator="between">
      <formula>-0.15</formula>
      <formula>-0.0001</formula>
    </cfRule>
  </conditionalFormatting>
  <conditionalFormatting sqref="AH892:AI892">
    <cfRule type="cellIs" dxfId="3462" priority="4479" stopIfTrue="1" operator="between">
      <formula>-0.15</formula>
      <formula>0.005</formula>
    </cfRule>
  </conditionalFormatting>
  <conditionalFormatting sqref="N890">
    <cfRule type="cellIs" dxfId="3461" priority="4478" stopIfTrue="1" operator="between">
      <formula>-350</formula>
      <formula>-1</formula>
    </cfRule>
  </conditionalFormatting>
  <conditionalFormatting sqref="AE890">
    <cfRule type="cellIs" dxfId="3460" priority="4477" stopIfTrue="1" operator="between">
      <formula>-0.15</formula>
      <formula>-0.0001</formula>
    </cfRule>
  </conditionalFormatting>
  <conditionalFormatting sqref="AH890:AI890">
    <cfRule type="cellIs" dxfId="3459" priority="4476" stopIfTrue="1" operator="between">
      <formula>-0.15</formula>
      <formula>0.005</formula>
    </cfRule>
  </conditionalFormatting>
  <conditionalFormatting sqref="AE1183 AE1186">
    <cfRule type="cellIs" dxfId="3458" priority="4460" stopIfTrue="1" operator="between">
      <formula>-0.15</formula>
      <formula>-0.0001</formula>
    </cfRule>
  </conditionalFormatting>
  <conditionalFormatting sqref="AH1183:AI1183 AH1186:AI1186">
    <cfRule type="cellIs" dxfId="3457" priority="4459" stopIfTrue="1" operator="between">
      <formula>-0.15</formula>
      <formula>0.005</formula>
    </cfRule>
  </conditionalFormatting>
  <conditionalFormatting sqref="N1186">
    <cfRule type="cellIs" dxfId="3456" priority="4458" stopIfTrue="1" operator="between">
      <formula>-350</formula>
      <formula>-1</formula>
    </cfRule>
  </conditionalFormatting>
  <conditionalFormatting sqref="AE1179">
    <cfRule type="cellIs" dxfId="3455" priority="4446" stopIfTrue="1" operator="between">
      <formula>-0.15</formula>
      <formula>-0.0001</formula>
    </cfRule>
  </conditionalFormatting>
  <conditionalFormatting sqref="AH1179:AI1179">
    <cfRule type="cellIs" dxfId="3454" priority="4445" stopIfTrue="1" operator="between">
      <formula>-0.15</formula>
      <formula>0.005</formula>
    </cfRule>
  </conditionalFormatting>
  <conditionalFormatting sqref="N1179">
    <cfRule type="cellIs" dxfId="3453" priority="4444" stopIfTrue="1" operator="between">
      <formula>-350</formula>
      <formula>-1</formula>
    </cfRule>
  </conditionalFormatting>
  <conditionalFormatting sqref="AE1552">
    <cfRule type="cellIs" dxfId="3452" priority="4435" stopIfTrue="1" operator="between">
      <formula>-0.15</formula>
      <formula>-0.0001</formula>
    </cfRule>
  </conditionalFormatting>
  <conditionalFormatting sqref="AH1552:AI1552">
    <cfRule type="cellIs" dxfId="3451" priority="4434" stopIfTrue="1" operator="between">
      <formula>-0.15</formula>
      <formula>0.005</formula>
    </cfRule>
  </conditionalFormatting>
  <conditionalFormatting sqref="N1183">
    <cfRule type="cellIs" dxfId="3450" priority="4457" stopIfTrue="1" operator="between">
      <formula>-350</formula>
      <formula>-1</formula>
    </cfRule>
  </conditionalFormatting>
  <conditionalFormatting sqref="AE891">
    <cfRule type="cellIs" dxfId="3449" priority="4466" stopIfTrue="1" operator="between">
      <formula>-0.15</formula>
      <formula>-0.0001</formula>
    </cfRule>
  </conditionalFormatting>
  <conditionalFormatting sqref="AH891:AI891">
    <cfRule type="cellIs" dxfId="3448" priority="4465" stopIfTrue="1" operator="between">
      <formula>-0.15</formula>
      <formula>0.005</formula>
    </cfRule>
  </conditionalFormatting>
  <conditionalFormatting sqref="N891">
    <cfRule type="cellIs" dxfId="3447" priority="4464" stopIfTrue="1" operator="between">
      <formula>-350</formula>
      <formula>-1</formula>
    </cfRule>
  </conditionalFormatting>
  <conditionalFormatting sqref="N1174">
    <cfRule type="cellIs" dxfId="3446" priority="4447" stopIfTrue="1" operator="between">
      <formula>-350</formula>
      <formula>-1</formula>
    </cfRule>
  </conditionalFormatting>
  <conditionalFormatting sqref="AE1551">
    <cfRule type="cellIs" dxfId="3445" priority="4433" stopIfTrue="1" operator="between">
      <formula>-0.15</formula>
      <formula>-0.0001</formula>
    </cfRule>
  </conditionalFormatting>
  <conditionalFormatting sqref="AH1551:AI1551">
    <cfRule type="cellIs" dxfId="3444" priority="4432" stopIfTrue="1" operator="between">
      <formula>-0.15</formula>
      <formula>0.005</formula>
    </cfRule>
  </conditionalFormatting>
  <conditionalFormatting sqref="AE1550">
    <cfRule type="cellIs" dxfId="3443" priority="4430" stopIfTrue="1" operator="between">
      <formula>-0.15</formula>
      <formula>-0.0001</formula>
    </cfRule>
  </conditionalFormatting>
  <conditionalFormatting sqref="AH1550:AI1550">
    <cfRule type="cellIs" dxfId="3442" priority="4429" stopIfTrue="1" operator="between">
      <formula>-0.15</formula>
      <formula>0.005</formula>
    </cfRule>
  </conditionalFormatting>
  <conditionalFormatting sqref="N1550">
    <cfRule type="cellIs" dxfId="3441" priority="4428" stopIfTrue="1" operator="between">
      <formula>-350</formula>
      <formula>-1</formula>
    </cfRule>
  </conditionalFormatting>
  <conditionalFormatting sqref="N1551">
    <cfRule type="cellIs" dxfId="3440" priority="4431" stopIfTrue="1" operator="between">
      <formula>-350</formula>
      <formula>-1</formula>
    </cfRule>
  </conditionalFormatting>
  <conditionalFormatting sqref="N1180">
    <cfRule type="cellIs" dxfId="3439" priority="4448" stopIfTrue="1" operator="between">
      <formula>-350</formula>
      <formula>-1</formula>
    </cfRule>
  </conditionalFormatting>
  <conditionalFormatting sqref="AE1174 AE1180">
    <cfRule type="cellIs" dxfId="3438" priority="4450" stopIfTrue="1" operator="between">
      <formula>-0.15</formula>
      <formula>-0.0001</formula>
    </cfRule>
  </conditionalFormatting>
  <conditionalFormatting sqref="AH1174:AI1174 AH1180:AI1180">
    <cfRule type="cellIs" dxfId="3437" priority="4449" stopIfTrue="1" operator="between">
      <formula>-0.15</formula>
      <formula>0.005</formula>
    </cfRule>
  </conditionalFormatting>
  <conditionalFormatting sqref="AE1555">
    <cfRule type="cellIs" dxfId="3436" priority="4427" stopIfTrue="1" operator="between">
      <formula>-0.15</formula>
      <formula>-0.0001</formula>
    </cfRule>
  </conditionalFormatting>
  <conditionalFormatting sqref="AH1555:AI1555">
    <cfRule type="cellIs" dxfId="3435" priority="4426" stopIfTrue="1" operator="between">
      <formula>-0.15</formula>
      <formula>0.005</formula>
    </cfRule>
  </conditionalFormatting>
  <conditionalFormatting sqref="N1871">
    <cfRule type="cellIs" dxfId="3434" priority="4403" stopIfTrue="1" operator="between">
      <formula>-350</formula>
      <formula>-1</formula>
    </cfRule>
  </conditionalFormatting>
  <conditionalFormatting sqref="AE1870">
    <cfRule type="cellIs" dxfId="3433" priority="4408" stopIfTrue="1" operator="between">
      <formula>-0.15</formula>
      <formula>-0.0001</formula>
    </cfRule>
  </conditionalFormatting>
  <conditionalFormatting sqref="AH1870:AI1870">
    <cfRule type="cellIs" dxfId="3432" priority="4407" stopIfTrue="1" operator="between">
      <formula>-0.15</formula>
      <formula>0.005</formula>
    </cfRule>
  </conditionalFormatting>
  <conditionalFormatting sqref="N1870">
    <cfRule type="cellIs" dxfId="3431" priority="4406" stopIfTrue="1" operator="between">
      <formula>-350</formula>
      <formula>-1</formula>
    </cfRule>
  </conditionalFormatting>
  <conditionalFormatting sqref="AE1554">
    <cfRule type="cellIs" dxfId="3430" priority="4425" stopIfTrue="1" operator="between">
      <formula>-0.15</formula>
      <formula>-0.0001</formula>
    </cfRule>
  </conditionalFormatting>
  <conditionalFormatting sqref="AH1554:AI1554">
    <cfRule type="cellIs" dxfId="3429" priority="4424" stopIfTrue="1" operator="between">
      <formula>-0.15</formula>
      <formula>0.005</formula>
    </cfRule>
  </conditionalFormatting>
  <conditionalFormatting sqref="AE1871">
    <cfRule type="cellIs" dxfId="3428" priority="4405" stopIfTrue="1" operator="between">
      <formula>-0.15</formula>
      <formula>-0.0001</formula>
    </cfRule>
  </conditionalFormatting>
  <conditionalFormatting sqref="AH1871:AI1871">
    <cfRule type="cellIs" dxfId="3427" priority="4404" stopIfTrue="1" operator="between">
      <formula>-0.15</formula>
      <formula>0.005</formula>
    </cfRule>
  </conditionalFormatting>
  <conditionalFormatting sqref="AE1553">
    <cfRule type="cellIs" dxfId="3426" priority="4422" stopIfTrue="1" operator="between">
      <formula>-0.15</formula>
      <formula>-0.0001</formula>
    </cfRule>
  </conditionalFormatting>
  <conditionalFormatting sqref="AH1553:AI1553">
    <cfRule type="cellIs" dxfId="3425" priority="4421" stopIfTrue="1" operator="between">
      <formula>-0.15</formula>
      <formula>0.005</formula>
    </cfRule>
  </conditionalFormatting>
  <conditionalFormatting sqref="N1553">
    <cfRule type="cellIs" dxfId="3424" priority="4420" stopIfTrue="1" operator="between">
      <formula>-350</formula>
      <formula>-1</formula>
    </cfRule>
  </conditionalFormatting>
  <conditionalFormatting sqref="AE1872">
    <cfRule type="cellIs" dxfId="3423" priority="4410" stopIfTrue="1" operator="between">
      <formula>-0.15</formula>
      <formula>-0.0001</formula>
    </cfRule>
  </conditionalFormatting>
  <conditionalFormatting sqref="AH1872:AI1872">
    <cfRule type="cellIs" dxfId="3422" priority="4409" stopIfTrue="1" operator="between">
      <formula>-0.15</formula>
      <formula>0.005</formula>
    </cfRule>
  </conditionalFormatting>
  <conditionalFormatting sqref="N1554">
    <cfRule type="cellIs" dxfId="3421" priority="4423" stopIfTrue="1" operator="between">
      <formula>-350</formula>
      <formula>-1</formula>
    </cfRule>
  </conditionalFormatting>
  <conditionalFormatting sqref="AE1378">
    <cfRule type="cellIs" dxfId="3420" priority="4288" stopIfTrue="1" operator="between">
      <formula>-0.15</formula>
      <formula>-0.0001</formula>
    </cfRule>
  </conditionalFormatting>
  <conditionalFormatting sqref="AH1378:AI1378">
    <cfRule type="cellIs" dxfId="3419" priority="4287" stopIfTrue="1" operator="between">
      <formula>-0.15</formula>
      <formula>0.005</formula>
    </cfRule>
  </conditionalFormatting>
  <conditionalFormatting sqref="AE1841">
    <cfRule type="cellIs" dxfId="3418" priority="4400" stopIfTrue="1" operator="between">
      <formula>-0.15</formula>
      <formula>-0.0001</formula>
    </cfRule>
  </conditionalFormatting>
  <conditionalFormatting sqref="AH1841:AI1841">
    <cfRule type="cellIs" dxfId="3417" priority="4399" stopIfTrue="1" operator="between">
      <formula>-0.15</formula>
      <formula>0.005</formula>
    </cfRule>
  </conditionalFormatting>
  <conditionalFormatting sqref="N1841">
    <cfRule type="cellIs" dxfId="3416" priority="4398" stopIfTrue="1" operator="between">
      <formula>-350</formula>
      <formula>-1</formula>
    </cfRule>
  </conditionalFormatting>
  <conditionalFormatting sqref="AE1843">
    <cfRule type="cellIs" dxfId="3415" priority="4402" stopIfTrue="1" operator="between">
      <formula>-0.15</formula>
      <formula>-0.0001</formula>
    </cfRule>
  </conditionalFormatting>
  <conditionalFormatting sqref="AH1843:AI1843">
    <cfRule type="cellIs" dxfId="3414" priority="4401" stopIfTrue="1" operator="between">
      <formula>-0.15</formula>
      <formula>0.005</formula>
    </cfRule>
  </conditionalFormatting>
  <conditionalFormatting sqref="N1852">
    <cfRule type="cellIs" dxfId="3413" priority="4334" stopIfTrue="1" operator="between">
      <formula>-350</formula>
      <formula>-1</formula>
    </cfRule>
  </conditionalFormatting>
  <conditionalFormatting sqref="AE1852">
    <cfRule type="cellIs" dxfId="3412" priority="4336" stopIfTrue="1" operator="between">
      <formula>-0.15</formula>
      <formula>-0.0001</formula>
    </cfRule>
  </conditionalFormatting>
  <conditionalFormatting sqref="AH1862:AI1862">
    <cfRule type="cellIs" dxfId="3411" priority="4232" stopIfTrue="1" operator="between">
      <formula>-0.15</formula>
      <formula>0.005</formula>
    </cfRule>
  </conditionalFormatting>
  <conditionalFormatting sqref="AE1842">
    <cfRule type="cellIs" dxfId="3410" priority="4397" stopIfTrue="1" operator="between">
      <formula>-0.15</formula>
      <formula>-0.0001</formula>
    </cfRule>
  </conditionalFormatting>
  <conditionalFormatting sqref="AE1862">
    <cfRule type="cellIs" dxfId="3409" priority="4233" stopIfTrue="1" operator="between">
      <formula>-0.15</formula>
      <formula>-0.0001</formula>
    </cfRule>
  </conditionalFormatting>
  <conditionalFormatting sqref="AH1852:AI1852">
    <cfRule type="cellIs" dxfId="3408" priority="4335" stopIfTrue="1" operator="between">
      <formula>-0.15</formula>
      <formula>0.005</formula>
    </cfRule>
  </conditionalFormatting>
  <conditionalFormatting sqref="AH1842:AI1842">
    <cfRule type="cellIs" dxfId="3407" priority="4396" stopIfTrue="1" operator="between">
      <formula>-0.15</formula>
      <formula>0.005</formula>
    </cfRule>
  </conditionalFormatting>
  <conditionalFormatting sqref="N1842">
    <cfRule type="cellIs" dxfId="3406" priority="4395" stopIfTrue="1" operator="between">
      <formula>-350</formula>
      <formula>-1</formula>
    </cfRule>
  </conditionalFormatting>
  <conditionalFormatting sqref="AE1811">
    <cfRule type="cellIs" dxfId="3405" priority="4394" stopIfTrue="1" operator="between">
      <formula>-0.15</formula>
      <formula>-0.0001</formula>
    </cfRule>
  </conditionalFormatting>
  <conditionalFormatting sqref="AH1811:AI1811">
    <cfRule type="cellIs" dxfId="3404" priority="4393" stopIfTrue="1" operator="between">
      <formula>-0.15</formula>
      <formula>0.005</formula>
    </cfRule>
  </conditionalFormatting>
  <conditionalFormatting sqref="AH1807:AI1807">
    <cfRule type="cellIs" dxfId="3403" priority="4391" stopIfTrue="1" operator="between">
      <formula>-0.15</formula>
      <formula>0.005</formula>
    </cfRule>
  </conditionalFormatting>
  <conditionalFormatting sqref="AE1807">
    <cfRule type="cellIs" dxfId="3402" priority="4392" stopIfTrue="1" operator="between">
      <formula>-0.15</formula>
      <formula>-0.0001</formula>
    </cfRule>
  </conditionalFormatting>
  <conditionalFormatting sqref="AE1851">
    <cfRule type="cellIs" dxfId="3401" priority="4330" stopIfTrue="1" operator="between">
      <formula>-0.15</formula>
      <formula>-0.0001</formula>
    </cfRule>
  </conditionalFormatting>
  <conditionalFormatting sqref="N1862">
    <cfRule type="cellIs" dxfId="3400" priority="4231" stopIfTrue="1" operator="between">
      <formula>-350</formula>
      <formula>-1</formula>
    </cfRule>
  </conditionalFormatting>
  <conditionalFormatting sqref="N1807">
    <cfRule type="cellIs" dxfId="3399" priority="4390" stopIfTrue="1" operator="between">
      <formula>-350</formula>
      <formula>-1</formula>
    </cfRule>
  </conditionalFormatting>
  <conditionalFormatting sqref="AH1851:AI1851">
    <cfRule type="cellIs" dxfId="3398" priority="4329" stopIfTrue="1" operator="between">
      <formula>-0.15</formula>
      <formula>0.005</formula>
    </cfRule>
  </conditionalFormatting>
  <conditionalFormatting sqref="AE1839">
    <cfRule type="cellIs" dxfId="3397" priority="4374" stopIfTrue="1" operator="between">
      <formula>-0.15</formula>
      <formula>-0.0001</formula>
    </cfRule>
  </conditionalFormatting>
  <conditionalFormatting sqref="AH1839:AI1839">
    <cfRule type="cellIs" dxfId="3396" priority="4373" stopIfTrue="1" operator="between">
      <formula>-0.15</formula>
      <formula>0.005</formula>
    </cfRule>
  </conditionalFormatting>
  <conditionalFormatting sqref="N1839">
    <cfRule type="cellIs" dxfId="3395" priority="4372" stopIfTrue="1" operator="between">
      <formula>-350</formula>
      <formula>-1</formula>
    </cfRule>
  </conditionalFormatting>
  <conditionalFormatting sqref="AE1832">
    <cfRule type="cellIs" dxfId="3394" priority="4353" stopIfTrue="1" operator="between">
      <formula>-0.15</formula>
      <formula>-0.0001</formula>
    </cfRule>
  </conditionalFormatting>
  <conditionalFormatting sqref="AH1832:AI1832">
    <cfRule type="cellIs" dxfId="3393" priority="4352" stopIfTrue="1" operator="between">
      <formula>-0.15</formula>
      <formula>0.005</formula>
    </cfRule>
  </conditionalFormatting>
  <conditionalFormatting sqref="AE1838">
    <cfRule type="cellIs" dxfId="3392" priority="4371" stopIfTrue="1" operator="between">
      <formula>-0.15</formula>
      <formula>-0.0001</formula>
    </cfRule>
  </conditionalFormatting>
  <conditionalFormatting sqref="N1838">
    <cfRule type="cellIs" dxfId="3391" priority="4369" stopIfTrue="1" operator="between">
      <formula>-350</formula>
      <formula>-1</formula>
    </cfRule>
  </conditionalFormatting>
  <conditionalFormatting sqref="AH1838:AI1838">
    <cfRule type="cellIs" dxfId="3390" priority="4370" stopIfTrue="1" operator="between">
      <formula>-0.15</formula>
      <formula>0.005</formula>
    </cfRule>
  </conditionalFormatting>
  <conditionalFormatting sqref="N1837">
    <cfRule type="cellIs" dxfId="3389" priority="4366" stopIfTrue="1" operator="between">
      <formula>-350</formula>
      <formula>-1</formula>
    </cfRule>
  </conditionalFormatting>
  <conditionalFormatting sqref="AE1837">
    <cfRule type="cellIs" dxfId="3388" priority="4368" stopIfTrue="1" operator="between">
      <formula>-0.15</formula>
      <formula>-0.0001</formula>
    </cfRule>
  </conditionalFormatting>
  <conditionalFormatting sqref="AH1837:AI1837">
    <cfRule type="cellIs" dxfId="3387" priority="4367" stopIfTrue="1" operator="between">
      <formula>-0.15</formula>
      <formula>0.005</formula>
    </cfRule>
  </conditionalFormatting>
  <conditionalFormatting sqref="AE1836">
    <cfRule type="cellIs" dxfId="3386" priority="4365" stopIfTrue="1" operator="between">
      <formula>-0.15</formula>
      <formula>-0.0001</formula>
    </cfRule>
  </conditionalFormatting>
  <conditionalFormatting sqref="N1836">
    <cfRule type="cellIs" dxfId="3385" priority="4363" stopIfTrue="1" operator="between">
      <formula>-350</formula>
      <formula>-1</formula>
    </cfRule>
  </conditionalFormatting>
  <conditionalFormatting sqref="AH1836:AI1836">
    <cfRule type="cellIs" dxfId="3384" priority="4364" stopIfTrue="1" operator="between">
      <formula>-0.15</formula>
      <formula>0.005</formula>
    </cfRule>
  </conditionalFormatting>
  <conditionalFormatting sqref="N1835">
    <cfRule type="cellIs" dxfId="3383" priority="4360" stopIfTrue="1" operator="between">
      <formula>-350</formula>
      <formula>-1</formula>
    </cfRule>
  </conditionalFormatting>
  <conditionalFormatting sqref="AE1835">
    <cfRule type="cellIs" dxfId="3382" priority="4362" stopIfTrue="1" operator="between">
      <formula>-0.15</formula>
      <formula>-0.0001</formula>
    </cfRule>
  </conditionalFormatting>
  <conditionalFormatting sqref="AH1835:AI1835">
    <cfRule type="cellIs" dxfId="3381" priority="4361" stopIfTrue="1" operator="between">
      <formula>-0.15</formula>
      <formula>0.005</formula>
    </cfRule>
  </conditionalFormatting>
  <conditionalFormatting sqref="AE1834">
    <cfRule type="cellIs" dxfId="3380" priority="4359" stopIfTrue="1" operator="between">
      <formula>-0.15</formula>
      <formula>-0.0001</formula>
    </cfRule>
  </conditionalFormatting>
  <conditionalFormatting sqref="N1834">
    <cfRule type="cellIs" dxfId="3379" priority="4357" stopIfTrue="1" operator="between">
      <formula>-350</formula>
      <formula>-1</formula>
    </cfRule>
  </conditionalFormatting>
  <conditionalFormatting sqref="AH1834:AI1834">
    <cfRule type="cellIs" dxfId="3378" priority="4358" stopIfTrue="1" operator="between">
      <formula>-0.15</formula>
      <formula>0.005</formula>
    </cfRule>
  </conditionalFormatting>
  <conditionalFormatting sqref="N1833">
    <cfRule type="cellIs" dxfId="3377" priority="4354" stopIfTrue="1" operator="between">
      <formula>-350</formula>
      <formula>-1</formula>
    </cfRule>
  </conditionalFormatting>
  <conditionalFormatting sqref="AE1833">
    <cfRule type="cellIs" dxfId="3376" priority="4356" stopIfTrue="1" operator="between">
      <formula>-0.15</formula>
      <formula>-0.0001</formula>
    </cfRule>
  </conditionalFormatting>
  <conditionalFormatting sqref="AH1833:AI1833">
    <cfRule type="cellIs" dxfId="3375" priority="4355" stopIfTrue="1" operator="between">
      <formula>-0.15</formula>
      <formula>0.005</formula>
    </cfRule>
  </conditionalFormatting>
  <conditionalFormatting sqref="AE579">
    <cfRule type="cellIs" dxfId="3374" priority="4341" stopIfTrue="1" operator="between">
      <formula>-0.15</formula>
      <formula>-0.0001</formula>
    </cfRule>
  </conditionalFormatting>
  <conditionalFormatting sqref="N1832">
    <cfRule type="cellIs" dxfId="3373" priority="4351" stopIfTrue="1" operator="between">
      <formula>-350</formula>
      <formula>-1</formula>
    </cfRule>
  </conditionalFormatting>
  <conditionalFormatting sqref="AH579:AI579">
    <cfRule type="cellIs" dxfId="3372" priority="4340" stopIfTrue="1" operator="between">
      <formula>-0.15</formula>
      <formula>0.005</formula>
    </cfRule>
  </conditionalFormatting>
  <conditionalFormatting sqref="N1831">
    <cfRule type="cellIs" dxfId="3371" priority="4348" stopIfTrue="1" operator="between">
      <formula>-350</formula>
      <formula>-1</formula>
    </cfRule>
  </conditionalFormatting>
  <conditionalFormatting sqref="AE1831">
    <cfRule type="cellIs" dxfId="3370" priority="4350" stopIfTrue="1" operator="between">
      <formula>-0.15</formula>
      <formula>-0.0001</formula>
    </cfRule>
  </conditionalFormatting>
  <conditionalFormatting sqref="AH1831:AI1831">
    <cfRule type="cellIs" dxfId="3369" priority="4349" stopIfTrue="1" operator="between">
      <formula>-0.15</formula>
      <formula>0.005</formula>
    </cfRule>
  </conditionalFormatting>
  <conditionalFormatting sqref="AE1830">
    <cfRule type="cellIs" dxfId="3368" priority="4347" stopIfTrue="1" operator="between">
      <formula>-0.15</formula>
      <formula>-0.0001</formula>
    </cfRule>
  </conditionalFormatting>
  <conditionalFormatting sqref="N1830">
    <cfRule type="cellIs" dxfId="3367" priority="4345" stopIfTrue="1" operator="between">
      <formula>-350</formula>
      <formula>-1</formula>
    </cfRule>
  </conditionalFormatting>
  <conditionalFormatting sqref="AH1830:AI1830">
    <cfRule type="cellIs" dxfId="3366" priority="4346" stopIfTrue="1" operator="between">
      <formula>-0.15</formula>
      <formula>0.005</formula>
    </cfRule>
  </conditionalFormatting>
  <conditionalFormatting sqref="N1829">
    <cfRule type="cellIs" dxfId="3365" priority="4342" stopIfTrue="1" operator="between">
      <formula>-350</formula>
      <formula>-1</formula>
    </cfRule>
  </conditionalFormatting>
  <conditionalFormatting sqref="AE1829">
    <cfRule type="cellIs" dxfId="3364" priority="4344" stopIfTrue="1" operator="between">
      <formula>-0.15</formula>
      <formula>-0.0001</formula>
    </cfRule>
  </conditionalFormatting>
  <conditionalFormatting sqref="AH1829:AI1829">
    <cfRule type="cellIs" dxfId="3363" priority="4343" stopIfTrue="1" operator="between">
      <formula>-0.15</formula>
      <formula>0.005</formula>
    </cfRule>
  </conditionalFormatting>
  <conditionalFormatting sqref="N579">
    <cfRule type="cellIs" dxfId="3362" priority="4339" stopIfTrue="1" operator="between">
      <formula>-350</formula>
      <formula>-1</formula>
    </cfRule>
  </conditionalFormatting>
  <conditionalFormatting sqref="AH1854:AI1854">
    <cfRule type="cellIs" dxfId="3361" priority="4337" stopIfTrue="1" operator="between">
      <formula>-0.15</formula>
      <formula>0.005</formula>
    </cfRule>
  </conditionalFormatting>
  <conditionalFormatting sqref="AE1850">
    <cfRule type="cellIs" dxfId="3360" priority="4325" stopIfTrue="1" operator="between">
      <formula>-0.15</formula>
      <formula>-0.0001</formula>
    </cfRule>
  </conditionalFormatting>
  <conditionalFormatting sqref="AE1854">
    <cfRule type="cellIs" dxfId="3359" priority="4338" stopIfTrue="1" operator="between">
      <formula>-0.15</formula>
      <formula>-0.0001</formula>
    </cfRule>
  </conditionalFormatting>
  <conditionalFormatting sqref="AH1850:AI1850">
    <cfRule type="cellIs" dxfId="3358" priority="4324" stopIfTrue="1" operator="between">
      <formula>-0.15</formula>
      <formula>0.005</formula>
    </cfRule>
  </conditionalFormatting>
  <conditionalFormatting sqref="N1850">
    <cfRule type="cellIs" dxfId="3357" priority="4323" stopIfTrue="1" operator="between">
      <formula>-350</formula>
      <formula>-1</formula>
    </cfRule>
  </conditionalFormatting>
  <conditionalFormatting sqref="AE1848">
    <cfRule type="cellIs" dxfId="3356" priority="4328" stopIfTrue="1" operator="between">
      <formula>-0.15</formula>
      <formula>-0.0001</formula>
    </cfRule>
  </conditionalFormatting>
  <conditionalFormatting sqref="AH1861:AI1861">
    <cfRule type="cellIs" dxfId="3355" priority="4235" stopIfTrue="1" operator="between">
      <formula>-0.15</formula>
      <formula>0.005</formula>
    </cfRule>
  </conditionalFormatting>
  <conditionalFormatting sqref="AE1849">
    <cfRule type="cellIs" dxfId="3354" priority="4322" stopIfTrue="1" operator="between">
      <formula>-0.15</formula>
      <formula>-0.0001</formula>
    </cfRule>
  </conditionalFormatting>
  <conditionalFormatting sqref="N1848">
    <cfRule type="cellIs" dxfId="3353" priority="4326" stopIfTrue="1" operator="between">
      <formula>-350</formula>
      <formula>-1</formula>
    </cfRule>
  </conditionalFormatting>
  <conditionalFormatting sqref="AE1861">
    <cfRule type="cellIs" dxfId="3352" priority="4236" stopIfTrue="1" operator="between">
      <formula>-0.15</formula>
      <formula>-0.0001</formula>
    </cfRule>
  </conditionalFormatting>
  <conditionalFormatting sqref="AH1848:AI1848">
    <cfRule type="cellIs" dxfId="3351" priority="4327" stopIfTrue="1" operator="between">
      <formula>-0.15</formula>
      <formula>0.005</formula>
    </cfRule>
  </conditionalFormatting>
  <conditionalFormatting sqref="AH1849:AI1849">
    <cfRule type="cellIs" dxfId="3350" priority="4321" stopIfTrue="1" operator="between">
      <formula>-0.15</formula>
      <formula>0.005</formula>
    </cfRule>
  </conditionalFormatting>
  <conditionalFormatting sqref="N1849">
    <cfRule type="cellIs" dxfId="3349" priority="4320" stopIfTrue="1" operator="between">
      <formula>-350</formula>
      <formula>-1</formula>
    </cfRule>
  </conditionalFormatting>
  <conditionalFormatting sqref="AE1424">
    <cfRule type="cellIs" dxfId="3348" priority="4302" stopIfTrue="1" operator="between">
      <formula>-0.15</formula>
      <formula>-0.0001</formula>
    </cfRule>
  </conditionalFormatting>
  <conditionalFormatting sqref="AH1424:AI1424">
    <cfRule type="cellIs" dxfId="3347" priority="4301" stopIfTrue="1" operator="between">
      <formula>-0.15</formula>
      <formula>0.005</formula>
    </cfRule>
  </conditionalFormatting>
  <conditionalFormatting sqref="N1423">
    <cfRule type="cellIs" dxfId="3346" priority="4295" stopIfTrue="1" operator="between">
      <formula>-350</formula>
      <formula>-1</formula>
    </cfRule>
  </conditionalFormatting>
  <conditionalFormatting sqref="AE2185:AE2186">
    <cfRule type="cellIs" dxfId="3345" priority="4319" stopIfTrue="1" operator="between">
      <formula>-0.15</formula>
      <formula>-0.0001</formula>
    </cfRule>
  </conditionalFormatting>
  <conditionalFormatting sqref="AH2185:AI2186">
    <cfRule type="cellIs" dxfId="3344" priority="4318" stopIfTrue="1" operator="between">
      <formula>-0.15</formula>
      <formula>0.005</formula>
    </cfRule>
  </conditionalFormatting>
  <conditionalFormatting sqref="N2185">
    <cfRule type="cellIs" dxfId="3343" priority="4317" stopIfTrue="1" operator="between">
      <formula>-350</formula>
      <formula>-1</formula>
    </cfRule>
  </conditionalFormatting>
  <conditionalFormatting sqref="AE1418">
    <cfRule type="cellIs" dxfId="3342" priority="4314" stopIfTrue="1" operator="between">
      <formula>-0.15</formula>
      <formula>-0.0001</formula>
    </cfRule>
  </conditionalFormatting>
  <conditionalFormatting sqref="AH1418:AI1418">
    <cfRule type="cellIs" dxfId="3341" priority="4313" stopIfTrue="1" operator="between">
      <formula>-0.15</formula>
      <formula>0.005</formula>
    </cfRule>
  </conditionalFormatting>
  <conditionalFormatting sqref="N1418">
    <cfRule type="cellIs" dxfId="3340" priority="4312" stopIfTrue="1" operator="between">
      <formula>-350</formula>
      <formula>-1</formula>
    </cfRule>
  </conditionalFormatting>
  <conditionalFormatting sqref="AH1419:AI1419">
    <cfRule type="cellIs" dxfId="3339" priority="4315" stopIfTrue="1" operator="between">
      <formula>-0.15</formula>
      <formula>0.005</formula>
    </cfRule>
  </conditionalFormatting>
  <conditionalFormatting sqref="AE1419">
    <cfRule type="cellIs" dxfId="3338" priority="4316" stopIfTrue="1" operator="between">
      <formula>-0.15</formula>
      <formula>-0.0001</formula>
    </cfRule>
  </conditionalFormatting>
  <conditionalFormatting sqref="N589">
    <cfRule type="cellIs" dxfId="3337" priority="4258" stopIfTrue="1" operator="between">
      <formula>-350</formula>
      <formula>-1</formula>
    </cfRule>
  </conditionalFormatting>
  <conditionalFormatting sqref="AE1423">
    <cfRule type="cellIs" dxfId="3336" priority="4297" stopIfTrue="1" operator="between">
      <formula>-0.15</formula>
      <formula>-0.0001</formula>
    </cfRule>
  </conditionalFormatting>
  <conditionalFormatting sqref="AH1423:AI1423">
    <cfRule type="cellIs" dxfId="3335" priority="4296" stopIfTrue="1" operator="between">
      <formula>-0.15</formula>
      <formula>0.005</formula>
    </cfRule>
  </conditionalFormatting>
  <conditionalFormatting sqref="N1457">
    <cfRule type="cellIs" dxfId="3334" priority="4303" stopIfTrue="1" operator="between">
      <formula>-350</formula>
      <formula>-1</formula>
    </cfRule>
  </conditionalFormatting>
  <conditionalFormatting sqref="AE1457">
    <cfRule type="cellIs" dxfId="3333" priority="4305" stopIfTrue="1" operator="between">
      <formula>-0.15</formula>
      <formula>-0.0001</formula>
    </cfRule>
  </conditionalFormatting>
  <conditionalFormatting sqref="AH1457:AI1457">
    <cfRule type="cellIs" dxfId="3332" priority="4304" stopIfTrue="1" operator="between">
      <formula>-0.15</formula>
      <formula>0.005</formula>
    </cfRule>
  </conditionalFormatting>
  <conditionalFormatting sqref="AE1420">
    <cfRule type="cellIs" dxfId="3331" priority="4300" stopIfTrue="1" operator="between">
      <formula>-0.15</formula>
      <formula>-0.0001</formula>
    </cfRule>
  </conditionalFormatting>
  <conditionalFormatting sqref="AH1420:AI1420">
    <cfRule type="cellIs" dxfId="3330" priority="4299" stopIfTrue="1" operator="between">
      <formula>-0.15</formula>
      <formula>0.005</formula>
    </cfRule>
  </conditionalFormatting>
  <conditionalFormatting sqref="N1420">
    <cfRule type="cellIs" dxfId="3329" priority="4298" stopIfTrue="1" operator="between">
      <formula>-350</formula>
      <formula>-1</formula>
    </cfRule>
  </conditionalFormatting>
  <conditionalFormatting sqref="N1377">
    <cfRule type="cellIs" dxfId="3328" priority="4284" stopIfTrue="1" operator="between">
      <formula>-350</formula>
      <formula>-1</formula>
    </cfRule>
  </conditionalFormatting>
  <conditionalFormatting sqref="AH589:AI589">
    <cfRule type="cellIs" dxfId="3327" priority="4259" stopIfTrue="1" operator="between">
      <formula>-0.15</formula>
      <formula>0.005</formula>
    </cfRule>
  </conditionalFormatting>
  <conditionalFormatting sqref="AE589">
    <cfRule type="cellIs" dxfId="3326" priority="4260" stopIfTrue="1" operator="between">
      <formula>-0.15</formula>
      <formula>-0.0001</formula>
    </cfRule>
  </conditionalFormatting>
  <conditionalFormatting sqref="AE1377">
    <cfRule type="cellIs" dxfId="3325" priority="4286" stopIfTrue="1" operator="between">
      <formula>-0.15</formula>
      <formula>-0.0001</formula>
    </cfRule>
  </conditionalFormatting>
  <conditionalFormatting sqref="AH1377:AI1377">
    <cfRule type="cellIs" dxfId="3324" priority="4285" stopIfTrue="1" operator="between">
      <formula>-0.15</formula>
      <formula>0.005</formula>
    </cfRule>
  </conditionalFormatting>
  <conditionalFormatting sqref="N1422">
    <cfRule type="cellIs" dxfId="3323" priority="4292" stopIfTrue="1" operator="between">
      <formula>-350</formula>
      <formula>-1</formula>
    </cfRule>
  </conditionalFormatting>
  <conditionalFormatting sqref="AE1422">
    <cfRule type="cellIs" dxfId="3322" priority="4294" stopIfTrue="1" operator="between">
      <formula>-0.15</formula>
      <formula>-0.0001</formula>
    </cfRule>
  </conditionalFormatting>
  <conditionalFormatting sqref="AH1422:AI1422">
    <cfRule type="cellIs" dxfId="3321" priority="4293" stopIfTrue="1" operator="between">
      <formula>-0.15</formula>
      <formula>0.005</formula>
    </cfRule>
  </conditionalFormatting>
  <conditionalFormatting sqref="N1421">
    <cfRule type="cellIs" dxfId="3320" priority="4289" stopIfTrue="1" operator="between">
      <formula>-350</formula>
      <formula>-1</formula>
    </cfRule>
  </conditionalFormatting>
  <conditionalFormatting sqref="AE1421">
    <cfRule type="cellIs" dxfId="3319" priority="4291" stopIfTrue="1" operator="between">
      <formula>-0.15</formula>
      <formula>-0.0001</formula>
    </cfRule>
  </conditionalFormatting>
  <conditionalFormatting sqref="AH1421:AI1421">
    <cfRule type="cellIs" dxfId="3318" priority="4290" stopIfTrue="1" operator="between">
      <formula>-0.15</formula>
      <formula>0.005</formula>
    </cfRule>
  </conditionalFormatting>
  <conditionalFormatting sqref="AE1376">
    <cfRule type="cellIs" dxfId="3317" priority="4274" stopIfTrue="1" operator="between">
      <formula>-0.15</formula>
      <formula>-0.0001</formula>
    </cfRule>
  </conditionalFormatting>
  <conditionalFormatting sqref="AH1376:AI1376">
    <cfRule type="cellIs" dxfId="3316" priority="4273" stopIfTrue="1" operator="between">
      <formula>-0.15</formula>
      <formula>0.005</formula>
    </cfRule>
  </conditionalFormatting>
  <conditionalFormatting sqref="AE1375">
    <cfRule type="cellIs" dxfId="3315" priority="4272" stopIfTrue="1" operator="between">
      <formula>-0.15</formula>
      <formula>-0.0001</formula>
    </cfRule>
  </conditionalFormatting>
  <conditionalFormatting sqref="AH1375:AI1375">
    <cfRule type="cellIs" dxfId="3314" priority="4271" stopIfTrue="1" operator="between">
      <formula>-0.15</formula>
      <formula>0.005</formula>
    </cfRule>
  </conditionalFormatting>
  <conditionalFormatting sqref="AE907">
    <cfRule type="cellIs" dxfId="3313" priority="4251" stopIfTrue="1" operator="between">
      <formula>-0.15</formula>
      <formula>-0.0001</formula>
    </cfRule>
  </conditionalFormatting>
  <conditionalFormatting sqref="AH907:AI907">
    <cfRule type="cellIs" dxfId="3312" priority="4250" stopIfTrue="1" operator="between">
      <formula>-0.15</formula>
      <formula>0.005</formula>
    </cfRule>
  </conditionalFormatting>
  <conditionalFormatting sqref="N1375">
    <cfRule type="cellIs" dxfId="3311" priority="4270" stopIfTrue="1" operator="between">
      <formula>-350</formula>
      <formula>-1</formula>
    </cfRule>
  </conditionalFormatting>
  <conditionalFormatting sqref="AE1855">
    <cfRule type="cellIs" dxfId="3310" priority="4244" stopIfTrue="1" operator="between">
      <formula>-0.15</formula>
      <formula>-0.0001</formula>
    </cfRule>
  </conditionalFormatting>
  <conditionalFormatting sqref="AH1855:AI1855">
    <cfRule type="cellIs" dxfId="3309" priority="4243" stopIfTrue="1" operator="between">
      <formula>-0.15</formula>
      <formula>0.005</formula>
    </cfRule>
  </conditionalFormatting>
  <conditionalFormatting sqref="N1855">
    <cfRule type="cellIs" dxfId="3308" priority="4242" stopIfTrue="1" operator="between">
      <formula>-350</formula>
      <formula>-1</formula>
    </cfRule>
  </conditionalFormatting>
  <conditionalFormatting sqref="AE2193:AE2194">
    <cfRule type="cellIs" dxfId="3307" priority="4257" stopIfTrue="1" operator="between">
      <formula>-0.15</formula>
      <formula>-0.0001</formula>
    </cfRule>
  </conditionalFormatting>
  <conditionalFormatting sqref="AH2193:AI2194">
    <cfRule type="cellIs" dxfId="3306" priority="4256" stopIfTrue="1" operator="between">
      <formula>-0.15</formula>
      <formula>0.005</formula>
    </cfRule>
  </conditionalFormatting>
  <conditionalFormatting sqref="N2193">
    <cfRule type="cellIs" dxfId="3305" priority="4255" stopIfTrue="1" operator="between">
      <formula>-350</formula>
      <formula>-1</formula>
    </cfRule>
  </conditionalFormatting>
  <conditionalFormatting sqref="AE910">
    <cfRule type="cellIs" dxfId="3304" priority="4254" stopIfTrue="1" operator="between">
      <formula>-0.15</formula>
      <formula>-0.0001</formula>
    </cfRule>
  </conditionalFormatting>
  <conditionalFormatting sqref="AH910:AI910">
    <cfRule type="cellIs" dxfId="3303" priority="4253" stopIfTrue="1" operator="between">
      <formula>-0.15</formula>
      <formula>0.005</formula>
    </cfRule>
  </conditionalFormatting>
  <conditionalFormatting sqref="N907">
    <cfRule type="cellIs" dxfId="3302" priority="4252" stopIfTrue="1" operator="between">
      <formula>-350</formula>
      <formula>-1</formula>
    </cfRule>
  </conditionalFormatting>
  <conditionalFormatting sqref="AE1876">
    <cfRule type="cellIs" dxfId="3301" priority="4202" stopIfTrue="1" operator="between">
      <formula>-0.15</formula>
      <formula>-0.0001</formula>
    </cfRule>
  </conditionalFormatting>
  <conditionalFormatting sqref="AH1876:AI1876">
    <cfRule type="cellIs" dxfId="3300" priority="4201" stopIfTrue="1" operator="between">
      <formula>-0.15</formula>
      <formula>0.005</formula>
    </cfRule>
  </conditionalFormatting>
  <conditionalFormatting sqref="AE909">
    <cfRule type="cellIs" dxfId="3299" priority="4249" stopIfTrue="1" operator="between">
      <formula>-0.15</formula>
      <formula>-0.0001</formula>
    </cfRule>
  </conditionalFormatting>
  <conditionalFormatting sqref="AH909:AI909">
    <cfRule type="cellIs" dxfId="3298" priority="4248" stopIfTrue="1" operator="between">
      <formula>-0.15</formula>
      <formula>0.005</formula>
    </cfRule>
  </conditionalFormatting>
  <conditionalFormatting sqref="N909">
    <cfRule type="cellIs" dxfId="3297" priority="4247" stopIfTrue="1" operator="between">
      <formula>-350</formula>
      <formula>-1</formula>
    </cfRule>
  </conditionalFormatting>
  <conditionalFormatting sqref="AE1878">
    <cfRule type="cellIs" dxfId="3296" priority="4174" stopIfTrue="1" operator="between">
      <formula>-0.15</formula>
      <formula>-0.0001</formula>
    </cfRule>
  </conditionalFormatting>
  <conditionalFormatting sqref="AH1860:AI1860">
    <cfRule type="cellIs" dxfId="3295" priority="4245" stopIfTrue="1" operator="between">
      <formula>-0.15</formula>
      <formula>0.005</formula>
    </cfRule>
  </conditionalFormatting>
  <conditionalFormatting sqref="AE1859">
    <cfRule type="cellIs" dxfId="3294" priority="4241" stopIfTrue="1" operator="between">
      <formula>-0.15</formula>
      <formula>-0.0001</formula>
    </cfRule>
  </conditionalFormatting>
  <conditionalFormatting sqref="N1878">
    <cfRule type="cellIs" dxfId="3293" priority="4172" stopIfTrue="1" operator="between">
      <formula>-350</formula>
      <formula>-1</formula>
    </cfRule>
  </conditionalFormatting>
  <conditionalFormatting sqref="AE1860">
    <cfRule type="cellIs" dxfId="3292" priority="4246" stopIfTrue="1" operator="between">
      <formula>-0.15</formula>
      <formula>-0.0001</formula>
    </cfRule>
  </conditionalFormatting>
  <conditionalFormatting sqref="AH1878:AI1878">
    <cfRule type="cellIs" dxfId="3291" priority="4173" stopIfTrue="1" operator="between">
      <formula>-0.15</formula>
      <formula>0.005</formula>
    </cfRule>
  </conditionalFormatting>
  <conditionalFormatting sqref="AH1859:AI1859">
    <cfRule type="cellIs" dxfId="3290" priority="4240" stopIfTrue="1" operator="between">
      <formula>-0.15</formula>
      <formula>0.005</formula>
    </cfRule>
  </conditionalFormatting>
  <conditionalFormatting sqref="N1859">
    <cfRule type="cellIs" dxfId="3289" priority="4239" stopIfTrue="1" operator="between">
      <formula>-350</formula>
      <formula>-1</formula>
    </cfRule>
  </conditionalFormatting>
  <conditionalFormatting sqref="AE1869">
    <cfRule type="cellIs" dxfId="3288" priority="4230" stopIfTrue="1" operator="between">
      <formula>-0.15</formula>
      <formula>-0.0001</formula>
    </cfRule>
  </conditionalFormatting>
  <conditionalFormatting sqref="AH1863:AI1863">
    <cfRule type="cellIs" dxfId="3287" priority="4237" stopIfTrue="1" operator="between">
      <formula>-0.15</formula>
      <formula>0.005</formula>
    </cfRule>
  </conditionalFormatting>
  <conditionalFormatting sqref="AE1896">
    <cfRule type="cellIs" dxfId="3286" priority="4222" stopIfTrue="1" operator="between">
      <formula>-0.15</formula>
      <formula>-0.0001</formula>
    </cfRule>
  </conditionalFormatting>
  <conditionalFormatting sqref="N1861">
    <cfRule type="cellIs" dxfId="3285" priority="4234" stopIfTrue="1" operator="between">
      <formula>-350</formula>
      <formula>-1</formula>
    </cfRule>
  </conditionalFormatting>
  <conditionalFormatting sqref="AE1863">
    <cfRule type="cellIs" dxfId="3284" priority="4238" stopIfTrue="1" operator="between">
      <formula>-0.15</formula>
      <formula>-0.0001</formula>
    </cfRule>
  </conditionalFormatting>
  <conditionalFormatting sqref="AH1869:AI1869">
    <cfRule type="cellIs" dxfId="3283" priority="4229" stopIfTrue="1" operator="between">
      <formula>-0.15</formula>
      <formula>0.005</formula>
    </cfRule>
  </conditionalFormatting>
  <conditionalFormatting sqref="AH1896:AI1896">
    <cfRule type="cellIs" dxfId="3282" priority="4221" stopIfTrue="1" operator="between">
      <formula>-0.15</formula>
      <formula>0.005</formula>
    </cfRule>
  </conditionalFormatting>
  <conditionalFormatting sqref="AE1864">
    <cfRule type="cellIs" dxfId="3281" priority="4228" stopIfTrue="1" operator="between">
      <formula>-0.15</formula>
      <formula>-0.0001</formula>
    </cfRule>
  </conditionalFormatting>
  <conditionalFormatting sqref="AH1879:AI1879">
    <cfRule type="cellIs" dxfId="3280" priority="4170" stopIfTrue="1" operator="between">
      <formula>-0.15</formula>
      <formula>0.005</formula>
    </cfRule>
  </conditionalFormatting>
  <conditionalFormatting sqref="AE1868">
    <cfRule type="cellIs" dxfId="3279" priority="4225" stopIfTrue="1" operator="between">
      <formula>-0.15</formula>
      <formula>-0.0001</formula>
    </cfRule>
  </conditionalFormatting>
  <conditionalFormatting sqref="N1864">
    <cfRule type="cellIs" dxfId="3278" priority="4226" stopIfTrue="1" operator="between">
      <formula>-350</formula>
      <formula>-1</formula>
    </cfRule>
  </conditionalFormatting>
  <conditionalFormatting sqref="AE1879">
    <cfRule type="cellIs" dxfId="3277" priority="4171" stopIfTrue="1" operator="between">
      <formula>-0.15</formula>
      <formula>-0.0001</formula>
    </cfRule>
  </conditionalFormatting>
  <conditionalFormatting sqref="AH1864:AI1864">
    <cfRule type="cellIs" dxfId="3276" priority="4227" stopIfTrue="1" operator="between">
      <formula>-0.15</formula>
      <formula>0.005</formula>
    </cfRule>
  </conditionalFormatting>
  <conditionalFormatting sqref="AH1868:AI1868">
    <cfRule type="cellIs" dxfId="3275" priority="4224" stopIfTrue="1" operator="between">
      <formula>-0.15</formula>
      <formula>0.005</formula>
    </cfRule>
  </conditionalFormatting>
  <conditionalFormatting sqref="N1868">
    <cfRule type="cellIs" dxfId="3274" priority="4223" stopIfTrue="1" operator="between">
      <formula>-350</formula>
      <formula>-1</formula>
    </cfRule>
  </conditionalFormatting>
  <conditionalFormatting sqref="AE1887">
    <cfRule type="cellIs" dxfId="3273" priority="4220" stopIfTrue="1" operator="between">
      <formula>-0.15</formula>
      <formula>-0.0001</formula>
    </cfRule>
  </conditionalFormatting>
  <conditionalFormatting sqref="AE1873">
    <cfRule type="cellIs" dxfId="3272" priority="4200" stopIfTrue="1" operator="between">
      <formula>-0.15</formula>
      <formula>-0.0001</formula>
    </cfRule>
  </conditionalFormatting>
  <conditionalFormatting sqref="N1887">
    <cfRule type="cellIs" dxfId="3271" priority="4218" stopIfTrue="1" operator="between">
      <formula>-350</formula>
      <formula>-1</formula>
    </cfRule>
  </conditionalFormatting>
  <conditionalFormatting sqref="AH1887:AI1887">
    <cfRule type="cellIs" dxfId="3270" priority="4219" stopIfTrue="1" operator="between">
      <formula>-0.15</formula>
      <formula>0.005</formula>
    </cfRule>
  </conditionalFormatting>
  <conditionalFormatting sqref="AH1873:AI1873">
    <cfRule type="cellIs" dxfId="3269" priority="4199" stopIfTrue="1" operator="between">
      <formula>-0.15</formula>
      <formula>0.005</formula>
    </cfRule>
  </conditionalFormatting>
  <conditionalFormatting sqref="N1873">
    <cfRule type="cellIs" dxfId="3268" priority="4198" stopIfTrue="1" operator="between">
      <formula>-350</formula>
      <formula>-1</formula>
    </cfRule>
  </conditionalFormatting>
  <conditionalFormatting sqref="AE1895">
    <cfRule type="cellIs" dxfId="3267" priority="4211" stopIfTrue="1" operator="between">
      <formula>-0.15</formula>
      <formula>-0.0001</formula>
    </cfRule>
  </conditionalFormatting>
  <conditionalFormatting sqref="AH1895:AI1895">
    <cfRule type="cellIs" dxfId="3266" priority="4210" stopIfTrue="1" operator="between">
      <formula>-0.15</formula>
      <formula>0.005</formula>
    </cfRule>
  </conditionalFormatting>
  <conditionalFormatting sqref="N1895">
    <cfRule type="cellIs" dxfId="3265" priority="4209" stopIfTrue="1" operator="between">
      <formula>-350</formula>
      <formula>-1</formula>
    </cfRule>
  </conditionalFormatting>
  <conditionalFormatting sqref="AE1889">
    <cfRule type="cellIs" dxfId="3264" priority="4208" stopIfTrue="1" operator="between">
      <formula>-0.15</formula>
      <formula>-0.0001</formula>
    </cfRule>
  </conditionalFormatting>
  <conditionalFormatting sqref="AH1889:AI1889">
    <cfRule type="cellIs" dxfId="3263" priority="4207" stopIfTrue="1" operator="between">
      <formula>-0.15</formula>
      <formula>0.005</formula>
    </cfRule>
  </conditionalFormatting>
  <conditionalFormatting sqref="N1889">
    <cfRule type="cellIs" dxfId="3262" priority="4206" stopIfTrue="1" operator="between">
      <formula>-350</formula>
      <formula>-1</formula>
    </cfRule>
  </conditionalFormatting>
  <conditionalFormatting sqref="AE1890">
    <cfRule type="cellIs" dxfId="3261" priority="4205" stopIfTrue="1" operator="between">
      <formula>-0.15</formula>
      <formula>-0.0001</formula>
    </cfRule>
  </conditionalFormatting>
  <conditionalFormatting sqref="AH1890:AI1890">
    <cfRule type="cellIs" dxfId="3260" priority="4204" stopIfTrue="1" operator="between">
      <formula>-0.15</formula>
      <formula>0.005</formula>
    </cfRule>
  </conditionalFormatting>
  <conditionalFormatting sqref="N1890">
    <cfRule type="cellIs" dxfId="3259" priority="4203" stopIfTrue="1" operator="between">
      <formula>-350</formula>
      <formula>-1</formula>
    </cfRule>
  </conditionalFormatting>
  <conditionalFormatting sqref="AE1877">
    <cfRule type="cellIs" dxfId="3258" priority="4180" stopIfTrue="1" operator="between">
      <formula>-0.15</formula>
      <formula>-0.0001</formula>
    </cfRule>
  </conditionalFormatting>
  <conditionalFormatting sqref="AE1874">
    <cfRule type="cellIs" dxfId="3257" priority="4188" stopIfTrue="1" operator="between">
      <formula>-0.15</formula>
      <formula>-0.0001</formula>
    </cfRule>
  </conditionalFormatting>
  <conditionalFormatting sqref="N1877">
    <cfRule type="cellIs" dxfId="3256" priority="4178" stopIfTrue="1" operator="between">
      <formula>-350</formula>
      <formula>-1</formula>
    </cfRule>
  </conditionalFormatting>
  <conditionalFormatting sqref="AH1877:AI1877">
    <cfRule type="cellIs" dxfId="3255" priority="4179" stopIfTrue="1" operator="between">
      <formula>-0.15</formula>
      <formula>0.005</formula>
    </cfRule>
  </conditionalFormatting>
  <conditionalFormatting sqref="AH1874:AI1874">
    <cfRule type="cellIs" dxfId="3254" priority="4187" stopIfTrue="1" operator="between">
      <formula>-0.15</formula>
      <formula>0.005</formula>
    </cfRule>
  </conditionalFormatting>
  <conditionalFormatting sqref="N1874">
    <cfRule type="cellIs" dxfId="3253" priority="4186" stopIfTrue="1" operator="between">
      <formula>-350</formula>
      <formula>-1</formula>
    </cfRule>
  </conditionalFormatting>
  <conditionalFormatting sqref="AE1891">
    <cfRule type="cellIs" dxfId="3252" priority="4165" stopIfTrue="1" operator="between">
      <formula>-0.15</formula>
      <formula>-0.0001</formula>
    </cfRule>
  </conditionalFormatting>
  <conditionalFormatting sqref="AH1891:AI1891">
    <cfRule type="cellIs" dxfId="3251" priority="4164" stopIfTrue="1" operator="between">
      <formula>-0.15</formula>
      <formula>0.005</formula>
    </cfRule>
  </conditionalFormatting>
  <conditionalFormatting sqref="N1891">
    <cfRule type="cellIs" dxfId="3250" priority="4163" stopIfTrue="1" operator="between">
      <formula>-350</formula>
      <formula>-1</formula>
    </cfRule>
  </conditionalFormatting>
  <conditionalFormatting sqref="AE1894">
    <cfRule type="cellIs" dxfId="3249" priority="4162" stopIfTrue="1" operator="between">
      <formula>-0.15</formula>
      <formula>-0.0001</formula>
    </cfRule>
  </conditionalFormatting>
  <conditionalFormatting sqref="AH1894:AI1894">
    <cfRule type="cellIs" dxfId="3248" priority="4161" stopIfTrue="1" operator="between">
      <formula>-0.15</formula>
      <formula>0.005</formula>
    </cfRule>
  </conditionalFormatting>
  <conditionalFormatting sqref="N1894">
    <cfRule type="cellIs" dxfId="3247" priority="4160" stopIfTrue="1" operator="between">
      <formula>-350</formula>
      <formula>-1</formula>
    </cfRule>
  </conditionalFormatting>
  <conditionalFormatting sqref="AE1875">
    <cfRule type="cellIs" dxfId="3246" priority="4185" stopIfTrue="1" operator="between">
      <formula>-0.15</formula>
      <formula>-0.0001</formula>
    </cfRule>
  </conditionalFormatting>
  <conditionalFormatting sqref="AH1875:AI1875">
    <cfRule type="cellIs" dxfId="3245" priority="4184" stopIfTrue="1" operator="between">
      <formula>-0.15</formula>
      <formula>0.005</formula>
    </cfRule>
  </conditionalFormatting>
  <conditionalFormatting sqref="N1875">
    <cfRule type="cellIs" dxfId="3244" priority="4183" stopIfTrue="1" operator="between">
      <formula>-350</formula>
      <formula>-1</formula>
    </cfRule>
  </conditionalFormatting>
  <conditionalFormatting sqref="AH1880:AI1880">
    <cfRule type="cellIs" dxfId="3243" priority="4181" stopIfTrue="1" operator="between">
      <formula>-0.15</formula>
      <formula>0.005</formula>
    </cfRule>
  </conditionalFormatting>
  <conditionalFormatting sqref="AE1880">
    <cfRule type="cellIs" dxfId="3242" priority="4182" stopIfTrue="1" operator="between">
      <formula>-0.15</formula>
      <formula>-0.0001</formula>
    </cfRule>
  </conditionalFormatting>
  <conditionalFormatting sqref="N1879">
    <cfRule type="cellIs" dxfId="3241" priority="4169" stopIfTrue="1" operator="between">
      <formula>-350</formula>
      <formula>-1</formula>
    </cfRule>
  </conditionalFormatting>
  <conditionalFormatting sqref="AE1888">
    <cfRule type="cellIs" dxfId="3240" priority="4168" stopIfTrue="1" operator="between">
      <formula>-0.15</formula>
      <formula>-0.0001</formula>
    </cfRule>
  </conditionalFormatting>
  <conditionalFormatting sqref="AH1888:AI1888">
    <cfRule type="cellIs" dxfId="3239" priority="4167" stopIfTrue="1" operator="between">
      <formula>-0.15</formula>
      <formula>0.005</formula>
    </cfRule>
  </conditionalFormatting>
  <conditionalFormatting sqref="N1888">
    <cfRule type="cellIs" dxfId="3238" priority="4166" stopIfTrue="1" operator="between">
      <formula>-350</formula>
      <formula>-1</formula>
    </cfRule>
  </conditionalFormatting>
  <conditionalFormatting sqref="AE1892">
    <cfRule type="cellIs" dxfId="3237" priority="4159" stopIfTrue="1" operator="between">
      <formula>-0.15</formula>
      <formula>-0.0001</formula>
    </cfRule>
  </conditionalFormatting>
  <conditionalFormatting sqref="AH1892:AI1892">
    <cfRule type="cellIs" dxfId="3236" priority="4158" stopIfTrue="1" operator="between">
      <formula>-0.15</formula>
      <formula>0.005</formula>
    </cfRule>
  </conditionalFormatting>
  <conditionalFormatting sqref="N1892">
    <cfRule type="cellIs" dxfId="3235" priority="4157" stopIfTrue="1" operator="between">
      <formula>-350</formula>
      <formula>-1</formula>
    </cfRule>
  </conditionalFormatting>
  <conditionalFormatting sqref="AE1881">
    <cfRule type="cellIs" dxfId="3234" priority="4154" stopIfTrue="1" operator="between">
      <formula>-0.15</formula>
      <formula>-0.0001</formula>
    </cfRule>
  </conditionalFormatting>
  <conditionalFormatting sqref="AH1886:AI1886">
    <cfRule type="cellIs" dxfId="3233" priority="4155" stopIfTrue="1" operator="between">
      <formula>-0.15</formula>
      <formula>0.005</formula>
    </cfRule>
  </conditionalFormatting>
  <conditionalFormatting sqref="N1881">
    <cfRule type="cellIs" dxfId="3232" priority="4152" stopIfTrue="1" operator="between">
      <formula>-350</formula>
      <formula>-1</formula>
    </cfRule>
  </conditionalFormatting>
  <conditionalFormatting sqref="AE1886">
    <cfRule type="cellIs" dxfId="3231" priority="4156" stopIfTrue="1" operator="between">
      <formula>-0.15</formula>
      <formula>-0.0001</formula>
    </cfRule>
  </conditionalFormatting>
  <conditionalFormatting sqref="AH1881:AI1881">
    <cfRule type="cellIs" dxfId="3230" priority="4153" stopIfTrue="1" operator="between">
      <formula>-0.15</formula>
      <formula>0.005</formula>
    </cfRule>
  </conditionalFormatting>
  <conditionalFormatting sqref="AE1883">
    <cfRule type="cellIs" dxfId="3229" priority="4148" stopIfTrue="1" operator="between">
      <formula>-0.15</formula>
      <formula>-0.0001</formula>
    </cfRule>
  </conditionalFormatting>
  <conditionalFormatting sqref="AH1883:AI1883">
    <cfRule type="cellIs" dxfId="3228" priority="4147" stopIfTrue="1" operator="between">
      <formula>-0.15</formula>
      <formula>0.005</formula>
    </cfRule>
  </conditionalFormatting>
  <conditionalFormatting sqref="N1883">
    <cfRule type="cellIs" dxfId="3227" priority="4146" stopIfTrue="1" operator="between">
      <formula>-350</formula>
      <formula>-1</formula>
    </cfRule>
  </conditionalFormatting>
  <conditionalFormatting sqref="AE1884">
    <cfRule type="cellIs" dxfId="3226" priority="4145" stopIfTrue="1" operator="between">
      <formula>-0.15</formula>
      <formula>-0.0001</formula>
    </cfRule>
  </conditionalFormatting>
  <conditionalFormatting sqref="AH1884:AI1884">
    <cfRule type="cellIs" dxfId="3225" priority="4144" stopIfTrue="1" operator="between">
      <formula>-0.15</formula>
      <formula>0.005</formula>
    </cfRule>
  </conditionalFormatting>
  <conditionalFormatting sqref="N1884">
    <cfRule type="cellIs" dxfId="3224" priority="4143" stopIfTrue="1" operator="between">
      <formula>-350</formula>
      <formula>-1</formula>
    </cfRule>
  </conditionalFormatting>
  <conditionalFormatting sqref="AE1882">
    <cfRule type="cellIs" dxfId="3223" priority="4142" stopIfTrue="1" operator="between">
      <formula>-0.15</formula>
      <formula>-0.0001</formula>
    </cfRule>
  </conditionalFormatting>
  <conditionalFormatting sqref="AH1882:AI1882">
    <cfRule type="cellIs" dxfId="3222" priority="4141" stopIfTrue="1" operator="between">
      <formula>-0.15</formula>
      <formula>0.005</formula>
    </cfRule>
  </conditionalFormatting>
  <conditionalFormatting sqref="N1882">
    <cfRule type="cellIs" dxfId="3221" priority="4140" stopIfTrue="1" operator="between">
      <formula>-350</formula>
      <formula>-1</formula>
    </cfRule>
  </conditionalFormatting>
  <conditionalFormatting sqref="AE1885">
    <cfRule type="cellIs" dxfId="3220" priority="4139" stopIfTrue="1" operator="between">
      <formula>-0.15</formula>
      <formula>-0.0001</formula>
    </cfRule>
  </conditionalFormatting>
  <conditionalFormatting sqref="AH1885:AI1885">
    <cfRule type="cellIs" dxfId="3219" priority="4138" stopIfTrue="1" operator="between">
      <formula>-0.15</formula>
      <formula>0.005</formula>
    </cfRule>
  </conditionalFormatting>
  <conditionalFormatting sqref="N1885">
    <cfRule type="cellIs" dxfId="3218" priority="4137" stopIfTrue="1" operator="between">
      <formula>-350</formula>
      <formula>-1</formula>
    </cfRule>
  </conditionalFormatting>
  <conditionalFormatting sqref="AE1893">
    <cfRule type="cellIs" dxfId="3217" priority="4130" stopIfTrue="1" operator="between">
      <formula>-0.15</formula>
      <formula>-0.0001</formula>
    </cfRule>
  </conditionalFormatting>
  <conditionalFormatting sqref="AH1893:AI1893">
    <cfRule type="cellIs" dxfId="3216" priority="4129" stopIfTrue="1" operator="between">
      <formula>-0.15</formula>
      <formula>0.005</formula>
    </cfRule>
  </conditionalFormatting>
  <conditionalFormatting sqref="N1893">
    <cfRule type="cellIs" dxfId="3215" priority="4128" stopIfTrue="1" operator="between">
      <formula>-350</formula>
      <formula>-1</formula>
    </cfRule>
  </conditionalFormatting>
  <conditionalFormatting sqref="AE2120">
    <cfRule type="cellIs" dxfId="3214" priority="4125" stopIfTrue="1" operator="between">
      <formula>-0.15</formula>
      <formula>-0.0001</formula>
    </cfRule>
  </conditionalFormatting>
  <conditionalFormatting sqref="AH2122:AI2122">
    <cfRule type="cellIs" dxfId="3213" priority="4126" stopIfTrue="1" operator="between">
      <formula>-0.15</formula>
      <formula>0.005</formula>
    </cfRule>
  </conditionalFormatting>
  <conditionalFormatting sqref="AE1910">
    <cfRule type="cellIs" dxfId="3212" priority="4114" stopIfTrue="1" operator="between">
      <formula>-0.15</formula>
      <formula>-0.0001</formula>
    </cfRule>
  </conditionalFormatting>
  <conditionalFormatting sqref="N2120">
    <cfRule type="cellIs" dxfId="3211" priority="4123" stopIfTrue="1" operator="between">
      <formula>-350</formula>
      <formula>-1</formula>
    </cfRule>
  </conditionalFormatting>
  <conditionalFormatting sqref="AE2122">
    <cfRule type="cellIs" dxfId="3210" priority="4127" stopIfTrue="1" operator="between">
      <formula>-0.15</formula>
      <formula>-0.0001</formula>
    </cfRule>
  </conditionalFormatting>
  <conditionalFormatting sqref="AH2120:AI2120">
    <cfRule type="cellIs" dxfId="3209" priority="4124" stopIfTrue="1" operator="between">
      <formula>-0.15</formula>
      <formula>0.005</formula>
    </cfRule>
  </conditionalFormatting>
  <conditionalFormatting sqref="AH1910:AI1910">
    <cfRule type="cellIs" dxfId="3208" priority="4113" stopIfTrue="1" operator="between">
      <formula>-0.15</formula>
      <formula>0.005</formula>
    </cfRule>
  </conditionalFormatting>
  <conditionalFormatting sqref="N1910">
    <cfRule type="cellIs" dxfId="3207" priority="4112" stopIfTrue="1" operator="between">
      <formula>-350</formula>
      <formula>-1</formula>
    </cfRule>
  </conditionalFormatting>
  <conditionalFormatting sqref="AE1908">
    <cfRule type="cellIs" dxfId="3206" priority="4117" stopIfTrue="1" operator="between">
      <formula>-0.15</formula>
      <formula>-0.0001</formula>
    </cfRule>
  </conditionalFormatting>
  <conditionalFormatting sqref="AH1911:AI1911">
    <cfRule type="cellIs" dxfId="3205" priority="4118" stopIfTrue="1" operator="between">
      <formula>-0.15</formula>
      <formula>0.005</formula>
    </cfRule>
  </conditionalFormatting>
  <conditionalFormatting sqref="AE1899">
    <cfRule type="cellIs" dxfId="3204" priority="4103" stopIfTrue="1" operator="between">
      <formula>-0.15</formula>
      <formula>-0.0001</formula>
    </cfRule>
  </conditionalFormatting>
  <conditionalFormatting sqref="N1908">
    <cfRule type="cellIs" dxfId="3203" priority="4115" stopIfTrue="1" operator="between">
      <formula>-350</formula>
      <formula>-1</formula>
    </cfRule>
  </conditionalFormatting>
  <conditionalFormatting sqref="AE1911">
    <cfRule type="cellIs" dxfId="3202" priority="4119" stopIfTrue="1" operator="between">
      <formula>-0.15</formula>
      <formula>-0.0001</formula>
    </cfRule>
  </conditionalFormatting>
  <conditionalFormatting sqref="AH1908:AI1908">
    <cfRule type="cellIs" dxfId="3201" priority="4116" stopIfTrue="1" operator="between">
      <formula>-0.15</formula>
      <formula>0.005</formula>
    </cfRule>
  </conditionalFormatting>
  <conditionalFormatting sqref="AH1899:AI1899">
    <cfRule type="cellIs" dxfId="3200" priority="4102" stopIfTrue="1" operator="between">
      <formula>-0.15</formula>
      <formula>0.005</formula>
    </cfRule>
  </conditionalFormatting>
  <conditionalFormatting sqref="N1154">
    <cfRule type="cellIs" dxfId="3199" priority="4095" stopIfTrue="1" operator="between">
      <formula>-350</formula>
      <formula>-1</formula>
    </cfRule>
  </conditionalFormatting>
  <conditionalFormatting sqref="AE1905">
    <cfRule type="cellIs" dxfId="3198" priority="4109" stopIfTrue="1" operator="between">
      <formula>-0.15</formula>
      <formula>-0.0001</formula>
    </cfRule>
  </conditionalFormatting>
  <conditionalFormatting sqref="AH1907:AI1907">
    <cfRule type="cellIs" dxfId="3197" priority="4110" stopIfTrue="1" operator="between">
      <formula>-0.15</formula>
      <formula>0.005</formula>
    </cfRule>
  </conditionalFormatting>
  <conditionalFormatting sqref="AE394">
    <cfRule type="cellIs" dxfId="3196" priority="4089" stopIfTrue="1" operator="between">
      <formula>-0.15</formula>
      <formula>-0.0001</formula>
    </cfRule>
  </conditionalFormatting>
  <conditionalFormatting sqref="N1905">
    <cfRule type="cellIs" dxfId="3195" priority="4107" stopIfTrue="1" operator="between">
      <formula>-350</formula>
      <formula>-1</formula>
    </cfRule>
  </conditionalFormatting>
  <conditionalFormatting sqref="AE1907">
    <cfRule type="cellIs" dxfId="3194" priority="4111" stopIfTrue="1" operator="between">
      <formula>-0.15</formula>
      <formula>-0.0001</formula>
    </cfRule>
  </conditionalFormatting>
  <conditionalFormatting sqref="AH1905:AI1905">
    <cfRule type="cellIs" dxfId="3193" priority="4108" stopIfTrue="1" operator="between">
      <formula>-0.15</formula>
      <formula>0.005</formula>
    </cfRule>
  </conditionalFormatting>
  <conditionalFormatting sqref="AH394:AI394">
    <cfRule type="cellIs" dxfId="3192" priority="4088" stopIfTrue="1" operator="between">
      <formula>-0.15</formula>
      <formula>0.005</formula>
    </cfRule>
  </conditionalFormatting>
  <conditionalFormatting sqref="N397">
    <cfRule type="cellIs" dxfId="3191" priority="4087" stopIfTrue="1" operator="between">
      <formula>-350</formula>
      <formula>-1</formula>
    </cfRule>
  </conditionalFormatting>
  <conditionalFormatting sqref="AE1897">
    <cfRule type="cellIs" dxfId="3190" priority="4101" stopIfTrue="1" operator="between">
      <formula>-0.15</formula>
      <formula>-0.0001</formula>
    </cfRule>
  </conditionalFormatting>
  <conditionalFormatting sqref="AH396:AI396">
    <cfRule type="cellIs" dxfId="3189" priority="4079" stopIfTrue="1" operator="between">
      <formula>-0.15</formula>
      <formula>0.005</formula>
    </cfRule>
  </conditionalFormatting>
  <conditionalFormatting sqref="AE1898">
    <cfRule type="cellIs" dxfId="3188" priority="4098" stopIfTrue="1" operator="between">
      <formula>-0.15</formula>
      <formula>-0.0001</formula>
    </cfRule>
  </conditionalFormatting>
  <conditionalFormatting sqref="N1897">
    <cfRule type="cellIs" dxfId="3187" priority="4099" stopIfTrue="1" operator="between">
      <formula>-350</formula>
      <formula>-1</formula>
    </cfRule>
  </conditionalFormatting>
  <conditionalFormatting sqref="AE396">
    <cfRule type="cellIs" dxfId="3186" priority="4080" stopIfTrue="1" operator="between">
      <formula>-0.15</formula>
      <formula>-0.0001</formula>
    </cfRule>
  </conditionalFormatting>
  <conditionalFormatting sqref="AH1897:AI1897">
    <cfRule type="cellIs" dxfId="3185" priority="4100" stopIfTrue="1" operator="between">
      <formula>-0.15</formula>
      <formula>0.005</formula>
    </cfRule>
  </conditionalFormatting>
  <conditionalFormatting sqref="AH1898:AI1898">
    <cfRule type="cellIs" dxfId="3184" priority="4097" stopIfTrue="1" operator="between">
      <formula>-0.15</formula>
      <formula>0.005</formula>
    </cfRule>
  </conditionalFormatting>
  <conditionalFormatting sqref="N1898">
    <cfRule type="cellIs" dxfId="3183" priority="4096" stopIfTrue="1" operator="between">
      <formula>-350</formula>
      <formula>-1</formula>
    </cfRule>
  </conditionalFormatting>
  <conditionalFormatting sqref="AH1154:AI1154">
    <cfRule type="cellIs" dxfId="3182" priority="4093" stopIfTrue="1" operator="between">
      <formula>-0.15</formula>
      <formula>0.005</formula>
    </cfRule>
  </conditionalFormatting>
  <conditionalFormatting sqref="N1371">
    <cfRule type="cellIs" dxfId="3181" priority="4039" stopIfTrue="1" operator="between">
      <formula>-350</formula>
      <formula>-1</formula>
    </cfRule>
  </conditionalFormatting>
  <conditionalFormatting sqref="AE1154">
    <cfRule type="cellIs" dxfId="3180" priority="4094" stopIfTrue="1" operator="between">
      <formula>-0.15</formula>
      <formula>-0.0001</formula>
    </cfRule>
  </conditionalFormatting>
  <conditionalFormatting sqref="AE397">
    <cfRule type="cellIs" dxfId="3179" priority="4086" stopIfTrue="1" operator="between">
      <formula>-0.15</formula>
      <formula>-0.0001</formula>
    </cfRule>
  </conditionalFormatting>
  <conditionalFormatting sqref="AH397:AI397">
    <cfRule type="cellIs" dxfId="3178" priority="4085" stopIfTrue="1" operator="between">
      <formula>-0.15</formula>
      <formula>0.005</formula>
    </cfRule>
  </conditionalFormatting>
  <conditionalFormatting sqref="N133">
    <cfRule type="cellIs" dxfId="3177" priority="3969" stopIfTrue="1" operator="between">
      <formula>-350</formula>
      <formula>-1</formula>
    </cfRule>
  </conditionalFormatting>
  <conditionalFormatting sqref="AE398">
    <cfRule type="cellIs" dxfId="3176" priority="4092" stopIfTrue="1" operator="between">
      <formula>-0.15</formula>
      <formula>-0.0001</formula>
    </cfRule>
  </conditionalFormatting>
  <conditionalFormatting sqref="AH398:AI398">
    <cfRule type="cellIs" dxfId="3175" priority="4091" stopIfTrue="1" operator="between">
      <formula>-0.15</formula>
      <formula>0.005</formula>
    </cfRule>
  </conditionalFormatting>
  <conditionalFormatting sqref="N394">
    <cfRule type="cellIs" dxfId="3174" priority="4090" stopIfTrue="1" operator="between">
      <formula>-350</formula>
      <formula>-1</formula>
    </cfRule>
  </conditionalFormatting>
  <conditionalFormatting sqref="AE1372">
    <cfRule type="cellIs" dxfId="3173" priority="4043" stopIfTrue="1" operator="between">
      <formula>-0.15</formula>
      <formula>-0.0001</formula>
    </cfRule>
  </conditionalFormatting>
  <conditionalFormatting sqref="AH1372:AI1372">
    <cfRule type="cellIs" dxfId="3172" priority="4042" stopIfTrue="1" operator="between">
      <formula>-0.15</formula>
      <formula>0.005</formula>
    </cfRule>
  </conditionalFormatting>
  <conditionalFormatting sqref="N396">
    <cfRule type="cellIs" dxfId="3171" priority="4081" stopIfTrue="1" operator="between">
      <formula>-350</formula>
      <formula>-1</formula>
    </cfRule>
  </conditionalFormatting>
  <conditionalFormatting sqref="N395">
    <cfRule type="cellIs" dxfId="3170" priority="4084" stopIfTrue="1" operator="between">
      <formula>-350</formula>
      <formula>-1</formula>
    </cfRule>
  </conditionalFormatting>
  <conditionalFormatting sqref="AE395">
    <cfRule type="cellIs" dxfId="3169" priority="4083" stopIfTrue="1" operator="between">
      <formula>-0.15</formula>
      <formula>-0.0001</formula>
    </cfRule>
  </conditionalFormatting>
  <conditionalFormatting sqref="AH395:AI395">
    <cfRule type="cellIs" dxfId="3168" priority="4082" stopIfTrue="1" operator="between">
      <formula>-0.15</formula>
      <formula>0.005</formula>
    </cfRule>
  </conditionalFormatting>
  <conditionalFormatting sqref="AE1371">
    <cfRule type="cellIs" dxfId="3167" priority="4041" stopIfTrue="1" operator="between">
      <formula>-0.15</formula>
      <formula>-0.0001</formula>
    </cfRule>
  </conditionalFormatting>
  <conditionalFormatting sqref="AH1371:AI1371">
    <cfRule type="cellIs" dxfId="3166" priority="4040" stopIfTrue="1" operator="between">
      <formula>-0.15</formula>
      <formula>0.005</formula>
    </cfRule>
  </conditionalFormatting>
  <conditionalFormatting sqref="AE542">
    <cfRule type="cellIs" dxfId="3165" priority="4078" stopIfTrue="1" operator="between">
      <formula>-0.15</formula>
      <formula>-0.0001</formula>
    </cfRule>
  </conditionalFormatting>
  <conditionalFormatting sqref="AH542:AI542">
    <cfRule type="cellIs" dxfId="3164" priority="4077" stopIfTrue="1" operator="between">
      <formula>-0.15</formula>
      <formula>0.005</formula>
    </cfRule>
  </conditionalFormatting>
  <conditionalFormatting sqref="N542">
    <cfRule type="cellIs" dxfId="3163" priority="4076" stopIfTrue="1" operator="between">
      <formula>-350</formula>
      <formula>-1</formula>
    </cfRule>
  </conditionalFormatting>
  <conditionalFormatting sqref="AE489">
    <cfRule type="cellIs" dxfId="3162" priority="4075" stopIfTrue="1" operator="between">
      <formula>-0.15</formula>
      <formula>-0.0001</formula>
    </cfRule>
  </conditionalFormatting>
  <conditionalFormatting sqref="AH489:AI489">
    <cfRule type="cellIs" dxfId="3161" priority="4074" stopIfTrue="1" operator="between">
      <formula>-0.15</formula>
      <formula>0.005</formula>
    </cfRule>
  </conditionalFormatting>
  <conditionalFormatting sqref="N489">
    <cfRule type="cellIs" dxfId="3160" priority="4073" stopIfTrue="1" operator="between">
      <formula>-350</formula>
      <formula>-1</formula>
    </cfRule>
  </conditionalFormatting>
  <conditionalFormatting sqref="AE539">
    <cfRule type="cellIs" dxfId="3159" priority="4060" stopIfTrue="1" operator="between">
      <formula>-0.15</formula>
      <formula>-0.0001</formula>
    </cfRule>
  </conditionalFormatting>
  <conditionalFormatting sqref="AH539:AI539">
    <cfRule type="cellIs" dxfId="3158" priority="4059" stopIfTrue="1" operator="between">
      <formula>-0.15</formula>
      <formula>0.005</formula>
    </cfRule>
  </conditionalFormatting>
  <conditionalFormatting sqref="N539">
    <cfRule type="cellIs" dxfId="3157" priority="4058" stopIfTrue="1" operator="between">
      <formula>-350</formula>
      <formula>-1</formula>
    </cfRule>
  </conditionalFormatting>
  <conditionalFormatting sqref="AE151">
    <cfRule type="cellIs" dxfId="3156" priority="3892" stopIfTrue="1" operator="between">
      <formula>-0.15</formula>
      <formula>-0.0001</formula>
    </cfRule>
  </conditionalFormatting>
  <conditionalFormatting sqref="AH132:AI132">
    <cfRule type="cellIs" dxfId="3155" priority="3980" stopIfTrue="1" operator="between">
      <formula>-0.15</formula>
      <formula>0.005</formula>
    </cfRule>
  </conditionalFormatting>
  <conditionalFormatting sqref="AE573">
    <cfRule type="cellIs" dxfId="3154" priority="4054" stopIfTrue="1" operator="between">
      <formula>-0.15</formula>
      <formula>-0.0001</formula>
    </cfRule>
  </conditionalFormatting>
  <conditionalFormatting sqref="AH573:AI573">
    <cfRule type="cellIs" dxfId="3153" priority="4053" stopIfTrue="1" operator="between">
      <formula>-0.15</formula>
      <formula>0.005</formula>
    </cfRule>
  </conditionalFormatting>
  <conditionalFormatting sqref="N573">
    <cfRule type="cellIs" dxfId="3152" priority="4052" stopIfTrue="1" operator="between">
      <formula>-350</formula>
      <formula>-1</formula>
    </cfRule>
  </conditionalFormatting>
  <conditionalFormatting sqref="AE1283">
    <cfRule type="cellIs" dxfId="3151" priority="4051" stopIfTrue="1" operator="between">
      <formula>-0.15</formula>
      <formula>-0.0001</formula>
    </cfRule>
  </conditionalFormatting>
  <conditionalFormatting sqref="AH1283:AI1283">
    <cfRule type="cellIs" dxfId="3150" priority="4050" stopIfTrue="1" operator="between">
      <formula>-0.15</formula>
      <formula>0.005</formula>
    </cfRule>
  </conditionalFormatting>
  <conditionalFormatting sqref="AE1275">
    <cfRule type="cellIs" dxfId="3149" priority="4049" stopIfTrue="1" operator="between">
      <formula>-0.15</formula>
      <formula>-0.0001</formula>
    </cfRule>
  </conditionalFormatting>
  <conditionalFormatting sqref="AH1275:AI1275">
    <cfRule type="cellIs" dxfId="3148" priority="4048" stopIfTrue="1" operator="between">
      <formula>-0.15</formula>
      <formula>0.005</formula>
    </cfRule>
  </conditionalFormatting>
  <conditionalFormatting sqref="AE132">
    <cfRule type="cellIs" dxfId="3147" priority="3982" stopIfTrue="1" operator="between">
      <formula>-0.15</formula>
      <formula>-0.0001</formula>
    </cfRule>
  </conditionalFormatting>
  <conditionalFormatting sqref="AH144:AI144">
    <cfRule type="cellIs" dxfId="3146" priority="3995" stopIfTrue="1" operator="between">
      <formula>-0.15</formula>
      <formula>0.005</formula>
    </cfRule>
  </conditionalFormatting>
  <conditionalFormatting sqref="AE23">
    <cfRule type="cellIs" dxfId="3145" priority="4035" stopIfTrue="1" operator="between">
      <formula>-0.15</formula>
      <formula>-0.0001</formula>
    </cfRule>
  </conditionalFormatting>
  <conditionalFormatting sqref="AH23:AI23">
    <cfRule type="cellIs" dxfId="3144" priority="4034" stopIfTrue="1" operator="between">
      <formula>-0.15</formula>
      <formula>0.005</formula>
    </cfRule>
  </conditionalFormatting>
  <conditionalFormatting sqref="N22">
    <cfRule type="cellIs" dxfId="3143" priority="4033" stopIfTrue="1" operator="between">
      <formula>-350</formula>
      <formula>-1</formula>
    </cfRule>
  </conditionalFormatting>
  <conditionalFormatting sqref="AE33">
    <cfRule type="cellIs" dxfId="3142" priority="4029" stopIfTrue="1" operator="between">
      <formula>-0.15</formula>
      <formula>-0.0001</formula>
    </cfRule>
  </conditionalFormatting>
  <conditionalFormatting sqref="AH33:AI33">
    <cfRule type="cellIs" dxfId="3141" priority="4028" stopIfTrue="1" operator="between">
      <formula>-0.15</formula>
      <formula>0.005</formula>
    </cfRule>
  </conditionalFormatting>
  <conditionalFormatting sqref="AE22">
    <cfRule type="cellIs" dxfId="3140" priority="4032" stopIfTrue="1" operator="between">
      <formula>-0.15</formula>
      <formula>-0.0001</formula>
    </cfRule>
  </conditionalFormatting>
  <conditionalFormatting sqref="AH22:AI22">
    <cfRule type="cellIs" dxfId="3139" priority="4031" stopIfTrue="1" operator="between">
      <formula>-0.15</formula>
      <formula>0.005</formula>
    </cfRule>
  </conditionalFormatting>
  <conditionalFormatting sqref="AE133">
    <cfRule type="cellIs" dxfId="3138" priority="3970" stopIfTrue="1" operator="between">
      <formula>-0.15</formula>
      <formula>-0.0001</formula>
    </cfRule>
  </conditionalFormatting>
  <conditionalFormatting sqref="AH99:AI99">
    <cfRule type="cellIs" dxfId="3137" priority="3956" stopIfTrue="1" operator="between">
      <formula>-0.15</formula>
      <formula>0.005</formula>
    </cfRule>
  </conditionalFormatting>
  <conditionalFormatting sqref="N98">
    <cfRule type="cellIs" dxfId="3136" priority="3960" stopIfTrue="1" operator="between">
      <formula>-350</formula>
      <formula>-1</formula>
    </cfRule>
  </conditionalFormatting>
  <conditionalFormatting sqref="AH98:AI98">
    <cfRule type="cellIs" dxfId="3135" priority="3959" stopIfTrue="1" operator="between">
      <formula>-0.15</formula>
      <formula>0.005</formula>
    </cfRule>
  </conditionalFormatting>
  <conditionalFormatting sqref="N33">
    <cfRule type="cellIs" dxfId="3134" priority="4030" stopIfTrue="1" operator="between">
      <formula>-350</formula>
      <formula>-1</formula>
    </cfRule>
  </conditionalFormatting>
  <conditionalFormatting sqref="AE135">
    <cfRule type="cellIs" dxfId="3133" priority="3984" stopIfTrue="1" operator="between">
      <formula>-0.15</formula>
      <formula>-0.0001</formula>
    </cfRule>
  </conditionalFormatting>
  <conditionalFormatting sqref="AE100">
    <cfRule type="cellIs" dxfId="3132" priority="3963" stopIfTrue="1" operator="between">
      <formula>-0.15</formula>
      <formula>-0.0001</formula>
    </cfRule>
  </conditionalFormatting>
  <conditionalFormatting sqref="AH100:AI100">
    <cfRule type="cellIs" dxfId="3131" priority="3962" stopIfTrue="1" operator="between">
      <formula>-0.15</formula>
      <formula>0.005</formula>
    </cfRule>
  </conditionalFormatting>
  <conditionalFormatting sqref="AE144">
    <cfRule type="cellIs" dxfId="3130" priority="3997" stopIfTrue="1" operator="between">
      <formula>-0.15</formula>
      <formula>-0.0001</formula>
    </cfRule>
  </conditionalFormatting>
  <conditionalFormatting sqref="N134">
    <cfRule type="cellIs" dxfId="3129" priority="3966" stopIfTrue="1" operator="between">
      <formula>-350</formula>
      <formula>-1</formula>
    </cfRule>
  </conditionalFormatting>
  <conditionalFormatting sqref="N99">
    <cfRule type="cellIs" dxfId="3128" priority="3957" stopIfTrue="1" operator="between">
      <formula>-350</formula>
      <formula>-1</formula>
    </cfRule>
  </conditionalFormatting>
  <conditionalFormatting sqref="AH135:AI135">
    <cfRule type="cellIs" dxfId="3127" priority="3983" stopIfTrue="1" operator="between">
      <formula>-0.15</formula>
      <formula>0.005</formula>
    </cfRule>
  </conditionalFormatting>
  <conditionalFormatting sqref="N135">
    <cfRule type="cellIs" dxfId="3126" priority="3985" stopIfTrue="1" operator="between">
      <formula>-350</formula>
      <formula>-1</formula>
    </cfRule>
  </conditionalFormatting>
  <conditionalFormatting sqref="AE98">
    <cfRule type="cellIs" dxfId="3125" priority="3961" stopIfTrue="1" operator="between">
      <formula>-0.15</formula>
      <formula>-0.0001</formula>
    </cfRule>
  </conditionalFormatting>
  <conditionalFormatting sqref="N144">
    <cfRule type="cellIs" dxfId="3124" priority="3996" stopIfTrue="1" operator="between">
      <formula>-350</formula>
      <formula>-1</formula>
    </cfRule>
  </conditionalFormatting>
  <conditionalFormatting sqref="N132">
    <cfRule type="cellIs" dxfId="3123" priority="3981" stopIfTrue="1" operator="between">
      <formula>-350</formula>
      <formula>-1</formula>
    </cfRule>
  </conditionalFormatting>
  <conditionalFormatting sqref="AE145">
    <cfRule type="cellIs" dxfId="3122" priority="4008" stopIfTrue="1" operator="between">
      <formula>-0.15</formula>
      <formula>-0.0001</formula>
    </cfRule>
  </conditionalFormatting>
  <conditionalFormatting sqref="AH145:AI145">
    <cfRule type="cellIs" dxfId="3121" priority="4007" stopIfTrue="1" operator="between">
      <formula>-0.15</formula>
      <formula>0.005</formula>
    </cfRule>
  </conditionalFormatting>
  <conditionalFormatting sqref="AE136">
    <cfRule type="cellIs" dxfId="3120" priority="4006" stopIfTrue="1" operator="between">
      <formula>-0.15</formula>
      <formula>-0.0001</formula>
    </cfRule>
  </conditionalFormatting>
  <conditionalFormatting sqref="AH136:AI136">
    <cfRule type="cellIs" dxfId="3119" priority="4004" stopIfTrue="1" operator="between">
      <formula>-0.15</formula>
      <formula>0.005</formula>
    </cfRule>
  </conditionalFormatting>
  <conditionalFormatting sqref="N145">
    <cfRule type="cellIs" dxfId="3118" priority="4009" stopIfTrue="1" operator="between">
      <formula>-350</formula>
      <formula>-1</formula>
    </cfRule>
  </conditionalFormatting>
  <conditionalFormatting sqref="AH152:AI152">
    <cfRule type="cellIs" dxfId="3117" priority="3896" stopIfTrue="1" operator="between">
      <formula>-0.15</formula>
      <formula>0.005</formula>
    </cfRule>
  </conditionalFormatting>
  <conditionalFormatting sqref="N136">
    <cfRule type="cellIs" dxfId="3116" priority="4005" stopIfTrue="1" operator="between">
      <formula>-350</formula>
      <formula>-1</formula>
    </cfRule>
  </conditionalFormatting>
  <conditionalFormatting sqref="AH154:AI154">
    <cfRule type="cellIs" dxfId="3115" priority="3899" stopIfTrue="1" operator="between">
      <formula>-0.15</formula>
      <formula>0.005</formula>
    </cfRule>
  </conditionalFormatting>
  <conditionalFormatting sqref="AE1149">
    <cfRule type="cellIs" dxfId="3114" priority="3808" stopIfTrue="1" operator="between">
      <formula>-0.15</formula>
      <formula>-0.0001</formula>
    </cfRule>
  </conditionalFormatting>
  <conditionalFormatting sqref="N155">
    <cfRule type="cellIs" dxfId="3113" priority="3907" stopIfTrue="1" operator="between">
      <formula>-350</formula>
      <formula>-1</formula>
    </cfRule>
  </conditionalFormatting>
  <conditionalFormatting sqref="AE153">
    <cfRule type="cellIs" dxfId="3112" priority="3904" stopIfTrue="1" operator="between">
      <formula>-0.15</formula>
      <formula>-0.0001</formula>
    </cfRule>
  </conditionalFormatting>
  <conditionalFormatting sqref="N75">
    <cfRule type="cellIs" dxfId="3111" priority="3880" stopIfTrue="1" operator="between">
      <formula>-350</formula>
      <formula>-1</formula>
    </cfRule>
  </conditionalFormatting>
  <conditionalFormatting sqref="AH133:AI133">
    <cfRule type="cellIs" dxfId="3110" priority="3968" stopIfTrue="1" operator="between">
      <formula>-0.15</formula>
      <formula>0.005</formula>
    </cfRule>
  </conditionalFormatting>
  <conditionalFormatting sqref="AE152">
    <cfRule type="cellIs" dxfId="3109" priority="3897" stopIfTrue="1" operator="between">
      <formula>-0.15</formula>
      <formula>-0.0001</formula>
    </cfRule>
  </conditionalFormatting>
  <conditionalFormatting sqref="AE99">
    <cfRule type="cellIs" dxfId="3108" priority="3958" stopIfTrue="1" operator="between">
      <formula>-0.15</formula>
      <formula>-0.0001</formula>
    </cfRule>
  </conditionalFormatting>
  <conditionalFormatting sqref="AH153:AI153">
    <cfRule type="cellIs" dxfId="3107" priority="3902" stopIfTrue="1" operator="between">
      <formula>-0.15</formula>
      <formula>0.005</formula>
    </cfRule>
  </conditionalFormatting>
  <conditionalFormatting sqref="AE77">
    <cfRule type="cellIs" dxfId="3106" priority="3889" stopIfTrue="1" operator="between">
      <formula>-0.15</formula>
      <formula>-0.0001</formula>
    </cfRule>
  </conditionalFormatting>
  <conditionalFormatting sqref="N152">
    <cfRule type="cellIs" dxfId="3105" priority="3898" stopIfTrue="1" operator="between">
      <formula>-350</formula>
      <formula>-1</formula>
    </cfRule>
  </conditionalFormatting>
  <conditionalFormatting sqref="N153">
    <cfRule type="cellIs" dxfId="3104" priority="3903" stopIfTrue="1" operator="between">
      <formula>-350</formula>
      <formula>-1</formula>
    </cfRule>
  </conditionalFormatting>
  <conditionalFormatting sqref="AH134:AI134">
    <cfRule type="cellIs" dxfId="3103" priority="3965" stopIfTrue="1" operator="between">
      <formula>-0.15</formula>
      <formula>0.005</formula>
    </cfRule>
  </conditionalFormatting>
  <conditionalFormatting sqref="AE134">
    <cfRule type="cellIs" dxfId="3102" priority="3967" stopIfTrue="1" operator="between">
      <formula>-0.15</formula>
      <formula>-0.0001</formula>
    </cfRule>
  </conditionalFormatting>
  <conditionalFormatting sqref="AH155:AI155">
    <cfRule type="cellIs" dxfId="3101" priority="3905" stopIfTrue="1" operator="between">
      <formula>-0.15</formula>
      <formula>0.005</formula>
    </cfRule>
  </conditionalFormatting>
  <conditionalFormatting sqref="AE155">
    <cfRule type="cellIs" dxfId="3100" priority="3906" stopIfTrue="1" operator="between">
      <formula>-0.15</formula>
      <formula>-0.0001</formula>
    </cfRule>
  </conditionalFormatting>
  <conditionalFormatting sqref="AE154">
    <cfRule type="cellIs" dxfId="3099" priority="3901" stopIfTrue="1" operator="between">
      <formula>-0.15</formula>
      <formula>-0.0001</formula>
    </cfRule>
  </conditionalFormatting>
  <conditionalFormatting sqref="AH77:AI77">
    <cfRule type="cellIs" dxfId="3098" priority="3888" stopIfTrue="1" operator="between">
      <formula>-0.15</formula>
      <formula>0.005</formula>
    </cfRule>
  </conditionalFormatting>
  <conditionalFormatting sqref="N154">
    <cfRule type="cellIs" dxfId="3097" priority="3900" stopIfTrue="1" operator="between">
      <formula>-350</formula>
      <formula>-1</formula>
    </cfRule>
  </conditionalFormatting>
  <conditionalFormatting sqref="AE76">
    <cfRule type="cellIs" dxfId="3096" priority="3887" stopIfTrue="1" operator="between">
      <formula>-0.15</formula>
      <formula>-0.0001</formula>
    </cfRule>
  </conditionalFormatting>
  <conditionalFormatting sqref="AH159:AI159">
    <cfRule type="cellIs" dxfId="3095" priority="3834" stopIfTrue="1" operator="between">
      <formula>-0.15</formula>
      <formula>0.005</formula>
    </cfRule>
  </conditionalFormatting>
  <conditionalFormatting sqref="N100">
    <cfRule type="cellIs" dxfId="3094" priority="3964" stopIfTrue="1" operator="between">
      <formula>-350</formula>
      <formula>-1</formula>
    </cfRule>
  </conditionalFormatting>
  <conditionalFormatting sqref="AH156:AI156">
    <cfRule type="cellIs" dxfId="3093" priority="3831" stopIfTrue="1" operator="between">
      <formula>-0.15</formula>
      <formula>0.005</formula>
    </cfRule>
  </conditionalFormatting>
  <conditionalFormatting sqref="AE156">
    <cfRule type="cellIs" dxfId="3092" priority="3833" stopIfTrue="1" operator="between">
      <formula>-0.15</formula>
      <formula>-0.0001</formula>
    </cfRule>
  </conditionalFormatting>
  <conditionalFormatting sqref="N182">
    <cfRule type="cellIs" dxfId="3091" priority="3827" stopIfTrue="1" operator="between">
      <formula>-350</formula>
      <formula>-1</formula>
    </cfRule>
  </conditionalFormatting>
  <conditionalFormatting sqref="AH185:AI185">
    <cfRule type="cellIs" dxfId="3090" priority="3810" stopIfTrue="1" operator="between">
      <formula>-0.15</formula>
      <formula>0.005</formula>
    </cfRule>
  </conditionalFormatting>
  <conditionalFormatting sqref="AE185">
    <cfRule type="cellIs" dxfId="3089" priority="3812" stopIfTrue="1" operator="between">
      <formula>-0.15</formula>
      <formula>-0.0001</formula>
    </cfRule>
  </conditionalFormatting>
  <conditionalFormatting sqref="N76">
    <cfRule type="cellIs" dxfId="3088" priority="3886" stopIfTrue="1" operator="between">
      <formula>-350</formula>
      <formula>-1</formula>
    </cfRule>
  </conditionalFormatting>
  <conditionalFormatting sqref="AE183">
    <cfRule type="cellIs" dxfId="3087" priority="3815" stopIfTrue="1" operator="between">
      <formula>-0.15</formula>
      <formula>-0.0001</formula>
    </cfRule>
  </conditionalFormatting>
  <conditionalFormatting sqref="AH74:AI74">
    <cfRule type="cellIs" dxfId="3086" priority="3882" stopIfTrue="1" operator="between">
      <formula>-0.15</formula>
      <formula>0.005</formula>
    </cfRule>
  </conditionalFormatting>
  <conditionalFormatting sqref="AE75">
    <cfRule type="cellIs" dxfId="3085" priority="3881" stopIfTrue="1" operator="between">
      <formula>-0.15</formula>
      <formula>-0.0001</formula>
    </cfRule>
  </conditionalFormatting>
  <conditionalFormatting sqref="AH75:AI75">
    <cfRule type="cellIs" dxfId="3084" priority="3879" stopIfTrue="1" operator="between">
      <formula>-0.15</formula>
      <formula>0.005</formula>
    </cfRule>
  </conditionalFormatting>
  <conditionalFormatting sqref="N150">
    <cfRule type="cellIs" dxfId="3083" priority="3894" stopIfTrue="1" operator="between">
      <formula>-350</formula>
      <formula>-1</formula>
    </cfRule>
  </conditionalFormatting>
  <conditionalFormatting sqref="AH76:AI76">
    <cfRule type="cellIs" dxfId="3082" priority="3885" stopIfTrue="1" operator="between">
      <formula>-0.15</formula>
      <formula>0.005</formula>
    </cfRule>
  </conditionalFormatting>
  <conditionalFormatting sqref="AE74">
    <cfRule type="cellIs" dxfId="3081" priority="3884" stopIfTrue="1" operator="between">
      <formula>-0.15</formula>
      <formula>-0.0001</formula>
    </cfRule>
  </conditionalFormatting>
  <conditionalFormatting sqref="N156">
    <cfRule type="cellIs" dxfId="3080" priority="3832" stopIfTrue="1" operator="between">
      <formula>-350</formula>
      <formula>-1</formula>
    </cfRule>
  </conditionalFormatting>
  <conditionalFormatting sqref="AH150:AI150">
    <cfRule type="cellIs" dxfId="3079" priority="3893" stopIfTrue="1" operator="between">
      <formula>-0.15</formula>
      <formula>0.005</formula>
    </cfRule>
  </conditionalFormatting>
  <conditionalFormatting sqref="AE150">
    <cfRule type="cellIs" dxfId="3078" priority="3895" stopIfTrue="1" operator="between">
      <formula>-0.15</formula>
      <formula>-0.0001</formula>
    </cfRule>
  </conditionalFormatting>
  <conditionalFormatting sqref="N74">
    <cfRule type="cellIs" dxfId="3077" priority="3883" stopIfTrue="1" operator="between">
      <formula>-350</formula>
      <formula>-1</formula>
    </cfRule>
  </conditionalFormatting>
  <conditionalFormatting sqref="AH151:AI151">
    <cfRule type="cellIs" dxfId="3076" priority="3890" stopIfTrue="1" operator="between">
      <formula>-0.15</formula>
      <formula>0.005</formula>
    </cfRule>
  </conditionalFormatting>
  <conditionalFormatting sqref="AE181">
    <cfRule type="cellIs" dxfId="3075" priority="3821" stopIfTrue="1" operator="between">
      <formula>-0.15</formula>
      <formula>-0.0001</formula>
    </cfRule>
  </conditionalFormatting>
  <conditionalFormatting sqref="N151">
    <cfRule type="cellIs" dxfId="3074" priority="3891" stopIfTrue="1" operator="between">
      <formula>-350</formula>
      <formula>-1</formula>
    </cfRule>
  </conditionalFormatting>
  <conditionalFormatting sqref="AE159">
    <cfRule type="cellIs" dxfId="3073" priority="3835" stopIfTrue="1" operator="between">
      <formula>-0.15</formula>
      <formula>-0.0001</formula>
    </cfRule>
  </conditionalFormatting>
  <conditionalFormatting sqref="AH180:AI180">
    <cfRule type="cellIs" dxfId="3072" priority="3822" stopIfTrue="1" operator="between">
      <formula>-0.15</formula>
      <formula>0.005</formula>
    </cfRule>
  </conditionalFormatting>
  <conditionalFormatting sqref="N181">
    <cfRule type="cellIs" dxfId="3071" priority="3820" stopIfTrue="1" operator="between">
      <formula>-350</formula>
      <formula>-1</formula>
    </cfRule>
  </conditionalFormatting>
  <conditionalFormatting sqref="AH182:AI182">
    <cfRule type="cellIs" dxfId="3070" priority="3825" stopIfTrue="1" operator="between">
      <formula>-0.15</formula>
      <formula>0.005</formula>
    </cfRule>
  </conditionalFormatting>
  <conditionalFormatting sqref="N180">
    <cfRule type="cellIs" dxfId="3069" priority="3823" stopIfTrue="1" operator="between">
      <formula>-350</formula>
      <formula>-1</formula>
    </cfRule>
  </conditionalFormatting>
  <conditionalFormatting sqref="AE550">
    <cfRule type="cellIs" dxfId="3068" priority="3794" stopIfTrue="1" operator="between">
      <formula>-0.15</formula>
      <formula>-0.0001</formula>
    </cfRule>
  </conditionalFormatting>
  <conditionalFormatting sqref="AH186:AI186">
    <cfRule type="cellIs" dxfId="3067" priority="3816" stopIfTrue="1" operator="between">
      <formula>-0.15</formula>
      <formula>0.005</formula>
    </cfRule>
  </conditionalFormatting>
  <conditionalFormatting sqref="N159">
    <cfRule type="cellIs" dxfId="3066" priority="3836" stopIfTrue="1" operator="between">
      <formula>-350</formula>
      <formula>-1</formula>
    </cfRule>
  </conditionalFormatting>
  <conditionalFormatting sqref="N186">
    <cfRule type="cellIs" dxfId="3065" priority="3818" stopIfTrue="1" operator="between">
      <formula>-350</formula>
      <formula>-1</formula>
    </cfRule>
  </conditionalFormatting>
  <conditionalFormatting sqref="AE158">
    <cfRule type="cellIs" dxfId="3064" priority="3830" stopIfTrue="1" operator="between">
      <formula>-0.15</formula>
      <formula>-0.0001</formula>
    </cfRule>
  </conditionalFormatting>
  <conditionalFormatting sqref="AH181:AI181">
    <cfRule type="cellIs" dxfId="3063" priority="3819" stopIfTrue="1" operator="between">
      <formula>-0.15</formula>
      <formula>0.005</formula>
    </cfRule>
  </conditionalFormatting>
  <conditionalFormatting sqref="AE1932">
    <cfRule type="cellIs" dxfId="3062" priority="3779" stopIfTrue="1" operator="between">
      <formula>-0.15</formula>
      <formula>-0.0001</formula>
    </cfRule>
  </conditionalFormatting>
  <conditionalFormatting sqref="N185">
    <cfRule type="cellIs" dxfId="3061" priority="3811" stopIfTrue="1" operator="between">
      <formula>-350</formula>
      <formula>-1</formula>
    </cfRule>
  </conditionalFormatting>
  <conditionalFormatting sqref="AH158:AI158">
    <cfRule type="cellIs" dxfId="3060" priority="3828" stopIfTrue="1" operator="between">
      <formula>-0.15</formula>
      <formula>0.005</formula>
    </cfRule>
  </conditionalFormatting>
  <conditionalFormatting sqref="AE1187:AE1188">
    <cfRule type="cellIs" dxfId="3059" priority="3791" stopIfTrue="1" operator="between">
      <formula>-0.15</formula>
      <formula>-0.0001</formula>
    </cfRule>
  </conditionalFormatting>
  <conditionalFormatting sqref="N1149">
    <cfRule type="cellIs" dxfId="3058" priority="3809" stopIfTrue="1" operator="between">
      <formula>-350</formula>
      <formula>-1</formula>
    </cfRule>
  </conditionalFormatting>
  <conditionalFormatting sqref="AH183:AI183">
    <cfRule type="cellIs" dxfId="3057" priority="3813" stopIfTrue="1" operator="between">
      <formula>-0.15</formula>
      <formula>0.005</formula>
    </cfRule>
  </conditionalFormatting>
  <conditionalFormatting sqref="AH1936:AI1936">
    <cfRule type="cellIs" dxfId="3056" priority="3780" stopIfTrue="1" operator="between">
      <formula>-0.15</formula>
      <formula>0.005</formula>
    </cfRule>
  </conditionalFormatting>
  <conditionalFormatting sqref="N263">
    <cfRule type="cellIs" dxfId="3055" priority="3763" stopIfTrue="1" operator="between">
      <formula>-350</formula>
      <formula>-1</formula>
    </cfRule>
  </conditionalFormatting>
  <conditionalFormatting sqref="AE263">
    <cfRule type="cellIs" dxfId="3054" priority="3765" stopIfTrue="1" operator="between">
      <formula>-0.15</formula>
      <formula>-0.0001</formula>
    </cfRule>
  </conditionalFormatting>
  <conditionalFormatting sqref="AE2235">
    <cfRule type="cellIs" dxfId="3053" priority="3806" stopIfTrue="1" operator="between">
      <formula>-0.15</formula>
      <formula>-0.0001</formula>
    </cfRule>
  </conditionalFormatting>
  <conditionalFormatting sqref="N158">
    <cfRule type="cellIs" dxfId="3052" priority="3829" stopIfTrue="1" operator="between">
      <formula>-350</formula>
      <formula>-1</formula>
    </cfRule>
  </conditionalFormatting>
  <conditionalFormatting sqref="N550">
    <cfRule type="cellIs" dxfId="3051" priority="3792" stopIfTrue="1" operator="between">
      <formula>-350</formula>
      <formula>-1</formula>
    </cfRule>
  </conditionalFormatting>
  <conditionalFormatting sqref="AH1149:AI1149">
    <cfRule type="cellIs" dxfId="3050" priority="3807" stopIfTrue="1" operator="between">
      <formula>-0.15</formula>
      <formula>0.005</formula>
    </cfRule>
  </conditionalFormatting>
  <conditionalFormatting sqref="AH550:AI550">
    <cfRule type="cellIs" dxfId="3049" priority="3793" stopIfTrue="1" operator="between">
      <formula>-0.15</formula>
      <formula>0.005</formula>
    </cfRule>
  </conditionalFormatting>
  <conditionalFormatting sqref="AH2235:AI2235">
    <cfRule type="cellIs" dxfId="3048" priority="3805" stopIfTrue="1" operator="between">
      <formula>-0.15</formula>
      <formula>0.005</formula>
    </cfRule>
  </conditionalFormatting>
  <conditionalFormatting sqref="AE511">
    <cfRule type="cellIs" dxfId="3047" priority="3800" stopIfTrue="1" operator="between">
      <formula>-0.15</formula>
      <formula>-0.0001</formula>
    </cfRule>
  </conditionalFormatting>
  <conditionalFormatting sqref="AH1914:AI1914">
    <cfRule type="cellIs" dxfId="3046" priority="3772" stopIfTrue="1" operator="between">
      <formula>-0.15</formula>
      <formula>0.005</formula>
    </cfRule>
  </conditionalFormatting>
  <conditionalFormatting sqref="N918">
    <cfRule type="cellIs" dxfId="3045" priority="3740" stopIfTrue="1" operator="between">
      <formula>-350</formula>
      <formula>-1</formula>
    </cfRule>
  </conditionalFormatting>
  <conditionalFormatting sqref="AH511:AI511">
    <cfRule type="cellIs" dxfId="3044" priority="3799" stopIfTrue="1" operator="between">
      <formula>-0.15</formula>
      <formula>0.005</formula>
    </cfRule>
  </conditionalFormatting>
  <conditionalFormatting sqref="AH920:AI920">
    <cfRule type="cellIs" dxfId="3043" priority="3736" stopIfTrue="1" operator="between">
      <formula>-0.15</formula>
      <formula>0.005</formula>
    </cfRule>
  </conditionalFormatting>
  <conditionalFormatting sqref="N2235">
    <cfRule type="cellIs" dxfId="3042" priority="3804" stopIfTrue="1" operator="between">
      <formula>-350</formula>
      <formula>-1</formula>
    </cfRule>
  </conditionalFormatting>
  <conditionalFormatting sqref="AH1187:AI1188">
    <cfRule type="cellIs" dxfId="3041" priority="3790" stopIfTrue="1" operator="between">
      <formula>-0.15</formula>
      <formula>0.005</formula>
    </cfRule>
  </conditionalFormatting>
  <conditionalFormatting sqref="AE186">
    <cfRule type="cellIs" dxfId="3040" priority="3817" stopIfTrue="1" operator="between">
      <formula>-0.15</formula>
      <formula>-0.0001</formula>
    </cfRule>
  </conditionalFormatting>
  <conditionalFormatting sqref="AE1936">
    <cfRule type="cellIs" dxfId="3039" priority="3781" stopIfTrue="1" operator="between">
      <formula>-0.15</formula>
      <formula>-0.0001</formula>
    </cfRule>
  </conditionalFormatting>
  <conditionalFormatting sqref="N1913">
    <cfRule type="cellIs" dxfId="3038" priority="3766" stopIfTrue="1" operator="between">
      <formula>-350</formula>
      <formula>-1</formula>
    </cfRule>
  </conditionalFormatting>
  <conditionalFormatting sqref="AH924:AI924">
    <cfRule type="cellIs" dxfId="3037" priority="3758" stopIfTrue="1" operator="between">
      <formula>-0.15</formula>
      <formula>0.005</formula>
    </cfRule>
  </conditionalFormatting>
  <conditionalFormatting sqref="N1932">
    <cfRule type="cellIs" dxfId="3036" priority="3777" stopIfTrue="1" operator="between">
      <formula>-350</formula>
      <formula>-1</formula>
    </cfRule>
  </conditionalFormatting>
  <conditionalFormatting sqref="AE1914">
    <cfRule type="cellIs" dxfId="3035" priority="3773" stopIfTrue="1" operator="between">
      <formula>-0.15</formula>
      <formula>-0.0001</formula>
    </cfRule>
  </conditionalFormatting>
  <conditionalFormatting sqref="AE180">
    <cfRule type="cellIs" dxfId="3034" priority="3824" stopIfTrue="1" operator="between">
      <formula>-0.15</formula>
      <formula>-0.0001</formula>
    </cfRule>
  </conditionalFormatting>
  <conditionalFormatting sqref="AE1913">
    <cfRule type="cellIs" dxfId="3033" priority="3768" stopIfTrue="1" operator="between">
      <formula>-0.15</formula>
      <formula>-0.0001</formula>
    </cfRule>
  </conditionalFormatting>
  <conditionalFormatting sqref="AH1932:AI1932">
    <cfRule type="cellIs" dxfId="3032" priority="3778" stopIfTrue="1" operator="between">
      <formula>-0.15</formula>
      <formula>0.005</formula>
    </cfRule>
  </conditionalFormatting>
  <conditionalFormatting sqref="N190">
    <cfRule type="cellIs" dxfId="3031" priority="3691" stopIfTrue="1" operator="between">
      <formula>-350</formula>
      <formula>-1</formula>
    </cfRule>
  </conditionalFormatting>
  <conditionalFormatting sqref="N1275">
    <cfRule type="cellIs" dxfId="3030" priority="3745" stopIfTrue="1" operator="between">
      <formula>-350</formula>
      <formula>-1</formula>
    </cfRule>
  </conditionalFormatting>
  <conditionalFormatting sqref="AE182">
    <cfRule type="cellIs" dxfId="3029" priority="3826" stopIfTrue="1" operator="between">
      <formula>-0.15</formula>
      <formula>-0.0001</formula>
    </cfRule>
  </conditionalFormatting>
  <conditionalFormatting sqref="AH1913:AI1913">
    <cfRule type="cellIs" dxfId="3028" priority="3767" stopIfTrue="1" operator="between">
      <formula>-0.15</formula>
      <formula>0.005</formula>
    </cfRule>
  </conditionalFormatting>
  <conditionalFormatting sqref="AH263:AI263">
    <cfRule type="cellIs" dxfId="3027" priority="3764" stopIfTrue="1" operator="between">
      <formula>-0.15</formula>
      <formula>0.005</formula>
    </cfRule>
  </conditionalFormatting>
  <conditionalFormatting sqref="N511">
    <cfRule type="cellIs" dxfId="3026" priority="3798" stopIfTrue="1" operator="between">
      <formula>-350</formula>
      <formula>-1</formula>
    </cfRule>
  </conditionalFormatting>
  <conditionalFormatting sqref="N183">
    <cfRule type="cellIs" dxfId="3025" priority="3814" stopIfTrue="1" operator="between">
      <formula>-350</formula>
      <formula>-1</formula>
    </cfRule>
  </conditionalFormatting>
  <conditionalFormatting sqref="AE1912">
    <cfRule type="cellIs" dxfId="3024" priority="3771" stopIfTrue="1" operator="between">
      <formula>-0.15</formula>
      <formula>-0.0001</formula>
    </cfRule>
  </conditionalFormatting>
  <conditionalFormatting sqref="N1188">
    <cfRule type="cellIs" dxfId="3023" priority="3789" stopIfTrue="1" operator="between">
      <formula>-350</formula>
      <formula>-1</formula>
    </cfRule>
  </conditionalFormatting>
  <conditionalFormatting sqref="AH922:AI922">
    <cfRule type="cellIs" dxfId="3022" priority="3755" stopIfTrue="1" operator="between">
      <formula>-0.15</formula>
      <formula>0.005</formula>
    </cfRule>
  </conditionalFormatting>
  <conditionalFormatting sqref="N1187">
    <cfRule type="cellIs" dxfId="3021" priority="3788" stopIfTrue="1" operator="between">
      <formula>-350</formula>
      <formula>-1</formula>
    </cfRule>
  </conditionalFormatting>
  <conditionalFormatting sqref="AE923">
    <cfRule type="cellIs" dxfId="3020" priority="3751" stopIfTrue="1" operator="between">
      <formula>-0.15</formula>
      <formula>-0.0001</formula>
    </cfRule>
  </conditionalFormatting>
  <conditionalFormatting sqref="AE914">
    <cfRule type="cellIs" dxfId="3019" priority="3717" stopIfTrue="1" operator="between">
      <formula>-0.15</formula>
      <formula>-0.0001</formula>
    </cfRule>
  </conditionalFormatting>
  <conditionalFormatting sqref="AE922">
    <cfRule type="cellIs" dxfId="3018" priority="3756" stopIfTrue="1" operator="between">
      <formula>-0.15</formula>
      <formula>-0.0001</formula>
    </cfRule>
  </conditionalFormatting>
  <conditionalFormatting sqref="AH921:AI921">
    <cfRule type="cellIs" dxfId="3017" priority="3741" stopIfTrue="1" operator="between">
      <formula>-0.15</formula>
      <formula>0.005</formula>
    </cfRule>
  </conditionalFormatting>
  <conditionalFormatting sqref="N920">
    <cfRule type="cellIs" dxfId="3016" priority="3735" stopIfTrue="1" operator="between">
      <formula>-350</formula>
      <formula>-1</formula>
    </cfRule>
  </conditionalFormatting>
  <conditionalFormatting sqref="AE924">
    <cfRule type="cellIs" dxfId="3015" priority="3759" stopIfTrue="1" operator="between">
      <formula>-0.15</formula>
      <formula>-0.0001</formula>
    </cfRule>
  </conditionalFormatting>
  <conditionalFormatting sqref="AH918:AI918">
    <cfRule type="cellIs" dxfId="3014" priority="3738" stopIfTrue="1" operator="between">
      <formula>-0.15</formula>
      <formula>0.005</formula>
    </cfRule>
  </conditionalFormatting>
  <conditionalFormatting sqref="AH914:AI914">
    <cfRule type="cellIs" dxfId="3013" priority="3716" stopIfTrue="1" operator="between">
      <formula>-0.15</formula>
      <formula>0.005</formula>
    </cfRule>
  </conditionalFormatting>
  <conditionalFormatting sqref="N1912">
    <cfRule type="cellIs" dxfId="3012" priority="3769" stopIfTrue="1" operator="between">
      <formula>-350</formula>
      <formula>-1</formula>
    </cfRule>
  </conditionalFormatting>
  <conditionalFormatting sqref="N1280">
    <cfRule type="cellIs" dxfId="3011" priority="3744" stopIfTrue="1" operator="between">
      <formula>-350</formula>
      <formula>-1</formula>
    </cfRule>
  </conditionalFormatting>
  <conditionalFormatting sqref="AE918">
    <cfRule type="cellIs" dxfId="3010" priority="3739" stopIfTrue="1" operator="between">
      <formula>-0.15</formula>
      <formula>-0.0001</formula>
    </cfRule>
  </conditionalFormatting>
  <conditionalFormatting sqref="N922">
    <cfRule type="cellIs" dxfId="3009" priority="3757" stopIfTrue="1" operator="between">
      <formula>-350</formula>
      <formula>-1</formula>
    </cfRule>
  </conditionalFormatting>
  <conditionalFormatting sqref="AH923:AI923">
    <cfRule type="cellIs" dxfId="3008" priority="3750" stopIfTrue="1" operator="between">
      <formula>-0.15</formula>
      <formula>0.005</formula>
    </cfRule>
  </conditionalFormatting>
  <conditionalFormatting sqref="AH1912:AI1912">
    <cfRule type="cellIs" dxfId="3007" priority="3770" stopIfTrue="1" operator="between">
      <formula>-0.15</formula>
      <formula>0.005</formula>
    </cfRule>
  </conditionalFormatting>
  <conditionalFormatting sqref="AE920">
    <cfRule type="cellIs" dxfId="3006" priority="3737" stopIfTrue="1" operator="between">
      <formula>-0.15</formula>
      <formula>-0.0001</formula>
    </cfRule>
  </conditionalFormatting>
  <conditionalFormatting sqref="AH911:AI911">
    <cfRule type="cellIs" dxfId="3005" priority="3727" stopIfTrue="1" operator="between">
      <formula>-0.15</formula>
      <formula>0.005</formula>
    </cfRule>
  </conditionalFormatting>
  <conditionalFormatting sqref="N923">
    <cfRule type="cellIs" dxfId="3004" priority="3749" stopIfTrue="1" operator="between">
      <formula>-350</formula>
      <formula>-1</formula>
    </cfRule>
  </conditionalFormatting>
  <conditionalFormatting sqref="AE1491">
    <cfRule type="cellIs" dxfId="3003" priority="3693" stopIfTrue="1" operator="between">
      <formula>-0.15</formula>
      <formula>-0.0001</formula>
    </cfRule>
  </conditionalFormatting>
  <conditionalFormatting sqref="AH1491:AI1491">
    <cfRule type="cellIs" dxfId="3002" priority="3692" stopIfTrue="1" operator="between">
      <formula>-0.15</formula>
      <formula>0.005</formula>
    </cfRule>
  </conditionalFormatting>
  <conditionalFormatting sqref="AH1280:AI1280">
    <cfRule type="cellIs" dxfId="3001" priority="3747" stopIfTrue="1" operator="between">
      <formula>-0.15</formula>
      <formula>0.005</formula>
    </cfRule>
  </conditionalFormatting>
  <conditionalFormatting sqref="N914">
    <cfRule type="cellIs" dxfId="3000" priority="3718" stopIfTrue="1" operator="between">
      <formula>-350</formula>
      <formula>-1</formula>
    </cfRule>
  </conditionalFormatting>
  <conditionalFormatting sqref="AE911">
    <cfRule type="cellIs" dxfId="2999" priority="3728" stopIfTrue="1" operator="between">
      <formula>-0.15</formula>
      <formula>-0.0001</formula>
    </cfRule>
  </conditionalFormatting>
  <conditionalFormatting sqref="N919">
    <cfRule type="cellIs" dxfId="2998" priority="3732" stopIfTrue="1" operator="between">
      <formula>-350</formula>
      <formula>-1</formula>
    </cfRule>
  </conditionalFormatting>
  <conditionalFormatting sqref="AE1280">
    <cfRule type="cellIs" dxfId="2997" priority="3748" stopIfTrue="1" operator="between">
      <formula>-0.15</formula>
      <formula>-0.0001</formula>
    </cfRule>
  </conditionalFormatting>
  <conditionalFormatting sqref="N911">
    <cfRule type="cellIs" dxfId="2996" priority="3729" stopIfTrue="1" operator="between">
      <formula>-350</formula>
      <formula>-1</formula>
    </cfRule>
  </conditionalFormatting>
  <conditionalFormatting sqref="N916">
    <cfRule type="cellIs" dxfId="2995" priority="3713" stopIfTrue="1" operator="between">
      <formula>-350</formula>
      <formula>-1</formula>
    </cfRule>
  </conditionalFormatting>
  <conditionalFormatting sqref="N912">
    <cfRule type="cellIs" dxfId="2994" priority="3721" stopIfTrue="1" operator="between">
      <formula>-350</formula>
      <formula>-1</formula>
    </cfRule>
  </conditionalFormatting>
  <conditionalFormatting sqref="AE919">
    <cfRule type="cellIs" dxfId="2993" priority="3734" stopIfTrue="1" operator="between">
      <formula>-0.15</formula>
      <formula>-0.0001</formula>
    </cfRule>
  </conditionalFormatting>
  <conditionalFormatting sqref="AH919:AI919">
    <cfRule type="cellIs" dxfId="2992" priority="3733" stopIfTrue="1" operator="between">
      <formula>-0.15</formula>
      <formula>0.005</formula>
    </cfRule>
  </conditionalFormatting>
  <conditionalFormatting sqref="AE921">
    <cfRule type="cellIs" dxfId="2991" priority="3742" stopIfTrue="1" operator="between">
      <formula>-0.15</formula>
      <formula>-0.0001</formula>
    </cfRule>
  </conditionalFormatting>
  <conditionalFormatting sqref="AH916:AI916">
    <cfRule type="cellIs" dxfId="2990" priority="3714" stopIfTrue="1" operator="between">
      <formula>-0.15</formula>
      <formula>0.005</formula>
    </cfRule>
  </conditionalFormatting>
  <conditionalFormatting sqref="AE913">
    <cfRule type="cellIs" dxfId="2989" priority="3731" stopIfTrue="1" operator="between">
      <formula>-0.15</formula>
      <formula>-0.0001</formula>
    </cfRule>
  </conditionalFormatting>
  <conditionalFormatting sqref="AH913:AI913">
    <cfRule type="cellIs" dxfId="2988" priority="3730" stopIfTrue="1" operator="between">
      <formula>-0.15</formula>
      <formula>0.005</formula>
    </cfRule>
  </conditionalFormatting>
  <conditionalFormatting sqref="AE912">
    <cfRule type="cellIs" dxfId="2987" priority="3723" stopIfTrue="1" operator="between">
      <formula>-0.15</formula>
      <formula>-0.0001</formula>
    </cfRule>
  </conditionalFormatting>
  <conditionalFormatting sqref="AH912:AI912">
    <cfRule type="cellIs" dxfId="2986" priority="3722" stopIfTrue="1" operator="between">
      <formula>-0.15</formula>
      <formula>0.005</formula>
    </cfRule>
  </conditionalFormatting>
  <conditionalFormatting sqref="N915">
    <cfRule type="cellIs" dxfId="2985" priority="3710" stopIfTrue="1" operator="between">
      <formula>-350</formula>
      <formula>-1</formula>
    </cfRule>
  </conditionalFormatting>
  <conditionalFormatting sqref="AE917">
    <cfRule type="cellIs" dxfId="2984" priority="3720" stopIfTrue="1" operator="between">
      <formula>-0.15</formula>
      <formula>-0.0001</formula>
    </cfRule>
  </conditionalFormatting>
  <conditionalFormatting sqref="AH917:AI917">
    <cfRule type="cellIs" dxfId="2983" priority="3719" stopIfTrue="1" operator="between">
      <formula>-0.15</formula>
      <formula>0.005</formula>
    </cfRule>
  </conditionalFormatting>
  <conditionalFormatting sqref="AE916">
    <cfRule type="cellIs" dxfId="2982" priority="3715" stopIfTrue="1" operator="between">
      <formula>-0.15</formula>
      <formula>-0.0001</formula>
    </cfRule>
  </conditionalFormatting>
  <conditionalFormatting sqref="AE1945">
    <cfRule type="cellIs" dxfId="2981" priority="3621" stopIfTrue="1" operator="between">
      <formula>-0.15</formula>
      <formula>-0.0001</formula>
    </cfRule>
  </conditionalFormatting>
  <conditionalFormatting sqref="AH915:AI915">
    <cfRule type="cellIs" dxfId="2980" priority="3711" stopIfTrue="1" operator="between">
      <formula>-0.15</formula>
      <formula>0.005</formula>
    </cfRule>
  </conditionalFormatting>
  <conditionalFormatting sqref="N1491">
    <cfRule type="cellIs" dxfId="2979" priority="3694" stopIfTrue="1" operator="between">
      <formula>-350</formula>
      <formula>-1</formula>
    </cfRule>
  </conditionalFormatting>
  <conditionalFormatting sqref="AE915">
    <cfRule type="cellIs" dxfId="2978" priority="3712" stopIfTrue="1" operator="between">
      <formula>-0.15</formula>
      <formula>-0.0001</formula>
    </cfRule>
  </conditionalFormatting>
  <conditionalFormatting sqref="AH1489:AI1489">
    <cfRule type="cellIs" dxfId="2977" priority="3697" stopIfTrue="1" operator="between">
      <formula>-0.15</formula>
      <formula>0.005</formula>
    </cfRule>
  </conditionalFormatting>
  <conditionalFormatting sqref="AE1490">
    <cfRule type="cellIs" dxfId="2976" priority="3701" stopIfTrue="1" operator="between">
      <formula>-0.15</formula>
      <formula>-0.0001</formula>
    </cfRule>
  </conditionalFormatting>
  <conditionalFormatting sqref="AH1490:AI1490">
    <cfRule type="cellIs" dxfId="2975" priority="3700" stopIfTrue="1" operator="between">
      <formula>-0.15</formula>
      <formula>0.005</formula>
    </cfRule>
  </conditionalFormatting>
  <conditionalFormatting sqref="N1945">
    <cfRule type="cellIs" dxfId="2974" priority="3619" stopIfTrue="1" operator="between">
      <formula>-350</formula>
      <formula>-1</formula>
    </cfRule>
  </conditionalFormatting>
  <conditionalFormatting sqref="AE190">
    <cfRule type="cellIs" dxfId="2973" priority="3690" stopIfTrue="1" operator="between">
      <formula>-0.15</formula>
      <formula>-0.0001</formula>
    </cfRule>
  </conditionalFormatting>
  <conditionalFormatting sqref="N1489">
    <cfRule type="cellIs" dxfId="2972" priority="3699" stopIfTrue="1" operator="between">
      <formula>-350</formula>
      <formula>-1</formula>
    </cfRule>
  </conditionalFormatting>
  <conditionalFormatting sqref="AE1489">
    <cfRule type="cellIs" dxfId="2971" priority="3698" stopIfTrue="1" operator="between">
      <formula>-0.15</formula>
      <formula>-0.0001</formula>
    </cfRule>
  </conditionalFormatting>
  <conditionalFormatting sqref="AH1945:AI1945">
    <cfRule type="cellIs" dxfId="2970" priority="3620" stopIfTrue="1" operator="between">
      <formula>-0.15</formula>
      <formula>0.005</formula>
    </cfRule>
  </conditionalFormatting>
  <conditionalFormatting sqref="AE1492">
    <cfRule type="cellIs" dxfId="2969" priority="3696" stopIfTrue="1" operator="between">
      <formula>-0.15</formula>
      <formula>-0.0001</formula>
    </cfRule>
  </conditionalFormatting>
  <conditionalFormatting sqref="AH1492:AI1492">
    <cfRule type="cellIs" dxfId="2968" priority="3695" stopIfTrue="1" operator="between">
      <formula>-0.15</formula>
      <formula>0.005</formula>
    </cfRule>
  </conditionalFormatting>
  <conditionalFormatting sqref="N189">
    <cfRule type="cellIs" dxfId="2967" priority="3681" stopIfTrue="1" operator="between">
      <formula>-350</formula>
      <formula>-1</formula>
    </cfRule>
  </conditionalFormatting>
  <conditionalFormatting sqref="AH189:AI189">
    <cfRule type="cellIs" dxfId="2966" priority="3680" stopIfTrue="1" operator="between">
      <formula>-0.15</formula>
      <formula>0.005</formula>
    </cfRule>
  </conditionalFormatting>
  <conditionalFormatting sqref="AE189">
    <cfRule type="cellIs" dxfId="2965" priority="3682" stopIfTrue="1" operator="between">
      <formula>-0.15</formula>
      <formula>-0.0001</formula>
    </cfRule>
  </conditionalFormatting>
  <conditionalFormatting sqref="N188">
    <cfRule type="cellIs" dxfId="2964" priority="3678" stopIfTrue="1" operator="between">
      <formula>-350</formula>
      <formula>-1</formula>
    </cfRule>
  </conditionalFormatting>
  <conditionalFormatting sqref="AH188:AI188">
    <cfRule type="cellIs" dxfId="2963" priority="3677" stopIfTrue="1" operator="between">
      <formula>-0.15</formula>
      <formula>0.005</formula>
    </cfRule>
  </conditionalFormatting>
  <conditionalFormatting sqref="AE188">
    <cfRule type="cellIs" dxfId="2962" priority="3679" stopIfTrue="1" operator="between">
      <formula>-0.15</formula>
      <formula>-0.0001</formula>
    </cfRule>
  </conditionalFormatting>
  <conditionalFormatting sqref="AH190:AI190">
    <cfRule type="cellIs" dxfId="2961" priority="3689" stopIfTrue="1" operator="between">
      <formula>-0.15</formula>
      <formula>0.005</formula>
    </cfRule>
  </conditionalFormatting>
  <conditionalFormatting sqref="AE187">
    <cfRule type="cellIs" dxfId="2960" priority="3688" stopIfTrue="1" operator="between">
      <formula>-0.15</formula>
      <formula>-0.0001</formula>
    </cfRule>
  </conditionalFormatting>
  <conditionalFormatting sqref="AH187:AI187">
    <cfRule type="cellIs" dxfId="2959" priority="3686" stopIfTrue="1" operator="between">
      <formula>-0.15</formula>
      <formula>0.005</formula>
    </cfRule>
  </conditionalFormatting>
  <conditionalFormatting sqref="AH10:AI10">
    <cfRule type="cellIs" dxfId="2958" priority="3564" stopIfTrue="1" operator="between">
      <formula>-0.15</formula>
      <formula>0.005</formula>
    </cfRule>
  </conditionalFormatting>
  <conditionalFormatting sqref="N187">
    <cfRule type="cellIs" dxfId="2957" priority="3687" stopIfTrue="1" operator="between">
      <formula>-350</formula>
      <formula>-1</formula>
    </cfRule>
  </conditionalFormatting>
  <conditionalFormatting sqref="AE10">
    <cfRule type="cellIs" dxfId="2956" priority="3565" stopIfTrue="1" operator="between">
      <formula>-0.15</formula>
      <formula>-0.0001</formula>
    </cfRule>
  </conditionalFormatting>
  <conditionalFormatting sqref="AE1943">
    <cfRule type="cellIs" dxfId="2955" priority="3588" stopIfTrue="1" operator="between">
      <formula>-0.15</formula>
      <formula>-0.0001</formula>
    </cfRule>
  </conditionalFormatting>
  <conditionalFormatting sqref="AH1915:AI1915">
    <cfRule type="cellIs" dxfId="2954" priority="3609" stopIfTrue="1" operator="between">
      <formula>-0.15</formula>
      <formula>0.005</formula>
    </cfRule>
  </conditionalFormatting>
  <conditionalFormatting sqref="N1943">
    <cfRule type="cellIs" dxfId="2953" priority="3586" stopIfTrue="1" operator="between">
      <formula>-350</formula>
      <formula>-1</formula>
    </cfRule>
  </conditionalFormatting>
  <conditionalFormatting sqref="N1917">
    <cfRule type="cellIs" dxfId="2952" priority="3605" stopIfTrue="1" operator="between">
      <formula>-350</formula>
      <formula>-1</formula>
    </cfRule>
  </conditionalFormatting>
  <conditionalFormatting sqref="AH1942:AI1942">
    <cfRule type="cellIs" dxfId="2951" priority="3593" stopIfTrue="1" operator="between">
      <formula>-0.15</formula>
      <formula>0.005</formula>
    </cfRule>
  </conditionalFormatting>
  <conditionalFormatting sqref="AE1942">
    <cfRule type="cellIs" dxfId="2950" priority="3594" stopIfTrue="1" operator="between">
      <formula>-0.15</formula>
      <formula>-0.0001</formula>
    </cfRule>
  </conditionalFormatting>
  <conditionalFormatting sqref="AE1941">
    <cfRule type="cellIs" dxfId="2949" priority="3576" stopIfTrue="1" operator="between">
      <formula>-0.15</formula>
      <formula>-0.0001</formula>
    </cfRule>
  </conditionalFormatting>
  <conditionalFormatting sqref="AH1919:AI1919">
    <cfRule type="cellIs" dxfId="2948" priority="3601" stopIfTrue="1" operator="between">
      <formula>-0.15</formula>
      <formula>0.005</formula>
    </cfRule>
  </conditionalFormatting>
  <conditionalFormatting sqref="N9">
    <cfRule type="cellIs" dxfId="2947" priority="3561" stopIfTrue="1" operator="between">
      <formula>-350</formula>
      <formula>-1</formula>
    </cfRule>
  </conditionalFormatting>
  <conditionalFormatting sqref="AE1937">
    <cfRule type="cellIs" dxfId="2946" priority="3629" stopIfTrue="1" operator="between">
      <formula>-0.15</formula>
      <formula>-0.0001</formula>
    </cfRule>
  </conditionalFormatting>
  <conditionalFormatting sqref="AH1939:AI1939">
    <cfRule type="cellIs" dxfId="2945" priority="3630" stopIfTrue="1" operator="between">
      <formula>-0.15</formula>
      <formula>0.005</formula>
    </cfRule>
  </conditionalFormatting>
  <conditionalFormatting sqref="AE1938">
    <cfRule type="cellIs" dxfId="2944" priority="3626" stopIfTrue="1" operator="between">
      <formula>-0.15</formula>
      <formula>-0.0001</formula>
    </cfRule>
  </conditionalFormatting>
  <conditionalFormatting sqref="N1937">
    <cfRule type="cellIs" dxfId="2943" priority="3627" stopIfTrue="1" operator="between">
      <formula>-350</formula>
      <formula>-1</formula>
    </cfRule>
  </conditionalFormatting>
  <conditionalFormatting sqref="AE1939">
    <cfRule type="cellIs" dxfId="2942" priority="3631" stopIfTrue="1" operator="between">
      <formula>-0.15</formula>
      <formula>-0.0001</formula>
    </cfRule>
  </conditionalFormatting>
  <conditionalFormatting sqref="AH1937:AI1937">
    <cfRule type="cellIs" dxfId="2941" priority="3628" stopIfTrue="1" operator="between">
      <formula>-0.15</formula>
      <formula>0.005</formula>
    </cfRule>
  </conditionalFormatting>
  <conditionalFormatting sqref="AH1938:AI1938">
    <cfRule type="cellIs" dxfId="2940" priority="3625" stopIfTrue="1" operator="between">
      <formula>-0.15</formula>
      <formula>0.005</formula>
    </cfRule>
  </conditionalFormatting>
  <conditionalFormatting sqref="N1938">
    <cfRule type="cellIs" dxfId="2939" priority="3624" stopIfTrue="1" operator="between">
      <formula>-350</formula>
      <formula>-1</formula>
    </cfRule>
  </conditionalFormatting>
  <conditionalFormatting sqref="AE1915">
    <cfRule type="cellIs" dxfId="2938" priority="3610" stopIfTrue="1" operator="between">
      <formula>-0.15</formula>
      <formula>-0.0001</formula>
    </cfRule>
  </conditionalFormatting>
  <conditionalFormatting sqref="AH1947:AI1947">
    <cfRule type="cellIs" dxfId="2937" priority="3622" stopIfTrue="1" operator="between">
      <formula>-0.15</formula>
      <formula>0.005</formula>
    </cfRule>
  </conditionalFormatting>
  <conditionalFormatting sqref="AE1918">
    <cfRule type="cellIs" dxfId="2936" priority="3612" stopIfTrue="1" operator="between">
      <formula>-0.15</formula>
      <formula>-0.0001</formula>
    </cfRule>
  </conditionalFormatting>
  <conditionalFormatting sqref="N1915">
    <cfRule type="cellIs" dxfId="2935" priority="3608" stopIfTrue="1" operator="between">
      <formula>-350</formula>
      <formula>-1</formula>
    </cfRule>
  </conditionalFormatting>
  <conditionalFormatting sqref="AE1947">
    <cfRule type="cellIs" dxfId="2934" priority="3623" stopIfTrue="1" operator="between">
      <formula>-0.15</formula>
      <formula>-0.0001</formula>
    </cfRule>
  </conditionalFormatting>
  <conditionalFormatting sqref="AH1946:AI1946">
    <cfRule type="cellIs" dxfId="2933" priority="3581" stopIfTrue="1" operator="between">
      <formula>-0.15</formula>
      <formula>0.005</formula>
    </cfRule>
  </conditionalFormatting>
  <conditionalFormatting sqref="AH1918:AI1918">
    <cfRule type="cellIs" dxfId="2932" priority="3611" stopIfTrue="1" operator="between">
      <formula>-0.15</formula>
      <formula>0.005</formula>
    </cfRule>
  </conditionalFormatting>
  <conditionalFormatting sqref="AE1923">
    <cfRule type="cellIs" dxfId="2931" priority="3604" stopIfTrue="1" operator="between">
      <formula>-0.15</formula>
      <formula>-0.0001</formula>
    </cfRule>
  </conditionalFormatting>
  <conditionalFormatting sqref="AE1917">
    <cfRule type="cellIs" dxfId="2930" priority="3607" stopIfTrue="1" operator="between">
      <formula>-0.15</formula>
      <formula>-0.0001</formula>
    </cfRule>
  </conditionalFormatting>
  <conditionalFormatting sqref="AH1923:AI1923">
    <cfRule type="cellIs" dxfId="2929" priority="3603" stopIfTrue="1" operator="between">
      <formula>-0.15</formula>
      <formula>0.005</formula>
    </cfRule>
  </conditionalFormatting>
  <conditionalFormatting sqref="AH1917:AI1917">
    <cfRule type="cellIs" dxfId="2928" priority="3606" stopIfTrue="1" operator="between">
      <formula>-0.15</formula>
      <formula>0.005</formula>
    </cfRule>
  </conditionalFormatting>
  <conditionalFormatting sqref="N1922">
    <cfRule type="cellIs" dxfId="2927" priority="3597" stopIfTrue="1" operator="between">
      <formula>-350</formula>
      <formula>-1</formula>
    </cfRule>
  </conditionalFormatting>
  <conditionalFormatting sqref="AE1919">
    <cfRule type="cellIs" dxfId="2926" priority="3602" stopIfTrue="1" operator="between">
      <formula>-0.15</formula>
      <formula>-0.0001</formula>
    </cfRule>
  </conditionalFormatting>
  <conditionalFormatting sqref="AE1922">
    <cfRule type="cellIs" dxfId="2925" priority="3599" stopIfTrue="1" operator="between">
      <formula>-0.15</formula>
      <formula>-0.0001</formula>
    </cfRule>
  </conditionalFormatting>
  <conditionalFormatting sqref="N1919">
    <cfRule type="cellIs" dxfId="2924" priority="3600" stopIfTrue="1" operator="between">
      <formula>-350</formula>
      <formula>-1</formula>
    </cfRule>
  </conditionalFormatting>
  <conditionalFormatting sqref="AH1922:AI1922">
    <cfRule type="cellIs" dxfId="2923" priority="3598" stopIfTrue="1" operator="between">
      <formula>-0.15</formula>
      <formula>0.005</formula>
    </cfRule>
  </conditionalFormatting>
  <conditionalFormatting sqref="N1942">
    <cfRule type="cellIs" dxfId="2922" priority="3592" stopIfTrue="1" operator="between">
      <formula>-350</formula>
      <formula>-1</formula>
    </cfRule>
  </conditionalFormatting>
  <conditionalFormatting sqref="AH1944:AI1944">
    <cfRule type="cellIs" dxfId="2921" priority="3595" stopIfTrue="1" operator="between">
      <formula>-0.15</formula>
      <formula>0.005</formula>
    </cfRule>
  </conditionalFormatting>
  <conditionalFormatting sqref="AE9">
    <cfRule type="cellIs" dxfId="2920" priority="3563" stopIfTrue="1" operator="between">
      <formula>-0.15</formula>
      <formula>-0.0001</formula>
    </cfRule>
  </conditionalFormatting>
  <conditionalFormatting sqref="N1940">
    <cfRule type="cellIs" dxfId="2919" priority="3572" stopIfTrue="1" operator="between">
      <formula>-350</formula>
      <formula>-1</formula>
    </cfRule>
  </conditionalFormatting>
  <conditionalFormatting sqref="AE1944">
    <cfRule type="cellIs" dxfId="2918" priority="3596" stopIfTrue="1" operator="between">
      <formula>-0.15</formula>
      <formula>-0.0001</formula>
    </cfRule>
  </conditionalFormatting>
  <conditionalFormatting sqref="AH1943:AI1943">
    <cfRule type="cellIs" dxfId="2917" priority="3587" stopIfTrue="1" operator="between">
      <formula>-0.15</formula>
      <formula>0.005</formula>
    </cfRule>
  </conditionalFormatting>
  <conditionalFormatting sqref="N1951">
    <cfRule type="cellIs" dxfId="2916" priority="3548" stopIfTrue="1" operator="between">
      <formula>-350</formula>
      <formula>-1</formula>
    </cfRule>
  </conditionalFormatting>
  <conditionalFormatting sqref="AE1946">
    <cfRule type="cellIs" dxfId="2915" priority="3582" stopIfTrue="1" operator="between">
      <formula>-0.15</formula>
      <formula>-0.0001</formula>
    </cfRule>
  </conditionalFormatting>
  <conditionalFormatting sqref="N1946">
    <cfRule type="cellIs" dxfId="2914" priority="3580" stopIfTrue="1" operator="between">
      <formula>-350</formula>
      <formula>-1</formula>
    </cfRule>
  </conditionalFormatting>
  <conditionalFormatting sqref="AE1954">
    <cfRule type="cellIs" dxfId="2913" priority="3552" stopIfTrue="1" operator="between">
      <formula>-0.15</formula>
      <formula>-0.0001</formula>
    </cfRule>
  </conditionalFormatting>
  <conditionalFormatting sqref="AH1941:AI1941">
    <cfRule type="cellIs" dxfId="2912" priority="3575" stopIfTrue="1" operator="between">
      <formula>-0.15</formula>
      <formula>0.005</formula>
    </cfRule>
  </conditionalFormatting>
  <conditionalFormatting sqref="AE1940">
    <cfRule type="cellIs" dxfId="2911" priority="3574" stopIfTrue="1" operator="between">
      <formula>-0.15</formula>
      <formula>-0.0001</formula>
    </cfRule>
  </conditionalFormatting>
  <conditionalFormatting sqref="AE1428">
    <cfRule type="cellIs" dxfId="2910" priority="3514" stopIfTrue="1" operator="between">
      <formula>-0.15</formula>
      <formula>-0.0001</formula>
    </cfRule>
  </conditionalFormatting>
  <conditionalFormatting sqref="N1389">
    <cfRule type="cellIs" dxfId="2909" priority="3532" stopIfTrue="1" operator="between">
      <formula>-350</formula>
      <formula>-1</formula>
    </cfRule>
  </conditionalFormatting>
  <conditionalFormatting sqref="AH1940:AI1940">
    <cfRule type="cellIs" dxfId="2908" priority="3573" stopIfTrue="1" operator="between">
      <formula>-0.15</formula>
      <formula>0.005</formula>
    </cfRule>
  </conditionalFormatting>
  <conditionalFormatting sqref="AH1954:AI1954">
    <cfRule type="cellIs" dxfId="2907" priority="3551" stopIfTrue="1" operator="between">
      <formula>-0.15</formula>
      <formula>0.005</formula>
    </cfRule>
  </conditionalFormatting>
  <conditionalFormatting sqref="AH9:AI9">
    <cfRule type="cellIs" dxfId="2906" priority="3562" stopIfTrue="1" operator="between">
      <formula>-0.15</formula>
      <formula>0.005</formula>
    </cfRule>
  </conditionalFormatting>
  <conditionalFormatting sqref="AE1951">
    <cfRule type="cellIs" dxfId="2905" priority="3550" stopIfTrue="1" operator="between">
      <formula>-0.15</formula>
      <formula>-0.0001</formula>
    </cfRule>
  </conditionalFormatting>
  <conditionalFormatting sqref="AH1951:AI1951">
    <cfRule type="cellIs" dxfId="2904" priority="3549" stopIfTrue="1" operator="between">
      <formula>-0.15</formula>
      <formula>0.005</formula>
    </cfRule>
  </conditionalFormatting>
  <conditionalFormatting sqref="AH1953:AI1953">
    <cfRule type="cellIs" dxfId="2903" priority="3546" stopIfTrue="1" operator="between">
      <formula>-0.15</formula>
      <formula>0.005</formula>
    </cfRule>
  </conditionalFormatting>
  <conditionalFormatting sqref="AE1953">
    <cfRule type="cellIs" dxfId="2902" priority="3547" stopIfTrue="1" operator="between">
      <formula>-0.15</formula>
      <formula>-0.0001</formula>
    </cfRule>
  </conditionalFormatting>
  <conditionalFormatting sqref="N1425">
    <cfRule type="cellIs" dxfId="2901" priority="3524" stopIfTrue="1" operator="between">
      <formula>-350</formula>
      <formula>-1</formula>
    </cfRule>
  </conditionalFormatting>
  <conditionalFormatting sqref="AH1385:AI1385">
    <cfRule type="cellIs" dxfId="2900" priority="3536" stopIfTrue="1" operator="between">
      <formula>-0.15</formula>
      <formula>0.005</formula>
    </cfRule>
  </conditionalFormatting>
  <conditionalFormatting sqref="N1953">
    <cfRule type="cellIs" dxfId="2899" priority="3545" stopIfTrue="1" operator="between">
      <formula>-350</formula>
      <formula>-1</formula>
    </cfRule>
  </conditionalFormatting>
  <conditionalFormatting sqref="AE1252">
    <cfRule type="cellIs" dxfId="2898" priority="3544" stopIfTrue="1" operator="between">
      <formula>-0.15</formula>
      <formula>-0.0001</formula>
    </cfRule>
  </conditionalFormatting>
  <conditionalFormatting sqref="AH1252:AI1252">
    <cfRule type="cellIs" dxfId="2897" priority="3543" stopIfTrue="1" operator="between">
      <formula>-0.15</formula>
      <formula>0.005</formula>
    </cfRule>
  </conditionalFormatting>
  <conditionalFormatting sqref="AE1390">
    <cfRule type="cellIs" dxfId="2896" priority="3539" stopIfTrue="1" operator="between">
      <formula>-0.15</formula>
      <formula>-0.0001</formula>
    </cfRule>
  </conditionalFormatting>
  <conditionalFormatting sqref="AH1390:AI1390">
    <cfRule type="cellIs" dxfId="2895" priority="3538" stopIfTrue="1" operator="between">
      <formula>-0.15</formula>
      <formula>0.005</formula>
    </cfRule>
  </conditionalFormatting>
  <conditionalFormatting sqref="AE1385">
    <cfRule type="cellIs" dxfId="2894" priority="3537" stopIfTrue="1" operator="between">
      <formula>-0.15</formula>
      <formula>-0.0001</formula>
    </cfRule>
  </conditionalFormatting>
  <conditionalFormatting sqref="N1385">
    <cfRule type="cellIs" dxfId="2893" priority="3535" stopIfTrue="1" operator="between">
      <formula>-350</formula>
      <formula>-1</formula>
    </cfRule>
  </conditionalFormatting>
  <conditionalFormatting sqref="AE1389">
    <cfRule type="cellIs" dxfId="2892" priority="3534" stopIfTrue="1" operator="between">
      <formula>-0.15</formula>
      <formula>-0.0001</formula>
    </cfRule>
  </conditionalFormatting>
  <conditionalFormatting sqref="AH1389:AI1389">
    <cfRule type="cellIs" dxfId="2891" priority="3533" stopIfTrue="1" operator="between">
      <formula>-0.15</formula>
      <formula>0.005</formula>
    </cfRule>
  </conditionalFormatting>
  <conditionalFormatting sqref="N1388">
    <cfRule type="cellIs" dxfId="2890" priority="3529" stopIfTrue="1" operator="between">
      <formula>-350</formula>
      <formula>-1</formula>
    </cfRule>
  </conditionalFormatting>
  <conditionalFormatting sqref="AE1388">
    <cfRule type="cellIs" dxfId="2889" priority="3531" stopIfTrue="1" operator="between">
      <formula>-0.15</formula>
      <formula>-0.0001</formula>
    </cfRule>
  </conditionalFormatting>
  <conditionalFormatting sqref="AH1388:AI1388">
    <cfRule type="cellIs" dxfId="2888" priority="3530" stopIfTrue="1" operator="between">
      <formula>-0.15</formula>
      <formula>0.005</formula>
    </cfRule>
  </conditionalFormatting>
  <conditionalFormatting sqref="N1427">
    <cfRule type="cellIs" dxfId="2887" priority="3510" stopIfTrue="1" operator="between">
      <formula>-350</formula>
      <formula>-1</formula>
    </cfRule>
  </conditionalFormatting>
  <conditionalFormatting sqref="AE1425">
    <cfRule type="cellIs" dxfId="2886" priority="3526" stopIfTrue="1" operator="between">
      <formula>-0.15</formula>
      <formula>-0.0001</formula>
    </cfRule>
  </conditionalFormatting>
  <conditionalFormatting sqref="AH1425:AI1425">
    <cfRule type="cellIs" dxfId="2885" priority="3525" stopIfTrue="1" operator="between">
      <formula>-0.15</formula>
      <formula>0.005</formula>
    </cfRule>
  </conditionalFormatting>
  <conditionalFormatting sqref="AH1426:AI1426">
    <cfRule type="cellIs" dxfId="2884" priority="3527" stopIfTrue="1" operator="between">
      <formula>-0.15</formula>
      <formula>0.005</formula>
    </cfRule>
  </conditionalFormatting>
  <conditionalFormatting sqref="AE1426">
    <cfRule type="cellIs" dxfId="2883" priority="3528" stopIfTrue="1" operator="between">
      <formula>-0.15</formula>
      <formula>-0.0001</formula>
    </cfRule>
  </conditionalFormatting>
  <conditionalFormatting sqref="AE1427">
    <cfRule type="cellIs" dxfId="2882" priority="3512" stopIfTrue="1" operator="between">
      <formula>-0.15</formula>
      <formula>-0.0001</formula>
    </cfRule>
  </conditionalFormatting>
  <conditionalFormatting sqref="AH1427:AI1427">
    <cfRule type="cellIs" dxfId="2881" priority="3511" stopIfTrue="1" operator="between">
      <formula>-0.15</formula>
      <formula>0.005</formula>
    </cfRule>
  </conditionalFormatting>
  <conditionalFormatting sqref="N1284">
    <cfRule type="cellIs" dxfId="2880" priority="3488" stopIfTrue="1" operator="between">
      <formula>-350</formula>
      <formula>-1</formula>
    </cfRule>
  </conditionalFormatting>
  <conditionalFormatting sqref="AH1428:AI1428">
    <cfRule type="cellIs" dxfId="2879" priority="3513" stopIfTrue="1" operator="between">
      <formula>-0.15</formula>
      <formula>0.005</formula>
    </cfRule>
  </conditionalFormatting>
  <conditionalFormatting sqref="AE1284">
    <cfRule type="cellIs" dxfId="2878" priority="3490" stopIfTrue="1" operator="between">
      <formula>-0.15</formula>
      <formula>-0.0001</formula>
    </cfRule>
  </conditionalFormatting>
  <conditionalFormatting sqref="AH1284:AI1284">
    <cfRule type="cellIs" dxfId="2877" priority="3489" stopIfTrue="1" operator="between">
      <formula>-0.15</formula>
      <formula>0.005</formula>
    </cfRule>
  </conditionalFormatting>
  <conditionalFormatting sqref="AE1285">
    <cfRule type="cellIs" dxfId="2876" priority="3492" stopIfTrue="1" operator="between">
      <formula>-0.15</formula>
      <formula>-0.0001</formula>
    </cfRule>
  </conditionalFormatting>
  <conditionalFormatting sqref="AH1285:AI1285">
    <cfRule type="cellIs" dxfId="2875" priority="3491" stopIfTrue="1" operator="between">
      <formula>-0.15</formula>
      <formula>0.005</formula>
    </cfRule>
  </conditionalFormatting>
  <conditionalFormatting sqref="N1306">
    <cfRule type="cellIs" dxfId="2874" priority="3496" stopIfTrue="1" operator="between">
      <formula>-350</formula>
      <formula>-1</formula>
    </cfRule>
  </conditionalFormatting>
  <conditionalFormatting sqref="AE1306">
    <cfRule type="cellIs" dxfId="2873" priority="3498" stopIfTrue="1" operator="between">
      <formula>-0.15</formula>
      <formula>-0.0001</formula>
    </cfRule>
  </conditionalFormatting>
  <conditionalFormatting sqref="AH1306:AI1306">
    <cfRule type="cellIs" dxfId="2872" priority="3497" stopIfTrue="1" operator="between">
      <formula>-0.15</formula>
      <formula>0.005</formula>
    </cfRule>
  </conditionalFormatting>
  <conditionalFormatting sqref="AE1307">
    <cfRule type="cellIs" dxfId="2871" priority="3500" stopIfTrue="1" operator="between">
      <formula>-0.15</formula>
      <formula>-0.0001</formula>
    </cfRule>
  </conditionalFormatting>
  <conditionalFormatting sqref="AH1307:AI1307">
    <cfRule type="cellIs" dxfId="2870" priority="3499" stopIfTrue="1" operator="between">
      <formula>-0.15</formula>
      <formula>0.005</formula>
    </cfRule>
  </conditionalFormatting>
  <conditionalFormatting sqref="AE1286">
    <cfRule type="cellIs" dxfId="2869" priority="3479" stopIfTrue="1" operator="between">
      <formula>-0.15</formula>
      <formula>-0.0001</formula>
    </cfRule>
  </conditionalFormatting>
  <conditionalFormatting sqref="AH1286:AI1286">
    <cfRule type="cellIs" dxfId="2868" priority="3478" stopIfTrue="1" operator="between">
      <formula>-0.15</formula>
      <formula>0.005</formula>
    </cfRule>
  </conditionalFormatting>
  <conditionalFormatting sqref="N1286">
    <cfRule type="cellIs" dxfId="2867" priority="3477" stopIfTrue="1" operator="between">
      <formula>-350</formula>
      <formula>-1</formula>
    </cfRule>
  </conditionalFormatting>
  <conditionalFormatting sqref="AE1955">
    <cfRule type="cellIs" dxfId="2866" priority="3452" stopIfTrue="1" operator="between">
      <formula>-0.15</formula>
      <formula>-0.0001</formula>
    </cfRule>
  </conditionalFormatting>
  <conditionalFormatting sqref="AH1955:AI1955">
    <cfRule type="cellIs" dxfId="2865" priority="3451" stopIfTrue="1" operator="between">
      <formula>-0.15</formula>
      <formula>0.005</formula>
    </cfRule>
  </conditionalFormatting>
  <conditionalFormatting sqref="N1955">
    <cfRule type="cellIs" dxfId="2864" priority="3450" stopIfTrue="1" operator="between">
      <formula>-350</formula>
      <formula>-1</formula>
    </cfRule>
  </conditionalFormatting>
  <conditionalFormatting sqref="AE1287">
    <cfRule type="cellIs" dxfId="2863" priority="3473" stopIfTrue="1" operator="between">
      <formula>-0.15</formula>
      <formula>-0.0001</formula>
    </cfRule>
  </conditionalFormatting>
  <conditionalFormatting sqref="AH1287:AI1287">
    <cfRule type="cellIs" dxfId="2862" priority="3472" stopIfTrue="1" operator="between">
      <formula>-0.15</formula>
      <formula>0.005</formula>
    </cfRule>
  </conditionalFormatting>
  <conditionalFormatting sqref="N1287">
    <cfRule type="cellIs" dxfId="2861" priority="3471" stopIfTrue="1" operator="between">
      <formula>-350</formula>
      <formula>-1</formula>
    </cfRule>
  </conditionalFormatting>
  <conditionalFormatting sqref="AE1289">
    <cfRule type="cellIs" dxfId="2860" priority="3481" stopIfTrue="1" operator="between">
      <formula>-0.15</formula>
      <formula>-0.0001</formula>
    </cfRule>
  </conditionalFormatting>
  <conditionalFormatting sqref="AH1289:AI1289">
    <cfRule type="cellIs" dxfId="2859" priority="3480" stopIfTrue="1" operator="between">
      <formula>-0.15</formula>
      <formula>0.005</formula>
    </cfRule>
  </conditionalFormatting>
  <conditionalFormatting sqref="AE1288">
    <cfRule type="cellIs" dxfId="2858" priority="3476" stopIfTrue="1" operator="between">
      <formula>-0.15</formula>
      <formula>-0.0001</formula>
    </cfRule>
  </conditionalFormatting>
  <conditionalFormatting sqref="AH1288:AI1288">
    <cfRule type="cellIs" dxfId="2857" priority="3475" stopIfTrue="1" operator="between">
      <formula>-0.15</formula>
      <formula>0.005</formula>
    </cfRule>
  </conditionalFormatting>
  <conditionalFormatting sqref="N1288">
    <cfRule type="cellIs" dxfId="2856" priority="3474" stopIfTrue="1" operator="between">
      <formula>-350</formula>
      <formula>-1</formula>
    </cfRule>
  </conditionalFormatting>
  <conditionalFormatting sqref="AE1948">
    <cfRule type="cellIs" dxfId="2855" priority="3468" stopIfTrue="1" operator="between">
      <formula>-0.15</formula>
      <formula>-0.0001</formula>
    </cfRule>
  </conditionalFormatting>
  <conditionalFormatting sqref="AH1950:AI1950">
    <cfRule type="cellIs" dxfId="2854" priority="3469" stopIfTrue="1" operator="between">
      <formula>-0.15</formula>
      <formula>0.005</formula>
    </cfRule>
  </conditionalFormatting>
  <conditionalFormatting sqref="AE1949">
    <cfRule type="cellIs" dxfId="2853" priority="3465" stopIfTrue="1" operator="between">
      <formula>-0.15</formula>
      <formula>-0.0001</formula>
    </cfRule>
  </conditionalFormatting>
  <conditionalFormatting sqref="N1948">
    <cfRule type="cellIs" dxfId="2852" priority="3466" stopIfTrue="1" operator="between">
      <formula>-350</formula>
      <formula>-1</formula>
    </cfRule>
  </conditionalFormatting>
  <conditionalFormatting sqref="AE1950">
    <cfRule type="cellIs" dxfId="2851" priority="3470" stopIfTrue="1" operator="between">
      <formula>-0.15</formula>
      <formula>-0.0001</formula>
    </cfRule>
  </conditionalFormatting>
  <conditionalFormatting sqref="AH1948:AI1948">
    <cfRule type="cellIs" dxfId="2850" priority="3467" stopIfTrue="1" operator="between">
      <formula>-0.15</formula>
      <formula>0.005</formula>
    </cfRule>
  </conditionalFormatting>
  <conditionalFormatting sqref="AH1949:AI1949">
    <cfRule type="cellIs" dxfId="2849" priority="3464" stopIfTrue="1" operator="between">
      <formula>-0.15</formula>
      <formula>0.005</formula>
    </cfRule>
  </conditionalFormatting>
  <conditionalFormatting sqref="N1949">
    <cfRule type="cellIs" dxfId="2848" priority="3463" stopIfTrue="1" operator="between">
      <formula>-350</formula>
      <formula>-1</formula>
    </cfRule>
  </conditionalFormatting>
  <conditionalFormatting sqref="AE1959">
    <cfRule type="cellIs" dxfId="2847" priority="3460" stopIfTrue="1" operator="between">
      <formula>-0.15</formula>
      <formula>-0.0001</formula>
    </cfRule>
  </conditionalFormatting>
  <conditionalFormatting sqref="AH1961:AI1961">
    <cfRule type="cellIs" dxfId="2846" priority="3461" stopIfTrue="1" operator="between">
      <formula>-0.15</formula>
      <formula>0.005</formula>
    </cfRule>
  </conditionalFormatting>
  <conditionalFormatting sqref="AE1960">
    <cfRule type="cellIs" dxfId="2845" priority="3457" stopIfTrue="1" operator="between">
      <formula>-0.15</formula>
      <formula>-0.0001</formula>
    </cfRule>
  </conditionalFormatting>
  <conditionalFormatting sqref="N1959">
    <cfRule type="cellIs" dxfId="2844" priority="3458" stopIfTrue="1" operator="between">
      <formula>-350</formula>
      <formula>-1</formula>
    </cfRule>
  </conditionalFormatting>
  <conditionalFormatting sqref="AE1961">
    <cfRule type="cellIs" dxfId="2843" priority="3462" stopIfTrue="1" operator="between">
      <formula>-0.15</formula>
      <formula>-0.0001</formula>
    </cfRule>
  </conditionalFormatting>
  <conditionalFormatting sqref="AH1959:AI1959">
    <cfRule type="cellIs" dxfId="2842" priority="3459" stopIfTrue="1" operator="between">
      <formula>-0.15</formula>
      <formula>0.005</formula>
    </cfRule>
  </conditionalFormatting>
  <conditionalFormatting sqref="AH1960:AI1960">
    <cfRule type="cellIs" dxfId="2841" priority="3456" stopIfTrue="1" operator="between">
      <formula>-0.15</formula>
      <formula>0.005</formula>
    </cfRule>
  </conditionalFormatting>
  <conditionalFormatting sqref="N1960">
    <cfRule type="cellIs" dxfId="2840" priority="3455" stopIfTrue="1" operator="between">
      <formula>-350</formula>
      <formula>-1</formula>
    </cfRule>
  </conditionalFormatting>
  <conditionalFormatting sqref="AE1962">
    <cfRule type="cellIs" dxfId="2839" priority="3394" stopIfTrue="1" operator="between">
      <formula>-0.15</formula>
      <formula>-0.0001</formula>
    </cfRule>
  </conditionalFormatting>
  <conditionalFormatting sqref="AH1958:AI1958">
    <cfRule type="cellIs" dxfId="2838" priority="3453" stopIfTrue="1" operator="between">
      <formula>-0.15</formula>
      <formula>0.005</formula>
    </cfRule>
  </conditionalFormatting>
  <conditionalFormatting sqref="AE1957">
    <cfRule type="cellIs" dxfId="2837" priority="3449" stopIfTrue="1" operator="between">
      <formula>-0.15</formula>
      <formula>-0.0001</formula>
    </cfRule>
  </conditionalFormatting>
  <conditionalFormatting sqref="N1962">
    <cfRule type="cellIs" dxfId="2836" priority="3392" stopIfTrue="1" operator="between">
      <formula>-350</formula>
      <formula>-1</formula>
    </cfRule>
  </conditionalFormatting>
  <conditionalFormatting sqref="AE1958">
    <cfRule type="cellIs" dxfId="2835" priority="3454" stopIfTrue="1" operator="between">
      <formula>-0.15</formula>
      <formula>-0.0001</formula>
    </cfRule>
  </conditionalFormatting>
  <conditionalFormatting sqref="AH1962:AI1962">
    <cfRule type="cellIs" dxfId="2834" priority="3393" stopIfTrue="1" operator="between">
      <formula>-0.15</formula>
      <formula>0.005</formula>
    </cfRule>
  </conditionalFormatting>
  <conditionalFormatting sqref="AH1957:AI1957">
    <cfRule type="cellIs" dxfId="2833" priority="3448" stopIfTrue="1" operator="between">
      <formula>-0.15</formula>
      <formula>0.005</formula>
    </cfRule>
  </conditionalFormatting>
  <conditionalFormatting sqref="N1957">
    <cfRule type="cellIs" dxfId="2832" priority="3447" stopIfTrue="1" operator="between">
      <formula>-350</formula>
      <formula>-1</formula>
    </cfRule>
  </conditionalFormatting>
  <conditionalFormatting sqref="AE1370">
    <cfRule type="cellIs" dxfId="2831" priority="3446" stopIfTrue="1" operator="between">
      <formula>-0.15</formula>
      <formula>-0.0001</formula>
    </cfRule>
  </conditionalFormatting>
  <conditionalFormatting sqref="AH1370:AI1370">
    <cfRule type="cellIs" dxfId="2830" priority="3445" stopIfTrue="1" operator="between">
      <formula>-0.15</formula>
      <formula>0.005</formula>
    </cfRule>
  </conditionalFormatting>
  <conditionalFormatting sqref="AE1367">
    <cfRule type="cellIs" dxfId="2829" priority="3444" stopIfTrue="1" operator="between">
      <formula>-0.15</formula>
      <formula>-0.0001</formula>
    </cfRule>
  </conditionalFormatting>
  <conditionalFormatting sqref="AH1367:AI1367">
    <cfRule type="cellIs" dxfId="2828" priority="3443" stopIfTrue="1" operator="between">
      <formula>-0.15</formula>
      <formula>0.005</formula>
    </cfRule>
  </conditionalFormatting>
  <conditionalFormatting sqref="N1367">
    <cfRule type="cellIs" dxfId="2827" priority="3442" stopIfTrue="1" operator="between">
      <formula>-350</formula>
      <formula>-1</formula>
    </cfRule>
  </conditionalFormatting>
  <conditionalFormatting sqref="AE1369">
    <cfRule type="cellIs" dxfId="2826" priority="3441" stopIfTrue="1" operator="between">
      <formula>-0.15</formula>
      <formula>-0.0001</formula>
    </cfRule>
  </conditionalFormatting>
  <conditionalFormatting sqref="AH1369:AI1369">
    <cfRule type="cellIs" dxfId="2825" priority="3440" stopIfTrue="1" operator="between">
      <formula>-0.15</formula>
      <formula>0.005</formula>
    </cfRule>
  </conditionalFormatting>
  <conditionalFormatting sqref="N1369">
    <cfRule type="cellIs" dxfId="2824" priority="3439" stopIfTrue="1" operator="between">
      <formula>-350</formula>
      <formula>-1</formula>
    </cfRule>
  </conditionalFormatting>
  <conditionalFormatting sqref="AE1355">
    <cfRule type="cellIs" dxfId="2823" priority="3438" stopIfTrue="1" operator="between">
      <formula>-0.15</formula>
      <formula>-0.0001</formula>
    </cfRule>
  </conditionalFormatting>
  <conditionalFormatting sqref="AH1355:AI1355">
    <cfRule type="cellIs" dxfId="2822" priority="3437" stopIfTrue="1" operator="between">
      <formula>-0.15</formula>
      <formula>0.005</formula>
    </cfRule>
  </conditionalFormatting>
  <conditionalFormatting sqref="AE1332">
    <cfRule type="cellIs" dxfId="2821" priority="3436" stopIfTrue="1" operator="between">
      <formula>-0.15</formula>
      <formula>-0.0001</formula>
    </cfRule>
  </conditionalFormatting>
  <conditionalFormatting sqref="AH1332:AI1332">
    <cfRule type="cellIs" dxfId="2820" priority="3435" stopIfTrue="1" operator="between">
      <formula>-0.15</formula>
      <formula>0.005</formula>
    </cfRule>
  </conditionalFormatting>
  <conditionalFormatting sqref="N1332">
    <cfRule type="cellIs" dxfId="2819" priority="3434" stopIfTrue="1" operator="between">
      <formula>-350</formula>
      <formula>-1</formula>
    </cfRule>
  </conditionalFormatting>
  <conditionalFormatting sqref="AE1354">
    <cfRule type="cellIs" dxfId="2818" priority="3433" stopIfTrue="1" operator="between">
      <formula>-0.15</formula>
      <formula>-0.0001</formula>
    </cfRule>
  </conditionalFormatting>
  <conditionalFormatting sqref="AH1354:AI1354">
    <cfRule type="cellIs" dxfId="2817" priority="3432" stopIfTrue="1" operator="between">
      <formula>-0.15</formula>
      <formula>0.005</formula>
    </cfRule>
  </conditionalFormatting>
  <conditionalFormatting sqref="N1354">
    <cfRule type="cellIs" dxfId="2816" priority="3431" stopIfTrue="1" operator="between">
      <formula>-350</formula>
      <formula>-1</formula>
    </cfRule>
  </conditionalFormatting>
  <conditionalFormatting sqref="AE1965">
    <cfRule type="cellIs" dxfId="2815" priority="3428" stopIfTrue="1" operator="between">
      <formula>-0.15</formula>
      <formula>-0.0001</formula>
    </cfRule>
  </conditionalFormatting>
  <conditionalFormatting sqref="AH1968:AI1968">
    <cfRule type="cellIs" dxfId="2814" priority="3429" stopIfTrue="1" operator="between">
      <formula>-0.15</formula>
      <formula>0.005</formula>
    </cfRule>
  </conditionalFormatting>
  <conditionalFormatting sqref="AE1967">
    <cfRule type="cellIs" dxfId="2813" priority="3425" stopIfTrue="1" operator="between">
      <formula>-0.15</formula>
      <formula>-0.0001</formula>
    </cfRule>
  </conditionalFormatting>
  <conditionalFormatting sqref="N1965">
    <cfRule type="cellIs" dxfId="2812" priority="3426" stopIfTrue="1" operator="between">
      <formula>-350</formula>
      <formula>-1</formula>
    </cfRule>
  </conditionalFormatting>
  <conditionalFormatting sqref="AE1968">
    <cfRule type="cellIs" dxfId="2811" priority="3430" stopIfTrue="1" operator="between">
      <formula>-0.15</formula>
      <formula>-0.0001</formula>
    </cfRule>
  </conditionalFormatting>
  <conditionalFormatting sqref="AH1965:AI1965">
    <cfRule type="cellIs" dxfId="2810" priority="3427" stopIfTrue="1" operator="between">
      <formula>-0.15</formula>
      <formula>0.005</formula>
    </cfRule>
  </conditionalFormatting>
  <conditionalFormatting sqref="AH1967:AI1967">
    <cfRule type="cellIs" dxfId="2809" priority="3424" stopIfTrue="1" operator="between">
      <formula>-0.15</formula>
      <formula>0.005</formula>
    </cfRule>
  </conditionalFormatting>
  <conditionalFormatting sqref="N1967">
    <cfRule type="cellIs" dxfId="2808" priority="3423" stopIfTrue="1" operator="between">
      <formula>-350</formula>
      <formula>-1</formula>
    </cfRule>
  </conditionalFormatting>
  <conditionalFormatting sqref="AE1966">
    <cfRule type="cellIs" dxfId="2807" priority="3422" stopIfTrue="1" operator="between">
      <formula>-0.15</formula>
      <formula>-0.0001</formula>
    </cfRule>
  </conditionalFormatting>
  <conditionalFormatting sqref="AH1966:AI1966">
    <cfRule type="cellIs" dxfId="2806" priority="3421" stopIfTrue="1" operator="between">
      <formula>-0.15</formula>
      <formula>0.005</formula>
    </cfRule>
  </conditionalFormatting>
  <conditionalFormatting sqref="N1966">
    <cfRule type="cellIs" dxfId="2805" priority="3420" stopIfTrue="1" operator="between">
      <formula>-350</formula>
      <formula>-1</formula>
    </cfRule>
  </conditionalFormatting>
  <conditionalFormatting sqref="AE1643">
    <cfRule type="cellIs" dxfId="2804" priority="3419" stopIfTrue="1" operator="between">
      <formula>-0.15</formula>
      <formula>-0.0001</formula>
    </cfRule>
  </conditionalFormatting>
  <conditionalFormatting sqref="AH1643:AI1643">
    <cfRule type="cellIs" dxfId="2803" priority="3418" stopIfTrue="1" operator="between">
      <formula>-0.15</formula>
      <formula>0.005</formula>
    </cfRule>
  </conditionalFormatting>
  <conditionalFormatting sqref="N1643">
    <cfRule type="cellIs" dxfId="2802" priority="3417" stopIfTrue="1" operator="between">
      <formula>-350</formula>
      <formula>-1</formula>
    </cfRule>
  </conditionalFormatting>
  <conditionalFormatting sqref="AE1988">
    <cfRule type="cellIs" dxfId="2801" priority="3375" stopIfTrue="1" operator="between">
      <formula>-0.15</formula>
      <formula>-0.0001</formula>
    </cfRule>
  </conditionalFormatting>
  <conditionalFormatting sqref="AH1988:AI1988">
    <cfRule type="cellIs" dxfId="2800" priority="3374" stopIfTrue="1" operator="between">
      <formula>-0.15</formula>
      <formula>0.005</formula>
    </cfRule>
  </conditionalFormatting>
  <conditionalFormatting sqref="N1988">
    <cfRule type="cellIs" dxfId="2799" priority="3373" stopIfTrue="1" operator="between">
      <formula>-350</formula>
      <formula>-1</formula>
    </cfRule>
  </conditionalFormatting>
  <conditionalFormatting sqref="AE1997">
    <cfRule type="cellIs" dxfId="2798" priority="3377" stopIfTrue="1" operator="between">
      <formula>-0.15</formula>
      <formula>-0.0001</formula>
    </cfRule>
  </conditionalFormatting>
  <conditionalFormatting sqref="AH1997:AI1997">
    <cfRule type="cellIs" dxfId="2797" priority="3376" stopIfTrue="1" operator="between">
      <formula>-0.15</formula>
      <formula>0.005</formula>
    </cfRule>
  </conditionalFormatting>
  <conditionalFormatting sqref="AE1770">
    <cfRule type="cellIs" dxfId="2796" priority="3402" stopIfTrue="1" operator="between">
      <formula>-0.15</formula>
      <formula>-0.0001</formula>
    </cfRule>
  </conditionalFormatting>
  <conditionalFormatting sqref="AH1770:AI1770">
    <cfRule type="cellIs" dxfId="2795" priority="3401" stopIfTrue="1" operator="between">
      <formula>-0.15</formula>
      <formula>0.005</formula>
    </cfRule>
  </conditionalFormatting>
  <conditionalFormatting sqref="N1770">
    <cfRule type="cellIs" dxfId="2794" priority="3400" stopIfTrue="1" operator="between">
      <formula>-350</formula>
      <formula>-1</formula>
    </cfRule>
  </conditionalFormatting>
  <conditionalFormatting sqref="AE1996">
    <cfRule type="cellIs" dxfId="2793" priority="3372" stopIfTrue="1" operator="between">
      <formula>-0.15</formula>
      <formula>-0.0001</formula>
    </cfRule>
  </conditionalFormatting>
  <conditionalFormatting sqref="AH1996:AI1996">
    <cfRule type="cellIs" dxfId="2792" priority="3371" stopIfTrue="1" operator="between">
      <formula>-0.15</formula>
      <formula>0.005</formula>
    </cfRule>
  </conditionalFormatting>
  <conditionalFormatting sqref="N1996">
    <cfRule type="cellIs" dxfId="2791" priority="3370" stopIfTrue="1" operator="between">
      <formula>-350</formula>
      <formula>-1</formula>
    </cfRule>
  </conditionalFormatting>
  <conditionalFormatting sqref="AE1771">
    <cfRule type="cellIs" dxfId="2790" priority="3399" stopIfTrue="1" operator="between">
      <formula>-0.15</formula>
      <formula>-0.0001</formula>
    </cfRule>
  </conditionalFormatting>
  <conditionalFormatting sqref="AH1771:AI1771">
    <cfRule type="cellIs" dxfId="2789" priority="3398" stopIfTrue="1" operator="between">
      <formula>-0.15</formula>
      <formula>0.005</formula>
    </cfRule>
  </conditionalFormatting>
  <conditionalFormatting sqref="N1771">
    <cfRule type="cellIs" dxfId="2788" priority="3397" stopIfTrue="1" operator="between">
      <formula>-350</formula>
      <formula>-1</formula>
    </cfRule>
  </conditionalFormatting>
  <conditionalFormatting sqref="AE1963">
    <cfRule type="cellIs" dxfId="2787" priority="3388" stopIfTrue="1" operator="between">
      <formula>-0.15</formula>
      <formula>-0.0001</formula>
    </cfRule>
  </conditionalFormatting>
  <conditionalFormatting sqref="AH1964:AI1964">
    <cfRule type="cellIs" dxfId="2786" priority="3395" stopIfTrue="1" operator="between">
      <formula>-0.15</formula>
      <formula>0.005</formula>
    </cfRule>
  </conditionalFormatting>
  <conditionalFormatting sqref="AE2248">
    <cfRule type="cellIs" dxfId="2785" priority="3385" stopIfTrue="1" operator="between">
      <formula>-0.15</formula>
      <formula>-0.0001</formula>
    </cfRule>
  </conditionalFormatting>
  <conditionalFormatting sqref="N1963">
    <cfRule type="cellIs" dxfId="2784" priority="3386" stopIfTrue="1" operator="between">
      <formula>-350</formula>
      <formula>-1</formula>
    </cfRule>
  </conditionalFormatting>
  <conditionalFormatting sqref="AE1964">
    <cfRule type="cellIs" dxfId="2783" priority="3396" stopIfTrue="1" operator="between">
      <formula>-0.15</formula>
      <formula>-0.0001</formula>
    </cfRule>
  </conditionalFormatting>
  <conditionalFormatting sqref="AH1963:AI1963">
    <cfRule type="cellIs" dxfId="2782" priority="3387" stopIfTrue="1" operator="between">
      <formula>-0.15</formula>
      <formula>0.005</formula>
    </cfRule>
  </conditionalFormatting>
  <conditionalFormatting sqref="AH2248:AI2248">
    <cfRule type="cellIs" dxfId="2781" priority="3384" stopIfTrue="1" operator="between">
      <formula>-0.15</formula>
      <formula>0.005</formula>
    </cfRule>
  </conditionalFormatting>
  <conditionalFormatting sqref="N2248">
    <cfRule type="cellIs" dxfId="2780" priority="3383" stopIfTrue="1" operator="between">
      <formula>-350</formula>
      <formula>-1</formula>
    </cfRule>
  </conditionalFormatting>
  <conditionalFormatting sqref="AE1571">
    <cfRule type="cellIs" dxfId="2779" priority="3318" stopIfTrue="1" operator="between">
      <formula>-0.15</formula>
      <formula>-0.0001</formula>
    </cfRule>
  </conditionalFormatting>
  <conditionalFormatting sqref="AH1571:AI1571">
    <cfRule type="cellIs" dxfId="2778" priority="3317" stopIfTrue="1" operator="between">
      <formula>-0.15</formula>
      <formula>0.005</formula>
    </cfRule>
  </conditionalFormatting>
  <conditionalFormatting sqref="N1972">
    <cfRule type="cellIs" dxfId="2777" priority="3286" stopIfTrue="1" operator="between">
      <formula>-350</formula>
      <formula>-1</formula>
    </cfRule>
  </conditionalFormatting>
  <conditionalFormatting sqref="AE1399">
    <cfRule type="cellIs" dxfId="2776" priority="3380" stopIfTrue="1" operator="between">
      <formula>-0.15</formula>
      <formula>-0.0001</formula>
    </cfRule>
  </conditionalFormatting>
  <conditionalFormatting sqref="AH1399:AI1399">
    <cfRule type="cellIs" dxfId="2775" priority="3379" stopIfTrue="1" operator="between">
      <formula>-0.15</formula>
      <formula>0.005</formula>
    </cfRule>
  </conditionalFormatting>
  <conditionalFormatting sqref="AE1400">
    <cfRule type="cellIs" dxfId="2774" priority="3382" stopIfTrue="1" operator="between">
      <formula>-0.15</formula>
      <formula>-0.0001</formula>
    </cfRule>
  </conditionalFormatting>
  <conditionalFormatting sqref="AH1400:AI1400">
    <cfRule type="cellIs" dxfId="2773" priority="3381" stopIfTrue="1" operator="between">
      <formula>-0.15</formula>
      <formula>0.005</formula>
    </cfRule>
  </conditionalFormatting>
  <conditionalFormatting sqref="N1399">
    <cfRule type="cellIs" dxfId="2772" priority="3378" stopIfTrue="1" operator="between">
      <formula>-350</formula>
      <formula>-1</formula>
    </cfRule>
  </conditionalFormatting>
  <conditionalFormatting sqref="AE2121">
    <cfRule type="cellIs" dxfId="2771" priority="3369" stopIfTrue="1" operator="between">
      <formula>-0.15</formula>
      <formula>-0.0001</formula>
    </cfRule>
  </conditionalFormatting>
  <conditionalFormatting sqref="AH1559:AI1559">
    <cfRule type="cellIs" dxfId="2770" priority="3346" stopIfTrue="1" operator="between">
      <formula>-0.15</formula>
      <formula>0.005</formula>
    </cfRule>
  </conditionalFormatting>
  <conditionalFormatting sqref="AE1573">
    <cfRule type="cellIs" dxfId="2769" priority="3321" stopIfTrue="1" operator="between">
      <formula>-0.15</formula>
      <formula>-0.0001</formula>
    </cfRule>
  </conditionalFormatting>
  <conditionalFormatting sqref="N2121">
    <cfRule type="cellIs" dxfId="2768" priority="3367" stopIfTrue="1" operator="between">
      <formula>-350</formula>
      <formula>-1</formula>
    </cfRule>
  </conditionalFormatting>
  <conditionalFormatting sqref="AE1559">
    <cfRule type="cellIs" dxfId="2767" priority="3347" stopIfTrue="1" operator="between">
      <formula>-0.15</formula>
      <formula>-0.0001</formula>
    </cfRule>
  </conditionalFormatting>
  <conditionalFormatting sqref="AH2121:AI2121">
    <cfRule type="cellIs" dxfId="2766" priority="3368" stopIfTrue="1" operator="between">
      <formula>-0.15</formula>
      <formula>0.005</formula>
    </cfRule>
  </conditionalFormatting>
  <conditionalFormatting sqref="AH1573:AI1573">
    <cfRule type="cellIs" dxfId="2765" priority="3320" stopIfTrue="1" operator="between">
      <formula>-0.15</formula>
      <formula>0.005</formula>
    </cfRule>
  </conditionalFormatting>
  <conditionalFormatting sqref="N1573">
    <cfRule type="cellIs" dxfId="2764" priority="3319" stopIfTrue="1" operator="between">
      <formula>-350</formula>
      <formula>-1</formula>
    </cfRule>
  </conditionalFormatting>
  <conditionalFormatting sqref="AE1969">
    <cfRule type="cellIs" dxfId="2763" priority="3291" stopIfTrue="1" operator="between">
      <formula>-0.15</formula>
      <formula>-0.0001</formula>
    </cfRule>
  </conditionalFormatting>
  <conditionalFormatting sqref="AH1969:AI1969">
    <cfRule type="cellIs" dxfId="2762" priority="3290" stopIfTrue="1" operator="between">
      <formula>-0.15</formula>
      <formula>0.005</formula>
    </cfRule>
  </conditionalFormatting>
  <conditionalFormatting sqref="N1969">
    <cfRule type="cellIs" dxfId="2761" priority="3289" stopIfTrue="1" operator="between">
      <formula>-350</formula>
      <formula>-1</formula>
    </cfRule>
  </conditionalFormatting>
  <conditionalFormatting sqref="AE1558">
    <cfRule type="cellIs" dxfId="2760" priority="3366" stopIfTrue="1" operator="between">
      <formula>-0.15</formula>
      <formula>-0.0001</formula>
    </cfRule>
  </conditionalFormatting>
  <conditionalFormatting sqref="AH1558:AI1558">
    <cfRule type="cellIs" dxfId="2759" priority="3365" stopIfTrue="1" operator="between">
      <formula>-0.15</formula>
      <formula>0.005</formula>
    </cfRule>
  </conditionalFormatting>
  <conditionalFormatting sqref="AE1562">
    <cfRule type="cellIs" dxfId="2758" priority="3349" stopIfTrue="1" operator="between">
      <formula>-0.15</formula>
      <formula>-0.0001</formula>
    </cfRule>
  </conditionalFormatting>
  <conditionalFormatting sqref="AH1562:AI1562">
    <cfRule type="cellIs" dxfId="2757" priority="3348" stopIfTrue="1" operator="between">
      <formula>-0.15</formula>
      <formula>0.005</formula>
    </cfRule>
  </conditionalFormatting>
  <conditionalFormatting sqref="N1560">
    <cfRule type="cellIs" dxfId="2756" priority="3336" stopIfTrue="1" operator="between">
      <formula>-350</formula>
      <formula>-1</formula>
    </cfRule>
  </conditionalFormatting>
  <conditionalFormatting sqref="AE1556">
    <cfRule type="cellIs" dxfId="2755" priority="3361" stopIfTrue="1" operator="between">
      <formula>-0.15</formula>
      <formula>-0.0001</formula>
    </cfRule>
  </conditionalFormatting>
  <conditionalFormatting sqref="AH1556:AI1556">
    <cfRule type="cellIs" dxfId="2754" priority="3360" stopIfTrue="1" operator="between">
      <formula>-0.15</formula>
      <formula>0.005</formula>
    </cfRule>
  </conditionalFormatting>
  <conditionalFormatting sqref="N1556">
    <cfRule type="cellIs" dxfId="2753" priority="3359" stopIfTrue="1" operator="between">
      <formula>-350</formula>
      <formula>-1</formula>
    </cfRule>
  </conditionalFormatting>
  <conditionalFormatting sqref="AE1566">
    <cfRule type="cellIs" dxfId="2752" priority="3316" stopIfTrue="1" operator="between">
      <formula>-0.15</formula>
      <formula>-0.0001</formula>
    </cfRule>
  </conditionalFormatting>
  <conditionalFormatting sqref="AH1566:AI1566">
    <cfRule type="cellIs" dxfId="2751" priority="3315" stopIfTrue="1" operator="between">
      <formula>-0.15</formula>
      <formula>0.005</formula>
    </cfRule>
  </conditionalFormatting>
  <conditionalFormatting sqref="N1566">
    <cfRule type="cellIs" dxfId="2750" priority="3314" stopIfTrue="1" operator="between">
      <formula>-350</formula>
      <formula>-1</formula>
    </cfRule>
  </conditionalFormatting>
  <conditionalFormatting sqref="AE1561">
    <cfRule type="cellIs" dxfId="2749" priority="3341" stopIfTrue="1" operator="between">
      <formula>-0.15</formula>
      <formula>-0.0001</formula>
    </cfRule>
  </conditionalFormatting>
  <conditionalFormatting sqref="AH1561:AI1561">
    <cfRule type="cellIs" dxfId="2748" priority="3340" stopIfTrue="1" operator="between">
      <formula>-0.15</formula>
      <formula>0.005</formula>
    </cfRule>
  </conditionalFormatting>
  <conditionalFormatting sqref="N1561">
    <cfRule type="cellIs" dxfId="2747" priority="3339" stopIfTrue="1" operator="between">
      <formula>-350</formula>
      <formula>-1</formula>
    </cfRule>
  </conditionalFormatting>
  <conditionalFormatting sqref="AE1557">
    <cfRule type="cellIs" dxfId="2746" priority="3352" stopIfTrue="1" operator="between">
      <formula>-0.15</formula>
      <formula>-0.0001</formula>
    </cfRule>
  </conditionalFormatting>
  <conditionalFormatting sqref="AH1557:AI1557">
    <cfRule type="cellIs" dxfId="2745" priority="3351" stopIfTrue="1" operator="between">
      <formula>-0.15</formula>
      <formula>0.005</formula>
    </cfRule>
  </conditionalFormatting>
  <conditionalFormatting sqref="N1557">
    <cfRule type="cellIs" dxfId="2744" priority="3350" stopIfTrue="1" operator="between">
      <formula>-350</formula>
      <formula>-1</formula>
    </cfRule>
  </conditionalFormatting>
  <conditionalFormatting sqref="AE1560">
    <cfRule type="cellIs" dxfId="2743" priority="3338" stopIfTrue="1" operator="between">
      <formula>-0.15</formula>
      <formula>-0.0001</formula>
    </cfRule>
  </conditionalFormatting>
  <conditionalFormatting sqref="AH1560:AI1560">
    <cfRule type="cellIs" dxfId="2742" priority="3337" stopIfTrue="1" operator="between">
      <formula>-0.15</formula>
      <formula>0.005</formula>
    </cfRule>
  </conditionalFormatting>
  <conditionalFormatting sqref="N1559">
    <cfRule type="cellIs" dxfId="2741" priority="3345" stopIfTrue="1" operator="between">
      <formula>-350</formula>
      <formula>-1</formula>
    </cfRule>
  </conditionalFormatting>
  <conditionalFormatting sqref="AE1565">
    <cfRule type="cellIs" dxfId="2740" priority="3335" stopIfTrue="1" operator="between">
      <formula>-0.15</formula>
      <formula>-0.0001</formula>
    </cfRule>
  </conditionalFormatting>
  <conditionalFormatting sqref="AH1565:AI1565">
    <cfRule type="cellIs" dxfId="2739" priority="3334" stopIfTrue="1" operator="between">
      <formula>-0.15</formula>
      <formula>0.005</formula>
    </cfRule>
  </conditionalFormatting>
  <conditionalFormatting sqref="AE1564">
    <cfRule type="cellIs" dxfId="2738" priority="3327" stopIfTrue="1" operator="between">
      <formula>-0.15</formula>
      <formula>-0.0001</formula>
    </cfRule>
  </conditionalFormatting>
  <conditionalFormatting sqref="AH1564:AI1564">
    <cfRule type="cellIs" dxfId="2737" priority="3326" stopIfTrue="1" operator="between">
      <formula>-0.15</formula>
      <formula>0.005</formula>
    </cfRule>
  </conditionalFormatting>
  <conditionalFormatting sqref="N1564">
    <cfRule type="cellIs" dxfId="2736" priority="3325" stopIfTrue="1" operator="between">
      <formula>-350</formula>
      <formula>-1</formula>
    </cfRule>
  </conditionalFormatting>
  <conditionalFormatting sqref="AE1563">
    <cfRule type="cellIs" dxfId="2735" priority="3333" stopIfTrue="1" operator="between">
      <formula>-0.15</formula>
      <formula>-0.0001</formula>
    </cfRule>
  </conditionalFormatting>
  <conditionalFormatting sqref="AH1563:AI1563">
    <cfRule type="cellIs" dxfId="2734" priority="3332" stopIfTrue="1" operator="between">
      <formula>-0.15</formula>
      <formula>0.005</formula>
    </cfRule>
  </conditionalFormatting>
  <conditionalFormatting sqref="N1563">
    <cfRule type="cellIs" dxfId="2733" priority="3331" stopIfTrue="1" operator="between">
      <formula>-350</formula>
      <formula>-1</formula>
    </cfRule>
  </conditionalFormatting>
  <conditionalFormatting sqref="AE1978">
    <cfRule type="cellIs" dxfId="2732" priority="3282" stopIfTrue="1" operator="between">
      <formula>-0.15</formula>
      <formula>-0.0001</formula>
    </cfRule>
  </conditionalFormatting>
  <conditionalFormatting sqref="AH1978:AI1978">
    <cfRule type="cellIs" dxfId="2731" priority="3281" stopIfTrue="1" operator="between">
      <formula>-0.15</formula>
      <formula>0.005</formula>
    </cfRule>
  </conditionalFormatting>
  <conditionalFormatting sqref="N2197">
    <cfRule type="cellIs" dxfId="2730" priority="3253" stopIfTrue="1" operator="between">
      <formula>-350</formula>
      <formula>-1</formula>
    </cfRule>
  </conditionalFormatting>
  <conditionalFormatting sqref="AE1568">
    <cfRule type="cellIs" dxfId="2729" priority="3307" stopIfTrue="1" operator="between">
      <formula>-0.15</formula>
      <formula>-0.0001</formula>
    </cfRule>
  </conditionalFormatting>
  <conditionalFormatting sqref="AH1568:AI1568">
    <cfRule type="cellIs" dxfId="2728" priority="3306" stopIfTrue="1" operator="between">
      <formula>-0.15</formula>
      <formula>0.005</formula>
    </cfRule>
  </conditionalFormatting>
  <conditionalFormatting sqref="N1568">
    <cfRule type="cellIs" dxfId="2727" priority="3305" stopIfTrue="1" operator="between">
      <formula>-350</formula>
      <formula>-1</formula>
    </cfRule>
  </conditionalFormatting>
  <conditionalFormatting sqref="AE1570">
    <cfRule type="cellIs" dxfId="2726" priority="3313" stopIfTrue="1" operator="between">
      <formula>-0.15</formula>
      <formula>-0.0001</formula>
    </cfRule>
  </conditionalFormatting>
  <conditionalFormatting sqref="AH1570:AI1570">
    <cfRule type="cellIs" dxfId="2725" priority="3312" stopIfTrue="1" operator="between">
      <formula>-0.15</formula>
      <formula>0.005</formula>
    </cfRule>
  </conditionalFormatting>
  <conditionalFormatting sqref="N1570">
    <cfRule type="cellIs" dxfId="2724" priority="3311" stopIfTrue="1" operator="between">
      <formula>-350</formula>
      <formula>-1</formula>
    </cfRule>
  </conditionalFormatting>
  <conditionalFormatting sqref="AE1972">
    <cfRule type="cellIs" dxfId="2723" priority="3288" stopIfTrue="1" operator="between">
      <formula>-0.15</formula>
      <formula>-0.0001</formula>
    </cfRule>
  </conditionalFormatting>
  <conditionalFormatting sqref="AH1972:AI1972">
    <cfRule type="cellIs" dxfId="2722" priority="3287" stopIfTrue="1" operator="between">
      <formula>-0.15</formula>
      <formula>0.005</formula>
    </cfRule>
  </conditionalFormatting>
  <conditionalFormatting sqref="AE1569">
    <cfRule type="cellIs" dxfId="2721" priority="3310" stopIfTrue="1" operator="between">
      <formula>-0.15</formula>
      <formula>-0.0001</formula>
    </cfRule>
  </conditionalFormatting>
  <conditionalFormatting sqref="AH1569:AI1569">
    <cfRule type="cellIs" dxfId="2720" priority="3309" stopIfTrue="1" operator="between">
      <formula>-0.15</formula>
      <formula>0.005</formula>
    </cfRule>
  </conditionalFormatting>
  <conditionalFormatting sqref="N1569">
    <cfRule type="cellIs" dxfId="2719" priority="3308" stopIfTrue="1" operator="between">
      <formula>-350</formula>
      <formula>-1</formula>
    </cfRule>
  </conditionalFormatting>
  <conditionalFormatting sqref="AE1974">
    <cfRule type="cellIs" dxfId="2718" priority="3299" stopIfTrue="1" operator="between">
      <formula>-0.15</formula>
      <formula>-0.0001</formula>
    </cfRule>
  </conditionalFormatting>
  <conditionalFormatting sqref="AH1974:AI1974">
    <cfRule type="cellIs" dxfId="2717" priority="3298" stopIfTrue="1" operator="between">
      <formula>-0.15</formula>
      <formula>0.005</formula>
    </cfRule>
  </conditionalFormatting>
  <conditionalFormatting sqref="N1974">
    <cfRule type="cellIs" dxfId="2716" priority="3297" stopIfTrue="1" operator="between">
      <formula>-350</formula>
      <formula>-1</formula>
    </cfRule>
  </conditionalFormatting>
  <conditionalFormatting sqref="AE1567">
    <cfRule type="cellIs" dxfId="2715" priority="3304" stopIfTrue="1" operator="between">
      <formula>-0.15</formula>
      <formula>-0.0001</formula>
    </cfRule>
  </conditionalFormatting>
  <conditionalFormatting sqref="AH1567:AI1567">
    <cfRule type="cellIs" dxfId="2714" priority="3303" stopIfTrue="1" operator="between">
      <formula>-0.15</formula>
      <formula>0.005</formula>
    </cfRule>
  </conditionalFormatting>
  <conditionalFormatting sqref="N1567">
    <cfRule type="cellIs" dxfId="2713" priority="3302" stopIfTrue="1" operator="between">
      <formula>-350</formula>
      <formula>-1</formula>
    </cfRule>
  </conditionalFormatting>
  <conditionalFormatting sqref="AE2015">
    <cfRule type="cellIs" dxfId="2712" priority="3233" stopIfTrue="1" operator="between">
      <formula>-0.15</formula>
      <formula>-0.0001</formula>
    </cfRule>
  </conditionalFormatting>
  <conditionalFormatting sqref="AH1975:AI1975">
    <cfRule type="cellIs" dxfId="2711" priority="3300" stopIfTrue="1" operator="between">
      <formula>-0.15</formula>
      <formula>0.005</formula>
    </cfRule>
  </conditionalFormatting>
  <conditionalFormatting sqref="AE1975">
    <cfRule type="cellIs" dxfId="2710" priority="3301" stopIfTrue="1" operator="between">
      <formula>-0.15</formula>
      <formula>-0.0001</formula>
    </cfRule>
  </conditionalFormatting>
  <conditionalFormatting sqref="AH2015:AI2015">
    <cfRule type="cellIs" dxfId="2709" priority="3232" stopIfTrue="1" operator="between">
      <formula>-0.15</formula>
      <formula>0.005</formula>
    </cfRule>
  </conditionalFormatting>
  <conditionalFormatting sqref="AE2197:AE2198">
    <cfRule type="cellIs" dxfId="2708" priority="3255" stopIfTrue="1" operator="between">
      <formula>-0.15</formula>
      <formula>-0.0001</formula>
    </cfRule>
  </conditionalFormatting>
  <conditionalFormatting sqref="AH2197:AI2198">
    <cfRule type="cellIs" dxfId="2707" priority="3254" stopIfTrue="1" operator="between">
      <formula>-0.15</formula>
      <formula>0.005</formula>
    </cfRule>
  </conditionalFormatting>
  <conditionalFormatting sqref="N2012">
    <cfRule type="cellIs" dxfId="2706" priority="3229" stopIfTrue="1" operator="between">
      <formula>-350</formula>
      <formula>-1</formula>
    </cfRule>
  </conditionalFormatting>
  <conditionalFormatting sqref="AH1973:AI1973">
    <cfRule type="cellIs" dxfId="2705" priority="3292" stopIfTrue="1" operator="between">
      <formula>-0.15</formula>
      <formula>0.005</formula>
    </cfRule>
  </conditionalFormatting>
  <conditionalFormatting sqref="AE1973">
    <cfRule type="cellIs" dxfId="2704" priority="3293" stopIfTrue="1" operator="between">
      <formula>-0.15</formula>
      <formula>-0.0001</formula>
    </cfRule>
  </conditionalFormatting>
  <conditionalFormatting sqref="AE2012">
    <cfRule type="cellIs" dxfId="2703" priority="3231" stopIfTrue="1" operator="between">
      <formula>-0.15</formula>
      <formula>-0.0001</formula>
    </cfRule>
  </conditionalFormatting>
  <conditionalFormatting sqref="AH2012:AI2012">
    <cfRule type="cellIs" dxfId="2702" priority="3230" stopIfTrue="1" operator="between">
      <formula>-0.15</formula>
      <formula>0.005</formula>
    </cfRule>
  </conditionalFormatting>
  <conditionalFormatting sqref="AE1976">
    <cfRule type="cellIs" dxfId="2701" priority="3280" stopIfTrue="1" operator="between">
      <formula>-0.15</formula>
      <formula>-0.0001</formula>
    </cfRule>
  </conditionalFormatting>
  <conditionalFormatting sqref="AH1976:AI1976">
    <cfRule type="cellIs" dxfId="2700" priority="3279" stopIfTrue="1" operator="between">
      <formula>-0.15</formula>
      <formula>0.005</formula>
    </cfRule>
  </conditionalFormatting>
  <conditionalFormatting sqref="N1976">
    <cfRule type="cellIs" dxfId="2699" priority="3278" stopIfTrue="1" operator="between">
      <formula>-350</formula>
      <formula>-1</formula>
    </cfRule>
  </conditionalFormatting>
  <conditionalFormatting sqref="AE1977">
    <cfRule type="cellIs" dxfId="2698" priority="3277" stopIfTrue="1" operator="between">
      <formula>-0.15</formula>
      <formula>-0.0001</formula>
    </cfRule>
  </conditionalFormatting>
  <conditionalFormatting sqref="AH1984:AI1984">
    <cfRule type="cellIs" dxfId="2697" priority="3251" stopIfTrue="1" operator="between">
      <formula>-0.15</formula>
      <formula>0.005</formula>
    </cfRule>
  </conditionalFormatting>
  <conditionalFormatting sqref="N1977">
    <cfRule type="cellIs" dxfId="2696" priority="3275" stopIfTrue="1" operator="between">
      <formula>-350</formula>
      <formula>-1</formula>
    </cfRule>
  </conditionalFormatting>
  <conditionalFormatting sqref="AE1984">
    <cfRule type="cellIs" dxfId="2695" priority="3252" stopIfTrue="1" operator="between">
      <formula>-0.15</formula>
      <formula>-0.0001</formula>
    </cfRule>
  </conditionalFormatting>
  <conditionalFormatting sqref="AH1977:AI1977">
    <cfRule type="cellIs" dxfId="2694" priority="3276" stopIfTrue="1" operator="between">
      <formula>-0.15</formula>
      <formula>0.005</formula>
    </cfRule>
  </conditionalFormatting>
  <conditionalFormatting sqref="AE2141:AE2142">
    <cfRule type="cellIs" dxfId="2693" priority="3258" stopIfTrue="1" operator="between">
      <formula>-0.15</formula>
      <formula>-0.0001</formula>
    </cfRule>
  </conditionalFormatting>
  <conditionalFormatting sqref="AH2141:AI2142">
    <cfRule type="cellIs" dxfId="2692" priority="3257" stopIfTrue="1" operator="between">
      <formula>-0.15</formula>
      <formula>0.005</formula>
    </cfRule>
  </conditionalFormatting>
  <conditionalFormatting sqref="N2141">
    <cfRule type="cellIs" dxfId="2691" priority="3256" stopIfTrue="1" operator="between">
      <formula>-350</formula>
      <formula>-1</formula>
    </cfRule>
  </conditionalFormatting>
  <conditionalFormatting sqref="AE2018">
    <cfRule type="cellIs" dxfId="2690" priority="3222" stopIfTrue="1" operator="between">
      <formula>-0.15</formula>
      <formula>-0.0001</formula>
    </cfRule>
  </conditionalFormatting>
  <conditionalFormatting sqref="AH2018:AI2018">
    <cfRule type="cellIs" dxfId="2689" priority="3221" stopIfTrue="1" operator="between">
      <formula>-0.15</formula>
      <formula>0.005</formula>
    </cfRule>
  </conditionalFormatting>
  <conditionalFormatting sqref="AE1979">
    <cfRule type="cellIs" dxfId="2688" priority="3250" stopIfTrue="1" operator="between">
      <formula>-0.15</formula>
      <formula>-0.0001</formula>
    </cfRule>
  </conditionalFormatting>
  <conditionalFormatting sqref="AH1979:AI1979">
    <cfRule type="cellIs" dxfId="2687" priority="3249" stopIfTrue="1" operator="between">
      <formula>-0.15</formula>
      <formula>0.005</formula>
    </cfRule>
  </conditionalFormatting>
  <conditionalFormatting sqref="N1979">
    <cfRule type="cellIs" dxfId="2686" priority="3248" stopIfTrue="1" operator="between">
      <formula>-350</formula>
      <formula>-1</formula>
    </cfRule>
  </conditionalFormatting>
  <conditionalFormatting sqref="AE1983">
    <cfRule type="cellIs" dxfId="2685" priority="3247" stopIfTrue="1" operator="between">
      <formula>-0.15</formula>
      <formula>-0.0001</formula>
    </cfRule>
  </conditionalFormatting>
  <conditionalFormatting sqref="N1983">
    <cfRule type="cellIs" dxfId="2684" priority="3245" stopIfTrue="1" operator="between">
      <formula>-350</formula>
      <formula>-1</formula>
    </cfRule>
  </conditionalFormatting>
  <conditionalFormatting sqref="AH1983:AI1983">
    <cfRule type="cellIs" dxfId="2683" priority="3246" stopIfTrue="1" operator="between">
      <formula>-0.15</formula>
      <formula>0.005</formula>
    </cfRule>
  </conditionalFormatting>
  <conditionalFormatting sqref="AE2223:AE2224">
    <cfRule type="cellIs" dxfId="2682" priority="3244" stopIfTrue="1" operator="between">
      <formula>-0.15</formula>
      <formula>-0.0001</formula>
    </cfRule>
  </conditionalFormatting>
  <conditionalFormatting sqref="AH2223:AI2224">
    <cfRule type="cellIs" dxfId="2681" priority="3243" stopIfTrue="1" operator="between">
      <formula>-0.15</formula>
      <formula>0.005</formula>
    </cfRule>
  </conditionalFormatting>
  <conditionalFormatting sqref="N2223">
    <cfRule type="cellIs" dxfId="2680" priority="3242" stopIfTrue="1" operator="between">
      <formula>-350</formula>
      <formula>-1</formula>
    </cfRule>
  </conditionalFormatting>
  <conditionalFormatting sqref="AE1985">
    <cfRule type="cellIs" dxfId="2679" priority="3239" stopIfTrue="1" operator="between">
      <formula>-0.15</formula>
      <formula>-0.0001</formula>
    </cfRule>
  </conditionalFormatting>
  <conditionalFormatting sqref="AH1985:AI1985">
    <cfRule type="cellIs" dxfId="2678" priority="3238" stopIfTrue="1" operator="between">
      <formula>-0.15</formula>
      <formula>0.005</formula>
    </cfRule>
  </conditionalFormatting>
  <conditionalFormatting sqref="N1985">
    <cfRule type="cellIs" dxfId="2677" priority="3237" stopIfTrue="1" operator="between">
      <formula>-350</formula>
      <formula>-1</formula>
    </cfRule>
  </conditionalFormatting>
  <conditionalFormatting sqref="AE1986">
    <cfRule type="cellIs" dxfId="2676" priority="3236" stopIfTrue="1" operator="between">
      <formula>-0.15</formula>
      <formula>-0.0001</formula>
    </cfRule>
  </conditionalFormatting>
  <conditionalFormatting sqref="AH1987:AI1987">
    <cfRule type="cellIs" dxfId="2675" priority="3240" stopIfTrue="1" operator="between">
      <formula>-0.15</formula>
      <formula>0.005</formula>
    </cfRule>
  </conditionalFormatting>
  <conditionalFormatting sqref="N1986">
    <cfRule type="cellIs" dxfId="2674" priority="3234" stopIfTrue="1" operator="between">
      <formula>-350</formula>
      <formula>-1</formula>
    </cfRule>
  </conditionalFormatting>
  <conditionalFormatting sqref="AE1987">
    <cfRule type="cellIs" dxfId="2673" priority="3241" stopIfTrue="1" operator="between">
      <formula>-0.15</formula>
      <formula>-0.0001</formula>
    </cfRule>
  </conditionalFormatting>
  <conditionalFormatting sqref="AH1986:AI1986">
    <cfRule type="cellIs" dxfId="2672" priority="3235" stopIfTrue="1" operator="between">
      <formula>-0.15</formula>
      <formula>0.005</formula>
    </cfRule>
  </conditionalFormatting>
  <conditionalFormatting sqref="AE2016">
    <cfRule type="cellIs" dxfId="2671" priority="3220" stopIfTrue="1" operator="between">
      <formula>-0.15</formula>
      <formula>-0.0001</formula>
    </cfRule>
  </conditionalFormatting>
  <conditionalFormatting sqref="N2016">
    <cfRule type="cellIs" dxfId="2670" priority="3218" stopIfTrue="1" operator="between">
      <formula>-350</formula>
      <formula>-1</formula>
    </cfRule>
  </conditionalFormatting>
  <conditionalFormatting sqref="AH2016:AI2016">
    <cfRule type="cellIs" dxfId="2669" priority="3219" stopIfTrue="1" operator="between">
      <formula>-0.15</formula>
      <formula>0.005</formula>
    </cfRule>
  </conditionalFormatting>
  <conditionalFormatting sqref="AE2017">
    <cfRule type="cellIs" dxfId="2668" priority="3217" stopIfTrue="1" operator="between">
      <formula>-0.15</formula>
      <formula>-0.0001</formula>
    </cfRule>
  </conditionalFormatting>
  <conditionalFormatting sqref="AH2017:AI2017">
    <cfRule type="cellIs" dxfId="2667" priority="3216" stopIfTrue="1" operator="between">
      <formula>-0.15</formula>
      <formula>0.005</formula>
    </cfRule>
  </conditionalFormatting>
  <conditionalFormatting sqref="N2017">
    <cfRule type="cellIs" dxfId="2666" priority="3215" stopIfTrue="1" operator="between">
      <formula>-350</formula>
      <formula>-1</formula>
    </cfRule>
  </conditionalFormatting>
  <conditionalFormatting sqref="AE1998">
    <cfRule type="cellIs" dxfId="2665" priority="3212" stopIfTrue="1" operator="between">
      <formula>-0.15</formula>
      <formula>-0.0001</formula>
    </cfRule>
  </conditionalFormatting>
  <conditionalFormatting sqref="AH2000:AI2000">
    <cfRule type="cellIs" dxfId="2664" priority="3213" stopIfTrue="1" operator="between">
      <formula>-0.15</formula>
      <formula>0.005</formula>
    </cfRule>
  </conditionalFormatting>
  <conditionalFormatting sqref="N1998">
    <cfRule type="cellIs" dxfId="2663" priority="3210" stopIfTrue="1" operator="between">
      <formula>-350</formula>
      <formula>-1</formula>
    </cfRule>
  </conditionalFormatting>
  <conditionalFormatting sqref="AE2000">
    <cfRule type="cellIs" dxfId="2662" priority="3214" stopIfTrue="1" operator="between">
      <formula>-0.15</formula>
      <formula>-0.0001</formula>
    </cfRule>
  </conditionalFormatting>
  <conditionalFormatting sqref="AH1998:AI1998">
    <cfRule type="cellIs" dxfId="2661" priority="3211" stopIfTrue="1" operator="between">
      <formula>-0.15</formula>
      <formula>0.005</formula>
    </cfRule>
  </conditionalFormatting>
  <conditionalFormatting sqref="AE1999">
    <cfRule type="cellIs" dxfId="2660" priority="3206" stopIfTrue="1" operator="between">
      <formula>-0.15</formula>
      <formula>-0.0001</formula>
    </cfRule>
  </conditionalFormatting>
  <conditionalFormatting sqref="AH1999:AI1999">
    <cfRule type="cellIs" dxfId="2659" priority="3205" stopIfTrue="1" operator="between">
      <formula>-0.15</formula>
      <formula>0.005</formula>
    </cfRule>
  </conditionalFormatting>
  <conditionalFormatting sqref="N1999">
    <cfRule type="cellIs" dxfId="2658" priority="3204" stopIfTrue="1" operator="between">
      <formula>-350</formula>
      <formula>-1</formula>
    </cfRule>
  </conditionalFormatting>
  <conditionalFormatting sqref="AE2014">
    <cfRule type="cellIs" dxfId="2657" priority="3203" stopIfTrue="1" operator="between">
      <formula>-0.15</formula>
      <formula>-0.0001</formula>
    </cfRule>
  </conditionalFormatting>
  <conditionalFormatting sqref="AH2014:AI2014">
    <cfRule type="cellIs" dxfId="2656" priority="3202" stopIfTrue="1" operator="between">
      <formula>-0.15</formula>
      <formula>0.005</formula>
    </cfRule>
  </conditionalFormatting>
  <conditionalFormatting sqref="N2014">
    <cfRule type="cellIs" dxfId="2655" priority="3201" stopIfTrue="1" operator="between">
      <formula>-350</formula>
      <formula>-1</formula>
    </cfRule>
  </conditionalFormatting>
  <conditionalFormatting sqref="AE2013">
    <cfRule type="cellIs" dxfId="2654" priority="3200" stopIfTrue="1" operator="between">
      <formula>-0.15</formula>
      <formula>-0.0001</formula>
    </cfRule>
  </conditionalFormatting>
  <conditionalFormatting sqref="AH2013:AI2013">
    <cfRule type="cellIs" dxfId="2653" priority="3199" stopIfTrue="1" operator="between">
      <formula>-0.15</formula>
      <formula>0.005</formula>
    </cfRule>
  </conditionalFormatting>
  <conditionalFormatting sqref="N2013">
    <cfRule type="cellIs" dxfId="2652" priority="3198" stopIfTrue="1" operator="between">
      <formula>-350</formula>
      <formula>-1</formula>
    </cfRule>
  </conditionalFormatting>
  <conditionalFormatting sqref="AE2001">
    <cfRule type="cellIs" dxfId="2651" priority="3195" stopIfTrue="1" operator="between">
      <formula>-0.15</formula>
      <formula>-0.0001</formula>
    </cfRule>
  </conditionalFormatting>
  <conditionalFormatting sqref="AH2002:AI2002">
    <cfRule type="cellIs" dxfId="2650" priority="3196" stopIfTrue="1" operator="between">
      <formula>-0.15</formula>
      <formula>0.005</formula>
    </cfRule>
  </conditionalFormatting>
  <conditionalFormatting sqref="AE2007">
    <cfRule type="cellIs" dxfId="2649" priority="3167" stopIfTrue="1" operator="between">
      <formula>-0.15</formula>
      <formula>-0.0001</formula>
    </cfRule>
  </conditionalFormatting>
  <conditionalFormatting sqref="N2001">
    <cfRule type="cellIs" dxfId="2648" priority="3193" stopIfTrue="1" operator="between">
      <formula>-350</formula>
      <formula>-1</formula>
    </cfRule>
  </conditionalFormatting>
  <conditionalFormatting sqref="AE2002">
    <cfRule type="cellIs" dxfId="2647" priority="3197" stopIfTrue="1" operator="between">
      <formula>-0.15</formula>
      <formula>-0.0001</formula>
    </cfRule>
  </conditionalFormatting>
  <conditionalFormatting sqref="AH2001:AI2001">
    <cfRule type="cellIs" dxfId="2646" priority="3194" stopIfTrue="1" operator="between">
      <formula>-0.15</formula>
      <formula>0.005</formula>
    </cfRule>
  </conditionalFormatting>
  <conditionalFormatting sqref="AH2007:AI2007">
    <cfRule type="cellIs" dxfId="2645" priority="3166" stopIfTrue="1" operator="between">
      <formula>-0.15</formula>
      <formula>0.005</formula>
    </cfRule>
  </conditionalFormatting>
  <conditionalFormatting sqref="N2007">
    <cfRule type="cellIs" dxfId="2644" priority="3165" stopIfTrue="1" operator="between">
      <formula>-350</formula>
      <formula>-1</formula>
    </cfRule>
  </conditionalFormatting>
  <conditionalFormatting sqref="AE2006">
    <cfRule type="cellIs" dxfId="2643" priority="3164" stopIfTrue="1" operator="between">
      <formula>-0.15</formula>
      <formula>-0.0001</formula>
    </cfRule>
  </conditionalFormatting>
  <conditionalFormatting sqref="AH2006:AI2006">
    <cfRule type="cellIs" dxfId="2642" priority="3163" stopIfTrue="1" operator="between">
      <formula>-0.15</formula>
      <formula>0.005</formula>
    </cfRule>
  </conditionalFormatting>
  <conditionalFormatting sqref="N2006">
    <cfRule type="cellIs" dxfId="2641" priority="3162" stopIfTrue="1" operator="between">
      <formula>-350</formula>
      <formula>-1</formula>
    </cfRule>
  </conditionalFormatting>
  <conditionalFormatting sqref="AE2019">
    <cfRule type="cellIs" dxfId="2640" priority="3178" stopIfTrue="1" operator="between">
      <formula>-0.15</formula>
      <formula>-0.0001</formula>
    </cfRule>
  </conditionalFormatting>
  <conditionalFormatting sqref="AH2019:AI2019">
    <cfRule type="cellIs" dxfId="2639" priority="3177" stopIfTrue="1" operator="between">
      <formula>-0.15</formula>
      <formula>0.005</formula>
    </cfRule>
  </conditionalFormatting>
  <conditionalFormatting sqref="N2019">
    <cfRule type="cellIs" dxfId="2638" priority="3176" stopIfTrue="1" operator="between">
      <formula>-350</formula>
      <formula>-1</formula>
    </cfRule>
  </conditionalFormatting>
  <conditionalFormatting sqref="AE2020">
    <cfRule type="cellIs" dxfId="2637" priority="3175" stopIfTrue="1" operator="between">
      <formula>-0.15</formula>
      <formula>-0.0001</formula>
    </cfRule>
  </conditionalFormatting>
  <conditionalFormatting sqref="AH2020:AI2020">
    <cfRule type="cellIs" dxfId="2636" priority="3174" stopIfTrue="1" operator="between">
      <formula>-0.15</formula>
      <formula>0.005</formula>
    </cfRule>
  </conditionalFormatting>
  <conditionalFormatting sqref="N2020">
    <cfRule type="cellIs" dxfId="2635" priority="3173" stopIfTrue="1" operator="between">
      <formula>-350</formula>
      <formula>-1</formula>
    </cfRule>
  </conditionalFormatting>
  <conditionalFormatting sqref="AE2005">
    <cfRule type="cellIs" dxfId="2634" priority="3161" stopIfTrue="1" operator="between">
      <formula>-0.15</formula>
      <formula>-0.0001</formula>
    </cfRule>
  </conditionalFormatting>
  <conditionalFormatting sqref="AH2021:AI2021">
    <cfRule type="cellIs" dxfId="2633" priority="3179" stopIfTrue="1" operator="between">
      <formula>-0.15</formula>
      <formula>0.005</formula>
    </cfRule>
  </conditionalFormatting>
  <conditionalFormatting sqref="N2005">
    <cfRule type="cellIs" dxfId="2632" priority="3159" stopIfTrue="1" operator="between">
      <formula>-350</formula>
      <formula>-1</formula>
    </cfRule>
  </conditionalFormatting>
  <conditionalFormatting sqref="AE2021">
    <cfRule type="cellIs" dxfId="2631" priority="3180" stopIfTrue="1" operator="between">
      <formula>-0.15</formula>
      <formula>-0.0001</formula>
    </cfRule>
  </conditionalFormatting>
  <conditionalFormatting sqref="AH2005:AI2005">
    <cfRule type="cellIs" dxfId="2630" priority="3160" stopIfTrue="1" operator="between">
      <formula>-0.15</formula>
      <formula>0.005</formula>
    </cfRule>
  </conditionalFormatting>
  <conditionalFormatting sqref="AE2004">
    <cfRule type="cellIs" dxfId="2629" priority="3158" stopIfTrue="1" operator="between">
      <formula>-0.15</formula>
      <formula>-0.0001</formula>
    </cfRule>
  </conditionalFormatting>
  <conditionalFormatting sqref="AH2004:AI2004">
    <cfRule type="cellIs" dxfId="2628" priority="3157" stopIfTrue="1" operator="between">
      <formula>-0.15</formula>
      <formula>0.005</formula>
    </cfRule>
  </conditionalFormatting>
  <conditionalFormatting sqref="N2004">
    <cfRule type="cellIs" dxfId="2627" priority="3156" stopIfTrue="1" operator="between">
      <formula>-350</formula>
      <formula>-1</formula>
    </cfRule>
  </conditionalFormatting>
  <conditionalFormatting sqref="AE2003">
    <cfRule type="cellIs" dxfId="2626" priority="3170" stopIfTrue="1" operator="between">
      <formula>-0.15</formula>
      <formula>-0.0001</formula>
    </cfRule>
  </conditionalFormatting>
  <conditionalFormatting sqref="AH2008:AI2008">
    <cfRule type="cellIs" dxfId="2625" priority="3171" stopIfTrue="1" operator="between">
      <formula>-0.15</formula>
      <formula>0.005</formula>
    </cfRule>
  </conditionalFormatting>
  <conditionalFormatting sqref="N2003">
    <cfRule type="cellIs" dxfId="2624" priority="3168" stopIfTrue="1" operator="between">
      <formula>-350</formula>
      <formula>-1</formula>
    </cfRule>
  </conditionalFormatting>
  <conditionalFormatting sqref="AE2008">
    <cfRule type="cellIs" dxfId="2623" priority="3172" stopIfTrue="1" operator="between">
      <formula>-0.15</formula>
      <formula>-0.0001</formula>
    </cfRule>
  </conditionalFormatting>
  <conditionalFormatting sqref="AH2003:AI2003">
    <cfRule type="cellIs" dxfId="2622" priority="3169" stopIfTrue="1" operator="between">
      <formula>-0.15</formula>
      <formula>0.005</formula>
    </cfRule>
  </conditionalFormatting>
  <conditionalFormatting sqref="AE2022">
    <cfRule type="cellIs" dxfId="2621" priority="3145" stopIfTrue="1" operator="between">
      <formula>-0.15</formula>
      <formula>-0.0001</formula>
    </cfRule>
  </conditionalFormatting>
  <conditionalFormatting sqref="AH2024:AI2024">
    <cfRule type="cellIs" dxfId="2620" priority="3146" stopIfTrue="1" operator="between">
      <formula>-0.15</formula>
      <formula>0.005</formula>
    </cfRule>
  </conditionalFormatting>
  <conditionalFormatting sqref="N2022">
    <cfRule type="cellIs" dxfId="2619" priority="3143" stopIfTrue="1" operator="between">
      <formula>-350</formula>
      <formula>-1</formula>
    </cfRule>
  </conditionalFormatting>
  <conditionalFormatting sqref="AE2024">
    <cfRule type="cellIs" dxfId="2618" priority="3147" stopIfTrue="1" operator="between">
      <formula>-0.15</formula>
      <formula>-0.0001</formula>
    </cfRule>
  </conditionalFormatting>
  <conditionalFormatting sqref="AH2022:AI2022">
    <cfRule type="cellIs" dxfId="2617" priority="3144" stopIfTrue="1" operator="between">
      <formula>-0.15</formula>
      <formula>0.005</formula>
    </cfRule>
  </conditionalFormatting>
  <conditionalFormatting sqref="AE2023">
    <cfRule type="cellIs" dxfId="2616" priority="3142" stopIfTrue="1" operator="between">
      <formula>-0.15</formula>
      <formula>-0.0001</formula>
    </cfRule>
  </conditionalFormatting>
  <conditionalFormatting sqref="AH2023:AI2023">
    <cfRule type="cellIs" dxfId="2615" priority="3141" stopIfTrue="1" operator="between">
      <formula>-0.15</formula>
      <formula>0.005</formula>
    </cfRule>
  </conditionalFormatting>
  <conditionalFormatting sqref="N2023">
    <cfRule type="cellIs" dxfId="2614" priority="3140" stopIfTrue="1" operator="between">
      <formula>-350</formula>
      <formula>-1</formula>
    </cfRule>
  </conditionalFormatting>
  <conditionalFormatting sqref="AE2025">
    <cfRule type="cellIs" dxfId="2613" priority="3137" stopIfTrue="1" operator="between">
      <formula>-0.15</formula>
      <formula>-0.0001</formula>
    </cfRule>
  </conditionalFormatting>
  <conditionalFormatting sqref="AH2027:AI2027">
    <cfRule type="cellIs" dxfId="2612" priority="3138" stopIfTrue="1" operator="between">
      <formula>-0.15</formula>
      <formula>0.005</formula>
    </cfRule>
  </conditionalFormatting>
  <conditionalFormatting sqref="N2025">
    <cfRule type="cellIs" dxfId="2611" priority="3135" stopIfTrue="1" operator="between">
      <formula>-350</formula>
      <formula>-1</formula>
    </cfRule>
  </conditionalFormatting>
  <conditionalFormatting sqref="AE2027">
    <cfRule type="cellIs" dxfId="2610" priority="3139" stopIfTrue="1" operator="between">
      <formula>-0.15</formula>
      <formula>-0.0001</formula>
    </cfRule>
  </conditionalFormatting>
  <conditionalFormatting sqref="AH2025:AI2025">
    <cfRule type="cellIs" dxfId="2609" priority="3136" stopIfTrue="1" operator="between">
      <formula>-0.15</formula>
      <formula>0.005</formula>
    </cfRule>
  </conditionalFormatting>
  <conditionalFormatting sqref="AE2026">
    <cfRule type="cellIs" dxfId="2608" priority="3134" stopIfTrue="1" operator="between">
      <formula>-0.15</formula>
      <formula>-0.0001</formula>
    </cfRule>
  </conditionalFormatting>
  <conditionalFormatting sqref="AH2026:AI2026">
    <cfRule type="cellIs" dxfId="2607" priority="3133" stopIfTrue="1" operator="between">
      <formula>-0.15</formula>
      <formula>0.005</formula>
    </cfRule>
  </conditionalFormatting>
  <conditionalFormatting sqref="N2026">
    <cfRule type="cellIs" dxfId="2606" priority="3132" stopIfTrue="1" operator="between">
      <formula>-350</formula>
      <formula>-1</formula>
    </cfRule>
  </conditionalFormatting>
  <conditionalFormatting sqref="AE2213:AE2214">
    <cfRule type="cellIs" dxfId="2605" priority="3131" stopIfTrue="1" operator="between">
      <formula>-0.15</formula>
      <formula>-0.0001</formula>
    </cfRule>
  </conditionalFormatting>
  <conditionalFormatting sqref="AH2213:AI2214">
    <cfRule type="cellIs" dxfId="2604" priority="3130" stopIfTrue="1" operator="between">
      <formula>-0.15</formula>
      <formula>0.005</formula>
    </cfRule>
  </conditionalFormatting>
  <conditionalFormatting sqref="N2213">
    <cfRule type="cellIs" dxfId="2603" priority="3129" stopIfTrue="1" operator="between">
      <formula>-350</formula>
      <formula>-1</formula>
    </cfRule>
  </conditionalFormatting>
  <conditionalFormatting sqref="AE2215:AE2216">
    <cfRule type="cellIs" dxfId="2602" priority="3128" stopIfTrue="1" operator="between">
      <formula>-0.15</formula>
      <formula>-0.0001</formula>
    </cfRule>
  </conditionalFormatting>
  <conditionalFormatting sqref="AH2215:AI2216">
    <cfRule type="cellIs" dxfId="2601" priority="3127" stopIfTrue="1" operator="between">
      <formula>-0.15</formula>
      <formula>0.005</formula>
    </cfRule>
  </conditionalFormatting>
  <conditionalFormatting sqref="N2215">
    <cfRule type="cellIs" dxfId="2600" priority="3126" stopIfTrue="1" operator="between">
      <formula>-350</formula>
      <formula>-1</formula>
    </cfRule>
  </conditionalFormatting>
  <conditionalFormatting sqref="AE441">
    <cfRule type="cellIs" dxfId="2599" priority="3124" stopIfTrue="1" operator="between">
      <formula>-0.15</formula>
      <formula>-0.0001</formula>
    </cfRule>
  </conditionalFormatting>
  <conditionalFormatting sqref="AH441:AI441">
    <cfRule type="cellIs" dxfId="2598" priority="3123" stopIfTrue="1" operator="between">
      <formula>-0.15</formula>
      <formula>0.005</formula>
    </cfRule>
  </conditionalFormatting>
  <conditionalFormatting sqref="N441">
    <cfRule type="cellIs" dxfId="2597" priority="3125" stopIfTrue="1" operator="between">
      <formula>-350</formula>
      <formula>-1</formula>
    </cfRule>
  </conditionalFormatting>
  <conditionalFormatting sqref="AE434">
    <cfRule type="cellIs" dxfId="2596" priority="3122" stopIfTrue="1" operator="between">
      <formula>-0.15</formula>
      <formula>-0.0001</formula>
    </cfRule>
  </conditionalFormatting>
  <conditionalFormatting sqref="AH434:AI434">
    <cfRule type="cellIs" dxfId="2595" priority="3121" stopIfTrue="1" operator="between">
      <formula>-0.15</formula>
      <formula>0.005</formula>
    </cfRule>
  </conditionalFormatting>
  <conditionalFormatting sqref="AE431">
    <cfRule type="cellIs" dxfId="2594" priority="3120" stopIfTrue="1" operator="between">
      <formula>-0.15</formula>
      <formula>-0.0001</formula>
    </cfRule>
  </conditionalFormatting>
  <conditionalFormatting sqref="AH431:AI431">
    <cfRule type="cellIs" dxfId="2593" priority="3119" stopIfTrue="1" operator="between">
      <formula>-0.15</formula>
      <formula>0.005</formula>
    </cfRule>
  </conditionalFormatting>
  <conditionalFormatting sqref="N431">
    <cfRule type="cellIs" dxfId="2592" priority="3118" stopIfTrue="1" operator="between">
      <formula>-350</formula>
      <formula>-1</formula>
    </cfRule>
  </conditionalFormatting>
  <conditionalFormatting sqref="AE1708">
    <cfRule type="cellIs" dxfId="2591" priority="3036" stopIfTrue="1" operator="between">
      <formula>-0.15</formula>
      <formula>-0.0001</formula>
    </cfRule>
  </conditionalFormatting>
  <conditionalFormatting sqref="AH1708:AI1708">
    <cfRule type="cellIs" dxfId="2590" priority="3035" stopIfTrue="1" operator="between">
      <formula>-0.15</formula>
      <formula>0.005</formula>
    </cfRule>
  </conditionalFormatting>
  <conditionalFormatting sqref="N1708">
    <cfRule type="cellIs" dxfId="2589" priority="3034" stopIfTrue="1" operator="between">
      <formula>-350</formula>
      <formula>-1</formula>
    </cfRule>
  </conditionalFormatting>
  <conditionalFormatting sqref="AE432">
    <cfRule type="cellIs" dxfId="2588" priority="3114" stopIfTrue="1" operator="between">
      <formula>-0.15</formula>
      <formula>-0.0001</formula>
    </cfRule>
  </conditionalFormatting>
  <conditionalFormatting sqref="AH432:AI432">
    <cfRule type="cellIs" dxfId="2587" priority="3113" stopIfTrue="1" operator="between">
      <formula>-0.15</formula>
      <formula>0.005</formula>
    </cfRule>
  </conditionalFormatting>
  <conditionalFormatting sqref="N432">
    <cfRule type="cellIs" dxfId="2586" priority="3112" stopIfTrue="1" operator="between">
      <formula>-350</formula>
      <formula>-1</formula>
    </cfRule>
  </conditionalFormatting>
  <conditionalFormatting sqref="AE433">
    <cfRule type="cellIs" dxfId="2585" priority="3111" stopIfTrue="1" operator="between">
      <formula>-0.15</formula>
      <formula>-0.0001</formula>
    </cfRule>
  </conditionalFormatting>
  <conditionalFormatting sqref="AH433:AI433">
    <cfRule type="cellIs" dxfId="2584" priority="3110" stopIfTrue="1" operator="between">
      <formula>-0.15</formula>
      <formula>0.005</formula>
    </cfRule>
  </conditionalFormatting>
  <conditionalFormatting sqref="N433">
    <cfRule type="cellIs" dxfId="2583" priority="3109" stopIfTrue="1" operator="between">
      <formula>-350</formula>
      <formula>-1</formula>
    </cfRule>
  </conditionalFormatting>
  <conditionalFormatting sqref="AE2042">
    <cfRule type="cellIs" dxfId="2582" priority="3033" stopIfTrue="1" operator="between">
      <formula>-0.15</formula>
      <formula>-0.0001</formula>
    </cfRule>
  </conditionalFormatting>
  <conditionalFormatting sqref="AH2036:AI2036">
    <cfRule type="cellIs" dxfId="2581" priority="3030" stopIfTrue="1" operator="between">
      <formula>-0.15</formula>
      <formula>0.005</formula>
    </cfRule>
  </conditionalFormatting>
  <conditionalFormatting sqref="AE805">
    <cfRule type="cellIs" dxfId="2580" priority="3039" stopIfTrue="1" operator="between">
      <formula>-0.15</formula>
      <formula>-0.0001</formula>
    </cfRule>
  </conditionalFormatting>
  <conditionalFormatting sqref="AH805:AI805">
    <cfRule type="cellIs" dxfId="2579" priority="3038" stopIfTrue="1" operator="between">
      <formula>-0.15</formula>
      <formula>0.005</formula>
    </cfRule>
  </conditionalFormatting>
  <conditionalFormatting sqref="AE2041">
    <cfRule type="cellIs" dxfId="2578" priority="3025" stopIfTrue="1" operator="between">
      <formula>-0.15</formula>
      <formula>-0.0001</formula>
    </cfRule>
  </conditionalFormatting>
  <conditionalFormatting sqref="AE2036">
    <cfRule type="cellIs" dxfId="2577" priority="3031" stopIfTrue="1" operator="between">
      <formula>-0.15</formula>
      <formula>-0.0001</formula>
    </cfRule>
  </conditionalFormatting>
  <conditionalFormatting sqref="N805">
    <cfRule type="cellIs" dxfId="2576" priority="3037" stopIfTrue="1" operator="between">
      <formula>-350</formula>
      <formula>-1</formula>
    </cfRule>
  </conditionalFormatting>
  <conditionalFormatting sqref="N2039">
    <cfRule type="cellIs" dxfId="2575" priority="3017" stopIfTrue="1" operator="between">
      <formula>-350</formula>
      <formula>-1</formula>
    </cfRule>
  </conditionalFormatting>
  <conditionalFormatting sqref="AE2039">
    <cfRule type="cellIs" dxfId="2574" priority="3019" stopIfTrue="1" operator="between">
      <formula>-0.15</formula>
      <formula>-0.0001</formula>
    </cfRule>
  </conditionalFormatting>
  <conditionalFormatting sqref="AH2039:AI2039">
    <cfRule type="cellIs" dxfId="2573" priority="3018" stopIfTrue="1" operator="between">
      <formula>-0.15</formula>
      <formula>0.005</formula>
    </cfRule>
  </conditionalFormatting>
  <conditionalFormatting sqref="N57">
    <cfRule type="cellIs" dxfId="2572" priority="2958" stopIfTrue="1" operator="between">
      <formula>-350</formula>
      <formula>-1</formula>
    </cfRule>
  </conditionalFormatting>
  <conditionalFormatting sqref="AH2042:AI2042">
    <cfRule type="cellIs" dxfId="2571" priority="3032" stopIfTrue="1" operator="between">
      <formula>-0.15</formula>
      <formula>0.005</formula>
    </cfRule>
  </conditionalFormatting>
  <conditionalFormatting sqref="N2037">
    <cfRule type="cellIs" dxfId="2570" priority="3011" stopIfTrue="1" operator="between">
      <formula>-350</formula>
      <formula>-1</formula>
    </cfRule>
  </conditionalFormatting>
  <conditionalFormatting sqref="AH2041:AI2041">
    <cfRule type="cellIs" dxfId="2569" priority="3024" stopIfTrue="1" operator="between">
      <formula>-0.15</formula>
      <formula>0.005</formula>
    </cfRule>
  </conditionalFormatting>
  <conditionalFormatting sqref="N2041">
    <cfRule type="cellIs" dxfId="2568" priority="3023" stopIfTrue="1" operator="between">
      <formula>-350</formula>
      <formula>-1</formula>
    </cfRule>
  </conditionalFormatting>
  <conditionalFormatting sqref="AH1190:AI1190">
    <cfRule type="cellIs" dxfId="2567" priority="3044" stopIfTrue="1" operator="between">
      <formula>-0.15</formula>
      <formula>0.005</formula>
    </cfRule>
  </conditionalFormatting>
  <conditionalFormatting sqref="AE1775">
    <cfRule type="cellIs" dxfId="2566" priority="3081" stopIfTrue="1" operator="between">
      <formula>-0.15</formula>
      <formula>-0.0001</formula>
    </cfRule>
  </conditionalFormatting>
  <conditionalFormatting sqref="AH1775:AI1775">
    <cfRule type="cellIs" dxfId="2565" priority="3080" stopIfTrue="1" operator="between">
      <formula>-0.15</formula>
      <formula>0.005</formula>
    </cfRule>
  </conditionalFormatting>
  <conditionalFormatting sqref="AE1191">
    <cfRule type="cellIs" dxfId="2564" priority="3066" stopIfTrue="1" operator="between">
      <formula>-0.15</formula>
      <formula>-0.0001</formula>
    </cfRule>
  </conditionalFormatting>
  <conditionalFormatting sqref="AE1190">
    <cfRule type="cellIs" dxfId="2563" priority="3045" stopIfTrue="1" operator="between">
      <formula>-0.15</formula>
      <formula>-0.0001</formula>
    </cfRule>
  </conditionalFormatting>
  <conditionalFormatting sqref="N1190">
    <cfRule type="cellIs" dxfId="2562" priority="3043" stopIfTrue="1" operator="between">
      <formula>-350</formula>
      <formula>-1</formula>
    </cfRule>
  </conditionalFormatting>
  <conditionalFormatting sqref="N1775">
    <cfRule type="cellIs" dxfId="2561" priority="3079" stopIfTrue="1" operator="between">
      <formula>-350</formula>
      <formula>-1</formula>
    </cfRule>
  </conditionalFormatting>
  <conditionalFormatting sqref="AH1191:AI1191">
    <cfRule type="cellIs" dxfId="2560" priority="3065" stopIfTrue="1" operator="between">
      <formula>-0.15</formula>
      <formula>0.005</formula>
    </cfRule>
  </conditionalFormatting>
  <conditionalFormatting sqref="N1191">
    <cfRule type="cellIs" dxfId="2559" priority="3064" stopIfTrue="1" operator="between">
      <formula>-350</formula>
      <formula>-1</formula>
    </cfRule>
  </conditionalFormatting>
  <conditionalFormatting sqref="AE2038">
    <cfRule type="cellIs" dxfId="2558" priority="3016" stopIfTrue="1" operator="between">
      <formula>-0.15</formula>
      <formula>-0.0001</formula>
    </cfRule>
  </conditionalFormatting>
  <conditionalFormatting sqref="AH2038:AI2038">
    <cfRule type="cellIs" dxfId="2557" priority="3015" stopIfTrue="1" operator="between">
      <formula>-0.15</formula>
      <formula>0.005</formula>
    </cfRule>
  </conditionalFormatting>
  <conditionalFormatting sqref="N2036">
    <cfRule type="cellIs" dxfId="2556" priority="3029" stopIfTrue="1" operator="between">
      <formula>-350</formula>
      <formula>-1</formula>
    </cfRule>
  </conditionalFormatting>
  <conditionalFormatting sqref="AE901">
    <cfRule type="cellIs" dxfId="2555" priority="3042" stopIfTrue="1" operator="between">
      <formula>-0.15</formula>
      <formula>-0.0001</formula>
    </cfRule>
  </conditionalFormatting>
  <conditionalFormatting sqref="N2032">
    <cfRule type="cellIs" dxfId="2554" priority="2997" stopIfTrue="1" operator="between">
      <formula>-350</formula>
      <formula>-1</formula>
    </cfRule>
  </conditionalFormatting>
  <conditionalFormatting sqref="AH901:AI901">
    <cfRule type="cellIs" dxfId="2553" priority="3041" stopIfTrue="1" operator="between">
      <formula>-0.15</formula>
      <formula>0.005</formula>
    </cfRule>
  </conditionalFormatting>
  <conditionalFormatting sqref="AE56">
    <cfRule type="cellIs" dxfId="2552" priority="2957" stopIfTrue="1" operator="between">
      <formula>-0.15</formula>
      <formula>-0.0001</formula>
    </cfRule>
  </conditionalFormatting>
  <conditionalFormatting sqref="AH56:AI56">
    <cfRule type="cellIs" dxfId="2551" priority="2956" stopIfTrue="1" operator="between">
      <formula>-0.15</formula>
      <formula>0.005</formula>
    </cfRule>
  </conditionalFormatting>
  <conditionalFormatting sqref="N901">
    <cfRule type="cellIs" dxfId="2550" priority="3040" stopIfTrue="1" operator="between">
      <formula>-350</formula>
      <formula>-1</formula>
    </cfRule>
  </conditionalFormatting>
  <conditionalFormatting sqref="AE2029">
    <cfRule type="cellIs" dxfId="2549" priority="2990" stopIfTrue="1" operator="between">
      <formula>-0.15</formula>
      <formula>-0.0001</formula>
    </cfRule>
  </conditionalFormatting>
  <conditionalFormatting sqref="AH2029:AI2029">
    <cfRule type="cellIs" dxfId="2548" priority="2989" stopIfTrue="1" operator="between">
      <formula>-0.15</formula>
      <formula>0.005</formula>
    </cfRule>
  </conditionalFormatting>
  <conditionalFormatting sqref="N2029">
    <cfRule type="cellIs" dxfId="2547" priority="2988" stopIfTrue="1" operator="between">
      <formula>-350</formula>
      <formula>-1</formula>
    </cfRule>
  </conditionalFormatting>
  <conditionalFormatting sqref="AE58">
    <cfRule type="cellIs" dxfId="2546" priority="2963" stopIfTrue="1" operator="between">
      <formula>-0.15</formula>
      <formula>-0.0001</formula>
    </cfRule>
  </conditionalFormatting>
  <conditionalFormatting sqref="AH58:AI58">
    <cfRule type="cellIs" dxfId="2545" priority="2962" stopIfTrue="1" operator="between">
      <formula>-0.15</formula>
      <formula>0.005</formula>
    </cfRule>
  </conditionalFormatting>
  <conditionalFormatting sqref="N2038">
    <cfRule type="cellIs" dxfId="2544" priority="3014" stopIfTrue="1" operator="between">
      <formula>-350</formula>
      <formula>-1</formula>
    </cfRule>
  </conditionalFormatting>
  <conditionalFormatting sqref="AE2035">
    <cfRule type="cellIs" dxfId="2543" priority="3010" stopIfTrue="1" operator="between">
      <formula>-0.15</formula>
      <formula>-0.0001</formula>
    </cfRule>
  </conditionalFormatting>
  <conditionalFormatting sqref="AH2037:AI2037">
    <cfRule type="cellIs" dxfId="2542" priority="3012" stopIfTrue="1" operator="between">
      <formula>-0.15</formula>
      <formula>0.005</formula>
    </cfRule>
  </conditionalFormatting>
  <conditionalFormatting sqref="N2034">
    <cfRule type="cellIs" dxfId="2541" priority="3003" stopIfTrue="1" operator="between">
      <formula>-350</formula>
      <formula>-1</formula>
    </cfRule>
  </conditionalFormatting>
  <conditionalFormatting sqref="AE2037">
    <cfRule type="cellIs" dxfId="2540" priority="3013" stopIfTrue="1" operator="between">
      <formula>-0.15</formula>
      <formula>-0.0001</formula>
    </cfRule>
  </conditionalFormatting>
  <conditionalFormatting sqref="AH2035:AI2035">
    <cfRule type="cellIs" dxfId="2539" priority="3009" stopIfTrue="1" operator="between">
      <formula>-0.15</formula>
      <formula>0.005</formula>
    </cfRule>
  </conditionalFormatting>
  <conditionalFormatting sqref="AE2032">
    <cfRule type="cellIs" dxfId="2538" priority="2999" stopIfTrue="1" operator="between">
      <formula>-0.15</formula>
      <formula>-0.0001</formula>
    </cfRule>
  </conditionalFormatting>
  <conditionalFormatting sqref="AH2032:AI2032">
    <cfRule type="cellIs" dxfId="2537" priority="2998" stopIfTrue="1" operator="between">
      <formula>-0.15</formula>
      <formula>0.005</formula>
    </cfRule>
  </conditionalFormatting>
  <conditionalFormatting sqref="N45">
    <cfRule type="cellIs" dxfId="2536" priority="2943" stopIfTrue="1" operator="between">
      <formula>-350</formula>
      <formula>-1</formula>
    </cfRule>
  </conditionalFormatting>
  <conditionalFormatting sqref="AE2040">
    <cfRule type="cellIs" dxfId="2535" priority="3022" stopIfTrue="1" operator="between">
      <formula>-0.15</formula>
      <formula>-0.0001</formula>
    </cfRule>
  </conditionalFormatting>
  <conditionalFormatting sqref="AH2040:AI2040">
    <cfRule type="cellIs" dxfId="2534" priority="3021" stopIfTrue="1" operator="between">
      <formula>-0.15</formula>
      <formula>0.005</formula>
    </cfRule>
  </conditionalFormatting>
  <conditionalFormatting sqref="N2040">
    <cfRule type="cellIs" dxfId="2533" priority="3020" stopIfTrue="1" operator="between">
      <formula>-350</formula>
      <formula>-1</formula>
    </cfRule>
  </conditionalFormatting>
  <conditionalFormatting sqref="AE2034">
    <cfRule type="cellIs" dxfId="2532" priority="3005" stopIfTrue="1" operator="between">
      <formula>-0.15</formula>
      <formula>-0.0001</formula>
    </cfRule>
  </conditionalFormatting>
  <conditionalFormatting sqref="AH2034:AI2034">
    <cfRule type="cellIs" dxfId="2531" priority="3004" stopIfTrue="1" operator="between">
      <formula>-0.15</formula>
      <formula>0.005</formula>
    </cfRule>
  </conditionalFormatting>
  <conditionalFormatting sqref="N61">
    <cfRule type="cellIs" dxfId="2530" priority="2967" stopIfTrue="1" operator="between">
      <formula>-350</formula>
      <formula>-1</formula>
    </cfRule>
  </conditionalFormatting>
  <conditionalFormatting sqref="AE2031">
    <cfRule type="cellIs" dxfId="2529" priority="2996" stopIfTrue="1" operator="between">
      <formula>-0.15</formula>
      <formula>-0.0001</formula>
    </cfRule>
  </conditionalFormatting>
  <conditionalFormatting sqref="AH2031:AI2031">
    <cfRule type="cellIs" dxfId="2528" priority="2995" stopIfTrue="1" operator="between">
      <formula>-0.15</formula>
      <formula>0.005</formula>
    </cfRule>
  </conditionalFormatting>
  <conditionalFormatting sqref="N58">
    <cfRule type="cellIs" dxfId="2527" priority="2961" stopIfTrue="1" operator="between">
      <formula>-350</formula>
      <formula>-1</formula>
    </cfRule>
  </conditionalFormatting>
  <conditionalFormatting sqref="AE2028">
    <cfRule type="cellIs" dxfId="2526" priority="3008" stopIfTrue="1" operator="between">
      <formula>-0.15</formula>
      <formula>-0.0001</formula>
    </cfRule>
  </conditionalFormatting>
  <conditionalFormatting sqref="AH2028:AI2028">
    <cfRule type="cellIs" dxfId="2525" priority="3007" stopIfTrue="1" operator="between">
      <formula>-0.15</formula>
      <formula>0.005</formula>
    </cfRule>
  </conditionalFormatting>
  <conditionalFormatting sqref="N2028">
    <cfRule type="cellIs" dxfId="2524" priority="3006" stopIfTrue="1" operator="between">
      <formula>-350</formula>
      <formula>-1</formula>
    </cfRule>
  </conditionalFormatting>
  <conditionalFormatting sqref="AE57">
    <cfRule type="cellIs" dxfId="2523" priority="2960" stopIfTrue="1" operator="between">
      <formula>-0.15</formula>
      <formula>-0.0001</formula>
    </cfRule>
  </conditionalFormatting>
  <conditionalFormatting sqref="AH59:AI59">
    <cfRule type="cellIs" dxfId="2522" priority="2965" stopIfTrue="1" operator="between">
      <formula>-0.15</formula>
      <formula>0.005</formula>
    </cfRule>
  </conditionalFormatting>
  <conditionalFormatting sqref="AE59">
    <cfRule type="cellIs" dxfId="2521" priority="2966" stopIfTrue="1" operator="between">
      <formula>-0.15</formula>
      <formula>-0.0001</formula>
    </cfRule>
  </conditionalFormatting>
  <conditionalFormatting sqref="AH57:AI57">
    <cfRule type="cellIs" dxfId="2520" priority="2959" stopIfTrue="1" operator="between">
      <formula>-0.15</formula>
      <formula>0.005</formula>
    </cfRule>
  </conditionalFormatting>
  <conditionalFormatting sqref="N56">
    <cfRule type="cellIs" dxfId="2519" priority="2955" stopIfTrue="1" operator="between">
      <formula>-350</formula>
      <formula>-1</formula>
    </cfRule>
  </conditionalFormatting>
  <conditionalFormatting sqref="AE2033">
    <cfRule type="cellIs" dxfId="2518" priority="3002" stopIfTrue="1" operator="between">
      <formula>-0.15</formula>
      <formula>-0.0001</formula>
    </cfRule>
  </conditionalFormatting>
  <conditionalFormatting sqref="AH2033:AI2033">
    <cfRule type="cellIs" dxfId="2517" priority="3001" stopIfTrue="1" operator="between">
      <formula>-0.15</formula>
      <formula>0.005</formula>
    </cfRule>
  </conditionalFormatting>
  <conditionalFormatting sqref="N2033">
    <cfRule type="cellIs" dxfId="2516" priority="3000" stopIfTrue="1" operator="between">
      <formula>-350</formula>
      <formula>-1</formula>
    </cfRule>
  </conditionalFormatting>
  <conditionalFormatting sqref="N174">
    <cfRule type="cellIs" dxfId="2515" priority="2927" stopIfTrue="1" operator="between">
      <formula>-350</formula>
      <formula>-1</formula>
    </cfRule>
  </conditionalFormatting>
  <conditionalFormatting sqref="AE61">
    <cfRule type="cellIs" dxfId="2514" priority="2969" stopIfTrue="1" operator="between">
      <formula>-0.15</formula>
      <formula>-0.0001</formula>
    </cfRule>
  </conditionalFormatting>
  <conditionalFormatting sqref="AH61:AI61">
    <cfRule type="cellIs" dxfId="2513" priority="2968" stopIfTrue="1" operator="between">
      <formula>-0.15</formula>
      <formula>0.005</formula>
    </cfRule>
  </conditionalFormatting>
  <conditionalFormatting sqref="N2031">
    <cfRule type="cellIs" dxfId="2512" priority="2994" stopIfTrue="1" operator="between">
      <formula>-350</formula>
      <formula>-1</formula>
    </cfRule>
  </conditionalFormatting>
  <conditionalFormatting sqref="AE2030">
    <cfRule type="cellIs" dxfId="2511" priority="2993" stopIfTrue="1" operator="between">
      <formula>-0.15</formula>
      <formula>-0.0001</formula>
    </cfRule>
  </conditionalFormatting>
  <conditionalFormatting sqref="AH2030:AI2030">
    <cfRule type="cellIs" dxfId="2510" priority="2992" stopIfTrue="1" operator="between">
      <formula>-0.15</formula>
      <formula>0.005</formula>
    </cfRule>
  </conditionalFormatting>
  <conditionalFormatting sqref="N2030">
    <cfRule type="cellIs" dxfId="2509" priority="2991" stopIfTrue="1" operator="between">
      <formula>-350</formula>
      <formula>-1</formula>
    </cfRule>
  </conditionalFormatting>
  <conditionalFormatting sqref="N59">
    <cfRule type="cellIs" dxfId="2508" priority="2964" stopIfTrue="1" operator="between">
      <formula>-350</formula>
      <formula>-1</formula>
    </cfRule>
  </conditionalFormatting>
  <conditionalFormatting sqref="AH45:AI45">
    <cfRule type="cellIs" dxfId="2507" priority="2941" stopIfTrue="1" operator="between">
      <formula>-0.15</formula>
      <formula>0.005</formula>
    </cfRule>
  </conditionalFormatting>
  <conditionalFormatting sqref="AE45">
    <cfRule type="cellIs" dxfId="2506" priority="2942" stopIfTrue="1" operator="between">
      <formula>-0.15</formula>
      <formula>-0.0001</formula>
    </cfRule>
  </conditionalFormatting>
  <conditionalFormatting sqref="N173">
    <cfRule type="cellIs" dxfId="2505" priority="2940" stopIfTrue="1" operator="between">
      <formula>-350</formula>
      <formula>-1</formula>
    </cfRule>
  </conditionalFormatting>
  <conditionalFormatting sqref="AE173">
    <cfRule type="cellIs" dxfId="2504" priority="2939" stopIfTrue="1" operator="between">
      <formula>-0.15</formula>
      <formula>-0.0001</formula>
    </cfRule>
  </conditionalFormatting>
  <conditionalFormatting sqref="AH173:AI173">
    <cfRule type="cellIs" dxfId="2503" priority="2938" stopIfTrue="1" operator="between">
      <formula>-0.15</formula>
      <formula>0.005</formula>
    </cfRule>
  </conditionalFormatting>
  <conditionalFormatting sqref="N177">
    <cfRule type="cellIs" dxfId="2502" priority="2918" stopIfTrue="1" operator="between">
      <formula>-350</formula>
      <formula>-1</formula>
    </cfRule>
  </conditionalFormatting>
  <conditionalFormatting sqref="AH172:AI172">
    <cfRule type="cellIs" dxfId="2501" priority="2932" stopIfTrue="1" operator="between">
      <formula>-0.15</formula>
      <formula>0.005</formula>
    </cfRule>
  </conditionalFormatting>
  <conditionalFormatting sqref="AE174">
    <cfRule type="cellIs" dxfId="2500" priority="2928" stopIfTrue="1" operator="between">
      <formula>-0.15</formula>
      <formula>-0.0001</formula>
    </cfRule>
  </conditionalFormatting>
  <conditionalFormatting sqref="N171">
    <cfRule type="cellIs" dxfId="2499" priority="2936" stopIfTrue="1" operator="between">
      <formula>-350</formula>
      <formula>-1</formula>
    </cfRule>
  </conditionalFormatting>
  <conditionalFormatting sqref="N176">
    <cfRule type="cellIs" dxfId="2498" priority="2931" stopIfTrue="1" operator="between">
      <formula>-350</formula>
      <formula>-1</formula>
    </cfRule>
  </conditionalFormatting>
  <conditionalFormatting sqref="AE176">
    <cfRule type="cellIs" dxfId="2497" priority="2930" stopIfTrue="1" operator="between">
      <formula>-0.15</formula>
      <formula>-0.0001</formula>
    </cfRule>
  </conditionalFormatting>
  <conditionalFormatting sqref="AH176:AI176">
    <cfRule type="cellIs" dxfId="2496" priority="2929" stopIfTrue="1" operator="between">
      <formula>-0.15</formula>
      <formula>0.005</formula>
    </cfRule>
  </conditionalFormatting>
  <conditionalFormatting sqref="N753">
    <cfRule type="cellIs" dxfId="2495" priority="2869" stopIfTrue="1" operator="between">
      <formula>-350</formula>
      <formula>-1</formula>
    </cfRule>
  </conditionalFormatting>
  <conditionalFormatting sqref="N758">
    <cfRule type="cellIs" dxfId="2494" priority="2872" stopIfTrue="1" operator="between">
      <formula>-350</formula>
      <formula>-1</formula>
    </cfRule>
  </conditionalFormatting>
  <conditionalFormatting sqref="AE175">
    <cfRule type="cellIs" dxfId="2493" priority="2925" stopIfTrue="1" operator="between">
      <formula>-0.15</formula>
      <formula>-0.0001</formula>
    </cfRule>
  </conditionalFormatting>
  <conditionalFormatting sqref="AH171:AI171">
    <cfRule type="cellIs" dxfId="2492" priority="2935" stopIfTrue="1" operator="between">
      <formula>-0.15</formula>
      <formula>0.005</formula>
    </cfRule>
  </conditionalFormatting>
  <conditionalFormatting sqref="AE177">
    <cfRule type="cellIs" dxfId="2491" priority="2919" stopIfTrue="1" operator="between">
      <formula>-0.15</formula>
      <formula>-0.0001</formula>
    </cfRule>
  </conditionalFormatting>
  <conditionalFormatting sqref="AH174:AI174">
    <cfRule type="cellIs" dxfId="2490" priority="2926" stopIfTrue="1" operator="between">
      <formula>-0.15</formula>
      <formula>0.005</formula>
    </cfRule>
  </conditionalFormatting>
  <conditionalFormatting sqref="N172">
    <cfRule type="cellIs" dxfId="2489" priority="2933" stopIfTrue="1" operator="between">
      <formula>-350</formula>
      <formula>-1</formula>
    </cfRule>
  </conditionalFormatting>
  <conditionalFormatting sqref="AE60">
    <cfRule type="cellIs" dxfId="2488" priority="2954" stopIfTrue="1" operator="between">
      <formula>-0.15</formula>
      <formula>-0.0001</formula>
    </cfRule>
  </conditionalFormatting>
  <conditionalFormatting sqref="AH60:AI60">
    <cfRule type="cellIs" dxfId="2487" priority="2953" stopIfTrue="1" operator="between">
      <formula>-0.15</formula>
      <formula>0.005</formula>
    </cfRule>
  </conditionalFormatting>
  <conditionalFormatting sqref="N60">
    <cfRule type="cellIs" dxfId="2486" priority="2952" stopIfTrue="1" operator="between">
      <formula>-350</formula>
      <formula>-1</formula>
    </cfRule>
  </conditionalFormatting>
  <conditionalFormatting sqref="AE762">
    <cfRule type="cellIs" dxfId="2485" priority="2880" stopIfTrue="1" operator="between">
      <formula>-0.15</formula>
      <formula>-0.0001</formula>
    </cfRule>
  </conditionalFormatting>
  <conditionalFormatting sqref="AH753:AI753">
    <cfRule type="cellIs" dxfId="2484" priority="2870" stopIfTrue="1" operator="between">
      <formula>-0.15</formula>
      <formula>0.005</formula>
    </cfRule>
  </conditionalFormatting>
  <conditionalFormatting sqref="N752">
    <cfRule type="cellIs" dxfId="2483" priority="2866" stopIfTrue="1" operator="between">
      <formula>-350</formula>
      <formula>-1</formula>
    </cfRule>
  </conditionalFormatting>
  <conditionalFormatting sqref="AE753">
    <cfRule type="cellIs" dxfId="2482" priority="2871" stopIfTrue="1" operator="between">
      <formula>-0.15</formula>
      <formula>-0.0001</formula>
    </cfRule>
  </conditionalFormatting>
  <conditionalFormatting sqref="AH200:AI200">
    <cfRule type="cellIs" dxfId="2481" priority="2845" stopIfTrue="1" operator="between">
      <formula>-0.15</formula>
      <formula>0.005</formula>
    </cfRule>
  </conditionalFormatting>
  <conditionalFormatting sqref="AE171">
    <cfRule type="cellIs" dxfId="2480" priority="2937" stopIfTrue="1" operator="between">
      <formula>-0.15</formula>
      <formula>-0.0001</formula>
    </cfRule>
  </conditionalFormatting>
  <conditionalFormatting sqref="AH177:AI177">
    <cfRule type="cellIs" dxfId="2479" priority="2917" stopIfTrue="1" operator="between">
      <formula>-0.15</formula>
      <formula>0.005</formula>
    </cfRule>
  </conditionalFormatting>
  <conditionalFormatting sqref="AE46">
    <cfRule type="cellIs" dxfId="2478" priority="2945" stopIfTrue="1" operator="between">
      <formula>-0.15</formula>
      <formula>-0.0001</formula>
    </cfRule>
  </conditionalFormatting>
  <conditionalFormatting sqref="AH46:AI46">
    <cfRule type="cellIs" dxfId="2477" priority="2944" stopIfTrue="1" operator="between">
      <formula>-0.15</formula>
      <formula>0.005</formula>
    </cfRule>
  </conditionalFormatting>
  <conditionalFormatting sqref="AH178:AI178">
    <cfRule type="cellIs" dxfId="2476" priority="2914" stopIfTrue="1" operator="between">
      <formula>-0.15</formula>
      <formula>0.005</formula>
    </cfRule>
  </conditionalFormatting>
  <conditionalFormatting sqref="AE172">
    <cfRule type="cellIs" dxfId="2475" priority="2934" stopIfTrue="1" operator="between">
      <formula>-0.15</formula>
      <formula>-0.0001</formula>
    </cfRule>
  </conditionalFormatting>
  <conditionalFormatting sqref="AH758:AI758">
    <cfRule type="cellIs" dxfId="2474" priority="2873" stopIfTrue="1" operator="between">
      <formula>-0.15</formula>
      <formula>0.005</formula>
    </cfRule>
  </conditionalFormatting>
  <conditionalFormatting sqref="AE780">
    <cfRule type="cellIs" dxfId="2473" priority="2883" stopIfTrue="1" operator="between">
      <formula>-0.15</formula>
      <formula>-0.0001</formula>
    </cfRule>
  </conditionalFormatting>
  <conditionalFormatting sqref="N200">
    <cfRule type="cellIs" dxfId="2472" priority="2847" stopIfTrue="1" operator="between">
      <formula>-350</formula>
      <formula>-1</formula>
    </cfRule>
  </conditionalFormatting>
  <conditionalFormatting sqref="AE757">
    <cfRule type="cellIs" dxfId="2471" priority="2877" stopIfTrue="1" operator="between">
      <formula>-0.15</formula>
      <formula>-0.0001</formula>
    </cfRule>
  </conditionalFormatting>
  <conditionalFormatting sqref="N175">
    <cfRule type="cellIs" dxfId="2470" priority="2924" stopIfTrue="1" operator="between">
      <formula>-350</formula>
      <formula>-1</formula>
    </cfRule>
  </conditionalFormatting>
  <conditionalFormatting sqref="AE758">
    <cfRule type="cellIs" dxfId="2469" priority="2874" stopIfTrue="1" operator="between">
      <formula>-0.15</formula>
      <formula>-0.0001</formula>
    </cfRule>
  </conditionalFormatting>
  <conditionalFormatting sqref="N780">
    <cfRule type="cellIs" dxfId="2468" priority="2881" stopIfTrue="1" operator="between">
      <formula>-350</formula>
      <formula>-1</formula>
    </cfRule>
  </conditionalFormatting>
  <conditionalFormatting sqref="AH175:AI175">
    <cfRule type="cellIs" dxfId="2467" priority="2923" stopIfTrue="1" operator="between">
      <formula>-0.15</formula>
      <formula>0.005</formula>
    </cfRule>
  </conditionalFormatting>
  <conditionalFormatting sqref="AE196">
    <cfRule type="cellIs" dxfId="2466" priority="2820" stopIfTrue="1" operator="between">
      <formula>-0.15</formula>
      <formula>-0.0001</formula>
    </cfRule>
  </conditionalFormatting>
  <conditionalFormatting sqref="AH752:AI752">
    <cfRule type="cellIs" dxfId="2465" priority="2867" stopIfTrue="1" operator="between">
      <formula>-0.15</formula>
      <formula>0.005</formula>
    </cfRule>
  </conditionalFormatting>
  <conditionalFormatting sqref="N762">
    <cfRule type="cellIs" dxfId="2464" priority="2878" stopIfTrue="1" operator="between">
      <formula>-350</formula>
      <formula>-1</formula>
    </cfRule>
  </conditionalFormatting>
  <conditionalFormatting sqref="N178">
    <cfRule type="cellIs" dxfId="2463" priority="2915" stopIfTrue="1" operator="between">
      <formula>-350</formula>
      <formula>-1</formula>
    </cfRule>
  </conditionalFormatting>
  <conditionalFormatting sqref="AH179:AI179">
    <cfRule type="cellIs" dxfId="2462" priority="2920" stopIfTrue="1" operator="between">
      <formula>-0.15</formula>
      <formula>0.005</formula>
    </cfRule>
  </conditionalFormatting>
  <conditionalFormatting sqref="AE178">
    <cfRule type="cellIs" dxfId="2461" priority="2916" stopIfTrue="1" operator="between">
      <formula>-0.15</formula>
      <formula>-0.0001</formula>
    </cfRule>
  </conditionalFormatting>
  <conditionalFormatting sqref="N195">
    <cfRule type="cellIs" dxfId="2460" priority="2837" stopIfTrue="1" operator="between">
      <formula>-350</formula>
      <formula>-1</formula>
    </cfRule>
  </conditionalFormatting>
  <conditionalFormatting sqref="AH762:AI762">
    <cfRule type="cellIs" dxfId="2459" priority="2879" stopIfTrue="1" operator="between">
      <formula>-0.15</formula>
      <formula>0.005</formula>
    </cfRule>
  </conditionalFormatting>
  <conditionalFormatting sqref="AE191">
    <cfRule type="cellIs" dxfId="2458" priority="2862" stopIfTrue="1" operator="between">
      <formula>-0.15</formula>
      <formula>-0.0001</formula>
    </cfRule>
  </conditionalFormatting>
  <conditionalFormatting sqref="AH780:AI780">
    <cfRule type="cellIs" dxfId="2457" priority="2882" stopIfTrue="1" operator="between">
      <formula>-0.15</formula>
      <formula>0.005</formula>
    </cfRule>
  </conditionalFormatting>
  <conditionalFormatting sqref="N194">
    <cfRule type="cellIs" dxfId="2456" priority="2843" stopIfTrue="1" operator="between">
      <formula>-350</formula>
      <formula>-1</formula>
    </cfRule>
  </conditionalFormatting>
  <conditionalFormatting sqref="AE179">
    <cfRule type="cellIs" dxfId="2455" priority="2921" stopIfTrue="1" operator="between">
      <formula>-0.15</formula>
      <formula>-0.0001</formula>
    </cfRule>
  </conditionalFormatting>
  <conditionalFormatting sqref="N179">
    <cfRule type="cellIs" dxfId="2454" priority="2922" stopIfTrue="1" operator="between">
      <formula>-350</formula>
      <formula>-1</formula>
    </cfRule>
  </conditionalFormatting>
  <conditionalFormatting sqref="N757">
    <cfRule type="cellIs" dxfId="2453" priority="2875" stopIfTrue="1" operator="between">
      <formula>-350</formula>
      <formula>-1</formula>
    </cfRule>
  </conditionalFormatting>
  <conditionalFormatting sqref="AH193:AI193">
    <cfRule type="cellIs" dxfId="2452" priority="2863" stopIfTrue="1" operator="between">
      <formula>-0.15</formula>
      <formula>0.005</formula>
    </cfRule>
  </conditionalFormatting>
  <conditionalFormatting sqref="AE200">
    <cfRule type="cellIs" dxfId="2451" priority="2846" stopIfTrue="1" operator="between">
      <formula>-0.15</formula>
      <formula>-0.0001</formula>
    </cfRule>
  </conditionalFormatting>
  <conditionalFormatting sqref="AE195">
    <cfRule type="cellIs" dxfId="2450" priority="2838" stopIfTrue="1" operator="between">
      <formula>-0.15</formula>
      <formula>-0.0001</formula>
    </cfRule>
  </conditionalFormatting>
  <conditionalFormatting sqref="AH199:AI199">
    <cfRule type="cellIs" dxfId="2449" priority="2815" stopIfTrue="1" operator="between">
      <formula>-0.15</formula>
      <formula>0.005</formula>
    </cfRule>
  </conditionalFormatting>
  <conditionalFormatting sqref="AE752">
    <cfRule type="cellIs" dxfId="2448" priority="2868" stopIfTrue="1" operator="between">
      <formula>-0.15</formula>
      <formula>-0.0001</formula>
    </cfRule>
  </conditionalFormatting>
  <conditionalFormatting sqref="AH194:AI194">
    <cfRule type="cellIs" dxfId="2447" priority="2842" stopIfTrue="1" operator="between">
      <formula>-0.15</formula>
      <formula>0.005</formula>
    </cfRule>
  </conditionalFormatting>
  <conditionalFormatting sqref="AH191:AI191">
    <cfRule type="cellIs" dxfId="2446" priority="2860" stopIfTrue="1" operator="between">
      <formula>-0.15</formula>
      <formula>0.005</formula>
    </cfRule>
  </conditionalFormatting>
  <conditionalFormatting sqref="AH757:AI757">
    <cfRule type="cellIs" dxfId="2445" priority="2876" stopIfTrue="1" operator="between">
      <formula>-0.15</formula>
      <formula>0.005</formula>
    </cfRule>
  </conditionalFormatting>
  <conditionalFormatting sqref="AH192:AI192">
    <cfRule type="cellIs" dxfId="2444" priority="2857" stopIfTrue="1" operator="between">
      <formula>-0.15</formula>
      <formula>0.005</formula>
    </cfRule>
  </conditionalFormatting>
  <conditionalFormatting sqref="AE199">
    <cfRule type="cellIs" dxfId="2443" priority="2817" stopIfTrue="1" operator="between">
      <formula>-0.15</formula>
      <formula>-0.0001</formula>
    </cfRule>
  </conditionalFormatting>
  <conditionalFormatting sqref="AE192">
    <cfRule type="cellIs" dxfId="2442" priority="2859" stopIfTrue="1" operator="between">
      <formula>-0.15</formula>
      <formula>-0.0001</formula>
    </cfRule>
  </conditionalFormatting>
  <conditionalFormatting sqref="N196">
    <cfRule type="cellIs" dxfId="2441" priority="2819" stopIfTrue="1" operator="between">
      <formula>-350</formula>
      <formula>-1</formula>
    </cfRule>
  </conditionalFormatting>
  <conditionalFormatting sqref="N197">
    <cfRule type="cellIs" dxfId="2440" priority="2810" stopIfTrue="1" operator="between">
      <formula>-350</formula>
      <formula>-1</formula>
    </cfRule>
  </conditionalFormatting>
  <conditionalFormatting sqref="AE194">
    <cfRule type="cellIs" dxfId="2439" priority="2844" stopIfTrue="1" operator="between">
      <formula>-0.15</formula>
      <formula>-0.0001</formula>
    </cfRule>
  </conditionalFormatting>
  <conditionalFormatting sqref="AH196:AI196">
    <cfRule type="cellIs" dxfId="2438" priority="2818" stopIfTrue="1" operator="between">
      <formula>-0.15</formula>
      <formula>0.005</formula>
    </cfRule>
  </conditionalFormatting>
  <conditionalFormatting sqref="N1463">
    <cfRule type="cellIs" dxfId="2437" priority="2792" stopIfTrue="1" operator="between">
      <formula>-350</formula>
      <formula>-1</formula>
    </cfRule>
  </conditionalFormatting>
  <conditionalFormatting sqref="AE1527">
    <cfRule type="cellIs" dxfId="2436" priority="2808" stopIfTrue="1" operator="between">
      <formula>-0.15</formula>
      <formula>-0.0001</formula>
    </cfRule>
  </conditionalFormatting>
  <conditionalFormatting sqref="AE197">
    <cfRule type="cellIs" dxfId="2435" priority="2811" stopIfTrue="1" operator="between">
      <formula>-0.15</formula>
      <formula>-0.0001</formula>
    </cfRule>
  </conditionalFormatting>
  <conditionalFormatting sqref="N442">
    <cfRule type="cellIs" dxfId="2434" priority="2775" stopIfTrue="1" operator="between">
      <formula>-350</formula>
      <formula>-1</formula>
    </cfRule>
  </conditionalFormatting>
  <conditionalFormatting sqref="AE1465">
    <cfRule type="cellIs" dxfId="2433" priority="2802" stopIfTrue="1" operator="between">
      <formula>-0.15</formula>
      <formula>-0.0001</formula>
    </cfRule>
  </conditionalFormatting>
  <conditionalFormatting sqref="N191">
    <cfRule type="cellIs" dxfId="2432" priority="2861" stopIfTrue="1" operator="between">
      <formula>-350</formula>
      <formula>-1</formula>
    </cfRule>
  </conditionalFormatting>
  <conditionalFormatting sqref="N198">
    <cfRule type="cellIs" dxfId="2431" priority="2813" stopIfTrue="1" operator="between">
      <formula>-350</formula>
      <formula>-1</formula>
    </cfRule>
  </conditionalFormatting>
  <conditionalFormatting sqref="AE198">
    <cfRule type="cellIs" dxfId="2430" priority="2814" stopIfTrue="1" operator="between">
      <formula>-0.15</formula>
      <formula>-0.0001</formula>
    </cfRule>
  </conditionalFormatting>
  <conditionalFormatting sqref="AH1527:AI1527">
    <cfRule type="cellIs" dxfId="2429" priority="2807" stopIfTrue="1" operator="between">
      <formula>-0.15</formula>
      <formula>0.005</formula>
    </cfRule>
  </conditionalFormatting>
  <conditionalFormatting sqref="N192">
    <cfRule type="cellIs" dxfId="2428" priority="2858" stopIfTrue="1" operator="between">
      <formula>-350</formula>
      <formula>-1</formula>
    </cfRule>
  </conditionalFormatting>
  <conditionalFormatting sqref="AE435">
    <cfRule type="cellIs" dxfId="2427" priority="2787" stopIfTrue="1" operator="between">
      <formula>-0.15</formula>
      <formula>-0.0001</formula>
    </cfRule>
  </conditionalFormatting>
  <conditionalFormatting sqref="AH198:AI198">
    <cfRule type="cellIs" dxfId="2426" priority="2812" stopIfTrue="1" operator="between">
      <formula>-0.15</formula>
      <formula>0.005</formula>
    </cfRule>
  </conditionalFormatting>
  <conditionalFormatting sqref="AH197:AI197">
    <cfRule type="cellIs" dxfId="2425" priority="2809" stopIfTrue="1" operator="between">
      <formula>-0.15</formula>
      <formula>0.005</formula>
    </cfRule>
  </conditionalFormatting>
  <conditionalFormatting sqref="AH438:AI438">
    <cfRule type="cellIs" dxfId="2424" priority="2788" stopIfTrue="1" operator="between">
      <formula>-0.15</formula>
      <formula>0.005</formula>
    </cfRule>
  </conditionalFormatting>
  <conditionalFormatting sqref="AE193">
    <cfRule type="cellIs" dxfId="2423" priority="2864" stopIfTrue="1" operator="between">
      <formula>-0.15</formula>
      <formula>-0.0001</formula>
    </cfRule>
  </conditionalFormatting>
  <conditionalFormatting sqref="AH1466:AI1466">
    <cfRule type="cellIs" dxfId="2422" priority="2804" stopIfTrue="1" operator="between">
      <formula>-0.15</formula>
      <formula>0.005</formula>
    </cfRule>
  </conditionalFormatting>
  <conditionalFormatting sqref="AE438">
    <cfRule type="cellIs" dxfId="2421" priority="2789" stopIfTrue="1" operator="between">
      <formula>-0.15</formula>
      <formula>-0.0001</formula>
    </cfRule>
  </conditionalFormatting>
  <conditionalFormatting sqref="AH195:AI195">
    <cfRule type="cellIs" dxfId="2420" priority="2836" stopIfTrue="1" operator="between">
      <formula>-0.15</formula>
      <formula>0.005</formula>
    </cfRule>
  </conditionalFormatting>
  <conditionalFormatting sqref="N193">
    <cfRule type="cellIs" dxfId="2419" priority="2865" stopIfTrue="1" operator="between">
      <formula>-350</formula>
      <formula>-1</formula>
    </cfRule>
  </conditionalFormatting>
  <conditionalFormatting sqref="N199">
    <cfRule type="cellIs" dxfId="2418" priority="2816" stopIfTrue="1" operator="between">
      <formula>-350</formula>
      <formula>-1</formula>
    </cfRule>
  </conditionalFormatting>
  <conditionalFormatting sqref="N1433">
    <cfRule type="cellIs" dxfId="2417" priority="2768" stopIfTrue="1" operator="between">
      <formula>-350</formula>
      <formula>-1</formula>
    </cfRule>
  </conditionalFormatting>
  <conditionalFormatting sqref="AH1465:AI1465">
    <cfRule type="cellIs" dxfId="2416" priority="2801" stopIfTrue="1" operator="between">
      <formula>-0.15</formula>
      <formula>0.005</formula>
    </cfRule>
  </conditionalFormatting>
  <conditionalFormatting sqref="AE442">
    <cfRule type="cellIs" dxfId="2415" priority="2774" stopIfTrue="1" operator="between">
      <formula>-0.15</formula>
      <formula>-0.0001</formula>
    </cfRule>
  </conditionalFormatting>
  <conditionalFormatting sqref="AE1466">
    <cfRule type="cellIs" dxfId="2414" priority="2805" stopIfTrue="1" operator="between">
      <formula>-0.15</formula>
      <formula>-0.0001</formula>
    </cfRule>
  </conditionalFormatting>
  <conditionalFormatting sqref="AE1463">
    <cfRule type="cellIs" dxfId="2413" priority="2791" stopIfTrue="1" operator="between">
      <formula>-0.15</formula>
      <formula>-0.0001</formula>
    </cfRule>
  </conditionalFormatting>
  <conditionalFormatting sqref="AH1463:AI1463">
    <cfRule type="cellIs" dxfId="2412" priority="2790" stopIfTrue="1" operator="between">
      <formula>-0.15</formula>
      <formula>0.005</formula>
    </cfRule>
  </conditionalFormatting>
  <conditionalFormatting sqref="N1527">
    <cfRule type="cellIs" dxfId="2411" priority="2806" stopIfTrue="1" operator="between">
      <formula>-350</formula>
      <formula>-1</formula>
    </cfRule>
  </conditionalFormatting>
  <conditionalFormatting sqref="N437">
    <cfRule type="cellIs" dxfId="2410" priority="2776" stopIfTrue="1" operator="between">
      <formula>-350</formula>
      <formula>-1</formula>
    </cfRule>
  </conditionalFormatting>
  <conditionalFormatting sqref="AH435:AI435">
    <cfRule type="cellIs" dxfId="2409" priority="2786" stopIfTrue="1" operator="between">
      <formula>-0.15</formula>
      <formula>0.005</formula>
    </cfRule>
  </conditionalFormatting>
  <conditionalFormatting sqref="AE1459">
    <cfRule type="cellIs" dxfId="2408" priority="2755" stopIfTrue="1" operator="between">
      <formula>-0.15</formula>
      <formula>-0.0001</formula>
    </cfRule>
  </conditionalFormatting>
  <conditionalFormatting sqref="AH1464:AI1464">
    <cfRule type="cellIs" dxfId="2407" priority="2793" stopIfTrue="1" operator="between">
      <formula>-0.15</formula>
      <formula>0.005</formula>
    </cfRule>
  </conditionalFormatting>
  <conditionalFormatting sqref="N1436">
    <cfRule type="cellIs" dxfId="2406" priority="2759" stopIfTrue="1" operator="between">
      <formula>-350</formula>
      <formula>-1</formula>
    </cfRule>
  </conditionalFormatting>
  <conditionalFormatting sqref="N435">
    <cfRule type="cellIs" dxfId="2405" priority="2785" stopIfTrue="1" operator="between">
      <formula>-350</formula>
      <formula>-1</formula>
    </cfRule>
  </conditionalFormatting>
  <conditionalFormatting sqref="AH1438:AI1438">
    <cfRule type="cellIs" dxfId="2404" priority="2771" stopIfTrue="1" operator="between">
      <formula>-0.15</formula>
      <formula>0.005</formula>
    </cfRule>
  </conditionalFormatting>
  <conditionalFormatting sqref="N1444">
    <cfRule type="cellIs" dxfId="2403" priority="2745" stopIfTrue="1" operator="between">
      <formula>-350</formula>
      <formula>-1</formula>
    </cfRule>
  </conditionalFormatting>
  <conditionalFormatting sqref="AH1439:AI1439">
    <cfRule type="cellIs" dxfId="2402" priority="2749" stopIfTrue="1" operator="between">
      <formula>-0.15</formula>
      <formula>0.005</formula>
    </cfRule>
  </conditionalFormatting>
  <conditionalFormatting sqref="AE436">
    <cfRule type="cellIs" dxfId="2401" priority="2781" stopIfTrue="1" operator="between">
      <formula>-0.15</formula>
      <formula>-0.0001</formula>
    </cfRule>
  </conditionalFormatting>
  <conditionalFormatting sqref="AH436:AI436">
    <cfRule type="cellIs" dxfId="2400" priority="2780" stopIfTrue="1" operator="between">
      <formula>-0.15</formula>
      <formula>0.005</formula>
    </cfRule>
  </conditionalFormatting>
  <conditionalFormatting sqref="AE1438">
    <cfRule type="cellIs" dxfId="2399" priority="2772" stopIfTrue="1" operator="between">
      <formula>-0.15</formula>
      <formula>-0.0001</formula>
    </cfRule>
  </conditionalFormatting>
  <conditionalFormatting sqref="AH1459:AI1459">
    <cfRule type="cellIs" dxfId="2398" priority="2754" stopIfTrue="1" operator="between">
      <formula>-0.15</formula>
      <formula>0.005</formula>
    </cfRule>
  </conditionalFormatting>
  <conditionalFormatting sqref="N1440">
    <cfRule type="cellIs" dxfId="2397" priority="2739" stopIfTrue="1" operator="between">
      <formula>-350</formula>
      <formula>-1</formula>
    </cfRule>
  </conditionalFormatting>
  <conditionalFormatting sqref="N1437">
    <cfRule type="cellIs" dxfId="2396" priority="2762" stopIfTrue="1" operator="between">
      <formula>-350</formula>
      <formula>-1</formula>
    </cfRule>
  </conditionalFormatting>
  <conditionalFormatting sqref="AE1443">
    <cfRule type="cellIs" dxfId="2395" priority="2744" stopIfTrue="1" operator="between">
      <formula>-0.15</formula>
      <formula>-0.0001</formula>
    </cfRule>
  </conditionalFormatting>
  <conditionalFormatting sqref="AH1445:AI1445">
    <cfRule type="cellIs" dxfId="2394" priority="2751" stopIfTrue="1" operator="between">
      <formula>-0.15</formula>
      <formula>0.005</formula>
    </cfRule>
  </conditionalFormatting>
  <conditionalFormatting sqref="N1439">
    <cfRule type="cellIs" dxfId="2393" priority="2748" stopIfTrue="1" operator="between">
      <formula>-350</formula>
      <formula>-1</formula>
    </cfRule>
  </conditionalFormatting>
  <conditionalFormatting sqref="AH1436:AI1436">
    <cfRule type="cellIs" dxfId="2392" priority="2760" stopIfTrue="1" operator="between">
      <formula>-0.15</formula>
      <formula>0.005</formula>
    </cfRule>
  </conditionalFormatting>
  <conditionalFormatting sqref="AE437">
    <cfRule type="cellIs" dxfId="2391" priority="2778" stopIfTrue="1" operator="between">
      <formula>-0.15</formula>
      <formula>-0.0001</formula>
    </cfRule>
  </conditionalFormatting>
  <conditionalFormatting sqref="AE1437">
    <cfRule type="cellIs" dxfId="2390" priority="2764" stopIfTrue="1" operator="between">
      <formula>-0.15</formula>
      <formula>-0.0001</formula>
    </cfRule>
  </conditionalFormatting>
  <conditionalFormatting sqref="AH442:AI442">
    <cfRule type="cellIs" dxfId="2389" priority="2773" stopIfTrue="1" operator="between">
      <formula>-0.15</formula>
      <formula>0.005</formula>
    </cfRule>
  </conditionalFormatting>
  <conditionalFormatting sqref="N1442">
    <cfRule type="cellIs" dxfId="2388" priority="2736" stopIfTrue="1" operator="between">
      <formula>-350</formula>
      <formula>-1</formula>
    </cfRule>
  </conditionalFormatting>
  <conditionalFormatting sqref="AH437:AI437">
    <cfRule type="cellIs" dxfId="2387" priority="2777" stopIfTrue="1" operator="between">
      <formula>-0.15</formula>
      <formula>0.005</formula>
    </cfRule>
  </conditionalFormatting>
  <conditionalFormatting sqref="AH1444:AI1444">
    <cfRule type="cellIs" dxfId="2386" priority="2746" stopIfTrue="1" operator="between">
      <formula>-0.15</formula>
      <formula>0.005</formula>
    </cfRule>
  </conditionalFormatting>
  <conditionalFormatting sqref="N1465">
    <cfRule type="cellIs" dxfId="2385" priority="2803" stopIfTrue="1" operator="between">
      <formula>-350</formula>
      <formula>-1</formula>
    </cfRule>
  </conditionalFormatting>
  <conditionalFormatting sqref="AE1439">
    <cfRule type="cellIs" dxfId="2384" priority="2750" stopIfTrue="1" operator="between">
      <formula>-0.15</formula>
      <formula>-0.0001</formula>
    </cfRule>
  </conditionalFormatting>
  <conditionalFormatting sqref="AH1433:AI1433">
    <cfRule type="cellIs" dxfId="2383" priority="2769" stopIfTrue="1" operator="between">
      <formula>-0.15</formula>
      <formula>0.005</formula>
    </cfRule>
  </conditionalFormatting>
  <conditionalFormatting sqref="AE1464">
    <cfRule type="cellIs" dxfId="2382" priority="2794" stopIfTrue="1" operator="between">
      <formula>-0.15</formula>
      <formula>-0.0001</formula>
    </cfRule>
  </conditionalFormatting>
  <conditionalFormatting sqref="AH1437:AI1437">
    <cfRule type="cellIs" dxfId="2381" priority="2763" stopIfTrue="1" operator="between">
      <formula>-0.15</formula>
      <formula>0.005</formula>
    </cfRule>
  </conditionalFormatting>
  <conditionalFormatting sqref="AH1454:AI1454">
    <cfRule type="cellIs" dxfId="2380" priority="2709" stopIfTrue="1" operator="between">
      <formula>-0.15</formula>
      <formula>0.005</formula>
    </cfRule>
  </conditionalFormatting>
  <conditionalFormatting sqref="AE1436">
    <cfRule type="cellIs" dxfId="2379" priority="2761" stopIfTrue="1" operator="between">
      <formula>-0.15</formula>
      <formula>-0.0001</formula>
    </cfRule>
  </conditionalFormatting>
  <conditionalFormatting sqref="AE1433">
    <cfRule type="cellIs" dxfId="2378" priority="2770" stopIfTrue="1" operator="between">
      <formula>-0.15</formula>
      <formula>-0.0001</formula>
    </cfRule>
  </conditionalFormatting>
  <conditionalFormatting sqref="AE1442">
    <cfRule type="cellIs" dxfId="2377" priority="2738" stopIfTrue="1" operator="between">
      <formula>-0.15</formula>
      <formula>-0.0001</formula>
    </cfRule>
  </conditionalFormatting>
  <conditionalFormatting sqref="AH1442:AI1442">
    <cfRule type="cellIs" dxfId="2376" priority="2737" stopIfTrue="1" operator="between">
      <formula>-0.15</formula>
      <formula>0.005</formula>
    </cfRule>
  </conditionalFormatting>
  <conditionalFormatting sqref="AE1445">
    <cfRule type="cellIs" dxfId="2375" priority="2752" stopIfTrue="1" operator="between">
      <formula>-0.15</formula>
      <formula>-0.0001</formula>
    </cfRule>
  </conditionalFormatting>
  <conditionalFormatting sqref="AH1443:AI1443">
    <cfRule type="cellIs" dxfId="2374" priority="2743" stopIfTrue="1" operator="between">
      <formula>-0.15</formula>
      <formula>0.005</formula>
    </cfRule>
  </conditionalFormatting>
  <conditionalFormatting sqref="N436">
    <cfRule type="cellIs" dxfId="2373" priority="2779" stopIfTrue="1" operator="between">
      <formula>-350</formula>
      <formula>-1</formula>
    </cfRule>
  </conditionalFormatting>
  <conditionalFormatting sqref="AE1447">
    <cfRule type="cellIs" dxfId="2372" priority="2732" stopIfTrue="1" operator="between">
      <formula>-0.15</formula>
      <formula>-0.0001</formula>
    </cfRule>
  </conditionalFormatting>
  <conditionalFormatting sqref="N1446">
    <cfRule type="cellIs" dxfId="2371" priority="2728" stopIfTrue="1" operator="between">
      <formula>-350</formula>
      <formula>-1</formula>
    </cfRule>
  </conditionalFormatting>
  <conditionalFormatting sqref="AH1440:AI1440">
    <cfRule type="cellIs" dxfId="2370" priority="2740" stopIfTrue="1" operator="between">
      <formula>-0.15</formula>
      <formula>0.005</formula>
    </cfRule>
  </conditionalFormatting>
  <conditionalFormatting sqref="N1459">
    <cfRule type="cellIs" dxfId="2369" priority="2753" stopIfTrue="1" operator="between">
      <formula>-350</formula>
      <formula>-1</formula>
    </cfRule>
  </conditionalFormatting>
  <conditionalFormatting sqref="N1441">
    <cfRule type="cellIs" dxfId="2368" priority="2733" stopIfTrue="1" operator="between">
      <formula>-350</formula>
      <formula>-1</formula>
    </cfRule>
  </conditionalFormatting>
  <conditionalFormatting sqref="AH1447:AI1447">
    <cfRule type="cellIs" dxfId="2367" priority="2731" stopIfTrue="1" operator="between">
      <formula>-0.15</formula>
      <formula>0.005</formula>
    </cfRule>
  </conditionalFormatting>
  <conditionalFormatting sqref="AE1446">
    <cfRule type="cellIs" dxfId="2366" priority="2730" stopIfTrue="1" operator="between">
      <formula>-0.15</formula>
      <formula>-0.0001</formula>
    </cfRule>
  </conditionalFormatting>
  <conditionalFormatting sqref="N1443">
    <cfRule type="cellIs" dxfId="2365" priority="2742" stopIfTrue="1" operator="between">
      <formula>-350</formula>
      <formula>-1</formula>
    </cfRule>
  </conditionalFormatting>
  <conditionalFormatting sqref="AE1441">
    <cfRule type="cellIs" dxfId="2364" priority="2735" stopIfTrue="1" operator="between">
      <formula>-0.15</formula>
      <formula>-0.0001</formula>
    </cfRule>
  </conditionalFormatting>
  <conditionalFormatting sqref="AH1452:AI1452">
    <cfRule type="cellIs" dxfId="2363" priority="2720" stopIfTrue="1" operator="between">
      <formula>-0.15</formula>
      <formula>0.005</formula>
    </cfRule>
  </conditionalFormatting>
  <conditionalFormatting sqref="AH1446:AI1446">
    <cfRule type="cellIs" dxfId="2362" priority="2729" stopIfTrue="1" operator="between">
      <formula>-0.15</formula>
      <formula>0.005</formula>
    </cfRule>
  </conditionalFormatting>
  <conditionalFormatting sqref="AE1444">
    <cfRule type="cellIs" dxfId="2361" priority="2747" stopIfTrue="1" operator="between">
      <formula>-0.15</formula>
      <formula>-0.0001</formula>
    </cfRule>
  </conditionalFormatting>
  <conditionalFormatting sqref="N1455">
    <cfRule type="cellIs" dxfId="2360" priority="2702" stopIfTrue="1" operator="between">
      <formula>-350</formula>
      <formula>-1</formula>
    </cfRule>
  </conditionalFormatting>
  <conditionalFormatting sqref="AE1448">
    <cfRule type="cellIs" dxfId="2359" priority="2719" stopIfTrue="1" operator="between">
      <formula>-0.15</formula>
      <formula>-0.0001</formula>
    </cfRule>
  </conditionalFormatting>
  <conditionalFormatting sqref="AE1384">
    <cfRule type="cellIs" dxfId="2358" priority="2692" stopIfTrue="1" operator="between">
      <formula>-0.15</formula>
      <formula>-0.0001</formula>
    </cfRule>
  </conditionalFormatting>
  <conditionalFormatting sqref="AH1441:AI1441">
    <cfRule type="cellIs" dxfId="2357" priority="2734" stopIfTrue="1" operator="between">
      <formula>-0.15</formula>
      <formula>0.005</formula>
    </cfRule>
  </conditionalFormatting>
  <conditionalFormatting sqref="N1458">
    <cfRule type="cellIs" dxfId="2356" priority="2699" stopIfTrue="1" operator="between">
      <formula>-350</formula>
      <formula>-1</formula>
    </cfRule>
  </conditionalFormatting>
  <conditionalFormatting sqref="N1448">
    <cfRule type="cellIs" dxfId="2355" priority="2717" stopIfTrue="1" operator="between">
      <formula>-350</formula>
      <formula>-1</formula>
    </cfRule>
  </conditionalFormatting>
  <conditionalFormatting sqref="AH1449:AI1449">
    <cfRule type="cellIs" dxfId="2354" priority="2715" stopIfTrue="1" operator="between">
      <formula>-0.15</formula>
      <formula>0.005</formula>
    </cfRule>
  </conditionalFormatting>
  <conditionalFormatting sqref="AE1449">
    <cfRule type="cellIs" dxfId="2353" priority="2716" stopIfTrue="1" operator="between">
      <formula>-0.15</formula>
      <formula>-0.0001</formula>
    </cfRule>
  </conditionalFormatting>
  <conditionalFormatting sqref="N1456">
    <cfRule type="cellIs" dxfId="2352" priority="2705" stopIfTrue="1" operator="between">
      <formula>-350</formula>
      <formula>-1</formula>
    </cfRule>
  </conditionalFormatting>
  <conditionalFormatting sqref="AH1451:AI1451">
    <cfRule type="cellIs" dxfId="2351" priority="2712" stopIfTrue="1" operator="between">
      <formula>-0.15</formula>
      <formula>0.005</formula>
    </cfRule>
  </conditionalFormatting>
  <conditionalFormatting sqref="AE1440">
    <cfRule type="cellIs" dxfId="2350" priority="2741" stopIfTrue="1" operator="between">
      <formula>-0.15</formula>
      <formula>-0.0001</formula>
    </cfRule>
  </conditionalFormatting>
  <conditionalFormatting sqref="N1379">
    <cfRule type="cellIs" dxfId="2349" priority="2688" stopIfTrue="1" operator="between">
      <formula>-350</formula>
      <formula>-1</formula>
    </cfRule>
  </conditionalFormatting>
  <conditionalFormatting sqref="AE1387">
    <cfRule type="cellIs" dxfId="2348" priority="2698" stopIfTrue="1" operator="between">
      <formula>-0.15</formula>
      <formula>-0.0001</formula>
    </cfRule>
  </conditionalFormatting>
  <conditionalFormatting sqref="AE1386">
    <cfRule type="cellIs" dxfId="2347" priority="2695" stopIfTrue="1" operator="between">
      <formula>-0.15</formula>
      <formula>-0.0001</formula>
    </cfRule>
  </conditionalFormatting>
  <conditionalFormatting sqref="AE1458">
    <cfRule type="cellIs" dxfId="2346" priority="2701" stopIfTrue="1" operator="between">
      <formula>-0.15</formula>
      <formula>-0.0001</formula>
    </cfRule>
  </conditionalFormatting>
  <conditionalFormatting sqref="AH1458:AI1458">
    <cfRule type="cellIs" dxfId="2345" priority="2700" stopIfTrue="1" operator="between">
      <formula>-0.15</formula>
      <formula>0.005</formula>
    </cfRule>
  </conditionalFormatting>
  <conditionalFormatting sqref="N1449">
    <cfRule type="cellIs" dxfId="2344" priority="2714" stopIfTrue="1" operator="between">
      <formula>-350</formula>
      <formula>-1</formula>
    </cfRule>
  </conditionalFormatting>
  <conditionalFormatting sqref="AH1384:AI1384">
    <cfRule type="cellIs" dxfId="2343" priority="2691" stopIfTrue="1" operator="between">
      <formula>-0.15</formula>
      <formula>0.005</formula>
    </cfRule>
  </conditionalFormatting>
  <conditionalFormatting sqref="N1451">
    <cfRule type="cellIs" dxfId="2342" priority="2711" stopIfTrue="1" operator="between">
      <formula>-350</formula>
      <formula>-1</formula>
    </cfRule>
  </conditionalFormatting>
  <conditionalFormatting sqref="AE1451">
    <cfRule type="cellIs" dxfId="2341" priority="2713" stopIfTrue="1" operator="between">
      <formula>-0.15</formula>
      <formula>-0.0001</formula>
    </cfRule>
  </conditionalFormatting>
  <conditionalFormatting sqref="AH1380:AI1380">
    <cfRule type="cellIs" dxfId="2340" priority="2677" stopIfTrue="1" operator="between">
      <formula>-0.15</formula>
      <formula>0.005</formula>
    </cfRule>
  </conditionalFormatting>
  <conditionalFormatting sqref="AE1381">
    <cfRule type="cellIs" dxfId="2339" priority="2681" stopIfTrue="1" operator="between">
      <formula>-0.15</formula>
      <formula>-0.0001</formula>
    </cfRule>
  </conditionalFormatting>
  <conditionalFormatting sqref="AH1448:AI1448">
    <cfRule type="cellIs" dxfId="2338" priority="2718" stopIfTrue="1" operator="between">
      <formula>-0.15</formula>
      <formula>0.005</formula>
    </cfRule>
  </conditionalFormatting>
  <conditionalFormatting sqref="N1386">
    <cfRule type="cellIs" dxfId="2337" priority="2693" stopIfTrue="1" operator="between">
      <formula>-350</formula>
      <formula>-1</formula>
    </cfRule>
  </conditionalFormatting>
  <conditionalFormatting sqref="AH1456:AI1456">
    <cfRule type="cellIs" dxfId="2336" priority="2706" stopIfTrue="1" operator="between">
      <formula>-0.15</formula>
      <formula>0.005</formula>
    </cfRule>
  </conditionalFormatting>
  <conditionalFormatting sqref="AE1452">
    <cfRule type="cellIs" dxfId="2335" priority="2721" stopIfTrue="1" operator="between">
      <formula>-0.15</formula>
      <formula>-0.0001</formula>
    </cfRule>
  </conditionalFormatting>
  <conditionalFormatting sqref="N1454">
    <cfRule type="cellIs" dxfId="2334" priority="2708" stopIfTrue="1" operator="between">
      <formula>-350</formula>
      <formula>-1</formula>
    </cfRule>
  </conditionalFormatting>
  <conditionalFormatting sqref="AE1454">
    <cfRule type="cellIs" dxfId="2333" priority="2710" stopIfTrue="1" operator="between">
      <formula>-0.15</formula>
      <formula>-0.0001</formula>
    </cfRule>
  </conditionalFormatting>
  <conditionalFormatting sqref="AH1257:AI1257">
    <cfRule type="cellIs" dxfId="2332" priority="2674" stopIfTrue="1" operator="between">
      <formula>-0.15</formula>
      <formula>0.005</formula>
    </cfRule>
  </conditionalFormatting>
  <conditionalFormatting sqref="AE1456">
    <cfRule type="cellIs" dxfId="2331" priority="2707" stopIfTrue="1" operator="between">
      <formula>-0.15</formula>
      <formula>-0.0001</formula>
    </cfRule>
  </conditionalFormatting>
  <conditionalFormatting sqref="AH1256:AI1256">
    <cfRule type="cellIs" dxfId="2330" priority="2671" stopIfTrue="1" operator="between">
      <formula>-0.15</formula>
      <formula>0.005</formula>
    </cfRule>
  </conditionalFormatting>
  <conditionalFormatting sqref="AE1455">
    <cfRule type="cellIs" dxfId="2329" priority="2704" stopIfTrue="1" operator="between">
      <formula>-0.15</formula>
      <formula>-0.0001</formula>
    </cfRule>
  </conditionalFormatting>
  <conditionalFormatting sqref="AH1455:AI1455">
    <cfRule type="cellIs" dxfId="2328" priority="2703" stopIfTrue="1" operator="between">
      <formula>-0.15</formula>
      <formula>0.005</formula>
    </cfRule>
  </conditionalFormatting>
  <conditionalFormatting sqref="N1387">
    <cfRule type="cellIs" dxfId="2327" priority="2696" stopIfTrue="1" operator="between">
      <formula>-350</formula>
      <formula>-1</formula>
    </cfRule>
  </conditionalFormatting>
  <conditionalFormatting sqref="AE1379">
    <cfRule type="cellIs" dxfId="2326" priority="2690" stopIfTrue="1" operator="between">
      <formula>-0.15</formula>
      <formula>-0.0001</formula>
    </cfRule>
  </conditionalFormatting>
  <conditionalFormatting sqref="AH1387:AI1387">
    <cfRule type="cellIs" dxfId="2325" priority="2697" stopIfTrue="1" operator="between">
      <formula>-0.15</formula>
      <formula>0.005</formula>
    </cfRule>
  </conditionalFormatting>
  <conditionalFormatting sqref="AH1379:AI1379">
    <cfRule type="cellIs" dxfId="2324" priority="2689" stopIfTrue="1" operator="between">
      <formula>-0.15</formula>
      <formula>0.005</formula>
    </cfRule>
  </conditionalFormatting>
  <conditionalFormatting sqref="N1382">
    <cfRule type="cellIs" dxfId="2323" priority="2682" stopIfTrue="1" operator="between">
      <formula>-350</formula>
      <formula>-1</formula>
    </cfRule>
  </conditionalFormatting>
  <conditionalFormatting sqref="AE1383">
    <cfRule type="cellIs" dxfId="2322" priority="2687" stopIfTrue="1" operator="between">
      <formula>-0.15</formula>
      <formula>-0.0001</formula>
    </cfRule>
  </conditionalFormatting>
  <conditionalFormatting sqref="AH1386:AI1386">
    <cfRule type="cellIs" dxfId="2321" priority="2694" stopIfTrue="1" operator="between">
      <formula>-0.15</formula>
      <formula>0.005</formula>
    </cfRule>
  </conditionalFormatting>
  <conditionalFormatting sqref="AE1255">
    <cfRule type="cellIs" dxfId="2320" priority="2670" stopIfTrue="1" operator="between">
      <formula>-0.15</formula>
      <formula>-0.0001</formula>
    </cfRule>
  </conditionalFormatting>
  <conditionalFormatting sqref="AH1381:AI1381">
    <cfRule type="cellIs" dxfId="2319" priority="2680" stopIfTrue="1" operator="between">
      <formula>-0.15</formula>
      <formula>0.005</formula>
    </cfRule>
  </conditionalFormatting>
  <conditionalFormatting sqref="N1381">
    <cfRule type="cellIs" dxfId="2318" priority="2679" stopIfTrue="1" operator="between">
      <formula>-350</formula>
      <formula>-1</formula>
    </cfRule>
  </conditionalFormatting>
  <conditionalFormatting sqref="AE1380">
    <cfRule type="cellIs" dxfId="2317" priority="2678" stopIfTrue="1" operator="between">
      <formula>-0.15</formula>
      <formula>-0.0001</formula>
    </cfRule>
  </conditionalFormatting>
  <conditionalFormatting sqref="AH1253:AI1253">
    <cfRule type="cellIs" dxfId="2316" priority="2666" stopIfTrue="1" operator="between">
      <formula>-0.15</formula>
      <formula>0.005</formula>
    </cfRule>
  </conditionalFormatting>
  <conditionalFormatting sqref="N1380">
    <cfRule type="cellIs" dxfId="2315" priority="2676" stopIfTrue="1" operator="between">
      <formula>-350</formula>
      <formula>-1</formula>
    </cfRule>
  </conditionalFormatting>
  <conditionalFormatting sqref="AE1382">
    <cfRule type="cellIs" dxfId="2314" priority="2684" stopIfTrue="1" operator="between">
      <formula>-0.15</formula>
      <formula>-0.0001</formula>
    </cfRule>
  </conditionalFormatting>
  <conditionalFormatting sqref="AH1382:AI1382">
    <cfRule type="cellIs" dxfId="2313" priority="2683" stopIfTrue="1" operator="between">
      <formula>-0.15</formula>
      <formula>0.005</formula>
    </cfRule>
  </conditionalFormatting>
  <conditionalFormatting sqref="AH1255:AI1255">
    <cfRule type="cellIs" dxfId="2312" priority="2669" stopIfTrue="1" operator="between">
      <formula>-0.15</formula>
      <formula>0.005</formula>
    </cfRule>
  </conditionalFormatting>
  <conditionalFormatting sqref="AH1383:AI1383">
    <cfRule type="cellIs" dxfId="2311" priority="2686" stopIfTrue="1" operator="between">
      <formula>-0.15</formula>
      <formula>0.005</formula>
    </cfRule>
  </conditionalFormatting>
  <conditionalFormatting sqref="N1383">
    <cfRule type="cellIs" dxfId="2310" priority="2685" stopIfTrue="1" operator="between">
      <formula>-350</formula>
      <formula>-1</formula>
    </cfRule>
  </conditionalFormatting>
  <conditionalFormatting sqref="AE2050">
    <cfRule type="cellIs" dxfId="2309" priority="2637" stopIfTrue="1" operator="between">
      <formula>-0.15</formula>
      <formula>-0.0001</formula>
    </cfRule>
  </conditionalFormatting>
  <conditionalFormatting sqref="AH127:AI127">
    <cfRule type="cellIs" dxfId="2308" priority="2659" stopIfTrue="1" operator="between">
      <formula>-0.15</formula>
      <formula>0.005</formula>
    </cfRule>
  </conditionalFormatting>
  <conditionalFormatting sqref="N2050">
    <cfRule type="cellIs" dxfId="2307" priority="2635" stopIfTrue="1" operator="between">
      <formula>-350</formula>
      <formula>-1</formula>
    </cfRule>
  </conditionalFormatting>
  <conditionalFormatting sqref="N1255">
    <cfRule type="cellIs" dxfId="2306" priority="2668" stopIfTrue="1" operator="between">
      <formula>-350</formula>
      <formula>-1</formula>
    </cfRule>
  </conditionalFormatting>
  <conditionalFormatting sqref="N1257">
    <cfRule type="cellIs" dxfId="2305" priority="2673" stopIfTrue="1" operator="between">
      <formula>-350</formula>
      <formula>-1</formula>
    </cfRule>
  </conditionalFormatting>
  <conditionalFormatting sqref="AE1257">
    <cfRule type="cellIs" dxfId="2304" priority="2675" stopIfTrue="1" operator="between">
      <formula>-0.15</formula>
      <formula>-0.0001</formula>
    </cfRule>
  </conditionalFormatting>
  <conditionalFormatting sqref="AE1253">
    <cfRule type="cellIs" dxfId="2303" priority="2667" stopIfTrue="1" operator="between">
      <formula>-0.15</formula>
      <formula>-0.0001</formula>
    </cfRule>
  </conditionalFormatting>
  <conditionalFormatting sqref="N1253">
    <cfRule type="cellIs" dxfId="2302" priority="2665" stopIfTrue="1" operator="between">
      <formula>-350</formula>
      <formula>-1</formula>
    </cfRule>
  </conditionalFormatting>
  <conditionalFormatting sqref="AE1256">
    <cfRule type="cellIs" dxfId="2301" priority="2672" stopIfTrue="1" operator="between">
      <formula>-0.15</formula>
      <formula>-0.0001</formula>
    </cfRule>
  </conditionalFormatting>
  <conditionalFormatting sqref="AE128">
    <cfRule type="cellIs" dxfId="2300" priority="2664" stopIfTrue="1" operator="between">
      <formula>-0.15</formula>
      <formula>-0.0001</formula>
    </cfRule>
  </conditionalFormatting>
  <conditionalFormatting sqref="AH2043:AI2043">
    <cfRule type="cellIs" dxfId="2299" priority="2655" stopIfTrue="1" operator="between">
      <formula>-0.15</formula>
      <formula>0.005</formula>
    </cfRule>
  </conditionalFormatting>
  <conditionalFormatting sqref="N2043">
    <cfRule type="cellIs" dxfId="2298" priority="2654" stopIfTrue="1" operator="between">
      <formula>-350</formula>
      <formula>-1</formula>
    </cfRule>
  </conditionalFormatting>
  <conditionalFormatting sqref="N2044">
    <cfRule type="cellIs" dxfId="2297" priority="2651" stopIfTrue="1" operator="between">
      <formula>-350</formula>
      <formula>-1</formula>
    </cfRule>
  </conditionalFormatting>
  <conditionalFormatting sqref="AE127">
    <cfRule type="cellIs" dxfId="2296" priority="2661" stopIfTrue="1" operator="between">
      <formula>-0.15</formula>
      <formula>-0.0001</formula>
    </cfRule>
  </conditionalFormatting>
  <conditionalFormatting sqref="AH2044:AI2044">
    <cfRule type="cellIs" dxfId="2295" priority="2652" stopIfTrue="1" operator="between">
      <formula>-0.15</formula>
      <formula>0.005</formula>
    </cfRule>
  </conditionalFormatting>
  <conditionalFormatting sqref="AE2043">
    <cfRule type="cellIs" dxfId="2294" priority="2656" stopIfTrue="1" operator="between">
      <formula>-0.15</formula>
      <formula>-0.0001</formula>
    </cfRule>
  </conditionalFormatting>
  <conditionalFormatting sqref="AE2044">
    <cfRule type="cellIs" dxfId="2293" priority="2653" stopIfTrue="1" operator="between">
      <formula>-0.15</formula>
      <formula>-0.0001</formula>
    </cfRule>
  </conditionalFormatting>
  <conditionalFormatting sqref="N128">
    <cfRule type="cellIs" dxfId="2292" priority="2663" stopIfTrue="1" operator="between">
      <formula>-350</formula>
      <formula>-1</formula>
    </cfRule>
  </conditionalFormatting>
  <conditionalFormatting sqref="AH128:AI128">
    <cfRule type="cellIs" dxfId="2291" priority="2662" stopIfTrue="1" operator="between">
      <formula>-0.15</formula>
      <formula>0.005</formula>
    </cfRule>
  </conditionalFormatting>
  <conditionalFormatting sqref="N127">
    <cfRule type="cellIs" dxfId="2290" priority="2660" stopIfTrue="1" operator="between">
      <formula>-350</formula>
      <formula>-1</formula>
    </cfRule>
  </conditionalFormatting>
  <conditionalFormatting sqref="AH2050:AI2050">
    <cfRule type="cellIs" dxfId="2289" priority="2636" stopIfTrue="1" operator="between">
      <formula>-0.15</formula>
      <formula>0.005</formula>
    </cfRule>
  </conditionalFormatting>
  <conditionalFormatting sqref="AE2052">
    <cfRule type="cellIs" dxfId="2288" priority="2648" stopIfTrue="1" operator="between">
      <formula>-0.15</formula>
      <formula>-0.0001</formula>
    </cfRule>
  </conditionalFormatting>
  <conditionalFormatting sqref="AH2045:AI2045">
    <cfRule type="cellIs" dxfId="2287" priority="2657" stopIfTrue="1" operator="between">
      <formula>-0.15</formula>
      <formula>0.005</formula>
    </cfRule>
  </conditionalFormatting>
  <conditionalFormatting sqref="N2052">
    <cfRule type="cellIs" dxfId="2286" priority="2646" stopIfTrue="1" operator="between">
      <formula>-350</formula>
      <formula>-1</formula>
    </cfRule>
  </conditionalFormatting>
  <conditionalFormatting sqref="AE2045">
    <cfRule type="cellIs" dxfId="2285" priority="2658" stopIfTrue="1" operator="between">
      <formula>-0.15</formula>
      <formula>-0.0001</formula>
    </cfRule>
  </conditionalFormatting>
  <conditionalFormatting sqref="AH2052:AI2052">
    <cfRule type="cellIs" dxfId="2284" priority="2647" stopIfTrue="1" operator="between">
      <formula>-0.15</formula>
      <formula>0.005</formula>
    </cfRule>
  </conditionalFormatting>
  <conditionalFormatting sqref="AE2053">
    <cfRule type="cellIs" dxfId="2283" priority="2645" stopIfTrue="1" operator="between">
      <formula>-0.15</formula>
      <formula>-0.0001</formula>
    </cfRule>
  </conditionalFormatting>
  <conditionalFormatting sqref="AH2053:AI2053">
    <cfRule type="cellIs" dxfId="2282" priority="2644" stopIfTrue="1" operator="between">
      <formula>-0.15</formula>
      <formula>0.005</formula>
    </cfRule>
  </conditionalFormatting>
  <conditionalFormatting sqref="N2053">
    <cfRule type="cellIs" dxfId="2281" priority="2643" stopIfTrue="1" operator="between">
      <formula>-350</formula>
      <formula>-1</formula>
    </cfRule>
  </conditionalFormatting>
  <conditionalFormatting sqref="AE2049">
    <cfRule type="cellIs" dxfId="2280" priority="2640" stopIfTrue="1" operator="between">
      <formula>-0.15</formula>
      <formula>-0.0001</formula>
    </cfRule>
  </conditionalFormatting>
  <conditionalFormatting sqref="AH2054:AI2054">
    <cfRule type="cellIs" dxfId="2279" priority="2649" stopIfTrue="1" operator="between">
      <formula>-0.15</formula>
      <formula>0.005</formula>
    </cfRule>
  </conditionalFormatting>
  <conditionalFormatting sqref="N2049">
    <cfRule type="cellIs" dxfId="2278" priority="2638" stopIfTrue="1" operator="between">
      <formula>-350</formula>
      <formula>-1</formula>
    </cfRule>
  </conditionalFormatting>
  <conditionalFormatting sqref="AE2054">
    <cfRule type="cellIs" dxfId="2277" priority="2650" stopIfTrue="1" operator="between">
      <formula>-0.15</formula>
      <formula>-0.0001</formula>
    </cfRule>
  </conditionalFormatting>
  <conditionalFormatting sqref="AH2049:AI2049">
    <cfRule type="cellIs" dxfId="2276" priority="2639" stopIfTrue="1" operator="between">
      <formula>-0.15</formula>
      <formula>0.005</formula>
    </cfRule>
  </conditionalFormatting>
  <conditionalFormatting sqref="AE2048">
    <cfRule type="cellIs" dxfId="2275" priority="2634" stopIfTrue="1" operator="between">
      <formula>-0.15</formula>
      <formula>-0.0001</formula>
    </cfRule>
  </conditionalFormatting>
  <conditionalFormatting sqref="AH2048:AI2048">
    <cfRule type="cellIs" dxfId="2274" priority="2633" stopIfTrue="1" operator="between">
      <formula>-0.15</formula>
      <formula>0.005</formula>
    </cfRule>
  </conditionalFormatting>
  <conditionalFormatting sqref="AE2046">
    <cfRule type="cellIs" dxfId="2273" priority="2632" stopIfTrue="1" operator="between">
      <formula>-0.15</formula>
      <formula>-0.0001</formula>
    </cfRule>
  </conditionalFormatting>
  <conditionalFormatting sqref="N2046">
    <cfRule type="cellIs" dxfId="2272" priority="2630" stopIfTrue="1" operator="between">
      <formula>-350</formula>
      <formula>-1</formula>
    </cfRule>
  </conditionalFormatting>
  <conditionalFormatting sqref="AH2046:AI2046">
    <cfRule type="cellIs" dxfId="2271" priority="2631" stopIfTrue="1" operator="between">
      <formula>-0.15</formula>
      <formula>0.005</formula>
    </cfRule>
  </conditionalFormatting>
  <conditionalFormatting sqref="AE2047">
    <cfRule type="cellIs" dxfId="2270" priority="2629" stopIfTrue="1" operator="between">
      <formula>-0.15</formula>
      <formula>-0.0001</formula>
    </cfRule>
  </conditionalFormatting>
  <conditionalFormatting sqref="AH2047:AI2047">
    <cfRule type="cellIs" dxfId="2269" priority="2628" stopIfTrue="1" operator="between">
      <formula>-0.15</formula>
      <formula>0.005</formula>
    </cfRule>
  </conditionalFormatting>
  <conditionalFormatting sqref="N2047">
    <cfRule type="cellIs" dxfId="2268" priority="2627" stopIfTrue="1" operator="between">
      <formula>-350</formula>
      <formula>-1</formula>
    </cfRule>
  </conditionalFormatting>
  <conditionalFormatting sqref="AH2051:AI2051">
    <cfRule type="cellIs" dxfId="2267" priority="2641" stopIfTrue="1" operator="between">
      <formula>-0.15</formula>
      <formula>0.005</formula>
    </cfRule>
  </conditionalFormatting>
  <conditionalFormatting sqref="AE2051">
    <cfRule type="cellIs" dxfId="2266" priority="2642" stopIfTrue="1" operator="between">
      <formula>-0.15</formula>
      <formula>-0.0001</formula>
    </cfRule>
  </conditionalFormatting>
  <conditionalFormatting sqref="AH264:AI264">
    <cfRule type="cellIs" dxfId="2265" priority="2613" stopIfTrue="1" operator="between">
      <formula>-0.15</formula>
      <formula>0.005</formula>
    </cfRule>
  </conditionalFormatting>
  <conditionalFormatting sqref="AE264">
    <cfRule type="cellIs" dxfId="2264" priority="2614" stopIfTrue="1" operator="between">
      <formula>-0.15</formula>
      <formula>-0.0001</formula>
    </cfRule>
  </conditionalFormatting>
  <conditionalFormatting sqref="N264">
    <cfRule type="cellIs" dxfId="2263" priority="2612" stopIfTrue="1" operator="between">
      <formula>-350</formula>
      <formula>-1</formula>
    </cfRule>
  </conditionalFormatting>
  <conditionalFormatting sqref="AE2068">
    <cfRule type="cellIs" dxfId="2262" priority="2606" stopIfTrue="1" operator="between">
      <formula>-0.15</formula>
      <formula>-0.0001</formula>
    </cfRule>
  </conditionalFormatting>
  <conditionalFormatting sqref="AH2068:AI2068">
    <cfRule type="cellIs" dxfId="2261" priority="2605" stopIfTrue="1" operator="between">
      <formula>-0.15</formula>
      <formula>0.005</formula>
    </cfRule>
  </conditionalFormatting>
  <conditionalFormatting sqref="N2068">
    <cfRule type="cellIs" dxfId="2260" priority="2604" stopIfTrue="1" operator="between">
      <formula>-350</formula>
      <formula>-1</formula>
    </cfRule>
  </conditionalFormatting>
  <conditionalFormatting sqref="AH1844:AI1844">
    <cfRule type="cellIs" dxfId="2259" priority="2585" stopIfTrue="1" operator="between">
      <formula>-0.15</formula>
      <formula>0.005</formula>
    </cfRule>
  </conditionalFormatting>
  <conditionalFormatting sqref="AE1844">
    <cfRule type="cellIs" dxfId="2258" priority="2586" stopIfTrue="1" operator="between">
      <formula>-0.15</formula>
      <formula>-0.0001</formula>
    </cfRule>
  </conditionalFormatting>
  <conditionalFormatting sqref="N1844">
    <cfRule type="cellIs" dxfId="2257" priority="2584" stopIfTrue="1" operator="between">
      <formula>-350</formula>
      <formula>-1</formula>
    </cfRule>
  </conditionalFormatting>
  <conditionalFormatting sqref="AE2071">
    <cfRule type="cellIs" dxfId="2256" priority="2597" stopIfTrue="1" operator="between">
      <formula>-0.15</formula>
      <formula>-0.0001</formula>
    </cfRule>
  </conditionalFormatting>
  <conditionalFormatting sqref="AH2074:AI2074">
    <cfRule type="cellIs" dxfId="2255" priority="2607" stopIfTrue="1" operator="between">
      <formula>-0.15</formula>
      <formula>0.005</formula>
    </cfRule>
  </conditionalFormatting>
  <conditionalFormatting sqref="N2071">
    <cfRule type="cellIs" dxfId="2254" priority="2595" stopIfTrue="1" operator="between">
      <formula>-350</formula>
      <formula>-1</formula>
    </cfRule>
  </conditionalFormatting>
  <conditionalFormatting sqref="AE2074">
    <cfRule type="cellIs" dxfId="2253" priority="2608" stopIfTrue="1" operator="between">
      <formula>-0.15</formula>
      <formula>-0.0001</formula>
    </cfRule>
  </conditionalFormatting>
  <conditionalFormatting sqref="AH2071:AI2071">
    <cfRule type="cellIs" dxfId="2252" priority="2596" stopIfTrue="1" operator="between">
      <formula>-0.15</formula>
      <formula>0.005</formula>
    </cfRule>
  </conditionalFormatting>
  <conditionalFormatting sqref="AE2073">
    <cfRule type="cellIs" dxfId="2251" priority="2600" stopIfTrue="1" operator="between">
      <formula>-0.15</formula>
      <formula>-0.0001</formula>
    </cfRule>
  </conditionalFormatting>
  <conditionalFormatting sqref="AH2073:AI2073">
    <cfRule type="cellIs" dxfId="2250" priority="2599" stopIfTrue="1" operator="between">
      <formula>-0.15</formula>
      <formula>0.005</formula>
    </cfRule>
  </conditionalFormatting>
  <conditionalFormatting sqref="N2073">
    <cfRule type="cellIs" dxfId="2249" priority="2598" stopIfTrue="1" operator="between">
      <formula>-350</formula>
      <formula>-1</formula>
    </cfRule>
  </conditionalFormatting>
  <conditionalFormatting sqref="AH2069:AI2069">
    <cfRule type="cellIs" dxfId="2248" priority="2593" stopIfTrue="1" operator="between">
      <formula>-0.15</formula>
      <formula>0.005</formula>
    </cfRule>
  </conditionalFormatting>
  <conditionalFormatting sqref="AE2069">
    <cfRule type="cellIs" dxfId="2247" priority="2594" stopIfTrue="1" operator="between">
      <formula>-0.15</formula>
      <formula>-0.0001</formula>
    </cfRule>
  </conditionalFormatting>
  <conditionalFormatting sqref="N2069">
    <cfRule type="cellIs" dxfId="2246" priority="2592" stopIfTrue="1" operator="between">
      <formula>-350</formula>
      <formula>-1</formula>
    </cfRule>
  </conditionalFormatting>
  <conditionalFormatting sqref="AE2070">
    <cfRule type="cellIs" dxfId="2245" priority="2591" stopIfTrue="1" operator="between">
      <formula>-0.15</formula>
      <formula>-0.0001</formula>
    </cfRule>
  </conditionalFormatting>
  <conditionalFormatting sqref="AH2070:AI2070">
    <cfRule type="cellIs" dxfId="2244" priority="2590" stopIfTrue="1" operator="between">
      <formula>-0.15</formula>
      <formula>0.005</formula>
    </cfRule>
  </conditionalFormatting>
  <conditionalFormatting sqref="N2070">
    <cfRule type="cellIs" dxfId="2243" priority="2589" stopIfTrue="1" operator="between">
      <formula>-350</formula>
      <formula>-1</formula>
    </cfRule>
  </conditionalFormatting>
  <conditionalFormatting sqref="AE1846">
    <cfRule type="cellIs" dxfId="2242" priority="2583" stopIfTrue="1" operator="between">
      <formula>-0.15</formula>
      <formula>-0.0001</formula>
    </cfRule>
  </conditionalFormatting>
  <conditionalFormatting sqref="AH1847:AI1847">
    <cfRule type="cellIs" dxfId="2241" priority="2587" stopIfTrue="1" operator="between">
      <formula>-0.15</formula>
      <formula>0.005</formula>
    </cfRule>
  </conditionalFormatting>
  <conditionalFormatting sqref="N1846">
    <cfRule type="cellIs" dxfId="2240" priority="2581" stopIfTrue="1" operator="between">
      <formula>-350</formula>
      <formula>-1</formula>
    </cfRule>
  </conditionalFormatting>
  <conditionalFormatting sqref="AE1847">
    <cfRule type="cellIs" dxfId="2239" priority="2588" stopIfTrue="1" operator="between">
      <formula>-0.15</formula>
      <formula>-0.0001</formula>
    </cfRule>
  </conditionalFormatting>
  <conditionalFormatting sqref="AH1846:AI1846">
    <cfRule type="cellIs" dxfId="2238" priority="2582" stopIfTrue="1" operator="between">
      <formula>-0.15</formula>
      <formula>0.005</formula>
    </cfRule>
  </conditionalFormatting>
  <conditionalFormatting sqref="AE1845">
    <cfRule type="cellIs" dxfId="2237" priority="2580" stopIfTrue="1" operator="between">
      <formula>-0.15</formula>
      <formula>-0.0001</formula>
    </cfRule>
  </conditionalFormatting>
  <conditionalFormatting sqref="AH1845:AI1845">
    <cfRule type="cellIs" dxfId="2236" priority="2579" stopIfTrue="1" operator="between">
      <formula>-0.15</formula>
      <formula>0.005</formula>
    </cfRule>
  </conditionalFormatting>
  <conditionalFormatting sqref="N1845">
    <cfRule type="cellIs" dxfId="2235" priority="2578" stopIfTrue="1" operator="between">
      <formula>-350</formula>
      <formula>-1</formula>
    </cfRule>
  </conditionalFormatting>
  <conditionalFormatting sqref="AE2242:AE2243">
    <cfRule type="cellIs" dxfId="2234" priority="2577" stopIfTrue="1" operator="between">
      <formula>-0.15</formula>
      <formula>-0.0001</formula>
    </cfRule>
  </conditionalFormatting>
  <conditionalFormatting sqref="AH2242:AI2243">
    <cfRule type="cellIs" dxfId="2233" priority="2576" stopIfTrue="1" operator="between">
      <formula>-0.15</formula>
      <formula>0.005</formula>
    </cfRule>
  </conditionalFormatting>
  <conditionalFormatting sqref="N2242">
    <cfRule type="cellIs" dxfId="2232" priority="2575" stopIfTrue="1" operator="between">
      <formula>-350</formula>
      <formula>-1</formula>
    </cfRule>
  </conditionalFormatting>
  <conditionalFormatting sqref="AE233">
    <cfRule type="cellIs" dxfId="2231" priority="2573" stopIfTrue="1" operator="between">
      <formula>-0.15</formula>
      <formula>-0.0001</formula>
    </cfRule>
  </conditionalFormatting>
  <conditionalFormatting sqref="AH233:AI233">
    <cfRule type="cellIs" dxfId="2230" priority="2572" stopIfTrue="1" operator="between">
      <formula>-0.15</formula>
      <formula>0.005</formula>
    </cfRule>
  </conditionalFormatting>
  <conditionalFormatting sqref="AE221">
    <cfRule type="cellIs" dxfId="2229" priority="2571" stopIfTrue="1" operator="between">
      <formula>-0.15</formula>
      <formula>-0.0001</formula>
    </cfRule>
  </conditionalFormatting>
  <conditionalFormatting sqref="AH221:AI221">
    <cfRule type="cellIs" dxfId="2228" priority="2569" stopIfTrue="1" operator="between">
      <formula>-0.15</formula>
      <formula>0.005</formula>
    </cfRule>
  </conditionalFormatting>
  <conditionalFormatting sqref="N233">
    <cfRule type="cellIs" dxfId="2227" priority="2574" stopIfTrue="1" operator="between">
      <formula>-350</formula>
      <formula>-1</formula>
    </cfRule>
  </conditionalFormatting>
  <conditionalFormatting sqref="N221">
    <cfRule type="cellIs" dxfId="2226" priority="2570" stopIfTrue="1" operator="between">
      <formula>-350</formula>
      <formula>-1</formula>
    </cfRule>
  </conditionalFormatting>
  <conditionalFormatting sqref="N231">
    <cfRule type="cellIs" dxfId="2225" priority="2564" stopIfTrue="1" operator="between">
      <formula>-350</formula>
      <formula>-1</formula>
    </cfRule>
  </conditionalFormatting>
  <conditionalFormatting sqref="AE232">
    <cfRule type="cellIs" dxfId="2224" priority="2568" stopIfTrue="1" operator="between">
      <formula>-0.15</formula>
      <formula>-0.0001</formula>
    </cfRule>
  </conditionalFormatting>
  <conditionalFormatting sqref="AH232:AI232">
    <cfRule type="cellIs" dxfId="2223" priority="2566" stopIfTrue="1" operator="between">
      <formula>-0.15</formula>
      <formula>0.005</formula>
    </cfRule>
  </conditionalFormatting>
  <conditionalFormatting sqref="N232">
    <cfRule type="cellIs" dxfId="2222" priority="2567" stopIfTrue="1" operator="between">
      <formula>-350</formula>
      <formula>-1</formula>
    </cfRule>
  </conditionalFormatting>
  <conditionalFormatting sqref="AH231:AI231">
    <cfRule type="cellIs" dxfId="2221" priority="2563" stopIfTrue="1" operator="between">
      <formula>-0.15</formula>
      <formula>0.005</formula>
    </cfRule>
  </conditionalFormatting>
  <conditionalFormatting sqref="AE231">
    <cfRule type="cellIs" dxfId="2220" priority="2565" stopIfTrue="1" operator="between">
      <formula>-0.15</formula>
      <formula>-0.0001</formula>
    </cfRule>
  </conditionalFormatting>
  <conditionalFormatting sqref="N201">
    <cfRule type="cellIs" dxfId="2219" priority="2555" stopIfTrue="1" operator="between">
      <formula>-350</formula>
      <formula>-1</formula>
    </cfRule>
  </conditionalFormatting>
  <conditionalFormatting sqref="AH206:AI206">
    <cfRule type="cellIs" dxfId="2218" priority="2557" stopIfTrue="1" operator="between">
      <formula>-0.15</formula>
      <formula>0.005</formula>
    </cfRule>
  </conditionalFormatting>
  <conditionalFormatting sqref="AE201">
    <cfRule type="cellIs" dxfId="2217" priority="2556" stopIfTrue="1" operator="between">
      <formula>-0.15</formula>
      <formula>-0.0001</formula>
    </cfRule>
  </conditionalFormatting>
  <conditionalFormatting sqref="AE206">
    <cfRule type="cellIs" dxfId="2216" priority="2558" stopIfTrue="1" operator="between">
      <formula>-0.15</formula>
      <formula>-0.0001</formula>
    </cfRule>
  </conditionalFormatting>
  <conditionalFormatting sqref="AH201:AI201">
    <cfRule type="cellIs" dxfId="2215" priority="2554" stopIfTrue="1" operator="between">
      <formula>-0.15</formula>
      <formula>0.005</formula>
    </cfRule>
  </conditionalFormatting>
  <conditionalFormatting sqref="N206">
    <cfRule type="cellIs" dxfId="2214" priority="2559" stopIfTrue="1" operator="between">
      <formula>-350</formula>
      <formula>-1</formula>
    </cfRule>
  </conditionalFormatting>
  <conditionalFormatting sqref="N202">
    <cfRule type="cellIs" dxfId="2213" priority="2549" stopIfTrue="1" operator="between">
      <formula>-350</formula>
      <formula>-1</formula>
    </cfRule>
  </conditionalFormatting>
  <conditionalFormatting sqref="AE203">
    <cfRule type="cellIs" dxfId="2212" priority="2553" stopIfTrue="1" operator="between">
      <formula>-0.15</formula>
      <formula>-0.0001</formula>
    </cfRule>
  </conditionalFormatting>
  <conditionalFormatting sqref="AH203:AI203">
    <cfRule type="cellIs" dxfId="2211" priority="2551" stopIfTrue="1" operator="between">
      <formula>-0.15</formula>
      <formula>0.005</formula>
    </cfRule>
  </conditionalFormatting>
  <conditionalFormatting sqref="N203">
    <cfRule type="cellIs" dxfId="2210" priority="2552" stopIfTrue="1" operator="between">
      <formula>-350</formula>
      <formula>-1</formula>
    </cfRule>
  </conditionalFormatting>
  <conditionalFormatting sqref="AH202:AI202">
    <cfRule type="cellIs" dxfId="2209" priority="2548" stopIfTrue="1" operator="between">
      <formula>-0.15</formula>
      <formula>0.005</formula>
    </cfRule>
  </conditionalFormatting>
  <conditionalFormatting sqref="AE202">
    <cfRule type="cellIs" dxfId="2208" priority="2550" stopIfTrue="1" operator="between">
      <formula>-0.15</formula>
      <formula>-0.0001</formula>
    </cfRule>
  </conditionalFormatting>
  <conditionalFormatting sqref="N205">
    <cfRule type="cellIs" dxfId="2207" priority="2546" stopIfTrue="1" operator="between">
      <formula>-350</formula>
      <formula>-1</formula>
    </cfRule>
  </conditionalFormatting>
  <conditionalFormatting sqref="AH205:AI205">
    <cfRule type="cellIs" dxfId="2206" priority="2545" stopIfTrue="1" operator="between">
      <formula>-0.15</formula>
      <formula>0.005</formula>
    </cfRule>
  </conditionalFormatting>
  <conditionalFormatting sqref="AE205">
    <cfRule type="cellIs" dxfId="2205" priority="2547" stopIfTrue="1" operator="between">
      <formula>-0.15</formula>
      <formula>-0.0001</formula>
    </cfRule>
  </conditionalFormatting>
  <conditionalFormatting sqref="N204">
    <cfRule type="cellIs" dxfId="2204" priority="2543" stopIfTrue="1" operator="between">
      <formula>-350</formula>
      <formula>-1</formula>
    </cfRule>
  </conditionalFormatting>
  <conditionalFormatting sqref="AH204:AI204">
    <cfRule type="cellIs" dxfId="2203" priority="2542" stopIfTrue="1" operator="between">
      <formula>-0.15</formula>
      <formula>0.005</formula>
    </cfRule>
  </conditionalFormatting>
  <conditionalFormatting sqref="AE204">
    <cfRule type="cellIs" dxfId="2202" priority="2544" stopIfTrue="1" operator="between">
      <formula>-0.15</formula>
      <formula>-0.0001</formula>
    </cfRule>
  </conditionalFormatting>
  <conditionalFormatting sqref="AE104">
    <cfRule type="cellIs" dxfId="2201" priority="2538" stopIfTrue="1" operator="between">
      <formula>-0.15</formula>
      <formula>-0.0001</formula>
    </cfRule>
  </conditionalFormatting>
  <conditionalFormatting sqref="AH104:AI104">
    <cfRule type="cellIs" dxfId="2200" priority="2536" stopIfTrue="1" operator="between">
      <formula>-0.15</formula>
      <formula>0.005</formula>
    </cfRule>
  </conditionalFormatting>
  <conditionalFormatting sqref="N104">
    <cfRule type="cellIs" dxfId="2199" priority="2537" stopIfTrue="1" operator="between">
      <formula>-350</formula>
      <formula>-1</formula>
    </cfRule>
  </conditionalFormatting>
  <conditionalFormatting sqref="AH105:AI105">
    <cfRule type="cellIs" dxfId="2198" priority="2539" stopIfTrue="1" operator="between">
      <formula>-0.15</formula>
      <formula>0.005</formula>
    </cfRule>
  </conditionalFormatting>
  <conditionalFormatting sqref="AE105">
    <cfRule type="cellIs" dxfId="2197" priority="2540" stopIfTrue="1" operator="between">
      <formula>-0.15</formula>
      <formula>-0.0001</formula>
    </cfRule>
  </conditionalFormatting>
  <conditionalFormatting sqref="N105">
    <cfRule type="cellIs" dxfId="2196" priority="2541" stopIfTrue="1" operator="between">
      <formula>-350</formula>
      <formula>-1</formula>
    </cfRule>
  </conditionalFormatting>
  <conditionalFormatting sqref="AE110">
    <cfRule type="cellIs" dxfId="2195" priority="2529" stopIfTrue="1" operator="between">
      <formula>-0.15</formula>
      <formula>-0.0001</formula>
    </cfRule>
  </conditionalFormatting>
  <conditionalFormatting sqref="AH110:AI110">
    <cfRule type="cellIs" dxfId="2194" priority="2527" stopIfTrue="1" operator="between">
      <formula>-0.15</formula>
      <formula>0.005</formula>
    </cfRule>
  </conditionalFormatting>
  <conditionalFormatting sqref="N110">
    <cfRule type="cellIs" dxfId="2193" priority="2528" stopIfTrue="1" operator="between">
      <formula>-350</formula>
      <formula>-1</formula>
    </cfRule>
  </conditionalFormatting>
  <conditionalFormatting sqref="AH116:AI116">
    <cfRule type="cellIs" dxfId="2192" priority="2530" stopIfTrue="1" operator="between">
      <formula>-0.15</formula>
      <formula>0.005</formula>
    </cfRule>
  </conditionalFormatting>
  <conditionalFormatting sqref="AE106">
    <cfRule type="cellIs" dxfId="2191" priority="2505" stopIfTrue="1" operator="between">
      <formula>-0.15</formula>
      <formula>-0.0001</formula>
    </cfRule>
  </conditionalFormatting>
  <conditionalFormatting sqref="AH106:AI106">
    <cfRule type="cellIs" dxfId="2190" priority="2503" stopIfTrue="1" operator="between">
      <formula>-0.15</formula>
      <formula>0.005</formula>
    </cfRule>
  </conditionalFormatting>
  <conditionalFormatting sqref="N106">
    <cfRule type="cellIs" dxfId="2189" priority="2504" stopIfTrue="1" operator="between">
      <formula>-350</formula>
      <formula>-1</formula>
    </cfRule>
  </conditionalFormatting>
  <conditionalFormatting sqref="AE116">
    <cfRule type="cellIs" dxfId="2188" priority="2531" stopIfTrue="1" operator="between">
      <formula>-0.15</formula>
      <formula>-0.0001</formula>
    </cfRule>
  </conditionalFormatting>
  <conditionalFormatting sqref="N116">
    <cfRule type="cellIs" dxfId="2187" priority="2532" stopIfTrue="1" operator="between">
      <formula>-350</formula>
      <formula>-1</formula>
    </cfRule>
  </conditionalFormatting>
  <conditionalFormatting sqref="AE115">
    <cfRule type="cellIs" dxfId="2186" priority="2523" stopIfTrue="1" operator="between">
      <formula>-0.15</formula>
      <formula>-0.0001</formula>
    </cfRule>
  </conditionalFormatting>
  <conditionalFormatting sqref="AH115:AI115">
    <cfRule type="cellIs" dxfId="2185" priority="2521" stopIfTrue="1" operator="between">
      <formula>-0.15</formula>
      <formula>0.005</formula>
    </cfRule>
  </conditionalFormatting>
  <conditionalFormatting sqref="N115">
    <cfRule type="cellIs" dxfId="2184" priority="2522" stopIfTrue="1" operator="between">
      <formula>-350</formula>
      <formula>-1</formula>
    </cfRule>
  </conditionalFormatting>
  <conditionalFormatting sqref="AE112">
    <cfRule type="cellIs" dxfId="2183" priority="2520" stopIfTrue="1" operator="between">
      <formula>-0.15</formula>
      <formula>-0.0001</formula>
    </cfRule>
  </conditionalFormatting>
  <conditionalFormatting sqref="AH112:AI112">
    <cfRule type="cellIs" dxfId="2182" priority="2518" stopIfTrue="1" operator="between">
      <formula>-0.15</formula>
      <formula>0.005</formula>
    </cfRule>
  </conditionalFormatting>
  <conditionalFormatting sqref="N112">
    <cfRule type="cellIs" dxfId="2181" priority="2519" stopIfTrue="1" operator="between">
      <formula>-350</formula>
      <formula>-1</formula>
    </cfRule>
  </conditionalFormatting>
  <conditionalFormatting sqref="AE111">
    <cfRule type="cellIs" dxfId="2180" priority="2517" stopIfTrue="1" operator="between">
      <formula>-0.15</formula>
      <formula>-0.0001</formula>
    </cfRule>
  </conditionalFormatting>
  <conditionalFormatting sqref="AH111:AI111">
    <cfRule type="cellIs" dxfId="2179" priority="2515" stopIfTrue="1" operator="between">
      <formula>-0.15</formula>
      <formula>0.005</formula>
    </cfRule>
  </conditionalFormatting>
  <conditionalFormatting sqref="N111">
    <cfRule type="cellIs" dxfId="2178" priority="2516" stopIfTrue="1" operator="between">
      <formula>-350</formula>
      <formula>-1</formula>
    </cfRule>
  </conditionalFormatting>
  <conditionalFormatting sqref="AE114">
    <cfRule type="cellIs" dxfId="2177" priority="2514" stopIfTrue="1" operator="between">
      <formula>-0.15</formula>
      <formula>-0.0001</formula>
    </cfRule>
  </conditionalFormatting>
  <conditionalFormatting sqref="AH114:AI114">
    <cfRule type="cellIs" dxfId="2176" priority="2512" stopIfTrue="1" operator="between">
      <formula>-0.15</formula>
      <formula>0.005</formula>
    </cfRule>
  </conditionalFormatting>
  <conditionalFormatting sqref="N114">
    <cfRule type="cellIs" dxfId="2175" priority="2513" stopIfTrue="1" operator="between">
      <formula>-350</formula>
      <formula>-1</formula>
    </cfRule>
  </conditionalFormatting>
  <conditionalFormatting sqref="AE113">
    <cfRule type="cellIs" dxfId="2174" priority="2511" stopIfTrue="1" operator="between">
      <formula>-0.15</formula>
      <formula>-0.0001</formula>
    </cfRule>
  </conditionalFormatting>
  <conditionalFormatting sqref="AH113:AI113">
    <cfRule type="cellIs" dxfId="2173" priority="2509" stopIfTrue="1" operator="between">
      <formula>-0.15</formula>
      <formula>0.005</formula>
    </cfRule>
  </conditionalFormatting>
  <conditionalFormatting sqref="N113">
    <cfRule type="cellIs" dxfId="2172" priority="2510" stopIfTrue="1" operator="between">
      <formula>-350</formula>
      <formula>-1</formula>
    </cfRule>
  </conditionalFormatting>
  <conditionalFormatting sqref="AE2059">
    <cfRule type="cellIs" dxfId="2171" priority="2380" stopIfTrue="1" operator="between">
      <formula>-0.15</formula>
      <formula>-0.0001</formula>
    </cfRule>
  </conditionalFormatting>
  <conditionalFormatting sqref="AH391:AI391">
    <cfRule type="cellIs" dxfId="2170" priority="2398" stopIfTrue="1" operator="between">
      <formula>-0.15</formula>
      <formula>0.005</formula>
    </cfRule>
  </conditionalFormatting>
  <conditionalFormatting sqref="N2055">
    <cfRule type="cellIs" dxfId="2169" priority="2384" stopIfTrue="1" operator="between">
      <formula>-350</formula>
      <formula>-1</formula>
    </cfRule>
  </conditionalFormatting>
  <conditionalFormatting sqref="AH109:AI109">
    <cfRule type="cellIs" dxfId="2168" priority="2506" stopIfTrue="1" operator="between">
      <formula>-0.15</formula>
      <formula>0.005</formula>
    </cfRule>
  </conditionalFormatting>
  <conditionalFormatting sqref="AE109">
    <cfRule type="cellIs" dxfId="2167" priority="2507" stopIfTrue="1" operator="between">
      <formula>-0.15</formula>
      <formula>-0.0001</formula>
    </cfRule>
  </conditionalFormatting>
  <conditionalFormatting sqref="N109">
    <cfRule type="cellIs" dxfId="2166" priority="2508" stopIfTrue="1" operator="between">
      <formula>-350</formula>
      <formula>-1</formula>
    </cfRule>
  </conditionalFormatting>
  <conditionalFormatting sqref="AE2058">
    <cfRule type="cellIs" dxfId="2165" priority="2377" stopIfTrue="1" operator="between">
      <formula>-0.15</formula>
      <formula>-0.0001</formula>
    </cfRule>
  </conditionalFormatting>
  <conditionalFormatting sqref="AH89:AI89">
    <cfRule type="cellIs" dxfId="2164" priority="2395" stopIfTrue="1" operator="between">
      <formula>-0.15</formula>
      <formula>0.005</formula>
    </cfRule>
  </conditionalFormatting>
  <conditionalFormatting sqref="N2060">
    <cfRule type="cellIs" dxfId="2163" priority="2381" stopIfTrue="1" operator="between">
      <formula>-350</formula>
      <formula>-1</formula>
    </cfRule>
  </conditionalFormatting>
  <conditionalFormatting sqref="AE2061">
    <cfRule type="cellIs" dxfId="2162" priority="2388" stopIfTrue="1" operator="between">
      <formula>-0.15</formula>
      <formula>-0.0001</formula>
    </cfRule>
  </conditionalFormatting>
  <conditionalFormatting sqref="AH90:AI90">
    <cfRule type="cellIs" dxfId="2161" priority="2389" stopIfTrue="1" operator="between">
      <formula>-0.15</formula>
      <formula>0.005</formula>
    </cfRule>
  </conditionalFormatting>
  <conditionalFormatting sqref="N89">
    <cfRule type="cellIs" dxfId="2160" priority="2397" stopIfTrue="1" operator="between">
      <formula>-350</formula>
      <formula>-1</formula>
    </cfRule>
  </conditionalFormatting>
  <conditionalFormatting sqref="AE108">
    <cfRule type="cellIs" dxfId="2159" priority="2496" stopIfTrue="1" operator="between">
      <formula>-0.15</formula>
      <formula>-0.0001</formula>
    </cfRule>
  </conditionalFormatting>
  <conditionalFormatting sqref="AH108:AI108">
    <cfRule type="cellIs" dxfId="2158" priority="2494" stopIfTrue="1" operator="between">
      <formula>-0.15</formula>
      <formula>0.005</formula>
    </cfRule>
  </conditionalFormatting>
  <conditionalFormatting sqref="N108">
    <cfRule type="cellIs" dxfId="2157" priority="2495" stopIfTrue="1" operator="between">
      <formula>-350</formula>
      <formula>-1</formula>
    </cfRule>
  </conditionalFormatting>
  <conditionalFormatting sqref="AE89">
    <cfRule type="cellIs" dxfId="2156" priority="2396" stopIfTrue="1" operator="between">
      <formula>-0.15</formula>
      <formula>-0.0001</formula>
    </cfRule>
  </conditionalFormatting>
  <conditionalFormatting sqref="AH88:AI88">
    <cfRule type="cellIs" dxfId="2155" priority="2392" stopIfTrue="1" operator="between">
      <formula>-0.15</formula>
      <formula>0.005</formula>
    </cfRule>
  </conditionalFormatting>
  <conditionalFormatting sqref="N391">
    <cfRule type="cellIs" dxfId="2154" priority="2400" stopIfTrue="1" operator="between">
      <formula>-350</formula>
      <formula>-1</formula>
    </cfRule>
  </conditionalFormatting>
  <conditionalFormatting sqref="AE2057">
    <cfRule type="cellIs" dxfId="2153" priority="2371" stopIfTrue="1" operator="between">
      <formula>-0.15</formula>
      <formula>-0.0001</formula>
    </cfRule>
  </conditionalFormatting>
  <conditionalFormatting sqref="AH2057:AI2057">
    <cfRule type="cellIs" dxfId="2152" priority="2370" stopIfTrue="1" operator="between">
      <formula>-0.15</formula>
      <formula>0.005</formula>
    </cfRule>
  </conditionalFormatting>
  <conditionalFormatting sqref="N2058">
    <cfRule type="cellIs" dxfId="2151" priority="2375" stopIfTrue="1" operator="between">
      <formula>-350</formula>
      <formula>-1</formula>
    </cfRule>
  </conditionalFormatting>
  <conditionalFormatting sqref="N2064">
    <cfRule type="cellIs" dxfId="2150" priority="2352" stopIfTrue="1" operator="between">
      <formula>-350</formula>
      <formula>-1</formula>
    </cfRule>
  </conditionalFormatting>
  <conditionalFormatting sqref="N2072">
    <cfRule type="cellIs" dxfId="2149" priority="2349" stopIfTrue="1" operator="between">
      <formula>-350</formula>
      <formula>-1</formula>
    </cfRule>
  </conditionalFormatting>
  <conditionalFormatting sqref="AH2058:AI2058">
    <cfRule type="cellIs" dxfId="2148" priority="2376" stopIfTrue="1" operator="between">
      <formula>-0.15</formula>
      <formula>0.005</formula>
    </cfRule>
  </conditionalFormatting>
  <conditionalFormatting sqref="AE2062">
    <cfRule type="cellIs" dxfId="2147" priority="2366" stopIfTrue="1" operator="between">
      <formula>-0.15</formula>
      <formula>-0.0001</formula>
    </cfRule>
  </conditionalFormatting>
  <conditionalFormatting sqref="AH2063:AI2063">
    <cfRule type="cellIs" dxfId="2146" priority="2356" stopIfTrue="1" operator="between">
      <formula>-0.15</formula>
      <formula>0.005</formula>
    </cfRule>
  </conditionalFormatting>
  <conditionalFormatting sqref="N88">
    <cfRule type="cellIs" dxfId="2145" priority="2393" stopIfTrue="1" operator="between">
      <formula>-350</formula>
      <formula>-1</formula>
    </cfRule>
  </conditionalFormatting>
  <conditionalFormatting sqref="AH2056:AI2056">
    <cfRule type="cellIs" dxfId="2144" priority="2373" stopIfTrue="1" operator="between">
      <formula>-0.15</formula>
      <formula>0.005</formula>
    </cfRule>
  </conditionalFormatting>
  <conditionalFormatting sqref="AE88">
    <cfRule type="cellIs" dxfId="2143" priority="2394" stopIfTrue="1" operator="between">
      <formula>-0.15</formula>
      <formula>-0.0001</formula>
    </cfRule>
  </conditionalFormatting>
  <conditionalFormatting sqref="AH2067:AI2067">
    <cfRule type="cellIs" dxfId="2142" priority="2367" stopIfTrue="1" operator="between">
      <formula>-0.15</formula>
      <formula>0.005</formula>
    </cfRule>
  </conditionalFormatting>
  <conditionalFormatting sqref="AE2060">
    <cfRule type="cellIs" dxfId="2141" priority="2383" stopIfTrue="1" operator="between">
      <formula>-0.15</formula>
      <formula>-0.0001</formula>
    </cfRule>
  </conditionalFormatting>
  <conditionalFormatting sqref="AE2066">
    <cfRule type="cellIs" dxfId="2140" priority="2363" stopIfTrue="1" operator="between">
      <formula>-0.15</formula>
      <formula>-0.0001</formula>
    </cfRule>
  </conditionalFormatting>
  <conditionalFormatting sqref="N2056">
    <cfRule type="cellIs" dxfId="2139" priority="2372" stopIfTrue="1" operator="between">
      <formula>-350</formula>
      <formula>-1</formula>
    </cfRule>
  </conditionalFormatting>
  <conditionalFormatting sqref="N2062">
    <cfRule type="cellIs" dxfId="2138" priority="2364" stopIfTrue="1" operator="between">
      <formula>-350</formula>
      <formula>-1</formula>
    </cfRule>
  </conditionalFormatting>
  <conditionalFormatting sqref="N208">
    <cfRule type="cellIs" dxfId="2137" priority="2338" stopIfTrue="1" operator="between">
      <formula>-350</formula>
      <formula>-1</formula>
    </cfRule>
  </conditionalFormatting>
  <conditionalFormatting sqref="AH2055:AI2055">
    <cfRule type="cellIs" dxfId="2136" priority="2385" stopIfTrue="1" operator="between">
      <formula>-0.15</formula>
      <formula>0.005</formula>
    </cfRule>
  </conditionalFormatting>
  <conditionalFormatting sqref="AE2056">
    <cfRule type="cellIs" dxfId="2135" priority="2374" stopIfTrue="1" operator="between">
      <formula>-0.15</formula>
      <formula>-0.0001</formula>
    </cfRule>
  </conditionalFormatting>
  <conditionalFormatting sqref="AH2061:AI2061">
    <cfRule type="cellIs" dxfId="2134" priority="2387" stopIfTrue="1" operator="between">
      <formula>-0.15</formula>
      <formula>0.005</formula>
    </cfRule>
  </conditionalFormatting>
  <conditionalFormatting sqref="N2059">
    <cfRule type="cellIs" dxfId="2133" priority="2378" stopIfTrue="1" operator="between">
      <formula>-350</formula>
      <formula>-1</formula>
    </cfRule>
  </conditionalFormatting>
  <conditionalFormatting sqref="AH2060:AI2060">
    <cfRule type="cellIs" dxfId="2132" priority="2382" stopIfTrue="1" operator="between">
      <formula>-0.15</formula>
      <formula>0.005</formula>
    </cfRule>
  </conditionalFormatting>
  <conditionalFormatting sqref="AE391">
    <cfRule type="cellIs" dxfId="2131" priority="2399" stopIfTrue="1" operator="between">
      <formula>-0.15</formula>
      <formula>-0.0001</formula>
    </cfRule>
  </conditionalFormatting>
  <conditionalFormatting sqref="AH2064:AI2064">
    <cfRule type="cellIs" dxfId="2130" priority="2353" stopIfTrue="1" operator="between">
      <formula>-0.15</formula>
      <formula>0.005</formula>
    </cfRule>
  </conditionalFormatting>
  <conditionalFormatting sqref="AE2067">
    <cfRule type="cellIs" dxfId="2129" priority="2368" stopIfTrue="1" operator="between">
      <formula>-0.15</formula>
      <formula>-0.0001</formula>
    </cfRule>
  </conditionalFormatting>
  <conditionalFormatting sqref="AE207">
    <cfRule type="cellIs" dxfId="2128" priority="2345" stopIfTrue="1" operator="between">
      <formula>-0.15</formula>
      <formula>-0.0001</formula>
    </cfRule>
  </conditionalFormatting>
  <conditionalFormatting sqref="N207">
    <cfRule type="cellIs" dxfId="2127" priority="2344" stopIfTrue="1" operator="between">
      <formula>-350</formula>
      <formula>-1</formula>
    </cfRule>
  </conditionalFormatting>
  <conditionalFormatting sqref="N2065">
    <cfRule type="cellIs" dxfId="2126" priority="2358" stopIfTrue="1" operator="between">
      <formula>-350</formula>
      <formula>-1</formula>
    </cfRule>
  </conditionalFormatting>
  <conditionalFormatting sqref="AH2066:AI2066">
    <cfRule type="cellIs" dxfId="2125" priority="2362" stopIfTrue="1" operator="between">
      <formula>-0.15</formula>
      <formula>0.005</formula>
    </cfRule>
  </conditionalFormatting>
  <conditionalFormatting sqref="AE209">
    <cfRule type="cellIs" dxfId="2124" priority="2347" stopIfTrue="1" operator="between">
      <formula>-0.15</formula>
      <formula>-0.0001</formula>
    </cfRule>
  </conditionalFormatting>
  <conditionalFormatting sqref="N90">
    <cfRule type="cellIs" dxfId="2123" priority="2390" stopIfTrue="1" operator="between">
      <formula>-350</formula>
      <formula>-1</formula>
    </cfRule>
  </conditionalFormatting>
  <conditionalFormatting sqref="AH2059:AI2059">
    <cfRule type="cellIs" dxfId="2122" priority="2379" stopIfTrue="1" operator="between">
      <formula>-0.15</formula>
      <formula>0.005</formula>
    </cfRule>
  </conditionalFormatting>
  <conditionalFormatting sqref="AE90">
    <cfRule type="cellIs" dxfId="2121" priority="2391" stopIfTrue="1" operator="between">
      <formula>-0.15</formula>
      <formula>-0.0001</formula>
    </cfRule>
  </conditionalFormatting>
  <conditionalFormatting sqref="N2057">
    <cfRule type="cellIs" dxfId="2120" priority="2369" stopIfTrue="1" operator="between">
      <formula>-350</formula>
      <formula>-1</formula>
    </cfRule>
  </conditionalFormatting>
  <conditionalFormatting sqref="AH2065:AI2065">
    <cfRule type="cellIs" dxfId="2119" priority="2359" stopIfTrue="1" operator="between">
      <formula>-0.15</formula>
      <formula>0.005</formula>
    </cfRule>
  </conditionalFormatting>
  <conditionalFormatting sqref="AE2055">
    <cfRule type="cellIs" dxfId="2118" priority="2386" stopIfTrue="1" operator="between">
      <formula>-0.15</formula>
      <formula>-0.0001</formula>
    </cfRule>
  </conditionalFormatting>
  <conditionalFormatting sqref="N2063">
    <cfRule type="cellIs" dxfId="2117" priority="2355" stopIfTrue="1" operator="between">
      <formula>-350</formula>
      <formula>-1</formula>
    </cfRule>
  </conditionalFormatting>
  <conditionalFormatting sqref="AH2062:AI2062">
    <cfRule type="cellIs" dxfId="2116" priority="2365" stopIfTrue="1" operator="between">
      <formula>-0.15</formula>
      <formula>0.005</formula>
    </cfRule>
  </conditionalFormatting>
  <conditionalFormatting sqref="N209">
    <cfRule type="cellIs" dxfId="2115" priority="2348" stopIfTrue="1" operator="between">
      <formula>-350</formula>
      <formula>-1</formula>
    </cfRule>
  </conditionalFormatting>
  <conditionalFormatting sqref="AH209:AI209">
    <cfRule type="cellIs" dxfId="2114" priority="2346" stopIfTrue="1" operator="between">
      <formula>-0.15</formula>
      <formula>0.005</formula>
    </cfRule>
  </conditionalFormatting>
  <conditionalFormatting sqref="AE2072">
    <cfRule type="cellIs" dxfId="2113" priority="2351" stopIfTrue="1" operator="between">
      <formula>-0.15</formula>
      <formula>-0.0001</formula>
    </cfRule>
  </conditionalFormatting>
  <conditionalFormatting sqref="AE2084">
    <cfRule type="cellIs" dxfId="2112" priority="2332" stopIfTrue="1" operator="between">
      <formula>-0.15</formula>
      <formula>-0.0001</formula>
    </cfRule>
  </conditionalFormatting>
  <conditionalFormatting sqref="AH2081:AI2081">
    <cfRule type="cellIs" dxfId="2111" priority="2329" stopIfTrue="1" operator="between">
      <formula>-0.15</formula>
      <formula>0.005</formula>
    </cfRule>
  </conditionalFormatting>
  <conditionalFormatting sqref="AH2072:AI2072">
    <cfRule type="cellIs" dxfId="2110" priority="2350" stopIfTrue="1" operator="between">
      <formula>-0.15</formula>
      <formula>0.005</formula>
    </cfRule>
  </conditionalFormatting>
  <conditionalFormatting sqref="N330">
    <cfRule type="cellIs" dxfId="2109" priority="2333" stopIfTrue="1" operator="between">
      <formula>-350</formula>
      <formula>-1</formula>
    </cfRule>
  </conditionalFormatting>
  <conditionalFormatting sqref="AE2083">
    <cfRule type="cellIs" dxfId="2108" priority="2327" stopIfTrue="1" operator="between">
      <formula>-0.15</formula>
      <formula>-0.0001</formula>
    </cfRule>
  </conditionalFormatting>
  <conditionalFormatting sqref="N2066">
    <cfRule type="cellIs" dxfId="2107" priority="2361" stopIfTrue="1" operator="between">
      <formula>-350</formula>
      <formula>-1</formula>
    </cfRule>
  </conditionalFormatting>
  <conditionalFormatting sqref="AE2063">
    <cfRule type="cellIs" dxfId="2106" priority="2357" stopIfTrue="1" operator="between">
      <formula>-0.15</formula>
      <formula>-0.0001</formula>
    </cfRule>
  </conditionalFormatting>
  <conditionalFormatting sqref="AE2075">
    <cfRule type="cellIs" dxfId="2105" priority="2322" stopIfTrue="1" operator="between">
      <formula>-0.15</formula>
      <formula>-0.0001</formula>
    </cfRule>
  </conditionalFormatting>
  <conditionalFormatting sqref="AH2084:AI2084">
    <cfRule type="cellIs" dxfId="2104" priority="2331" stopIfTrue="1" operator="between">
      <formula>-0.15</formula>
      <formula>0.005</formula>
    </cfRule>
  </conditionalFormatting>
  <conditionalFormatting sqref="N2083">
    <cfRule type="cellIs" dxfId="2103" priority="2325" stopIfTrue="1" operator="between">
      <formula>-350</formula>
      <formula>-1</formula>
    </cfRule>
  </conditionalFormatting>
  <conditionalFormatting sqref="AH207:AI207">
    <cfRule type="cellIs" dxfId="2102" priority="2343" stopIfTrue="1" operator="between">
      <formula>-0.15</formula>
      <formula>0.005</formula>
    </cfRule>
  </conditionalFormatting>
  <conditionalFormatting sqref="AE2064">
    <cfRule type="cellIs" dxfId="2101" priority="2354" stopIfTrue="1" operator="between">
      <formula>-0.15</formula>
      <formula>-0.0001</formula>
    </cfRule>
  </conditionalFormatting>
  <conditionalFormatting sqref="AH208:AI208">
    <cfRule type="cellIs" dxfId="2100" priority="2337" stopIfTrue="1" operator="between">
      <formula>-0.15</formula>
      <formula>0.005</formula>
    </cfRule>
  </conditionalFormatting>
  <conditionalFormatting sqref="N2093">
    <cfRule type="cellIs" dxfId="2099" priority="2312" stopIfTrue="1" operator="between">
      <formula>-350</formula>
      <formula>-1</formula>
    </cfRule>
  </conditionalFormatting>
  <conditionalFormatting sqref="AE2080">
    <cfRule type="cellIs" dxfId="2098" priority="2324" stopIfTrue="1" operator="between">
      <formula>-0.15</formula>
      <formula>-0.0001</formula>
    </cfRule>
  </conditionalFormatting>
  <conditionalFormatting sqref="AH2083:AI2083">
    <cfRule type="cellIs" dxfId="2097" priority="2326" stopIfTrue="1" operator="between">
      <formula>-0.15</formula>
      <formula>0.005</formula>
    </cfRule>
  </conditionalFormatting>
  <conditionalFormatting sqref="AH2094:AI2094">
    <cfRule type="cellIs" dxfId="2096" priority="2304" stopIfTrue="1" operator="between">
      <formula>-0.15</formula>
      <formula>0.005</formula>
    </cfRule>
  </conditionalFormatting>
  <conditionalFormatting sqref="AE2081">
    <cfRule type="cellIs" dxfId="2095" priority="2330" stopIfTrue="1" operator="between">
      <formula>-0.15</formula>
      <formula>-0.0001</formula>
    </cfRule>
  </conditionalFormatting>
  <conditionalFormatting sqref="AH2075:AI2075">
    <cfRule type="cellIs" dxfId="2094" priority="2321" stopIfTrue="1" operator="between">
      <formula>-0.15</formula>
      <formula>0.005</formula>
    </cfRule>
  </conditionalFormatting>
  <conditionalFormatting sqref="N2088">
    <cfRule type="cellIs" dxfId="2093" priority="2286" stopIfTrue="1" operator="between">
      <formula>-350</formula>
      <formula>-1</formula>
    </cfRule>
  </conditionalFormatting>
  <conditionalFormatting sqref="AE208">
    <cfRule type="cellIs" dxfId="2092" priority="2339" stopIfTrue="1" operator="between">
      <formula>-0.15</formula>
      <formula>-0.0001</formula>
    </cfRule>
  </conditionalFormatting>
  <conditionalFormatting sqref="AE2079">
    <cfRule type="cellIs" dxfId="2091" priority="2319" stopIfTrue="1" operator="between">
      <formula>-0.15</formula>
      <formula>-0.0001</formula>
    </cfRule>
  </conditionalFormatting>
  <conditionalFormatting sqref="N2087">
    <cfRule type="cellIs" dxfId="2090" priority="2283" stopIfTrue="1" operator="between">
      <formula>-350</formula>
      <formula>-1</formula>
    </cfRule>
  </conditionalFormatting>
  <conditionalFormatting sqref="AH2097:AI2097">
    <cfRule type="cellIs" dxfId="2089" priority="2315" stopIfTrue="1" operator="between">
      <formula>-0.15</formula>
      <formula>0.005</formula>
    </cfRule>
  </conditionalFormatting>
  <conditionalFormatting sqref="N2086">
    <cfRule type="cellIs" dxfId="2088" priority="2280" stopIfTrue="1" operator="between">
      <formula>-350</formula>
      <formula>-1</formula>
    </cfRule>
  </conditionalFormatting>
  <conditionalFormatting sqref="AE2065">
    <cfRule type="cellIs" dxfId="2087" priority="2360" stopIfTrue="1" operator="between">
      <formula>-0.15</formula>
      <formula>-0.0001</formula>
    </cfRule>
  </conditionalFormatting>
  <conditionalFormatting sqref="AH2080:AI2080">
    <cfRule type="cellIs" dxfId="2086" priority="2323" stopIfTrue="1" operator="between">
      <formula>-0.15</formula>
      <formula>0.005</formula>
    </cfRule>
  </conditionalFormatting>
  <conditionalFormatting sqref="N2081">
    <cfRule type="cellIs" dxfId="2085" priority="2328" stopIfTrue="1" operator="between">
      <formula>-350</formula>
      <formula>-1</formula>
    </cfRule>
  </conditionalFormatting>
  <conditionalFormatting sqref="AH2079:AI2079">
    <cfRule type="cellIs" dxfId="2084" priority="2318" stopIfTrue="1" operator="between">
      <formula>-0.15</formula>
      <formula>0.005</formula>
    </cfRule>
  </conditionalFormatting>
  <conditionalFormatting sqref="AE2096">
    <cfRule type="cellIs" dxfId="2083" priority="2311" stopIfTrue="1" operator="between">
      <formula>-0.15</formula>
      <formula>-0.0001</formula>
    </cfRule>
  </conditionalFormatting>
  <conditionalFormatting sqref="N2089">
    <cfRule type="cellIs" dxfId="2082" priority="2289" stopIfTrue="1" operator="between">
      <formula>-350</formula>
      <formula>-1</formula>
    </cfRule>
  </conditionalFormatting>
  <conditionalFormatting sqref="AE2097">
    <cfRule type="cellIs" dxfId="2081" priority="2316" stopIfTrue="1" operator="between">
      <formula>-0.15</formula>
      <formula>-0.0001</formula>
    </cfRule>
  </conditionalFormatting>
  <conditionalFormatting sqref="AE2093">
    <cfRule type="cellIs" dxfId="2080" priority="2314" stopIfTrue="1" operator="between">
      <formula>-0.15</formula>
      <formula>-0.0001</formula>
    </cfRule>
  </conditionalFormatting>
  <conditionalFormatting sqref="AH2086:AI2086">
    <cfRule type="cellIs" dxfId="2079" priority="2281" stopIfTrue="1" operator="between">
      <formula>-0.15</formula>
      <formula>0.005</formula>
    </cfRule>
  </conditionalFormatting>
  <conditionalFormatting sqref="AE2088">
    <cfRule type="cellIs" dxfId="2078" priority="2288" stopIfTrue="1" operator="between">
      <formula>-0.15</formula>
      <formula>-0.0001</formula>
    </cfRule>
  </conditionalFormatting>
  <conditionalFormatting sqref="AH2093:AI2093">
    <cfRule type="cellIs" dxfId="2077" priority="2313" stopIfTrue="1" operator="between">
      <formula>-0.15</formula>
      <formula>0.005</formula>
    </cfRule>
  </conditionalFormatting>
  <conditionalFormatting sqref="AE2092">
    <cfRule type="cellIs" dxfId="2076" priority="2302" stopIfTrue="1" operator="between">
      <formula>-0.15</formula>
      <formula>-0.0001</formula>
    </cfRule>
  </conditionalFormatting>
  <conditionalFormatting sqref="AH2092:AI2092">
    <cfRule type="cellIs" dxfId="2075" priority="2301" stopIfTrue="1" operator="between">
      <formula>-0.15</formula>
      <formula>0.005</formula>
    </cfRule>
  </conditionalFormatting>
  <conditionalFormatting sqref="N2075">
    <cfRule type="cellIs" dxfId="2074" priority="2320" stopIfTrue="1" operator="between">
      <formula>-350</formula>
      <formula>-1</formula>
    </cfRule>
  </conditionalFormatting>
  <conditionalFormatting sqref="AH2088:AI2088">
    <cfRule type="cellIs" dxfId="2073" priority="2287" stopIfTrue="1" operator="between">
      <formula>-0.15</formula>
      <formula>0.005</formula>
    </cfRule>
  </conditionalFormatting>
  <conditionalFormatting sqref="N2079">
    <cfRule type="cellIs" dxfId="2072" priority="2317" stopIfTrue="1" operator="between">
      <formula>-350</formula>
      <formula>-1</formula>
    </cfRule>
  </conditionalFormatting>
  <conditionalFormatting sqref="AE2094">
    <cfRule type="cellIs" dxfId="2071" priority="2305" stopIfTrue="1" operator="between">
      <formula>-0.15</formula>
      <formula>-0.0001</formula>
    </cfRule>
  </conditionalFormatting>
  <conditionalFormatting sqref="N2096">
    <cfRule type="cellIs" dxfId="2070" priority="2309" stopIfTrue="1" operator="between">
      <formula>-350</formula>
      <formula>-1</formula>
    </cfRule>
  </conditionalFormatting>
  <conditionalFormatting sqref="AH2087:AI2087">
    <cfRule type="cellIs" dxfId="2069" priority="2284" stopIfTrue="1" operator="between">
      <formula>-0.15</formula>
      <formula>0.005</formula>
    </cfRule>
  </conditionalFormatting>
  <conditionalFormatting sqref="AE2086">
    <cfRule type="cellIs" dxfId="2068" priority="2282" stopIfTrue="1" operator="between">
      <formula>-0.15</formula>
      <formula>-0.0001</formula>
    </cfRule>
  </conditionalFormatting>
  <conditionalFormatting sqref="N2095">
    <cfRule type="cellIs" dxfId="2067" priority="2306" stopIfTrue="1" operator="between">
      <formula>-350</formula>
      <formula>-1</formula>
    </cfRule>
  </conditionalFormatting>
  <conditionalFormatting sqref="N601">
    <cfRule type="cellIs" dxfId="2066" priority="2277" stopIfTrue="1" operator="between">
      <formula>-350</formula>
      <formula>-1</formula>
    </cfRule>
  </conditionalFormatting>
  <conditionalFormatting sqref="AE2089">
    <cfRule type="cellIs" dxfId="2065" priority="2291" stopIfTrue="1" operator="between">
      <formula>-0.15</formula>
      <formula>-0.0001</formula>
    </cfRule>
  </conditionalFormatting>
  <conditionalFormatting sqref="N2085">
    <cfRule type="cellIs" dxfId="2064" priority="2298" stopIfTrue="1" operator="between">
      <formula>-350</formula>
      <formula>-1</formula>
    </cfRule>
  </conditionalFormatting>
  <conditionalFormatting sqref="AE2095">
    <cfRule type="cellIs" dxfId="2063" priority="2308" stopIfTrue="1" operator="between">
      <formula>-0.15</formula>
      <formula>-0.0001</formula>
    </cfRule>
  </conditionalFormatting>
  <conditionalFormatting sqref="AH2095:AI2095">
    <cfRule type="cellIs" dxfId="2062" priority="2307" stopIfTrue="1" operator="between">
      <formula>-0.15</formula>
      <formula>0.005</formula>
    </cfRule>
  </conditionalFormatting>
  <conditionalFormatting sqref="N220">
    <cfRule type="cellIs" dxfId="2061" priority="2270" stopIfTrue="1" operator="between">
      <formula>-350</formula>
      <formula>-1</formula>
    </cfRule>
  </conditionalFormatting>
  <conditionalFormatting sqref="AH2096:AI2096">
    <cfRule type="cellIs" dxfId="2060" priority="2310" stopIfTrue="1" operator="between">
      <formula>-0.15</formula>
      <formula>0.005</formula>
    </cfRule>
  </conditionalFormatting>
  <conditionalFormatting sqref="AH2089:AI2089">
    <cfRule type="cellIs" dxfId="2059" priority="2290" stopIfTrue="1" operator="between">
      <formula>-0.15</formula>
      <formula>0.005</formula>
    </cfRule>
  </conditionalFormatting>
  <conditionalFormatting sqref="N617">
    <cfRule type="cellIs" dxfId="2058" priority="2271" stopIfTrue="1" operator="between">
      <formula>-350</formula>
      <formula>-1</formula>
    </cfRule>
  </conditionalFormatting>
  <conditionalFormatting sqref="N2091">
    <cfRule type="cellIs" dxfId="2057" priority="2295" stopIfTrue="1" operator="between">
      <formula>-350</formula>
      <formula>-1</formula>
    </cfRule>
  </conditionalFormatting>
  <conditionalFormatting sqref="AE2091">
    <cfRule type="cellIs" dxfId="2056" priority="2297" stopIfTrue="1" operator="between">
      <formula>-0.15</formula>
      <formula>-0.0001</formula>
    </cfRule>
  </conditionalFormatting>
  <conditionalFormatting sqref="AH2085:AI2085">
    <cfRule type="cellIs" dxfId="2055" priority="2299" stopIfTrue="1" operator="between">
      <formula>-0.15</formula>
      <formula>0.005</formula>
    </cfRule>
  </conditionalFormatting>
  <conditionalFormatting sqref="N2094">
    <cfRule type="cellIs" dxfId="2054" priority="2303" stopIfTrue="1" operator="between">
      <formula>-350</formula>
      <formula>-1</formula>
    </cfRule>
  </conditionalFormatting>
  <conditionalFormatting sqref="AH2091:AI2091">
    <cfRule type="cellIs" dxfId="2053" priority="2296" stopIfTrue="1" operator="between">
      <formula>-0.15</formula>
      <formula>0.005</formula>
    </cfRule>
  </conditionalFormatting>
  <conditionalFormatting sqref="AE2090">
    <cfRule type="cellIs" dxfId="2052" priority="2294" stopIfTrue="1" operator="between">
      <formula>-0.15</formula>
      <formula>-0.0001</formula>
    </cfRule>
  </conditionalFormatting>
  <conditionalFormatting sqref="AH2090:AI2090">
    <cfRule type="cellIs" dxfId="2051" priority="2293" stopIfTrue="1" operator="between">
      <formula>-0.15</formula>
      <formula>0.005</formula>
    </cfRule>
  </conditionalFormatting>
  <conditionalFormatting sqref="N609">
    <cfRule type="cellIs" dxfId="2050" priority="2274" stopIfTrue="1" operator="between">
      <formula>-350</formula>
      <formula>-1</formula>
    </cfRule>
  </conditionalFormatting>
  <conditionalFormatting sqref="AE2085">
    <cfRule type="cellIs" dxfId="2049" priority="2300" stopIfTrue="1" operator="between">
      <formula>-0.15</formula>
      <formula>-0.0001</formula>
    </cfRule>
  </conditionalFormatting>
  <conditionalFormatting sqref="AE601">
    <cfRule type="cellIs" dxfId="2048" priority="2279" stopIfTrue="1" operator="between">
      <formula>-0.15</formula>
      <formula>-0.0001</formula>
    </cfRule>
  </conditionalFormatting>
  <conditionalFormatting sqref="AH601:AI601">
    <cfRule type="cellIs" dxfId="2047" priority="2278" stopIfTrue="1" operator="between">
      <formula>-0.15</formula>
      <formula>0.005</formula>
    </cfRule>
  </conditionalFormatting>
  <conditionalFormatting sqref="AH609:AI609">
    <cfRule type="cellIs" dxfId="2046" priority="2275" stopIfTrue="1" operator="between">
      <formula>-0.15</formula>
      <formula>0.005</formula>
    </cfRule>
  </conditionalFormatting>
  <conditionalFormatting sqref="AE617">
    <cfRule type="cellIs" dxfId="2045" priority="2273" stopIfTrue="1" operator="between">
      <formula>-0.15</formula>
      <formula>-0.0001</formula>
    </cfRule>
  </conditionalFormatting>
  <conditionalFormatting sqref="AE220">
    <cfRule type="cellIs" dxfId="2044" priority="2269" stopIfTrue="1" operator="between">
      <formula>-0.15</formula>
      <formula>-0.0001</formula>
    </cfRule>
  </conditionalFormatting>
  <conditionalFormatting sqref="AE609">
    <cfRule type="cellIs" dxfId="2043" priority="2276" stopIfTrue="1" operator="between">
      <formula>-0.15</formula>
      <formula>-0.0001</formula>
    </cfRule>
  </conditionalFormatting>
  <conditionalFormatting sqref="AE219">
    <cfRule type="cellIs" dxfId="2042" priority="2261" stopIfTrue="1" operator="between">
      <formula>-0.15</formula>
      <formula>-0.0001</formula>
    </cfRule>
  </conditionalFormatting>
  <conditionalFormatting sqref="AH617:AI617">
    <cfRule type="cellIs" dxfId="2041" priority="2272" stopIfTrue="1" operator="between">
      <formula>-0.15</formula>
      <formula>0.005</formula>
    </cfRule>
  </conditionalFormatting>
  <conditionalFormatting sqref="N2090">
    <cfRule type="cellIs" dxfId="2040" priority="2292" stopIfTrue="1" operator="between">
      <formula>-350</formula>
      <formula>-1</formula>
    </cfRule>
  </conditionalFormatting>
  <conditionalFormatting sqref="AE218">
    <cfRule type="cellIs" dxfId="2039" priority="2267" stopIfTrue="1" operator="between">
      <formula>-0.15</formula>
      <formula>-0.0001</formula>
    </cfRule>
  </conditionalFormatting>
  <conditionalFormatting sqref="N210">
    <cfRule type="cellIs" dxfId="2038" priority="2251" stopIfTrue="1" operator="between">
      <formula>-350</formula>
      <formula>-1</formula>
    </cfRule>
  </conditionalFormatting>
  <conditionalFormatting sqref="AE2087">
    <cfRule type="cellIs" dxfId="2037" priority="2285" stopIfTrue="1" operator="between">
      <formula>-0.15</formula>
      <formula>-0.0001</formula>
    </cfRule>
  </conditionalFormatting>
  <conditionalFormatting sqref="AH220:AI220">
    <cfRule type="cellIs" dxfId="2036" priority="2268" stopIfTrue="1" operator="between">
      <formula>-0.15</formula>
      <formula>0.005</formula>
    </cfRule>
  </conditionalFormatting>
  <conditionalFormatting sqref="AH218:AI218">
    <cfRule type="cellIs" dxfId="2035" priority="2265" stopIfTrue="1" operator="between">
      <formula>-0.15</formula>
      <formula>0.005</formula>
    </cfRule>
  </conditionalFormatting>
  <conditionalFormatting sqref="AH2098:AI2098">
    <cfRule type="cellIs" dxfId="2034" priority="2240" stopIfTrue="1" operator="between">
      <formula>-0.15</formula>
      <formula>0.005</formula>
    </cfRule>
  </conditionalFormatting>
  <conditionalFormatting sqref="AE213">
    <cfRule type="cellIs" dxfId="2033" priority="2254" stopIfTrue="1" operator="between">
      <formula>-0.15</formula>
      <formula>-0.0001</formula>
    </cfRule>
  </conditionalFormatting>
  <conditionalFormatting sqref="N218">
    <cfRule type="cellIs" dxfId="2032" priority="2266" stopIfTrue="1" operator="between">
      <formula>-350</formula>
      <formula>-1</formula>
    </cfRule>
  </conditionalFormatting>
  <conditionalFormatting sqref="N213">
    <cfRule type="cellIs" dxfId="2031" priority="2255" stopIfTrue="1" operator="between">
      <formula>-350</formula>
      <formula>-1</formula>
    </cfRule>
  </conditionalFormatting>
  <conditionalFormatting sqref="N219">
    <cfRule type="cellIs" dxfId="2030" priority="2260" stopIfTrue="1" operator="between">
      <formula>-350</formula>
      <formula>-1</formula>
    </cfRule>
  </conditionalFormatting>
  <conditionalFormatting sqref="AE1819">
    <cfRule type="cellIs" dxfId="2029" priority="2209" stopIfTrue="1" operator="between">
      <formula>-0.15</formula>
      <formula>-0.0001</formula>
    </cfRule>
  </conditionalFormatting>
  <conditionalFormatting sqref="AH1816:AI1816">
    <cfRule type="cellIs" dxfId="2028" priority="2199" stopIfTrue="1" operator="between">
      <formula>-0.15</formula>
      <formula>0.005</formula>
    </cfRule>
  </conditionalFormatting>
  <conditionalFormatting sqref="AH219:AI219">
    <cfRule type="cellIs" dxfId="2027" priority="2259" stopIfTrue="1" operator="between">
      <formula>-0.15</formula>
      <formula>0.005</formula>
    </cfRule>
  </conditionalFormatting>
  <conditionalFormatting sqref="N211">
    <cfRule type="cellIs" dxfId="2026" priority="2245" stopIfTrue="1" operator="between">
      <formula>-350</formula>
      <formula>-1</formula>
    </cfRule>
  </conditionalFormatting>
  <conditionalFormatting sqref="AH211:AI211">
    <cfRule type="cellIs" dxfId="2025" priority="2244" stopIfTrue="1" operator="between">
      <formula>-0.15</formula>
      <formula>0.005</formula>
    </cfRule>
  </conditionalFormatting>
  <conditionalFormatting sqref="AE211">
    <cfRule type="cellIs" dxfId="2024" priority="2246" stopIfTrue="1" operator="between">
      <formula>-0.15</formula>
      <formula>-0.0001</formula>
    </cfRule>
  </conditionalFormatting>
  <conditionalFormatting sqref="AH213:AI213">
    <cfRule type="cellIs" dxfId="2023" priority="2253" stopIfTrue="1" operator="between">
      <formula>-0.15</formula>
      <formula>0.005</formula>
    </cfRule>
  </conditionalFormatting>
  <conditionalFormatting sqref="AE210">
    <cfRule type="cellIs" dxfId="2022" priority="2252" stopIfTrue="1" operator="between">
      <formula>-0.15</formula>
      <formula>-0.0001</formula>
    </cfRule>
  </conditionalFormatting>
  <conditionalFormatting sqref="AH210:AI210">
    <cfRule type="cellIs" dxfId="2021" priority="2250" stopIfTrue="1" operator="between">
      <formula>-0.15</formula>
      <formula>0.005</formula>
    </cfRule>
  </conditionalFormatting>
  <conditionalFormatting sqref="AE212">
    <cfRule type="cellIs" dxfId="2020" priority="2249" stopIfTrue="1" operator="between">
      <formula>-0.15</formula>
      <formula>-0.0001</formula>
    </cfRule>
  </conditionalFormatting>
  <conditionalFormatting sqref="AH212:AI212">
    <cfRule type="cellIs" dxfId="2019" priority="2247" stopIfTrue="1" operator="between">
      <formula>-0.15</formula>
      <formula>0.005</formula>
    </cfRule>
  </conditionalFormatting>
  <conditionalFormatting sqref="N212">
    <cfRule type="cellIs" dxfId="2018" priority="2248" stopIfTrue="1" operator="between">
      <formula>-350</formula>
      <formula>-1</formula>
    </cfRule>
  </conditionalFormatting>
  <conditionalFormatting sqref="AE2100">
    <cfRule type="cellIs" dxfId="2017" priority="2238" stopIfTrue="1" operator="between">
      <formula>-0.15</formula>
      <formula>-0.0001</formula>
    </cfRule>
  </conditionalFormatting>
  <conditionalFormatting sqref="AE2098">
    <cfRule type="cellIs" dxfId="2016" priority="2241" stopIfTrue="1" operator="between">
      <formula>-0.15</formula>
      <formula>-0.0001</formula>
    </cfRule>
  </conditionalFormatting>
  <conditionalFormatting sqref="AH2101:AI2101">
    <cfRule type="cellIs" dxfId="2015" priority="2242" stopIfTrue="1" operator="between">
      <formula>-0.15</formula>
      <formula>0.005</formula>
    </cfRule>
  </conditionalFormatting>
  <conditionalFormatting sqref="N2098">
    <cfRule type="cellIs" dxfId="2014" priority="2239" stopIfTrue="1" operator="between">
      <formula>-350</formula>
      <formula>-1</formula>
    </cfRule>
  </conditionalFormatting>
  <conditionalFormatting sqref="AE2101">
    <cfRule type="cellIs" dxfId="2013" priority="2243" stopIfTrue="1" operator="between">
      <formula>-0.15</formula>
      <formula>-0.0001</formula>
    </cfRule>
  </conditionalFormatting>
  <conditionalFormatting sqref="AE1813">
    <cfRule type="cellIs" dxfId="2012" priority="2191" stopIfTrue="1" operator="between">
      <formula>-0.15</formula>
      <formula>-0.0001</formula>
    </cfRule>
  </conditionalFormatting>
  <conditionalFormatting sqref="N2100">
    <cfRule type="cellIs" dxfId="2011" priority="2236" stopIfTrue="1" operator="between">
      <formula>-350</formula>
      <formula>-1</formula>
    </cfRule>
  </conditionalFormatting>
  <conditionalFormatting sqref="AH2100:AI2100">
    <cfRule type="cellIs" dxfId="2010" priority="2237" stopIfTrue="1" operator="between">
      <formula>-0.15</formula>
      <formula>0.005</formula>
    </cfRule>
  </conditionalFormatting>
  <conditionalFormatting sqref="AH1812:AI1812">
    <cfRule type="cellIs" dxfId="2009" priority="2232" stopIfTrue="1" operator="between">
      <formula>-0.15</formula>
      <formula>0.005</formula>
    </cfRule>
  </conditionalFormatting>
  <conditionalFormatting sqref="AE1812">
    <cfRule type="cellIs" dxfId="2008" priority="2233" stopIfTrue="1" operator="between">
      <formula>-0.15</formula>
      <formula>-0.0001</formula>
    </cfRule>
  </conditionalFormatting>
  <conditionalFormatting sqref="AH1827:AI1827">
    <cfRule type="cellIs" dxfId="2007" priority="2234" stopIfTrue="1" operator="between">
      <formula>-0.15</formula>
      <formula>0.005</formula>
    </cfRule>
  </conditionalFormatting>
  <conditionalFormatting sqref="AE1827">
    <cfRule type="cellIs" dxfId="2006" priority="2235" stopIfTrue="1" operator="between">
      <formula>-0.15</formula>
      <formula>-0.0001</formula>
    </cfRule>
  </conditionalFormatting>
  <conditionalFormatting sqref="N1812">
    <cfRule type="cellIs" dxfId="2005" priority="2231" stopIfTrue="1" operator="between">
      <formula>-350</formula>
      <formula>-1</formula>
    </cfRule>
  </conditionalFormatting>
  <conditionalFormatting sqref="N1824">
    <cfRule type="cellIs" dxfId="2004" priority="2222" stopIfTrue="1" operator="between">
      <formula>-350</formula>
      <formula>-1</formula>
    </cfRule>
  </conditionalFormatting>
  <conditionalFormatting sqref="AH1824:AI1824">
    <cfRule type="cellIs" dxfId="2003" priority="2223" stopIfTrue="1" operator="between">
      <formula>-0.15</formula>
      <formula>0.005</formula>
    </cfRule>
  </conditionalFormatting>
  <conditionalFormatting sqref="AE1824">
    <cfRule type="cellIs" dxfId="2002" priority="2224" stopIfTrue="1" operator="between">
      <formula>-0.15</formula>
      <formula>-0.0001</formula>
    </cfRule>
  </conditionalFormatting>
  <conditionalFormatting sqref="AE1825">
    <cfRule type="cellIs" dxfId="2001" priority="2227" stopIfTrue="1" operator="between">
      <formula>-0.15</formula>
      <formula>-0.0001</formula>
    </cfRule>
  </conditionalFormatting>
  <conditionalFormatting sqref="AH1825:AI1825">
    <cfRule type="cellIs" dxfId="2000" priority="2226" stopIfTrue="1" operator="between">
      <formula>-0.15</formula>
      <formula>0.005</formula>
    </cfRule>
  </conditionalFormatting>
  <conditionalFormatting sqref="AE1826">
    <cfRule type="cellIs" dxfId="1999" priority="2230" stopIfTrue="1" operator="between">
      <formula>-0.15</formula>
      <formula>-0.0001</formula>
    </cfRule>
  </conditionalFormatting>
  <conditionalFormatting sqref="N1826">
    <cfRule type="cellIs" dxfId="1998" priority="2228" stopIfTrue="1" operator="between">
      <formula>-350</formula>
      <formula>-1</formula>
    </cfRule>
  </conditionalFormatting>
  <conditionalFormatting sqref="AH1826:AI1826">
    <cfRule type="cellIs" dxfId="1997" priority="2229" stopIfTrue="1" operator="between">
      <formula>-0.15</formula>
      <formula>0.005</formula>
    </cfRule>
  </conditionalFormatting>
  <conditionalFormatting sqref="N1825">
    <cfRule type="cellIs" dxfId="1996" priority="2225" stopIfTrue="1" operator="between">
      <formula>-350</formula>
      <formula>-1</formula>
    </cfRule>
  </conditionalFormatting>
  <conditionalFormatting sqref="AE1823">
    <cfRule type="cellIs" dxfId="1995" priority="2221" stopIfTrue="1" operator="between">
      <formula>-0.15</formula>
      <formula>-0.0001</formula>
    </cfRule>
  </conditionalFormatting>
  <conditionalFormatting sqref="AH1823:AI1823">
    <cfRule type="cellIs" dxfId="1994" priority="2220" stopIfTrue="1" operator="between">
      <formula>-0.15</formula>
      <formula>0.005</formula>
    </cfRule>
  </conditionalFormatting>
  <conditionalFormatting sqref="N1823">
    <cfRule type="cellIs" dxfId="1993" priority="2219" stopIfTrue="1" operator="between">
      <formula>-350</formula>
      <formula>-1</formula>
    </cfRule>
  </conditionalFormatting>
  <conditionalFormatting sqref="AE1816">
    <cfRule type="cellIs" dxfId="1992" priority="2200" stopIfTrue="1" operator="between">
      <formula>-0.15</formula>
      <formula>-0.0001</formula>
    </cfRule>
  </conditionalFormatting>
  <conditionalFormatting sqref="AH1815:AI1815">
    <cfRule type="cellIs" dxfId="1991" priority="2196" stopIfTrue="1" operator="between">
      <formula>-0.15</formula>
      <formula>0.005</formula>
    </cfRule>
  </conditionalFormatting>
  <conditionalFormatting sqref="AE1822">
    <cfRule type="cellIs" dxfId="1990" priority="2218" stopIfTrue="1" operator="between">
      <formula>-0.15</formula>
      <formula>-0.0001</formula>
    </cfRule>
  </conditionalFormatting>
  <conditionalFormatting sqref="N1822">
    <cfRule type="cellIs" dxfId="1989" priority="2216" stopIfTrue="1" operator="between">
      <formula>-350</formula>
      <formula>-1</formula>
    </cfRule>
  </conditionalFormatting>
  <conditionalFormatting sqref="AH1822:AI1822">
    <cfRule type="cellIs" dxfId="1988" priority="2217" stopIfTrue="1" operator="between">
      <formula>-0.15</formula>
      <formula>0.005</formula>
    </cfRule>
  </conditionalFormatting>
  <conditionalFormatting sqref="N1821">
    <cfRule type="cellIs" dxfId="1987" priority="2213" stopIfTrue="1" operator="between">
      <formula>-350</formula>
      <formula>-1</formula>
    </cfRule>
  </conditionalFormatting>
  <conditionalFormatting sqref="AE1821">
    <cfRule type="cellIs" dxfId="1986" priority="2215" stopIfTrue="1" operator="between">
      <formula>-0.15</formula>
      <formula>-0.0001</formula>
    </cfRule>
  </conditionalFormatting>
  <conditionalFormatting sqref="AH1821:AI1821">
    <cfRule type="cellIs" dxfId="1985" priority="2214" stopIfTrue="1" operator="between">
      <formula>-0.15</formula>
      <formula>0.005</formula>
    </cfRule>
  </conditionalFormatting>
  <conditionalFormatting sqref="AE1820">
    <cfRule type="cellIs" dxfId="1984" priority="2212" stopIfTrue="1" operator="between">
      <formula>-0.15</formula>
      <formula>-0.0001</formula>
    </cfRule>
  </conditionalFormatting>
  <conditionalFormatting sqref="N1820">
    <cfRule type="cellIs" dxfId="1983" priority="2210" stopIfTrue="1" operator="between">
      <formula>-350</formula>
      <formula>-1</formula>
    </cfRule>
  </conditionalFormatting>
  <conditionalFormatting sqref="AH1820:AI1820">
    <cfRule type="cellIs" dxfId="1982" priority="2211" stopIfTrue="1" operator="between">
      <formula>-0.15</formula>
      <formula>0.005</formula>
    </cfRule>
  </conditionalFormatting>
  <conditionalFormatting sqref="N1819">
    <cfRule type="cellIs" dxfId="1981" priority="2207" stopIfTrue="1" operator="between">
      <formula>-350</formula>
      <formula>-1</formula>
    </cfRule>
  </conditionalFormatting>
  <conditionalFormatting sqref="AH1819:AI1819">
    <cfRule type="cellIs" dxfId="1980" priority="2208" stopIfTrue="1" operator="between">
      <formula>-0.15</formula>
      <formula>0.005</formula>
    </cfRule>
  </conditionalFormatting>
  <conditionalFormatting sqref="AE1818">
    <cfRule type="cellIs" dxfId="1979" priority="2206" stopIfTrue="1" operator="between">
      <formula>-0.15</formula>
      <formula>-0.0001</formula>
    </cfRule>
  </conditionalFormatting>
  <conditionalFormatting sqref="N1818">
    <cfRule type="cellIs" dxfId="1978" priority="2204" stopIfTrue="1" operator="between">
      <formula>-350</formula>
      <formula>-1</formula>
    </cfRule>
  </conditionalFormatting>
  <conditionalFormatting sqref="AH1818:AI1818">
    <cfRule type="cellIs" dxfId="1977" priority="2205" stopIfTrue="1" operator="between">
      <formula>-0.15</formula>
      <formula>0.005</formula>
    </cfRule>
  </conditionalFormatting>
  <conditionalFormatting sqref="N1817">
    <cfRule type="cellIs" dxfId="1976" priority="2201" stopIfTrue="1" operator="between">
      <formula>-350</formula>
      <formula>-1</formula>
    </cfRule>
  </conditionalFormatting>
  <conditionalFormatting sqref="AE1817">
    <cfRule type="cellIs" dxfId="1975" priority="2203" stopIfTrue="1" operator="between">
      <formula>-0.15</formula>
      <formula>-0.0001</formula>
    </cfRule>
  </conditionalFormatting>
  <conditionalFormatting sqref="AH1817:AI1817">
    <cfRule type="cellIs" dxfId="1974" priority="2202" stopIfTrue="1" operator="between">
      <formula>-0.15</formula>
      <formula>0.005</formula>
    </cfRule>
  </conditionalFormatting>
  <conditionalFormatting sqref="N1816">
    <cfRule type="cellIs" dxfId="1973" priority="2198" stopIfTrue="1" operator="between">
      <formula>-350</formula>
      <formula>-1</formula>
    </cfRule>
  </conditionalFormatting>
  <conditionalFormatting sqref="N1815">
    <cfRule type="cellIs" dxfId="1972" priority="2195" stopIfTrue="1" operator="between">
      <formula>-350</formula>
      <formula>-1</formula>
    </cfRule>
  </conditionalFormatting>
  <conditionalFormatting sqref="AE1815">
    <cfRule type="cellIs" dxfId="1971" priority="2197" stopIfTrue="1" operator="between">
      <formula>-0.15</formula>
      <formula>-0.0001</formula>
    </cfRule>
  </conditionalFormatting>
  <conditionalFormatting sqref="AH1813:AI1813">
    <cfRule type="cellIs" dxfId="1970" priority="2190" stopIfTrue="1" operator="between">
      <formula>-0.15</formula>
      <formula>0.005</formula>
    </cfRule>
  </conditionalFormatting>
  <conditionalFormatting sqref="AE1814">
    <cfRule type="cellIs" dxfId="1969" priority="2194" stopIfTrue="1" operator="between">
      <formula>-0.15</formula>
      <formula>-0.0001</formula>
    </cfRule>
  </conditionalFormatting>
  <conditionalFormatting sqref="N1814">
    <cfRule type="cellIs" dxfId="1968" priority="2192" stopIfTrue="1" operator="between">
      <formula>-350</formula>
      <formula>-1</formula>
    </cfRule>
  </conditionalFormatting>
  <conditionalFormatting sqref="AH1814:AI1814">
    <cfRule type="cellIs" dxfId="1967" priority="2193" stopIfTrue="1" operator="between">
      <formula>-0.15</formula>
      <formula>0.005</formula>
    </cfRule>
  </conditionalFormatting>
  <conditionalFormatting sqref="N1813">
    <cfRule type="cellIs" dxfId="1966" priority="2189" stopIfTrue="1" operator="between">
      <formula>-350</formula>
      <formula>-1</formula>
    </cfRule>
  </conditionalFormatting>
  <conditionalFormatting sqref="AE1626">
    <cfRule type="cellIs" dxfId="1965" priority="2183" stopIfTrue="1" operator="between">
      <formula>-0.15</formula>
      <formula>-0.0001</formula>
    </cfRule>
  </conditionalFormatting>
  <conditionalFormatting sqref="AE1624">
    <cfRule type="cellIs" dxfId="1964" priority="2186" stopIfTrue="1" operator="between">
      <formula>-0.15</formula>
      <formula>-0.0001</formula>
    </cfRule>
  </conditionalFormatting>
  <conditionalFormatting sqref="AH1624:AI1624">
    <cfRule type="cellIs" dxfId="1963" priority="2185" stopIfTrue="1" operator="between">
      <formula>-0.15</formula>
      <formula>0.005</formula>
    </cfRule>
  </conditionalFormatting>
  <conditionalFormatting sqref="N1624">
    <cfRule type="cellIs" dxfId="1962" priority="2184" stopIfTrue="1" operator="between">
      <formula>-350</formula>
      <formula>-1</formula>
    </cfRule>
  </conditionalFormatting>
  <conditionalFormatting sqref="AE1627">
    <cfRule type="cellIs" dxfId="1961" priority="2188" stopIfTrue="1" operator="between">
      <formula>-0.15</formula>
      <formula>-0.0001</formula>
    </cfRule>
  </conditionalFormatting>
  <conditionalFormatting sqref="AH1627:AI1627">
    <cfRule type="cellIs" dxfId="1960" priority="2187" stopIfTrue="1" operator="between">
      <formula>-0.15</formula>
      <formula>0.005</formula>
    </cfRule>
  </conditionalFormatting>
  <conditionalFormatting sqref="AE1635">
    <cfRule type="cellIs" dxfId="1959" priority="2180" stopIfTrue="1" operator="between">
      <formula>-0.15</formula>
      <formula>-0.0001</formula>
    </cfRule>
  </conditionalFormatting>
  <conditionalFormatting sqref="AH1626:AI1626">
    <cfRule type="cellIs" dxfId="1958" priority="2182" stopIfTrue="1" operator="between">
      <formula>-0.15</formula>
      <formula>0.005</formula>
    </cfRule>
  </conditionalFormatting>
  <conditionalFormatting sqref="N1626">
    <cfRule type="cellIs" dxfId="1957" priority="2181" stopIfTrue="1" operator="between">
      <formula>-350</formula>
      <formula>-1</formula>
    </cfRule>
  </conditionalFormatting>
  <conditionalFormatting sqref="AE1633">
    <cfRule type="cellIs" dxfId="1956" priority="2174" stopIfTrue="1" operator="between">
      <formula>-0.15</formula>
      <formula>-0.0001</formula>
    </cfRule>
  </conditionalFormatting>
  <conditionalFormatting sqref="AH1635:AI1635">
    <cfRule type="cellIs" dxfId="1955" priority="2179" stopIfTrue="1" operator="between">
      <formula>-0.15</formula>
      <formula>0.005</formula>
    </cfRule>
  </conditionalFormatting>
  <conditionalFormatting sqref="N1635">
    <cfRule type="cellIs" dxfId="1954" priority="2178" stopIfTrue="1" operator="between">
      <formula>-350</formula>
      <formula>-1</formula>
    </cfRule>
  </conditionalFormatting>
  <conditionalFormatting sqref="AE1634">
    <cfRule type="cellIs" dxfId="1953" priority="2177" stopIfTrue="1" operator="between">
      <formula>-0.15</formula>
      <formula>-0.0001</formula>
    </cfRule>
  </conditionalFormatting>
  <conditionalFormatting sqref="AH1634:AI1634">
    <cfRule type="cellIs" dxfId="1952" priority="2176" stopIfTrue="1" operator="between">
      <formula>-0.15</formula>
      <formula>0.005</formula>
    </cfRule>
  </conditionalFormatting>
  <conditionalFormatting sqref="N1634">
    <cfRule type="cellIs" dxfId="1951" priority="2175" stopIfTrue="1" operator="between">
      <formula>-350</formula>
      <formula>-1</formula>
    </cfRule>
  </conditionalFormatting>
  <conditionalFormatting sqref="AH1633:AI1633">
    <cfRule type="cellIs" dxfId="1950" priority="2173" stopIfTrue="1" operator="between">
      <formula>-0.15</formula>
      <formula>0.005</formula>
    </cfRule>
  </conditionalFormatting>
  <conditionalFormatting sqref="N1633">
    <cfRule type="cellIs" dxfId="1949" priority="2172" stopIfTrue="1" operator="between">
      <formula>-350</formula>
      <formula>-1</formula>
    </cfRule>
  </conditionalFormatting>
  <conditionalFormatting sqref="AE1632">
    <cfRule type="cellIs" dxfId="1948" priority="2171" stopIfTrue="1" operator="between">
      <formula>-0.15</formula>
      <formula>-0.0001</formula>
    </cfRule>
  </conditionalFormatting>
  <conditionalFormatting sqref="AH1632:AI1632">
    <cfRule type="cellIs" dxfId="1947" priority="2170" stopIfTrue="1" operator="between">
      <formula>-0.15</formula>
      <formula>0.005</formula>
    </cfRule>
  </conditionalFormatting>
  <conditionalFormatting sqref="N1632">
    <cfRule type="cellIs" dxfId="1946" priority="2169" stopIfTrue="1" operator="between">
      <formula>-350</formula>
      <formula>-1</formula>
    </cfRule>
  </conditionalFormatting>
  <conditionalFormatting sqref="AE1631">
    <cfRule type="cellIs" dxfId="1945" priority="2168" stopIfTrue="1" operator="between">
      <formula>-0.15</formula>
      <formula>-0.0001</formula>
    </cfRule>
  </conditionalFormatting>
  <conditionalFormatting sqref="AE1629">
    <cfRule type="cellIs" dxfId="1944" priority="2162" stopIfTrue="1" operator="between">
      <formula>-0.15</formula>
      <formula>-0.0001</formula>
    </cfRule>
  </conditionalFormatting>
  <conditionalFormatting sqref="AH1631:AI1631">
    <cfRule type="cellIs" dxfId="1943" priority="2167" stopIfTrue="1" operator="between">
      <formula>-0.15</formula>
      <formula>0.005</formula>
    </cfRule>
  </conditionalFormatting>
  <conditionalFormatting sqref="N1631">
    <cfRule type="cellIs" dxfId="1942" priority="2166" stopIfTrue="1" operator="between">
      <formula>-350</formula>
      <formula>-1</formula>
    </cfRule>
  </conditionalFormatting>
  <conditionalFormatting sqref="AE1630">
    <cfRule type="cellIs" dxfId="1941" priority="2165" stopIfTrue="1" operator="between">
      <formula>-0.15</formula>
      <formula>-0.0001</formula>
    </cfRule>
  </conditionalFormatting>
  <conditionalFormatting sqref="AH1630:AI1630">
    <cfRule type="cellIs" dxfId="1940" priority="2164" stopIfTrue="1" operator="between">
      <formula>-0.15</formula>
      <formula>0.005</formula>
    </cfRule>
  </conditionalFormatting>
  <conditionalFormatting sqref="N1630">
    <cfRule type="cellIs" dxfId="1939" priority="2163" stopIfTrue="1" operator="between">
      <formula>-350</formula>
      <formula>-1</formula>
    </cfRule>
  </conditionalFormatting>
  <conditionalFormatting sqref="AH1629:AI1629">
    <cfRule type="cellIs" dxfId="1938" priority="2161" stopIfTrue="1" operator="between">
      <formula>-0.15</formula>
      <formula>0.005</formula>
    </cfRule>
  </conditionalFormatting>
  <conditionalFormatting sqref="N1629">
    <cfRule type="cellIs" dxfId="1937" priority="2160" stopIfTrue="1" operator="between">
      <formula>-350</formula>
      <formula>-1</formula>
    </cfRule>
  </conditionalFormatting>
  <conditionalFormatting sqref="AE730">
    <cfRule type="cellIs" dxfId="1936" priority="2159" stopIfTrue="1" operator="between">
      <formula>-0.15</formula>
      <formula>-0.0001</formula>
    </cfRule>
  </conditionalFormatting>
  <conditionalFormatting sqref="AH730:AI730">
    <cfRule type="cellIs" dxfId="1935" priority="2158" stopIfTrue="1" operator="between">
      <formula>-0.15</formula>
      <formula>0.005</formula>
    </cfRule>
  </conditionalFormatting>
  <conditionalFormatting sqref="N730">
    <cfRule type="cellIs" dxfId="1934" priority="2157" stopIfTrue="1" operator="between">
      <formula>-350</formula>
      <formula>-1</formula>
    </cfRule>
  </conditionalFormatting>
  <conditionalFormatting sqref="AH726:AI726">
    <cfRule type="cellIs" dxfId="1933" priority="2155" stopIfTrue="1" operator="between">
      <formula>-0.15</formula>
      <formula>0.005</formula>
    </cfRule>
  </conditionalFormatting>
  <conditionalFormatting sqref="AE726">
    <cfRule type="cellIs" dxfId="1932" priority="2156" stopIfTrue="1" operator="between">
      <formula>-0.15</formula>
      <formula>-0.0001</formula>
    </cfRule>
  </conditionalFormatting>
  <conditionalFormatting sqref="N726">
    <cfRule type="cellIs" dxfId="1931" priority="2154" stopIfTrue="1" operator="between">
      <formula>-350</formula>
      <formula>-1</formula>
    </cfRule>
  </conditionalFormatting>
  <conditionalFormatting sqref="AE681">
    <cfRule type="cellIs" dxfId="1930" priority="2153" stopIfTrue="1" operator="between">
      <formula>-0.15</formula>
      <formula>-0.0001</formula>
    </cfRule>
  </conditionalFormatting>
  <conditionalFormatting sqref="AH681:AI681">
    <cfRule type="cellIs" dxfId="1929" priority="2152" stopIfTrue="1" operator="between">
      <formula>-0.15</formula>
      <formula>0.005</formula>
    </cfRule>
  </conditionalFormatting>
  <conditionalFormatting sqref="N681">
    <cfRule type="cellIs" dxfId="1928" priority="2151" stopIfTrue="1" operator="between">
      <formula>-350</formula>
      <formula>-1</formula>
    </cfRule>
  </conditionalFormatting>
  <conditionalFormatting sqref="AE685">
    <cfRule type="cellIs" dxfId="1927" priority="2150" stopIfTrue="1" operator="between">
      <formula>-0.15</formula>
      <formula>-0.0001</formula>
    </cfRule>
  </conditionalFormatting>
  <conditionalFormatting sqref="AH685:AI685">
    <cfRule type="cellIs" dxfId="1926" priority="2149" stopIfTrue="1" operator="between">
      <formula>-0.15</formula>
      <formula>0.005</formula>
    </cfRule>
  </conditionalFormatting>
  <conditionalFormatting sqref="N685">
    <cfRule type="cellIs" dxfId="1925" priority="2148" stopIfTrue="1" operator="between">
      <formula>-350</formula>
      <formula>-1</formula>
    </cfRule>
  </conditionalFormatting>
  <conditionalFormatting sqref="AE2102">
    <cfRule type="cellIs" dxfId="1924" priority="2145" stopIfTrue="1" operator="between">
      <formula>-0.15</formula>
      <formula>-0.0001</formula>
    </cfRule>
  </conditionalFormatting>
  <conditionalFormatting sqref="AH2104:AI2104">
    <cfRule type="cellIs" dxfId="1923" priority="2146" stopIfTrue="1" operator="between">
      <formula>-0.15</formula>
      <formula>0.005</formula>
    </cfRule>
  </conditionalFormatting>
  <conditionalFormatting sqref="N2102">
    <cfRule type="cellIs" dxfId="1922" priority="2143" stopIfTrue="1" operator="between">
      <formula>-350</formula>
      <formula>-1</formula>
    </cfRule>
  </conditionalFormatting>
  <conditionalFormatting sqref="AE2104">
    <cfRule type="cellIs" dxfId="1921" priority="2147" stopIfTrue="1" operator="between">
      <formula>-0.15</formula>
      <formula>-0.0001</formula>
    </cfRule>
  </conditionalFormatting>
  <conditionalFormatting sqref="AH2102:AI2102">
    <cfRule type="cellIs" dxfId="1920" priority="2144" stopIfTrue="1" operator="between">
      <formula>-0.15</formula>
      <formula>0.005</formula>
    </cfRule>
  </conditionalFormatting>
  <conditionalFormatting sqref="AE2103">
    <cfRule type="cellIs" dxfId="1919" priority="2142" stopIfTrue="1" operator="between">
      <formula>-0.15</formula>
      <formula>-0.0001</formula>
    </cfRule>
  </conditionalFormatting>
  <conditionalFormatting sqref="N2103">
    <cfRule type="cellIs" dxfId="1918" priority="2140" stopIfTrue="1" operator="between">
      <formula>-350</formula>
      <formula>-1</formula>
    </cfRule>
  </conditionalFormatting>
  <conditionalFormatting sqref="AH2103:AI2103">
    <cfRule type="cellIs" dxfId="1917" priority="2141" stopIfTrue="1" operator="between">
      <formula>-0.15</formula>
      <formula>0.005</formula>
    </cfRule>
  </conditionalFormatting>
  <conditionalFormatting sqref="AE2113">
    <cfRule type="cellIs" dxfId="1916" priority="2137" stopIfTrue="1" operator="between">
      <formula>-0.15</formula>
      <formula>-0.0001</formula>
    </cfRule>
  </conditionalFormatting>
  <conditionalFormatting sqref="AH2116:AI2116">
    <cfRule type="cellIs" dxfId="1915" priority="2138" stopIfTrue="1" operator="between">
      <formula>-0.15</formula>
      <formula>0.005</formula>
    </cfRule>
  </conditionalFormatting>
  <conditionalFormatting sqref="N2113">
    <cfRule type="cellIs" dxfId="1914" priority="2135" stopIfTrue="1" operator="between">
      <formula>-350</formula>
      <formula>-1</formula>
    </cfRule>
  </conditionalFormatting>
  <conditionalFormatting sqref="AE2116">
    <cfRule type="cellIs" dxfId="1913" priority="2139" stopIfTrue="1" operator="between">
      <formula>-0.15</formula>
      <formula>-0.0001</formula>
    </cfRule>
  </conditionalFormatting>
  <conditionalFormatting sqref="AH2113:AI2113">
    <cfRule type="cellIs" dxfId="1912" priority="2136" stopIfTrue="1" operator="between">
      <formula>-0.15</formula>
      <formula>0.005</formula>
    </cfRule>
  </conditionalFormatting>
  <conditionalFormatting sqref="AE2115">
    <cfRule type="cellIs" dxfId="1911" priority="2134" stopIfTrue="1" operator="between">
      <formula>-0.15</formula>
      <formula>-0.0001</formula>
    </cfRule>
  </conditionalFormatting>
  <conditionalFormatting sqref="N2115">
    <cfRule type="cellIs" dxfId="1910" priority="2132" stopIfTrue="1" operator="between">
      <formula>-350</formula>
      <formula>-1</formula>
    </cfRule>
  </conditionalFormatting>
  <conditionalFormatting sqref="AH2115:AI2115">
    <cfRule type="cellIs" dxfId="1909" priority="2133" stopIfTrue="1" operator="between">
      <formula>-0.15</formula>
      <formula>0.005</formula>
    </cfRule>
  </conditionalFormatting>
  <conditionalFormatting sqref="AE2114">
    <cfRule type="cellIs" dxfId="1908" priority="2131" stopIfTrue="1" operator="between">
      <formula>-0.15</formula>
      <formula>-0.0001</formula>
    </cfRule>
  </conditionalFormatting>
  <conditionalFormatting sqref="N2114">
    <cfRule type="cellIs" dxfId="1907" priority="2129" stopIfTrue="1" operator="between">
      <formula>-350</formula>
      <formula>-1</formula>
    </cfRule>
  </conditionalFormatting>
  <conditionalFormatting sqref="AH2114:AI2114">
    <cfRule type="cellIs" dxfId="1906" priority="2130" stopIfTrue="1" operator="between">
      <formula>-0.15</formula>
      <formula>0.005</formula>
    </cfRule>
  </conditionalFormatting>
  <conditionalFormatting sqref="AE1331">
    <cfRule type="cellIs" dxfId="1905" priority="2128" stopIfTrue="1" operator="between">
      <formula>-0.15</formula>
      <formula>-0.0001</formula>
    </cfRule>
  </conditionalFormatting>
  <conditionalFormatting sqref="AH1331:AI1331">
    <cfRule type="cellIs" dxfId="1904" priority="2127" stopIfTrue="1" operator="between">
      <formula>-0.15</formula>
      <formula>0.005</formula>
    </cfRule>
  </conditionalFormatting>
  <conditionalFormatting sqref="AE1308">
    <cfRule type="cellIs" dxfId="1903" priority="2126" stopIfTrue="1" operator="between">
      <formula>-0.15</formula>
      <formula>-0.0001</formula>
    </cfRule>
  </conditionalFormatting>
  <conditionalFormatting sqref="AH1308:AI1308">
    <cfRule type="cellIs" dxfId="1902" priority="2125" stopIfTrue="1" operator="between">
      <formula>-0.15</formula>
      <formula>0.005</formula>
    </cfRule>
  </conditionalFormatting>
  <conditionalFormatting sqref="N1308">
    <cfRule type="cellIs" dxfId="1901" priority="2124" stopIfTrue="1" operator="between">
      <formula>-350</formula>
      <formula>-1</formula>
    </cfRule>
  </conditionalFormatting>
  <conditionalFormatting sqref="AE1330">
    <cfRule type="cellIs" dxfId="1900" priority="2123" stopIfTrue="1" operator="between">
      <formula>-0.15</formula>
      <formula>-0.0001</formula>
    </cfRule>
  </conditionalFormatting>
  <conditionalFormatting sqref="AH1330:AI1330">
    <cfRule type="cellIs" dxfId="1899" priority="2122" stopIfTrue="1" operator="between">
      <formula>-0.15</formula>
      <formula>0.005</formula>
    </cfRule>
  </conditionalFormatting>
  <conditionalFormatting sqref="N1330">
    <cfRule type="cellIs" dxfId="1898" priority="2121" stopIfTrue="1" operator="between">
      <formula>-350</formula>
      <formula>-1</formula>
    </cfRule>
  </conditionalFormatting>
  <conditionalFormatting sqref="AE1293">
    <cfRule type="cellIs" dxfId="1897" priority="2120" stopIfTrue="1" operator="between">
      <formula>-0.15</formula>
      <formula>-0.0001</formula>
    </cfRule>
  </conditionalFormatting>
  <conditionalFormatting sqref="AH1293:AI1293">
    <cfRule type="cellIs" dxfId="1896" priority="2119" stopIfTrue="1" operator="between">
      <formula>-0.15</formula>
      <formula>0.005</formula>
    </cfRule>
  </conditionalFormatting>
  <conditionalFormatting sqref="AE1290">
    <cfRule type="cellIs" dxfId="1895" priority="2118" stopIfTrue="1" operator="between">
      <formula>-0.15</formula>
      <formula>-0.0001</formula>
    </cfRule>
  </conditionalFormatting>
  <conditionalFormatting sqref="AH1290:AI1290">
    <cfRule type="cellIs" dxfId="1894" priority="2117" stopIfTrue="1" operator="between">
      <formula>-0.15</formula>
      <formula>0.005</formula>
    </cfRule>
  </conditionalFormatting>
  <conditionalFormatting sqref="N1290">
    <cfRule type="cellIs" dxfId="1893" priority="2116" stopIfTrue="1" operator="between">
      <formula>-350</formula>
      <formula>-1</formula>
    </cfRule>
  </conditionalFormatting>
  <conditionalFormatting sqref="AE1292">
    <cfRule type="cellIs" dxfId="1892" priority="2115" stopIfTrue="1" operator="between">
      <formula>-0.15</formula>
      <formula>-0.0001</formula>
    </cfRule>
  </conditionalFormatting>
  <conditionalFormatting sqref="AH1292:AI1292">
    <cfRule type="cellIs" dxfId="1891" priority="2114" stopIfTrue="1" operator="between">
      <formula>-0.15</formula>
      <formula>0.005</formula>
    </cfRule>
  </conditionalFormatting>
  <conditionalFormatting sqref="N1292">
    <cfRule type="cellIs" dxfId="1890" priority="2113" stopIfTrue="1" operator="between">
      <formula>-350</formula>
      <formula>-1</formula>
    </cfRule>
  </conditionalFormatting>
  <conditionalFormatting sqref="AE1291">
    <cfRule type="cellIs" dxfId="1889" priority="2112" stopIfTrue="1" operator="between">
      <formula>-0.15</formula>
      <formula>-0.0001</formula>
    </cfRule>
  </conditionalFormatting>
  <conditionalFormatting sqref="AH1291:AI1291">
    <cfRule type="cellIs" dxfId="1888" priority="2111" stopIfTrue="1" operator="between">
      <formula>-0.15</formula>
      <formula>0.005</formula>
    </cfRule>
  </conditionalFormatting>
  <conditionalFormatting sqref="N1291">
    <cfRule type="cellIs" dxfId="1887" priority="2110" stopIfTrue="1" operator="between">
      <formula>-350</formula>
      <formula>-1</formula>
    </cfRule>
  </conditionalFormatting>
  <conditionalFormatting sqref="N1196">
    <cfRule type="cellIs" dxfId="1886" priority="2106" stopIfTrue="1" operator="between">
      <formula>-350</formula>
      <formula>-1</formula>
    </cfRule>
  </conditionalFormatting>
  <conditionalFormatting sqref="AE1209">
    <cfRule type="cellIs" dxfId="1885" priority="2105" stopIfTrue="1" operator="between">
      <formula>-0.15</formula>
      <formula>-0.0001</formula>
    </cfRule>
  </conditionalFormatting>
  <conditionalFormatting sqref="AH1209:AI1209">
    <cfRule type="cellIs" dxfId="1884" priority="2104" stopIfTrue="1" operator="between">
      <formula>-0.15</formula>
      <formula>0.005</formula>
    </cfRule>
  </conditionalFormatting>
  <conditionalFormatting sqref="N1209">
    <cfRule type="cellIs" dxfId="1883" priority="2103" stopIfTrue="1" operator="between">
      <formula>-350</formula>
      <formula>-1</formula>
    </cfRule>
  </conditionalFormatting>
  <conditionalFormatting sqref="N1210">
    <cfRule type="cellIs" dxfId="1882" priority="2107" stopIfTrue="1" operator="between">
      <formula>-350</formula>
      <formula>-1</formula>
    </cfRule>
  </conditionalFormatting>
  <conditionalFormatting sqref="AE1196 AE1210">
    <cfRule type="cellIs" dxfId="1881" priority="2109" stopIfTrue="1" operator="between">
      <formula>-0.15</formula>
      <formula>-0.0001</formula>
    </cfRule>
  </conditionalFormatting>
  <conditionalFormatting sqref="AH1196:AI1196 AH1210:AI1210">
    <cfRule type="cellIs" dxfId="1880" priority="2108" stopIfTrue="1" operator="between">
      <formula>-0.15</formula>
      <formula>0.005</formula>
    </cfRule>
  </conditionalFormatting>
  <conditionalFormatting sqref="AE1208">
    <cfRule type="cellIs" dxfId="1879" priority="2102" stopIfTrue="1" operator="between">
      <formula>-0.15</formula>
      <formula>-0.0001</formula>
    </cfRule>
  </conditionalFormatting>
  <conditionalFormatting sqref="AH1208:AI1208">
    <cfRule type="cellIs" dxfId="1878" priority="2101" stopIfTrue="1" operator="between">
      <formula>-0.15</formula>
      <formula>0.005</formula>
    </cfRule>
  </conditionalFormatting>
  <conditionalFormatting sqref="N1208">
    <cfRule type="cellIs" dxfId="1877" priority="2100" stopIfTrue="1" operator="between">
      <formula>-350</formula>
      <formula>-1</formula>
    </cfRule>
  </conditionalFormatting>
  <conditionalFormatting sqref="AE1207">
    <cfRule type="cellIs" dxfId="1876" priority="2099" stopIfTrue="1" operator="between">
      <formula>-0.15</formula>
      <formula>-0.0001</formula>
    </cfRule>
  </conditionalFormatting>
  <conditionalFormatting sqref="AH1207:AI1207">
    <cfRule type="cellIs" dxfId="1875" priority="2098" stopIfTrue="1" operator="between">
      <formula>-0.15</formula>
      <formula>0.005</formula>
    </cfRule>
  </conditionalFormatting>
  <conditionalFormatting sqref="N1207">
    <cfRule type="cellIs" dxfId="1874" priority="2097" stopIfTrue="1" operator="between">
      <formula>-350</formula>
      <formula>-1</formula>
    </cfRule>
  </conditionalFormatting>
  <conditionalFormatting sqref="AE1206">
    <cfRule type="cellIs" dxfId="1873" priority="2096" stopIfTrue="1" operator="between">
      <formula>-0.15</formula>
      <formula>-0.0001</formula>
    </cfRule>
  </conditionalFormatting>
  <conditionalFormatting sqref="AH1206:AI1206">
    <cfRule type="cellIs" dxfId="1872" priority="2095" stopIfTrue="1" operator="between">
      <formula>-0.15</formula>
      <formula>0.005</formula>
    </cfRule>
  </conditionalFormatting>
  <conditionalFormatting sqref="N1206">
    <cfRule type="cellIs" dxfId="1871" priority="2094" stopIfTrue="1" operator="between">
      <formula>-350</formula>
      <formula>-1</formula>
    </cfRule>
  </conditionalFormatting>
  <conditionalFormatting sqref="AE1205">
    <cfRule type="cellIs" dxfId="1870" priority="2093" stopIfTrue="1" operator="between">
      <formula>-0.15</formula>
      <formula>-0.0001</formula>
    </cfRule>
  </conditionalFormatting>
  <conditionalFormatting sqref="AH1205:AI1205">
    <cfRule type="cellIs" dxfId="1869" priority="2092" stopIfTrue="1" operator="between">
      <formula>-0.15</formula>
      <formula>0.005</formula>
    </cfRule>
  </conditionalFormatting>
  <conditionalFormatting sqref="N1205">
    <cfRule type="cellIs" dxfId="1868" priority="2091" stopIfTrue="1" operator="between">
      <formula>-350</formula>
      <formula>-1</formula>
    </cfRule>
  </conditionalFormatting>
  <conditionalFormatting sqref="AE1199">
    <cfRule type="cellIs" dxfId="1867" priority="2090" stopIfTrue="1" operator="between">
      <formula>-0.15</formula>
      <formula>-0.0001</formula>
    </cfRule>
  </conditionalFormatting>
  <conditionalFormatting sqref="AH1199:AI1199">
    <cfRule type="cellIs" dxfId="1866" priority="2089" stopIfTrue="1" operator="between">
      <formula>-0.15</formula>
      <formula>0.005</formula>
    </cfRule>
  </conditionalFormatting>
  <conditionalFormatting sqref="N1199">
    <cfRule type="cellIs" dxfId="1865" priority="2088" stopIfTrue="1" operator="between">
      <formula>-350</formula>
      <formula>-1</formula>
    </cfRule>
  </conditionalFormatting>
  <conditionalFormatting sqref="AE1198">
    <cfRule type="cellIs" dxfId="1864" priority="2087" stopIfTrue="1" operator="between">
      <formula>-0.15</formula>
      <formula>-0.0001</formula>
    </cfRule>
  </conditionalFormatting>
  <conditionalFormatting sqref="AH1198:AI1198">
    <cfRule type="cellIs" dxfId="1863" priority="2086" stopIfTrue="1" operator="between">
      <formula>-0.15</formula>
      <formula>0.005</formula>
    </cfRule>
  </conditionalFormatting>
  <conditionalFormatting sqref="N1198">
    <cfRule type="cellIs" dxfId="1862" priority="2085" stopIfTrue="1" operator="between">
      <formula>-350</formula>
      <formula>-1</formula>
    </cfRule>
  </conditionalFormatting>
  <conditionalFormatting sqref="AE1197">
    <cfRule type="cellIs" dxfId="1861" priority="2084" stopIfTrue="1" operator="between">
      <formula>-0.15</formula>
      <formula>-0.0001</formula>
    </cfRule>
  </conditionalFormatting>
  <conditionalFormatting sqref="AH1197:AI1197">
    <cfRule type="cellIs" dxfId="1860" priority="2083" stopIfTrue="1" operator="between">
      <formula>-0.15</formula>
      <formula>0.005</formula>
    </cfRule>
  </conditionalFormatting>
  <conditionalFormatting sqref="N1197">
    <cfRule type="cellIs" dxfId="1859" priority="2082" stopIfTrue="1" operator="between">
      <formula>-350</formula>
      <formula>-1</formula>
    </cfRule>
  </conditionalFormatting>
  <conditionalFormatting sqref="AE1204">
    <cfRule type="cellIs" dxfId="1858" priority="2081" stopIfTrue="1" operator="between">
      <formula>-0.15</formula>
      <formula>-0.0001</formula>
    </cfRule>
  </conditionalFormatting>
  <conditionalFormatting sqref="AH1204:AI1204">
    <cfRule type="cellIs" dxfId="1857" priority="2080" stopIfTrue="1" operator="between">
      <formula>-0.15</formula>
      <formula>0.005</formula>
    </cfRule>
  </conditionalFormatting>
  <conditionalFormatting sqref="N1204">
    <cfRule type="cellIs" dxfId="1856" priority="2079" stopIfTrue="1" operator="between">
      <formula>-350</formula>
      <formula>-1</formula>
    </cfRule>
  </conditionalFormatting>
  <conditionalFormatting sqref="AE1203">
    <cfRule type="cellIs" dxfId="1855" priority="2078" stopIfTrue="1" operator="between">
      <formula>-0.15</formula>
      <formula>-0.0001</formula>
    </cfRule>
  </conditionalFormatting>
  <conditionalFormatting sqref="AH1203:AI1203">
    <cfRule type="cellIs" dxfId="1854" priority="2077" stopIfTrue="1" operator="between">
      <formula>-0.15</formula>
      <formula>0.005</formula>
    </cfRule>
  </conditionalFormatting>
  <conditionalFormatting sqref="N1203">
    <cfRule type="cellIs" dxfId="1853" priority="2076" stopIfTrue="1" operator="between">
      <formula>-350</formula>
      <formula>-1</formula>
    </cfRule>
  </conditionalFormatting>
  <conditionalFormatting sqref="AE1202">
    <cfRule type="cellIs" dxfId="1852" priority="2075" stopIfTrue="1" operator="between">
      <formula>-0.15</formula>
      <formula>-0.0001</formula>
    </cfRule>
  </conditionalFormatting>
  <conditionalFormatting sqref="AH1202:AI1202">
    <cfRule type="cellIs" dxfId="1851" priority="2074" stopIfTrue="1" operator="between">
      <formula>-0.15</formula>
      <formula>0.005</formula>
    </cfRule>
  </conditionalFormatting>
  <conditionalFormatting sqref="N1202">
    <cfRule type="cellIs" dxfId="1850" priority="2073" stopIfTrue="1" operator="between">
      <formula>-350</formula>
      <formula>-1</formula>
    </cfRule>
  </conditionalFormatting>
  <conditionalFormatting sqref="AE1201">
    <cfRule type="cellIs" dxfId="1849" priority="2072" stopIfTrue="1" operator="between">
      <formula>-0.15</formula>
      <formula>-0.0001</formula>
    </cfRule>
  </conditionalFormatting>
  <conditionalFormatting sqref="AH1201:AI1201">
    <cfRule type="cellIs" dxfId="1848" priority="2071" stopIfTrue="1" operator="between">
      <formula>-0.15</formula>
      <formula>0.005</formula>
    </cfRule>
  </conditionalFormatting>
  <conditionalFormatting sqref="N1201">
    <cfRule type="cellIs" dxfId="1847" priority="2070" stopIfTrue="1" operator="between">
      <formula>-350</formula>
      <formula>-1</formula>
    </cfRule>
  </conditionalFormatting>
  <conditionalFormatting sqref="AE1200">
    <cfRule type="cellIs" dxfId="1846" priority="2069" stopIfTrue="1" operator="between">
      <formula>-0.15</formula>
      <formula>-0.0001</formula>
    </cfRule>
  </conditionalFormatting>
  <conditionalFormatting sqref="AH1200:AI1200">
    <cfRule type="cellIs" dxfId="1845" priority="2068" stopIfTrue="1" operator="between">
      <formula>-0.15</formula>
      <formula>0.005</formula>
    </cfRule>
  </conditionalFormatting>
  <conditionalFormatting sqref="N1200">
    <cfRule type="cellIs" dxfId="1844" priority="2067" stopIfTrue="1" operator="between">
      <formula>-350</formula>
      <formula>-1</formula>
    </cfRule>
  </conditionalFormatting>
  <conditionalFormatting sqref="N1193">
    <cfRule type="cellIs" dxfId="1843" priority="2063" stopIfTrue="1" operator="between">
      <formula>-350</formula>
      <formula>-1</formula>
    </cfRule>
  </conditionalFormatting>
  <conditionalFormatting sqref="AE1194">
    <cfRule type="cellIs" dxfId="1842" priority="2041" stopIfTrue="1" operator="between">
      <formula>-0.15</formula>
      <formula>-0.0001</formula>
    </cfRule>
  </conditionalFormatting>
  <conditionalFormatting sqref="AH1194:AI1194">
    <cfRule type="cellIs" dxfId="1841" priority="2040" stopIfTrue="1" operator="between">
      <formula>-0.15</formula>
      <formula>0.005</formula>
    </cfRule>
  </conditionalFormatting>
  <conditionalFormatting sqref="N1194">
    <cfRule type="cellIs" dxfId="1840" priority="2039" stopIfTrue="1" operator="between">
      <formula>-350</formula>
      <formula>-1</formula>
    </cfRule>
  </conditionalFormatting>
  <conditionalFormatting sqref="N1195">
    <cfRule type="cellIs" dxfId="1839" priority="2064" stopIfTrue="1" operator="between">
      <formula>-350</formula>
      <formula>-1</formula>
    </cfRule>
  </conditionalFormatting>
  <conditionalFormatting sqref="AE1193 AE1195">
    <cfRule type="cellIs" dxfId="1838" priority="2066" stopIfTrue="1" operator="between">
      <formula>-0.15</formula>
      <formula>-0.0001</formula>
    </cfRule>
  </conditionalFormatting>
  <conditionalFormatting sqref="AH1193:AI1193 AH1195:AI1195">
    <cfRule type="cellIs" dxfId="1837" priority="2065" stopIfTrue="1" operator="between">
      <formula>-0.15</formula>
      <formula>0.005</formula>
    </cfRule>
  </conditionalFormatting>
  <conditionalFormatting sqref="AE1276">
    <cfRule type="cellIs" dxfId="1836" priority="2015" stopIfTrue="1" operator="between">
      <formula>-0.15</formula>
      <formula>-0.0001</formula>
    </cfRule>
  </conditionalFormatting>
  <conditionalFormatting sqref="AH1276:AI1276">
    <cfRule type="cellIs" dxfId="1835" priority="2014" stopIfTrue="1" operator="between">
      <formula>-0.15</formula>
      <formula>0.005</formula>
    </cfRule>
  </conditionalFormatting>
  <conditionalFormatting sqref="N1276">
    <cfRule type="cellIs" dxfId="1834" priority="2013" stopIfTrue="1" operator="between">
      <formula>-350</formula>
      <formula>-1</formula>
    </cfRule>
  </conditionalFormatting>
  <conditionalFormatting sqref="AE1273">
    <cfRule type="cellIs" dxfId="1833" priority="2023" stopIfTrue="1" operator="between">
      <formula>-0.15</formula>
      <formula>-0.0001</formula>
    </cfRule>
  </conditionalFormatting>
  <conditionalFormatting sqref="AH1273:AI1273">
    <cfRule type="cellIs" dxfId="1832" priority="2022" stopIfTrue="1" operator="between">
      <formula>-0.15</formula>
      <formula>0.005</formula>
    </cfRule>
  </conditionalFormatting>
  <conditionalFormatting sqref="N1273">
    <cfRule type="cellIs" dxfId="1831" priority="2021" stopIfTrue="1" operator="between">
      <formula>-350</formula>
      <formula>-1</formula>
    </cfRule>
  </conditionalFormatting>
  <conditionalFormatting sqref="AE1277">
    <cfRule type="cellIs" dxfId="1830" priority="2017" stopIfTrue="1" operator="between">
      <formula>-0.15</formula>
      <formula>-0.0001</formula>
    </cfRule>
  </conditionalFormatting>
  <conditionalFormatting sqref="AH1277:AI1277">
    <cfRule type="cellIs" dxfId="1829" priority="2016" stopIfTrue="1" operator="between">
      <formula>-0.15</formula>
      <formula>0.005</formula>
    </cfRule>
  </conditionalFormatting>
  <conditionalFormatting sqref="N1277">
    <cfRule type="cellIs" dxfId="1828" priority="2012" stopIfTrue="1" operator="between">
      <formula>-350</formula>
      <formula>-1</formula>
    </cfRule>
  </conditionalFormatting>
  <conditionalFormatting sqref="AE1282">
    <cfRule type="cellIs" dxfId="1827" priority="2011" stopIfTrue="1" operator="between">
      <formula>-0.15</formula>
      <formula>-0.0001</formula>
    </cfRule>
  </conditionalFormatting>
  <conditionalFormatting sqref="AH1282:AI1282">
    <cfRule type="cellIs" dxfId="1826" priority="2010" stopIfTrue="1" operator="between">
      <formula>-0.15</formula>
      <formula>0.005</formula>
    </cfRule>
  </conditionalFormatting>
  <conditionalFormatting sqref="AE707">
    <cfRule type="cellIs" dxfId="1825" priority="2005" stopIfTrue="1" operator="between">
      <formula>-0.15</formula>
      <formula>-0.0001</formula>
    </cfRule>
  </conditionalFormatting>
  <conditionalFormatting sqref="AH707:AI707">
    <cfRule type="cellIs" dxfId="1824" priority="2004" stopIfTrue="1" operator="between">
      <formula>-0.15</formula>
      <formula>0.005</formula>
    </cfRule>
  </conditionalFormatting>
  <conditionalFormatting sqref="N707">
    <cfRule type="cellIs" dxfId="1823" priority="2003" stopIfTrue="1" operator="between">
      <formula>-350</formula>
      <formula>-1</formula>
    </cfRule>
  </conditionalFormatting>
  <conditionalFormatting sqref="N1282">
    <cfRule type="cellIs" dxfId="1822" priority="2009" stopIfTrue="1" operator="between">
      <formula>-350</formula>
      <formula>-1</formula>
    </cfRule>
  </conditionalFormatting>
  <conditionalFormatting sqref="AE288">
    <cfRule type="cellIs" dxfId="1821" priority="2008" stopIfTrue="1" operator="between">
      <formula>-0.15</formula>
      <formula>-0.0001</formula>
    </cfRule>
  </conditionalFormatting>
  <conditionalFormatting sqref="AH288:AI288">
    <cfRule type="cellIs" dxfId="1820" priority="2007" stopIfTrue="1" operator="between">
      <formula>-0.15</formula>
      <formula>0.005</formula>
    </cfRule>
  </conditionalFormatting>
  <conditionalFormatting sqref="N288">
    <cfRule type="cellIs" dxfId="1819" priority="2006" stopIfTrue="1" operator="between">
      <formula>-350</formula>
      <formula>-1</formula>
    </cfRule>
  </conditionalFormatting>
  <conditionalFormatting sqref="AE664">
    <cfRule type="cellIs" dxfId="1818" priority="2002" stopIfTrue="1" operator="between">
      <formula>-0.15</formula>
      <formula>-0.0001</formula>
    </cfRule>
  </conditionalFormatting>
  <conditionalFormatting sqref="AH664:AI664">
    <cfRule type="cellIs" dxfId="1817" priority="2001" stopIfTrue="1" operator="between">
      <formula>-0.15</formula>
      <formula>0.005</formula>
    </cfRule>
  </conditionalFormatting>
  <conditionalFormatting sqref="N664">
    <cfRule type="cellIs" dxfId="1816" priority="2000" stopIfTrue="1" operator="between">
      <formula>-350</formula>
      <formula>-1</formula>
    </cfRule>
  </conditionalFormatting>
  <conditionalFormatting sqref="AE217">
    <cfRule type="cellIs" dxfId="1815" priority="1986" stopIfTrue="1" operator="between">
      <formula>-0.15</formula>
      <formula>-0.0001</formula>
    </cfRule>
  </conditionalFormatting>
  <conditionalFormatting sqref="AH217:AI217">
    <cfRule type="cellIs" dxfId="1814" priority="1985" stopIfTrue="1" operator="between">
      <formula>-0.15</formula>
      <formula>0.005</formula>
    </cfRule>
  </conditionalFormatting>
  <conditionalFormatting sqref="AE1405">
    <cfRule type="cellIs" dxfId="1813" priority="1999" stopIfTrue="1" operator="between">
      <formula>-0.15</formula>
      <formula>-0.0001</formula>
    </cfRule>
  </conditionalFormatting>
  <conditionalFormatting sqref="AH1405:AI1405">
    <cfRule type="cellIs" dxfId="1812" priority="1998" stopIfTrue="1" operator="between">
      <formula>-0.15</formula>
      <formula>0.005</formula>
    </cfRule>
  </conditionalFormatting>
  <conditionalFormatting sqref="N1405">
    <cfRule type="cellIs" dxfId="1811" priority="1997" stopIfTrue="1" operator="between">
      <formula>-350</formula>
      <formula>-1</formula>
    </cfRule>
  </conditionalFormatting>
  <conditionalFormatting sqref="AE660">
    <cfRule type="cellIs" dxfId="1810" priority="1996" stopIfTrue="1" operator="between">
      <formula>-0.15</formula>
      <formula>-0.0001</formula>
    </cfRule>
  </conditionalFormatting>
  <conditionalFormatting sqref="AH660:AI660">
    <cfRule type="cellIs" dxfId="1809" priority="1995" stopIfTrue="1" operator="between">
      <formula>-0.15</formula>
      <formula>0.005</formula>
    </cfRule>
  </conditionalFormatting>
  <conditionalFormatting sqref="N660">
    <cfRule type="cellIs" dxfId="1808" priority="1994" stopIfTrue="1" operator="between">
      <formula>-350</formula>
      <formula>-1</formula>
    </cfRule>
  </conditionalFormatting>
  <conditionalFormatting sqref="AE659">
    <cfRule type="cellIs" dxfId="1807" priority="1993" stopIfTrue="1" operator="between">
      <formula>-0.15</formula>
      <formula>-0.0001</formula>
    </cfRule>
  </conditionalFormatting>
  <conditionalFormatting sqref="AH659:AI659">
    <cfRule type="cellIs" dxfId="1806" priority="1992" stopIfTrue="1" operator="between">
      <formula>-0.15</formula>
      <formula>0.005</formula>
    </cfRule>
  </conditionalFormatting>
  <conditionalFormatting sqref="N659">
    <cfRule type="cellIs" dxfId="1805" priority="1991" stopIfTrue="1" operator="between">
      <formula>-350</formula>
      <formula>-1</formula>
    </cfRule>
  </conditionalFormatting>
  <conditionalFormatting sqref="AE37">
    <cfRule type="cellIs" dxfId="1804" priority="1932" stopIfTrue="1" operator="between">
      <formula>-0.15</formula>
      <formula>-0.0001</formula>
    </cfRule>
  </conditionalFormatting>
  <conditionalFormatting sqref="AH622:AI622">
    <cfRule type="cellIs" dxfId="1803" priority="1968" stopIfTrue="1" operator="between">
      <formula>-0.15</formula>
      <formula>0.005</formula>
    </cfRule>
  </conditionalFormatting>
  <conditionalFormatting sqref="N2118">
    <cfRule type="cellIs" dxfId="1802" priority="1942" stopIfTrue="1" operator="between">
      <formula>-350</formula>
      <formula>-1</formula>
    </cfRule>
  </conditionalFormatting>
  <conditionalFormatting sqref="AE216">
    <cfRule type="cellIs" dxfId="1801" priority="1984" stopIfTrue="1" operator="between">
      <formula>-0.15</formula>
      <formula>-0.0001</formula>
    </cfRule>
  </conditionalFormatting>
  <conditionalFormatting sqref="AH216:AI216">
    <cfRule type="cellIs" dxfId="1800" priority="1982" stopIfTrue="1" operator="between">
      <formula>-0.15</formula>
      <formula>0.005</formula>
    </cfRule>
  </conditionalFormatting>
  <conditionalFormatting sqref="N217">
    <cfRule type="cellIs" dxfId="1799" priority="1987" stopIfTrue="1" operator="between">
      <formula>-350</formula>
      <formula>-1</formula>
    </cfRule>
  </conditionalFormatting>
  <conditionalFormatting sqref="N216">
    <cfRule type="cellIs" dxfId="1798" priority="1983" stopIfTrue="1" operator="between">
      <formula>-350</formula>
      <formula>-1</formula>
    </cfRule>
  </conditionalFormatting>
  <conditionalFormatting sqref="N214">
    <cfRule type="cellIs" dxfId="1797" priority="1974" stopIfTrue="1" operator="between">
      <formula>-350</formula>
      <formula>-1</formula>
    </cfRule>
  </conditionalFormatting>
  <conditionalFormatting sqref="AH214:AI214">
    <cfRule type="cellIs" dxfId="1796" priority="1973" stopIfTrue="1" operator="between">
      <formula>-0.15</formula>
      <formula>0.005</formula>
    </cfRule>
  </conditionalFormatting>
  <conditionalFormatting sqref="AE214">
    <cfRule type="cellIs" dxfId="1795" priority="1975" stopIfTrue="1" operator="between">
      <formula>-0.15</formula>
      <formula>-0.0001</formula>
    </cfRule>
  </conditionalFormatting>
  <conditionalFormatting sqref="AE215">
    <cfRule type="cellIs" dxfId="1794" priority="1977" stopIfTrue="1" operator="between">
      <formula>-0.15</formula>
      <formula>-0.0001</formula>
    </cfRule>
  </conditionalFormatting>
  <conditionalFormatting sqref="AH215:AI215">
    <cfRule type="cellIs" dxfId="1793" priority="1976" stopIfTrue="1" operator="between">
      <formula>-0.15</formula>
      <formula>0.005</formula>
    </cfRule>
  </conditionalFormatting>
  <conditionalFormatting sqref="AH633:AI633">
    <cfRule type="cellIs" dxfId="1792" priority="1970" stopIfTrue="1" operator="between">
      <formula>-0.15</formula>
      <formula>0.005</formula>
    </cfRule>
  </conditionalFormatting>
  <conditionalFormatting sqref="N215">
    <cfRule type="cellIs" dxfId="1791" priority="1978" stopIfTrue="1" operator="between">
      <formula>-350</formula>
      <formula>-1</formula>
    </cfRule>
  </conditionalFormatting>
  <conditionalFormatting sqref="N633">
    <cfRule type="cellIs" dxfId="1790" priority="1972" stopIfTrue="1" operator="between">
      <formula>-350</formula>
      <formula>-1</formula>
    </cfRule>
  </conditionalFormatting>
  <conditionalFormatting sqref="AE633">
    <cfRule type="cellIs" dxfId="1789" priority="1971" stopIfTrue="1" operator="between">
      <formula>-0.15</formula>
      <formula>-0.0001</formula>
    </cfRule>
  </conditionalFormatting>
  <conditionalFormatting sqref="AE622">
    <cfRule type="cellIs" dxfId="1788" priority="1969" stopIfTrue="1" operator="between">
      <formula>-0.15</formula>
      <formula>-0.0001</formula>
    </cfRule>
  </conditionalFormatting>
  <conditionalFormatting sqref="AH2107:AI2107">
    <cfRule type="cellIs" dxfId="1787" priority="1957" stopIfTrue="1" operator="between">
      <formula>-0.15</formula>
      <formula>0.005</formula>
    </cfRule>
  </conditionalFormatting>
  <conditionalFormatting sqref="N622">
    <cfRule type="cellIs" dxfId="1786" priority="1967" stopIfTrue="1" operator="between">
      <formula>-350</formula>
      <formula>-1</formula>
    </cfRule>
  </conditionalFormatting>
  <conditionalFormatting sqref="AE255">
    <cfRule type="cellIs" dxfId="1785" priority="1966" stopIfTrue="1" operator="between">
      <formula>-0.15</formula>
      <formula>-0.0001</formula>
    </cfRule>
  </conditionalFormatting>
  <conditionalFormatting sqref="AH255:AI255">
    <cfRule type="cellIs" dxfId="1784" priority="1965" stopIfTrue="1" operator="between">
      <formula>-0.15</formula>
      <formula>0.005</formula>
    </cfRule>
  </conditionalFormatting>
  <conditionalFormatting sqref="N255">
    <cfRule type="cellIs" dxfId="1783" priority="1964" stopIfTrue="1" operator="between">
      <formula>-350</formula>
      <formula>-1</formula>
    </cfRule>
  </conditionalFormatting>
  <conditionalFormatting sqref="AE2105">
    <cfRule type="cellIs" dxfId="1782" priority="1961" stopIfTrue="1" operator="between">
      <formula>-0.15</formula>
      <formula>-0.0001</formula>
    </cfRule>
  </conditionalFormatting>
  <conditionalFormatting sqref="AH2108:AI2108">
    <cfRule type="cellIs" dxfId="1781" priority="1962" stopIfTrue="1" operator="between">
      <formula>-0.15</formula>
      <formula>0.005</formula>
    </cfRule>
  </conditionalFormatting>
  <conditionalFormatting sqref="N2105">
    <cfRule type="cellIs" dxfId="1780" priority="1959" stopIfTrue="1" operator="between">
      <formula>-350</formula>
      <formula>-1</formula>
    </cfRule>
  </conditionalFormatting>
  <conditionalFormatting sqref="AE2108">
    <cfRule type="cellIs" dxfId="1779" priority="1963" stopIfTrue="1" operator="between">
      <formula>-0.15</formula>
      <formula>-0.0001</formula>
    </cfRule>
  </conditionalFormatting>
  <conditionalFormatting sqref="AH2105:AI2105">
    <cfRule type="cellIs" dxfId="1778" priority="1960" stopIfTrue="1" operator="between">
      <formula>-0.15</formula>
      <formula>0.005</formula>
    </cfRule>
  </conditionalFormatting>
  <conditionalFormatting sqref="AE2107">
    <cfRule type="cellIs" dxfId="1777" priority="1958" stopIfTrue="1" operator="between">
      <formula>-0.15</formula>
      <formula>-0.0001</formula>
    </cfRule>
  </conditionalFormatting>
  <conditionalFormatting sqref="N2107">
    <cfRule type="cellIs" dxfId="1776" priority="1956" stopIfTrue="1" operator="between">
      <formula>-350</formula>
      <formula>-1</formula>
    </cfRule>
  </conditionalFormatting>
  <conditionalFormatting sqref="AH2117:AI2117">
    <cfRule type="cellIs" dxfId="1775" priority="1946" stopIfTrue="1" operator="between">
      <formula>-0.15</formula>
      <formula>0.005</formula>
    </cfRule>
  </conditionalFormatting>
  <conditionalFormatting sqref="AE2106">
    <cfRule type="cellIs" dxfId="1774" priority="1955" stopIfTrue="1" operator="between">
      <formula>-0.15</formula>
      <formula>-0.0001</formula>
    </cfRule>
  </conditionalFormatting>
  <conditionalFormatting sqref="N2106">
    <cfRule type="cellIs" dxfId="1773" priority="1953" stopIfTrue="1" operator="between">
      <formula>-350</formula>
      <formula>-1</formula>
    </cfRule>
  </conditionalFormatting>
  <conditionalFormatting sqref="AH2106:AI2106">
    <cfRule type="cellIs" dxfId="1772" priority="1954" stopIfTrue="1" operator="between">
      <formula>-0.15</formula>
      <formula>0.005</formula>
    </cfRule>
  </conditionalFormatting>
  <conditionalFormatting sqref="AE593">
    <cfRule type="cellIs" dxfId="1771" priority="1952" stopIfTrue="1" operator="between">
      <formula>-0.15</formula>
      <formula>-0.0001</formula>
    </cfRule>
  </conditionalFormatting>
  <conditionalFormatting sqref="AH593:AI593">
    <cfRule type="cellIs" dxfId="1770" priority="1951" stopIfTrue="1" operator="between">
      <formula>-0.15</formula>
      <formula>0.005</formula>
    </cfRule>
  </conditionalFormatting>
  <conditionalFormatting sqref="N593">
    <cfRule type="cellIs" dxfId="1769" priority="1950" stopIfTrue="1" operator="between">
      <formula>-350</formula>
      <formula>-1</formula>
    </cfRule>
  </conditionalFormatting>
  <conditionalFormatting sqref="AE2117">
    <cfRule type="cellIs" dxfId="1768" priority="1947" stopIfTrue="1" operator="between">
      <formula>-0.15</formula>
      <formula>-0.0001</formula>
    </cfRule>
  </conditionalFormatting>
  <conditionalFormatting sqref="AH2119:AI2119">
    <cfRule type="cellIs" dxfId="1767" priority="1948" stopIfTrue="1" operator="between">
      <formula>-0.15</formula>
      <formula>0.005</formula>
    </cfRule>
  </conditionalFormatting>
  <conditionalFormatting sqref="N2117">
    <cfRule type="cellIs" dxfId="1766" priority="1945" stopIfTrue="1" operator="between">
      <formula>-350</formula>
      <formula>-1</formula>
    </cfRule>
  </conditionalFormatting>
  <conditionalFormatting sqref="AE2119">
    <cfRule type="cellIs" dxfId="1765" priority="1949" stopIfTrue="1" operator="between">
      <formula>-0.15</formula>
      <formula>-0.0001</formula>
    </cfRule>
  </conditionalFormatting>
  <conditionalFormatting sqref="AH862:AI862">
    <cfRule type="cellIs" dxfId="1764" priority="1902" stopIfTrue="1" operator="between">
      <formula>-0.15</formula>
      <formula>0.005</formula>
    </cfRule>
  </conditionalFormatting>
  <conditionalFormatting sqref="AE2118">
    <cfRule type="cellIs" dxfId="1763" priority="1944" stopIfTrue="1" operator="between">
      <formula>-0.15</formula>
      <formula>-0.0001</formula>
    </cfRule>
  </conditionalFormatting>
  <conditionalFormatting sqref="N36">
    <cfRule type="cellIs" dxfId="1762" priority="1939" stopIfTrue="1" operator="between">
      <formula>-350</formula>
      <formula>-1</formula>
    </cfRule>
  </conditionalFormatting>
  <conditionalFormatting sqref="AH2118:AI2118">
    <cfRule type="cellIs" dxfId="1761" priority="1943" stopIfTrue="1" operator="between">
      <formula>-0.15</formula>
      <formula>0.005</formula>
    </cfRule>
  </conditionalFormatting>
  <conditionalFormatting sqref="AE39">
    <cfRule type="cellIs" dxfId="1760" priority="1941" stopIfTrue="1" operator="between">
      <formula>-0.15</formula>
      <formula>-0.0001</formula>
    </cfRule>
  </conditionalFormatting>
  <conditionalFormatting sqref="AH39:AI39">
    <cfRule type="cellIs" dxfId="1759" priority="1940" stopIfTrue="1" operator="between">
      <formula>-0.15</formula>
      <formula>0.005</formula>
    </cfRule>
  </conditionalFormatting>
  <conditionalFormatting sqref="N875">
    <cfRule type="cellIs" dxfId="1758" priority="1928" stopIfTrue="1" operator="between">
      <formula>-350</formula>
      <formula>-1</formula>
    </cfRule>
  </conditionalFormatting>
  <conditionalFormatting sqref="AE36">
    <cfRule type="cellIs" dxfId="1757" priority="1938" stopIfTrue="1" operator="between">
      <formula>-0.15</formula>
      <formula>-0.0001</formula>
    </cfRule>
  </conditionalFormatting>
  <conditionalFormatting sqref="AH36:AI36">
    <cfRule type="cellIs" dxfId="1756" priority="1937" stopIfTrue="1" operator="between">
      <formula>-0.15</formula>
      <formula>0.005</formula>
    </cfRule>
  </conditionalFormatting>
  <conditionalFormatting sqref="N38">
    <cfRule type="cellIs" dxfId="1755" priority="1936" stopIfTrue="1" operator="between">
      <formula>-350</formula>
      <formula>-1</formula>
    </cfRule>
  </conditionalFormatting>
  <conditionalFormatting sqref="AE38">
    <cfRule type="cellIs" dxfId="1754" priority="1935" stopIfTrue="1" operator="between">
      <formula>-0.15</formula>
      <formula>-0.0001</formula>
    </cfRule>
  </conditionalFormatting>
  <conditionalFormatting sqref="AH38:AI38">
    <cfRule type="cellIs" dxfId="1753" priority="1934" stopIfTrue="1" operator="between">
      <formula>-0.15</formula>
      <formula>0.005</formula>
    </cfRule>
  </conditionalFormatting>
  <conditionalFormatting sqref="N37">
    <cfRule type="cellIs" dxfId="1752" priority="1933" stopIfTrue="1" operator="between">
      <formula>-350</formula>
      <formula>-1</formula>
    </cfRule>
  </conditionalFormatting>
  <conditionalFormatting sqref="AE872">
    <cfRule type="cellIs" dxfId="1751" priority="1919" stopIfTrue="1" operator="between">
      <formula>-0.15</formula>
      <formula>-0.0001</formula>
    </cfRule>
  </conditionalFormatting>
  <conditionalFormatting sqref="AH37:AI37">
    <cfRule type="cellIs" dxfId="1750" priority="1931" stopIfTrue="1" operator="between">
      <formula>-0.15</formula>
      <formula>0.005</formula>
    </cfRule>
  </conditionalFormatting>
  <conditionalFormatting sqref="N876">
    <cfRule type="cellIs" dxfId="1749" priority="1923" stopIfTrue="1" operator="between">
      <formula>-350</formula>
      <formula>-1</formula>
    </cfRule>
  </conditionalFormatting>
  <conditionalFormatting sqref="AE876">
    <cfRule type="cellIs" dxfId="1748" priority="1925" stopIfTrue="1" operator="between">
      <formula>-0.15</formula>
      <formula>-0.0001</formula>
    </cfRule>
  </conditionalFormatting>
  <conditionalFormatting sqref="AH877:AI877">
    <cfRule type="cellIs" dxfId="1747" priority="1929" stopIfTrue="1" operator="between">
      <formula>-0.15</formula>
      <formula>0.005</formula>
    </cfRule>
  </conditionalFormatting>
  <conditionalFormatting sqref="AH875:AI875">
    <cfRule type="cellIs" dxfId="1746" priority="1926" stopIfTrue="1" operator="between">
      <formula>-0.15</formula>
      <formula>0.005</formula>
    </cfRule>
  </conditionalFormatting>
  <conditionalFormatting sqref="AE877">
    <cfRule type="cellIs" dxfId="1745" priority="1930" stopIfTrue="1" operator="between">
      <formula>-0.15</formula>
      <formula>-0.0001</formula>
    </cfRule>
  </conditionalFormatting>
  <conditionalFormatting sqref="N866">
    <cfRule type="cellIs" dxfId="1744" priority="1893" stopIfTrue="1" operator="between">
      <formula>-350</formula>
      <formula>-1</formula>
    </cfRule>
  </conditionalFormatting>
  <conditionalFormatting sqref="AE875">
    <cfRule type="cellIs" dxfId="1743" priority="1927" stopIfTrue="1" operator="between">
      <formula>-0.15</formula>
      <formula>-0.0001</formula>
    </cfRule>
  </conditionalFormatting>
  <conditionalFormatting sqref="AH876:AI876">
    <cfRule type="cellIs" dxfId="1742" priority="1924" stopIfTrue="1" operator="between">
      <formula>-0.15</formula>
      <formula>0.005</formula>
    </cfRule>
  </conditionalFormatting>
  <conditionalFormatting sqref="N873">
    <cfRule type="cellIs" dxfId="1741" priority="1915" stopIfTrue="1" operator="between">
      <formula>-350</formula>
      <formula>-1</formula>
    </cfRule>
  </conditionalFormatting>
  <conditionalFormatting sqref="AE873">
    <cfRule type="cellIs" dxfId="1740" priority="1917" stopIfTrue="1" operator="between">
      <formula>-0.15</formula>
      <formula>-0.0001</formula>
    </cfRule>
  </conditionalFormatting>
  <conditionalFormatting sqref="AH874:AI874">
    <cfRule type="cellIs" dxfId="1739" priority="1921" stopIfTrue="1" operator="between">
      <formula>-0.15</formula>
      <formula>0.005</formula>
    </cfRule>
  </conditionalFormatting>
  <conditionalFormatting sqref="AH872:AI872">
    <cfRule type="cellIs" dxfId="1738" priority="1918" stopIfTrue="1" operator="between">
      <formula>-0.15</formula>
      <formula>0.005</formula>
    </cfRule>
  </conditionalFormatting>
  <conditionalFormatting sqref="AE874">
    <cfRule type="cellIs" dxfId="1737" priority="1922" stopIfTrue="1" operator="between">
      <formula>-0.15</formula>
      <formula>-0.0001</formula>
    </cfRule>
  </conditionalFormatting>
  <conditionalFormatting sqref="N872">
    <cfRule type="cellIs" dxfId="1736" priority="1920" stopIfTrue="1" operator="between">
      <formula>-350</formula>
      <formula>-1</formula>
    </cfRule>
  </conditionalFormatting>
  <conditionalFormatting sqref="AE871">
    <cfRule type="cellIs" dxfId="1735" priority="1914" stopIfTrue="1" operator="between">
      <formula>-0.15</formula>
      <formula>-0.0001</formula>
    </cfRule>
  </conditionalFormatting>
  <conditionalFormatting sqref="AH873:AI873">
    <cfRule type="cellIs" dxfId="1734" priority="1916" stopIfTrue="1" operator="between">
      <formula>-0.15</formula>
      <formula>0.005</formula>
    </cfRule>
  </conditionalFormatting>
  <conditionalFormatting sqref="N870">
    <cfRule type="cellIs" dxfId="1733" priority="1907" stopIfTrue="1" operator="between">
      <formula>-350</formula>
      <formula>-1</formula>
    </cfRule>
  </conditionalFormatting>
  <conditionalFormatting sqref="AE870">
    <cfRule type="cellIs" dxfId="1732" priority="1909" stopIfTrue="1" operator="between">
      <formula>-0.15</formula>
      <formula>-0.0001</formula>
    </cfRule>
  </conditionalFormatting>
  <conditionalFormatting sqref="AH871:AI871">
    <cfRule type="cellIs" dxfId="1731" priority="1913" stopIfTrue="1" operator="between">
      <formula>-0.15</formula>
      <formula>0.005</formula>
    </cfRule>
  </conditionalFormatting>
  <conditionalFormatting sqref="AH869:AI869">
    <cfRule type="cellIs" dxfId="1730" priority="1910" stopIfTrue="1" operator="between">
      <formula>-0.15</formula>
      <formula>0.005</formula>
    </cfRule>
  </conditionalFormatting>
  <conditionalFormatting sqref="AE843">
    <cfRule type="cellIs" dxfId="1729" priority="1851" stopIfTrue="1" operator="between">
      <formula>-0.15</formula>
      <formula>-0.0001</formula>
    </cfRule>
  </conditionalFormatting>
  <conditionalFormatting sqref="N869">
    <cfRule type="cellIs" dxfId="1728" priority="1912" stopIfTrue="1" operator="between">
      <formula>-350</formula>
      <formula>-1</formula>
    </cfRule>
  </conditionalFormatting>
  <conditionalFormatting sqref="AE869">
    <cfRule type="cellIs" dxfId="1727" priority="1911" stopIfTrue="1" operator="between">
      <formula>-0.15</formula>
      <formula>-0.0001</formula>
    </cfRule>
  </conditionalFormatting>
  <conditionalFormatting sqref="AH870:AI870">
    <cfRule type="cellIs" dxfId="1726" priority="1908" stopIfTrue="1" operator="between">
      <formula>-0.15</formula>
      <formula>0.005</formula>
    </cfRule>
  </conditionalFormatting>
  <conditionalFormatting sqref="N864">
    <cfRule type="cellIs" dxfId="1725" priority="1899" stopIfTrue="1" operator="between">
      <formula>-350</formula>
      <formula>-1</formula>
    </cfRule>
  </conditionalFormatting>
  <conditionalFormatting sqref="AE864">
    <cfRule type="cellIs" dxfId="1724" priority="1901" stopIfTrue="1" operator="between">
      <formula>-0.15</formula>
      <formula>-0.0001</formula>
    </cfRule>
  </conditionalFormatting>
  <conditionalFormatting sqref="AH865:AI865">
    <cfRule type="cellIs" dxfId="1723" priority="1905" stopIfTrue="1" operator="between">
      <formula>-0.15</formula>
      <formula>0.005</formula>
    </cfRule>
  </conditionalFormatting>
  <conditionalFormatting sqref="AH863:AI863">
    <cfRule type="cellIs" dxfId="1722" priority="1897" stopIfTrue="1" operator="between">
      <formula>-0.15</formula>
      <formula>0.005</formula>
    </cfRule>
  </conditionalFormatting>
  <conditionalFormatting sqref="AE865">
    <cfRule type="cellIs" dxfId="1721" priority="1906" stopIfTrue="1" operator="between">
      <formula>-0.15</formula>
      <formula>-0.0001</formula>
    </cfRule>
  </conditionalFormatting>
  <conditionalFormatting sqref="N862">
    <cfRule type="cellIs" dxfId="1720" priority="1904" stopIfTrue="1" operator="between">
      <formula>-350</formula>
      <formula>-1</formula>
    </cfRule>
  </conditionalFormatting>
  <conditionalFormatting sqref="AE862">
    <cfRule type="cellIs" dxfId="1719" priority="1903" stopIfTrue="1" operator="between">
      <formula>-0.15</formula>
      <formula>-0.0001</formula>
    </cfRule>
  </conditionalFormatting>
  <conditionalFormatting sqref="AH864:AI864">
    <cfRule type="cellIs" dxfId="1718" priority="1900" stopIfTrue="1" operator="between">
      <formula>-0.15</formula>
      <formula>0.005</formula>
    </cfRule>
  </conditionalFormatting>
  <conditionalFormatting sqref="N863">
    <cfRule type="cellIs" dxfId="1717" priority="1896" stopIfTrue="1" operator="between">
      <formula>-350</formula>
      <formula>-1</formula>
    </cfRule>
  </conditionalFormatting>
  <conditionalFormatting sqref="AE863">
    <cfRule type="cellIs" dxfId="1716" priority="1898" stopIfTrue="1" operator="between">
      <formula>-0.15</formula>
      <formula>-0.0001</formula>
    </cfRule>
  </conditionalFormatting>
  <conditionalFormatting sqref="N867">
    <cfRule type="cellIs" dxfId="1715" priority="1888" stopIfTrue="1" operator="between">
      <formula>-350</formula>
      <formula>-1</formula>
    </cfRule>
  </conditionalFormatting>
  <conditionalFormatting sqref="AE867">
    <cfRule type="cellIs" dxfId="1714" priority="1890" stopIfTrue="1" operator="between">
      <formula>-0.15</formula>
      <formula>-0.0001</formula>
    </cfRule>
  </conditionalFormatting>
  <conditionalFormatting sqref="AH868:AI868">
    <cfRule type="cellIs" dxfId="1713" priority="1894" stopIfTrue="1" operator="between">
      <formula>-0.15</formula>
      <formula>0.005</formula>
    </cfRule>
  </conditionalFormatting>
  <conditionalFormatting sqref="AH866:AI866">
    <cfRule type="cellIs" dxfId="1712" priority="1891" stopIfTrue="1" operator="between">
      <formula>-0.15</formula>
      <formula>0.005</formula>
    </cfRule>
  </conditionalFormatting>
  <conditionalFormatting sqref="AE868">
    <cfRule type="cellIs" dxfId="1711" priority="1895" stopIfTrue="1" operator="between">
      <formula>-0.15</formula>
      <formula>-0.0001</formula>
    </cfRule>
  </conditionalFormatting>
  <conditionalFormatting sqref="N854">
    <cfRule type="cellIs" dxfId="1710" priority="1885" stopIfTrue="1" operator="between">
      <formula>-350</formula>
      <formula>-1</formula>
    </cfRule>
  </conditionalFormatting>
  <conditionalFormatting sqref="AE866">
    <cfRule type="cellIs" dxfId="1709" priority="1892" stopIfTrue="1" operator="between">
      <formula>-0.15</formula>
      <formula>-0.0001</formula>
    </cfRule>
  </conditionalFormatting>
  <conditionalFormatting sqref="AH867:AI867">
    <cfRule type="cellIs" dxfId="1708" priority="1889" stopIfTrue="1" operator="between">
      <formula>-0.15</formula>
      <formula>0.005</formula>
    </cfRule>
  </conditionalFormatting>
  <conditionalFormatting sqref="N856">
    <cfRule type="cellIs" dxfId="1707" priority="1880" stopIfTrue="1" operator="between">
      <formula>-350</formula>
      <formula>-1</formula>
    </cfRule>
  </conditionalFormatting>
  <conditionalFormatting sqref="AE856">
    <cfRule type="cellIs" dxfId="1706" priority="1882" stopIfTrue="1" operator="between">
      <formula>-0.15</formula>
      <formula>-0.0001</formula>
    </cfRule>
  </conditionalFormatting>
  <conditionalFormatting sqref="AH857:AI857">
    <cfRule type="cellIs" dxfId="1705" priority="1886" stopIfTrue="1" operator="between">
      <formula>-0.15</formula>
      <formula>0.005</formula>
    </cfRule>
  </conditionalFormatting>
  <conditionalFormatting sqref="AH854:AI854">
    <cfRule type="cellIs" dxfId="1704" priority="1883" stopIfTrue="1" operator="between">
      <formula>-0.15</formula>
      <formula>0.005</formula>
    </cfRule>
  </conditionalFormatting>
  <conditionalFormatting sqref="AE857">
    <cfRule type="cellIs" dxfId="1703" priority="1887" stopIfTrue="1" operator="between">
      <formula>-0.15</formula>
      <formula>-0.0001</formula>
    </cfRule>
  </conditionalFormatting>
  <conditionalFormatting sqref="N850">
    <cfRule type="cellIs" dxfId="1702" priority="1874" stopIfTrue="1" operator="between">
      <formula>-350</formula>
      <formula>-1</formula>
    </cfRule>
  </conditionalFormatting>
  <conditionalFormatting sqref="AE854">
    <cfRule type="cellIs" dxfId="1701" priority="1884" stopIfTrue="1" operator="between">
      <formula>-0.15</formula>
      <formula>-0.0001</formula>
    </cfRule>
  </conditionalFormatting>
  <conditionalFormatting sqref="AH856:AI856">
    <cfRule type="cellIs" dxfId="1700" priority="1881" stopIfTrue="1" operator="between">
      <formula>-0.15</formula>
      <formula>0.005</formula>
    </cfRule>
  </conditionalFormatting>
  <conditionalFormatting sqref="N855">
    <cfRule type="cellIs" dxfId="1699" priority="1877" stopIfTrue="1" operator="between">
      <formula>-350</formula>
      <formula>-1</formula>
    </cfRule>
  </conditionalFormatting>
  <conditionalFormatting sqref="AE855">
    <cfRule type="cellIs" dxfId="1698" priority="1879" stopIfTrue="1" operator="between">
      <formula>-0.15</formula>
      <formula>-0.0001</formula>
    </cfRule>
  </conditionalFormatting>
  <conditionalFormatting sqref="AH855:AI855">
    <cfRule type="cellIs" dxfId="1697" priority="1878" stopIfTrue="1" operator="between">
      <formula>-0.15</formula>
      <formula>0.005</formula>
    </cfRule>
  </conditionalFormatting>
  <conditionalFormatting sqref="N852">
    <cfRule type="cellIs" dxfId="1696" priority="1869" stopIfTrue="1" operator="between">
      <formula>-350</formula>
      <formula>-1</formula>
    </cfRule>
  </conditionalFormatting>
  <conditionalFormatting sqref="AE852">
    <cfRule type="cellIs" dxfId="1695" priority="1871" stopIfTrue="1" operator="between">
      <formula>-0.15</formula>
      <formula>-0.0001</formula>
    </cfRule>
  </conditionalFormatting>
  <conditionalFormatting sqref="AH853:AI853">
    <cfRule type="cellIs" dxfId="1694" priority="1875" stopIfTrue="1" operator="between">
      <formula>-0.15</formula>
      <formula>0.005</formula>
    </cfRule>
  </conditionalFormatting>
  <conditionalFormatting sqref="AH850:AI850">
    <cfRule type="cellIs" dxfId="1693" priority="1872" stopIfTrue="1" operator="between">
      <formula>-0.15</formula>
      <formula>0.005</formula>
    </cfRule>
  </conditionalFormatting>
  <conditionalFormatting sqref="AE853">
    <cfRule type="cellIs" dxfId="1692" priority="1876" stopIfTrue="1" operator="between">
      <formula>-0.15</formula>
      <formula>-0.0001</formula>
    </cfRule>
  </conditionalFormatting>
  <conditionalFormatting sqref="N851">
    <cfRule type="cellIs" dxfId="1691" priority="1866" stopIfTrue="1" operator="between">
      <formula>-350</formula>
      <formula>-1</formula>
    </cfRule>
  </conditionalFormatting>
  <conditionalFormatting sqref="AE850">
    <cfRule type="cellIs" dxfId="1690" priority="1873" stopIfTrue="1" operator="between">
      <formula>-0.15</formula>
      <formula>-0.0001</formula>
    </cfRule>
  </conditionalFormatting>
  <conditionalFormatting sqref="AH852:AI852">
    <cfRule type="cellIs" dxfId="1689" priority="1870" stopIfTrue="1" operator="between">
      <formula>-0.15</formula>
      <formula>0.005</formula>
    </cfRule>
  </conditionalFormatting>
  <conditionalFormatting sqref="N848">
    <cfRule type="cellIs" dxfId="1688" priority="1858" stopIfTrue="1" operator="between">
      <formula>-350</formula>
      <formula>-1</formula>
    </cfRule>
  </conditionalFormatting>
  <conditionalFormatting sqref="AE851">
    <cfRule type="cellIs" dxfId="1687" priority="1868" stopIfTrue="1" operator="between">
      <formula>-0.15</formula>
      <formula>-0.0001</formula>
    </cfRule>
  </conditionalFormatting>
  <conditionalFormatting sqref="AH851:AI851">
    <cfRule type="cellIs" dxfId="1686" priority="1867" stopIfTrue="1" operator="between">
      <formula>-0.15</formula>
      <formula>0.005</formula>
    </cfRule>
  </conditionalFormatting>
  <conditionalFormatting sqref="AE848">
    <cfRule type="cellIs" dxfId="1685" priority="1860" stopIfTrue="1" operator="between">
      <formula>-0.15</formula>
      <formula>-0.0001</formula>
    </cfRule>
  </conditionalFormatting>
  <conditionalFormatting sqref="AH849:AI849">
    <cfRule type="cellIs" dxfId="1684" priority="1864" stopIfTrue="1" operator="between">
      <formula>-0.15</formula>
      <formula>0.005</formula>
    </cfRule>
  </conditionalFormatting>
  <conditionalFormatting sqref="AH846:AI846">
    <cfRule type="cellIs" dxfId="1683" priority="1861" stopIfTrue="1" operator="between">
      <formula>-0.15</formula>
      <formula>0.005</formula>
    </cfRule>
  </conditionalFormatting>
  <conditionalFormatting sqref="AE849">
    <cfRule type="cellIs" dxfId="1682" priority="1865" stopIfTrue="1" operator="between">
      <formula>-0.15</formula>
      <formula>-0.0001</formula>
    </cfRule>
  </conditionalFormatting>
  <conditionalFormatting sqref="N846">
    <cfRule type="cellIs" dxfId="1681" priority="1863" stopIfTrue="1" operator="between">
      <formula>-350</formula>
      <formula>-1</formula>
    </cfRule>
  </conditionalFormatting>
  <conditionalFormatting sqref="AE846">
    <cfRule type="cellIs" dxfId="1680" priority="1862" stopIfTrue="1" operator="between">
      <formula>-0.15</formula>
      <formula>-0.0001</formula>
    </cfRule>
  </conditionalFormatting>
  <conditionalFormatting sqref="AH848:AI848">
    <cfRule type="cellIs" dxfId="1679" priority="1859" stopIfTrue="1" operator="between">
      <formula>-0.15</formula>
      <formula>0.005</formula>
    </cfRule>
  </conditionalFormatting>
  <conditionalFormatting sqref="N847">
    <cfRule type="cellIs" dxfId="1678" priority="1855" stopIfTrue="1" operator="between">
      <formula>-350</formula>
      <formula>-1</formula>
    </cfRule>
  </conditionalFormatting>
  <conditionalFormatting sqref="AE847">
    <cfRule type="cellIs" dxfId="1677" priority="1857" stopIfTrue="1" operator="between">
      <formula>-0.15</formula>
      <formula>-0.0001</formula>
    </cfRule>
  </conditionalFormatting>
  <conditionalFormatting sqref="AH847:AI847">
    <cfRule type="cellIs" dxfId="1676" priority="1856" stopIfTrue="1" operator="between">
      <formula>-0.15</formula>
      <formula>0.005</formula>
    </cfRule>
  </conditionalFormatting>
  <conditionalFormatting sqref="N841">
    <cfRule type="cellIs" dxfId="1675" priority="1836" stopIfTrue="1" operator="between">
      <formula>-350</formula>
      <formula>-1</formula>
    </cfRule>
  </conditionalFormatting>
  <conditionalFormatting sqref="AE841">
    <cfRule type="cellIs" dxfId="1674" priority="1838" stopIfTrue="1" operator="between">
      <formula>-0.15</formula>
      <formula>-0.0001</formula>
    </cfRule>
  </conditionalFormatting>
  <conditionalFormatting sqref="AH845:AI845">
    <cfRule type="cellIs" dxfId="1673" priority="1853" stopIfTrue="1" operator="between">
      <formula>-0.15</formula>
      <formula>0.005</formula>
    </cfRule>
  </conditionalFormatting>
  <conditionalFormatting sqref="AH843:AI843">
    <cfRule type="cellIs" dxfId="1672" priority="1850" stopIfTrue="1" operator="between">
      <formula>-0.15</formula>
      <formula>0.005</formula>
    </cfRule>
  </conditionalFormatting>
  <conditionalFormatting sqref="AE845">
    <cfRule type="cellIs" dxfId="1671" priority="1854" stopIfTrue="1" operator="between">
      <formula>-0.15</formula>
      <formula>-0.0001</formula>
    </cfRule>
  </conditionalFormatting>
  <conditionalFormatting sqref="N843">
    <cfRule type="cellIs" dxfId="1670" priority="1852" stopIfTrue="1" operator="between">
      <formula>-350</formula>
      <formula>-1</formula>
    </cfRule>
  </conditionalFormatting>
  <conditionalFormatting sqref="AE839">
    <cfRule type="cellIs" dxfId="1669" priority="1840" stopIfTrue="1" operator="between">
      <formula>-0.15</formula>
      <formula>-0.0001</formula>
    </cfRule>
  </conditionalFormatting>
  <conditionalFormatting sqref="AH841:AI841">
    <cfRule type="cellIs" dxfId="1668" priority="1837" stopIfTrue="1" operator="between">
      <formula>-0.15</formula>
      <formula>0.005</formula>
    </cfRule>
  </conditionalFormatting>
  <conditionalFormatting sqref="N844">
    <cfRule type="cellIs" dxfId="1667" priority="1844" stopIfTrue="1" operator="between">
      <formula>-350</formula>
      <formula>-1</formula>
    </cfRule>
  </conditionalFormatting>
  <conditionalFormatting sqref="AE844">
    <cfRule type="cellIs" dxfId="1666" priority="1846" stopIfTrue="1" operator="between">
      <formula>-0.15</formula>
      <formula>-0.0001</formula>
    </cfRule>
  </conditionalFormatting>
  <conditionalFormatting sqref="AH844:AI844">
    <cfRule type="cellIs" dxfId="1665" priority="1845" stopIfTrue="1" operator="between">
      <formula>-0.15</formula>
      <formula>0.005</formula>
    </cfRule>
  </conditionalFormatting>
  <conditionalFormatting sqref="AH842:AI842">
    <cfRule type="cellIs" dxfId="1664" priority="1842" stopIfTrue="1" operator="between">
      <formula>-0.15</formula>
      <formula>0.005</formula>
    </cfRule>
  </conditionalFormatting>
  <conditionalFormatting sqref="AH839:AI839">
    <cfRule type="cellIs" dxfId="1663" priority="1839" stopIfTrue="1" operator="between">
      <formula>-0.15</formula>
      <formula>0.005</formula>
    </cfRule>
  </conditionalFormatting>
  <conditionalFormatting sqref="AE842">
    <cfRule type="cellIs" dxfId="1662" priority="1843" stopIfTrue="1" operator="between">
      <formula>-0.15</formula>
      <formula>-0.0001</formula>
    </cfRule>
  </conditionalFormatting>
  <conditionalFormatting sqref="N839">
    <cfRule type="cellIs" dxfId="1661" priority="1841" stopIfTrue="1" operator="between">
      <formula>-350</formula>
      <formula>-1</formula>
    </cfRule>
  </conditionalFormatting>
  <conditionalFormatting sqref="AE858">
    <cfRule type="cellIs" dxfId="1660" priority="1829" stopIfTrue="1" operator="between">
      <formula>-0.15</formula>
      <formula>-0.0001</formula>
    </cfRule>
  </conditionalFormatting>
  <conditionalFormatting sqref="N840">
    <cfRule type="cellIs" dxfId="1659" priority="1833" stopIfTrue="1" operator="between">
      <formula>-350</formula>
      <formula>-1</formula>
    </cfRule>
  </conditionalFormatting>
  <conditionalFormatting sqref="AE840">
    <cfRule type="cellIs" dxfId="1658" priority="1835" stopIfTrue="1" operator="between">
      <formula>-0.15</formula>
      <formula>-0.0001</formula>
    </cfRule>
  </conditionalFormatting>
  <conditionalFormatting sqref="AH840:AI840">
    <cfRule type="cellIs" dxfId="1657" priority="1834" stopIfTrue="1" operator="between">
      <formula>-0.15</formula>
      <formula>0.005</formula>
    </cfRule>
  </conditionalFormatting>
  <conditionalFormatting sqref="N860">
    <cfRule type="cellIs" dxfId="1656" priority="1825" stopIfTrue="1" operator="between">
      <formula>-350</formula>
      <formula>-1</formula>
    </cfRule>
  </conditionalFormatting>
  <conditionalFormatting sqref="AE860">
    <cfRule type="cellIs" dxfId="1655" priority="1827" stopIfTrue="1" operator="between">
      <formula>-0.15</formula>
      <formula>-0.0001</formula>
    </cfRule>
  </conditionalFormatting>
  <conditionalFormatting sqref="AH861:AI861">
    <cfRule type="cellIs" dxfId="1654" priority="1831" stopIfTrue="1" operator="between">
      <formula>-0.15</formula>
      <formula>0.005</formula>
    </cfRule>
  </conditionalFormatting>
  <conditionalFormatting sqref="AH858:AI858">
    <cfRule type="cellIs" dxfId="1653" priority="1828" stopIfTrue="1" operator="between">
      <formula>-0.15</formula>
      <formula>0.005</formula>
    </cfRule>
  </conditionalFormatting>
  <conditionalFormatting sqref="AE861">
    <cfRule type="cellIs" dxfId="1652" priority="1832" stopIfTrue="1" operator="between">
      <formula>-0.15</formula>
      <formula>-0.0001</formula>
    </cfRule>
  </conditionalFormatting>
  <conditionalFormatting sqref="N858">
    <cfRule type="cellIs" dxfId="1651" priority="1830" stopIfTrue="1" operator="between">
      <formula>-350</formula>
      <formula>-1</formula>
    </cfRule>
  </conditionalFormatting>
  <conditionalFormatting sqref="AH860:AI860">
    <cfRule type="cellIs" dxfId="1650" priority="1826" stopIfTrue="1" operator="between">
      <formula>-0.15</formula>
      <formula>0.005</formula>
    </cfRule>
  </conditionalFormatting>
  <conditionalFormatting sqref="N859">
    <cfRule type="cellIs" dxfId="1649" priority="1822" stopIfTrue="1" operator="between">
      <formula>-350</formula>
      <formula>-1</formula>
    </cfRule>
  </conditionalFormatting>
  <conditionalFormatting sqref="AE859">
    <cfRule type="cellIs" dxfId="1648" priority="1824" stopIfTrue="1" operator="between">
      <formula>-0.15</formula>
      <formula>-0.0001</formula>
    </cfRule>
  </conditionalFormatting>
  <conditionalFormatting sqref="AH859:AI859">
    <cfRule type="cellIs" dxfId="1647" priority="1823" stopIfTrue="1" operator="between">
      <formula>-0.15</formula>
      <formula>0.005</formula>
    </cfRule>
  </conditionalFormatting>
  <conditionalFormatting sqref="AH1461:AI1461">
    <cfRule type="cellIs" dxfId="1646" priority="1817" stopIfTrue="1" operator="between">
      <formula>-0.15</formula>
      <formula>0.005</formula>
    </cfRule>
  </conditionalFormatting>
  <conditionalFormatting sqref="N1461">
    <cfRule type="cellIs" dxfId="1645" priority="1819" stopIfTrue="1" operator="between">
      <formula>-350</formula>
      <formula>-1</formula>
    </cfRule>
  </conditionalFormatting>
  <conditionalFormatting sqref="AH1462:AI1462">
    <cfRule type="cellIs" dxfId="1644" priority="1820" stopIfTrue="1" operator="between">
      <formula>-0.15</formula>
      <formula>0.005</formula>
    </cfRule>
  </conditionalFormatting>
  <conditionalFormatting sqref="AE1462">
    <cfRule type="cellIs" dxfId="1643" priority="1821" stopIfTrue="1" operator="between">
      <formula>-0.15</formula>
      <formula>-0.0001</formula>
    </cfRule>
  </conditionalFormatting>
  <conditionalFormatting sqref="AE1461">
    <cfRule type="cellIs" dxfId="1642" priority="1818" stopIfTrue="1" operator="between">
      <formula>-0.15</formula>
      <formula>-0.0001</formula>
    </cfRule>
  </conditionalFormatting>
  <conditionalFormatting sqref="AE2109">
    <cfRule type="cellIs" dxfId="1641" priority="1814" stopIfTrue="1" operator="between">
      <formula>-0.15</formula>
      <formula>-0.0001</formula>
    </cfRule>
  </conditionalFormatting>
  <conditionalFormatting sqref="AH2112:AI2112">
    <cfRule type="cellIs" dxfId="1640" priority="1815" stopIfTrue="1" operator="between">
      <formula>-0.15</formula>
      <formula>0.005</formula>
    </cfRule>
  </conditionalFormatting>
  <conditionalFormatting sqref="N2109">
    <cfRule type="cellIs" dxfId="1639" priority="1812" stopIfTrue="1" operator="between">
      <formula>-350</formula>
      <formula>-1</formula>
    </cfRule>
  </conditionalFormatting>
  <conditionalFormatting sqref="AE2112">
    <cfRule type="cellIs" dxfId="1638" priority="1816" stopIfTrue="1" operator="between">
      <formula>-0.15</formula>
      <formula>-0.0001</formula>
    </cfRule>
  </conditionalFormatting>
  <conditionalFormatting sqref="AH2109:AI2109">
    <cfRule type="cellIs" dxfId="1637" priority="1813" stopIfTrue="1" operator="between">
      <formula>-0.15</formula>
      <formula>0.005</formula>
    </cfRule>
  </conditionalFormatting>
  <conditionalFormatting sqref="AE2111">
    <cfRule type="cellIs" dxfId="1636" priority="1811" stopIfTrue="1" operator="between">
      <formula>-0.15</formula>
      <formula>-0.0001</formula>
    </cfRule>
  </conditionalFormatting>
  <conditionalFormatting sqref="N2111">
    <cfRule type="cellIs" dxfId="1635" priority="1809" stopIfTrue="1" operator="between">
      <formula>-350</formula>
      <formula>-1</formula>
    </cfRule>
  </conditionalFormatting>
  <conditionalFormatting sqref="AH2111:AI2111">
    <cfRule type="cellIs" dxfId="1634" priority="1810" stopIfTrue="1" operator="between">
      <formula>-0.15</formula>
      <formula>0.005</formula>
    </cfRule>
  </conditionalFormatting>
  <conditionalFormatting sqref="AE2110">
    <cfRule type="cellIs" dxfId="1633" priority="1808" stopIfTrue="1" operator="between">
      <formula>-0.15</formula>
      <formula>-0.0001</formula>
    </cfRule>
  </conditionalFormatting>
  <conditionalFormatting sqref="N2110">
    <cfRule type="cellIs" dxfId="1632" priority="1806" stopIfTrue="1" operator="between">
      <formula>-350</formula>
      <formula>-1</formula>
    </cfRule>
  </conditionalFormatting>
  <conditionalFormatting sqref="AH2110:AI2110">
    <cfRule type="cellIs" dxfId="1631" priority="1807" stopIfTrue="1" operator="between">
      <formula>-0.15</formula>
      <formula>0.005</formula>
    </cfRule>
  </conditionalFormatting>
  <conditionalFormatting sqref="AE930">
    <cfRule type="cellIs" dxfId="1630" priority="1805" stopIfTrue="1" operator="between">
      <formula>-0.15</formula>
      <formula>-0.0001</formula>
    </cfRule>
  </conditionalFormatting>
  <conditionalFormatting sqref="AH930:AI930">
    <cfRule type="cellIs" dxfId="1629" priority="1804" stopIfTrue="1" operator="between">
      <formula>-0.15</formula>
      <formula>0.005</formula>
    </cfRule>
  </conditionalFormatting>
  <conditionalFormatting sqref="N928">
    <cfRule type="cellIs" dxfId="1628" priority="1803" stopIfTrue="1" operator="between">
      <formula>-350</formula>
      <formula>-1</formula>
    </cfRule>
  </conditionalFormatting>
  <conditionalFormatting sqref="AE928">
    <cfRule type="cellIs" dxfId="1627" priority="1802" stopIfTrue="1" operator="between">
      <formula>-0.15</formula>
      <formula>-0.0001</formula>
    </cfRule>
  </conditionalFormatting>
  <conditionalFormatting sqref="AH928:AI928">
    <cfRule type="cellIs" dxfId="1626" priority="1801" stopIfTrue="1" operator="between">
      <formula>-0.15</formula>
      <formula>0.005</formula>
    </cfRule>
  </conditionalFormatting>
  <conditionalFormatting sqref="AE929">
    <cfRule type="cellIs" dxfId="1625" priority="1800" stopIfTrue="1" operator="between">
      <formula>-0.15</formula>
      <formula>-0.0001</formula>
    </cfRule>
  </conditionalFormatting>
  <conditionalFormatting sqref="AH929:AI929">
    <cfRule type="cellIs" dxfId="1624" priority="1799" stopIfTrue="1" operator="between">
      <formula>-0.15</formula>
      <formula>0.005</formula>
    </cfRule>
  </conditionalFormatting>
  <conditionalFormatting sqref="N929">
    <cfRule type="cellIs" dxfId="1623" priority="1798" stopIfTrue="1" operator="between">
      <formula>-350</formula>
      <formula>-1</formula>
    </cfRule>
  </conditionalFormatting>
  <conditionalFormatting sqref="AE41">
    <cfRule type="cellIs" dxfId="1622" priority="1797" stopIfTrue="1" operator="between">
      <formula>-0.15</formula>
      <formula>-0.0001</formula>
    </cfRule>
  </conditionalFormatting>
  <conditionalFormatting sqref="AH41:AI41">
    <cfRule type="cellIs" dxfId="1621" priority="1796" stopIfTrue="1" operator="between">
      <formula>-0.15</formula>
      <formula>0.005</formula>
    </cfRule>
  </conditionalFormatting>
  <conditionalFormatting sqref="N40">
    <cfRule type="cellIs" dxfId="1620" priority="1795" stopIfTrue="1" operator="between">
      <formula>-350</formula>
      <formula>-1</formula>
    </cfRule>
  </conditionalFormatting>
  <conditionalFormatting sqref="AE40">
    <cfRule type="cellIs" dxfId="1619" priority="1794" stopIfTrue="1" operator="between">
      <formula>-0.15</formula>
      <formula>-0.0001</formula>
    </cfRule>
  </conditionalFormatting>
  <conditionalFormatting sqref="AH40:AI40">
    <cfRule type="cellIs" dxfId="1618" priority="1793" stopIfTrue="1" operator="between">
      <formula>-0.15</formula>
      <formula>0.005</formula>
    </cfRule>
  </conditionalFormatting>
  <conditionalFormatting sqref="AE937">
    <cfRule type="cellIs" dxfId="1617" priority="1761" stopIfTrue="1" operator="between">
      <formula>-0.15</formula>
      <formula>-0.0001</formula>
    </cfRule>
  </conditionalFormatting>
  <conditionalFormatting sqref="AH942:AI942">
    <cfRule type="cellIs" dxfId="1616" priority="1743" stopIfTrue="1" operator="between">
      <formula>-0.15</formula>
      <formula>0.005</formula>
    </cfRule>
  </conditionalFormatting>
  <conditionalFormatting sqref="N947">
    <cfRule type="cellIs" dxfId="1615" priority="1720" stopIfTrue="1" operator="between">
      <formula>-350</formula>
      <formula>-1</formula>
    </cfRule>
  </conditionalFormatting>
  <conditionalFormatting sqref="AE936">
    <cfRule type="cellIs" dxfId="1614" priority="1758" stopIfTrue="1" operator="between">
      <formula>-0.15</formula>
      <formula>-0.0001</formula>
    </cfRule>
  </conditionalFormatting>
  <conditionalFormatting sqref="AH939:AI939">
    <cfRule type="cellIs" dxfId="1613" priority="1740" stopIfTrue="1" operator="between">
      <formula>-0.15</formula>
      <formula>0.005</formula>
    </cfRule>
  </conditionalFormatting>
  <conditionalFormatting sqref="N948">
    <cfRule type="cellIs" dxfId="1612" priority="1712" stopIfTrue="1" operator="between">
      <formula>-350</formula>
      <formula>-1</formula>
    </cfRule>
  </conditionalFormatting>
  <conditionalFormatting sqref="AE938">
    <cfRule type="cellIs" dxfId="1611" priority="1766" stopIfTrue="1" operator="between">
      <formula>-0.15</formula>
      <formula>-0.0001</formula>
    </cfRule>
  </conditionalFormatting>
  <conditionalFormatting sqref="AH947:AI947">
    <cfRule type="cellIs" dxfId="1610" priority="1718" stopIfTrue="1" operator="between">
      <formula>-0.15</formula>
      <formula>0.005</formula>
    </cfRule>
  </conditionalFormatting>
  <conditionalFormatting sqref="N951">
    <cfRule type="cellIs" dxfId="1609" priority="1709" stopIfTrue="1" operator="between">
      <formula>-350</formula>
      <formula>-1</formula>
    </cfRule>
  </conditionalFormatting>
  <conditionalFormatting sqref="AE935">
    <cfRule type="cellIs" dxfId="1608" priority="1763" stopIfTrue="1" operator="between">
      <formula>-0.15</formula>
      <formula>-0.0001</formula>
    </cfRule>
  </conditionalFormatting>
  <conditionalFormatting sqref="AH954:AI954">
    <cfRule type="cellIs" dxfId="1607" priority="1710" stopIfTrue="1" operator="between">
      <formula>-0.15</formula>
      <formula>0.005</formula>
    </cfRule>
  </conditionalFormatting>
  <conditionalFormatting sqref="N952">
    <cfRule type="cellIs" dxfId="1606" priority="1701" stopIfTrue="1" operator="between">
      <formula>-350</formula>
      <formula>-1</formula>
    </cfRule>
  </conditionalFormatting>
  <conditionalFormatting sqref="AE771">
    <cfRule type="cellIs" dxfId="1605" priority="1780" stopIfTrue="1" operator="between">
      <formula>-0.15</formula>
      <formula>-0.0001</formula>
    </cfRule>
  </conditionalFormatting>
  <conditionalFormatting sqref="AH771:AI771">
    <cfRule type="cellIs" dxfId="1604" priority="1779" stopIfTrue="1" operator="between">
      <formula>-0.15</formula>
      <formula>0.005</formula>
    </cfRule>
  </conditionalFormatting>
  <conditionalFormatting sqref="N771">
    <cfRule type="cellIs" dxfId="1603" priority="1778" stopIfTrue="1" operator="between">
      <formula>-350</formula>
      <formula>-1</formula>
    </cfRule>
  </conditionalFormatting>
  <conditionalFormatting sqref="AE1024">
    <cfRule type="cellIs" dxfId="1602" priority="1777" stopIfTrue="1" operator="between">
      <formula>-0.15</formula>
      <formula>-0.0001</formula>
    </cfRule>
  </conditionalFormatting>
  <conditionalFormatting sqref="AH1024:AI1024">
    <cfRule type="cellIs" dxfId="1601" priority="1776" stopIfTrue="1" operator="between">
      <formula>-0.15</formula>
      <formula>0.005</formula>
    </cfRule>
  </conditionalFormatting>
  <conditionalFormatting sqref="N1022">
    <cfRule type="cellIs" dxfId="1600" priority="1775" stopIfTrue="1" operator="between">
      <formula>-350</formula>
      <formula>-1</formula>
    </cfRule>
  </conditionalFormatting>
  <conditionalFormatting sqref="AE1022">
    <cfRule type="cellIs" dxfId="1599" priority="1774" stopIfTrue="1" operator="between">
      <formula>-0.15</formula>
      <formula>-0.0001</formula>
    </cfRule>
  </conditionalFormatting>
  <conditionalFormatting sqref="AH1022:AI1022">
    <cfRule type="cellIs" dxfId="1598" priority="1773" stopIfTrue="1" operator="between">
      <formula>-0.15</formula>
      <formula>0.005</formula>
    </cfRule>
  </conditionalFormatting>
  <conditionalFormatting sqref="AE967">
    <cfRule type="cellIs" dxfId="1597" priority="1750" stopIfTrue="1" operator="between">
      <formula>-0.15</formula>
      <formula>-0.0001</formula>
    </cfRule>
  </conditionalFormatting>
  <conditionalFormatting sqref="AH937:AI937">
    <cfRule type="cellIs" dxfId="1596" priority="1760" stopIfTrue="1" operator="between">
      <formula>-0.15</formula>
      <formula>0.005</formula>
    </cfRule>
  </conditionalFormatting>
  <conditionalFormatting sqref="N937">
    <cfRule type="cellIs" dxfId="1595" priority="1759" stopIfTrue="1" operator="between">
      <formula>-350</formula>
      <formula>-1</formula>
    </cfRule>
  </conditionalFormatting>
  <conditionalFormatting sqref="AE968">
    <cfRule type="cellIs" dxfId="1594" priority="1755" stopIfTrue="1" operator="between">
      <formula>-0.15</formula>
      <formula>-0.0001</formula>
    </cfRule>
  </conditionalFormatting>
  <conditionalFormatting sqref="AH938:AI938">
    <cfRule type="cellIs" dxfId="1593" priority="1765" stopIfTrue="1" operator="between">
      <formula>-0.15</formula>
      <formula>0.005</formula>
    </cfRule>
  </conditionalFormatting>
  <conditionalFormatting sqref="N935">
    <cfRule type="cellIs" dxfId="1592" priority="1764" stopIfTrue="1" operator="between">
      <formula>-350</formula>
      <formula>-1</formula>
    </cfRule>
  </conditionalFormatting>
  <conditionalFormatting sqref="AE964">
    <cfRule type="cellIs" dxfId="1591" priority="1752" stopIfTrue="1" operator="between">
      <formula>-0.15</formula>
      <formula>-0.0001</formula>
    </cfRule>
  </conditionalFormatting>
  <conditionalFormatting sqref="AH935:AI935">
    <cfRule type="cellIs" dxfId="1590" priority="1762" stopIfTrue="1" operator="between">
      <formula>-0.15</formula>
      <formula>0.005</formula>
    </cfRule>
  </conditionalFormatting>
  <conditionalFormatting sqref="AE954">
    <cfRule type="cellIs" dxfId="1589" priority="1711" stopIfTrue="1" operator="between">
      <formula>-0.15</formula>
      <formula>-0.0001</formula>
    </cfRule>
  </conditionalFormatting>
  <conditionalFormatting sqref="AH967:AI967">
    <cfRule type="cellIs" dxfId="1588" priority="1749" stopIfTrue="1" operator="between">
      <formula>-0.15</formula>
      <formula>0.005</formula>
    </cfRule>
  </conditionalFormatting>
  <conditionalFormatting sqref="N967">
    <cfRule type="cellIs" dxfId="1587" priority="1748" stopIfTrue="1" operator="between">
      <formula>-350</formula>
      <formula>-1</formula>
    </cfRule>
  </conditionalFormatting>
  <conditionalFormatting sqref="AE965">
    <cfRule type="cellIs" dxfId="1586" priority="1747" stopIfTrue="1" operator="between">
      <formula>-0.15</formula>
      <formula>-0.0001</formula>
    </cfRule>
  </conditionalFormatting>
  <conditionalFormatting sqref="AH936:AI936">
    <cfRule type="cellIs" dxfId="1585" priority="1757" stopIfTrue="1" operator="between">
      <formula>-0.15</formula>
      <formula>0.005</formula>
    </cfRule>
  </conditionalFormatting>
  <conditionalFormatting sqref="N936">
    <cfRule type="cellIs" dxfId="1584" priority="1756" stopIfTrue="1" operator="between">
      <formula>-350</formula>
      <formula>-1</formula>
    </cfRule>
  </conditionalFormatting>
  <conditionalFormatting sqref="AE942">
    <cfRule type="cellIs" dxfId="1583" priority="1744" stopIfTrue="1" operator="between">
      <formula>-0.15</formula>
      <formula>-0.0001</formula>
    </cfRule>
  </conditionalFormatting>
  <conditionalFormatting sqref="AH968:AI968">
    <cfRule type="cellIs" dxfId="1582" priority="1754" stopIfTrue="1" operator="between">
      <formula>-0.15</formula>
      <formula>0.005</formula>
    </cfRule>
  </conditionalFormatting>
  <conditionalFormatting sqref="N964">
    <cfRule type="cellIs" dxfId="1581" priority="1753" stopIfTrue="1" operator="between">
      <formula>-350</formula>
      <formula>-1</formula>
    </cfRule>
  </conditionalFormatting>
  <conditionalFormatting sqref="AE939">
    <cfRule type="cellIs" dxfId="1580" priority="1741" stopIfTrue="1" operator="between">
      <formula>-0.15</formula>
      <formula>-0.0001</formula>
    </cfRule>
  </conditionalFormatting>
  <conditionalFormatting sqref="AH964:AI964">
    <cfRule type="cellIs" dxfId="1579" priority="1751" stopIfTrue="1" operator="between">
      <formula>-0.15</formula>
      <formula>0.005</formula>
    </cfRule>
  </conditionalFormatting>
  <conditionalFormatting sqref="AE941">
    <cfRule type="cellIs" dxfId="1578" priority="1739" stopIfTrue="1" operator="between">
      <formula>-0.15</formula>
      <formula>-0.0001</formula>
    </cfRule>
  </conditionalFormatting>
  <conditionalFormatting sqref="AH941:AI941">
    <cfRule type="cellIs" dxfId="1577" priority="1738" stopIfTrue="1" operator="between">
      <formula>-0.15</formula>
      <formula>0.005</formula>
    </cfRule>
  </conditionalFormatting>
  <conditionalFormatting sqref="N941">
    <cfRule type="cellIs" dxfId="1576" priority="1737" stopIfTrue="1" operator="between">
      <formula>-350</formula>
      <formula>-1</formula>
    </cfRule>
  </conditionalFormatting>
  <conditionalFormatting sqref="AE945">
    <cfRule type="cellIs" dxfId="1575" priority="1728" stopIfTrue="1" operator="between">
      <formula>-0.15</formula>
      <formula>-0.0001</formula>
    </cfRule>
  </conditionalFormatting>
  <conditionalFormatting sqref="AH965:AI965">
    <cfRule type="cellIs" dxfId="1574" priority="1746" stopIfTrue="1" operator="between">
      <formula>-0.15</formula>
      <formula>0.005</formula>
    </cfRule>
  </conditionalFormatting>
  <conditionalFormatting sqref="N965">
    <cfRule type="cellIs" dxfId="1573" priority="1745" stopIfTrue="1" operator="between">
      <formula>-350</formula>
      <formula>-1</formula>
    </cfRule>
  </conditionalFormatting>
  <conditionalFormatting sqref="AE940">
    <cfRule type="cellIs" dxfId="1572" priority="1736" stopIfTrue="1" operator="between">
      <formula>-0.15</formula>
      <formula>-0.0001</formula>
    </cfRule>
  </conditionalFormatting>
  <conditionalFormatting sqref="AH946:AI946">
    <cfRule type="cellIs" dxfId="1571" priority="1732" stopIfTrue="1" operator="between">
      <formula>-0.15</formula>
      <formula>0.005</formula>
    </cfRule>
  </conditionalFormatting>
  <conditionalFormatting sqref="N939">
    <cfRule type="cellIs" dxfId="1570" priority="1742" stopIfTrue="1" operator="between">
      <formula>-350</formula>
      <formula>-1</formula>
    </cfRule>
  </conditionalFormatting>
  <conditionalFormatting sqref="AE951">
    <cfRule type="cellIs" dxfId="1569" priority="1708" stopIfTrue="1" operator="between">
      <formula>-0.15</formula>
      <formula>-0.0001</formula>
    </cfRule>
  </conditionalFormatting>
  <conditionalFormatting sqref="AH943:AI943">
    <cfRule type="cellIs" dxfId="1568" priority="1729" stopIfTrue="1" operator="between">
      <formula>-0.15</formula>
      <formula>0.005</formula>
    </cfRule>
  </conditionalFormatting>
  <conditionalFormatting sqref="AE944">
    <cfRule type="cellIs" dxfId="1567" priority="1725" stopIfTrue="1" operator="between">
      <formula>-0.15</formula>
      <formula>-0.0001</formula>
    </cfRule>
  </conditionalFormatting>
  <conditionalFormatting sqref="AH945:AI945">
    <cfRule type="cellIs" dxfId="1566" priority="1727" stopIfTrue="1" operator="between">
      <formula>-0.15</formula>
      <formula>0.005</formula>
    </cfRule>
  </conditionalFormatting>
  <conditionalFormatting sqref="N945">
    <cfRule type="cellIs" dxfId="1565" priority="1726" stopIfTrue="1" operator="between">
      <formula>-350</formula>
      <formula>-1</formula>
    </cfRule>
  </conditionalFormatting>
  <conditionalFormatting sqref="AE946">
    <cfRule type="cellIs" dxfId="1564" priority="1733" stopIfTrue="1" operator="between">
      <formula>-0.15</formula>
      <formula>-0.0001</formula>
    </cfRule>
  </conditionalFormatting>
  <conditionalFormatting sqref="AH940:AI940">
    <cfRule type="cellIs" dxfId="1563" priority="1735" stopIfTrue="1" operator="between">
      <formula>-0.15</formula>
      <formula>0.005</formula>
    </cfRule>
  </conditionalFormatting>
  <conditionalFormatting sqref="N940">
    <cfRule type="cellIs" dxfId="1562" priority="1734" stopIfTrue="1" operator="between">
      <formula>-350</formula>
      <formula>-1</formula>
    </cfRule>
  </conditionalFormatting>
  <conditionalFormatting sqref="AE934">
    <cfRule type="cellIs" dxfId="1561" priority="1700" stopIfTrue="1" operator="between">
      <formula>-0.15</formula>
      <formula>-0.0001</formula>
    </cfRule>
  </conditionalFormatting>
  <conditionalFormatting sqref="AH944:AI944">
    <cfRule type="cellIs" dxfId="1560" priority="1724" stopIfTrue="1" operator="between">
      <formula>-0.15</formula>
      <formula>0.005</formula>
    </cfRule>
  </conditionalFormatting>
  <conditionalFormatting sqref="N943">
    <cfRule type="cellIs" dxfId="1559" priority="1731" stopIfTrue="1" operator="between">
      <formula>-350</formula>
      <formula>-1</formula>
    </cfRule>
  </conditionalFormatting>
  <conditionalFormatting sqref="AE943">
    <cfRule type="cellIs" dxfId="1558" priority="1730" stopIfTrue="1" operator="between">
      <formula>-0.15</formula>
      <formula>-0.0001</formula>
    </cfRule>
  </conditionalFormatting>
  <conditionalFormatting sqref="AH950:AI950">
    <cfRule type="cellIs" dxfId="1557" priority="1721" stopIfTrue="1" operator="between">
      <formula>-0.15</formula>
      <formula>0.005</formula>
    </cfRule>
  </conditionalFormatting>
  <conditionalFormatting sqref="AE950">
    <cfRule type="cellIs" dxfId="1556" priority="1722" stopIfTrue="1" operator="between">
      <formula>-0.15</formula>
      <formula>-0.0001</formula>
    </cfRule>
  </conditionalFormatting>
  <conditionalFormatting sqref="AH934:AI934">
    <cfRule type="cellIs" dxfId="1555" priority="1699" stopIfTrue="1" operator="between">
      <formula>-0.15</formula>
      <formula>0.005</formula>
    </cfRule>
  </conditionalFormatting>
  <conditionalFormatting sqref="N944">
    <cfRule type="cellIs" dxfId="1554" priority="1723" stopIfTrue="1" operator="between">
      <formula>-350</formula>
      <formula>-1</formula>
    </cfRule>
  </conditionalFormatting>
  <conditionalFormatting sqref="AE949">
    <cfRule type="cellIs" dxfId="1553" priority="1717" stopIfTrue="1" operator="between">
      <formula>-0.15</formula>
      <formula>-0.0001</formula>
    </cfRule>
  </conditionalFormatting>
  <conditionalFormatting sqref="AH949:AI949">
    <cfRule type="cellIs" dxfId="1552" priority="1716" stopIfTrue="1" operator="between">
      <formula>-0.15</formula>
      <formula>0.005</formula>
    </cfRule>
  </conditionalFormatting>
  <conditionalFormatting sqref="N949">
    <cfRule type="cellIs" dxfId="1551" priority="1715" stopIfTrue="1" operator="between">
      <formula>-350</formula>
      <formula>-1</formula>
    </cfRule>
  </conditionalFormatting>
  <conditionalFormatting sqref="AE947">
    <cfRule type="cellIs" dxfId="1550" priority="1719" stopIfTrue="1" operator="between">
      <formula>-0.15</formula>
      <formula>-0.0001</formula>
    </cfRule>
  </conditionalFormatting>
  <conditionalFormatting sqref="AH948:AI948">
    <cfRule type="cellIs" dxfId="1549" priority="1713" stopIfTrue="1" operator="between">
      <formula>-0.15</formula>
      <formula>0.005</formula>
    </cfRule>
  </conditionalFormatting>
  <conditionalFormatting sqref="AE931">
    <cfRule type="cellIs" dxfId="1548" priority="1697" stopIfTrue="1" operator="between">
      <formula>-0.15</formula>
      <formula>-0.0001</formula>
    </cfRule>
  </conditionalFormatting>
  <conditionalFormatting sqref="AH931:AI931">
    <cfRule type="cellIs" dxfId="1547" priority="1696" stopIfTrue="1" operator="between">
      <formula>-0.15</formula>
      <formula>0.005</formula>
    </cfRule>
  </conditionalFormatting>
  <conditionalFormatting sqref="N932">
    <cfRule type="cellIs" dxfId="1546" priority="1690" stopIfTrue="1" operator="between">
      <formula>-350</formula>
      <formula>-1</formula>
    </cfRule>
  </conditionalFormatting>
  <conditionalFormatting sqref="AE948">
    <cfRule type="cellIs" dxfId="1545" priority="1714" stopIfTrue="1" operator="between">
      <formula>-0.15</formula>
      <formula>-0.0001</formula>
    </cfRule>
  </conditionalFormatting>
  <conditionalFormatting sqref="AH958:AI958">
    <cfRule type="cellIs" dxfId="1544" priority="1688" stopIfTrue="1" operator="between">
      <formula>-0.15</formula>
      <formula>0.005</formula>
    </cfRule>
  </conditionalFormatting>
  <conditionalFormatting sqref="N955">
    <cfRule type="cellIs" dxfId="1543" priority="1687" stopIfTrue="1" operator="between">
      <formula>-350</formula>
      <formula>-1</formula>
    </cfRule>
  </conditionalFormatting>
  <conditionalFormatting sqref="AE953">
    <cfRule type="cellIs" dxfId="1542" priority="1706" stopIfTrue="1" operator="between">
      <formula>-0.15</formula>
      <formula>-0.0001</formula>
    </cfRule>
  </conditionalFormatting>
  <conditionalFormatting sqref="AH953:AI953">
    <cfRule type="cellIs" dxfId="1541" priority="1705" stopIfTrue="1" operator="between">
      <formula>-0.15</formula>
      <formula>0.005</formula>
    </cfRule>
  </conditionalFormatting>
  <conditionalFormatting sqref="N953">
    <cfRule type="cellIs" dxfId="1540" priority="1704" stopIfTrue="1" operator="between">
      <formula>-350</formula>
      <formula>-1</formula>
    </cfRule>
  </conditionalFormatting>
  <conditionalFormatting sqref="AE952">
    <cfRule type="cellIs" dxfId="1539" priority="1703" stopIfTrue="1" operator="between">
      <formula>-0.15</formula>
      <formula>-0.0001</formula>
    </cfRule>
  </conditionalFormatting>
  <conditionalFormatting sqref="AH951:AI951">
    <cfRule type="cellIs" dxfId="1538" priority="1707" stopIfTrue="1" operator="between">
      <formula>-0.15</formula>
      <formula>0.005</formula>
    </cfRule>
  </conditionalFormatting>
  <conditionalFormatting sqref="AE974">
    <cfRule type="cellIs" dxfId="1537" priority="1661" stopIfTrue="1" operator="between">
      <formula>-0.15</formula>
      <formula>-0.0001</formula>
    </cfRule>
  </conditionalFormatting>
  <conditionalFormatting sqref="AH955:AI955">
    <cfRule type="cellIs" dxfId="1536" priority="1685" stopIfTrue="1" operator="between">
      <formula>-0.15</formula>
      <formula>0.005</formula>
    </cfRule>
  </conditionalFormatting>
  <conditionalFormatting sqref="N961">
    <cfRule type="cellIs" dxfId="1535" priority="1662" stopIfTrue="1" operator="between">
      <formula>-350</formula>
      <formula>-1</formula>
    </cfRule>
  </conditionalFormatting>
  <conditionalFormatting sqref="AE972">
    <cfRule type="cellIs" dxfId="1534" priority="1658" stopIfTrue="1" operator="between">
      <formula>-0.15</formula>
      <formula>-0.0001</formula>
    </cfRule>
  </conditionalFormatting>
  <conditionalFormatting sqref="AH952:AI952">
    <cfRule type="cellIs" dxfId="1533" priority="1702" stopIfTrue="1" operator="between">
      <formula>-0.15</formula>
      <formula>0.005</formula>
    </cfRule>
  </conditionalFormatting>
  <conditionalFormatting sqref="N972">
    <cfRule type="cellIs" dxfId="1532" priority="1659" stopIfTrue="1" operator="between">
      <formula>-350</formula>
      <formula>-1</formula>
    </cfRule>
  </conditionalFormatting>
  <conditionalFormatting sqref="AE933">
    <cfRule type="cellIs" dxfId="1531" priority="1695" stopIfTrue="1" operator="between">
      <formula>-0.15</formula>
      <formula>-0.0001</formula>
    </cfRule>
  </conditionalFormatting>
  <conditionalFormatting sqref="AH933:AI933">
    <cfRule type="cellIs" dxfId="1530" priority="1694" stopIfTrue="1" operator="between">
      <formula>-0.15</formula>
      <formula>0.005</formula>
    </cfRule>
  </conditionalFormatting>
  <conditionalFormatting sqref="N931">
    <cfRule type="cellIs" dxfId="1529" priority="1698" stopIfTrue="1" operator="between">
      <formula>-350</formula>
      <formula>-1</formula>
    </cfRule>
  </conditionalFormatting>
  <conditionalFormatting sqref="AE932">
    <cfRule type="cellIs" dxfId="1528" priority="1692" stopIfTrue="1" operator="between">
      <formula>-0.15</formula>
      <formula>-0.0001</formula>
    </cfRule>
  </conditionalFormatting>
  <conditionalFormatting sqref="AH932:AI932">
    <cfRule type="cellIs" dxfId="1527" priority="1691" stopIfTrue="1" operator="between">
      <formula>-0.15</formula>
      <formula>0.005</formula>
    </cfRule>
  </conditionalFormatting>
  <conditionalFormatting sqref="N933">
    <cfRule type="cellIs" dxfId="1526" priority="1693" stopIfTrue="1" operator="between">
      <formula>-350</formula>
      <formula>-1</formula>
    </cfRule>
  </conditionalFormatting>
  <conditionalFormatting sqref="AH957:AI957">
    <cfRule type="cellIs" dxfId="1525" priority="1683" stopIfTrue="1" operator="between">
      <formula>-0.15</formula>
      <formula>0.005</formula>
    </cfRule>
  </conditionalFormatting>
  <conditionalFormatting sqref="N966">
    <cfRule type="cellIs" dxfId="1524" priority="1676" stopIfTrue="1" operator="between">
      <formula>-350</formula>
      <formula>-1</formula>
    </cfRule>
  </conditionalFormatting>
  <conditionalFormatting sqref="AE958">
    <cfRule type="cellIs" dxfId="1523" priority="1689" stopIfTrue="1" operator="between">
      <formula>-0.15</formula>
      <formula>-0.0001</formula>
    </cfRule>
  </conditionalFormatting>
  <conditionalFormatting sqref="N959">
    <cfRule type="cellIs" dxfId="1522" priority="1673" stopIfTrue="1" operator="between">
      <formula>-350</formula>
      <formula>-1</formula>
    </cfRule>
  </conditionalFormatting>
  <conditionalFormatting sqref="AE955">
    <cfRule type="cellIs" dxfId="1521" priority="1686" stopIfTrue="1" operator="between">
      <formula>-0.15</formula>
      <formula>-0.0001</formula>
    </cfRule>
  </conditionalFormatting>
  <conditionalFormatting sqref="AH956:AI956">
    <cfRule type="cellIs" dxfId="1520" priority="1680" stopIfTrue="1" operator="between">
      <formula>-0.15</formula>
      <formula>0.005</formula>
    </cfRule>
  </conditionalFormatting>
  <conditionalFormatting sqref="AE957">
    <cfRule type="cellIs" dxfId="1519" priority="1684" stopIfTrue="1" operator="between">
      <formula>-0.15</formula>
      <formula>-0.0001</formula>
    </cfRule>
  </conditionalFormatting>
  <conditionalFormatting sqref="AH962:AI962">
    <cfRule type="cellIs" dxfId="1518" priority="1669" stopIfTrue="1" operator="between">
      <formula>-0.15</formula>
      <formula>0.005</formula>
    </cfRule>
  </conditionalFormatting>
  <conditionalFormatting sqref="N957">
    <cfRule type="cellIs" dxfId="1517" priority="1682" stopIfTrue="1" operator="between">
      <formula>-350</formula>
      <formula>-1</formula>
    </cfRule>
  </conditionalFormatting>
  <conditionalFormatting sqref="AE956">
    <cfRule type="cellIs" dxfId="1516" priority="1681" stopIfTrue="1" operator="between">
      <formula>-0.15</formula>
      <formula>-0.0001</formula>
    </cfRule>
  </conditionalFormatting>
  <conditionalFormatting sqref="AH966:AI966">
    <cfRule type="cellIs" dxfId="1515" priority="1677" stopIfTrue="1" operator="between">
      <formula>-0.15</formula>
      <formula>0.005</formula>
    </cfRule>
  </conditionalFormatting>
  <conditionalFormatting sqref="N956">
    <cfRule type="cellIs" dxfId="1514" priority="1679" stopIfTrue="1" operator="between">
      <formula>-350</formula>
      <formula>-1</formula>
    </cfRule>
  </conditionalFormatting>
  <conditionalFormatting sqref="AE966">
    <cfRule type="cellIs" dxfId="1513" priority="1678" stopIfTrue="1" operator="between">
      <formula>-0.15</formula>
      <formula>-0.0001</formula>
    </cfRule>
  </conditionalFormatting>
  <conditionalFormatting sqref="AH960:AI960">
    <cfRule type="cellIs" dxfId="1512" priority="1666" stopIfTrue="1" operator="between">
      <formula>-0.15</formula>
      <formula>0.005</formula>
    </cfRule>
  </conditionalFormatting>
  <conditionalFormatting sqref="N962">
    <cfRule type="cellIs" dxfId="1511" priority="1668" stopIfTrue="1" operator="between">
      <formula>-350</formula>
      <formula>-1</formula>
    </cfRule>
  </conditionalFormatting>
  <conditionalFormatting sqref="AE963">
    <cfRule type="cellIs" dxfId="1510" priority="1675" stopIfTrue="1" operator="between">
      <formula>-0.15</formula>
      <formula>-0.0001</formula>
    </cfRule>
  </conditionalFormatting>
  <conditionalFormatting sqref="AH963:AI963">
    <cfRule type="cellIs" dxfId="1509" priority="1674" stopIfTrue="1" operator="between">
      <formula>-0.15</formula>
      <formula>0.005</formula>
    </cfRule>
  </conditionalFormatting>
  <conditionalFormatting sqref="N960">
    <cfRule type="cellIs" dxfId="1508" priority="1665" stopIfTrue="1" operator="between">
      <formula>-350</formula>
      <formula>-1</formula>
    </cfRule>
  </conditionalFormatting>
  <conditionalFormatting sqref="AE959">
    <cfRule type="cellIs" dxfId="1507" priority="1672" stopIfTrue="1" operator="between">
      <formula>-0.15</formula>
      <formula>-0.0001</formula>
    </cfRule>
  </conditionalFormatting>
  <conditionalFormatting sqref="AH959:AI959">
    <cfRule type="cellIs" dxfId="1506" priority="1671" stopIfTrue="1" operator="between">
      <formula>-0.15</formula>
      <formula>0.005</formula>
    </cfRule>
  </conditionalFormatting>
  <conditionalFormatting sqref="AE962">
    <cfRule type="cellIs" dxfId="1505" priority="1670" stopIfTrue="1" operator="between">
      <formula>-0.15</formula>
      <formula>-0.0001</formula>
    </cfRule>
  </conditionalFormatting>
  <conditionalFormatting sqref="N976">
    <cfRule type="cellIs" dxfId="1504" priority="1630" stopIfTrue="1" operator="between">
      <formula>-350</formula>
      <formula>-1</formula>
    </cfRule>
  </conditionalFormatting>
  <conditionalFormatting sqref="AE960">
    <cfRule type="cellIs" dxfId="1503" priority="1667" stopIfTrue="1" operator="between">
      <formula>-0.15</formula>
      <formula>-0.0001</formula>
    </cfRule>
  </conditionalFormatting>
  <conditionalFormatting sqref="AH976:AI976">
    <cfRule type="cellIs" dxfId="1502" priority="1631" stopIfTrue="1" operator="between">
      <formula>-0.15</formula>
      <formula>0.005</formula>
    </cfRule>
  </conditionalFormatting>
  <conditionalFormatting sqref="N980">
    <cfRule type="cellIs" dxfId="1501" priority="1638" stopIfTrue="1" operator="between">
      <formula>-350</formula>
      <formula>-1</formula>
    </cfRule>
  </conditionalFormatting>
  <conditionalFormatting sqref="AE961">
    <cfRule type="cellIs" dxfId="1500" priority="1664" stopIfTrue="1" operator="between">
      <formula>-0.15</formula>
      <formula>-0.0001</formula>
    </cfRule>
  </conditionalFormatting>
  <conditionalFormatting sqref="AH961:AI961">
    <cfRule type="cellIs" dxfId="1499" priority="1663" stopIfTrue="1" operator="between">
      <formula>-0.15</formula>
      <formula>0.005</formula>
    </cfRule>
  </conditionalFormatting>
  <conditionalFormatting sqref="N973">
    <cfRule type="cellIs" dxfId="1498" priority="1654" stopIfTrue="1" operator="between">
      <formula>-350</formula>
      <formula>-1</formula>
    </cfRule>
  </conditionalFormatting>
  <conditionalFormatting sqref="AE971">
    <cfRule type="cellIs" dxfId="1497" priority="1653" stopIfTrue="1" operator="between">
      <formula>-0.15</formula>
      <formula>-0.0001</formula>
    </cfRule>
  </conditionalFormatting>
  <conditionalFormatting sqref="AH974:AI974">
    <cfRule type="cellIs" dxfId="1496" priority="1660" stopIfTrue="1" operator="between">
      <formula>-0.15</formula>
      <formula>0.005</formula>
    </cfRule>
  </conditionalFormatting>
  <conditionalFormatting sqref="N969">
    <cfRule type="cellIs" dxfId="1495" priority="1651" stopIfTrue="1" operator="between">
      <formula>-350</formula>
      <formula>-1</formula>
    </cfRule>
  </conditionalFormatting>
  <conditionalFormatting sqref="AE969">
    <cfRule type="cellIs" dxfId="1494" priority="1650" stopIfTrue="1" operator="between">
      <formula>-0.15</formula>
      <formula>-0.0001</formula>
    </cfRule>
  </conditionalFormatting>
  <conditionalFormatting sqref="AH972:AI972">
    <cfRule type="cellIs" dxfId="1493" priority="1657" stopIfTrue="1" operator="between">
      <formula>-0.15</formula>
      <formula>0.005</formula>
    </cfRule>
  </conditionalFormatting>
  <conditionalFormatting sqref="AE973">
    <cfRule type="cellIs" dxfId="1492" priority="1656" stopIfTrue="1" operator="between">
      <formula>-0.15</formula>
      <formula>-0.0001</formula>
    </cfRule>
  </conditionalFormatting>
  <conditionalFormatting sqref="AH973:AI973">
    <cfRule type="cellIs" dxfId="1491" priority="1655" stopIfTrue="1" operator="between">
      <formula>-0.15</formula>
      <formula>0.005</formula>
    </cfRule>
  </conditionalFormatting>
  <conditionalFormatting sqref="N970">
    <cfRule type="cellIs" dxfId="1490" priority="1646" stopIfTrue="1" operator="between">
      <formula>-350</formula>
      <formula>-1</formula>
    </cfRule>
  </conditionalFormatting>
  <conditionalFormatting sqref="AE978">
    <cfRule type="cellIs" dxfId="1489" priority="1642" stopIfTrue="1" operator="between">
      <formula>-0.15</formula>
      <formula>-0.0001</formula>
    </cfRule>
  </conditionalFormatting>
  <conditionalFormatting sqref="AH971:AI971">
    <cfRule type="cellIs" dxfId="1488" priority="1652" stopIfTrue="1" operator="between">
      <formula>-0.15</formula>
      <formula>0.005</formula>
    </cfRule>
  </conditionalFormatting>
  <conditionalFormatting sqref="N978">
    <cfRule type="cellIs" dxfId="1487" priority="1643" stopIfTrue="1" operator="between">
      <formula>-350</formula>
      <formula>-1</formula>
    </cfRule>
  </conditionalFormatting>
  <conditionalFormatting sqref="AH969:AI969">
    <cfRule type="cellIs" dxfId="1486" priority="1649" stopIfTrue="1" operator="between">
      <formula>-0.15</formula>
      <formula>0.005</formula>
    </cfRule>
  </conditionalFormatting>
  <conditionalFormatting sqref="AE970">
    <cfRule type="cellIs" dxfId="1485" priority="1648" stopIfTrue="1" operator="between">
      <formula>-0.15</formula>
      <formula>-0.0001</formula>
    </cfRule>
  </conditionalFormatting>
  <conditionalFormatting sqref="AH970:AI970">
    <cfRule type="cellIs" dxfId="1484" priority="1647" stopIfTrue="1" operator="between">
      <formula>-0.15</formula>
      <formula>0.005</formula>
    </cfRule>
  </conditionalFormatting>
  <conditionalFormatting sqref="N975">
    <cfRule type="cellIs" dxfId="1483" priority="1635" stopIfTrue="1" operator="between">
      <formula>-350</formula>
      <formula>-1</formula>
    </cfRule>
  </conditionalFormatting>
  <conditionalFormatting sqref="AE981">
    <cfRule type="cellIs" dxfId="1482" priority="1645" stopIfTrue="1" operator="between">
      <formula>-0.15</formula>
      <formula>-0.0001</formula>
    </cfRule>
  </conditionalFormatting>
  <conditionalFormatting sqref="AH981:AI981">
    <cfRule type="cellIs" dxfId="1481" priority="1644" stopIfTrue="1" operator="between">
      <formula>-0.15</formula>
      <formula>0.005</formula>
    </cfRule>
  </conditionalFormatting>
  <conditionalFormatting sqref="N982">
    <cfRule type="cellIs" dxfId="1480" priority="1618" stopIfTrue="1" operator="between">
      <formula>-350</formula>
      <formula>-1</formula>
    </cfRule>
  </conditionalFormatting>
  <conditionalFormatting sqref="AH978:AI978">
    <cfRule type="cellIs" dxfId="1479" priority="1641" stopIfTrue="1" operator="between">
      <formula>-0.15</formula>
      <formula>0.005</formula>
    </cfRule>
  </conditionalFormatting>
  <conditionalFormatting sqref="AE980">
    <cfRule type="cellIs" dxfId="1478" priority="1640" stopIfTrue="1" operator="between">
      <formula>-0.15</formula>
      <formula>-0.0001</formula>
    </cfRule>
  </conditionalFormatting>
  <conditionalFormatting sqref="AH980:AI980">
    <cfRule type="cellIs" dxfId="1477" priority="1639" stopIfTrue="1" operator="between">
      <formula>-0.15</formula>
      <formula>0.005</formula>
    </cfRule>
  </conditionalFormatting>
  <conditionalFormatting sqref="N979">
    <cfRule type="cellIs" dxfId="1476" priority="1627" stopIfTrue="1" operator="between">
      <formula>-350</formula>
      <formula>-1</formula>
    </cfRule>
  </conditionalFormatting>
  <conditionalFormatting sqref="AE977">
    <cfRule type="cellIs" dxfId="1475" priority="1637" stopIfTrue="1" operator="between">
      <formula>-0.15</formula>
      <formula>-0.0001</formula>
    </cfRule>
  </conditionalFormatting>
  <conditionalFormatting sqref="AH977:AI977">
    <cfRule type="cellIs" dxfId="1474" priority="1636" stopIfTrue="1" operator="between">
      <formula>-0.15</formula>
      <formula>0.005</formula>
    </cfRule>
  </conditionalFormatting>
  <conditionalFormatting sqref="N269">
    <cfRule type="cellIs" dxfId="1473" priority="1624" stopIfTrue="1" operator="between">
      <formula>-350</formula>
      <formula>-1</formula>
    </cfRule>
  </conditionalFormatting>
  <conditionalFormatting sqref="AE975">
    <cfRule type="cellIs" dxfId="1472" priority="1634" stopIfTrue="1" operator="between">
      <formula>-0.15</formula>
      <formula>-0.0001</formula>
    </cfRule>
  </conditionalFormatting>
  <conditionalFormatting sqref="AH975:AI975">
    <cfRule type="cellIs" dxfId="1471" priority="1633" stopIfTrue="1" operator="between">
      <formula>-0.15</formula>
      <formula>0.005</formula>
    </cfRule>
  </conditionalFormatting>
  <conditionalFormatting sqref="AE976">
    <cfRule type="cellIs" dxfId="1470" priority="1632" stopIfTrue="1" operator="between">
      <formula>-0.15</formula>
      <formula>-0.0001</formula>
    </cfRule>
  </conditionalFormatting>
  <conditionalFormatting sqref="AE979">
    <cfRule type="cellIs" dxfId="1469" priority="1629" stopIfTrue="1" operator="between">
      <formula>-0.15</formula>
      <formula>-0.0001</formula>
    </cfRule>
  </conditionalFormatting>
  <conditionalFormatting sqref="AH979:AI979">
    <cfRule type="cellIs" dxfId="1468" priority="1628" stopIfTrue="1" operator="between">
      <formula>-0.15</formula>
      <formula>0.005</formula>
    </cfRule>
  </conditionalFormatting>
  <conditionalFormatting sqref="AE269">
    <cfRule type="cellIs" dxfId="1467" priority="1626" stopIfTrue="1" operator="between">
      <formula>-0.15</formula>
      <formula>-0.0001</formula>
    </cfRule>
  </conditionalFormatting>
  <conditionalFormatting sqref="AH269:AI269">
    <cfRule type="cellIs" dxfId="1466" priority="1625" stopIfTrue="1" operator="between">
      <formula>-0.15</formula>
      <formula>0.005</formula>
    </cfRule>
  </conditionalFormatting>
  <conditionalFormatting sqref="AE984">
    <cfRule type="cellIs" dxfId="1465" priority="1620" stopIfTrue="1" operator="between">
      <formula>-0.15</formula>
      <formula>-0.0001</formula>
    </cfRule>
  </conditionalFormatting>
  <conditionalFormatting sqref="AH984:AI984">
    <cfRule type="cellIs" dxfId="1464" priority="1619" stopIfTrue="1" operator="between">
      <formula>-0.15</formula>
      <formula>0.005</formula>
    </cfRule>
  </conditionalFormatting>
  <conditionalFormatting sqref="AE995">
    <cfRule type="cellIs" dxfId="1463" priority="1601" stopIfTrue="1" operator="between">
      <formula>-0.15</formula>
      <formula>-0.0001</formula>
    </cfRule>
  </conditionalFormatting>
  <conditionalFormatting sqref="AH995:AI995">
    <cfRule type="cellIs" dxfId="1462" priority="1600" stopIfTrue="1" operator="between">
      <formula>-0.15</formula>
      <formula>0.005</formula>
    </cfRule>
  </conditionalFormatting>
  <conditionalFormatting sqref="AE982">
    <cfRule type="cellIs" dxfId="1461" priority="1617" stopIfTrue="1" operator="between">
      <formula>-0.15</formula>
      <formula>-0.0001</formula>
    </cfRule>
  </conditionalFormatting>
  <conditionalFormatting sqref="AH982:AI982">
    <cfRule type="cellIs" dxfId="1460" priority="1616" stopIfTrue="1" operator="between">
      <formula>-0.15</formula>
      <formula>0.005</formula>
    </cfRule>
  </conditionalFormatting>
  <conditionalFormatting sqref="AE983">
    <cfRule type="cellIs" dxfId="1459" priority="1615" stopIfTrue="1" operator="between">
      <formula>-0.15</formula>
      <formula>-0.0001</formula>
    </cfRule>
  </conditionalFormatting>
  <conditionalFormatting sqref="AH983:AI983">
    <cfRule type="cellIs" dxfId="1458" priority="1614" stopIfTrue="1" operator="between">
      <formula>-0.15</formula>
      <formula>0.005</formula>
    </cfRule>
  </conditionalFormatting>
  <conditionalFormatting sqref="N983">
    <cfRule type="cellIs" dxfId="1457" priority="1613" stopIfTrue="1" operator="between">
      <formula>-350</formula>
      <formula>-1</formula>
    </cfRule>
  </conditionalFormatting>
  <conditionalFormatting sqref="AE994">
    <cfRule type="cellIs" dxfId="1456" priority="1612" stopIfTrue="1" operator="between">
      <formula>-0.15</formula>
      <formula>-0.0001</formula>
    </cfRule>
  </conditionalFormatting>
  <conditionalFormatting sqref="AH994:AI994">
    <cfRule type="cellIs" dxfId="1455" priority="1611" stopIfTrue="1" operator="between">
      <formula>-0.15</formula>
      <formula>0.005</formula>
    </cfRule>
  </conditionalFormatting>
  <conditionalFormatting sqref="N992">
    <cfRule type="cellIs" dxfId="1454" priority="1610" stopIfTrue="1" operator="between">
      <formula>-350</formula>
      <formula>-1</formula>
    </cfRule>
  </conditionalFormatting>
  <conditionalFormatting sqref="AE992">
    <cfRule type="cellIs" dxfId="1453" priority="1609" stopIfTrue="1" operator="between">
      <formula>-0.15</formula>
      <formula>-0.0001</formula>
    </cfRule>
  </conditionalFormatting>
  <conditionalFormatting sqref="AH992:AI992">
    <cfRule type="cellIs" dxfId="1452" priority="1608" stopIfTrue="1" operator="between">
      <formula>-0.15</formula>
      <formula>0.005</formula>
    </cfRule>
  </conditionalFormatting>
  <conditionalFormatting sqref="AE993">
    <cfRule type="cellIs" dxfId="1451" priority="1607" stopIfTrue="1" operator="between">
      <formula>-0.15</formula>
      <formula>-0.0001</formula>
    </cfRule>
  </conditionalFormatting>
  <conditionalFormatting sqref="AH993:AI993">
    <cfRule type="cellIs" dxfId="1450" priority="1606" stopIfTrue="1" operator="between">
      <formula>-0.15</formula>
      <formula>0.005</formula>
    </cfRule>
  </conditionalFormatting>
  <conditionalFormatting sqref="N993">
    <cfRule type="cellIs" dxfId="1449" priority="1605" stopIfTrue="1" operator="between">
      <formula>-350</formula>
      <formula>-1</formula>
    </cfRule>
  </conditionalFormatting>
  <conditionalFormatting sqref="AE997">
    <cfRule type="cellIs" dxfId="1448" priority="1604" stopIfTrue="1" operator="between">
      <formula>-0.15</formula>
      <formula>-0.0001</formula>
    </cfRule>
  </conditionalFormatting>
  <conditionalFormatting sqref="AH997:AI997">
    <cfRule type="cellIs" dxfId="1447" priority="1603" stopIfTrue="1" operator="between">
      <formula>-0.15</formula>
      <formula>0.005</formula>
    </cfRule>
  </conditionalFormatting>
  <conditionalFormatting sqref="N995">
    <cfRule type="cellIs" dxfId="1446" priority="1602" stopIfTrue="1" operator="between">
      <formula>-350</formula>
      <formula>-1</formula>
    </cfRule>
  </conditionalFormatting>
  <conditionalFormatting sqref="AE996">
    <cfRule type="cellIs" dxfId="1445" priority="1599" stopIfTrue="1" operator="between">
      <formula>-0.15</formula>
      <formula>-0.0001</formula>
    </cfRule>
  </conditionalFormatting>
  <conditionalFormatting sqref="AH996:AI996">
    <cfRule type="cellIs" dxfId="1444" priority="1598" stopIfTrue="1" operator="between">
      <formula>-0.15</formula>
      <formula>0.005</formula>
    </cfRule>
  </conditionalFormatting>
  <conditionalFormatting sqref="N996">
    <cfRule type="cellIs" dxfId="1443" priority="1597" stopIfTrue="1" operator="between">
      <formula>-350</formula>
      <formula>-1</formula>
    </cfRule>
  </conditionalFormatting>
  <conditionalFormatting sqref="AE991">
    <cfRule type="cellIs" dxfId="1442" priority="1596" stopIfTrue="1" operator="between">
      <formula>-0.15</formula>
      <formula>-0.0001</formula>
    </cfRule>
  </conditionalFormatting>
  <conditionalFormatting sqref="AH991:AI991">
    <cfRule type="cellIs" dxfId="1441" priority="1595" stopIfTrue="1" operator="between">
      <formula>-0.15</formula>
      <formula>0.005</formula>
    </cfRule>
  </conditionalFormatting>
  <conditionalFormatting sqref="N988">
    <cfRule type="cellIs" dxfId="1440" priority="1594" stopIfTrue="1" operator="between">
      <formula>-350</formula>
      <formula>-1</formula>
    </cfRule>
  </conditionalFormatting>
  <conditionalFormatting sqref="AE988">
    <cfRule type="cellIs" dxfId="1439" priority="1593" stopIfTrue="1" operator="between">
      <formula>-0.15</formula>
      <formula>-0.0001</formula>
    </cfRule>
  </conditionalFormatting>
  <conditionalFormatting sqref="AH988:AI988">
    <cfRule type="cellIs" dxfId="1438" priority="1592" stopIfTrue="1" operator="between">
      <formula>-0.15</formula>
      <formula>0.005</formula>
    </cfRule>
  </conditionalFormatting>
  <conditionalFormatting sqref="AE990">
    <cfRule type="cellIs" dxfId="1437" priority="1591" stopIfTrue="1" operator="between">
      <formula>-0.15</formula>
      <formula>-0.0001</formula>
    </cfRule>
  </conditionalFormatting>
  <conditionalFormatting sqref="AH990:AI990">
    <cfRule type="cellIs" dxfId="1436" priority="1590" stopIfTrue="1" operator="between">
      <formula>-0.15</formula>
      <formula>0.005</formula>
    </cfRule>
  </conditionalFormatting>
  <conditionalFormatting sqref="N990">
    <cfRule type="cellIs" dxfId="1435" priority="1589" stopIfTrue="1" operator="between">
      <formula>-350</formula>
      <formula>-1</formula>
    </cfRule>
  </conditionalFormatting>
  <conditionalFormatting sqref="AE989">
    <cfRule type="cellIs" dxfId="1434" priority="1588" stopIfTrue="1" operator="between">
      <formula>-0.15</formula>
      <formula>-0.0001</formula>
    </cfRule>
  </conditionalFormatting>
  <conditionalFormatting sqref="AH989:AI989">
    <cfRule type="cellIs" dxfId="1433" priority="1587" stopIfTrue="1" operator="between">
      <formula>-0.15</formula>
      <formula>0.005</formula>
    </cfRule>
  </conditionalFormatting>
  <conditionalFormatting sqref="N989">
    <cfRule type="cellIs" dxfId="1432" priority="1586" stopIfTrue="1" operator="between">
      <formula>-350</formula>
      <formula>-1</formula>
    </cfRule>
  </conditionalFormatting>
  <conditionalFormatting sqref="AE987">
    <cfRule type="cellIs" dxfId="1431" priority="1585" stopIfTrue="1" operator="between">
      <formula>-0.15</formula>
      <formula>-0.0001</formula>
    </cfRule>
  </conditionalFormatting>
  <conditionalFormatting sqref="AH987:AI987">
    <cfRule type="cellIs" dxfId="1430" priority="1584" stopIfTrue="1" operator="between">
      <formula>-0.15</formula>
      <formula>0.005</formula>
    </cfRule>
  </conditionalFormatting>
  <conditionalFormatting sqref="N985">
    <cfRule type="cellIs" dxfId="1429" priority="1583" stopIfTrue="1" operator="between">
      <formula>-350</formula>
      <formula>-1</formula>
    </cfRule>
  </conditionalFormatting>
  <conditionalFormatting sqref="AE985">
    <cfRule type="cellIs" dxfId="1428" priority="1582" stopIfTrue="1" operator="between">
      <formula>-0.15</formula>
      <formula>-0.0001</formula>
    </cfRule>
  </conditionalFormatting>
  <conditionalFormatting sqref="AH985:AI985">
    <cfRule type="cellIs" dxfId="1427" priority="1581" stopIfTrue="1" operator="between">
      <formula>-0.15</formula>
      <formula>0.005</formula>
    </cfRule>
  </conditionalFormatting>
  <conditionalFormatting sqref="AE999">
    <cfRule type="cellIs" dxfId="1426" priority="1569" stopIfTrue="1" operator="between">
      <formula>-0.15</formula>
      <formula>-0.0001</formula>
    </cfRule>
  </conditionalFormatting>
  <conditionalFormatting sqref="AH999:AI999">
    <cfRule type="cellIs" dxfId="1425" priority="1568" stopIfTrue="1" operator="between">
      <formula>-0.15</formula>
      <formula>0.005</formula>
    </cfRule>
  </conditionalFormatting>
  <conditionalFormatting sqref="N999">
    <cfRule type="cellIs" dxfId="1424" priority="1567" stopIfTrue="1" operator="between">
      <formula>-350</formula>
      <formula>-1</formula>
    </cfRule>
  </conditionalFormatting>
  <conditionalFormatting sqref="AE986">
    <cfRule type="cellIs" dxfId="1423" priority="1577" stopIfTrue="1" operator="between">
      <formula>-0.15</formula>
      <formula>-0.0001</formula>
    </cfRule>
  </conditionalFormatting>
  <conditionalFormatting sqref="AH986:AI986">
    <cfRule type="cellIs" dxfId="1422" priority="1576" stopIfTrue="1" operator="between">
      <formula>-0.15</formula>
      <formula>0.005</formula>
    </cfRule>
  </conditionalFormatting>
  <conditionalFormatting sqref="N986">
    <cfRule type="cellIs" dxfId="1421" priority="1575" stopIfTrue="1" operator="between">
      <formula>-350</formula>
      <formula>-1</formula>
    </cfRule>
  </conditionalFormatting>
  <conditionalFormatting sqref="AE1000">
    <cfRule type="cellIs" dxfId="1420" priority="1574" stopIfTrue="1" operator="between">
      <formula>-0.15</formula>
      <formula>-0.0001</formula>
    </cfRule>
  </conditionalFormatting>
  <conditionalFormatting sqref="AH1000:AI1000">
    <cfRule type="cellIs" dxfId="1419" priority="1573" stopIfTrue="1" operator="between">
      <formula>-0.15</formula>
      <formula>0.005</formula>
    </cfRule>
  </conditionalFormatting>
  <conditionalFormatting sqref="N998">
    <cfRule type="cellIs" dxfId="1418" priority="1572" stopIfTrue="1" operator="between">
      <formula>-350</formula>
      <formula>-1</formula>
    </cfRule>
  </conditionalFormatting>
  <conditionalFormatting sqref="AE998">
    <cfRule type="cellIs" dxfId="1417" priority="1571" stopIfTrue="1" operator="between">
      <formula>-0.15</formula>
      <formula>-0.0001</formula>
    </cfRule>
  </conditionalFormatting>
  <conditionalFormatting sqref="AH998:AI998">
    <cfRule type="cellIs" dxfId="1416" priority="1570" stopIfTrue="1" operator="between">
      <formula>-0.15</formula>
      <formula>0.005</formula>
    </cfRule>
  </conditionalFormatting>
  <conditionalFormatting sqref="AE1003">
    <cfRule type="cellIs" dxfId="1415" priority="1558" stopIfTrue="1" operator="between">
      <formula>-0.15</formula>
      <formula>-0.0001</formula>
    </cfRule>
  </conditionalFormatting>
  <conditionalFormatting sqref="AH1003:AI1003">
    <cfRule type="cellIs" dxfId="1414" priority="1557" stopIfTrue="1" operator="between">
      <formula>-0.15</formula>
      <formula>0.005</formula>
    </cfRule>
  </conditionalFormatting>
  <conditionalFormatting sqref="N1003">
    <cfRule type="cellIs" dxfId="1413" priority="1556" stopIfTrue="1" operator="between">
      <formula>-350</formula>
      <formula>-1</formula>
    </cfRule>
  </conditionalFormatting>
  <conditionalFormatting sqref="AE1023">
    <cfRule type="cellIs" dxfId="1412" priority="1566" stopIfTrue="1" operator="between">
      <formula>-0.15</formula>
      <formula>-0.0001</formula>
    </cfRule>
  </conditionalFormatting>
  <conditionalFormatting sqref="AH1023:AI1023">
    <cfRule type="cellIs" dxfId="1411" priority="1565" stopIfTrue="1" operator="between">
      <formula>-0.15</formula>
      <formula>0.005</formula>
    </cfRule>
  </conditionalFormatting>
  <conditionalFormatting sqref="N1023">
    <cfRule type="cellIs" dxfId="1410" priority="1564" stopIfTrue="1" operator="between">
      <formula>-350</formula>
      <formula>-1</formula>
    </cfRule>
  </conditionalFormatting>
  <conditionalFormatting sqref="AE1004">
    <cfRule type="cellIs" dxfId="1409" priority="1563" stopIfTrue="1" operator="between">
      <formula>-0.15</formula>
      <formula>-0.0001</formula>
    </cfRule>
  </conditionalFormatting>
  <conditionalFormatting sqref="AH1004:AI1004">
    <cfRule type="cellIs" dxfId="1408" priority="1562" stopIfTrue="1" operator="between">
      <formula>-0.15</formula>
      <formula>0.005</formula>
    </cfRule>
  </conditionalFormatting>
  <conditionalFormatting sqref="N1001">
    <cfRule type="cellIs" dxfId="1407" priority="1561" stopIfTrue="1" operator="between">
      <formula>-350</formula>
      <formula>-1</formula>
    </cfRule>
  </conditionalFormatting>
  <conditionalFormatting sqref="AE1001">
    <cfRule type="cellIs" dxfId="1406" priority="1560" stopIfTrue="1" operator="between">
      <formula>-0.15</formula>
      <formula>-0.0001</formula>
    </cfRule>
  </conditionalFormatting>
  <conditionalFormatting sqref="AH1001:AI1001">
    <cfRule type="cellIs" dxfId="1405" priority="1559" stopIfTrue="1" operator="between">
      <formula>-0.15</formula>
      <formula>0.005</formula>
    </cfRule>
  </conditionalFormatting>
  <conditionalFormatting sqref="AE1017">
    <cfRule type="cellIs" dxfId="1404" priority="1539" stopIfTrue="1" operator="between">
      <formula>-0.15</formula>
      <formula>-0.0001</formula>
    </cfRule>
  </conditionalFormatting>
  <conditionalFormatting sqref="AH1017:AI1017">
    <cfRule type="cellIs" dxfId="1403" priority="1538" stopIfTrue="1" operator="between">
      <formula>-0.15</formula>
      <formula>0.005</formula>
    </cfRule>
  </conditionalFormatting>
  <conditionalFormatting sqref="N1017">
    <cfRule type="cellIs" dxfId="1402" priority="1537" stopIfTrue="1" operator="between">
      <formula>-350</formula>
      <formula>-1</formula>
    </cfRule>
  </conditionalFormatting>
  <conditionalFormatting sqref="AE1002">
    <cfRule type="cellIs" dxfId="1401" priority="1555" stopIfTrue="1" operator="between">
      <formula>-0.15</formula>
      <formula>-0.0001</formula>
    </cfRule>
  </conditionalFormatting>
  <conditionalFormatting sqref="AH1002:AI1002">
    <cfRule type="cellIs" dxfId="1400" priority="1554" stopIfTrue="1" operator="between">
      <formula>-0.15</formula>
      <formula>0.005</formula>
    </cfRule>
  </conditionalFormatting>
  <conditionalFormatting sqref="N1002">
    <cfRule type="cellIs" dxfId="1399" priority="1553" stopIfTrue="1" operator="between">
      <formula>-350</formula>
      <formula>-1</formula>
    </cfRule>
  </conditionalFormatting>
  <conditionalFormatting sqref="AE1021">
    <cfRule type="cellIs" dxfId="1398" priority="1552" stopIfTrue="1" operator="between">
      <formula>-0.15</formula>
      <formula>-0.0001</formula>
    </cfRule>
  </conditionalFormatting>
  <conditionalFormatting sqref="AH1021:AI1021">
    <cfRule type="cellIs" dxfId="1397" priority="1551" stopIfTrue="1" operator="between">
      <formula>-0.15</formula>
      <formula>0.005</formula>
    </cfRule>
  </conditionalFormatting>
  <conditionalFormatting sqref="N1019">
    <cfRule type="cellIs" dxfId="1396" priority="1550" stopIfTrue="1" operator="between">
      <formula>-350</formula>
      <formula>-1</formula>
    </cfRule>
  </conditionalFormatting>
  <conditionalFormatting sqref="AE1019">
    <cfRule type="cellIs" dxfId="1395" priority="1549" stopIfTrue="1" operator="between">
      <formula>-0.15</formula>
      <formula>-0.0001</formula>
    </cfRule>
  </conditionalFormatting>
  <conditionalFormatting sqref="AH1019:AI1019">
    <cfRule type="cellIs" dxfId="1394" priority="1548" stopIfTrue="1" operator="between">
      <formula>-0.15</formula>
      <formula>0.005</formula>
    </cfRule>
  </conditionalFormatting>
  <conditionalFormatting sqref="AE1020">
    <cfRule type="cellIs" dxfId="1393" priority="1547" stopIfTrue="1" operator="between">
      <formula>-0.15</formula>
      <formula>-0.0001</formula>
    </cfRule>
  </conditionalFormatting>
  <conditionalFormatting sqref="AH1020:AI1020">
    <cfRule type="cellIs" dxfId="1392" priority="1546" stopIfTrue="1" operator="between">
      <formula>-0.15</formula>
      <formula>0.005</formula>
    </cfRule>
  </conditionalFormatting>
  <conditionalFormatting sqref="N1020">
    <cfRule type="cellIs" dxfId="1391" priority="1545" stopIfTrue="1" operator="between">
      <formula>-350</formula>
      <formula>-1</formula>
    </cfRule>
  </conditionalFormatting>
  <conditionalFormatting sqref="AE1018">
    <cfRule type="cellIs" dxfId="1390" priority="1544" stopIfTrue="1" operator="between">
      <formula>-0.15</formula>
      <formula>-0.0001</formula>
    </cfRule>
  </conditionalFormatting>
  <conditionalFormatting sqref="AH1018:AI1018">
    <cfRule type="cellIs" dxfId="1389" priority="1543" stopIfTrue="1" operator="between">
      <formula>-0.15</formula>
      <formula>0.005</formula>
    </cfRule>
  </conditionalFormatting>
  <conditionalFormatting sqref="N1015">
    <cfRule type="cellIs" dxfId="1388" priority="1542" stopIfTrue="1" operator="between">
      <formula>-350</formula>
      <formula>-1</formula>
    </cfRule>
  </conditionalFormatting>
  <conditionalFormatting sqref="AE1015">
    <cfRule type="cellIs" dxfId="1387" priority="1541" stopIfTrue="1" operator="between">
      <formula>-0.15</formula>
      <formula>-0.0001</formula>
    </cfRule>
  </conditionalFormatting>
  <conditionalFormatting sqref="AH1015:AI1015">
    <cfRule type="cellIs" dxfId="1386" priority="1540" stopIfTrue="1" operator="between">
      <formula>-0.15</formula>
      <formula>0.005</formula>
    </cfRule>
  </conditionalFormatting>
  <conditionalFormatting sqref="AE1013">
    <cfRule type="cellIs" dxfId="1385" priority="1517" stopIfTrue="1" operator="between">
      <formula>-0.15</formula>
      <formula>-0.0001</formula>
    </cfRule>
  </conditionalFormatting>
  <conditionalFormatting sqref="AH1013:AI1013">
    <cfRule type="cellIs" dxfId="1384" priority="1516" stopIfTrue="1" operator="between">
      <formula>-0.15</formula>
      <formula>0.005</formula>
    </cfRule>
  </conditionalFormatting>
  <conditionalFormatting sqref="N1013">
    <cfRule type="cellIs" dxfId="1383" priority="1515" stopIfTrue="1" operator="between">
      <formula>-350</formula>
      <formula>-1</formula>
    </cfRule>
  </conditionalFormatting>
  <conditionalFormatting sqref="AE1016">
    <cfRule type="cellIs" dxfId="1382" priority="1536" stopIfTrue="1" operator="between">
      <formula>-0.15</formula>
      <formula>-0.0001</formula>
    </cfRule>
  </conditionalFormatting>
  <conditionalFormatting sqref="AH1016:AI1016">
    <cfRule type="cellIs" dxfId="1381" priority="1535" stopIfTrue="1" operator="between">
      <formula>-0.15</formula>
      <formula>0.005</formula>
    </cfRule>
  </conditionalFormatting>
  <conditionalFormatting sqref="N1016">
    <cfRule type="cellIs" dxfId="1380" priority="1534" stopIfTrue="1" operator="between">
      <formula>-350</formula>
      <formula>-1</formula>
    </cfRule>
  </conditionalFormatting>
  <conditionalFormatting sqref="AE1010">
    <cfRule type="cellIs" dxfId="1379" priority="1533" stopIfTrue="1" operator="between">
      <formula>-0.15</formula>
      <formula>-0.0001</formula>
    </cfRule>
  </conditionalFormatting>
  <conditionalFormatting sqref="AH1010:AI1010">
    <cfRule type="cellIs" dxfId="1378" priority="1532" stopIfTrue="1" operator="between">
      <formula>-0.15</formula>
      <formula>0.005</formula>
    </cfRule>
  </conditionalFormatting>
  <conditionalFormatting sqref="N1008">
    <cfRule type="cellIs" dxfId="1377" priority="1531" stopIfTrue="1" operator="between">
      <formula>-350</formula>
      <formula>-1</formula>
    </cfRule>
  </conditionalFormatting>
  <conditionalFormatting sqref="AE1008">
    <cfRule type="cellIs" dxfId="1376" priority="1530" stopIfTrue="1" operator="between">
      <formula>-0.15</formula>
      <formula>-0.0001</formula>
    </cfRule>
  </conditionalFormatting>
  <conditionalFormatting sqref="AH1008:AI1008">
    <cfRule type="cellIs" dxfId="1375" priority="1529" stopIfTrue="1" operator="between">
      <formula>-0.15</formula>
      <formula>0.005</formula>
    </cfRule>
  </conditionalFormatting>
  <conditionalFormatting sqref="AE1009">
    <cfRule type="cellIs" dxfId="1374" priority="1525" stopIfTrue="1" operator="between">
      <formula>-0.15</formula>
      <formula>-0.0001</formula>
    </cfRule>
  </conditionalFormatting>
  <conditionalFormatting sqref="AH1009:AI1009">
    <cfRule type="cellIs" dxfId="1373" priority="1524" stopIfTrue="1" operator="between">
      <formula>-0.15</formula>
      <formula>0.005</formula>
    </cfRule>
  </conditionalFormatting>
  <conditionalFormatting sqref="N1009">
    <cfRule type="cellIs" dxfId="1372" priority="1523" stopIfTrue="1" operator="between">
      <formula>-350</formula>
      <formula>-1</formula>
    </cfRule>
  </conditionalFormatting>
  <conditionalFormatting sqref="AE1014">
    <cfRule type="cellIs" dxfId="1371" priority="1522" stopIfTrue="1" operator="between">
      <formula>-0.15</formula>
      <formula>-0.0001</formula>
    </cfRule>
  </conditionalFormatting>
  <conditionalFormatting sqref="AH1014:AI1014">
    <cfRule type="cellIs" dxfId="1370" priority="1521" stopIfTrue="1" operator="between">
      <formula>-0.15</formula>
      <formula>0.005</formula>
    </cfRule>
  </conditionalFormatting>
  <conditionalFormatting sqref="N1011">
    <cfRule type="cellIs" dxfId="1369" priority="1520" stopIfTrue="1" operator="between">
      <formula>-350</formula>
      <formula>-1</formula>
    </cfRule>
  </conditionalFormatting>
  <conditionalFormatting sqref="AE1011">
    <cfRule type="cellIs" dxfId="1368" priority="1519" stopIfTrue="1" operator="between">
      <formula>-0.15</formula>
      <formula>-0.0001</formula>
    </cfRule>
  </conditionalFormatting>
  <conditionalFormatting sqref="AH1011:AI1011">
    <cfRule type="cellIs" dxfId="1367" priority="1518" stopIfTrue="1" operator="between">
      <formula>-0.15</formula>
      <formula>0.005</formula>
    </cfRule>
  </conditionalFormatting>
  <conditionalFormatting sqref="AE1012">
    <cfRule type="cellIs" dxfId="1366" priority="1514" stopIfTrue="1" operator="between">
      <formula>-0.15</formula>
      <formula>-0.0001</formula>
    </cfRule>
  </conditionalFormatting>
  <conditionalFormatting sqref="AH1012:AI1012">
    <cfRule type="cellIs" dxfId="1365" priority="1513" stopIfTrue="1" operator="between">
      <formula>-0.15</formula>
      <formula>0.005</formula>
    </cfRule>
  </conditionalFormatting>
  <conditionalFormatting sqref="N1012">
    <cfRule type="cellIs" dxfId="1364" priority="1512" stopIfTrue="1" operator="between">
      <formula>-350</formula>
      <formula>-1</formula>
    </cfRule>
  </conditionalFormatting>
  <conditionalFormatting sqref="AE1007">
    <cfRule type="cellIs" dxfId="1363" priority="1511" stopIfTrue="1" operator="between">
      <formula>-0.15</formula>
      <formula>-0.0001</formula>
    </cfRule>
  </conditionalFormatting>
  <conditionalFormatting sqref="AH1007:AI1007">
    <cfRule type="cellIs" dxfId="1362" priority="1510" stopIfTrue="1" operator="between">
      <formula>-0.15</formula>
      <formula>0.005</formula>
    </cfRule>
  </conditionalFormatting>
  <conditionalFormatting sqref="N1005">
    <cfRule type="cellIs" dxfId="1361" priority="1509" stopIfTrue="1" operator="between">
      <formula>-350</formula>
      <formula>-1</formula>
    </cfRule>
  </conditionalFormatting>
  <conditionalFormatting sqref="AE1005">
    <cfRule type="cellIs" dxfId="1360" priority="1508" stopIfTrue="1" operator="between">
      <formula>-0.15</formula>
      <formula>-0.0001</formula>
    </cfRule>
  </conditionalFormatting>
  <conditionalFormatting sqref="AH1005:AI1005">
    <cfRule type="cellIs" dxfId="1359" priority="1507" stopIfTrue="1" operator="between">
      <formula>-0.15</formula>
      <formula>0.005</formula>
    </cfRule>
  </conditionalFormatting>
  <conditionalFormatting sqref="AE1006">
    <cfRule type="cellIs" dxfId="1358" priority="1506" stopIfTrue="1" operator="between">
      <formula>-0.15</formula>
      <formula>-0.0001</formula>
    </cfRule>
  </conditionalFormatting>
  <conditionalFormatting sqref="AH1006:AI1006">
    <cfRule type="cellIs" dxfId="1357" priority="1505" stopIfTrue="1" operator="between">
      <formula>-0.15</formula>
      <formula>0.005</formula>
    </cfRule>
  </conditionalFormatting>
  <conditionalFormatting sqref="N1006">
    <cfRule type="cellIs" dxfId="1356" priority="1504" stopIfTrue="1" operator="between">
      <formula>-350</formula>
      <formula>-1</formula>
    </cfRule>
  </conditionalFormatting>
  <conditionalFormatting sqref="AH1495:AI1495">
    <cfRule type="cellIs" dxfId="1355" priority="1502" stopIfTrue="1" operator="between">
      <formula>-0.15</formula>
      <formula>0.005</formula>
    </cfRule>
  </conditionalFormatting>
  <conditionalFormatting sqref="N1495">
    <cfRule type="cellIs" dxfId="1354" priority="1501" stopIfTrue="1" operator="between">
      <formula>-350</formula>
      <formula>-1</formula>
    </cfRule>
  </conditionalFormatting>
  <conditionalFormatting sqref="AE1495">
    <cfRule type="cellIs" dxfId="1353" priority="1503" stopIfTrue="1" operator="between">
      <formula>-0.15</formula>
      <formula>-0.0001</formula>
    </cfRule>
  </conditionalFormatting>
  <conditionalFormatting sqref="AH1496:AI1496">
    <cfRule type="cellIs" dxfId="1352" priority="1499" stopIfTrue="1" operator="between">
      <formula>-0.15</formula>
      <formula>0.005</formula>
    </cfRule>
  </conditionalFormatting>
  <conditionalFormatting sqref="N1496">
    <cfRule type="cellIs" dxfId="1351" priority="1498" stopIfTrue="1" operator="between">
      <formula>-350</formula>
      <formula>-1</formula>
    </cfRule>
  </conditionalFormatting>
  <conditionalFormatting sqref="AE1496">
    <cfRule type="cellIs" dxfId="1350" priority="1500" stopIfTrue="1" operator="between">
      <formula>-0.15</formula>
      <formula>-0.0001</formula>
    </cfRule>
  </conditionalFormatting>
  <conditionalFormatting sqref="AE1507">
    <cfRule type="cellIs" dxfId="1349" priority="1497" stopIfTrue="1" operator="between">
      <formula>-0.15</formula>
      <formula>-0.0001</formula>
    </cfRule>
  </conditionalFormatting>
  <conditionalFormatting sqref="AH1507:AI1507">
    <cfRule type="cellIs" dxfId="1348" priority="1496" stopIfTrue="1" operator="between">
      <formula>-0.15</formula>
      <formula>0.005</formula>
    </cfRule>
  </conditionalFormatting>
  <conditionalFormatting sqref="N1507">
    <cfRule type="cellIs" dxfId="1347" priority="1495" stopIfTrue="1" operator="between">
      <formula>-350</formula>
      <formula>-1</formula>
    </cfRule>
  </conditionalFormatting>
  <conditionalFormatting sqref="AE1184">
    <cfRule type="cellIs" dxfId="1346" priority="1494" stopIfTrue="1" operator="between">
      <formula>-0.15</formula>
      <formula>-0.0001</formula>
    </cfRule>
  </conditionalFormatting>
  <conditionalFormatting sqref="AH1184:AI1184">
    <cfRule type="cellIs" dxfId="1345" priority="1493" stopIfTrue="1" operator="between">
      <formula>-0.15</formula>
      <formula>0.005</formula>
    </cfRule>
  </conditionalFormatting>
  <conditionalFormatting sqref="N1184">
    <cfRule type="cellIs" dxfId="1344" priority="1492" stopIfTrue="1" operator="between">
      <formula>-350</formula>
      <formula>-1</formula>
    </cfRule>
  </conditionalFormatting>
  <conditionalFormatting sqref="AE1185">
    <cfRule type="cellIs" dxfId="1343" priority="1491" stopIfTrue="1" operator="between">
      <formula>-0.15</formula>
      <formula>-0.0001</formula>
    </cfRule>
  </conditionalFormatting>
  <conditionalFormatting sqref="AH1185:AI1185">
    <cfRule type="cellIs" dxfId="1342" priority="1490" stopIfTrue="1" operator="between">
      <formula>-0.15</formula>
      <formula>0.005</formula>
    </cfRule>
  </conditionalFormatting>
  <conditionalFormatting sqref="N1185">
    <cfRule type="cellIs" dxfId="1341" priority="1489" stopIfTrue="1" operator="between">
      <formula>-350</formula>
      <formula>-1</formula>
    </cfRule>
  </conditionalFormatting>
  <conditionalFormatting sqref="AE2124">
    <cfRule type="cellIs" dxfId="1340" priority="1488" stopIfTrue="1" operator="between">
      <formula>-0.15</formula>
      <formula>-0.0001</formula>
    </cfRule>
  </conditionalFormatting>
  <conditionalFormatting sqref="AH2124:AI2124">
    <cfRule type="cellIs" dxfId="1339" priority="1487" stopIfTrue="1" operator="between">
      <formula>-0.15</formula>
      <formula>0.005</formula>
    </cfRule>
  </conditionalFormatting>
  <conditionalFormatting sqref="N2124">
    <cfRule type="cellIs" dxfId="1338" priority="1486" stopIfTrue="1" operator="between">
      <formula>-350</formula>
      <formula>-1</formula>
    </cfRule>
  </conditionalFormatting>
  <conditionalFormatting sqref="N418">
    <cfRule type="cellIs" dxfId="1337" priority="1485" stopIfTrue="1" operator="between">
      <formula>-350</formula>
      <formula>-1</formula>
    </cfRule>
  </conditionalFormatting>
  <conditionalFormatting sqref="AE418">
    <cfRule type="cellIs" dxfId="1336" priority="1484" stopIfTrue="1" operator="between">
      <formula>-0.15</formula>
      <formula>-0.0001</formula>
    </cfRule>
  </conditionalFormatting>
  <conditionalFormatting sqref="AH418:AI418">
    <cfRule type="cellIs" dxfId="1335" priority="1483" stopIfTrue="1" operator="between">
      <formula>-0.15</formula>
      <formula>0.005</formula>
    </cfRule>
  </conditionalFormatting>
  <conditionalFormatting sqref="N421">
    <cfRule type="cellIs" dxfId="1334" priority="1482" stopIfTrue="1" operator="between">
      <formula>-350</formula>
      <formula>-1</formula>
    </cfRule>
  </conditionalFormatting>
  <conditionalFormatting sqref="AE421">
    <cfRule type="cellIs" dxfId="1333" priority="1481" stopIfTrue="1" operator="between">
      <formula>-0.15</formula>
      <formula>-0.0001</formula>
    </cfRule>
  </conditionalFormatting>
  <conditionalFormatting sqref="AH421:AI421">
    <cfRule type="cellIs" dxfId="1332" priority="1480" stopIfTrue="1" operator="between">
      <formula>-0.15</formula>
      <formula>0.005</formula>
    </cfRule>
  </conditionalFormatting>
  <conditionalFormatting sqref="AE458">
    <cfRule type="cellIs" dxfId="1331" priority="1479" stopIfTrue="1" operator="between">
      <formula>-0.15</formula>
      <formula>-0.0001</formula>
    </cfRule>
  </conditionalFormatting>
  <conditionalFormatting sqref="AH458:AI458">
    <cfRule type="cellIs" dxfId="1330" priority="1478" stopIfTrue="1" operator="between">
      <formula>-0.15</formula>
      <formula>0.005</formula>
    </cfRule>
  </conditionalFormatting>
  <conditionalFormatting sqref="N458">
    <cfRule type="cellIs" dxfId="1329" priority="1477" stopIfTrue="1" operator="between">
      <formula>-350</formula>
      <formula>-1</formula>
    </cfRule>
  </conditionalFormatting>
  <conditionalFormatting sqref="AE457">
    <cfRule type="cellIs" dxfId="1328" priority="1476" stopIfTrue="1" operator="between">
      <formula>-0.15</formula>
      <formula>-0.0001</formula>
    </cfRule>
  </conditionalFormatting>
  <conditionalFormatting sqref="AH457:AI457">
    <cfRule type="cellIs" dxfId="1327" priority="1475" stopIfTrue="1" operator="between">
      <formula>-0.15</formula>
      <formula>0.005</formula>
    </cfRule>
  </conditionalFormatting>
  <conditionalFormatting sqref="N457">
    <cfRule type="cellIs" dxfId="1326" priority="1474" stopIfTrue="1" operator="between">
      <formula>-350</formula>
      <formula>-1</formula>
    </cfRule>
  </conditionalFormatting>
  <conditionalFormatting sqref="AE455">
    <cfRule type="cellIs" dxfId="1325" priority="1473" stopIfTrue="1" operator="between">
      <formula>-0.15</formula>
      <formula>-0.0001</formula>
    </cfRule>
  </conditionalFormatting>
  <conditionalFormatting sqref="AH455:AI455">
    <cfRule type="cellIs" dxfId="1324" priority="1472" stopIfTrue="1" operator="between">
      <formula>-0.15</formula>
      <formula>0.005</formula>
    </cfRule>
  </conditionalFormatting>
  <conditionalFormatting sqref="AE451">
    <cfRule type="cellIs" dxfId="1323" priority="1471" stopIfTrue="1" operator="between">
      <formula>-0.15</formula>
      <formula>-0.0001</formula>
    </cfRule>
  </conditionalFormatting>
  <conditionalFormatting sqref="AH451:AI451">
    <cfRule type="cellIs" dxfId="1322" priority="1470" stopIfTrue="1" operator="between">
      <formula>-0.15</formula>
      <formula>0.005</formula>
    </cfRule>
  </conditionalFormatting>
  <conditionalFormatting sqref="N451">
    <cfRule type="cellIs" dxfId="1321" priority="1469" stopIfTrue="1" operator="between">
      <formula>-350</formula>
      <formula>-1</formula>
    </cfRule>
  </conditionalFormatting>
  <conditionalFormatting sqref="AE454">
    <cfRule type="cellIs" dxfId="1320" priority="1468" stopIfTrue="1" operator="between">
      <formula>-0.15</formula>
      <formula>-0.0001</formula>
    </cfRule>
  </conditionalFormatting>
  <conditionalFormatting sqref="AH454:AI454">
    <cfRule type="cellIs" dxfId="1319" priority="1467" stopIfTrue="1" operator="between">
      <formula>-0.15</formula>
      <formula>0.005</formula>
    </cfRule>
  </conditionalFormatting>
  <conditionalFormatting sqref="N454">
    <cfRule type="cellIs" dxfId="1318" priority="1466" stopIfTrue="1" operator="between">
      <formula>-350</formula>
      <formula>-1</formula>
    </cfRule>
  </conditionalFormatting>
  <conditionalFormatting sqref="AE453">
    <cfRule type="cellIs" dxfId="1317" priority="1465" stopIfTrue="1" operator="between">
      <formula>-0.15</formula>
      <formula>-0.0001</formula>
    </cfRule>
  </conditionalFormatting>
  <conditionalFormatting sqref="AH453:AI453">
    <cfRule type="cellIs" dxfId="1316" priority="1464" stopIfTrue="1" operator="between">
      <formula>-0.15</formula>
      <formula>0.005</formula>
    </cfRule>
  </conditionalFormatting>
  <conditionalFormatting sqref="N453">
    <cfRule type="cellIs" dxfId="1315" priority="1463" stopIfTrue="1" operator="between">
      <formula>-350</formula>
      <formula>-1</formula>
    </cfRule>
  </conditionalFormatting>
  <conditionalFormatting sqref="AE452">
    <cfRule type="cellIs" dxfId="1314" priority="1462" stopIfTrue="1" operator="between">
      <formula>-0.15</formula>
      <formula>-0.0001</formula>
    </cfRule>
  </conditionalFormatting>
  <conditionalFormatting sqref="AH452:AI452">
    <cfRule type="cellIs" dxfId="1313" priority="1461" stopIfTrue="1" operator="between">
      <formula>-0.15</formula>
      <formula>0.005</formula>
    </cfRule>
  </conditionalFormatting>
  <conditionalFormatting sqref="N452">
    <cfRule type="cellIs" dxfId="1312" priority="1460" stopIfTrue="1" operator="between">
      <formula>-350</formula>
      <formula>-1</formula>
    </cfRule>
  </conditionalFormatting>
  <conditionalFormatting sqref="AE520">
    <cfRule type="cellIs" dxfId="1311" priority="1458" stopIfTrue="1" operator="between">
      <formula>-0.15</formula>
      <formula>-0.0001</formula>
    </cfRule>
  </conditionalFormatting>
  <conditionalFormatting sqref="AH520:AI520">
    <cfRule type="cellIs" dxfId="1310" priority="1457" stopIfTrue="1" operator="between">
      <formula>-0.15</formula>
      <formula>0.005</formula>
    </cfRule>
  </conditionalFormatting>
  <conditionalFormatting sqref="N520">
    <cfRule type="cellIs" dxfId="1309" priority="1459" stopIfTrue="1" operator="between">
      <formula>-350</formula>
      <formula>-1</formula>
    </cfRule>
  </conditionalFormatting>
  <conditionalFormatting sqref="AH516:AI516">
    <cfRule type="cellIs" dxfId="1308" priority="1454" stopIfTrue="1" operator="between">
      <formula>-0.15</formula>
      <formula>0.005</formula>
    </cfRule>
  </conditionalFormatting>
  <conditionalFormatting sqref="AE516">
    <cfRule type="cellIs" dxfId="1307" priority="1455" stopIfTrue="1" operator="between">
      <formula>-0.15</formula>
      <formula>-0.0001</formula>
    </cfRule>
  </conditionalFormatting>
  <conditionalFormatting sqref="N516">
    <cfRule type="cellIs" dxfId="1306" priority="1456" stopIfTrue="1" operator="between">
      <formula>-350</formula>
      <formula>-1</formula>
    </cfRule>
  </conditionalFormatting>
  <conditionalFormatting sqref="AH1512:AI1512">
    <cfRule type="cellIs" dxfId="1305" priority="1441" stopIfTrue="1" operator="between">
      <formula>-0.15</formula>
      <formula>0.005</formula>
    </cfRule>
  </conditionalFormatting>
  <conditionalFormatting sqref="AE1512">
    <cfRule type="cellIs" dxfId="1304" priority="1442" stopIfTrue="1" operator="between">
      <formula>-0.15</formula>
      <formula>-0.0001</formula>
    </cfRule>
  </conditionalFormatting>
  <conditionalFormatting sqref="N1512">
    <cfRule type="cellIs" dxfId="1303" priority="1440" stopIfTrue="1" operator="between">
      <formula>-350</formula>
      <formula>-1</formula>
    </cfRule>
  </conditionalFormatting>
  <conditionalFormatting sqref="AH1588:AI1588">
    <cfRule type="cellIs" dxfId="1302" priority="1413" stopIfTrue="1" operator="between">
      <formula>-0.15</formula>
      <formula>0.005</formula>
    </cfRule>
  </conditionalFormatting>
  <conditionalFormatting sqref="AE1588">
    <cfRule type="cellIs" dxfId="1301" priority="1414" stopIfTrue="1" operator="between">
      <formula>-0.15</formula>
      <formula>-0.0001</formula>
    </cfRule>
  </conditionalFormatting>
  <conditionalFormatting sqref="N1588">
    <cfRule type="cellIs" dxfId="1300" priority="1412" stopIfTrue="1" operator="between">
      <formula>-350</formula>
      <formula>-1</formula>
    </cfRule>
  </conditionalFormatting>
  <conditionalFormatting sqref="AH1522:AI1522">
    <cfRule type="cellIs" dxfId="1299" priority="1446" stopIfTrue="1" operator="between">
      <formula>-0.15</formula>
      <formula>0.005</formula>
    </cfRule>
  </conditionalFormatting>
  <conditionalFormatting sqref="AE1522">
    <cfRule type="cellIs" dxfId="1298" priority="1447" stopIfTrue="1" operator="between">
      <formula>-0.15</formula>
      <formula>-0.0001</formula>
    </cfRule>
  </conditionalFormatting>
  <conditionalFormatting sqref="N1522">
    <cfRule type="cellIs" dxfId="1297" priority="1445" stopIfTrue="1" operator="between">
      <formula>-350</formula>
      <formula>-1</formula>
    </cfRule>
  </conditionalFormatting>
  <conditionalFormatting sqref="AH1517:AI1517">
    <cfRule type="cellIs" dxfId="1296" priority="1443" stopIfTrue="1" operator="between">
      <formula>-0.15</formula>
      <formula>0.005</formula>
    </cfRule>
  </conditionalFormatting>
  <conditionalFormatting sqref="AE1516">
    <cfRule type="cellIs" dxfId="1295" priority="1439" stopIfTrue="1" operator="between">
      <formula>-0.15</formula>
      <formula>-0.0001</formula>
    </cfRule>
  </conditionalFormatting>
  <conditionalFormatting sqref="AH1516:AI1516">
    <cfRule type="cellIs" dxfId="1294" priority="1438" stopIfTrue="1" operator="between">
      <formula>-0.15</formula>
      <formula>0.005</formula>
    </cfRule>
  </conditionalFormatting>
  <conditionalFormatting sqref="AE1517">
    <cfRule type="cellIs" dxfId="1293" priority="1444" stopIfTrue="1" operator="between">
      <formula>-0.15</formula>
      <formula>-0.0001</formula>
    </cfRule>
  </conditionalFormatting>
  <conditionalFormatting sqref="AH1518:AI1518">
    <cfRule type="cellIs" dxfId="1292" priority="1424" stopIfTrue="1" operator="between">
      <formula>-0.15</formula>
      <formula>0.005</formula>
    </cfRule>
  </conditionalFormatting>
  <conditionalFormatting sqref="N1516">
    <cfRule type="cellIs" dxfId="1291" priority="1437" stopIfTrue="1" operator="between">
      <formula>-350</formula>
      <formula>-1</formula>
    </cfRule>
  </conditionalFormatting>
  <conditionalFormatting sqref="AE1518">
    <cfRule type="cellIs" dxfId="1290" priority="1425" stopIfTrue="1" operator="between">
      <formula>-0.15</formula>
      <formula>-0.0001</formula>
    </cfRule>
  </conditionalFormatting>
  <conditionalFormatting sqref="N1518">
    <cfRule type="cellIs" dxfId="1289" priority="1423" stopIfTrue="1" operator="between">
      <formula>-350</formula>
      <formula>-1</formula>
    </cfRule>
  </conditionalFormatting>
  <conditionalFormatting sqref="AH1515:AI1515">
    <cfRule type="cellIs" dxfId="1288" priority="1435" stopIfTrue="1" operator="between">
      <formula>-0.15</formula>
      <formula>0.005</formula>
    </cfRule>
  </conditionalFormatting>
  <conditionalFormatting sqref="AE1515">
    <cfRule type="cellIs" dxfId="1287" priority="1436" stopIfTrue="1" operator="between">
      <formula>-0.15</formula>
      <formula>-0.0001</formula>
    </cfRule>
  </conditionalFormatting>
  <conditionalFormatting sqref="N1515">
    <cfRule type="cellIs" dxfId="1286" priority="1434" stopIfTrue="1" operator="between">
      <formula>-350</formula>
      <formula>-1</formula>
    </cfRule>
  </conditionalFormatting>
  <conditionalFormatting sqref="AH1514:AI1514">
    <cfRule type="cellIs" dxfId="1285" priority="1432" stopIfTrue="1" operator="between">
      <formula>-0.15</formula>
      <formula>0.005</formula>
    </cfRule>
  </conditionalFormatting>
  <conditionalFormatting sqref="AE1514">
    <cfRule type="cellIs" dxfId="1284" priority="1433" stopIfTrue="1" operator="between">
      <formula>-0.15</formula>
      <formula>-0.0001</formula>
    </cfRule>
  </conditionalFormatting>
  <conditionalFormatting sqref="N1514">
    <cfRule type="cellIs" dxfId="1283" priority="1431" stopIfTrue="1" operator="between">
      <formula>-350</formula>
      <formula>-1</formula>
    </cfRule>
  </conditionalFormatting>
  <conditionalFormatting sqref="AH1513:AI1513">
    <cfRule type="cellIs" dxfId="1282" priority="1429" stopIfTrue="1" operator="between">
      <formula>-0.15</formula>
      <formula>0.005</formula>
    </cfRule>
  </conditionalFormatting>
  <conditionalFormatting sqref="AE1513">
    <cfRule type="cellIs" dxfId="1281" priority="1430" stopIfTrue="1" operator="between">
      <formula>-0.15</formula>
      <formula>-0.0001</formula>
    </cfRule>
  </conditionalFormatting>
  <conditionalFormatting sqref="N1513">
    <cfRule type="cellIs" dxfId="1280" priority="1428" stopIfTrue="1" operator="between">
      <formula>-350</formula>
      <formula>-1</formula>
    </cfRule>
  </conditionalFormatting>
  <conditionalFormatting sqref="AH1520:AI1520">
    <cfRule type="cellIs" dxfId="1279" priority="1426" stopIfTrue="1" operator="between">
      <formula>-0.15</formula>
      <formula>0.005</formula>
    </cfRule>
  </conditionalFormatting>
  <conditionalFormatting sqref="AE1575">
    <cfRule type="cellIs" dxfId="1278" priority="1400" stopIfTrue="1" operator="between">
      <formula>-0.15</formula>
      <formula>-0.0001</formula>
    </cfRule>
  </conditionalFormatting>
  <conditionalFormatting sqref="AH1575:AI1575">
    <cfRule type="cellIs" dxfId="1277" priority="1399" stopIfTrue="1" operator="between">
      <formula>-0.15</formula>
      <formula>0.005</formula>
    </cfRule>
  </conditionalFormatting>
  <conditionalFormatting sqref="AE1520">
    <cfRule type="cellIs" dxfId="1276" priority="1427" stopIfTrue="1" operator="between">
      <formula>-0.15</formula>
      <formula>-0.0001</formula>
    </cfRule>
  </conditionalFormatting>
  <conditionalFormatting sqref="N1575">
    <cfRule type="cellIs" dxfId="1275" priority="1398" stopIfTrue="1" operator="between">
      <formula>-350</formula>
      <formula>-1</formula>
    </cfRule>
  </conditionalFormatting>
  <conditionalFormatting sqref="AH1519:AI1519">
    <cfRule type="cellIs" dxfId="1274" priority="1421" stopIfTrue="1" operator="between">
      <formula>-0.15</formula>
      <formula>0.005</formula>
    </cfRule>
  </conditionalFormatting>
  <conditionalFormatting sqref="AE1519">
    <cfRule type="cellIs" dxfId="1273" priority="1422" stopIfTrue="1" operator="between">
      <formula>-0.15</formula>
      <formula>-0.0001</formula>
    </cfRule>
  </conditionalFormatting>
  <conditionalFormatting sqref="N1519">
    <cfRule type="cellIs" dxfId="1272" priority="1420" stopIfTrue="1" operator="between">
      <formula>-350</formula>
      <formula>-1</formula>
    </cfRule>
  </conditionalFormatting>
  <conditionalFormatting sqref="AE1625">
    <cfRule type="cellIs" dxfId="1271" priority="1419" stopIfTrue="1" operator="between">
      <formula>-0.15</formula>
      <formula>-0.0001</formula>
    </cfRule>
  </conditionalFormatting>
  <conditionalFormatting sqref="AH1625:AI1625">
    <cfRule type="cellIs" dxfId="1270" priority="1418" stopIfTrue="1" operator="between">
      <formula>-0.15</formula>
      <formula>0.005</formula>
    </cfRule>
  </conditionalFormatting>
  <conditionalFormatting sqref="N1625">
    <cfRule type="cellIs" dxfId="1269" priority="1417" stopIfTrue="1" operator="between">
      <formula>-350</formula>
      <formula>-1</formula>
    </cfRule>
  </conditionalFormatting>
  <conditionalFormatting sqref="AE1580">
    <cfRule type="cellIs" dxfId="1268" priority="1386" stopIfTrue="1" operator="between">
      <formula>-0.15</formula>
      <formula>-0.0001</formula>
    </cfRule>
  </conditionalFormatting>
  <conditionalFormatting sqref="AE1581">
    <cfRule type="cellIs" dxfId="1267" priority="1383" stopIfTrue="1" operator="between">
      <formula>-0.15</formula>
      <formula>-0.0001</formula>
    </cfRule>
  </conditionalFormatting>
  <conditionalFormatting sqref="AH1581:AI1581">
    <cfRule type="cellIs" dxfId="1266" priority="1382" stopIfTrue="1" operator="between">
      <formula>-0.15</formula>
      <formula>0.005</formula>
    </cfRule>
  </conditionalFormatting>
  <conditionalFormatting sqref="N1581">
    <cfRule type="cellIs" dxfId="1265" priority="1381" stopIfTrue="1" operator="between">
      <formula>-350</formula>
      <formula>-1</formula>
    </cfRule>
  </conditionalFormatting>
  <conditionalFormatting sqref="AE1590">
    <cfRule type="cellIs" dxfId="1264" priority="1416" stopIfTrue="1" operator="between">
      <formula>-0.15</formula>
      <formula>-0.0001</formula>
    </cfRule>
  </conditionalFormatting>
  <conditionalFormatting sqref="AH1590:AI1590">
    <cfRule type="cellIs" dxfId="1263" priority="1415" stopIfTrue="1" operator="between">
      <formula>-0.15</formula>
      <formula>0.005</formula>
    </cfRule>
  </conditionalFormatting>
  <conditionalFormatting sqref="AH1580:AI1580">
    <cfRule type="cellIs" dxfId="1262" priority="1385" stopIfTrue="1" operator="between">
      <formula>-0.15</formula>
      <formula>0.005</formula>
    </cfRule>
  </conditionalFormatting>
  <conditionalFormatting sqref="N1580">
    <cfRule type="cellIs" dxfId="1261" priority="1384" stopIfTrue="1" operator="between">
      <formula>-350</formula>
      <formula>-1</formula>
    </cfRule>
  </conditionalFormatting>
  <conditionalFormatting sqref="AE1589">
    <cfRule type="cellIs" dxfId="1260" priority="1408" stopIfTrue="1" operator="between">
      <formula>-0.15</formula>
      <formula>-0.0001</formula>
    </cfRule>
  </conditionalFormatting>
  <conditionalFormatting sqref="AH1589:AI1589">
    <cfRule type="cellIs" dxfId="1259" priority="1407" stopIfTrue="1" operator="between">
      <formula>-0.15</formula>
      <formula>0.005</formula>
    </cfRule>
  </conditionalFormatting>
  <conditionalFormatting sqref="N1589">
    <cfRule type="cellIs" dxfId="1258" priority="1406" stopIfTrue="1" operator="between">
      <formula>-350</formula>
      <formula>-1</formula>
    </cfRule>
  </conditionalFormatting>
  <conditionalFormatting sqref="AE1579">
    <cfRule type="cellIs" dxfId="1257" priority="1402" stopIfTrue="1" operator="between">
      <formula>-0.15</formula>
      <formula>-0.0001</formula>
    </cfRule>
  </conditionalFormatting>
  <conditionalFormatting sqref="AH1579:AI1579">
    <cfRule type="cellIs" dxfId="1256" priority="1401" stopIfTrue="1" operator="between">
      <formula>-0.15</formula>
      <formula>0.005</formula>
    </cfRule>
  </conditionalFormatting>
  <conditionalFormatting sqref="N1584">
    <cfRule type="cellIs" dxfId="1255" priority="1373" stopIfTrue="1" operator="between">
      <formula>-350</formula>
      <formula>-1</formula>
    </cfRule>
  </conditionalFormatting>
  <conditionalFormatting sqref="AE1578">
    <cfRule type="cellIs" dxfId="1254" priority="1397" stopIfTrue="1" operator="between">
      <formula>-0.15</formula>
      <formula>-0.0001</formula>
    </cfRule>
  </conditionalFormatting>
  <conditionalFormatting sqref="AE1582">
    <cfRule type="cellIs" dxfId="1253" priority="1380" stopIfTrue="1" operator="between">
      <formula>-0.15</formula>
      <formula>-0.0001</formula>
    </cfRule>
  </conditionalFormatting>
  <conditionalFormatting sqref="AH1582:AI1582">
    <cfRule type="cellIs" dxfId="1252" priority="1379" stopIfTrue="1" operator="between">
      <formula>-0.15</formula>
      <formula>0.005</formula>
    </cfRule>
  </conditionalFormatting>
  <conditionalFormatting sqref="N1582">
    <cfRule type="cellIs" dxfId="1251" priority="1378" stopIfTrue="1" operator="between">
      <formula>-350</formula>
      <formula>-1</formula>
    </cfRule>
  </conditionalFormatting>
  <conditionalFormatting sqref="AE1584">
    <cfRule type="cellIs" dxfId="1250" priority="1375" stopIfTrue="1" operator="between">
      <formula>-0.15</formula>
      <formula>-0.0001</formula>
    </cfRule>
  </conditionalFormatting>
  <conditionalFormatting sqref="AH1584:AI1584">
    <cfRule type="cellIs" dxfId="1249" priority="1374" stopIfTrue="1" operator="between">
      <formula>-0.15</formula>
      <formula>0.005</formula>
    </cfRule>
  </conditionalFormatting>
  <conditionalFormatting sqref="AH1578:AI1578">
    <cfRule type="cellIs" dxfId="1248" priority="1396" stopIfTrue="1" operator="between">
      <formula>-0.15</formula>
      <formula>0.005</formula>
    </cfRule>
  </conditionalFormatting>
  <conditionalFormatting sqref="N1578">
    <cfRule type="cellIs" dxfId="1247" priority="1395" stopIfTrue="1" operator="between">
      <formula>-350</formula>
      <formula>-1</formula>
    </cfRule>
  </conditionalFormatting>
  <conditionalFormatting sqref="AE1576">
    <cfRule type="cellIs" dxfId="1246" priority="1394" stopIfTrue="1" operator="between">
      <formula>-0.15</formula>
      <formula>-0.0001</formula>
    </cfRule>
  </conditionalFormatting>
  <conditionalFormatting sqref="AH1576:AI1576">
    <cfRule type="cellIs" dxfId="1245" priority="1393" stopIfTrue="1" operator="between">
      <formula>-0.15</formula>
      <formula>0.005</formula>
    </cfRule>
  </conditionalFormatting>
  <conditionalFormatting sqref="N1576">
    <cfRule type="cellIs" dxfId="1244" priority="1392" stopIfTrue="1" operator="between">
      <formula>-350</formula>
      <formula>-1</formula>
    </cfRule>
  </conditionalFormatting>
  <conditionalFormatting sqref="AE1577">
    <cfRule type="cellIs" dxfId="1243" priority="1391" stopIfTrue="1" operator="between">
      <formula>-0.15</formula>
      <formula>-0.0001</formula>
    </cfRule>
  </conditionalFormatting>
  <conditionalFormatting sqref="AH1577:AI1577">
    <cfRule type="cellIs" dxfId="1242" priority="1390" stopIfTrue="1" operator="between">
      <formula>-0.15</formula>
      <formula>0.005</formula>
    </cfRule>
  </conditionalFormatting>
  <conditionalFormatting sqref="N1577">
    <cfRule type="cellIs" dxfId="1241" priority="1389" stopIfTrue="1" operator="between">
      <formula>-350</formula>
      <formula>-1</formula>
    </cfRule>
  </conditionalFormatting>
  <conditionalFormatting sqref="AH1587:AI1587">
    <cfRule type="cellIs" dxfId="1240" priority="1376" stopIfTrue="1" operator="between">
      <formula>-0.15</formula>
      <formula>0.005</formula>
    </cfRule>
  </conditionalFormatting>
  <conditionalFormatting sqref="AE1587">
    <cfRule type="cellIs" dxfId="1239" priority="1377" stopIfTrue="1" operator="between">
      <formula>-0.15</formula>
      <formula>-0.0001</formula>
    </cfRule>
  </conditionalFormatting>
  <conditionalFormatting sqref="N1151">
    <cfRule type="cellIs" dxfId="1238" priority="1357" stopIfTrue="1" operator="between">
      <formula>-350</formula>
      <formula>-1</formula>
    </cfRule>
  </conditionalFormatting>
  <conditionalFormatting sqref="AE1583">
    <cfRule type="cellIs" dxfId="1237" priority="1388" stopIfTrue="1" operator="between">
      <formula>-0.15</formula>
      <formula>-0.0001</formula>
    </cfRule>
  </conditionalFormatting>
  <conditionalFormatting sqref="AH1583:AI1583">
    <cfRule type="cellIs" dxfId="1236" priority="1387" stopIfTrue="1" operator="between">
      <formula>-0.15</formula>
      <formula>0.005</formula>
    </cfRule>
  </conditionalFormatting>
  <conditionalFormatting sqref="AE1151">
    <cfRule type="cellIs" dxfId="1235" priority="1356" stopIfTrue="1" operator="between">
      <formula>-0.15</formula>
      <formula>-0.0001</formula>
    </cfRule>
  </conditionalFormatting>
  <conditionalFormatting sqref="AH1151:AI1151">
    <cfRule type="cellIs" dxfId="1234" priority="1355" stopIfTrue="1" operator="between">
      <formula>-0.15</formula>
      <formula>0.005</formula>
    </cfRule>
  </conditionalFormatting>
  <conditionalFormatting sqref="N1150">
    <cfRule type="cellIs" dxfId="1233" priority="1354" stopIfTrue="1" operator="between">
      <formula>-350</formula>
      <formula>-1</formula>
    </cfRule>
  </conditionalFormatting>
  <conditionalFormatting sqref="AE1150">
    <cfRule type="cellIs" dxfId="1232" priority="1353" stopIfTrue="1" operator="between">
      <formula>-0.15</formula>
      <formula>-0.0001</formula>
    </cfRule>
  </conditionalFormatting>
  <conditionalFormatting sqref="AH1150:AI1150">
    <cfRule type="cellIs" dxfId="1231" priority="1352" stopIfTrue="1" operator="between">
      <formula>-0.15</formula>
      <formula>0.005</formula>
    </cfRule>
  </conditionalFormatting>
  <conditionalFormatting sqref="AH1586:AI1586">
    <cfRule type="cellIs" dxfId="1230" priority="1368" stopIfTrue="1" operator="between">
      <formula>-0.15</formula>
      <formula>0.005</formula>
    </cfRule>
  </conditionalFormatting>
  <conditionalFormatting sqref="AE1586">
    <cfRule type="cellIs" dxfId="1229" priority="1369" stopIfTrue="1" operator="between">
      <formula>-0.15</formula>
      <formula>-0.0001</formula>
    </cfRule>
  </conditionalFormatting>
  <conditionalFormatting sqref="N1586">
    <cfRule type="cellIs" dxfId="1228" priority="1367" stopIfTrue="1" operator="between">
      <formula>-350</formula>
      <formula>-1</formula>
    </cfRule>
  </conditionalFormatting>
  <conditionalFormatting sqref="AE1585">
    <cfRule type="cellIs" dxfId="1227" priority="1372" stopIfTrue="1" operator="between">
      <formula>-0.15</formula>
      <formula>-0.0001</formula>
    </cfRule>
  </conditionalFormatting>
  <conditionalFormatting sqref="AH1585:AI1585">
    <cfRule type="cellIs" dxfId="1226" priority="1371" stopIfTrue="1" operator="between">
      <formula>-0.15</formula>
      <formula>0.005</formula>
    </cfRule>
  </conditionalFormatting>
  <conditionalFormatting sqref="N1585">
    <cfRule type="cellIs" dxfId="1225" priority="1370" stopIfTrue="1" operator="between">
      <formula>-350</formula>
      <formula>-1</formula>
    </cfRule>
  </conditionalFormatting>
  <conditionalFormatting sqref="AE1657">
    <cfRule type="cellIs" dxfId="1224" priority="1360" stopIfTrue="1" operator="between">
      <formula>-0.15</formula>
      <formula>-0.0001</formula>
    </cfRule>
  </conditionalFormatting>
  <conditionalFormatting sqref="AH1657:AI1657">
    <cfRule type="cellIs" dxfId="1223" priority="1359" stopIfTrue="1" operator="between">
      <formula>-0.15</formula>
      <formula>0.005</formula>
    </cfRule>
  </conditionalFormatting>
  <conditionalFormatting sqref="N1657">
    <cfRule type="cellIs" dxfId="1222" priority="1358" stopIfTrue="1" operator="between">
      <formula>-350</formula>
      <formula>-1</formula>
    </cfRule>
  </conditionalFormatting>
  <conditionalFormatting sqref="AE1659">
    <cfRule type="cellIs" dxfId="1221" priority="1366" stopIfTrue="1" operator="between">
      <formula>-0.15</formula>
      <formula>-0.0001</formula>
    </cfRule>
  </conditionalFormatting>
  <conditionalFormatting sqref="AH1659:AI1659">
    <cfRule type="cellIs" dxfId="1220" priority="1365" stopIfTrue="1" operator="between">
      <formula>-0.15</formula>
      <formula>0.005</formula>
    </cfRule>
  </conditionalFormatting>
  <conditionalFormatting sqref="N1659">
    <cfRule type="cellIs" dxfId="1219" priority="1364" stopIfTrue="1" operator="between">
      <formula>-350</formula>
      <formula>-1</formula>
    </cfRule>
  </conditionalFormatting>
  <conditionalFormatting sqref="AE1658">
    <cfRule type="cellIs" dxfId="1218" priority="1363" stopIfTrue="1" operator="between">
      <formula>-0.15</formula>
      <formula>-0.0001</formula>
    </cfRule>
  </conditionalFormatting>
  <conditionalFormatting sqref="AH1658:AI1658">
    <cfRule type="cellIs" dxfId="1217" priority="1362" stopIfTrue="1" operator="between">
      <formula>-0.15</formula>
      <formula>0.005</formula>
    </cfRule>
  </conditionalFormatting>
  <conditionalFormatting sqref="N1658">
    <cfRule type="cellIs" dxfId="1216" priority="1361" stopIfTrue="1" operator="between">
      <formula>-350</formula>
      <formula>-1</formula>
    </cfRule>
  </conditionalFormatting>
  <conditionalFormatting sqref="AE243">
    <cfRule type="cellIs" dxfId="1215" priority="1351" stopIfTrue="1" operator="between">
      <formula>-0.15</formula>
      <formula>-0.0001</formula>
    </cfRule>
  </conditionalFormatting>
  <conditionalFormatting sqref="AH243:AI243">
    <cfRule type="cellIs" dxfId="1214" priority="1350" stopIfTrue="1" operator="between">
      <formula>-0.15</formula>
      <formula>0.005</formula>
    </cfRule>
  </conditionalFormatting>
  <conditionalFormatting sqref="N243">
    <cfRule type="cellIs" dxfId="1213" priority="1349" stopIfTrue="1" operator="between">
      <formula>-350</formula>
      <formula>-1</formula>
    </cfRule>
  </conditionalFormatting>
  <conditionalFormatting sqref="AE242">
    <cfRule type="cellIs" dxfId="1212" priority="1348" stopIfTrue="1" operator="between">
      <formula>-0.15</formula>
      <formula>-0.0001</formula>
    </cfRule>
  </conditionalFormatting>
  <conditionalFormatting sqref="AH242:AI242">
    <cfRule type="cellIs" dxfId="1211" priority="1347" stopIfTrue="1" operator="between">
      <formula>-0.15</formula>
      <formula>0.005</formula>
    </cfRule>
  </conditionalFormatting>
  <conditionalFormatting sqref="N242">
    <cfRule type="cellIs" dxfId="1210" priority="1346" stopIfTrue="1" operator="between">
      <formula>-350</formula>
      <formula>-1</formula>
    </cfRule>
  </conditionalFormatting>
  <conditionalFormatting sqref="AH1665:AI1665">
    <cfRule type="cellIs" dxfId="1209" priority="1344" stopIfTrue="1" operator="between">
      <formula>-0.15</formula>
      <formula>0.005</formula>
    </cfRule>
  </conditionalFormatting>
  <conditionalFormatting sqref="N1665">
    <cfRule type="cellIs" dxfId="1208" priority="1343" stopIfTrue="1" operator="between">
      <formula>-350</formula>
      <formula>-1</formula>
    </cfRule>
  </conditionalFormatting>
  <conditionalFormatting sqref="AE1665">
    <cfRule type="cellIs" dxfId="1207" priority="1345" stopIfTrue="1" operator="between">
      <formula>-0.15</formula>
      <formula>-0.0001</formula>
    </cfRule>
  </conditionalFormatting>
  <conditionalFormatting sqref="AH1664:AI1664">
    <cfRule type="cellIs" dxfId="1206" priority="1341" stopIfTrue="1" operator="between">
      <formula>-0.15</formula>
      <formula>0.005</formula>
    </cfRule>
  </conditionalFormatting>
  <conditionalFormatting sqref="N1664">
    <cfRule type="cellIs" dxfId="1205" priority="1340" stopIfTrue="1" operator="between">
      <formula>-350</formula>
      <formula>-1</formula>
    </cfRule>
  </conditionalFormatting>
  <conditionalFormatting sqref="AE1664">
    <cfRule type="cellIs" dxfId="1204" priority="1342" stopIfTrue="1" operator="between">
      <formula>-0.15</formula>
      <formula>-0.0001</formula>
    </cfRule>
  </conditionalFormatting>
  <conditionalFormatting sqref="AH1663:AI1663">
    <cfRule type="cellIs" dxfId="1203" priority="1338" stopIfTrue="1" operator="between">
      <formula>-0.15</formula>
      <formula>0.005</formula>
    </cfRule>
  </conditionalFormatting>
  <conditionalFormatting sqref="N1663">
    <cfRule type="cellIs" dxfId="1202" priority="1337" stopIfTrue="1" operator="between">
      <formula>-350</formula>
      <formula>-1</formula>
    </cfRule>
  </conditionalFormatting>
  <conditionalFormatting sqref="AE1663">
    <cfRule type="cellIs" dxfId="1201" priority="1339" stopIfTrue="1" operator="between">
      <formula>-0.15</formula>
      <formula>-0.0001</formula>
    </cfRule>
  </conditionalFormatting>
  <conditionalFormatting sqref="AE1684">
    <cfRule type="cellIs" dxfId="1200" priority="1336" stopIfTrue="1" operator="between">
      <formula>-0.15</formula>
      <formula>-0.0001</formula>
    </cfRule>
  </conditionalFormatting>
  <conditionalFormatting sqref="AH1684:AI1684">
    <cfRule type="cellIs" dxfId="1199" priority="1335" stopIfTrue="1" operator="between">
      <formula>-0.15</formula>
      <formula>0.005</formula>
    </cfRule>
  </conditionalFormatting>
  <conditionalFormatting sqref="N1684">
    <cfRule type="cellIs" dxfId="1198" priority="1334" stopIfTrue="1" operator="between">
      <formula>-350</formula>
      <formula>-1</formula>
    </cfRule>
  </conditionalFormatting>
  <conditionalFormatting sqref="AE1686">
    <cfRule type="cellIs" dxfId="1197" priority="1321" stopIfTrue="1" operator="between">
      <formula>-0.15</formula>
      <formula>-0.0001</formula>
    </cfRule>
  </conditionalFormatting>
  <conditionalFormatting sqref="AH1686:AI1686">
    <cfRule type="cellIs" dxfId="1196" priority="1320" stopIfTrue="1" operator="between">
      <formula>-0.15</formula>
      <formula>0.005</formula>
    </cfRule>
  </conditionalFormatting>
  <conditionalFormatting sqref="N1686">
    <cfRule type="cellIs" dxfId="1195" priority="1319" stopIfTrue="1" operator="between">
      <formula>-350</formula>
      <formula>-1</formula>
    </cfRule>
  </conditionalFormatting>
  <conditionalFormatting sqref="AE1683">
    <cfRule type="cellIs" dxfId="1194" priority="1327" stopIfTrue="1" operator="between">
      <formula>-0.15</formula>
      <formula>-0.0001</formula>
    </cfRule>
  </conditionalFormatting>
  <conditionalFormatting sqref="AH1683:AI1683">
    <cfRule type="cellIs" dxfId="1193" priority="1326" stopIfTrue="1" operator="between">
      <formula>-0.15</formula>
      <formula>0.005</formula>
    </cfRule>
  </conditionalFormatting>
  <conditionalFormatting sqref="N1683">
    <cfRule type="cellIs" dxfId="1192" priority="1325" stopIfTrue="1" operator="between">
      <formula>-350</formula>
      <formula>-1</formula>
    </cfRule>
  </conditionalFormatting>
  <conditionalFormatting sqref="AE784">
    <cfRule type="cellIs" dxfId="1191" priority="1318" stopIfTrue="1" operator="between">
      <formula>-0.15</formula>
      <formula>-0.0001</formula>
    </cfRule>
  </conditionalFormatting>
  <conditionalFormatting sqref="AH784:AI784">
    <cfRule type="cellIs" dxfId="1190" priority="1317" stopIfTrue="1" operator="between">
      <formula>-0.15</formula>
      <formula>0.005</formula>
    </cfRule>
  </conditionalFormatting>
  <conditionalFormatting sqref="N784">
    <cfRule type="cellIs" dxfId="1189" priority="1316" stopIfTrue="1" operator="between">
      <formula>-350</formula>
      <formula>-1</formula>
    </cfRule>
  </conditionalFormatting>
  <conditionalFormatting sqref="AE1704">
    <cfRule type="cellIs" dxfId="1188" priority="1312" stopIfTrue="1" operator="between">
      <formula>-0.15</formula>
      <formula>-0.0001</formula>
    </cfRule>
  </conditionalFormatting>
  <conditionalFormatting sqref="AH1704:AI1704">
    <cfRule type="cellIs" dxfId="1187" priority="1311" stopIfTrue="1" operator="between">
      <formula>-0.15</formula>
      <formula>0.005</formula>
    </cfRule>
  </conditionalFormatting>
  <conditionalFormatting sqref="N1679">
    <cfRule type="cellIs" dxfId="1186" priority="1313" stopIfTrue="1" operator="between">
      <formula>-350</formula>
      <formula>-1</formula>
    </cfRule>
  </conditionalFormatting>
  <conditionalFormatting sqref="AE1679">
    <cfRule type="cellIs" dxfId="1185" priority="1315" stopIfTrue="1" operator="between">
      <formula>-0.15</formula>
      <formula>-0.0001</formula>
    </cfRule>
  </conditionalFormatting>
  <conditionalFormatting sqref="AH1679:AI1679">
    <cfRule type="cellIs" dxfId="1184" priority="1314" stopIfTrue="1" operator="between">
      <formula>-0.15</formula>
      <formula>0.005</formula>
    </cfRule>
  </conditionalFormatting>
  <conditionalFormatting sqref="AE1703">
    <cfRule type="cellIs" dxfId="1183" priority="1310" stopIfTrue="1" operator="between">
      <formula>-0.15</formula>
      <formula>-0.0001</formula>
    </cfRule>
  </conditionalFormatting>
  <conditionalFormatting sqref="AH1703:AI1703">
    <cfRule type="cellIs" dxfId="1182" priority="1309" stopIfTrue="1" operator="between">
      <formula>-0.15</formula>
      <formula>0.005</formula>
    </cfRule>
  </conditionalFormatting>
  <conditionalFormatting sqref="N1703">
    <cfRule type="cellIs" dxfId="1181" priority="1308" stopIfTrue="1" operator="between">
      <formula>-350</formula>
      <formula>-1</formula>
    </cfRule>
  </conditionalFormatting>
  <conditionalFormatting sqref="AE1396">
    <cfRule type="cellIs" dxfId="1180" priority="1307" stopIfTrue="1" operator="between">
      <formula>-0.15</formula>
      <formula>-0.0001</formula>
    </cfRule>
  </conditionalFormatting>
  <conditionalFormatting sqref="AH1396:AI1396">
    <cfRule type="cellIs" dxfId="1179" priority="1306" stopIfTrue="1" operator="between">
      <formula>-0.15</formula>
      <formula>0.005</formula>
    </cfRule>
  </conditionalFormatting>
  <conditionalFormatting sqref="N1396">
    <cfRule type="cellIs" dxfId="1178" priority="1305" stopIfTrue="1" operator="between">
      <formula>-350</formula>
      <formula>-1</formula>
    </cfRule>
  </conditionalFormatting>
  <conditionalFormatting sqref="AE1398">
    <cfRule type="cellIs" dxfId="1177" priority="1304" stopIfTrue="1" operator="between">
      <formula>-0.15</formula>
      <formula>-0.0001</formula>
    </cfRule>
  </conditionalFormatting>
  <conditionalFormatting sqref="AH1398:AI1398">
    <cfRule type="cellIs" dxfId="1176" priority="1303" stopIfTrue="1" operator="between">
      <formula>-0.15</formula>
      <formula>0.005</formula>
    </cfRule>
  </conditionalFormatting>
  <conditionalFormatting sqref="N1398">
    <cfRule type="cellIs" dxfId="1175" priority="1302" stopIfTrue="1" operator="between">
      <formula>-350</formula>
      <formula>-1</formula>
    </cfRule>
  </conditionalFormatting>
  <conditionalFormatting sqref="AE1397">
    <cfRule type="cellIs" dxfId="1174" priority="1301" stopIfTrue="1" operator="between">
      <formula>-0.15</formula>
      <formula>-0.0001</formula>
    </cfRule>
  </conditionalFormatting>
  <conditionalFormatting sqref="AH1397:AI1397">
    <cfRule type="cellIs" dxfId="1173" priority="1300" stopIfTrue="1" operator="between">
      <formula>-0.15</formula>
      <formula>0.005</formula>
    </cfRule>
  </conditionalFormatting>
  <conditionalFormatting sqref="N1397">
    <cfRule type="cellIs" dxfId="1172" priority="1299" stopIfTrue="1" operator="between">
      <formula>-350</formula>
      <formula>-1</formula>
    </cfRule>
  </conditionalFormatting>
  <conditionalFormatting sqref="AE260">
    <cfRule type="cellIs" dxfId="1171" priority="1298" stopIfTrue="1" operator="between">
      <formula>-0.15</formula>
      <formula>-0.0001</formula>
    </cfRule>
  </conditionalFormatting>
  <conditionalFormatting sqref="AH260:AI260">
    <cfRule type="cellIs" dxfId="1170" priority="1297" stopIfTrue="1" operator="between">
      <formula>-0.15</formula>
      <formula>0.005</formula>
    </cfRule>
  </conditionalFormatting>
  <conditionalFormatting sqref="N260">
    <cfRule type="cellIs" dxfId="1169" priority="1296" stopIfTrue="1" operator="between">
      <formula>-350</formula>
      <formula>-1</formula>
    </cfRule>
  </conditionalFormatting>
  <conditionalFormatting sqref="AE293">
    <cfRule type="cellIs" dxfId="1168" priority="1295" stopIfTrue="1" operator="between">
      <formula>-0.15</formula>
      <formula>-0.0001</formula>
    </cfRule>
  </conditionalFormatting>
  <conditionalFormatting sqref="AH293:AI293">
    <cfRule type="cellIs" dxfId="1167" priority="1294" stopIfTrue="1" operator="between">
      <formula>-0.15</formula>
      <formula>0.005</formula>
    </cfRule>
  </conditionalFormatting>
  <conditionalFormatting sqref="N293">
    <cfRule type="cellIs" dxfId="1166" priority="1293" stopIfTrue="1" operator="between">
      <formula>-350</formula>
      <formula>-1</formula>
    </cfRule>
  </conditionalFormatting>
  <conditionalFormatting sqref="N1531">
    <cfRule type="cellIs" dxfId="1165" priority="1285" stopIfTrue="1" operator="between">
      <formula>-350</formula>
      <formula>-1</formula>
    </cfRule>
  </conditionalFormatting>
  <conditionalFormatting sqref="AE1532">
    <cfRule type="cellIs" dxfId="1164" priority="1292" stopIfTrue="1" operator="between">
      <formula>-0.15</formula>
      <formula>-0.0001</formula>
    </cfRule>
  </conditionalFormatting>
  <conditionalFormatting sqref="AH1532:AI1532">
    <cfRule type="cellIs" dxfId="1163" priority="1291" stopIfTrue="1" operator="between">
      <formula>-0.15</formula>
      <formula>0.005</formula>
    </cfRule>
  </conditionalFormatting>
  <conditionalFormatting sqref="AE1530">
    <cfRule type="cellIs" dxfId="1162" priority="1290" stopIfTrue="1" operator="between">
      <formula>-0.15</formula>
      <formula>-0.0001</formula>
    </cfRule>
  </conditionalFormatting>
  <conditionalFormatting sqref="AH1530:AI1530">
    <cfRule type="cellIs" dxfId="1161" priority="1289" stopIfTrue="1" operator="between">
      <formula>-0.15</formula>
      <formula>0.005</formula>
    </cfRule>
  </conditionalFormatting>
  <conditionalFormatting sqref="N1530">
    <cfRule type="cellIs" dxfId="1160" priority="1288" stopIfTrue="1" operator="between">
      <formula>-350</formula>
      <formula>-1</formula>
    </cfRule>
  </conditionalFormatting>
  <conditionalFormatting sqref="AE1531">
    <cfRule type="cellIs" dxfId="1159" priority="1287" stopIfTrue="1" operator="between">
      <formula>-0.15</formula>
      <formula>-0.0001</formula>
    </cfRule>
  </conditionalFormatting>
  <conditionalFormatting sqref="AH1531:AI1531">
    <cfRule type="cellIs" dxfId="1158" priority="1286" stopIfTrue="1" operator="between">
      <formula>-0.15</formula>
      <formula>0.005</formula>
    </cfRule>
  </conditionalFormatting>
  <conditionalFormatting sqref="AE1716">
    <cfRule type="cellIs" dxfId="1157" priority="1281" stopIfTrue="1" operator="between">
      <formula>-0.15</formula>
      <formula>-0.0001</formula>
    </cfRule>
  </conditionalFormatting>
  <conditionalFormatting sqref="AH1716:AI1716">
    <cfRule type="cellIs" dxfId="1156" priority="1280" stopIfTrue="1" operator="between">
      <formula>-0.15</formula>
      <formula>0.005</formula>
    </cfRule>
  </conditionalFormatting>
  <conditionalFormatting sqref="N1718">
    <cfRule type="cellIs" dxfId="1155" priority="1282" stopIfTrue="1" operator="between">
      <formula>-350</formula>
      <formula>-1</formula>
    </cfRule>
  </conditionalFormatting>
  <conditionalFormatting sqref="AE1718">
    <cfRule type="cellIs" dxfId="1154" priority="1284" stopIfTrue="1" operator="between">
      <formula>-0.15</formula>
      <formula>-0.0001</formula>
    </cfRule>
  </conditionalFormatting>
  <conditionalFormatting sqref="AH1718:AI1718">
    <cfRule type="cellIs" dxfId="1153" priority="1283" stopIfTrue="1" operator="between">
      <formula>-0.15</formula>
      <formula>0.005</formula>
    </cfRule>
  </conditionalFormatting>
  <conditionalFormatting sqref="N1716">
    <cfRule type="cellIs" dxfId="1152" priority="1279" stopIfTrue="1" operator="between">
      <formula>-350</formula>
      <formula>-1</formula>
    </cfRule>
  </conditionalFormatting>
  <conditionalFormatting sqref="N1717">
    <cfRule type="cellIs" dxfId="1151" priority="1276" stopIfTrue="1" operator="between">
      <formula>-350</formula>
      <formula>-1</formula>
    </cfRule>
  </conditionalFormatting>
  <conditionalFormatting sqref="AE1717">
    <cfRule type="cellIs" dxfId="1150" priority="1278" stopIfTrue="1" operator="between">
      <formula>-0.15</formula>
      <formula>-0.0001</formula>
    </cfRule>
  </conditionalFormatting>
  <conditionalFormatting sqref="AH1717:AI1717">
    <cfRule type="cellIs" dxfId="1149" priority="1277" stopIfTrue="1" operator="between">
      <formula>-0.15</formula>
      <formula>0.005</formula>
    </cfRule>
  </conditionalFormatting>
  <conditionalFormatting sqref="AE908">
    <cfRule type="cellIs" dxfId="1148" priority="1275" stopIfTrue="1" operator="between">
      <formula>-0.15</formula>
      <formula>-0.0001</formula>
    </cfRule>
  </conditionalFormatting>
  <conditionalFormatting sqref="AH908:AI908">
    <cfRule type="cellIs" dxfId="1147" priority="1274" stopIfTrue="1" operator="between">
      <formula>-0.15</formula>
      <formula>0.005</formula>
    </cfRule>
  </conditionalFormatting>
  <conditionalFormatting sqref="N908">
    <cfRule type="cellIs" dxfId="1146" priority="1273" stopIfTrue="1" operator="between">
      <formula>-350</formula>
      <formula>-1</formula>
    </cfRule>
  </conditionalFormatting>
  <conditionalFormatting sqref="AE1322">
    <cfRule type="cellIs" dxfId="1145" priority="1272" stopIfTrue="1" operator="between">
      <formula>-0.15</formula>
      <formula>-0.0001</formula>
    </cfRule>
  </conditionalFormatting>
  <conditionalFormatting sqref="AH1322:AI1322">
    <cfRule type="cellIs" dxfId="1144" priority="1271" stopIfTrue="1" operator="between">
      <formula>-0.15</formula>
      <formula>0.005</formula>
    </cfRule>
  </conditionalFormatting>
  <conditionalFormatting sqref="N1322">
    <cfRule type="cellIs" dxfId="1143" priority="1270" stopIfTrue="1" operator="between">
      <formula>-350</formula>
      <formula>-1</formula>
    </cfRule>
  </conditionalFormatting>
  <conditionalFormatting sqref="AE1321">
    <cfRule type="cellIs" dxfId="1142" priority="1269" stopIfTrue="1" operator="between">
      <formula>-0.15</formula>
      <formula>-0.0001</formula>
    </cfRule>
  </conditionalFormatting>
  <conditionalFormatting sqref="AH1321:AI1321">
    <cfRule type="cellIs" dxfId="1141" priority="1268" stopIfTrue="1" operator="between">
      <formula>-0.15</formula>
      <formula>0.005</formula>
    </cfRule>
  </conditionalFormatting>
  <conditionalFormatting sqref="N1321">
    <cfRule type="cellIs" dxfId="1140" priority="1267" stopIfTrue="1" operator="between">
      <formula>-350</formula>
      <formula>-1</formula>
    </cfRule>
  </conditionalFormatting>
  <conditionalFormatting sqref="AE1317">
    <cfRule type="cellIs" dxfId="1139" priority="1266" stopIfTrue="1" operator="between">
      <formula>-0.15</formula>
      <formula>-0.0001</formula>
    </cfRule>
  </conditionalFormatting>
  <conditionalFormatting sqref="AH1317:AI1317">
    <cfRule type="cellIs" dxfId="1138" priority="1265" stopIfTrue="1" operator="between">
      <formula>-0.15</formula>
      <formula>0.005</formula>
    </cfRule>
  </conditionalFormatting>
  <conditionalFormatting sqref="N1317">
    <cfRule type="cellIs" dxfId="1137" priority="1264" stopIfTrue="1" operator="between">
      <formula>-350</formula>
      <formula>-1</formula>
    </cfRule>
  </conditionalFormatting>
  <conditionalFormatting sqref="AE1312">
    <cfRule type="cellIs" dxfId="1136" priority="1263" stopIfTrue="1" operator="between">
      <formula>-0.15</formula>
      <formula>-0.0001</formula>
    </cfRule>
  </conditionalFormatting>
  <conditionalFormatting sqref="AH1312:AI1312">
    <cfRule type="cellIs" dxfId="1135" priority="1262" stopIfTrue="1" operator="between">
      <formula>-0.15</formula>
      <formula>0.005</formula>
    </cfRule>
  </conditionalFormatting>
  <conditionalFormatting sqref="N1312">
    <cfRule type="cellIs" dxfId="1134" priority="1261" stopIfTrue="1" operator="between">
      <formula>-350</formula>
      <formula>-1</formula>
    </cfRule>
  </conditionalFormatting>
  <conditionalFormatting sqref="AE1311">
    <cfRule type="cellIs" dxfId="1133" priority="1260" stopIfTrue="1" operator="between">
      <formula>-0.15</formula>
      <formula>-0.0001</formula>
    </cfRule>
  </conditionalFormatting>
  <conditionalFormatting sqref="AH1311:AI1311">
    <cfRule type="cellIs" dxfId="1132" priority="1259" stopIfTrue="1" operator="between">
      <formula>-0.15</formula>
      <formula>0.005</formula>
    </cfRule>
  </conditionalFormatting>
  <conditionalFormatting sqref="N1311">
    <cfRule type="cellIs" dxfId="1131" priority="1258" stopIfTrue="1" operator="between">
      <formula>-350</formula>
      <formula>-1</formula>
    </cfRule>
  </conditionalFormatting>
  <conditionalFormatting sqref="AE1310">
    <cfRule type="cellIs" dxfId="1130" priority="1257" stopIfTrue="1" operator="between">
      <formula>-0.15</formula>
      <formula>-0.0001</formula>
    </cfRule>
  </conditionalFormatting>
  <conditionalFormatting sqref="AH1310:AI1310">
    <cfRule type="cellIs" dxfId="1129" priority="1256" stopIfTrue="1" operator="between">
      <formula>-0.15</formula>
      <formula>0.005</formula>
    </cfRule>
  </conditionalFormatting>
  <conditionalFormatting sqref="N1310">
    <cfRule type="cellIs" dxfId="1128" priority="1255" stopIfTrue="1" operator="between">
      <formula>-350</formula>
      <formula>-1</formula>
    </cfRule>
  </conditionalFormatting>
  <conditionalFormatting sqref="AE1309">
    <cfRule type="cellIs" dxfId="1127" priority="1254" stopIfTrue="1" operator="between">
      <formula>-0.15</formula>
      <formula>-0.0001</formula>
    </cfRule>
  </conditionalFormatting>
  <conditionalFormatting sqref="AH1309:AI1309">
    <cfRule type="cellIs" dxfId="1126" priority="1253" stopIfTrue="1" operator="between">
      <formula>-0.15</formula>
      <formula>0.005</formula>
    </cfRule>
  </conditionalFormatting>
  <conditionalFormatting sqref="N1309">
    <cfRule type="cellIs" dxfId="1125" priority="1252" stopIfTrue="1" operator="between">
      <formula>-350</formula>
      <formula>-1</formula>
    </cfRule>
  </conditionalFormatting>
  <conditionalFormatting sqref="AE1316">
    <cfRule type="cellIs" dxfId="1124" priority="1251" stopIfTrue="1" operator="between">
      <formula>-0.15</formula>
      <formula>-0.0001</formula>
    </cfRule>
  </conditionalFormatting>
  <conditionalFormatting sqref="AH1316:AI1316">
    <cfRule type="cellIs" dxfId="1123" priority="1250" stopIfTrue="1" operator="between">
      <formula>-0.15</formula>
      <formula>0.005</formula>
    </cfRule>
  </conditionalFormatting>
  <conditionalFormatting sqref="N1316">
    <cfRule type="cellIs" dxfId="1122" priority="1249" stopIfTrue="1" operator="between">
      <formula>-350</formula>
      <formula>-1</formula>
    </cfRule>
  </conditionalFormatting>
  <conditionalFormatting sqref="AE1315">
    <cfRule type="cellIs" dxfId="1121" priority="1248" stopIfTrue="1" operator="between">
      <formula>-0.15</formula>
      <formula>-0.0001</formula>
    </cfRule>
  </conditionalFormatting>
  <conditionalFormatting sqref="AH1315:AI1315">
    <cfRule type="cellIs" dxfId="1120" priority="1247" stopIfTrue="1" operator="between">
      <formula>-0.15</formula>
      <formula>0.005</formula>
    </cfRule>
  </conditionalFormatting>
  <conditionalFormatting sqref="N1315">
    <cfRule type="cellIs" dxfId="1119" priority="1246" stopIfTrue="1" operator="between">
      <formula>-350</formula>
      <formula>-1</formula>
    </cfRule>
  </conditionalFormatting>
  <conditionalFormatting sqref="AE1314">
    <cfRule type="cellIs" dxfId="1118" priority="1245" stopIfTrue="1" operator="between">
      <formula>-0.15</formula>
      <formula>-0.0001</formula>
    </cfRule>
  </conditionalFormatting>
  <conditionalFormatting sqref="AH1314:AI1314">
    <cfRule type="cellIs" dxfId="1117" priority="1244" stopIfTrue="1" operator="between">
      <formula>-0.15</formula>
      <formula>0.005</formula>
    </cfRule>
  </conditionalFormatting>
  <conditionalFormatting sqref="N1314">
    <cfRule type="cellIs" dxfId="1116" priority="1243" stopIfTrue="1" operator="between">
      <formula>-350</formula>
      <formula>-1</formula>
    </cfRule>
  </conditionalFormatting>
  <conditionalFormatting sqref="AE1313">
    <cfRule type="cellIs" dxfId="1115" priority="1242" stopIfTrue="1" operator="between">
      <formula>-0.15</formula>
      <formula>-0.0001</formula>
    </cfRule>
  </conditionalFormatting>
  <conditionalFormatting sqref="AH1313:AI1313">
    <cfRule type="cellIs" dxfId="1114" priority="1241" stopIfTrue="1" operator="between">
      <formula>-0.15</formula>
      <formula>0.005</formula>
    </cfRule>
  </conditionalFormatting>
  <conditionalFormatting sqref="N1313">
    <cfRule type="cellIs" dxfId="1113" priority="1240" stopIfTrue="1" operator="between">
      <formula>-350</formula>
      <formula>-1</formula>
    </cfRule>
  </conditionalFormatting>
  <conditionalFormatting sqref="AE1320">
    <cfRule type="cellIs" dxfId="1112" priority="1239" stopIfTrue="1" operator="between">
      <formula>-0.15</formula>
      <formula>-0.0001</formula>
    </cfRule>
  </conditionalFormatting>
  <conditionalFormatting sqref="AH1320:AI1320">
    <cfRule type="cellIs" dxfId="1111" priority="1238" stopIfTrue="1" operator="between">
      <formula>-0.15</formula>
      <formula>0.005</formula>
    </cfRule>
  </conditionalFormatting>
  <conditionalFormatting sqref="N1320">
    <cfRule type="cellIs" dxfId="1110" priority="1237" stopIfTrue="1" operator="between">
      <formula>-350</formula>
      <formula>-1</formula>
    </cfRule>
  </conditionalFormatting>
  <conditionalFormatting sqref="AE1319">
    <cfRule type="cellIs" dxfId="1109" priority="1236" stopIfTrue="1" operator="between">
      <formula>-0.15</formula>
      <formula>-0.0001</formula>
    </cfRule>
  </conditionalFormatting>
  <conditionalFormatting sqref="AH1319:AI1319">
    <cfRule type="cellIs" dxfId="1108" priority="1235" stopIfTrue="1" operator="between">
      <formula>-0.15</formula>
      <formula>0.005</formula>
    </cfRule>
  </conditionalFormatting>
  <conditionalFormatting sqref="N1319">
    <cfRule type="cellIs" dxfId="1107" priority="1234" stopIfTrue="1" operator="between">
      <formula>-350</formula>
      <formula>-1</formula>
    </cfRule>
  </conditionalFormatting>
  <conditionalFormatting sqref="AE1318">
    <cfRule type="cellIs" dxfId="1106" priority="1233" stopIfTrue="1" operator="between">
      <formula>-0.15</formula>
      <formula>-0.0001</formula>
    </cfRule>
  </conditionalFormatting>
  <conditionalFormatting sqref="AH1318:AI1318">
    <cfRule type="cellIs" dxfId="1105" priority="1232" stopIfTrue="1" operator="between">
      <formula>-0.15</formula>
      <formula>0.005</formula>
    </cfRule>
  </conditionalFormatting>
  <conditionalFormatting sqref="N1318">
    <cfRule type="cellIs" dxfId="1104" priority="1231" stopIfTrue="1" operator="between">
      <formula>-350</formula>
      <formula>-1</formula>
    </cfRule>
  </conditionalFormatting>
  <conditionalFormatting sqref="AE1329">
    <cfRule type="cellIs" dxfId="1103" priority="1230" stopIfTrue="1" operator="between">
      <formula>-0.15</formula>
      <formula>-0.0001</formula>
    </cfRule>
  </conditionalFormatting>
  <conditionalFormatting sqref="AH1329:AI1329">
    <cfRule type="cellIs" dxfId="1102" priority="1229" stopIfTrue="1" operator="between">
      <formula>-0.15</formula>
      <formula>0.005</formula>
    </cfRule>
  </conditionalFormatting>
  <conditionalFormatting sqref="N1329">
    <cfRule type="cellIs" dxfId="1101" priority="1228" stopIfTrue="1" operator="between">
      <formula>-350</formula>
      <formula>-1</formula>
    </cfRule>
  </conditionalFormatting>
  <conditionalFormatting sqref="AE1328">
    <cfRule type="cellIs" dxfId="1100" priority="1227" stopIfTrue="1" operator="between">
      <formula>-0.15</formula>
      <formula>-0.0001</formula>
    </cfRule>
  </conditionalFormatting>
  <conditionalFormatting sqref="AH1328:AI1328">
    <cfRule type="cellIs" dxfId="1099" priority="1226" stopIfTrue="1" operator="between">
      <formula>-0.15</formula>
      <formula>0.005</formula>
    </cfRule>
  </conditionalFormatting>
  <conditionalFormatting sqref="N1328">
    <cfRule type="cellIs" dxfId="1098" priority="1225" stopIfTrue="1" operator="between">
      <formula>-350</formula>
      <formula>-1</formula>
    </cfRule>
  </conditionalFormatting>
  <conditionalFormatting sqref="AE1327">
    <cfRule type="cellIs" dxfId="1097" priority="1224" stopIfTrue="1" operator="between">
      <formula>-0.15</formula>
      <formula>-0.0001</formula>
    </cfRule>
  </conditionalFormatting>
  <conditionalFormatting sqref="AH1327:AI1327">
    <cfRule type="cellIs" dxfId="1096" priority="1223" stopIfTrue="1" operator="between">
      <formula>-0.15</formula>
      <formula>0.005</formula>
    </cfRule>
  </conditionalFormatting>
  <conditionalFormatting sqref="N1327">
    <cfRule type="cellIs" dxfId="1095" priority="1222" stopIfTrue="1" operator="between">
      <formula>-350</formula>
      <formula>-1</formula>
    </cfRule>
  </conditionalFormatting>
  <conditionalFormatting sqref="AE1326">
    <cfRule type="cellIs" dxfId="1094" priority="1221" stopIfTrue="1" operator="between">
      <formula>-0.15</formula>
      <formula>-0.0001</formula>
    </cfRule>
  </conditionalFormatting>
  <conditionalFormatting sqref="AH1326:AI1326">
    <cfRule type="cellIs" dxfId="1093" priority="1220" stopIfTrue="1" operator="between">
      <formula>-0.15</formula>
      <formula>0.005</formula>
    </cfRule>
  </conditionalFormatting>
  <conditionalFormatting sqref="N1326">
    <cfRule type="cellIs" dxfId="1092" priority="1219" stopIfTrue="1" operator="between">
      <formula>-350</formula>
      <formula>-1</formula>
    </cfRule>
  </conditionalFormatting>
  <conditionalFormatting sqref="AE1325">
    <cfRule type="cellIs" dxfId="1091" priority="1218" stopIfTrue="1" operator="between">
      <formula>-0.15</formula>
      <formula>-0.0001</formula>
    </cfRule>
  </conditionalFormatting>
  <conditionalFormatting sqref="AH1325:AI1325">
    <cfRule type="cellIs" dxfId="1090" priority="1217" stopIfTrue="1" operator="between">
      <formula>-0.15</formula>
      <formula>0.005</formula>
    </cfRule>
  </conditionalFormatting>
  <conditionalFormatting sqref="N1325">
    <cfRule type="cellIs" dxfId="1089" priority="1216" stopIfTrue="1" operator="between">
      <formula>-350</formula>
      <formula>-1</formula>
    </cfRule>
  </conditionalFormatting>
  <conditionalFormatting sqref="AE1324">
    <cfRule type="cellIs" dxfId="1088" priority="1215" stopIfTrue="1" operator="between">
      <formula>-0.15</formula>
      <formula>-0.0001</formula>
    </cfRule>
  </conditionalFormatting>
  <conditionalFormatting sqref="AH1324:AI1324">
    <cfRule type="cellIs" dxfId="1087" priority="1214" stopIfTrue="1" operator="between">
      <formula>-0.15</formula>
      <formula>0.005</formula>
    </cfRule>
  </conditionalFormatting>
  <conditionalFormatting sqref="N1324">
    <cfRule type="cellIs" dxfId="1086" priority="1213" stopIfTrue="1" operator="between">
      <formula>-350</formula>
      <formula>-1</formula>
    </cfRule>
  </conditionalFormatting>
  <conditionalFormatting sqref="AE1323">
    <cfRule type="cellIs" dxfId="1085" priority="1212" stopIfTrue="1" operator="between">
      <formula>-0.15</formula>
      <formula>-0.0001</formula>
    </cfRule>
  </conditionalFormatting>
  <conditionalFormatting sqref="AH1323:AI1323">
    <cfRule type="cellIs" dxfId="1084" priority="1211" stopIfTrue="1" operator="between">
      <formula>-0.15</formula>
      <formula>0.005</formula>
    </cfRule>
  </conditionalFormatting>
  <conditionalFormatting sqref="N1323">
    <cfRule type="cellIs" dxfId="1083" priority="1210" stopIfTrue="1" operator="between">
      <formula>-350</formula>
      <formula>-1</formula>
    </cfRule>
  </conditionalFormatting>
  <conditionalFormatting sqref="AE1353">
    <cfRule type="cellIs" dxfId="1082" priority="1209" stopIfTrue="1" operator="between">
      <formula>-0.15</formula>
      <formula>-0.0001</formula>
    </cfRule>
  </conditionalFormatting>
  <conditionalFormatting sqref="AH1353:AI1353">
    <cfRule type="cellIs" dxfId="1081" priority="1208" stopIfTrue="1" operator="between">
      <formula>-0.15</formula>
      <formula>0.005</formula>
    </cfRule>
  </conditionalFormatting>
  <conditionalFormatting sqref="N1353">
    <cfRule type="cellIs" dxfId="1080" priority="1207" stopIfTrue="1" operator="between">
      <formula>-350</formula>
      <formula>-1</formula>
    </cfRule>
  </conditionalFormatting>
  <conditionalFormatting sqref="AE1352">
    <cfRule type="cellIs" dxfId="1079" priority="1206" stopIfTrue="1" operator="between">
      <formula>-0.15</formula>
      <formula>-0.0001</formula>
    </cfRule>
  </conditionalFormatting>
  <conditionalFormatting sqref="AH1352:AI1352">
    <cfRule type="cellIs" dxfId="1078" priority="1205" stopIfTrue="1" operator="between">
      <formula>-0.15</formula>
      <formula>0.005</formula>
    </cfRule>
  </conditionalFormatting>
  <conditionalFormatting sqref="N1352">
    <cfRule type="cellIs" dxfId="1077" priority="1204" stopIfTrue="1" operator="between">
      <formula>-350</formula>
      <formula>-1</formula>
    </cfRule>
  </conditionalFormatting>
  <conditionalFormatting sqref="AE1351">
    <cfRule type="cellIs" dxfId="1076" priority="1203" stopIfTrue="1" operator="between">
      <formula>-0.15</formula>
      <formula>-0.0001</formula>
    </cfRule>
  </conditionalFormatting>
  <conditionalFormatting sqref="AH1351:AI1351">
    <cfRule type="cellIs" dxfId="1075" priority="1202" stopIfTrue="1" operator="between">
      <formula>-0.15</formula>
      <formula>0.005</formula>
    </cfRule>
  </conditionalFormatting>
  <conditionalFormatting sqref="N1351">
    <cfRule type="cellIs" dxfId="1074" priority="1201" stopIfTrue="1" operator="between">
      <formula>-350</formula>
      <formula>-1</formula>
    </cfRule>
  </conditionalFormatting>
  <conditionalFormatting sqref="AE1350">
    <cfRule type="cellIs" dxfId="1073" priority="1200" stopIfTrue="1" operator="between">
      <formula>-0.15</formula>
      <formula>-0.0001</formula>
    </cfRule>
  </conditionalFormatting>
  <conditionalFormatting sqref="AH1350:AI1350">
    <cfRule type="cellIs" dxfId="1072" priority="1199" stopIfTrue="1" operator="between">
      <formula>-0.15</formula>
      <formula>0.005</formula>
    </cfRule>
  </conditionalFormatting>
  <conditionalFormatting sqref="N1350">
    <cfRule type="cellIs" dxfId="1071" priority="1198" stopIfTrue="1" operator="between">
      <formula>-350</formula>
      <formula>-1</formula>
    </cfRule>
  </conditionalFormatting>
  <conditionalFormatting sqref="AE1349">
    <cfRule type="cellIs" dxfId="1070" priority="1197" stopIfTrue="1" operator="between">
      <formula>-0.15</formula>
      <formula>-0.0001</formula>
    </cfRule>
  </conditionalFormatting>
  <conditionalFormatting sqref="AH1349:AI1349">
    <cfRule type="cellIs" dxfId="1069" priority="1196" stopIfTrue="1" operator="between">
      <formula>-0.15</formula>
      <formula>0.005</formula>
    </cfRule>
  </conditionalFormatting>
  <conditionalFormatting sqref="N1349">
    <cfRule type="cellIs" dxfId="1068" priority="1195" stopIfTrue="1" operator="between">
      <formula>-350</formula>
      <formula>-1</formula>
    </cfRule>
  </conditionalFormatting>
  <conditionalFormatting sqref="AE1342">
    <cfRule type="cellIs" dxfId="1067" priority="1194" stopIfTrue="1" operator="between">
      <formula>-0.15</formula>
      <formula>-0.0001</formula>
    </cfRule>
  </conditionalFormatting>
  <conditionalFormatting sqref="AH1342:AI1342">
    <cfRule type="cellIs" dxfId="1066" priority="1193" stopIfTrue="1" operator="between">
      <formula>-0.15</formula>
      <formula>0.005</formula>
    </cfRule>
  </conditionalFormatting>
  <conditionalFormatting sqref="N1342">
    <cfRule type="cellIs" dxfId="1065" priority="1192" stopIfTrue="1" operator="between">
      <formula>-350</formula>
      <formula>-1</formula>
    </cfRule>
  </conditionalFormatting>
  <conditionalFormatting sqref="AE1341">
    <cfRule type="cellIs" dxfId="1064" priority="1191" stopIfTrue="1" operator="between">
      <formula>-0.15</formula>
      <formula>-0.0001</formula>
    </cfRule>
  </conditionalFormatting>
  <conditionalFormatting sqref="AH1341:AI1341">
    <cfRule type="cellIs" dxfId="1063" priority="1190" stopIfTrue="1" operator="between">
      <formula>-0.15</formula>
      <formula>0.005</formula>
    </cfRule>
  </conditionalFormatting>
  <conditionalFormatting sqref="N1341">
    <cfRule type="cellIs" dxfId="1062" priority="1189" stopIfTrue="1" operator="between">
      <formula>-350</formula>
      <formula>-1</formula>
    </cfRule>
  </conditionalFormatting>
  <conditionalFormatting sqref="AE1340">
    <cfRule type="cellIs" dxfId="1061" priority="1188" stopIfTrue="1" operator="between">
      <formula>-0.15</formula>
      <formula>-0.0001</formula>
    </cfRule>
  </conditionalFormatting>
  <conditionalFormatting sqref="AH1340:AI1340">
    <cfRule type="cellIs" dxfId="1060" priority="1187" stopIfTrue="1" operator="between">
      <formula>-0.15</formula>
      <formula>0.005</formula>
    </cfRule>
  </conditionalFormatting>
  <conditionalFormatting sqref="N1340">
    <cfRule type="cellIs" dxfId="1059" priority="1186" stopIfTrue="1" operator="between">
      <formula>-350</formula>
      <formula>-1</formula>
    </cfRule>
  </conditionalFormatting>
  <conditionalFormatting sqref="AE1339">
    <cfRule type="cellIs" dxfId="1058" priority="1185" stopIfTrue="1" operator="between">
      <formula>-0.15</formula>
      <formula>-0.0001</formula>
    </cfRule>
  </conditionalFormatting>
  <conditionalFormatting sqref="AH1339:AI1339">
    <cfRule type="cellIs" dxfId="1057" priority="1184" stopIfTrue="1" operator="between">
      <formula>-0.15</formula>
      <formula>0.005</formula>
    </cfRule>
  </conditionalFormatting>
  <conditionalFormatting sqref="N1339">
    <cfRule type="cellIs" dxfId="1056" priority="1183" stopIfTrue="1" operator="between">
      <formula>-350</formula>
      <formula>-1</formula>
    </cfRule>
  </conditionalFormatting>
  <conditionalFormatting sqref="AE1338">
    <cfRule type="cellIs" dxfId="1055" priority="1182" stopIfTrue="1" operator="between">
      <formula>-0.15</formula>
      <formula>-0.0001</formula>
    </cfRule>
  </conditionalFormatting>
  <conditionalFormatting sqref="AH1338:AI1338">
    <cfRule type="cellIs" dxfId="1054" priority="1181" stopIfTrue="1" operator="between">
      <formula>-0.15</formula>
      <formula>0.005</formula>
    </cfRule>
  </conditionalFormatting>
  <conditionalFormatting sqref="N1338">
    <cfRule type="cellIs" dxfId="1053" priority="1180" stopIfTrue="1" operator="between">
      <formula>-350</formula>
      <formula>-1</formula>
    </cfRule>
  </conditionalFormatting>
  <conditionalFormatting sqref="AE1337">
    <cfRule type="cellIs" dxfId="1052" priority="1179" stopIfTrue="1" operator="between">
      <formula>-0.15</formula>
      <formula>-0.0001</formula>
    </cfRule>
  </conditionalFormatting>
  <conditionalFormatting sqref="AH1337:AI1337">
    <cfRule type="cellIs" dxfId="1051" priority="1178" stopIfTrue="1" operator="between">
      <formula>-0.15</formula>
      <formula>0.005</formula>
    </cfRule>
  </conditionalFormatting>
  <conditionalFormatting sqref="N1337">
    <cfRule type="cellIs" dxfId="1050" priority="1177" stopIfTrue="1" operator="between">
      <formula>-350</formula>
      <formula>-1</formula>
    </cfRule>
  </conditionalFormatting>
  <conditionalFormatting sqref="AE1336">
    <cfRule type="cellIs" dxfId="1049" priority="1176" stopIfTrue="1" operator="between">
      <formula>-0.15</formula>
      <formula>-0.0001</formula>
    </cfRule>
  </conditionalFormatting>
  <conditionalFormatting sqref="AH1336:AI1336">
    <cfRule type="cellIs" dxfId="1048" priority="1175" stopIfTrue="1" operator="between">
      <formula>-0.15</formula>
      <formula>0.005</formula>
    </cfRule>
  </conditionalFormatting>
  <conditionalFormatting sqref="N1336">
    <cfRule type="cellIs" dxfId="1047" priority="1174" stopIfTrue="1" operator="between">
      <formula>-350</formula>
      <formula>-1</formula>
    </cfRule>
  </conditionalFormatting>
  <conditionalFormatting sqref="AE1335">
    <cfRule type="cellIs" dxfId="1046" priority="1173" stopIfTrue="1" operator="between">
      <formula>-0.15</formula>
      <formula>-0.0001</formula>
    </cfRule>
  </conditionalFormatting>
  <conditionalFormatting sqref="AH1335:AI1335">
    <cfRule type="cellIs" dxfId="1045" priority="1172" stopIfTrue="1" operator="between">
      <formula>-0.15</formula>
      <formula>0.005</formula>
    </cfRule>
  </conditionalFormatting>
  <conditionalFormatting sqref="N1335">
    <cfRule type="cellIs" dxfId="1044" priority="1171" stopIfTrue="1" operator="between">
      <formula>-350</formula>
      <formula>-1</formula>
    </cfRule>
  </conditionalFormatting>
  <conditionalFormatting sqref="AE1334">
    <cfRule type="cellIs" dxfId="1043" priority="1170" stopIfTrue="1" operator="between">
      <formula>-0.15</formula>
      <formula>-0.0001</formula>
    </cfRule>
  </conditionalFormatting>
  <conditionalFormatting sqref="AH1334:AI1334">
    <cfRule type="cellIs" dxfId="1042" priority="1169" stopIfTrue="1" operator="between">
      <formula>-0.15</formula>
      <formula>0.005</formula>
    </cfRule>
  </conditionalFormatting>
  <conditionalFormatting sqref="N1334">
    <cfRule type="cellIs" dxfId="1041" priority="1168" stopIfTrue="1" operator="between">
      <formula>-350</formula>
      <formula>-1</formula>
    </cfRule>
  </conditionalFormatting>
  <conditionalFormatting sqref="AE1333">
    <cfRule type="cellIs" dxfId="1040" priority="1167" stopIfTrue="1" operator="between">
      <formula>-0.15</formula>
      <formula>-0.0001</formula>
    </cfRule>
  </conditionalFormatting>
  <conditionalFormatting sqref="AH1333:AI1333">
    <cfRule type="cellIs" dxfId="1039" priority="1166" stopIfTrue="1" operator="between">
      <formula>-0.15</formula>
      <formula>0.005</formula>
    </cfRule>
  </conditionalFormatting>
  <conditionalFormatting sqref="N1333">
    <cfRule type="cellIs" dxfId="1038" priority="1165" stopIfTrue="1" operator="between">
      <formula>-350</formula>
      <formula>-1</formula>
    </cfRule>
  </conditionalFormatting>
  <conditionalFormatting sqref="AE1348">
    <cfRule type="cellIs" dxfId="1037" priority="1164" stopIfTrue="1" operator="between">
      <formula>-0.15</formula>
      <formula>-0.0001</formula>
    </cfRule>
  </conditionalFormatting>
  <conditionalFormatting sqref="AH1348:AI1348">
    <cfRule type="cellIs" dxfId="1036" priority="1163" stopIfTrue="1" operator="between">
      <formula>-0.15</formula>
      <formula>0.005</formula>
    </cfRule>
  </conditionalFormatting>
  <conditionalFormatting sqref="N1348">
    <cfRule type="cellIs" dxfId="1035" priority="1162" stopIfTrue="1" operator="between">
      <formula>-350</formula>
      <formula>-1</formula>
    </cfRule>
  </conditionalFormatting>
  <conditionalFormatting sqref="AE1347">
    <cfRule type="cellIs" dxfId="1034" priority="1161" stopIfTrue="1" operator="between">
      <formula>-0.15</formula>
      <formula>-0.0001</formula>
    </cfRule>
  </conditionalFormatting>
  <conditionalFormatting sqref="AH1347:AI1347">
    <cfRule type="cellIs" dxfId="1033" priority="1160" stopIfTrue="1" operator="between">
      <formula>-0.15</formula>
      <formula>0.005</formula>
    </cfRule>
  </conditionalFormatting>
  <conditionalFormatting sqref="N1347">
    <cfRule type="cellIs" dxfId="1032" priority="1159" stopIfTrue="1" operator="between">
      <formula>-350</formula>
      <formula>-1</formula>
    </cfRule>
  </conditionalFormatting>
  <conditionalFormatting sqref="AE1346">
    <cfRule type="cellIs" dxfId="1031" priority="1158" stopIfTrue="1" operator="between">
      <formula>-0.15</formula>
      <formula>-0.0001</formula>
    </cfRule>
  </conditionalFormatting>
  <conditionalFormatting sqref="AH1346:AI1346">
    <cfRule type="cellIs" dxfId="1030" priority="1157" stopIfTrue="1" operator="between">
      <formula>-0.15</formula>
      <formula>0.005</formula>
    </cfRule>
  </conditionalFormatting>
  <conditionalFormatting sqref="N1346">
    <cfRule type="cellIs" dxfId="1029" priority="1156" stopIfTrue="1" operator="between">
      <formula>-350</formula>
      <formula>-1</formula>
    </cfRule>
  </conditionalFormatting>
  <conditionalFormatting sqref="AE1345">
    <cfRule type="cellIs" dxfId="1028" priority="1155" stopIfTrue="1" operator="between">
      <formula>-0.15</formula>
      <formula>-0.0001</formula>
    </cfRule>
  </conditionalFormatting>
  <conditionalFormatting sqref="AH1345:AI1345">
    <cfRule type="cellIs" dxfId="1027" priority="1154" stopIfTrue="1" operator="between">
      <formula>-0.15</formula>
      <formula>0.005</formula>
    </cfRule>
  </conditionalFormatting>
  <conditionalFormatting sqref="N1345">
    <cfRule type="cellIs" dxfId="1026" priority="1153" stopIfTrue="1" operator="between">
      <formula>-350</formula>
      <formula>-1</formula>
    </cfRule>
  </conditionalFormatting>
  <conditionalFormatting sqref="AE1344">
    <cfRule type="cellIs" dxfId="1025" priority="1152" stopIfTrue="1" operator="between">
      <formula>-0.15</formula>
      <formula>-0.0001</formula>
    </cfRule>
  </conditionalFormatting>
  <conditionalFormatting sqref="AH1344:AI1344">
    <cfRule type="cellIs" dxfId="1024" priority="1151" stopIfTrue="1" operator="between">
      <formula>-0.15</formula>
      <formula>0.005</formula>
    </cfRule>
  </conditionalFormatting>
  <conditionalFormatting sqref="N1344">
    <cfRule type="cellIs" dxfId="1023" priority="1150" stopIfTrue="1" operator="between">
      <formula>-350</formula>
      <formula>-1</formula>
    </cfRule>
  </conditionalFormatting>
  <conditionalFormatting sqref="AE1343">
    <cfRule type="cellIs" dxfId="1022" priority="1149" stopIfTrue="1" operator="between">
      <formula>-0.15</formula>
      <formula>-0.0001</formula>
    </cfRule>
  </conditionalFormatting>
  <conditionalFormatting sqref="AH1343:AI1343">
    <cfRule type="cellIs" dxfId="1021" priority="1148" stopIfTrue="1" operator="between">
      <formula>-0.15</formula>
      <formula>0.005</formula>
    </cfRule>
  </conditionalFormatting>
  <conditionalFormatting sqref="N1343">
    <cfRule type="cellIs" dxfId="1020" priority="1147" stopIfTrue="1" operator="between">
      <formula>-350</formula>
      <formula>-1</formula>
    </cfRule>
  </conditionalFormatting>
  <conditionalFormatting sqref="AE1214">
    <cfRule type="cellIs" dxfId="1019" priority="1146" stopIfTrue="1" operator="between">
      <formula>-0.15</formula>
      <formula>-0.0001</formula>
    </cfRule>
  </conditionalFormatting>
  <conditionalFormatting sqref="AH1214:AI1214">
    <cfRule type="cellIs" dxfId="1018" priority="1145" stopIfTrue="1" operator="between">
      <formula>-0.15</formula>
      <formula>0.005</formula>
    </cfRule>
  </conditionalFormatting>
  <conditionalFormatting sqref="N1214">
    <cfRule type="cellIs" dxfId="1017" priority="1144" stopIfTrue="1" operator="between">
      <formula>-350</formula>
      <formula>-1</formula>
    </cfRule>
  </conditionalFormatting>
  <conditionalFormatting sqref="AE1213">
    <cfRule type="cellIs" dxfId="1016" priority="1143" stopIfTrue="1" operator="between">
      <formula>-0.15</formula>
      <formula>-0.0001</formula>
    </cfRule>
  </conditionalFormatting>
  <conditionalFormatting sqref="AH1213:AI1213">
    <cfRule type="cellIs" dxfId="1015" priority="1142" stopIfTrue="1" operator="between">
      <formula>-0.15</formula>
      <formula>0.005</formula>
    </cfRule>
  </conditionalFormatting>
  <conditionalFormatting sqref="N1213">
    <cfRule type="cellIs" dxfId="1014" priority="1141" stopIfTrue="1" operator="between">
      <formula>-350</formula>
      <formula>-1</formula>
    </cfRule>
  </conditionalFormatting>
  <conditionalFormatting sqref="AE1212">
    <cfRule type="cellIs" dxfId="1013" priority="1140" stopIfTrue="1" operator="between">
      <formula>-0.15</formula>
      <formula>-0.0001</formula>
    </cfRule>
  </conditionalFormatting>
  <conditionalFormatting sqref="AH1212:AI1212">
    <cfRule type="cellIs" dxfId="1012" priority="1139" stopIfTrue="1" operator="between">
      <formula>-0.15</formula>
      <formula>0.005</formula>
    </cfRule>
  </conditionalFormatting>
  <conditionalFormatting sqref="N1212">
    <cfRule type="cellIs" dxfId="1011" priority="1138" stopIfTrue="1" operator="between">
      <formula>-350</formula>
      <formula>-1</formula>
    </cfRule>
  </conditionalFormatting>
  <conditionalFormatting sqref="N167">
    <cfRule type="cellIs" dxfId="1010" priority="1116" stopIfTrue="1" operator="between">
      <formula>-350</formula>
      <formula>-1</formula>
    </cfRule>
  </conditionalFormatting>
  <conditionalFormatting sqref="AH161:AI161">
    <cfRule type="cellIs" dxfId="1009" priority="1093" stopIfTrue="1" operator="between">
      <formula>-0.15</formula>
      <formula>0.005</formula>
    </cfRule>
  </conditionalFormatting>
  <conditionalFormatting sqref="AE164">
    <cfRule type="cellIs" dxfId="1008" priority="1106" stopIfTrue="1" operator="between">
      <formula>-0.15</formula>
      <formula>-0.0001</formula>
    </cfRule>
  </conditionalFormatting>
  <conditionalFormatting sqref="N1226">
    <cfRule type="cellIs" dxfId="1007" priority="1072" stopIfTrue="1" operator="between">
      <formula>-350</formula>
      <formula>-1</formula>
    </cfRule>
  </conditionalFormatting>
  <conditionalFormatting sqref="AH1225:AI1225">
    <cfRule type="cellIs" dxfId="1006" priority="1082" stopIfTrue="1" operator="between">
      <formula>-0.15</formula>
      <formula>0.005</formula>
    </cfRule>
  </conditionalFormatting>
  <conditionalFormatting sqref="AE1223">
    <cfRule type="cellIs" dxfId="1005" priority="1089" stopIfTrue="1" operator="between">
      <formula>-0.15</formula>
      <formula>-0.0001</formula>
    </cfRule>
  </conditionalFormatting>
  <conditionalFormatting sqref="AE646">
    <cfRule type="cellIs" dxfId="1004" priority="1128" stopIfTrue="1" operator="between">
      <formula>-0.15</formula>
      <formula>-0.0001</formula>
    </cfRule>
  </conditionalFormatting>
  <conditionalFormatting sqref="AH646:AI646">
    <cfRule type="cellIs" dxfId="1003" priority="1127" stopIfTrue="1" operator="between">
      <formula>-0.15</formula>
      <formula>0.005</formula>
    </cfRule>
  </conditionalFormatting>
  <conditionalFormatting sqref="N646">
    <cfRule type="cellIs" dxfId="1002" priority="1126" stopIfTrue="1" operator="between">
      <formula>-350</formula>
      <formula>-1</formula>
    </cfRule>
  </conditionalFormatting>
  <conditionalFormatting sqref="AH170:AI170">
    <cfRule type="cellIs" dxfId="1001" priority="1123" stopIfTrue="1" operator="between">
      <formula>-0.15</formula>
      <formula>0.005</formula>
    </cfRule>
  </conditionalFormatting>
  <conditionalFormatting sqref="AE169">
    <cfRule type="cellIs" dxfId="1000" priority="1119" stopIfTrue="1" operator="between">
      <formula>-0.15</formula>
      <formula>-0.0001</formula>
    </cfRule>
  </conditionalFormatting>
  <conditionalFormatting sqref="N169">
    <cfRule type="cellIs" dxfId="999" priority="1118" stopIfTrue="1" operator="between">
      <formula>-350</formula>
      <formula>-1</formula>
    </cfRule>
  </conditionalFormatting>
  <conditionalFormatting sqref="AH169:AI169">
    <cfRule type="cellIs" dxfId="998" priority="1117" stopIfTrue="1" operator="between">
      <formula>-0.15</formula>
      <formula>0.005</formula>
    </cfRule>
  </conditionalFormatting>
  <conditionalFormatting sqref="AE168">
    <cfRule type="cellIs" dxfId="997" priority="1122" stopIfTrue="1" operator="between">
      <formula>-0.15</formula>
      <formula>-0.0001</formula>
    </cfRule>
  </conditionalFormatting>
  <conditionalFormatting sqref="AH168:AI168">
    <cfRule type="cellIs" dxfId="996" priority="1120" stopIfTrue="1" operator="between">
      <formula>-0.15</formula>
      <formula>0.005</formula>
    </cfRule>
  </conditionalFormatting>
  <conditionalFormatting sqref="N168">
    <cfRule type="cellIs" dxfId="995" priority="1121" stopIfTrue="1" operator="between">
      <formula>-350</formula>
      <formula>-1</formula>
    </cfRule>
  </conditionalFormatting>
  <conditionalFormatting sqref="AE170">
    <cfRule type="cellIs" dxfId="994" priority="1124" stopIfTrue="1" operator="between">
      <formula>-0.15</formula>
      <formula>-0.0001</formula>
    </cfRule>
  </conditionalFormatting>
  <conditionalFormatting sqref="N170">
    <cfRule type="cellIs" dxfId="993" priority="1125" stopIfTrue="1" operator="between">
      <formula>-350</formula>
      <formula>-1</formula>
    </cfRule>
  </conditionalFormatting>
  <conditionalFormatting sqref="AH167:AI167">
    <cfRule type="cellIs" dxfId="992" priority="1114" stopIfTrue="1" operator="between">
      <formula>-0.15</formula>
      <formula>0.005</formula>
    </cfRule>
  </conditionalFormatting>
  <conditionalFormatting sqref="AE166">
    <cfRule type="cellIs" dxfId="991" priority="1110" stopIfTrue="1" operator="between">
      <formula>-0.15</formula>
      <formula>-0.0001</formula>
    </cfRule>
  </conditionalFormatting>
  <conditionalFormatting sqref="N166">
    <cfRule type="cellIs" dxfId="990" priority="1109" stopIfTrue="1" operator="between">
      <formula>-350</formula>
      <formula>-1</formula>
    </cfRule>
  </conditionalFormatting>
  <conditionalFormatting sqref="AH166:AI166">
    <cfRule type="cellIs" dxfId="989" priority="1108" stopIfTrue="1" operator="between">
      <formula>-0.15</formula>
      <formula>0.005</formula>
    </cfRule>
  </conditionalFormatting>
  <conditionalFormatting sqref="AE165">
    <cfRule type="cellIs" dxfId="988" priority="1113" stopIfTrue="1" operator="between">
      <formula>-0.15</formula>
      <formula>-0.0001</formula>
    </cfRule>
  </conditionalFormatting>
  <conditionalFormatting sqref="AH165:AI165">
    <cfRule type="cellIs" dxfId="987" priority="1111" stopIfTrue="1" operator="between">
      <formula>-0.15</formula>
      <formula>0.005</formula>
    </cfRule>
  </conditionalFormatting>
  <conditionalFormatting sqref="N165">
    <cfRule type="cellIs" dxfId="986" priority="1112" stopIfTrue="1" operator="between">
      <formula>-350</formula>
      <formula>-1</formula>
    </cfRule>
  </conditionalFormatting>
  <conditionalFormatting sqref="AE167">
    <cfRule type="cellIs" dxfId="985" priority="1115" stopIfTrue="1" operator="between">
      <formula>-0.15</formula>
      <formula>-0.0001</formula>
    </cfRule>
  </conditionalFormatting>
  <conditionalFormatting sqref="N161">
    <cfRule type="cellIs" dxfId="984" priority="1094" stopIfTrue="1" operator="between">
      <formula>-350</formula>
      <formula>-1</formula>
    </cfRule>
  </conditionalFormatting>
  <conditionalFormatting sqref="AH164:AI164">
    <cfRule type="cellIs" dxfId="983" priority="1105" stopIfTrue="1" operator="between">
      <formula>-0.15</formula>
      <formula>0.005</formula>
    </cfRule>
  </conditionalFormatting>
  <conditionalFormatting sqref="AE163">
    <cfRule type="cellIs" dxfId="982" priority="1101" stopIfTrue="1" operator="between">
      <formula>-0.15</formula>
      <formula>-0.0001</formula>
    </cfRule>
  </conditionalFormatting>
  <conditionalFormatting sqref="N163">
    <cfRule type="cellIs" dxfId="981" priority="1100" stopIfTrue="1" operator="between">
      <formula>-350</formula>
      <formula>-1</formula>
    </cfRule>
  </conditionalFormatting>
  <conditionalFormatting sqref="AH163:AI163">
    <cfRule type="cellIs" dxfId="980" priority="1099" stopIfTrue="1" operator="between">
      <formula>-0.15</formula>
      <formula>0.005</formula>
    </cfRule>
  </conditionalFormatting>
  <conditionalFormatting sqref="AE160">
    <cfRule type="cellIs" dxfId="979" priority="1104" stopIfTrue="1" operator="between">
      <formula>-0.15</formula>
      <formula>-0.0001</formula>
    </cfRule>
  </conditionalFormatting>
  <conditionalFormatting sqref="AH160:AI160">
    <cfRule type="cellIs" dxfId="978" priority="1102" stopIfTrue="1" operator="between">
      <formula>-0.15</formula>
      <formula>0.005</formula>
    </cfRule>
  </conditionalFormatting>
  <conditionalFormatting sqref="N160">
    <cfRule type="cellIs" dxfId="977" priority="1103" stopIfTrue="1" operator="between">
      <formula>-350</formula>
      <formula>-1</formula>
    </cfRule>
  </conditionalFormatting>
  <conditionalFormatting sqref="AE161">
    <cfRule type="cellIs" dxfId="976" priority="1095" stopIfTrue="1" operator="between">
      <formula>-0.15</formula>
      <formula>-0.0001</formula>
    </cfRule>
  </conditionalFormatting>
  <conditionalFormatting sqref="N164">
    <cfRule type="cellIs" dxfId="975" priority="1107" stopIfTrue="1" operator="between">
      <formula>-350</formula>
      <formula>-1</formula>
    </cfRule>
  </conditionalFormatting>
  <conditionalFormatting sqref="AE162">
    <cfRule type="cellIs" dxfId="974" priority="1098" stopIfTrue="1" operator="between">
      <formula>-0.15</formula>
      <formula>-0.0001</formula>
    </cfRule>
  </conditionalFormatting>
  <conditionalFormatting sqref="N162">
    <cfRule type="cellIs" dxfId="973" priority="1097" stopIfTrue="1" operator="between">
      <formula>-350</formula>
      <formula>-1</formula>
    </cfRule>
  </conditionalFormatting>
  <conditionalFormatting sqref="AH162:AI162">
    <cfRule type="cellIs" dxfId="972" priority="1096" stopIfTrue="1" operator="between">
      <formula>-0.15</formula>
      <formula>0.005</formula>
    </cfRule>
  </conditionalFormatting>
  <conditionalFormatting sqref="AE1231">
    <cfRule type="cellIs" dxfId="971" priority="1071" stopIfTrue="1" operator="between">
      <formula>-0.15</formula>
      <formula>-0.0001</formula>
    </cfRule>
  </conditionalFormatting>
  <conditionalFormatting sqref="N1228">
    <cfRule type="cellIs" dxfId="970" priority="1078" stopIfTrue="1" operator="between">
      <formula>-350</formula>
      <formula>-1</formula>
    </cfRule>
  </conditionalFormatting>
  <conditionalFormatting sqref="AH1223:AI1223">
    <cfRule type="cellIs" dxfId="969" priority="1088" stopIfTrue="1" operator="between">
      <formula>-0.15</formula>
      <formula>0.005</formula>
    </cfRule>
  </conditionalFormatting>
  <conditionalFormatting sqref="N184">
    <cfRule type="cellIs" dxfId="968" priority="1091" stopIfTrue="1" operator="between">
      <formula>-350</formula>
      <formula>-1</formula>
    </cfRule>
  </conditionalFormatting>
  <conditionalFormatting sqref="AH184:AI184">
    <cfRule type="cellIs" dxfId="967" priority="1090" stopIfTrue="1" operator="between">
      <formula>-0.15</formula>
      <formula>0.005</formula>
    </cfRule>
  </conditionalFormatting>
  <conditionalFormatting sqref="AE184">
    <cfRule type="cellIs" dxfId="966" priority="1092" stopIfTrue="1" operator="between">
      <formula>-0.15</formula>
      <formula>-0.0001</formula>
    </cfRule>
  </conditionalFormatting>
  <conditionalFormatting sqref="AH1222:AI1222">
    <cfRule type="cellIs" dxfId="965" priority="1085" stopIfTrue="1" operator="between">
      <formula>-0.15</formula>
      <formula>0.005</formula>
    </cfRule>
  </conditionalFormatting>
  <conditionalFormatting sqref="N1223">
    <cfRule type="cellIs" dxfId="964" priority="1087" stopIfTrue="1" operator="between">
      <formula>-350</formula>
      <formula>-1</formula>
    </cfRule>
  </conditionalFormatting>
  <conditionalFormatting sqref="AE1229">
    <cfRule type="cellIs" dxfId="963" priority="1065" stopIfTrue="1" operator="between">
      <formula>-0.15</formula>
      <formula>-0.0001</formula>
    </cfRule>
  </conditionalFormatting>
  <conditionalFormatting sqref="AE1222">
    <cfRule type="cellIs" dxfId="962" priority="1086" stopIfTrue="1" operator="between">
      <formula>-0.15</formula>
      <formula>-0.0001</formula>
    </cfRule>
  </conditionalFormatting>
  <conditionalFormatting sqref="AH1229:AI1229">
    <cfRule type="cellIs" dxfId="961" priority="1064" stopIfTrue="1" operator="between">
      <formula>-0.15</formula>
      <formula>0.005</formula>
    </cfRule>
  </conditionalFormatting>
  <conditionalFormatting sqref="N1222">
    <cfRule type="cellIs" dxfId="960" priority="1084" stopIfTrue="1" operator="between">
      <formula>-350</formula>
      <formula>-1</formula>
    </cfRule>
  </conditionalFormatting>
  <conditionalFormatting sqref="AH1228:AI1228">
    <cfRule type="cellIs" dxfId="959" priority="1079" stopIfTrue="1" operator="between">
      <formula>-0.15</formula>
      <formula>0.005</formula>
    </cfRule>
  </conditionalFormatting>
  <conditionalFormatting sqref="N1225">
    <cfRule type="cellIs" dxfId="958" priority="1081" stopIfTrue="1" operator="between">
      <formula>-350</formula>
      <formula>-1</formula>
    </cfRule>
  </conditionalFormatting>
  <conditionalFormatting sqref="AE1225">
    <cfRule type="cellIs" dxfId="957" priority="1083" stopIfTrue="1" operator="between">
      <formula>-0.15</formula>
      <formula>-0.0001</formula>
    </cfRule>
  </conditionalFormatting>
  <conditionalFormatting sqref="AH1233:AI1233">
    <cfRule type="cellIs" dxfId="956" priority="1058" stopIfTrue="1" operator="between">
      <formula>-0.15</formula>
      <formula>0.005</formula>
    </cfRule>
  </conditionalFormatting>
  <conditionalFormatting sqref="N1227">
    <cfRule type="cellIs" dxfId="955" priority="1075" stopIfTrue="1" operator="between">
      <formula>-350</formula>
      <formula>-1</formula>
    </cfRule>
  </conditionalFormatting>
  <conditionalFormatting sqref="AE1228">
    <cfRule type="cellIs" dxfId="954" priority="1080" stopIfTrue="1" operator="between">
      <formula>-0.15</formula>
      <formula>-0.0001</formula>
    </cfRule>
  </conditionalFormatting>
  <conditionalFormatting sqref="AH1227:AI1227">
    <cfRule type="cellIs" dxfId="953" priority="1076" stopIfTrue="1" operator="between">
      <formula>-0.15</formula>
      <formula>0.005</formula>
    </cfRule>
  </conditionalFormatting>
  <conditionalFormatting sqref="N1234">
    <cfRule type="cellIs" dxfId="952" priority="1060" stopIfTrue="1" operator="between">
      <formula>-350</formula>
      <formula>-1</formula>
    </cfRule>
  </conditionalFormatting>
  <conditionalFormatting sqref="AE1227">
    <cfRule type="cellIs" dxfId="951" priority="1077" stopIfTrue="1" operator="between">
      <formula>-0.15</formula>
      <formula>-0.0001</formula>
    </cfRule>
  </conditionalFormatting>
  <conditionalFormatting sqref="AH1226:AI1226">
    <cfRule type="cellIs" dxfId="950" priority="1073" stopIfTrue="1" operator="between">
      <formula>-0.15</formula>
      <formula>0.005</formula>
    </cfRule>
  </conditionalFormatting>
  <conditionalFormatting sqref="N1231">
    <cfRule type="cellIs" dxfId="949" priority="1069" stopIfTrue="1" operator="between">
      <formula>-350</formula>
      <formula>-1</formula>
    </cfRule>
  </conditionalFormatting>
  <conditionalFormatting sqref="AE1226">
    <cfRule type="cellIs" dxfId="948" priority="1074" stopIfTrue="1" operator="between">
      <formula>-0.15</formula>
      <formula>-0.0001</formula>
    </cfRule>
  </conditionalFormatting>
  <conditionalFormatting sqref="AH1231:AI1231">
    <cfRule type="cellIs" dxfId="947" priority="1070" stopIfTrue="1" operator="between">
      <formula>-0.15</formula>
      <formula>0.005</formula>
    </cfRule>
  </conditionalFormatting>
  <conditionalFormatting sqref="N1232">
    <cfRule type="cellIs" dxfId="946" priority="1054" stopIfTrue="1" operator="between">
      <formula>-350</formula>
      <formula>-1</formula>
    </cfRule>
  </conditionalFormatting>
  <conditionalFormatting sqref="AE1232">
    <cfRule type="cellIs" dxfId="945" priority="1056" stopIfTrue="1" operator="between">
      <formula>-0.15</formula>
      <formula>-0.0001</formula>
    </cfRule>
  </conditionalFormatting>
  <conditionalFormatting sqref="AH1230:AI1230">
    <cfRule type="cellIs" dxfId="944" priority="1067" stopIfTrue="1" operator="between">
      <formula>-0.15</formula>
      <formula>0.005</formula>
    </cfRule>
  </conditionalFormatting>
  <conditionalFormatting sqref="N1230">
    <cfRule type="cellIs" dxfId="943" priority="1066" stopIfTrue="1" operator="between">
      <formula>-350</formula>
      <formula>-1</formula>
    </cfRule>
  </conditionalFormatting>
  <conditionalFormatting sqref="AE1230">
    <cfRule type="cellIs" dxfId="942" priority="1068" stopIfTrue="1" operator="between">
      <formula>-0.15</formula>
      <formula>-0.0001</formula>
    </cfRule>
  </conditionalFormatting>
  <conditionalFormatting sqref="AH1238:AI1238">
    <cfRule type="cellIs" dxfId="941" priority="1049" stopIfTrue="1" operator="between">
      <formula>-0.15</formula>
      <formula>0.005</formula>
    </cfRule>
  </conditionalFormatting>
  <conditionalFormatting sqref="N1229">
    <cfRule type="cellIs" dxfId="940" priority="1063" stopIfTrue="1" operator="between">
      <formula>-350</formula>
      <formula>-1</formula>
    </cfRule>
  </conditionalFormatting>
  <conditionalFormatting sqref="AE1238">
    <cfRule type="cellIs" dxfId="939" priority="1050" stopIfTrue="1" operator="between">
      <formula>-0.15</formula>
      <formula>-0.0001</formula>
    </cfRule>
  </conditionalFormatting>
  <conditionalFormatting sqref="AH1234:AI1234">
    <cfRule type="cellIs" dxfId="938" priority="1061" stopIfTrue="1" operator="between">
      <formula>-0.15</formula>
      <formula>0.005</formula>
    </cfRule>
  </conditionalFormatting>
  <conditionalFormatting sqref="N1251">
    <cfRule type="cellIs" dxfId="937" priority="1045" stopIfTrue="1" operator="between">
      <formula>-350</formula>
      <formula>-1</formula>
    </cfRule>
  </conditionalFormatting>
  <conditionalFormatting sqref="AE1234">
    <cfRule type="cellIs" dxfId="936" priority="1062" stopIfTrue="1" operator="between">
      <formula>-0.15</formula>
      <formula>-0.0001</formula>
    </cfRule>
  </conditionalFormatting>
  <conditionalFormatting sqref="AH1244:AI1244">
    <cfRule type="cellIs" dxfId="935" priority="1043" stopIfTrue="1" operator="between">
      <formula>-0.15</formula>
      <formula>0.005</formula>
    </cfRule>
  </conditionalFormatting>
  <conditionalFormatting sqref="N1233">
    <cfRule type="cellIs" dxfId="934" priority="1057" stopIfTrue="1" operator="between">
      <formula>-350</formula>
      <formula>-1</formula>
    </cfRule>
  </conditionalFormatting>
  <conditionalFormatting sqref="AE1233">
    <cfRule type="cellIs" dxfId="933" priority="1059" stopIfTrue="1" operator="between">
      <formula>-0.15</formula>
      <formula>-0.0001</formula>
    </cfRule>
  </conditionalFormatting>
  <conditionalFormatting sqref="AH1232:AI1232">
    <cfRule type="cellIs" dxfId="932" priority="1055" stopIfTrue="1" operator="between">
      <formula>-0.15</formula>
      <formula>0.005</formula>
    </cfRule>
  </conditionalFormatting>
  <conditionalFormatting sqref="N1243">
    <cfRule type="cellIs" dxfId="931" priority="1039" stopIfTrue="1" operator="between">
      <formula>-350</formula>
      <formula>-1</formula>
    </cfRule>
  </conditionalFormatting>
  <conditionalFormatting sqref="AE1243">
    <cfRule type="cellIs" dxfId="930" priority="1041" stopIfTrue="1" operator="between">
      <formula>-0.15</formula>
      <formula>-0.0001</formula>
    </cfRule>
  </conditionalFormatting>
  <conditionalFormatting sqref="AH1235:AI1235">
    <cfRule type="cellIs" dxfId="929" priority="1052" stopIfTrue="1" operator="between">
      <formula>-0.15</formula>
      <formula>0.005</formula>
    </cfRule>
  </conditionalFormatting>
  <conditionalFormatting sqref="N1235">
    <cfRule type="cellIs" dxfId="928" priority="1051" stopIfTrue="1" operator="between">
      <formula>-350</formula>
      <formula>-1</formula>
    </cfRule>
  </conditionalFormatting>
  <conditionalFormatting sqref="AE1235">
    <cfRule type="cellIs" dxfId="927" priority="1053" stopIfTrue="1" operator="between">
      <formula>-0.15</formula>
      <formula>-0.0001</formula>
    </cfRule>
  </conditionalFormatting>
  <conditionalFormatting sqref="AE1241">
    <cfRule type="cellIs" dxfId="926" priority="1035" stopIfTrue="1" operator="between">
      <formula>-0.15</formula>
      <formula>-0.0001</formula>
    </cfRule>
  </conditionalFormatting>
  <conditionalFormatting sqref="AH1241:AI1241">
    <cfRule type="cellIs" dxfId="925" priority="1034" stopIfTrue="1" operator="between">
      <formula>-0.15</formula>
      <formula>0.005</formula>
    </cfRule>
  </conditionalFormatting>
  <conditionalFormatting sqref="N1238">
    <cfRule type="cellIs" dxfId="924" priority="1048" stopIfTrue="1" operator="between">
      <formula>-350</formula>
      <formula>-1</formula>
    </cfRule>
  </conditionalFormatting>
  <conditionalFormatting sqref="AE1251">
    <cfRule type="cellIs" dxfId="923" priority="1047" stopIfTrue="1" operator="between">
      <formula>-0.15</formula>
      <formula>-0.0001</formula>
    </cfRule>
  </conditionalFormatting>
  <conditionalFormatting sqref="AH1251:AI1251">
    <cfRule type="cellIs" dxfId="922" priority="1046" stopIfTrue="1" operator="between">
      <formula>-0.15</formula>
      <formula>0.005</formula>
    </cfRule>
  </conditionalFormatting>
  <conditionalFormatting sqref="N1249">
    <cfRule type="cellIs" dxfId="921" priority="1021" stopIfTrue="1" operator="between">
      <formula>-350</formula>
      <formula>-1</formula>
    </cfRule>
  </conditionalFormatting>
  <conditionalFormatting sqref="AE1244">
    <cfRule type="cellIs" dxfId="920" priority="1044" stopIfTrue="1" operator="between">
      <formula>-0.15</formula>
      <formula>-0.0001</formula>
    </cfRule>
  </conditionalFormatting>
  <conditionalFormatting sqref="AH1239:AI1239">
    <cfRule type="cellIs" dxfId="919" priority="1028" stopIfTrue="1" operator="between">
      <formula>-0.15</formula>
      <formula>0.005</formula>
    </cfRule>
  </conditionalFormatting>
  <conditionalFormatting sqref="N1244">
    <cfRule type="cellIs" dxfId="918" priority="1042" stopIfTrue="1" operator="between">
      <formula>-350</formula>
      <formula>-1</formula>
    </cfRule>
  </conditionalFormatting>
  <conditionalFormatting sqref="AE1246">
    <cfRule type="cellIs" dxfId="917" priority="1014" stopIfTrue="1" operator="between">
      <formula>-0.15</formula>
      <formula>-0.0001</formula>
    </cfRule>
  </conditionalFormatting>
  <conditionalFormatting sqref="AH1243:AI1243">
    <cfRule type="cellIs" dxfId="916" priority="1040" stopIfTrue="1" operator="between">
      <formula>-0.15</formula>
      <formula>0.005</formula>
    </cfRule>
  </conditionalFormatting>
  <conditionalFormatting sqref="N1247">
    <cfRule type="cellIs" dxfId="915" priority="1015" stopIfTrue="1" operator="between">
      <formula>-350</formula>
      <formula>-1</formula>
    </cfRule>
  </conditionalFormatting>
  <conditionalFormatting sqref="AE1242">
    <cfRule type="cellIs" dxfId="914" priority="1038" stopIfTrue="1" operator="between">
      <formula>-0.15</formula>
      <formula>-0.0001</formula>
    </cfRule>
  </conditionalFormatting>
  <conditionalFormatting sqref="AH1242:AI1242">
    <cfRule type="cellIs" dxfId="913" priority="1037" stopIfTrue="1" operator="between">
      <formula>-0.15</formula>
      <formula>0.005</formula>
    </cfRule>
  </conditionalFormatting>
  <conditionalFormatting sqref="N1242">
    <cfRule type="cellIs" dxfId="912" priority="1036" stopIfTrue="1" operator="between">
      <formula>-350</formula>
      <formula>-1</formula>
    </cfRule>
  </conditionalFormatting>
  <conditionalFormatting sqref="AE1254">
    <cfRule type="cellIs" dxfId="911" priority="1008" stopIfTrue="1" operator="between">
      <formula>-0.15</formula>
      <formula>-0.0001</formula>
    </cfRule>
  </conditionalFormatting>
  <conditionalFormatting sqref="AH1240:AI1240">
    <cfRule type="cellIs" dxfId="910" priority="1031" stopIfTrue="1" operator="between">
      <formula>-0.15</formula>
      <formula>0.005</formula>
    </cfRule>
  </conditionalFormatting>
  <conditionalFormatting sqref="N1241">
    <cfRule type="cellIs" dxfId="909" priority="1033" stopIfTrue="1" operator="between">
      <formula>-350</formula>
      <formula>-1</formula>
    </cfRule>
  </conditionalFormatting>
  <conditionalFormatting sqref="AE1240">
    <cfRule type="cellIs" dxfId="908" priority="1032" stopIfTrue="1" operator="between">
      <formula>-0.15</formula>
      <formula>-0.0001</formula>
    </cfRule>
  </conditionalFormatting>
  <conditionalFormatting sqref="AH1952:AI1952">
    <cfRule type="cellIs" dxfId="907" priority="1004" stopIfTrue="1" operator="between">
      <formula>-0.15</formula>
      <formula>0.005</formula>
    </cfRule>
  </conditionalFormatting>
  <conditionalFormatting sqref="N1240">
    <cfRule type="cellIs" dxfId="906" priority="1030" stopIfTrue="1" operator="between">
      <formula>-350</formula>
      <formula>-1</formula>
    </cfRule>
  </conditionalFormatting>
  <conditionalFormatting sqref="AE1239">
    <cfRule type="cellIs" dxfId="905" priority="1029" stopIfTrue="1" operator="between">
      <formula>-0.15</formula>
      <formula>-0.0001</formula>
    </cfRule>
  </conditionalFormatting>
  <conditionalFormatting sqref="AH1250:AI1250">
    <cfRule type="cellIs" dxfId="904" priority="1025" stopIfTrue="1" operator="between">
      <formula>-0.15</formula>
      <formula>0.005</formula>
    </cfRule>
  </conditionalFormatting>
  <conditionalFormatting sqref="N1239">
    <cfRule type="cellIs" dxfId="903" priority="1027" stopIfTrue="1" operator="between">
      <formula>-350</formula>
      <formula>-1</formula>
    </cfRule>
  </conditionalFormatting>
  <conditionalFormatting sqref="AE1250">
    <cfRule type="cellIs" dxfId="902" priority="1026" stopIfTrue="1" operator="between">
      <formula>-0.15</formula>
      <formula>-0.0001</formula>
    </cfRule>
  </conditionalFormatting>
  <conditionalFormatting sqref="AH1970:AI1970">
    <cfRule type="cellIs" dxfId="901" priority="998" stopIfTrue="1" operator="between">
      <formula>-0.15</formula>
      <formula>0.005</formula>
    </cfRule>
  </conditionalFormatting>
  <conditionalFormatting sqref="N1250">
    <cfRule type="cellIs" dxfId="900" priority="1024" stopIfTrue="1" operator="between">
      <formula>-350</formula>
      <formula>-1</formula>
    </cfRule>
  </conditionalFormatting>
  <conditionalFormatting sqref="AE1249">
    <cfRule type="cellIs" dxfId="899" priority="1023" stopIfTrue="1" operator="between">
      <formula>-0.15</formula>
      <formula>-0.0001</formula>
    </cfRule>
  </conditionalFormatting>
  <conditionalFormatting sqref="AH1249:AI1249">
    <cfRule type="cellIs" dxfId="898" priority="1022" stopIfTrue="1" operator="between">
      <formula>-0.15</formula>
      <formula>0.005</formula>
    </cfRule>
  </conditionalFormatting>
  <conditionalFormatting sqref="N1970">
    <cfRule type="cellIs" dxfId="897" priority="997" stopIfTrue="1" operator="between">
      <formula>-350</formula>
      <formula>-1</formula>
    </cfRule>
  </conditionalFormatting>
  <conditionalFormatting sqref="AE1248">
    <cfRule type="cellIs" dxfId="896" priority="1020" stopIfTrue="1" operator="between">
      <formula>-0.15</formula>
      <formula>-0.0001</formula>
    </cfRule>
  </conditionalFormatting>
  <conditionalFormatting sqref="AH1248:AI1248">
    <cfRule type="cellIs" dxfId="895" priority="1019" stopIfTrue="1" operator="between">
      <formula>-0.15</formula>
      <formula>0.005</formula>
    </cfRule>
  </conditionalFormatting>
  <conditionalFormatting sqref="N1248">
    <cfRule type="cellIs" dxfId="894" priority="1018" stopIfTrue="1" operator="between">
      <formula>-350</formula>
      <formula>-1</formula>
    </cfRule>
  </conditionalFormatting>
  <conditionalFormatting sqref="AE1247">
    <cfRule type="cellIs" dxfId="893" priority="1017" stopIfTrue="1" operator="between">
      <formula>-0.15</formula>
      <formula>-0.0001</formula>
    </cfRule>
  </conditionalFormatting>
  <conditionalFormatting sqref="AH1247:AI1247">
    <cfRule type="cellIs" dxfId="892" priority="1016" stopIfTrue="1" operator="between">
      <formula>-0.15</formula>
      <formula>0.005</formula>
    </cfRule>
  </conditionalFormatting>
  <conditionalFormatting sqref="N400">
    <cfRule type="cellIs" dxfId="891" priority="991" stopIfTrue="1" operator="between">
      <formula>-350</formula>
      <formula>-1</formula>
    </cfRule>
  </conditionalFormatting>
  <conditionalFormatting sqref="AE401">
    <cfRule type="cellIs" dxfId="890" priority="987" stopIfTrue="1" operator="between">
      <formula>-0.15</formula>
      <formula>-0.0001</formula>
    </cfRule>
  </conditionalFormatting>
  <conditionalFormatting sqref="AH1246:AI1246">
    <cfRule type="cellIs" dxfId="889" priority="1013" stopIfTrue="1" operator="between">
      <formula>-0.15</formula>
      <formula>0.005</formula>
    </cfRule>
  </conditionalFormatting>
  <conditionalFormatting sqref="N1246">
    <cfRule type="cellIs" dxfId="888" priority="1012" stopIfTrue="1" operator="between">
      <formula>-350</formula>
      <formula>-1</formula>
    </cfRule>
  </conditionalFormatting>
  <conditionalFormatting sqref="AE1245">
    <cfRule type="cellIs" dxfId="887" priority="1011" stopIfTrue="1" operator="between">
      <formula>-0.15</formula>
      <formula>-0.0001</formula>
    </cfRule>
  </conditionalFormatting>
  <conditionalFormatting sqref="AH1245:AI1245">
    <cfRule type="cellIs" dxfId="886" priority="1010" stopIfTrue="1" operator="between">
      <formula>-0.15</formula>
      <formula>0.005</formula>
    </cfRule>
  </conditionalFormatting>
  <conditionalFormatting sqref="N1245">
    <cfRule type="cellIs" dxfId="885" priority="1009" stopIfTrue="1" operator="between">
      <formula>-350</formula>
      <formula>-1</formula>
    </cfRule>
  </conditionalFormatting>
  <conditionalFormatting sqref="N1254">
    <cfRule type="cellIs" dxfId="884" priority="1006" stopIfTrue="1" operator="between">
      <formula>-350</formula>
      <formula>-1</formula>
    </cfRule>
  </conditionalFormatting>
  <conditionalFormatting sqref="AE463">
    <cfRule type="cellIs" dxfId="883" priority="970" stopIfTrue="1" operator="between">
      <formula>-0.15</formula>
      <formula>-0.0001</formula>
    </cfRule>
  </conditionalFormatting>
  <conditionalFormatting sqref="AH1254:AI1254">
    <cfRule type="cellIs" dxfId="882" priority="1007" stopIfTrue="1" operator="between">
      <formula>-0.15</formula>
      <formula>0.005</formula>
    </cfRule>
  </conditionalFormatting>
  <conditionalFormatting sqref="AE1952">
    <cfRule type="cellIs" dxfId="881" priority="1005" stopIfTrue="1" operator="between">
      <formula>-0.15</formula>
      <formula>-0.0001</formula>
    </cfRule>
  </conditionalFormatting>
  <conditionalFormatting sqref="N1952">
    <cfRule type="cellIs" dxfId="880" priority="1003" stopIfTrue="1" operator="between">
      <formula>-350</formula>
      <formula>-1</formula>
    </cfRule>
  </conditionalFormatting>
  <conditionalFormatting sqref="N1971">
    <cfRule type="cellIs" dxfId="879" priority="1000" stopIfTrue="1" operator="between">
      <formula>-350</formula>
      <formula>-1</formula>
    </cfRule>
  </conditionalFormatting>
  <conditionalFormatting sqref="AE1971">
    <cfRule type="cellIs" dxfId="878" priority="1002" stopIfTrue="1" operator="between">
      <formula>-0.15</formula>
      <formula>-0.0001</formula>
    </cfRule>
  </conditionalFormatting>
  <conditionalFormatting sqref="AH1971:AI1971">
    <cfRule type="cellIs" dxfId="877" priority="1001" stopIfTrue="1" operator="between">
      <formula>-0.15</formula>
      <formula>0.005</formula>
    </cfRule>
  </conditionalFormatting>
  <conditionalFormatting sqref="AE1970">
    <cfRule type="cellIs" dxfId="876" priority="999" stopIfTrue="1" operator="between">
      <formula>-0.15</formula>
      <formula>-0.0001</formula>
    </cfRule>
  </conditionalFormatting>
  <conditionalFormatting sqref="N401">
    <cfRule type="cellIs" dxfId="875" priority="988" stopIfTrue="1" operator="between">
      <formula>-350</formula>
      <formula>-1</formula>
    </cfRule>
  </conditionalFormatting>
  <conditionalFormatting sqref="AE400">
    <cfRule type="cellIs" dxfId="874" priority="990" stopIfTrue="1" operator="between">
      <formula>-0.15</formula>
      <formula>-0.0001</formula>
    </cfRule>
  </conditionalFormatting>
  <conditionalFormatting sqref="AH400:AI400">
    <cfRule type="cellIs" dxfId="873" priority="989" stopIfTrue="1" operator="between">
      <formula>-0.15</formula>
      <formula>0.005</formula>
    </cfRule>
  </conditionalFormatting>
  <conditionalFormatting sqref="AE402">
    <cfRule type="cellIs" dxfId="872" priority="996" stopIfTrue="1" operator="between">
      <formula>-0.15</formula>
      <formula>-0.0001</formula>
    </cfRule>
  </conditionalFormatting>
  <conditionalFormatting sqref="AH402:AI402">
    <cfRule type="cellIs" dxfId="871" priority="995" stopIfTrue="1" operator="between">
      <formula>-0.15</formula>
      <formula>0.005</formula>
    </cfRule>
  </conditionalFormatting>
  <conditionalFormatting sqref="N399">
    <cfRule type="cellIs" dxfId="870" priority="994" stopIfTrue="1" operator="between">
      <formula>-350</formula>
      <formula>-1</formula>
    </cfRule>
  </conditionalFormatting>
  <conditionalFormatting sqref="AE399">
    <cfRule type="cellIs" dxfId="869" priority="993" stopIfTrue="1" operator="between">
      <formula>-0.15</formula>
      <formula>-0.0001</formula>
    </cfRule>
  </conditionalFormatting>
  <conditionalFormatting sqref="AH399:AI399">
    <cfRule type="cellIs" dxfId="868" priority="992" stopIfTrue="1" operator="between">
      <formula>-0.15</formula>
      <formula>0.005</formula>
    </cfRule>
  </conditionalFormatting>
  <conditionalFormatting sqref="AH401:AI401">
    <cfRule type="cellIs" dxfId="867" priority="986" stopIfTrue="1" operator="between">
      <formula>-0.15</formula>
      <formula>0.005</formula>
    </cfRule>
  </conditionalFormatting>
  <conditionalFormatting sqref="N462">
    <cfRule type="cellIs" dxfId="866" priority="974" stopIfTrue="1" operator="between">
      <formula>-350</formula>
      <formula>-1</formula>
    </cfRule>
  </conditionalFormatting>
  <conditionalFormatting sqref="AE462">
    <cfRule type="cellIs" dxfId="865" priority="973" stopIfTrue="1" operator="between">
      <formula>-0.15</formula>
      <formula>-0.0001</formula>
    </cfRule>
  </conditionalFormatting>
  <conditionalFormatting sqref="AH462:AI462">
    <cfRule type="cellIs" dxfId="864" priority="972" stopIfTrue="1" operator="between">
      <formula>-0.15</formula>
      <formula>0.005</formula>
    </cfRule>
  </conditionalFormatting>
  <conditionalFormatting sqref="N495">
    <cfRule type="cellIs" dxfId="863" priority="966" stopIfTrue="1" operator="between">
      <formula>-350</formula>
      <formula>-1</formula>
    </cfRule>
  </conditionalFormatting>
  <conditionalFormatting sqref="AE404">
    <cfRule type="cellIs" dxfId="862" priority="985" stopIfTrue="1" operator="between">
      <formula>-0.15</formula>
      <formula>-0.0001</formula>
    </cfRule>
  </conditionalFormatting>
  <conditionalFormatting sqref="AH404:AI404">
    <cfRule type="cellIs" dxfId="861" priority="984" stopIfTrue="1" operator="between">
      <formula>-0.15</formula>
      <formula>0.005</formula>
    </cfRule>
  </conditionalFormatting>
  <conditionalFormatting sqref="N403">
    <cfRule type="cellIs" dxfId="860" priority="983" stopIfTrue="1" operator="between">
      <formula>-350</formula>
      <formula>-1</formula>
    </cfRule>
  </conditionalFormatting>
  <conditionalFormatting sqref="AE403">
    <cfRule type="cellIs" dxfId="859" priority="982" stopIfTrue="1" operator="between">
      <formula>-0.15</formula>
      <formula>-0.0001</formula>
    </cfRule>
  </conditionalFormatting>
  <conditionalFormatting sqref="AH403:AI403">
    <cfRule type="cellIs" dxfId="858" priority="981" stopIfTrue="1" operator="between">
      <formula>-0.15</formula>
      <formula>0.005</formula>
    </cfRule>
  </conditionalFormatting>
  <conditionalFormatting sqref="AE495">
    <cfRule type="cellIs" dxfId="857" priority="965" stopIfTrue="1" operator="between">
      <formula>-0.15</formula>
      <formula>-0.0001</formula>
    </cfRule>
  </conditionalFormatting>
  <conditionalFormatting sqref="AH495:AI495">
    <cfRule type="cellIs" dxfId="856" priority="964" stopIfTrue="1" operator="between">
      <formula>-0.15</formula>
      <formula>0.005</formula>
    </cfRule>
  </conditionalFormatting>
  <conditionalFormatting sqref="AH463:AI463">
    <cfRule type="cellIs" dxfId="855" priority="969" stopIfTrue="1" operator="between">
      <formula>-0.15</formula>
      <formula>0.005</formula>
    </cfRule>
  </conditionalFormatting>
  <conditionalFormatting sqref="N463">
    <cfRule type="cellIs" dxfId="854" priority="971" stopIfTrue="1" operator="between">
      <formula>-350</formula>
      <formula>-1</formula>
    </cfRule>
  </conditionalFormatting>
  <conditionalFormatting sqref="AE497">
    <cfRule type="cellIs" dxfId="853" priority="968" stopIfTrue="1" operator="between">
      <formula>-0.15</formula>
      <formula>-0.0001</formula>
    </cfRule>
  </conditionalFormatting>
  <conditionalFormatting sqref="AH497:AI497">
    <cfRule type="cellIs" dxfId="852" priority="967" stopIfTrue="1" operator="between">
      <formula>-0.15</formula>
      <formula>0.005</formula>
    </cfRule>
  </conditionalFormatting>
  <conditionalFormatting sqref="AE496">
    <cfRule type="cellIs" dxfId="851" priority="963" stopIfTrue="1" operator="between">
      <formula>-0.15</formula>
      <formula>-0.0001</formula>
    </cfRule>
  </conditionalFormatting>
  <conditionalFormatting sqref="AH496:AI496">
    <cfRule type="cellIs" dxfId="850" priority="962" stopIfTrue="1" operator="between">
      <formula>-0.15</formula>
      <formula>0.005</formula>
    </cfRule>
  </conditionalFormatting>
  <conditionalFormatting sqref="N496">
    <cfRule type="cellIs" dxfId="849" priority="961" stopIfTrue="1" operator="between">
      <formula>-350</formula>
      <formula>-1</formula>
    </cfRule>
  </conditionalFormatting>
  <conditionalFormatting sqref="AE1921">
    <cfRule type="cellIs" dxfId="848" priority="960" stopIfTrue="1" operator="between">
      <formula>-0.15</formula>
      <formula>-0.0001</formula>
    </cfRule>
  </conditionalFormatting>
  <conditionalFormatting sqref="AH1921:AI1921">
    <cfRule type="cellIs" dxfId="847" priority="959" stopIfTrue="1" operator="between">
      <formula>-0.15</formula>
      <formula>0.005</formula>
    </cfRule>
  </conditionalFormatting>
  <conditionalFormatting sqref="N1921">
    <cfRule type="cellIs" dxfId="846" priority="958" stopIfTrue="1" operator="between">
      <formula>-350</formula>
      <formula>-1</formula>
    </cfRule>
  </conditionalFormatting>
  <conditionalFormatting sqref="AE1920">
    <cfRule type="cellIs" dxfId="845" priority="957" stopIfTrue="1" operator="between">
      <formula>-0.15</formula>
      <formula>-0.0001</formula>
    </cfRule>
  </conditionalFormatting>
  <conditionalFormatting sqref="AH1920:AI1920">
    <cfRule type="cellIs" dxfId="844" priority="956" stopIfTrue="1" operator="between">
      <formula>-0.15</formula>
      <formula>0.005</formula>
    </cfRule>
  </conditionalFormatting>
  <conditionalFormatting sqref="N1920">
    <cfRule type="cellIs" dxfId="843" priority="955" stopIfTrue="1" operator="between">
      <formula>-350</formula>
      <formula>-1</formula>
    </cfRule>
  </conditionalFormatting>
  <conditionalFormatting sqref="AE1916">
    <cfRule type="cellIs" dxfId="842" priority="954" stopIfTrue="1" operator="between">
      <formula>-0.15</formula>
      <formula>-0.0001</formula>
    </cfRule>
  </conditionalFormatting>
  <conditionalFormatting sqref="AH1916:AI1916">
    <cfRule type="cellIs" dxfId="841" priority="953" stopIfTrue="1" operator="between">
      <formula>-0.15</formula>
      <formula>0.005</formula>
    </cfRule>
  </conditionalFormatting>
  <conditionalFormatting sqref="N1916">
    <cfRule type="cellIs" dxfId="840" priority="952" stopIfTrue="1" operator="between">
      <formula>-350</formula>
      <formula>-1</formula>
    </cfRule>
  </conditionalFormatting>
  <conditionalFormatting sqref="N21">
    <cfRule type="cellIs" dxfId="839" priority="951" stopIfTrue="1" operator="between">
      <formula>-350</formula>
      <formula>-1</formula>
    </cfRule>
  </conditionalFormatting>
  <conditionalFormatting sqref="AE21">
    <cfRule type="cellIs" dxfId="838" priority="950" stopIfTrue="1" operator="between">
      <formula>-0.15</formula>
      <formula>-0.0001</formula>
    </cfRule>
  </conditionalFormatting>
  <conditionalFormatting sqref="AH21:AI21">
    <cfRule type="cellIs" dxfId="837" priority="949" stopIfTrue="1" operator="between">
      <formula>-0.15</formula>
      <formula>0.005</formula>
    </cfRule>
  </conditionalFormatting>
  <conditionalFormatting sqref="AE2011">
    <cfRule type="cellIs" dxfId="836" priority="948" stopIfTrue="1" operator="between">
      <formula>-0.15</formula>
      <formula>-0.0001</formula>
    </cfRule>
  </conditionalFormatting>
  <conditionalFormatting sqref="AH2011:AI2011">
    <cfRule type="cellIs" dxfId="835" priority="947" stopIfTrue="1" operator="between">
      <formula>-0.15</formula>
      <formula>0.005</formula>
    </cfRule>
  </conditionalFormatting>
  <conditionalFormatting sqref="AE2009">
    <cfRule type="cellIs" dxfId="834" priority="946" stopIfTrue="1" operator="between">
      <formula>-0.15</formula>
      <formula>-0.0001</formula>
    </cfRule>
  </conditionalFormatting>
  <conditionalFormatting sqref="AH2009:AI2009">
    <cfRule type="cellIs" dxfId="833" priority="945" stopIfTrue="1" operator="between">
      <formula>-0.15</formula>
      <formula>0.005</formula>
    </cfRule>
  </conditionalFormatting>
  <conditionalFormatting sqref="N2009">
    <cfRule type="cellIs" dxfId="832" priority="944" stopIfTrue="1" operator="between">
      <formula>-350</formula>
      <formula>-1</formula>
    </cfRule>
  </conditionalFormatting>
  <conditionalFormatting sqref="AE2010">
    <cfRule type="cellIs" dxfId="831" priority="940" stopIfTrue="1" operator="between">
      <formula>-0.15</formula>
      <formula>-0.0001</formula>
    </cfRule>
  </conditionalFormatting>
  <conditionalFormatting sqref="AH2010:AI2010">
    <cfRule type="cellIs" dxfId="830" priority="939" stopIfTrue="1" operator="between">
      <formula>-0.15</formula>
      <formula>0.005</formula>
    </cfRule>
  </conditionalFormatting>
  <conditionalFormatting sqref="N2010">
    <cfRule type="cellIs" dxfId="829" priority="938" stopIfTrue="1" operator="between">
      <formula>-350</formula>
      <formula>-1</formula>
    </cfRule>
  </conditionalFormatting>
  <conditionalFormatting sqref="AE25">
    <cfRule type="cellIs" dxfId="828" priority="937" stopIfTrue="1" operator="between">
      <formula>-0.15</formula>
      <formula>-0.0001</formula>
    </cfRule>
  </conditionalFormatting>
  <conditionalFormatting sqref="AH25:AI25">
    <cfRule type="cellIs" dxfId="827" priority="936" stopIfTrue="1" operator="between">
      <formula>-0.15</formula>
      <formula>0.005</formula>
    </cfRule>
  </conditionalFormatting>
  <conditionalFormatting sqref="AE24">
    <cfRule type="cellIs" dxfId="826" priority="934" stopIfTrue="1" operator="between">
      <formula>-0.15</formula>
      <formula>-0.0001</formula>
    </cfRule>
  </conditionalFormatting>
  <conditionalFormatting sqref="AH24:AI24">
    <cfRule type="cellIs" dxfId="825" priority="933" stopIfTrue="1" operator="between">
      <formula>-0.15</formula>
      <formula>0.005</formula>
    </cfRule>
  </conditionalFormatting>
  <conditionalFormatting sqref="N24">
    <cfRule type="cellIs" dxfId="824" priority="935" stopIfTrue="1" operator="between">
      <formula>-350</formula>
      <formula>-1</formula>
    </cfRule>
  </conditionalFormatting>
  <conditionalFormatting sqref="AE29">
    <cfRule type="cellIs" dxfId="823" priority="932" stopIfTrue="1" operator="between">
      <formula>-0.15</formula>
      <formula>-0.0001</formula>
    </cfRule>
  </conditionalFormatting>
  <conditionalFormatting sqref="AH29:AI29">
    <cfRule type="cellIs" dxfId="822" priority="931" stopIfTrue="1" operator="between">
      <formula>-0.15</formula>
      <formula>0.005</formula>
    </cfRule>
  </conditionalFormatting>
  <conditionalFormatting sqref="AE28">
    <cfRule type="cellIs" dxfId="821" priority="929" stopIfTrue="1" operator="between">
      <formula>-0.15</formula>
      <formula>-0.0001</formula>
    </cfRule>
  </conditionalFormatting>
  <conditionalFormatting sqref="AH28:AI28">
    <cfRule type="cellIs" dxfId="820" priority="928" stopIfTrue="1" operator="between">
      <formula>-0.15</formula>
      <formula>0.005</formula>
    </cfRule>
  </conditionalFormatting>
  <conditionalFormatting sqref="N28">
    <cfRule type="cellIs" dxfId="819" priority="930" stopIfTrue="1" operator="between">
      <formula>-350</formula>
      <formula>-1</formula>
    </cfRule>
  </conditionalFormatting>
  <conditionalFormatting sqref="N1159">
    <cfRule type="cellIs" dxfId="818" priority="925" stopIfTrue="1" operator="between">
      <formula>-350</formula>
      <formula>-1</formula>
    </cfRule>
  </conditionalFormatting>
  <conditionalFormatting sqref="AH1159:AI1159">
    <cfRule type="cellIs" dxfId="817" priority="923" stopIfTrue="1" operator="between">
      <formula>-0.15</formula>
      <formula>0.005</formula>
    </cfRule>
  </conditionalFormatting>
  <conditionalFormatting sqref="AE1160">
    <cfRule type="cellIs" dxfId="816" priority="927" stopIfTrue="1" operator="between">
      <formula>-0.15</formula>
      <formula>-0.0001</formula>
    </cfRule>
  </conditionalFormatting>
  <conditionalFormatting sqref="AH1160:AI1160">
    <cfRule type="cellIs" dxfId="815" priority="926" stopIfTrue="1" operator="between">
      <formula>-0.15</formula>
      <formula>0.005</formula>
    </cfRule>
  </conditionalFormatting>
  <conditionalFormatting sqref="AE1159">
    <cfRule type="cellIs" dxfId="814" priority="924" stopIfTrue="1" operator="between">
      <formula>-0.15</formula>
      <formula>-0.0001</formula>
    </cfRule>
  </conditionalFormatting>
  <conditionalFormatting sqref="N1157">
    <cfRule type="cellIs" dxfId="813" priority="920" stopIfTrue="1" operator="between">
      <formula>-350</formula>
      <formula>-1</formula>
    </cfRule>
  </conditionalFormatting>
  <conditionalFormatting sqref="AH1157:AI1157">
    <cfRule type="cellIs" dxfId="812" priority="918" stopIfTrue="1" operator="between">
      <formula>-0.15</formula>
      <formula>0.005</formula>
    </cfRule>
  </conditionalFormatting>
  <conditionalFormatting sqref="AE1158">
    <cfRule type="cellIs" dxfId="811" priority="922" stopIfTrue="1" operator="between">
      <formula>-0.15</formula>
      <formula>-0.0001</formula>
    </cfRule>
  </conditionalFormatting>
  <conditionalFormatting sqref="AH1158:AI1158">
    <cfRule type="cellIs" dxfId="810" priority="921" stopIfTrue="1" operator="between">
      <formula>-0.15</formula>
      <formula>0.005</formula>
    </cfRule>
  </conditionalFormatting>
  <conditionalFormatting sqref="AE1157">
    <cfRule type="cellIs" dxfId="809" priority="919" stopIfTrue="1" operator="between">
      <formula>-0.15</formula>
      <formula>-0.0001</formula>
    </cfRule>
  </conditionalFormatting>
  <conditionalFormatting sqref="N1161">
    <cfRule type="cellIs" dxfId="808" priority="915" stopIfTrue="1" operator="between">
      <formula>-350</formula>
      <formula>-1</formula>
    </cfRule>
  </conditionalFormatting>
  <conditionalFormatting sqref="AH1161:AI1161">
    <cfRule type="cellIs" dxfId="807" priority="913" stopIfTrue="1" operator="between">
      <formula>-0.15</formula>
      <formula>0.005</formula>
    </cfRule>
  </conditionalFormatting>
  <conditionalFormatting sqref="AE1162">
    <cfRule type="cellIs" dxfId="806" priority="917" stopIfTrue="1" operator="between">
      <formula>-0.15</formula>
      <formula>-0.0001</formula>
    </cfRule>
  </conditionalFormatting>
  <conditionalFormatting sqref="AH1162:AI1162">
    <cfRule type="cellIs" dxfId="805" priority="916" stopIfTrue="1" operator="between">
      <formula>-0.15</formula>
      <formula>0.005</formula>
    </cfRule>
  </conditionalFormatting>
  <conditionalFormatting sqref="AE1161">
    <cfRule type="cellIs" dxfId="804" priority="914" stopIfTrue="1" operator="between">
      <formula>-0.15</formula>
      <formula>-0.0001</formula>
    </cfRule>
  </conditionalFormatting>
  <conditionalFormatting sqref="AE350">
    <cfRule type="cellIs" dxfId="803" priority="912" stopIfTrue="1" operator="between">
      <formula>-0.15</formula>
      <formula>-0.0001</formula>
    </cfRule>
  </conditionalFormatting>
  <conditionalFormatting sqref="AH350:AI350">
    <cfRule type="cellIs" dxfId="802" priority="911" stopIfTrue="1" operator="between">
      <formula>-0.15</formula>
      <formula>0.005</formula>
    </cfRule>
  </conditionalFormatting>
  <conditionalFormatting sqref="N350">
    <cfRule type="cellIs" dxfId="801" priority="910" stopIfTrue="1" operator="between">
      <formula>-350</formula>
      <formula>-1</formula>
    </cfRule>
  </conditionalFormatting>
  <conditionalFormatting sqref="N556">
    <cfRule type="cellIs" dxfId="800" priority="907" stopIfTrue="1" operator="between">
      <formula>-350</formula>
      <formula>-1</formula>
    </cfRule>
  </conditionalFormatting>
  <conditionalFormatting sqref="AE556">
    <cfRule type="cellIs" dxfId="799" priority="906" stopIfTrue="1" operator="between">
      <formula>-0.15</formula>
      <formula>-0.0001</formula>
    </cfRule>
  </conditionalFormatting>
  <conditionalFormatting sqref="AH556:AI556">
    <cfRule type="cellIs" dxfId="798" priority="905" stopIfTrue="1" operator="between">
      <formula>-0.15</formula>
      <formula>0.005</formula>
    </cfRule>
  </conditionalFormatting>
  <conditionalFormatting sqref="AE557">
    <cfRule type="cellIs" dxfId="797" priority="909" stopIfTrue="1" operator="between">
      <formula>-0.15</formula>
      <formula>-0.0001</formula>
    </cfRule>
  </conditionalFormatting>
  <conditionalFormatting sqref="AH557:AI557">
    <cfRule type="cellIs" dxfId="796" priority="908" stopIfTrue="1" operator="between">
      <formula>-0.15</formula>
      <formula>0.005</formula>
    </cfRule>
  </conditionalFormatting>
  <conditionalFormatting sqref="N561">
    <cfRule type="cellIs" dxfId="795" priority="899" stopIfTrue="1" operator="between">
      <formula>-350</formula>
      <formula>-1</formula>
    </cfRule>
  </conditionalFormatting>
  <conditionalFormatting sqref="AE561">
    <cfRule type="cellIs" dxfId="794" priority="898" stopIfTrue="1" operator="between">
      <formula>-0.15</formula>
      <formula>-0.0001</formula>
    </cfRule>
  </conditionalFormatting>
  <conditionalFormatting sqref="AH561:AI561">
    <cfRule type="cellIs" dxfId="793" priority="897" stopIfTrue="1" operator="between">
      <formula>-0.15</formula>
      <formula>0.005</formula>
    </cfRule>
  </conditionalFormatting>
  <conditionalFormatting sqref="AE562">
    <cfRule type="cellIs" dxfId="792" priority="901" stopIfTrue="1" operator="between">
      <formula>-0.15</formula>
      <formula>-0.0001</formula>
    </cfRule>
  </conditionalFormatting>
  <conditionalFormatting sqref="AH562:AI562">
    <cfRule type="cellIs" dxfId="791" priority="900" stopIfTrue="1" operator="between">
      <formula>-0.15</formula>
      <formula>0.005</formula>
    </cfRule>
  </conditionalFormatting>
  <conditionalFormatting sqref="N559">
    <cfRule type="cellIs" dxfId="790" priority="886" stopIfTrue="1" operator="between">
      <formula>-350</formula>
      <formula>-1</formula>
    </cfRule>
  </conditionalFormatting>
  <conditionalFormatting sqref="AE559">
    <cfRule type="cellIs" dxfId="789" priority="888" stopIfTrue="1" operator="between">
      <formula>-0.15</formula>
      <formula>-0.0001</formula>
    </cfRule>
  </conditionalFormatting>
  <conditionalFormatting sqref="AH559:AI559">
    <cfRule type="cellIs" dxfId="788" priority="887" stopIfTrue="1" operator="between">
      <formula>-0.15</formula>
      <formula>0.005</formula>
    </cfRule>
  </conditionalFormatting>
  <conditionalFormatting sqref="N558">
    <cfRule type="cellIs" dxfId="787" priority="891" stopIfTrue="1" operator="between">
      <formula>-350</formula>
      <formula>-1</formula>
    </cfRule>
  </conditionalFormatting>
  <conditionalFormatting sqref="AE558">
    <cfRule type="cellIs" dxfId="786" priority="890" stopIfTrue="1" operator="between">
      <formula>-0.15</formula>
      <formula>-0.0001</formula>
    </cfRule>
  </conditionalFormatting>
  <conditionalFormatting sqref="AH558:AI558">
    <cfRule type="cellIs" dxfId="785" priority="889" stopIfTrue="1" operator="between">
      <formula>-0.15</formula>
      <formula>0.005</formula>
    </cfRule>
  </conditionalFormatting>
  <conditionalFormatting sqref="AE560">
    <cfRule type="cellIs" dxfId="784" priority="893" stopIfTrue="1" operator="between">
      <formula>-0.15</formula>
      <formula>-0.0001</formula>
    </cfRule>
  </conditionalFormatting>
  <conditionalFormatting sqref="AH560:AI560">
    <cfRule type="cellIs" dxfId="783" priority="892" stopIfTrue="1" operator="between">
      <formula>-0.15</formula>
      <formula>0.005</formula>
    </cfRule>
  </conditionalFormatting>
  <conditionalFormatting sqref="N1163">
    <cfRule type="cellIs" dxfId="782" priority="883" stopIfTrue="1" operator="between">
      <formula>-350</formula>
      <formula>-1</formula>
    </cfRule>
  </conditionalFormatting>
  <conditionalFormatting sqref="AH1163:AI1163">
    <cfRule type="cellIs" dxfId="781" priority="881" stopIfTrue="1" operator="between">
      <formula>-0.15</formula>
      <formula>0.005</formula>
    </cfRule>
  </conditionalFormatting>
  <conditionalFormatting sqref="AE1164">
    <cfRule type="cellIs" dxfId="780" priority="885" stopIfTrue="1" operator="between">
      <formula>-0.15</formula>
      <formula>-0.0001</formula>
    </cfRule>
  </conditionalFormatting>
  <conditionalFormatting sqref="AH1164:AI1164">
    <cfRule type="cellIs" dxfId="779" priority="884" stopIfTrue="1" operator="between">
      <formula>-0.15</formula>
      <formula>0.005</formula>
    </cfRule>
  </conditionalFormatting>
  <conditionalFormatting sqref="AE1163">
    <cfRule type="cellIs" dxfId="778" priority="882" stopIfTrue="1" operator="between">
      <formula>-0.15</formula>
      <formula>-0.0001</formula>
    </cfRule>
  </conditionalFormatting>
  <conditionalFormatting sqref="AE1278">
    <cfRule type="cellIs" dxfId="777" priority="880" stopIfTrue="1" operator="between">
      <formula>-0.15</formula>
      <formula>-0.0001</formula>
    </cfRule>
  </conditionalFormatting>
  <conditionalFormatting sqref="AH1278:AI1278">
    <cfRule type="cellIs" dxfId="776" priority="879" stopIfTrue="1" operator="between">
      <formula>-0.15</formula>
      <formula>0.005</formula>
    </cfRule>
  </conditionalFormatting>
  <conditionalFormatting sqref="N1278">
    <cfRule type="cellIs" dxfId="775" priority="878" stopIfTrue="1" operator="between">
      <formula>-350</formula>
      <formula>-1</formula>
    </cfRule>
  </conditionalFormatting>
  <conditionalFormatting sqref="AE1279">
    <cfRule type="cellIs" dxfId="774" priority="877" stopIfTrue="1" operator="between">
      <formula>-0.15</formula>
      <formula>-0.0001</formula>
    </cfRule>
  </conditionalFormatting>
  <conditionalFormatting sqref="AH1279:AI1279">
    <cfRule type="cellIs" dxfId="773" priority="876" stopIfTrue="1" operator="between">
      <formula>-0.15</formula>
      <formula>0.005</formula>
    </cfRule>
  </conditionalFormatting>
  <conditionalFormatting sqref="N1279">
    <cfRule type="cellIs" dxfId="772" priority="875" stopIfTrue="1" operator="between">
      <formula>-350</formula>
      <formula>-1</formula>
    </cfRule>
  </conditionalFormatting>
  <conditionalFormatting sqref="AE1281">
    <cfRule type="cellIs" dxfId="771" priority="874" stopIfTrue="1" operator="between">
      <formula>-0.15</formula>
      <formula>-0.0001</formula>
    </cfRule>
  </conditionalFormatting>
  <conditionalFormatting sqref="AH1281:AI1281">
    <cfRule type="cellIs" dxfId="770" priority="873" stopIfTrue="1" operator="between">
      <formula>-0.15</formula>
      <formula>0.005</formula>
    </cfRule>
  </conditionalFormatting>
  <conditionalFormatting sqref="N1281">
    <cfRule type="cellIs" dxfId="769" priority="872" stopIfTrue="1" operator="between">
      <formula>-350</formula>
      <formula>-1</formula>
    </cfRule>
  </conditionalFormatting>
  <conditionalFormatting sqref="AE1368">
    <cfRule type="cellIs" dxfId="768" priority="871" stopIfTrue="1" operator="between">
      <formula>-0.15</formula>
      <formula>-0.0001</formula>
    </cfRule>
  </conditionalFormatting>
  <conditionalFormatting sqref="AH1368:AI1368">
    <cfRule type="cellIs" dxfId="767" priority="870" stopIfTrue="1" operator="between">
      <formula>-0.15</formula>
      <formula>0.005</formula>
    </cfRule>
  </conditionalFormatting>
  <conditionalFormatting sqref="N1368">
    <cfRule type="cellIs" dxfId="766" priority="869" stopIfTrue="1" operator="between">
      <formula>-350</formula>
      <formula>-1</formula>
    </cfRule>
  </conditionalFormatting>
  <conditionalFormatting sqref="AE312">
    <cfRule type="cellIs" dxfId="765" priority="868" stopIfTrue="1" operator="between">
      <formula>-0.15</formula>
      <formula>-0.0001</formula>
    </cfRule>
  </conditionalFormatting>
  <conditionalFormatting sqref="AH312:AI312">
    <cfRule type="cellIs" dxfId="764" priority="867" stopIfTrue="1" operator="between">
      <formula>-0.15</formula>
      <formula>0.005</formula>
    </cfRule>
  </conditionalFormatting>
  <conditionalFormatting sqref="N312">
    <cfRule type="cellIs" dxfId="763" priority="866" stopIfTrue="1" operator="between">
      <formula>-350</formula>
      <formula>-1</formula>
    </cfRule>
  </conditionalFormatting>
  <conditionalFormatting sqref="AE2078">
    <cfRule type="cellIs" dxfId="762" priority="865" stopIfTrue="1" operator="between">
      <formula>-0.15</formula>
      <formula>-0.0001</formula>
    </cfRule>
  </conditionalFormatting>
  <conditionalFormatting sqref="N2078">
    <cfRule type="cellIs" dxfId="761" priority="863" stopIfTrue="1" operator="between">
      <formula>-350</formula>
      <formula>-1</formula>
    </cfRule>
  </conditionalFormatting>
  <conditionalFormatting sqref="AH2078:AI2078">
    <cfRule type="cellIs" dxfId="760" priority="864" stopIfTrue="1" operator="between">
      <formula>-0.15</formula>
      <formula>0.005</formula>
    </cfRule>
  </conditionalFormatting>
  <conditionalFormatting sqref="AE2077">
    <cfRule type="cellIs" dxfId="759" priority="862" stopIfTrue="1" operator="between">
      <formula>-0.15</formula>
      <formula>-0.0001</formula>
    </cfRule>
  </conditionalFormatting>
  <conditionalFormatting sqref="N2077">
    <cfRule type="cellIs" dxfId="758" priority="860" stopIfTrue="1" operator="between">
      <formula>-350</formula>
      <formula>-1</formula>
    </cfRule>
  </conditionalFormatting>
  <conditionalFormatting sqref="AH2077:AI2077">
    <cfRule type="cellIs" dxfId="757" priority="861" stopIfTrue="1" operator="between">
      <formula>-0.15</formula>
      <formula>0.005</formula>
    </cfRule>
  </conditionalFormatting>
  <conditionalFormatting sqref="AE2076">
    <cfRule type="cellIs" dxfId="756" priority="859" stopIfTrue="1" operator="between">
      <formula>-0.15</formula>
      <formula>-0.0001</formula>
    </cfRule>
  </conditionalFormatting>
  <conditionalFormatting sqref="N2076">
    <cfRule type="cellIs" dxfId="755" priority="857" stopIfTrue="1" operator="between">
      <formula>-350</formula>
      <formula>-1</formula>
    </cfRule>
  </conditionalFormatting>
  <conditionalFormatting sqref="AH2076:AI2076">
    <cfRule type="cellIs" dxfId="754" priority="858" stopIfTrue="1" operator="between">
      <formula>-0.15</formula>
      <formula>0.005</formula>
    </cfRule>
  </conditionalFormatting>
  <conditionalFormatting sqref="AE1956">
    <cfRule type="cellIs" dxfId="753" priority="856" stopIfTrue="1" operator="between">
      <formula>-0.15</formula>
      <formula>-0.0001</formula>
    </cfRule>
  </conditionalFormatting>
  <conditionalFormatting sqref="AH1956:AI1956">
    <cfRule type="cellIs" dxfId="752" priority="855" stopIfTrue="1" operator="between">
      <formula>-0.15</formula>
      <formula>0.005</formula>
    </cfRule>
  </conditionalFormatting>
  <conditionalFormatting sqref="N1956">
    <cfRule type="cellIs" dxfId="751" priority="854" stopIfTrue="1" operator="between">
      <formula>-350</formula>
      <formula>-1</formula>
    </cfRule>
  </conditionalFormatting>
  <conditionalFormatting sqref="AE2099">
    <cfRule type="cellIs" dxfId="750" priority="853" stopIfTrue="1" operator="between">
      <formula>-0.15</formula>
      <formula>-0.0001</formula>
    </cfRule>
  </conditionalFormatting>
  <conditionalFormatting sqref="N2099">
    <cfRule type="cellIs" dxfId="749" priority="851" stopIfTrue="1" operator="between">
      <formula>-350</formula>
      <formula>-1</formula>
    </cfRule>
  </conditionalFormatting>
  <conditionalFormatting sqref="AH2099:AI2099">
    <cfRule type="cellIs" dxfId="748" priority="852" stopIfTrue="1" operator="between">
      <formula>-0.15</formula>
      <formula>0.005</formula>
    </cfRule>
  </conditionalFormatting>
  <conditionalFormatting sqref="AH1501:AI1501">
    <cfRule type="cellIs" dxfId="747" priority="849" stopIfTrue="1" operator="between">
      <formula>-0.15</formula>
      <formula>0.005</formula>
    </cfRule>
  </conditionalFormatting>
  <conditionalFormatting sqref="AE1501">
    <cfRule type="cellIs" dxfId="746" priority="850" stopIfTrue="1" operator="between">
      <formula>-0.15</formula>
      <formula>-0.0001</formula>
    </cfRule>
  </conditionalFormatting>
  <conditionalFormatting sqref="AH1499:AI1499">
    <cfRule type="cellIs" dxfId="745" priority="844" stopIfTrue="1" operator="between">
      <formula>-0.15</formula>
      <formula>0.005</formula>
    </cfRule>
  </conditionalFormatting>
  <conditionalFormatting sqref="N1499">
    <cfRule type="cellIs" dxfId="744" priority="843" stopIfTrue="1" operator="between">
      <formula>-350</formula>
      <formula>-1</formula>
    </cfRule>
  </conditionalFormatting>
  <conditionalFormatting sqref="AE1499">
    <cfRule type="cellIs" dxfId="743" priority="845" stopIfTrue="1" operator="between">
      <formula>-0.15</formula>
      <formula>-0.0001</formula>
    </cfRule>
  </conditionalFormatting>
  <conditionalFormatting sqref="AH1500:AI1500">
    <cfRule type="cellIs" dxfId="742" priority="841" stopIfTrue="1" operator="between">
      <formula>-0.15</formula>
      <formula>0.005</formula>
    </cfRule>
  </conditionalFormatting>
  <conditionalFormatting sqref="N1500">
    <cfRule type="cellIs" dxfId="741" priority="840" stopIfTrue="1" operator="between">
      <formula>-350</formula>
      <formula>-1</formula>
    </cfRule>
  </conditionalFormatting>
  <conditionalFormatting sqref="AE1500">
    <cfRule type="cellIs" dxfId="740" priority="842" stopIfTrue="1" operator="between">
      <formula>-0.15</formula>
      <formula>-0.0001</formula>
    </cfRule>
  </conditionalFormatting>
  <conditionalFormatting sqref="AE351">
    <cfRule type="cellIs" dxfId="739" priority="839" stopIfTrue="1" operator="between">
      <formula>-0.15</formula>
      <formula>-0.0001</formula>
    </cfRule>
  </conditionalFormatting>
  <conditionalFormatting sqref="AH351:AI351">
    <cfRule type="cellIs" dxfId="738" priority="838" stopIfTrue="1" operator="between">
      <formula>-0.15</formula>
      <formula>0.005</formula>
    </cfRule>
  </conditionalFormatting>
  <conditionalFormatting sqref="N351">
    <cfRule type="cellIs" dxfId="737" priority="837" stopIfTrue="1" operator="between">
      <formula>-350</formula>
      <formula>-1</formula>
    </cfRule>
  </conditionalFormatting>
  <conditionalFormatting sqref="AE349">
    <cfRule type="cellIs" dxfId="736" priority="836" stopIfTrue="1" operator="between">
      <formula>-0.15</formula>
      <formula>-0.0001</formula>
    </cfRule>
  </conditionalFormatting>
  <conditionalFormatting sqref="AH349:AI349">
    <cfRule type="cellIs" dxfId="735" priority="835" stopIfTrue="1" operator="between">
      <formula>-0.15</formula>
      <formula>0.005</formula>
    </cfRule>
  </conditionalFormatting>
  <conditionalFormatting sqref="N349">
    <cfRule type="cellIs" dxfId="734" priority="834" stopIfTrue="1" operator="between">
      <formula>-350</formula>
      <formula>-1</formula>
    </cfRule>
  </conditionalFormatting>
  <conditionalFormatting sqref="AE348">
    <cfRule type="cellIs" dxfId="733" priority="833" stopIfTrue="1" operator="between">
      <formula>-0.15</formula>
      <formula>-0.0001</formula>
    </cfRule>
  </conditionalFormatting>
  <conditionalFormatting sqref="AH348:AI348">
    <cfRule type="cellIs" dxfId="732" priority="832" stopIfTrue="1" operator="between">
      <formula>-0.15</formula>
      <formula>0.005</formula>
    </cfRule>
  </conditionalFormatting>
  <conditionalFormatting sqref="N348">
    <cfRule type="cellIs" dxfId="731" priority="831" stopIfTrue="1" operator="between">
      <formula>-350</formula>
      <formula>-1</formula>
    </cfRule>
  </conditionalFormatting>
  <conditionalFormatting sqref="AE1478">
    <cfRule type="cellIs" dxfId="730" priority="830" stopIfTrue="1" operator="between">
      <formula>-0.15</formula>
      <formula>-0.0001</formula>
    </cfRule>
  </conditionalFormatting>
  <conditionalFormatting sqref="AH1478:AI1478">
    <cfRule type="cellIs" dxfId="729" priority="829" stopIfTrue="1" operator="between">
      <formula>-0.15</formula>
      <formula>0.005</formula>
    </cfRule>
  </conditionalFormatting>
  <conditionalFormatting sqref="N1478">
    <cfRule type="cellIs" dxfId="728" priority="828" stopIfTrue="1" operator="between">
      <formula>-350</formula>
      <formula>-1</formula>
    </cfRule>
  </conditionalFormatting>
  <conditionalFormatting sqref="AE1477">
    <cfRule type="cellIs" dxfId="727" priority="827" stopIfTrue="1" operator="between">
      <formula>-0.15</formula>
      <formula>-0.0001</formula>
    </cfRule>
  </conditionalFormatting>
  <conditionalFormatting sqref="AH1477:AI1477">
    <cfRule type="cellIs" dxfId="726" priority="826" stopIfTrue="1" operator="between">
      <formula>-0.15</formula>
      <formula>0.005</formula>
    </cfRule>
  </conditionalFormatting>
  <conditionalFormatting sqref="N1477">
    <cfRule type="cellIs" dxfId="725" priority="825" stopIfTrue="1" operator="between">
      <formula>-350</formula>
      <formula>-1</formula>
    </cfRule>
  </conditionalFormatting>
  <conditionalFormatting sqref="AE1476">
    <cfRule type="cellIs" dxfId="724" priority="824" stopIfTrue="1" operator="between">
      <formula>-0.15</formula>
      <formula>-0.0001</formula>
    </cfRule>
  </conditionalFormatting>
  <conditionalFormatting sqref="AH1476:AI1476">
    <cfRule type="cellIs" dxfId="723" priority="823" stopIfTrue="1" operator="between">
      <formula>-0.15</formula>
      <formula>0.005</formula>
    </cfRule>
  </conditionalFormatting>
  <conditionalFormatting sqref="N1476">
    <cfRule type="cellIs" dxfId="722" priority="822" stopIfTrue="1" operator="between">
      <formula>-350</formula>
      <formula>-1</formula>
    </cfRule>
  </conditionalFormatting>
  <conditionalFormatting sqref="AE1475">
    <cfRule type="cellIs" dxfId="721" priority="821" stopIfTrue="1" operator="between">
      <formula>-0.15</formula>
      <formula>-0.0001</formula>
    </cfRule>
  </conditionalFormatting>
  <conditionalFormatting sqref="AH1475:AI1475">
    <cfRule type="cellIs" dxfId="720" priority="820" stopIfTrue="1" operator="between">
      <formula>-0.15</formula>
      <formula>0.005</formula>
    </cfRule>
  </conditionalFormatting>
  <conditionalFormatting sqref="N1475">
    <cfRule type="cellIs" dxfId="719" priority="819" stopIfTrue="1" operator="between">
      <formula>-350</formula>
      <formula>-1</formula>
    </cfRule>
  </conditionalFormatting>
  <conditionalFormatting sqref="AE1474">
    <cfRule type="cellIs" dxfId="718" priority="818" stopIfTrue="1" operator="between">
      <formula>-0.15</formula>
      <formula>-0.0001</formula>
    </cfRule>
  </conditionalFormatting>
  <conditionalFormatting sqref="AH1474:AI1474">
    <cfRule type="cellIs" dxfId="717" priority="817" stopIfTrue="1" operator="between">
      <formula>-0.15</formula>
      <formula>0.005</formula>
    </cfRule>
  </conditionalFormatting>
  <conditionalFormatting sqref="N1474">
    <cfRule type="cellIs" dxfId="716" priority="816" stopIfTrue="1" operator="between">
      <formula>-350</formula>
      <formula>-1</formula>
    </cfRule>
  </conditionalFormatting>
  <conditionalFormatting sqref="AE1473">
    <cfRule type="cellIs" dxfId="715" priority="815" stopIfTrue="1" operator="between">
      <formula>-0.15</formula>
      <formula>-0.0001</formula>
    </cfRule>
  </conditionalFormatting>
  <conditionalFormatting sqref="AH1473:AI1473">
    <cfRule type="cellIs" dxfId="714" priority="814" stopIfTrue="1" operator="between">
      <formula>-0.15</formula>
      <formula>0.005</formula>
    </cfRule>
  </conditionalFormatting>
  <conditionalFormatting sqref="N1473">
    <cfRule type="cellIs" dxfId="713" priority="813" stopIfTrue="1" operator="between">
      <formula>-350</formula>
      <formula>-1</formula>
    </cfRule>
  </conditionalFormatting>
  <conditionalFormatting sqref="AE1472">
    <cfRule type="cellIs" dxfId="712" priority="812" stopIfTrue="1" operator="between">
      <formula>-0.15</formula>
      <formula>-0.0001</formula>
    </cfRule>
  </conditionalFormatting>
  <conditionalFormatting sqref="AH1472:AI1472">
    <cfRule type="cellIs" dxfId="711" priority="811" stopIfTrue="1" operator="between">
      <formula>-0.15</formula>
      <formula>0.005</formula>
    </cfRule>
  </conditionalFormatting>
  <conditionalFormatting sqref="N1472">
    <cfRule type="cellIs" dxfId="710" priority="810" stopIfTrue="1" operator="between">
      <formula>-350</formula>
      <formula>-1</formula>
    </cfRule>
  </conditionalFormatting>
  <conditionalFormatting sqref="AE1479">
    <cfRule type="cellIs" dxfId="709" priority="809" stopIfTrue="1" operator="between">
      <formula>-0.15</formula>
      <formula>-0.0001</formula>
    </cfRule>
  </conditionalFormatting>
  <conditionalFormatting sqref="AH1479:AI1479">
    <cfRule type="cellIs" dxfId="708" priority="808" stopIfTrue="1" operator="between">
      <formula>-0.15</formula>
      <formula>0.005</formula>
    </cfRule>
  </conditionalFormatting>
  <conditionalFormatting sqref="N1479">
    <cfRule type="cellIs" dxfId="707" priority="807" stopIfTrue="1" operator="between">
      <formula>-350</formula>
      <formula>-1</formula>
    </cfRule>
  </conditionalFormatting>
  <conditionalFormatting sqref="AH1482:AI1482">
    <cfRule type="cellIs" dxfId="706" priority="804" stopIfTrue="1" operator="between">
      <formula>-0.15</formula>
      <formula>0.005</formula>
    </cfRule>
  </conditionalFormatting>
  <conditionalFormatting sqref="N1482">
    <cfRule type="cellIs" dxfId="705" priority="806" stopIfTrue="1" operator="between">
      <formula>-350</formula>
      <formula>-1</formula>
    </cfRule>
  </conditionalFormatting>
  <conditionalFormatting sqref="AE1482">
    <cfRule type="cellIs" dxfId="704" priority="805" stopIfTrue="1" operator="between">
      <formula>-0.15</formula>
      <formula>-0.0001</formula>
    </cfRule>
  </conditionalFormatting>
  <conditionalFormatting sqref="AH1488:AI1488">
    <cfRule type="cellIs" dxfId="703" priority="801" stopIfTrue="1" operator="between">
      <formula>-0.15</formula>
      <formula>0.005</formula>
    </cfRule>
  </conditionalFormatting>
  <conditionalFormatting sqref="N1488">
    <cfRule type="cellIs" dxfId="702" priority="803" stopIfTrue="1" operator="between">
      <formula>-350</formula>
      <formula>-1</formula>
    </cfRule>
  </conditionalFormatting>
  <conditionalFormatting sqref="AE1488">
    <cfRule type="cellIs" dxfId="701" priority="802" stopIfTrue="1" operator="between">
      <formula>-0.15</formula>
      <formula>-0.0001</formula>
    </cfRule>
  </conditionalFormatting>
  <conditionalFormatting sqref="AH1487:AI1487">
    <cfRule type="cellIs" dxfId="700" priority="798" stopIfTrue="1" operator="between">
      <formula>-0.15</formula>
      <formula>0.005</formula>
    </cfRule>
  </conditionalFormatting>
  <conditionalFormatting sqref="N1487">
    <cfRule type="cellIs" dxfId="699" priority="800" stopIfTrue="1" operator="between">
      <formula>-350</formula>
      <formula>-1</formula>
    </cfRule>
  </conditionalFormatting>
  <conditionalFormatting sqref="AE1487">
    <cfRule type="cellIs" dxfId="698" priority="799" stopIfTrue="1" operator="between">
      <formula>-0.15</formula>
      <formula>-0.0001</formula>
    </cfRule>
  </conditionalFormatting>
  <conditionalFormatting sqref="AH1486:AI1486">
    <cfRule type="cellIs" dxfId="697" priority="795" stopIfTrue="1" operator="between">
      <formula>-0.15</formula>
      <formula>0.005</formula>
    </cfRule>
  </conditionalFormatting>
  <conditionalFormatting sqref="N1486">
    <cfRule type="cellIs" dxfId="696" priority="797" stopIfTrue="1" operator="between">
      <formula>-350</formula>
      <formula>-1</formula>
    </cfRule>
  </conditionalFormatting>
  <conditionalFormatting sqref="AE1486">
    <cfRule type="cellIs" dxfId="695" priority="796" stopIfTrue="1" operator="between">
      <formula>-0.15</formula>
      <formula>-0.0001</formula>
    </cfRule>
  </conditionalFormatting>
  <conditionalFormatting sqref="AH1485:AI1485">
    <cfRule type="cellIs" dxfId="694" priority="792" stopIfTrue="1" operator="between">
      <formula>-0.15</formula>
      <formula>0.005</formula>
    </cfRule>
  </conditionalFormatting>
  <conditionalFormatting sqref="N1485">
    <cfRule type="cellIs" dxfId="693" priority="794" stopIfTrue="1" operator="between">
      <formula>-350</formula>
      <formula>-1</formula>
    </cfRule>
  </conditionalFormatting>
  <conditionalFormatting sqref="AE1485">
    <cfRule type="cellIs" dxfId="692" priority="793" stopIfTrue="1" operator="between">
      <formula>-0.15</formula>
      <formula>-0.0001</formula>
    </cfRule>
  </conditionalFormatting>
  <conditionalFormatting sqref="AH1484:AI1484">
    <cfRule type="cellIs" dxfId="691" priority="789" stopIfTrue="1" operator="between">
      <formula>-0.15</formula>
      <formula>0.005</formula>
    </cfRule>
  </conditionalFormatting>
  <conditionalFormatting sqref="N1484">
    <cfRule type="cellIs" dxfId="690" priority="791" stopIfTrue="1" operator="between">
      <formula>-350</formula>
      <formula>-1</formula>
    </cfRule>
  </conditionalFormatting>
  <conditionalFormatting sqref="AE1484">
    <cfRule type="cellIs" dxfId="689" priority="790" stopIfTrue="1" operator="between">
      <formula>-0.15</formula>
      <formula>-0.0001</formula>
    </cfRule>
  </conditionalFormatting>
  <conditionalFormatting sqref="AH1483:AI1483">
    <cfRule type="cellIs" dxfId="688" priority="786" stopIfTrue="1" operator="between">
      <formula>-0.15</formula>
      <formula>0.005</formula>
    </cfRule>
  </conditionalFormatting>
  <conditionalFormatting sqref="N1483">
    <cfRule type="cellIs" dxfId="687" priority="788" stopIfTrue="1" operator="between">
      <formula>-350</formula>
      <formula>-1</formula>
    </cfRule>
  </conditionalFormatting>
  <conditionalFormatting sqref="AE1483">
    <cfRule type="cellIs" dxfId="686" priority="787" stopIfTrue="1" operator="between">
      <formula>-0.15</formula>
      <formula>-0.0001</formula>
    </cfRule>
  </conditionalFormatting>
  <conditionalFormatting sqref="AE1729">
    <cfRule type="cellIs" dxfId="685" priority="785" stopIfTrue="1" operator="between">
      <formula>-0.15</formula>
      <formula>-0.0001</formula>
    </cfRule>
  </conditionalFormatting>
  <conditionalFormatting sqref="AH1729:AI1729">
    <cfRule type="cellIs" dxfId="684" priority="784" stopIfTrue="1" operator="between">
      <formula>-0.15</formula>
      <formula>0.005</formula>
    </cfRule>
  </conditionalFormatting>
  <conditionalFormatting sqref="N1729">
    <cfRule type="cellIs" dxfId="683" priority="783" stopIfTrue="1" operator="between">
      <formula>-350</formula>
      <formula>-1</formula>
    </cfRule>
  </conditionalFormatting>
  <conditionalFormatting sqref="AE1728">
    <cfRule type="cellIs" dxfId="682" priority="782" stopIfTrue="1" operator="between">
      <formula>-0.15</formula>
      <formula>-0.0001</formula>
    </cfRule>
  </conditionalFormatting>
  <conditionalFormatting sqref="AH1728:AI1728">
    <cfRule type="cellIs" dxfId="681" priority="781" stopIfTrue="1" operator="between">
      <formula>-0.15</formula>
      <formula>0.005</formula>
    </cfRule>
  </conditionalFormatting>
  <conditionalFormatting sqref="N1728">
    <cfRule type="cellIs" dxfId="680" priority="780" stopIfTrue="1" operator="between">
      <formula>-350</formula>
      <formula>-1</formula>
    </cfRule>
  </conditionalFormatting>
  <conditionalFormatting sqref="N1733">
    <cfRule type="cellIs" dxfId="679" priority="774" stopIfTrue="1" operator="between">
      <formula>-350</formula>
      <formula>-1</formula>
    </cfRule>
  </conditionalFormatting>
  <conditionalFormatting sqref="AE1734">
    <cfRule type="cellIs" dxfId="678" priority="779" stopIfTrue="1" operator="between">
      <formula>-0.15</formula>
      <formula>-0.0001</formula>
    </cfRule>
  </conditionalFormatting>
  <conditionalFormatting sqref="AH1734:AI1734">
    <cfRule type="cellIs" dxfId="677" priority="778" stopIfTrue="1" operator="between">
      <formula>-0.15</formula>
      <formula>0.005</formula>
    </cfRule>
  </conditionalFormatting>
  <conditionalFormatting sqref="N1734">
    <cfRule type="cellIs" dxfId="676" priority="777" stopIfTrue="1" operator="between">
      <formula>-350</formula>
      <formula>-1</formula>
    </cfRule>
  </conditionalFormatting>
  <conditionalFormatting sqref="AE1733">
    <cfRule type="cellIs" dxfId="675" priority="776" stopIfTrue="1" operator="between">
      <formula>-0.15</formula>
      <formula>-0.0001</formula>
    </cfRule>
  </conditionalFormatting>
  <conditionalFormatting sqref="AH1733:AI1733">
    <cfRule type="cellIs" dxfId="674" priority="775" stopIfTrue="1" operator="between">
      <formula>-0.15</formula>
      <formula>0.005</formula>
    </cfRule>
  </conditionalFormatting>
  <conditionalFormatting sqref="AE1741">
    <cfRule type="cellIs" dxfId="673" priority="773" stopIfTrue="1" operator="between">
      <formula>-0.15</formula>
      <formula>-0.0001</formula>
    </cfRule>
  </conditionalFormatting>
  <conditionalFormatting sqref="AH1741:AI1741">
    <cfRule type="cellIs" dxfId="672" priority="772" stopIfTrue="1" operator="between">
      <formula>-0.15</formula>
      <formula>0.005</formula>
    </cfRule>
  </conditionalFormatting>
  <conditionalFormatting sqref="N1741">
    <cfRule type="cellIs" dxfId="671" priority="771" stopIfTrue="1" operator="between">
      <formula>-350</formula>
      <formula>-1</formula>
    </cfRule>
  </conditionalFormatting>
  <conditionalFormatting sqref="AE1740">
    <cfRule type="cellIs" dxfId="670" priority="770" stopIfTrue="1" operator="between">
      <formula>-0.15</formula>
      <formula>-0.0001</formula>
    </cfRule>
  </conditionalFormatting>
  <conditionalFormatting sqref="AH1740:AI1740">
    <cfRule type="cellIs" dxfId="669" priority="769" stopIfTrue="1" operator="between">
      <formula>-0.15</formula>
      <formula>0.005</formula>
    </cfRule>
  </conditionalFormatting>
  <conditionalFormatting sqref="N1740">
    <cfRule type="cellIs" dxfId="668" priority="768" stopIfTrue="1" operator="between">
      <formula>-350</formula>
      <formula>-1</formula>
    </cfRule>
  </conditionalFormatting>
  <conditionalFormatting sqref="AE1739">
    <cfRule type="cellIs" dxfId="667" priority="767" stopIfTrue="1" operator="between">
      <formula>-0.15</formula>
      <formula>-0.0001</formula>
    </cfRule>
  </conditionalFormatting>
  <conditionalFormatting sqref="AH1739:AI1739">
    <cfRule type="cellIs" dxfId="666" priority="766" stopIfTrue="1" operator="between">
      <formula>-0.15</formula>
      <formula>0.005</formula>
    </cfRule>
  </conditionalFormatting>
  <conditionalFormatting sqref="N1739">
    <cfRule type="cellIs" dxfId="665" priority="765" stopIfTrue="1" operator="between">
      <formula>-350</formula>
      <formula>-1</formula>
    </cfRule>
  </conditionalFormatting>
  <conditionalFormatting sqref="AE1749">
    <cfRule type="cellIs" dxfId="664" priority="764" stopIfTrue="1" operator="between">
      <formula>-0.15</formula>
      <formula>-0.0001</formula>
    </cfRule>
  </conditionalFormatting>
  <conditionalFormatting sqref="N1749">
    <cfRule type="cellIs" dxfId="663" priority="762" stopIfTrue="1" operator="between">
      <formula>-350</formula>
      <formula>-1</formula>
    </cfRule>
  </conditionalFormatting>
  <conditionalFormatting sqref="AH1749:AI1749">
    <cfRule type="cellIs" dxfId="662" priority="763" stopIfTrue="1" operator="between">
      <formula>-0.15</formula>
      <formula>0.005</formula>
    </cfRule>
  </conditionalFormatting>
  <conditionalFormatting sqref="AE1748">
    <cfRule type="cellIs" dxfId="661" priority="761" stopIfTrue="1" operator="between">
      <formula>-0.15</formula>
      <formula>-0.0001</formula>
    </cfRule>
  </conditionalFormatting>
  <conditionalFormatting sqref="N1748">
    <cfRule type="cellIs" dxfId="660" priority="759" stopIfTrue="1" operator="between">
      <formula>-350</formula>
      <formula>-1</formula>
    </cfRule>
  </conditionalFormatting>
  <conditionalFormatting sqref="AH1748:AI1748">
    <cfRule type="cellIs" dxfId="659" priority="760" stopIfTrue="1" operator="between">
      <formula>-0.15</formula>
      <formula>0.005</formula>
    </cfRule>
  </conditionalFormatting>
  <conditionalFormatting sqref="AE1747">
    <cfRule type="cellIs" dxfId="658" priority="758" stopIfTrue="1" operator="between">
      <formula>-0.15</formula>
      <formula>-0.0001</formula>
    </cfRule>
  </conditionalFormatting>
  <conditionalFormatting sqref="N1747">
    <cfRule type="cellIs" dxfId="657" priority="756" stopIfTrue="1" operator="between">
      <formula>-350</formula>
      <formula>-1</formula>
    </cfRule>
  </conditionalFormatting>
  <conditionalFormatting sqref="AH1747:AI1747">
    <cfRule type="cellIs" dxfId="656" priority="757" stopIfTrue="1" operator="between">
      <formula>-0.15</formula>
      <formula>0.005</formula>
    </cfRule>
  </conditionalFormatting>
  <conditionalFormatting sqref="AE1746">
    <cfRule type="cellIs" dxfId="655" priority="755" stopIfTrue="1" operator="between">
      <formula>-0.15</formula>
      <formula>-0.0001</formula>
    </cfRule>
  </conditionalFormatting>
  <conditionalFormatting sqref="N1746">
    <cfRule type="cellIs" dxfId="654" priority="753" stopIfTrue="1" operator="between">
      <formula>-350</formula>
      <formula>-1</formula>
    </cfRule>
  </conditionalFormatting>
  <conditionalFormatting sqref="AH1746:AI1746">
    <cfRule type="cellIs" dxfId="653" priority="754" stopIfTrue="1" operator="between">
      <formula>-0.15</formula>
      <formula>0.005</formula>
    </cfRule>
  </conditionalFormatting>
  <conditionalFormatting sqref="AE1745">
    <cfRule type="cellIs" dxfId="652" priority="752" stopIfTrue="1" operator="between">
      <formula>-0.15</formula>
      <formula>-0.0001</formula>
    </cfRule>
  </conditionalFormatting>
  <conditionalFormatting sqref="N1745">
    <cfRule type="cellIs" dxfId="651" priority="750" stopIfTrue="1" operator="between">
      <formula>-350</formula>
      <formula>-1</formula>
    </cfRule>
  </conditionalFormatting>
  <conditionalFormatting sqref="AH1745:AI1745">
    <cfRule type="cellIs" dxfId="650" priority="751" stopIfTrue="1" operator="between">
      <formula>-0.15</formula>
      <formula>0.005</formula>
    </cfRule>
  </conditionalFormatting>
  <conditionalFormatting sqref="N1758">
    <cfRule type="cellIs" dxfId="649" priority="747" stopIfTrue="1" operator="between">
      <formula>-350</formula>
      <formula>-1</formula>
    </cfRule>
  </conditionalFormatting>
  <conditionalFormatting sqref="AE1758">
    <cfRule type="cellIs" dxfId="648" priority="749" stopIfTrue="1" operator="between">
      <formula>-0.15</formula>
      <formula>-0.0001</formula>
    </cfRule>
  </conditionalFormatting>
  <conditionalFormatting sqref="AH1758:AI1758">
    <cfRule type="cellIs" dxfId="647" priority="748" stopIfTrue="1" operator="between">
      <formula>-0.15</formula>
      <formula>0.005</formula>
    </cfRule>
  </conditionalFormatting>
  <conditionalFormatting sqref="N1757">
    <cfRule type="cellIs" dxfId="646" priority="744" stopIfTrue="1" operator="between">
      <formula>-350</formula>
      <formula>-1</formula>
    </cfRule>
  </conditionalFormatting>
  <conditionalFormatting sqref="AE1757">
    <cfRule type="cellIs" dxfId="645" priority="746" stopIfTrue="1" operator="between">
      <formula>-0.15</formula>
      <formula>-0.0001</formula>
    </cfRule>
  </conditionalFormatting>
  <conditionalFormatting sqref="AH1757:AI1757">
    <cfRule type="cellIs" dxfId="644" priority="745" stopIfTrue="1" operator="between">
      <formula>-0.15</formula>
      <formula>0.005</formula>
    </cfRule>
  </conditionalFormatting>
  <conditionalFormatting sqref="N1753">
    <cfRule type="cellIs" dxfId="643" priority="741" stopIfTrue="1" operator="between">
      <formula>-350</formula>
      <formula>-1</formula>
    </cfRule>
  </conditionalFormatting>
  <conditionalFormatting sqref="AE1753">
    <cfRule type="cellIs" dxfId="642" priority="743" stopIfTrue="1" operator="between">
      <formula>-0.15</formula>
      <formula>-0.0001</formula>
    </cfRule>
  </conditionalFormatting>
  <conditionalFormatting sqref="AH1753:AI1753">
    <cfRule type="cellIs" dxfId="641" priority="742" stopIfTrue="1" operator="between">
      <formula>-0.15</formula>
      <formula>0.005</formula>
    </cfRule>
  </conditionalFormatting>
  <conditionalFormatting sqref="N1756">
    <cfRule type="cellIs" dxfId="640" priority="738" stopIfTrue="1" operator="between">
      <formula>-350</formula>
      <formula>-1</formula>
    </cfRule>
  </conditionalFormatting>
  <conditionalFormatting sqref="AE1756">
    <cfRule type="cellIs" dxfId="639" priority="740" stopIfTrue="1" operator="between">
      <formula>-0.15</formula>
      <formula>-0.0001</formula>
    </cfRule>
  </conditionalFormatting>
  <conditionalFormatting sqref="AH1756:AI1756">
    <cfRule type="cellIs" dxfId="638" priority="739" stopIfTrue="1" operator="between">
      <formula>-0.15</formula>
      <formula>0.005</formula>
    </cfRule>
  </conditionalFormatting>
  <conditionalFormatting sqref="N1755">
    <cfRule type="cellIs" dxfId="637" priority="735" stopIfTrue="1" operator="between">
      <formula>-350</formula>
      <formula>-1</formula>
    </cfRule>
  </conditionalFormatting>
  <conditionalFormatting sqref="AE1755">
    <cfRule type="cellIs" dxfId="636" priority="737" stopIfTrue="1" operator="between">
      <formula>-0.15</formula>
      <formula>-0.0001</formula>
    </cfRule>
  </conditionalFormatting>
  <conditionalFormatting sqref="AH1755:AI1755">
    <cfRule type="cellIs" dxfId="635" priority="736" stopIfTrue="1" operator="between">
      <formula>-0.15</formula>
      <formula>0.005</formula>
    </cfRule>
  </conditionalFormatting>
  <conditionalFormatting sqref="N1754">
    <cfRule type="cellIs" dxfId="634" priority="732" stopIfTrue="1" operator="between">
      <formula>-350</formula>
      <formula>-1</formula>
    </cfRule>
  </conditionalFormatting>
  <conditionalFormatting sqref="AE1754">
    <cfRule type="cellIs" dxfId="633" priority="734" stopIfTrue="1" operator="between">
      <formula>-0.15</formula>
      <formula>-0.0001</formula>
    </cfRule>
  </conditionalFormatting>
  <conditionalFormatting sqref="AH1754:AI1754">
    <cfRule type="cellIs" dxfId="632" priority="733" stopIfTrue="1" operator="between">
      <formula>-0.15</formula>
      <formula>0.005</formula>
    </cfRule>
  </conditionalFormatting>
  <conditionalFormatting sqref="AE1766">
    <cfRule type="cellIs" dxfId="631" priority="731" stopIfTrue="1" operator="between">
      <formula>-0.15</formula>
      <formula>-0.0001</formula>
    </cfRule>
  </conditionalFormatting>
  <conditionalFormatting sqref="N1766">
    <cfRule type="cellIs" dxfId="630" priority="729" stopIfTrue="1" operator="between">
      <formula>-350</formula>
      <formula>-1</formula>
    </cfRule>
  </conditionalFormatting>
  <conditionalFormatting sqref="AH1766:AI1766">
    <cfRule type="cellIs" dxfId="629" priority="730" stopIfTrue="1" operator="between">
      <formula>-0.15</formula>
      <formula>0.005</formula>
    </cfRule>
  </conditionalFormatting>
  <conditionalFormatting sqref="AE1763">
    <cfRule type="cellIs" dxfId="628" priority="728" stopIfTrue="1" operator="between">
      <formula>-0.15</formula>
      <formula>-0.0001</formula>
    </cfRule>
  </conditionalFormatting>
  <conditionalFormatting sqref="N1763">
    <cfRule type="cellIs" dxfId="627" priority="726" stopIfTrue="1" operator="between">
      <formula>-350</formula>
      <formula>-1</formula>
    </cfRule>
  </conditionalFormatting>
  <conditionalFormatting sqref="AH1763:AI1763">
    <cfRule type="cellIs" dxfId="626" priority="727" stopIfTrue="1" operator="between">
      <formula>-0.15</formula>
      <formula>0.005</formula>
    </cfRule>
  </conditionalFormatting>
  <conditionalFormatting sqref="AE1762">
    <cfRule type="cellIs" dxfId="625" priority="725" stopIfTrue="1" operator="between">
      <formula>-0.15</formula>
      <formula>-0.0001</formula>
    </cfRule>
  </conditionalFormatting>
  <conditionalFormatting sqref="N1762">
    <cfRule type="cellIs" dxfId="624" priority="723" stopIfTrue="1" operator="between">
      <formula>-350</formula>
      <formula>-1</formula>
    </cfRule>
  </conditionalFormatting>
  <conditionalFormatting sqref="AH1762:AI1762">
    <cfRule type="cellIs" dxfId="623" priority="724" stopIfTrue="1" operator="between">
      <formula>-0.15</formula>
      <formula>0.005</formula>
    </cfRule>
  </conditionalFormatting>
  <conditionalFormatting sqref="AE1765">
    <cfRule type="cellIs" dxfId="622" priority="722" stopIfTrue="1" operator="between">
      <formula>-0.15</formula>
      <formula>-0.0001</formula>
    </cfRule>
  </conditionalFormatting>
  <conditionalFormatting sqref="N1765">
    <cfRule type="cellIs" dxfId="621" priority="720" stopIfTrue="1" operator="between">
      <formula>-350</formula>
      <formula>-1</formula>
    </cfRule>
  </conditionalFormatting>
  <conditionalFormatting sqref="AH1765:AI1765">
    <cfRule type="cellIs" dxfId="620" priority="721" stopIfTrue="1" operator="between">
      <formula>-0.15</formula>
      <formula>0.005</formula>
    </cfRule>
  </conditionalFormatting>
  <conditionalFormatting sqref="AE1764">
    <cfRule type="cellIs" dxfId="619" priority="719" stopIfTrue="1" operator="between">
      <formula>-0.15</formula>
      <formula>-0.0001</formula>
    </cfRule>
  </conditionalFormatting>
  <conditionalFormatting sqref="N1764">
    <cfRule type="cellIs" dxfId="618" priority="717" stopIfTrue="1" operator="between">
      <formula>-350</formula>
      <formula>-1</formula>
    </cfRule>
  </conditionalFormatting>
  <conditionalFormatting sqref="AH1764:AI1764">
    <cfRule type="cellIs" dxfId="617" priority="718" stopIfTrue="1" operator="between">
      <formula>-0.15</formula>
      <formula>0.005</formula>
    </cfRule>
  </conditionalFormatting>
  <conditionalFormatting sqref="AE1668">
    <cfRule type="cellIs" dxfId="616" priority="714" stopIfTrue="1" operator="between">
      <formula>-0.15</formula>
      <formula>-0.0001</formula>
    </cfRule>
  </conditionalFormatting>
  <conditionalFormatting sqref="AH1668:AI1668">
    <cfRule type="cellIs" dxfId="615" priority="713" stopIfTrue="1" operator="between">
      <formula>-0.15</formula>
      <formula>0.005</formula>
    </cfRule>
  </conditionalFormatting>
  <conditionalFormatting sqref="AE1670">
    <cfRule type="cellIs" dxfId="614" priority="716" stopIfTrue="1" operator="between">
      <formula>-0.15</formula>
      <formula>-0.0001</formula>
    </cfRule>
  </conditionalFormatting>
  <conditionalFormatting sqref="AH1670:AI1670">
    <cfRule type="cellIs" dxfId="613" priority="715" stopIfTrue="1" operator="between">
      <formula>-0.15</formula>
      <formula>0.005</formula>
    </cfRule>
  </conditionalFormatting>
  <conditionalFormatting sqref="N1668">
    <cfRule type="cellIs" dxfId="612" priority="712" stopIfTrue="1" operator="between">
      <formula>-350</formula>
      <formula>-1</formula>
    </cfRule>
  </conditionalFormatting>
  <conditionalFormatting sqref="AE1669">
    <cfRule type="cellIs" dxfId="611" priority="711" stopIfTrue="1" operator="between">
      <formula>-0.15</formula>
      <formula>-0.0001</formula>
    </cfRule>
  </conditionalFormatting>
  <conditionalFormatting sqref="AH1669:AI1669">
    <cfRule type="cellIs" dxfId="610" priority="710" stopIfTrue="1" operator="between">
      <formula>-0.15</formula>
      <formula>0.005</formula>
    </cfRule>
  </conditionalFormatting>
  <conditionalFormatting sqref="N1669">
    <cfRule type="cellIs" dxfId="609" priority="709" stopIfTrue="1" operator="between">
      <formula>-350</formula>
      <formula>-1</formula>
    </cfRule>
  </conditionalFormatting>
  <conditionalFormatting sqref="AE1712">
    <cfRule type="cellIs" dxfId="608" priority="708" stopIfTrue="1" operator="between">
      <formula>-0.15</formula>
      <formula>-0.0001</formula>
    </cfRule>
  </conditionalFormatting>
  <conditionalFormatting sqref="AH1712:AI1712">
    <cfRule type="cellIs" dxfId="607" priority="707" stopIfTrue="1" operator="between">
      <formula>-0.15</formula>
      <formula>0.005</formula>
    </cfRule>
  </conditionalFormatting>
  <conditionalFormatting sqref="N1712">
    <cfRule type="cellIs" dxfId="606" priority="706" stopIfTrue="1" operator="between">
      <formula>-350</formula>
      <formula>-1</formula>
    </cfRule>
  </conditionalFormatting>
  <conditionalFormatting sqref="AH1779:AI1779">
    <cfRule type="cellIs" dxfId="605" priority="704" stopIfTrue="1" operator="between">
      <formula>-0.15</formula>
      <formula>0.005</formula>
    </cfRule>
  </conditionalFormatting>
  <conditionalFormatting sqref="AE1779">
    <cfRule type="cellIs" dxfId="604" priority="705" stopIfTrue="1" operator="between">
      <formula>-0.15</formula>
      <formula>-0.0001</formula>
    </cfRule>
  </conditionalFormatting>
  <conditionalFormatting sqref="AE1778">
    <cfRule type="cellIs" dxfId="603" priority="702" stopIfTrue="1" operator="between">
      <formula>-0.15</formula>
      <formula>-0.0001</formula>
    </cfRule>
  </conditionalFormatting>
  <conditionalFormatting sqref="N1779">
    <cfRule type="cellIs" dxfId="602" priority="703" stopIfTrue="1" operator="between">
      <formula>-350</formula>
      <formula>-1</formula>
    </cfRule>
  </conditionalFormatting>
  <conditionalFormatting sqref="N1778">
    <cfRule type="cellIs" dxfId="601" priority="700" stopIfTrue="1" operator="between">
      <formula>-350</formula>
      <formula>-1</formula>
    </cfRule>
  </conditionalFormatting>
  <conditionalFormatting sqref="AH1778:AI1778">
    <cfRule type="cellIs" dxfId="600" priority="701" stopIfTrue="1" operator="between">
      <formula>-0.15</formula>
      <formula>0.005</formula>
    </cfRule>
  </conditionalFormatting>
  <conditionalFormatting sqref="AE2082">
    <cfRule type="cellIs" dxfId="599" priority="699" stopIfTrue="1" operator="between">
      <formula>-0.15</formula>
      <formula>-0.0001</formula>
    </cfRule>
  </conditionalFormatting>
  <conditionalFormatting sqref="N2082">
    <cfRule type="cellIs" dxfId="598" priority="697" stopIfTrue="1" operator="between">
      <formula>-350</formula>
      <formula>-1</formula>
    </cfRule>
  </conditionalFormatting>
  <conditionalFormatting sqref="AH2082:AI2082">
    <cfRule type="cellIs" dxfId="597" priority="698" stopIfTrue="1" operator="between">
      <formula>-0.15</formula>
      <formula>0.005</formula>
    </cfRule>
  </conditionalFormatting>
  <conditionalFormatting sqref="AE1982">
    <cfRule type="cellIs" dxfId="596" priority="696" stopIfTrue="1" operator="between">
      <formula>-0.15</formula>
      <formula>-0.0001</formula>
    </cfRule>
  </conditionalFormatting>
  <conditionalFormatting sqref="N1982">
    <cfRule type="cellIs" dxfId="595" priority="694" stopIfTrue="1" operator="between">
      <formula>-350</formula>
      <formula>-1</formula>
    </cfRule>
  </conditionalFormatting>
  <conditionalFormatting sqref="AH1982:AI1982">
    <cfRule type="cellIs" dxfId="594" priority="695" stopIfTrue="1" operator="between">
      <formula>-0.15</formula>
      <formula>0.005</formula>
    </cfRule>
  </conditionalFormatting>
  <conditionalFormatting sqref="AE1981">
    <cfRule type="cellIs" dxfId="593" priority="693" stopIfTrue="1" operator="between">
      <formula>-0.15</formula>
      <formula>-0.0001</formula>
    </cfRule>
  </conditionalFormatting>
  <conditionalFormatting sqref="N1981">
    <cfRule type="cellIs" dxfId="592" priority="691" stopIfTrue="1" operator="between">
      <formula>-350</formula>
      <formula>-1</formula>
    </cfRule>
  </conditionalFormatting>
  <conditionalFormatting sqref="AH1981:AI1981">
    <cfRule type="cellIs" dxfId="591" priority="692" stopIfTrue="1" operator="between">
      <formula>-0.15</formula>
      <formula>0.005</formula>
    </cfRule>
  </conditionalFormatting>
  <conditionalFormatting sqref="AE1980">
    <cfRule type="cellIs" dxfId="590" priority="690" stopIfTrue="1" operator="between">
      <formula>-0.15</formula>
      <formula>-0.0001</formula>
    </cfRule>
  </conditionalFormatting>
  <conditionalFormatting sqref="N1980">
    <cfRule type="cellIs" dxfId="589" priority="688" stopIfTrue="1" operator="between">
      <formula>-350</formula>
      <formula>-1</formula>
    </cfRule>
  </conditionalFormatting>
  <conditionalFormatting sqref="AH1980:AI1980">
    <cfRule type="cellIs" dxfId="588" priority="689" stopIfTrue="1" operator="between">
      <formula>-0.15</formula>
      <formula>0.005</formula>
    </cfRule>
  </conditionalFormatting>
  <conditionalFormatting sqref="AE1995">
    <cfRule type="cellIs" dxfId="587" priority="687" stopIfTrue="1" operator="between">
      <formula>-0.15</formula>
      <formula>-0.0001</formula>
    </cfRule>
  </conditionalFormatting>
  <conditionalFormatting sqref="AH1995:AI1995">
    <cfRule type="cellIs" dxfId="586" priority="686" stopIfTrue="1" operator="between">
      <formula>-0.15</formula>
      <formula>0.005</formula>
    </cfRule>
  </conditionalFormatting>
  <conditionalFormatting sqref="N1995">
    <cfRule type="cellIs" dxfId="585" priority="685" stopIfTrue="1" operator="between">
      <formula>-350</formula>
      <formula>-1</formula>
    </cfRule>
  </conditionalFormatting>
  <conditionalFormatting sqref="AE1994">
    <cfRule type="cellIs" dxfId="584" priority="684" stopIfTrue="1" operator="between">
      <formula>-0.15</formula>
      <formula>-0.0001</formula>
    </cfRule>
  </conditionalFormatting>
  <conditionalFormatting sqref="AH1994:AI1994">
    <cfRule type="cellIs" dxfId="583" priority="683" stopIfTrue="1" operator="between">
      <formula>-0.15</formula>
      <formula>0.005</formula>
    </cfRule>
  </conditionalFormatting>
  <conditionalFormatting sqref="N1994">
    <cfRule type="cellIs" dxfId="582" priority="682" stopIfTrue="1" operator="between">
      <formula>-350</formula>
      <formula>-1</formula>
    </cfRule>
  </conditionalFormatting>
  <conditionalFormatting sqref="AE1993">
    <cfRule type="cellIs" dxfId="581" priority="681" stopIfTrue="1" operator="between">
      <formula>-0.15</formula>
      <formula>-0.0001</formula>
    </cfRule>
  </conditionalFormatting>
  <conditionalFormatting sqref="AH1993:AI1993">
    <cfRule type="cellIs" dxfId="580" priority="680" stopIfTrue="1" operator="between">
      <formula>-0.15</formula>
      <formula>0.005</formula>
    </cfRule>
  </conditionalFormatting>
  <conditionalFormatting sqref="N1993">
    <cfRule type="cellIs" dxfId="579" priority="679" stopIfTrue="1" operator="between">
      <formula>-350</formula>
      <formula>-1</formula>
    </cfRule>
  </conditionalFormatting>
  <conditionalFormatting sqref="AE1992">
    <cfRule type="cellIs" dxfId="578" priority="678" stopIfTrue="1" operator="between">
      <formula>-0.15</formula>
      <formula>-0.0001</formula>
    </cfRule>
  </conditionalFormatting>
  <conditionalFormatting sqref="AH1992:AI1992">
    <cfRule type="cellIs" dxfId="577" priority="677" stopIfTrue="1" operator="between">
      <formula>-0.15</formula>
      <formula>0.005</formula>
    </cfRule>
  </conditionalFormatting>
  <conditionalFormatting sqref="N1992">
    <cfRule type="cellIs" dxfId="576" priority="676" stopIfTrue="1" operator="between">
      <formula>-350</formula>
      <formula>-1</formula>
    </cfRule>
  </conditionalFormatting>
  <conditionalFormatting sqref="AE1991">
    <cfRule type="cellIs" dxfId="575" priority="675" stopIfTrue="1" operator="between">
      <formula>-0.15</formula>
      <formula>-0.0001</formula>
    </cfRule>
  </conditionalFormatting>
  <conditionalFormatting sqref="AH1991:AI1991">
    <cfRule type="cellIs" dxfId="574" priority="674" stopIfTrue="1" operator="between">
      <formula>-0.15</formula>
      <formula>0.005</formula>
    </cfRule>
  </conditionalFormatting>
  <conditionalFormatting sqref="N1991">
    <cfRule type="cellIs" dxfId="573" priority="673" stopIfTrue="1" operator="between">
      <formula>-350</formula>
      <formula>-1</formula>
    </cfRule>
  </conditionalFormatting>
  <conditionalFormatting sqref="AE1990">
    <cfRule type="cellIs" dxfId="572" priority="672" stopIfTrue="1" operator="between">
      <formula>-0.15</formula>
      <formula>-0.0001</formula>
    </cfRule>
  </conditionalFormatting>
  <conditionalFormatting sqref="AH1990:AI1990">
    <cfRule type="cellIs" dxfId="571" priority="671" stopIfTrue="1" operator="between">
      <formula>-0.15</formula>
      <formula>0.005</formula>
    </cfRule>
  </conditionalFormatting>
  <conditionalFormatting sqref="N1990">
    <cfRule type="cellIs" dxfId="570" priority="670" stopIfTrue="1" operator="between">
      <formula>-350</formula>
      <formula>-1</formula>
    </cfRule>
  </conditionalFormatting>
  <conditionalFormatting sqref="AE1989">
    <cfRule type="cellIs" dxfId="569" priority="669" stopIfTrue="1" operator="between">
      <formula>-0.15</formula>
      <formula>-0.0001</formula>
    </cfRule>
  </conditionalFormatting>
  <conditionalFormatting sqref="AH1989:AI1989">
    <cfRule type="cellIs" dxfId="568" priority="668" stopIfTrue="1" operator="between">
      <formula>-0.15</formula>
      <formula>0.005</formula>
    </cfRule>
  </conditionalFormatting>
  <conditionalFormatting sqref="N1989">
    <cfRule type="cellIs" dxfId="567" priority="667" stopIfTrue="1" operator="between">
      <formula>-350</formula>
      <formula>-1</formula>
    </cfRule>
  </conditionalFormatting>
  <conditionalFormatting sqref="AE1909">
    <cfRule type="cellIs" dxfId="566" priority="666" stopIfTrue="1" operator="between">
      <formula>-0.15</formula>
      <formula>-0.0001</formula>
    </cfRule>
  </conditionalFormatting>
  <conditionalFormatting sqref="AH1909:AI1909">
    <cfRule type="cellIs" dxfId="565" priority="665" stopIfTrue="1" operator="between">
      <formula>-0.15</formula>
      <formula>0.005</formula>
    </cfRule>
  </conditionalFormatting>
  <conditionalFormatting sqref="N1909">
    <cfRule type="cellIs" dxfId="564" priority="664" stopIfTrue="1" operator="between">
      <formula>-350</formula>
      <formula>-1</formula>
    </cfRule>
  </conditionalFormatting>
  <conditionalFormatting sqref="AE1867">
    <cfRule type="cellIs" dxfId="563" priority="663" stopIfTrue="1" operator="between">
      <formula>-0.15</formula>
      <formula>-0.0001</formula>
    </cfRule>
  </conditionalFormatting>
  <conditionalFormatting sqref="AH1867:AI1867">
    <cfRule type="cellIs" dxfId="562" priority="662" stopIfTrue="1" operator="between">
      <formula>-0.15</formula>
      <formula>0.005</formula>
    </cfRule>
  </conditionalFormatting>
  <conditionalFormatting sqref="N1867">
    <cfRule type="cellIs" dxfId="561" priority="661" stopIfTrue="1" operator="between">
      <formula>-350</formula>
      <formula>-1</formula>
    </cfRule>
  </conditionalFormatting>
  <conditionalFormatting sqref="AE1866">
    <cfRule type="cellIs" dxfId="560" priority="660" stopIfTrue="1" operator="between">
      <formula>-0.15</formula>
      <formula>-0.0001</formula>
    </cfRule>
  </conditionalFormatting>
  <conditionalFormatting sqref="AH1866:AI1866">
    <cfRule type="cellIs" dxfId="559" priority="659" stopIfTrue="1" operator="between">
      <formula>-0.15</formula>
      <formula>0.005</formula>
    </cfRule>
  </conditionalFormatting>
  <conditionalFormatting sqref="N1866">
    <cfRule type="cellIs" dxfId="558" priority="658" stopIfTrue="1" operator="between">
      <formula>-350</formula>
      <formula>-1</formula>
    </cfRule>
  </conditionalFormatting>
  <conditionalFormatting sqref="AE1865">
    <cfRule type="cellIs" dxfId="557" priority="657" stopIfTrue="1" operator="between">
      <formula>-0.15</formula>
      <formula>-0.0001</formula>
    </cfRule>
  </conditionalFormatting>
  <conditionalFormatting sqref="AH1865:AI1865">
    <cfRule type="cellIs" dxfId="556" priority="656" stopIfTrue="1" operator="between">
      <formula>-0.15</formula>
      <formula>0.005</formula>
    </cfRule>
  </conditionalFormatting>
  <conditionalFormatting sqref="N1865">
    <cfRule type="cellIs" dxfId="555" priority="655" stopIfTrue="1" operator="between">
      <formula>-350</formula>
      <formula>-1</formula>
    </cfRule>
  </conditionalFormatting>
  <conditionalFormatting sqref="AE1858">
    <cfRule type="cellIs" dxfId="554" priority="654" stopIfTrue="1" operator="between">
      <formula>-0.15</formula>
      <formula>-0.0001</formula>
    </cfRule>
  </conditionalFormatting>
  <conditionalFormatting sqref="AH1858:AI1858">
    <cfRule type="cellIs" dxfId="553" priority="653" stopIfTrue="1" operator="between">
      <formula>-0.15</formula>
      <formula>0.005</formula>
    </cfRule>
  </conditionalFormatting>
  <conditionalFormatting sqref="N1858">
    <cfRule type="cellIs" dxfId="552" priority="652" stopIfTrue="1" operator="between">
      <formula>-350</formula>
      <formula>-1</formula>
    </cfRule>
  </conditionalFormatting>
  <conditionalFormatting sqref="AE1857">
    <cfRule type="cellIs" dxfId="551" priority="651" stopIfTrue="1" operator="between">
      <formula>-0.15</formula>
      <formula>-0.0001</formula>
    </cfRule>
  </conditionalFormatting>
  <conditionalFormatting sqref="AH1857:AI1857">
    <cfRule type="cellIs" dxfId="550" priority="650" stopIfTrue="1" operator="between">
      <formula>-0.15</formula>
      <formula>0.005</formula>
    </cfRule>
  </conditionalFormatting>
  <conditionalFormatting sqref="N1857">
    <cfRule type="cellIs" dxfId="549" priority="649" stopIfTrue="1" operator="between">
      <formula>-350</formula>
      <formula>-1</formula>
    </cfRule>
  </conditionalFormatting>
  <conditionalFormatting sqref="AE1856">
    <cfRule type="cellIs" dxfId="548" priority="648" stopIfTrue="1" operator="between">
      <formula>-0.15</formula>
      <formula>-0.0001</formula>
    </cfRule>
  </conditionalFormatting>
  <conditionalFormatting sqref="AH1856:AI1856">
    <cfRule type="cellIs" dxfId="547" priority="647" stopIfTrue="1" operator="between">
      <formula>-0.15</formula>
      <formula>0.005</formula>
    </cfRule>
  </conditionalFormatting>
  <conditionalFormatting sqref="N1856">
    <cfRule type="cellIs" dxfId="546" priority="646" stopIfTrue="1" operator="between">
      <formula>-350</formula>
      <formula>-1</formula>
    </cfRule>
  </conditionalFormatting>
  <conditionalFormatting sqref="AE346">
    <cfRule type="cellIs" dxfId="545" priority="645" stopIfTrue="1" operator="between">
      <formula>-0.15</formula>
      <formula>-0.0001</formula>
    </cfRule>
  </conditionalFormatting>
  <conditionalFormatting sqref="AH346:AI346">
    <cfRule type="cellIs" dxfId="544" priority="644" stopIfTrue="1" operator="between">
      <formula>-0.15</formula>
      <formula>0.005</formula>
    </cfRule>
  </conditionalFormatting>
  <conditionalFormatting sqref="AE343">
    <cfRule type="cellIs" dxfId="543" priority="643" stopIfTrue="1" operator="between">
      <formula>-0.15</formula>
      <formula>-0.0001</formula>
    </cfRule>
  </conditionalFormatting>
  <conditionalFormatting sqref="AH343:AI343">
    <cfRule type="cellIs" dxfId="542" priority="642" stopIfTrue="1" operator="between">
      <formula>-0.15</formula>
      <formula>0.005</formula>
    </cfRule>
  </conditionalFormatting>
  <conditionalFormatting sqref="N343">
    <cfRule type="cellIs" dxfId="541" priority="641" stopIfTrue="1" operator="between">
      <formula>-350</formula>
      <formula>-1</formula>
    </cfRule>
  </conditionalFormatting>
  <conditionalFormatting sqref="AE363">
    <cfRule type="cellIs" dxfId="540" priority="584" stopIfTrue="1" operator="between">
      <formula>-0.15</formula>
      <formula>-0.0001</formula>
    </cfRule>
  </conditionalFormatting>
  <conditionalFormatting sqref="AH363:AI363">
    <cfRule type="cellIs" dxfId="539" priority="583" stopIfTrue="1" operator="between">
      <formula>-0.15</formula>
      <formula>0.005</formula>
    </cfRule>
  </conditionalFormatting>
  <conditionalFormatting sqref="AE332">
    <cfRule type="cellIs" dxfId="538" priority="623" stopIfTrue="1" operator="between">
      <formula>-0.15</formula>
      <formula>-0.0001</formula>
    </cfRule>
  </conditionalFormatting>
  <conditionalFormatting sqref="AH332:AI332">
    <cfRule type="cellIs" dxfId="537" priority="622" stopIfTrue="1" operator="between">
      <formula>-0.15</formula>
      <formula>0.005</formula>
    </cfRule>
  </conditionalFormatting>
  <conditionalFormatting sqref="N332">
    <cfRule type="cellIs" dxfId="536" priority="621" stopIfTrue="1" operator="between">
      <formula>-350</formula>
      <formula>-1</formula>
    </cfRule>
  </conditionalFormatting>
  <conditionalFormatting sqref="AE336">
    <cfRule type="cellIs" dxfId="535" priority="612" stopIfTrue="1" operator="between">
      <formula>-0.15</formula>
      <formula>-0.0001</formula>
    </cfRule>
  </conditionalFormatting>
  <conditionalFormatting sqref="AH336:AI336">
    <cfRule type="cellIs" dxfId="534" priority="611" stopIfTrue="1" operator="between">
      <formula>-0.15</formula>
      <formula>0.005</formula>
    </cfRule>
  </conditionalFormatting>
  <conditionalFormatting sqref="N336">
    <cfRule type="cellIs" dxfId="533" priority="610" stopIfTrue="1" operator="between">
      <formula>-350</formula>
      <formula>-1</formula>
    </cfRule>
  </conditionalFormatting>
  <conditionalFormatting sqref="AE345">
    <cfRule type="cellIs" dxfId="532" priority="628" stopIfTrue="1" operator="between">
      <formula>-0.15</formula>
      <formula>-0.0001</formula>
    </cfRule>
  </conditionalFormatting>
  <conditionalFormatting sqref="AH345:AI345">
    <cfRule type="cellIs" dxfId="531" priority="627" stopIfTrue="1" operator="between">
      <formula>-0.15</formula>
      <formula>0.005</formula>
    </cfRule>
  </conditionalFormatting>
  <conditionalFormatting sqref="N345">
    <cfRule type="cellIs" dxfId="530" priority="626" stopIfTrue="1" operator="between">
      <formula>-350</formula>
      <formula>-1</formula>
    </cfRule>
  </conditionalFormatting>
  <conditionalFormatting sqref="AE335">
    <cfRule type="cellIs" dxfId="529" priority="625" stopIfTrue="1" operator="between">
      <formula>-0.15</formula>
      <formula>-0.0001</formula>
    </cfRule>
  </conditionalFormatting>
  <conditionalFormatting sqref="AH335:AI335">
    <cfRule type="cellIs" dxfId="528" priority="624" stopIfTrue="1" operator="between">
      <formula>-0.15</formula>
      <formula>0.005</formula>
    </cfRule>
  </conditionalFormatting>
  <conditionalFormatting sqref="AE344">
    <cfRule type="cellIs" dxfId="527" priority="587" stopIfTrue="1" operator="between">
      <formula>-0.15</formula>
      <formula>-0.0001</formula>
    </cfRule>
  </conditionalFormatting>
  <conditionalFormatting sqref="AH344:AI344">
    <cfRule type="cellIs" dxfId="526" priority="586" stopIfTrue="1" operator="between">
      <formula>-0.15</formula>
      <formula>0.005</formula>
    </cfRule>
  </conditionalFormatting>
  <conditionalFormatting sqref="N344">
    <cfRule type="cellIs" dxfId="525" priority="585" stopIfTrue="1" operator="between">
      <formula>-350</formula>
      <formula>-1</formula>
    </cfRule>
  </conditionalFormatting>
  <conditionalFormatting sqref="AE334">
    <cfRule type="cellIs" dxfId="524" priority="620" stopIfTrue="1" operator="between">
      <formula>-0.15</formula>
      <formula>-0.0001</formula>
    </cfRule>
  </conditionalFormatting>
  <conditionalFormatting sqref="AH334:AI334">
    <cfRule type="cellIs" dxfId="523" priority="619" stopIfTrue="1" operator="between">
      <formula>-0.15</formula>
      <formula>0.005</formula>
    </cfRule>
  </conditionalFormatting>
  <conditionalFormatting sqref="N334">
    <cfRule type="cellIs" dxfId="522" priority="618" stopIfTrue="1" operator="between">
      <formula>-350</formula>
      <formula>-1</formula>
    </cfRule>
  </conditionalFormatting>
  <conditionalFormatting sqref="AE333">
    <cfRule type="cellIs" dxfId="521" priority="617" stopIfTrue="1" operator="between">
      <formula>-0.15</formula>
      <formula>-0.0001</formula>
    </cfRule>
  </conditionalFormatting>
  <conditionalFormatting sqref="AH333:AI333">
    <cfRule type="cellIs" dxfId="520" priority="616" stopIfTrue="1" operator="between">
      <formula>-0.15</formula>
      <formula>0.005</formula>
    </cfRule>
  </conditionalFormatting>
  <conditionalFormatting sqref="N333">
    <cfRule type="cellIs" dxfId="519" priority="615" stopIfTrue="1" operator="between">
      <formula>-350</formula>
      <formula>-1</formula>
    </cfRule>
  </conditionalFormatting>
  <conditionalFormatting sqref="AE339">
    <cfRule type="cellIs" dxfId="518" priority="614" stopIfTrue="1" operator="between">
      <formula>-0.15</formula>
      <formula>-0.0001</formula>
    </cfRule>
  </conditionalFormatting>
  <conditionalFormatting sqref="AH339:AI339">
    <cfRule type="cellIs" dxfId="517" priority="613" stopIfTrue="1" operator="between">
      <formula>-0.15</formula>
      <formula>0.005</formula>
    </cfRule>
  </conditionalFormatting>
  <conditionalFormatting sqref="AE340">
    <cfRule type="cellIs" dxfId="516" priority="593" stopIfTrue="1" operator="between">
      <formula>-0.15</formula>
      <formula>-0.0001</formula>
    </cfRule>
  </conditionalFormatting>
  <conditionalFormatting sqref="AH340:AI340">
    <cfRule type="cellIs" dxfId="515" priority="592" stopIfTrue="1" operator="between">
      <formula>-0.15</formula>
      <formula>0.005</formula>
    </cfRule>
  </conditionalFormatting>
  <conditionalFormatting sqref="N340">
    <cfRule type="cellIs" dxfId="514" priority="591" stopIfTrue="1" operator="between">
      <formula>-350</formula>
      <formula>-1</formula>
    </cfRule>
  </conditionalFormatting>
  <conditionalFormatting sqref="AE338">
    <cfRule type="cellIs" dxfId="513" priority="609" stopIfTrue="1" operator="between">
      <formula>-0.15</formula>
      <formula>-0.0001</formula>
    </cfRule>
  </conditionalFormatting>
  <conditionalFormatting sqref="AH338:AI338">
    <cfRule type="cellIs" dxfId="512" priority="608" stopIfTrue="1" operator="between">
      <formula>-0.15</formula>
      <formula>0.005</formula>
    </cfRule>
  </conditionalFormatting>
  <conditionalFormatting sqref="N338">
    <cfRule type="cellIs" dxfId="511" priority="607" stopIfTrue="1" operator="between">
      <formula>-350</formula>
      <formula>-1</formula>
    </cfRule>
  </conditionalFormatting>
  <conditionalFormatting sqref="AE337">
    <cfRule type="cellIs" dxfId="510" priority="606" stopIfTrue="1" operator="between">
      <formula>-0.15</formula>
      <formula>-0.0001</formula>
    </cfRule>
  </conditionalFormatting>
  <conditionalFormatting sqref="AH337:AI337">
    <cfRule type="cellIs" dxfId="509" priority="605" stopIfTrue="1" operator="between">
      <formula>-0.15</formula>
      <formula>0.005</formula>
    </cfRule>
  </conditionalFormatting>
  <conditionalFormatting sqref="N337">
    <cfRule type="cellIs" dxfId="508" priority="604" stopIfTrue="1" operator="between">
      <formula>-350</formula>
      <formula>-1</formula>
    </cfRule>
  </conditionalFormatting>
  <conditionalFormatting sqref="AE355">
    <cfRule type="cellIs" dxfId="507" priority="603" stopIfTrue="1" operator="between">
      <formula>-0.15</formula>
      <formula>-0.0001</formula>
    </cfRule>
  </conditionalFormatting>
  <conditionalFormatting sqref="AH355:AI355">
    <cfRule type="cellIs" dxfId="506" priority="602" stopIfTrue="1" operator="between">
      <formula>-0.15</formula>
      <formula>0.005</formula>
    </cfRule>
  </conditionalFormatting>
  <conditionalFormatting sqref="AE354">
    <cfRule type="cellIs" dxfId="505" priority="601" stopIfTrue="1" operator="between">
      <formula>-0.15</formula>
      <formula>-0.0001</formula>
    </cfRule>
  </conditionalFormatting>
  <conditionalFormatting sqref="AH354:AI354">
    <cfRule type="cellIs" dxfId="504" priority="600" stopIfTrue="1" operator="between">
      <formula>-0.15</formula>
      <formula>0.005</formula>
    </cfRule>
  </conditionalFormatting>
  <conditionalFormatting sqref="N354">
    <cfRule type="cellIs" dxfId="503" priority="599" stopIfTrue="1" operator="between">
      <formula>-350</formula>
      <formula>-1</formula>
    </cfRule>
  </conditionalFormatting>
  <conditionalFormatting sqref="AE1853">
    <cfRule type="cellIs" dxfId="502" priority="598" stopIfTrue="1" operator="between">
      <formula>-0.15</formula>
      <formula>-0.0001</formula>
    </cfRule>
  </conditionalFormatting>
  <conditionalFormatting sqref="AH1853:AI1853">
    <cfRule type="cellIs" dxfId="501" priority="597" stopIfTrue="1" operator="between">
      <formula>-0.15</formula>
      <formula>0.005</formula>
    </cfRule>
  </conditionalFormatting>
  <conditionalFormatting sqref="N1853">
    <cfRule type="cellIs" dxfId="500" priority="596" stopIfTrue="1" operator="between">
      <formula>-350</formula>
      <formula>-1</formula>
    </cfRule>
  </conditionalFormatting>
  <conditionalFormatting sqref="AE342">
    <cfRule type="cellIs" dxfId="499" priority="595" stopIfTrue="1" operator="between">
      <formula>-0.15</formula>
      <formula>-0.0001</formula>
    </cfRule>
  </conditionalFormatting>
  <conditionalFormatting sqref="AH342:AI342">
    <cfRule type="cellIs" dxfId="498" priority="594" stopIfTrue="1" operator="between">
      <formula>-0.15</formula>
      <formula>0.005</formula>
    </cfRule>
  </conditionalFormatting>
  <conditionalFormatting sqref="AE1294">
    <cfRule type="cellIs" dxfId="497" priority="539" stopIfTrue="1" operator="between">
      <formula>-0.15</formula>
      <formula>-0.0001</formula>
    </cfRule>
  </conditionalFormatting>
  <conditionalFormatting sqref="AH1294:AI1294">
    <cfRule type="cellIs" dxfId="496" priority="538" stopIfTrue="1" operator="between">
      <formula>-0.15</formula>
      <formula>0.005</formula>
    </cfRule>
  </conditionalFormatting>
  <conditionalFormatting sqref="N1294">
    <cfRule type="cellIs" dxfId="495" priority="537" stopIfTrue="1" operator="between">
      <formula>-350</formula>
      <formula>-1</formula>
    </cfRule>
  </conditionalFormatting>
  <conditionalFormatting sqref="AE341">
    <cfRule type="cellIs" dxfId="494" priority="590" stopIfTrue="1" operator="between">
      <formula>-0.15</formula>
      <formula>-0.0001</formula>
    </cfRule>
  </conditionalFormatting>
  <conditionalFormatting sqref="AH341:AI341">
    <cfRule type="cellIs" dxfId="493" priority="589" stopIfTrue="1" operator="between">
      <formula>-0.15</formula>
      <formula>0.005</formula>
    </cfRule>
  </conditionalFormatting>
  <conditionalFormatting sqref="N341">
    <cfRule type="cellIs" dxfId="492" priority="588" stopIfTrue="1" operator="between">
      <formula>-350</formula>
      <formula>-1</formula>
    </cfRule>
  </conditionalFormatting>
  <conditionalFormatting sqref="AE362">
    <cfRule type="cellIs" dxfId="491" priority="582" stopIfTrue="1" operator="between">
      <formula>-0.15</formula>
      <formula>-0.0001</formula>
    </cfRule>
  </conditionalFormatting>
  <conditionalFormatting sqref="AH362:AI362">
    <cfRule type="cellIs" dxfId="490" priority="581" stopIfTrue="1" operator="between">
      <formula>-0.15</formula>
      <formula>0.005</formula>
    </cfRule>
  </conditionalFormatting>
  <conditionalFormatting sqref="N362">
    <cfRule type="cellIs" dxfId="489" priority="580" stopIfTrue="1" operator="between">
      <formula>-350</formula>
      <formula>-1</formula>
    </cfRule>
  </conditionalFormatting>
  <conditionalFormatting sqref="AE369">
    <cfRule type="cellIs" dxfId="488" priority="579" stopIfTrue="1" operator="between">
      <formula>-0.15</formula>
      <formula>-0.0001</formula>
    </cfRule>
  </conditionalFormatting>
  <conditionalFormatting sqref="AH369:AI369">
    <cfRule type="cellIs" dxfId="487" priority="578" stopIfTrue="1" operator="between">
      <formula>-0.15</formula>
      <formula>0.005</formula>
    </cfRule>
  </conditionalFormatting>
  <conditionalFormatting sqref="AE368">
    <cfRule type="cellIs" dxfId="486" priority="577" stopIfTrue="1" operator="between">
      <formula>-0.15</formula>
      <formula>-0.0001</formula>
    </cfRule>
  </conditionalFormatting>
  <conditionalFormatting sqref="AH368:AI368">
    <cfRule type="cellIs" dxfId="485" priority="576" stopIfTrue="1" operator="between">
      <formula>-0.15</formula>
      <formula>0.005</formula>
    </cfRule>
  </conditionalFormatting>
  <conditionalFormatting sqref="N368">
    <cfRule type="cellIs" dxfId="484" priority="575" stopIfTrue="1" operator="between">
      <formula>-350</formula>
      <formula>-1</formula>
    </cfRule>
  </conditionalFormatting>
  <conditionalFormatting sqref="AE367">
    <cfRule type="cellIs" dxfId="483" priority="574" stopIfTrue="1" operator="between">
      <formula>-0.15</formula>
      <formula>-0.0001</formula>
    </cfRule>
  </conditionalFormatting>
  <conditionalFormatting sqref="AH367:AI367">
    <cfRule type="cellIs" dxfId="482" priority="573" stopIfTrue="1" operator="between">
      <formula>-0.15</formula>
      <formula>0.005</formula>
    </cfRule>
  </conditionalFormatting>
  <conditionalFormatting sqref="AE366">
    <cfRule type="cellIs" dxfId="481" priority="572" stopIfTrue="1" operator="between">
      <formula>-0.15</formula>
      <formula>-0.0001</formula>
    </cfRule>
  </conditionalFormatting>
  <conditionalFormatting sqref="AH366:AI366">
    <cfRule type="cellIs" dxfId="480" priority="571" stopIfTrue="1" operator="between">
      <formula>-0.15</formula>
      <formula>0.005</formula>
    </cfRule>
  </conditionalFormatting>
  <conditionalFormatting sqref="N366">
    <cfRule type="cellIs" dxfId="479" priority="570" stopIfTrue="1" operator="between">
      <formula>-350</formula>
      <formula>-1</formula>
    </cfRule>
  </conditionalFormatting>
  <conditionalFormatting sqref="AE365">
    <cfRule type="cellIs" dxfId="478" priority="569" stopIfTrue="1" operator="between">
      <formula>-0.15</formula>
      <formula>-0.0001</formula>
    </cfRule>
  </conditionalFormatting>
  <conditionalFormatting sqref="AH365:AI365">
    <cfRule type="cellIs" dxfId="477" priority="568" stopIfTrue="1" operator="between">
      <formula>-0.15</formula>
      <formula>0.005</formula>
    </cfRule>
  </conditionalFormatting>
  <conditionalFormatting sqref="AE1533">
    <cfRule type="cellIs" dxfId="476" priority="512" stopIfTrue="1" operator="between">
      <formula>-0.15</formula>
      <formula>-0.0001</formula>
    </cfRule>
  </conditionalFormatting>
  <conditionalFormatting sqref="AH1533:AI1533">
    <cfRule type="cellIs" dxfId="475" priority="511" stopIfTrue="1" operator="between">
      <formula>-0.15</formula>
      <formula>0.005</formula>
    </cfRule>
  </conditionalFormatting>
  <conditionalFormatting sqref="N1533">
    <cfRule type="cellIs" dxfId="474" priority="510" stopIfTrue="1" operator="between">
      <formula>-350</formula>
      <formula>-1</formula>
    </cfRule>
  </conditionalFormatting>
  <conditionalFormatting sqref="AE357">
    <cfRule type="cellIs" dxfId="473" priority="564" stopIfTrue="1" operator="between">
      <formula>-0.15</formula>
      <formula>-0.0001</formula>
    </cfRule>
  </conditionalFormatting>
  <conditionalFormatting sqref="AH357:AI357">
    <cfRule type="cellIs" dxfId="472" priority="563" stopIfTrue="1" operator="between">
      <formula>-0.15</formula>
      <formula>0.005</formula>
    </cfRule>
  </conditionalFormatting>
  <conditionalFormatting sqref="AE364">
    <cfRule type="cellIs" dxfId="471" priority="567" stopIfTrue="1" operator="between">
      <formula>-0.15</formula>
      <formula>-0.0001</formula>
    </cfRule>
  </conditionalFormatting>
  <conditionalFormatting sqref="AH364:AI364">
    <cfRule type="cellIs" dxfId="470" priority="566" stopIfTrue="1" operator="between">
      <formula>-0.15</formula>
      <formula>0.005</formula>
    </cfRule>
  </conditionalFormatting>
  <conditionalFormatting sqref="N364">
    <cfRule type="cellIs" dxfId="469" priority="565" stopIfTrue="1" operator="between">
      <formula>-350</formula>
      <formula>-1</formula>
    </cfRule>
  </conditionalFormatting>
  <conditionalFormatting sqref="AE361">
    <cfRule type="cellIs" dxfId="468" priority="559" stopIfTrue="1" operator="between">
      <formula>-0.15</formula>
      <formula>-0.0001</formula>
    </cfRule>
  </conditionalFormatting>
  <conditionalFormatting sqref="AH361:AI361">
    <cfRule type="cellIs" dxfId="467" priority="558" stopIfTrue="1" operator="between">
      <formula>-0.15</formula>
      <formula>0.005</formula>
    </cfRule>
  </conditionalFormatting>
  <conditionalFormatting sqref="AE356">
    <cfRule type="cellIs" dxfId="466" priority="562" stopIfTrue="1" operator="between">
      <formula>-0.15</formula>
      <formula>-0.0001</formula>
    </cfRule>
  </conditionalFormatting>
  <conditionalFormatting sqref="AH356:AI356">
    <cfRule type="cellIs" dxfId="465" priority="561" stopIfTrue="1" operator="between">
      <formula>-0.15</formula>
      <formula>0.005</formula>
    </cfRule>
  </conditionalFormatting>
  <conditionalFormatting sqref="N356">
    <cfRule type="cellIs" dxfId="464" priority="560" stopIfTrue="1" operator="between">
      <formula>-350</formula>
      <formula>-1</formula>
    </cfRule>
  </conditionalFormatting>
  <conditionalFormatting sqref="AE360">
    <cfRule type="cellIs" dxfId="463" priority="557" stopIfTrue="1" operator="between">
      <formula>-0.15</formula>
      <formula>-0.0001</formula>
    </cfRule>
  </conditionalFormatting>
  <conditionalFormatting sqref="AH360:AI360">
    <cfRule type="cellIs" dxfId="462" priority="556" stopIfTrue="1" operator="between">
      <formula>-0.15</formula>
      <formula>0.005</formula>
    </cfRule>
  </conditionalFormatting>
  <conditionalFormatting sqref="N360">
    <cfRule type="cellIs" dxfId="461" priority="555" stopIfTrue="1" operator="between">
      <formula>-350</formula>
      <formula>-1</formula>
    </cfRule>
  </conditionalFormatting>
  <conditionalFormatting sqref="AE359">
    <cfRule type="cellIs" dxfId="460" priority="554" stopIfTrue="1" operator="between">
      <formula>-0.15</formula>
      <formula>-0.0001</formula>
    </cfRule>
  </conditionalFormatting>
  <conditionalFormatting sqref="AH359:AI359">
    <cfRule type="cellIs" dxfId="459" priority="553" stopIfTrue="1" operator="between">
      <formula>-0.15</formula>
      <formula>0.005</formula>
    </cfRule>
  </conditionalFormatting>
  <conditionalFormatting sqref="AE358">
    <cfRule type="cellIs" dxfId="458" priority="552" stopIfTrue="1" operator="between">
      <formula>-0.15</formula>
      <formula>-0.0001</formula>
    </cfRule>
  </conditionalFormatting>
  <conditionalFormatting sqref="AH358:AI358">
    <cfRule type="cellIs" dxfId="457" priority="551" stopIfTrue="1" operator="between">
      <formula>-0.15</formula>
      <formula>0.005</formula>
    </cfRule>
  </conditionalFormatting>
  <conditionalFormatting sqref="N358">
    <cfRule type="cellIs" dxfId="456" priority="550" stopIfTrue="1" operator="between">
      <formula>-350</formula>
      <formula>-1</formula>
    </cfRule>
  </conditionalFormatting>
  <conditionalFormatting sqref="AE371">
    <cfRule type="cellIs" dxfId="455" priority="549" stopIfTrue="1" operator="between">
      <formula>-0.15</formula>
      <formula>-0.0001</formula>
    </cfRule>
  </conditionalFormatting>
  <conditionalFormatting sqref="AH371:AI371">
    <cfRule type="cellIs" dxfId="454" priority="548" stopIfTrue="1" operator="between">
      <formula>-0.15</formula>
      <formula>0.005</formula>
    </cfRule>
  </conditionalFormatting>
  <conditionalFormatting sqref="AE370">
    <cfRule type="cellIs" dxfId="453" priority="547" stopIfTrue="1" operator="between">
      <formula>-0.15</formula>
      <formula>-0.0001</formula>
    </cfRule>
  </conditionalFormatting>
  <conditionalFormatting sqref="AH370:AI370">
    <cfRule type="cellIs" dxfId="452" priority="546" stopIfTrue="1" operator="between">
      <formula>-0.15</formula>
      <formula>0.005</formula>
    </cfRule>
  </conditionalFormatting>
  <conditionalFormatting sqref="N370">
    <cfRule type="cellIs" dxfId="451" priority="545" stopIfTrue="1" operator="between">
      <formula>-350</formula>
      <formula>-1</formula>
    </cfRule>
  </conditionalFormatting>
  <conditionalFormatting sqref="N1298">
    <cfRule type="cellIs" dxfId="450" priority="502" stopIfTrue="1" operator="between">
      <formula>-350</formula>
      <formula>-1</formula>
    </cfRule>
  </conditionalFormatting>
  <conditionalFormatting sqref="AE1298">
    <cfRule type="cellIs" dxfId="449" priority="504" stopIfTrue="1" operator="between">
      <formula>-0.15</formula>
      <formula>-0.0001</formula>
    </cfRule>
  </conditionalFormatting>
  <conditionalFormatting sqref="AH1298:AI1298">
    <cfRule type="cellIs" dxfId="448" priority="503" stopIfTrue="1" operator="between">
      <formula>-0.15</formula>
      <formula>0.005</formula>
    </cfRule>
  </conditionalFormatting>
  <conditionalFormatting sqref="AE1297">
    <cfRule type="cellIs" dxfId="447" priority="541" stopIfTrue="1" operator="between">
      <formula>-0.15</formula>
      <formula>-0.0001</formula>
    </cfRule>
  </conditionalFormatting>
  <conditionalFormatting sqref="AH1297:AI1297">
    <cfRule type="cellIs" dxfId="446" priority="540" stopIfTrue="1" operator="between">
      <formula>-0.15</formula>
      <formula>0.005</formula>
    </cfRule>
  </conditionalFormatting>
  <conditionalFormatting sqref="AE1296">
    <cfRule type="cellIs" dxfId="445" priority="536" stopIfTrue="1" operator="between">
      <formula>-0.15</formula>
      <formula>-0.0001</formula>
    </cfRule>
  </conditionalFormatting>
  <conditionalFormatting sqref="AH1296:AI1296">
    <cfRule type="cellIs" dxfId="444" priority="535" stopIfTrue="1" operator="between">
      <formula>-0.15</formula>
      <formula>0.005</formula>
    </cfRule>
  </conditionalFormatting>
  <conditionalFormatting sqref="N1296">
    <cfRule type="cellIs" dxfId="443" priority="534" stopIfTrue="1" operator="between">
      <formula>-350</formula>
      <formula>-1</formula>
    </cfRule>
  </conditionalFormatting>
  <conditionalFormatting sqref="AE1295">
    <cfRule type="cellIs" dxfId="442" priority="533" stopIfTrue="1" operator="between">
      <formula>-0.15</formula>
      <formula>-0.0001</formula>
    </cfRule>
  </conditionalFormatting>
  <conditionalFormatting sqref="AH1295:AI1295">
    <cfRule type="cellIs" dxfId="441" priority="532" stopIfTrue="1" operator="between">
      <formula>-0.15</formula>
      <formula>0.005</formula>
    </cfRule>
  </conditionalFormatting>
  <conditionalFormatting sqref="N1295">
    <cfRule type="cellIs" dxfId="440" priority="531" stopIfTrue="1" operator="between">
      <formula>-350</formula>
      <formula>-1</formula>
    </cfRule>
  </conditionalFormatting>
  <conditionalFormatting sqref="N1539">
    <cfRule type="cellIs" dxfId="439" priority="523" stopIfTrue="1" operator="between">
      <formula>-350</formula>
      <formula>-1</formula>
    </cfRule>
  </conditionalFormatting>
  <conditionalFormatting sqref="AE1540">
    <cfRule type="cellIs" dxfId="438" priority="530" stopIfTrue="1" operator="between">
      <formula>-0.15</formula>
      <formula>-0.0001</formula>
    </cfRule>
  </conditionalFormatting>
  <conditionalFormatting sqref="AH1540:AI1540">
    <cfRule type="cellIs" dxfId="437" priority="529" stopIfTrue="1" operator="between">
      <formula>-0.15</formula>
      <formula>0.005</formula>
    </cfRule>
  </conditionalFormatting>
  <conditionalFormatting sqref="AE1538">
    <cfRule type="cellIs" dxfId="436" priority="528" stopIfTrue="1" operator="between">
      <formula>-0.15</formula>
      <formula>-0.0001</formula>
    </cfRule>
  </conditionalFormatting>
  <conditionalFormatting sqref="AH1538:AI1538">
    <cfRule type="cellIs" dxfId="435" priority="527" stopIfTrue="1" operator="between">
      <formula>-0.15</formula>
      <formula>0.005</formula>
    </cfRule>
  </conditionalFormatting>
  <conditionalFormatting sqref="N1538">
    <cfRule type="cellIs" dxfId="434" priority="526" stopIfTrue="1" operator="between">
      <formula>-350</formula>
      <formula>-1</formula>
    </cfRule>
  </conditionalFormatting>
  <conditionalFormatting sqref="AE1539">
    <cfRule type="cellIs" dxfId="433" priority="525" stopIfTrue="1" operator="between">
      <formula>-0.15</formula>
      <formula>-0.0001</formula>
    </cfRule>
  </conditionalFormatting>
  <conditionalFormatting sqref="AH1539:AI1539">
    <cfRule type="cellIs" dxfId="432" priority="524" stopIfTrue="1" operator="between">
      <formula>-0.15</formula>
      <formula>0.005</formula>
    </cfRule>
  </conditionalFormatting>
  <conditionalFormatting sqref="N1536">
    <cfRule type="cellIs" dxfId="431" priority="515" stopIfTrue="1" operator="between">
      <formula>-350</formula>
      <formula>-1</formula>
    </cfRule>
  </conditionalFormatting>
  <conditionalFormatting sqref="AE1537">
    <cfRule type="cellIs" dxfId="430" priority="522" stopIfTrue="1" operator="between">
      <formula>-0.15</formula>
      <formula>-0.0001</formula>
    </cfRule>
  </conditionalFormatting>
  <conditionalFormatting sqref="AH1537:AI1537">
    <cfRule type="cellIs" dxfId="429" priority="521" stopIfTrue="1" operator="between">
      <formula>-0.15</formula>
      <formula>0.005</formula>
    </cfRule>
  </conditionalFormatting>
  <conditionalFormatting sqref="AE1535">
    <cfRule type="cellIs" dxfId="428" priority="520" stopIfTrue="1" operator="between">
      <formula>-0.15</formula>
      <formula>-0.0001</formula>
    </cfRule>
  </conditionalFormatting>
  <conditionalFormatting sqref="AH1535:AI1535">
    <cfRule type="cellIs" dxfId="427" priority="519" stopIfTrue="1" operator="between">
      <formula>-0.15</formula>
      <formula>0.005</formula>
    </cfRule>
  </conditionalFormatting>
  <conditionalFormatting sqref="N1535">
    <cfRule type="cellIs" dxfId="426" priority="518" stopIfTrue="1" operator="between">
      <formula>-350</formula>
      <formula>-1</formula>
    </cfRule>
  </conditionalFormatting>
  <conditionalFormatting sqref="AE1536">
    <cfRule type="cellIs" dxfId="425" priority="517" stopIfTrue="1" operator="between">
      <formula>-0.15</formula>
      <formula>-0.0001</formula>
    </cfRule>
  </conditionalFormatting>
  <conditionalFormatting sqref="AH1536:AI1536">
    <cfRule type="cellIs" dxfId="424" priority="516" stopIfTrue="1" operator="between">
      <formula>-0.15</formula>
      <formula>0.005</formula>
    </cfRule>
  </conditionalFormatting>
  <conditionalFormatting sqref="N1299">
    <cfRule type="cellIs" dxfId="423" priority="496" stopIfTrue="1" operator="between">
      <formula>-350</formula>
      <formula>-1</formula>
    </cfRule>
  </conditionalFormatting>
  <conditionalFormatting sqref="AE1534">
    <cfRule type="cellIs" dxfId="422" priority="514" stopIfTrue="1" operator="between">
      <formula>-0.15</formula>
      <formula>-0.0001</formula>
    </cfRule>
  </conditionalFormatting>
  <conditionalFormatting sqref="AH1534:AI1534">
    <cfRule type="cellIs" dxfId="421" priority="513" stopIfTrue="1" operator="between">
      <formula>-0.15</formula>
      <formula>0.005</formula>
    </cfRule>
  </conditionalFormatting>
  <conditionalFormatting sqref="AE1299">
    <cfRule type="cellIs" dxfId="420" priority="498" stopIfTrue="1" operator="between">
      <formula>-0.15</formula>
      <formula>-0.0001</formula>
    </cfRule>
  </conditionalFormatting>
  <conditionalFormatting sqref="AH1299:AI1299">
    <cfRule type="cellIs" dxfId="419" priority="497" stopIfTrue="1" operator="between">
      <formula>-0.15</formula>
      <formula>0.005</formula>
    </cfRule>
  </conditionalFormatting>
  <conditionalFormatting sqref="N1302">
    <cfRule type="cellIs" dxfId="418" priority="491" stopIfTrue="1" operator="between">
      <formula>-350</formula>
      <formula>-1</formula>
    </cfRule>
  </conditionalFormatting>
  <conditionalFormatting sqref="AE1302">
    <cfRule type="cellIs" dxfId="417" priority="493" stopIfTrue="1" operator="between">
      <formula>-0.15</formula>
      <formula>-0.0001</formula>
    </cfRule>
  </conditionalFormatting>
  <conditionalFormatting sqref="AH1302:AI1302">
    <cfRule type="cellIs" dxfId="416" priority="492" stopIfTrue="1" operator="between">
      <formula>-0.15</formula>
      <formula>0.005</formula>
    </cfRule>
  </conditionalFormatting>
  <conditionalFormatting sqref="AE1301">
    <cfRule type="cellIs" dxfId="415" priority="506" stopIfTrue="1" operator="between">
      <formula>-0.15</formula>
      <formula>-0.0001</formula>
    </cfRule>
  </conditionalFormatting>
  <conditionalFormatting sqref="AH1301:AI1301">
    <cfRule type="cellIs" dxfId="414" priority="505" stopIfTrue="1" operator="between">
      <formula>-0.15</formula>
      <formula>0.005</formula>
    </cfRule>
  </conditionalFormatting>
  <conditionalFormatting sqref="AE1300">
    <cfRule type="cellIs" dxfId="413" priority="501" stopIfTrue="1" operator="between">
      <formula>-0.15</formula>
      <formula>-0.0001</formula>
    </cfRule>
  </conditionalFormatting>
  <conditionalFormatting sqref="AH1300:AI1300">
    <cfRule type="cellIs" dxfId="412" priority="500" stopIfTrue="1" operator="between">
      <formula>-0.15</formula>
      <formula>0.005</formula>
    </cfRule>
  </conditionalFormatting>
  <conditionalFormatting sqref="N1300">
    <cfRule type="cellIs" dxfId="411" priority="499" stopIfTrue="1" operator="between">
      <formula>-350</formula>
      <formula>-1</formula>
    </cfRule>
  </conditionalFormatting>
  <conditionalFormatting sqref="AE1303">
    <cfRule type="cellIs" dxfId="410" priority="487" stopIfTrue="1" operator="between">
      <formula>-0.15</formula>
      <formula>-0.0001</formula>
    </cfRule>
  </conditionalFormatting>
  <conditionalFormatting sqref="AH1303:AI1303">
    <cfRule type="cellIs" dxfId="409" priority="486" stopIfTrue="1" operator="between">
      <formula>-0.15</formula>
      <formula>0.005</formula>
    </cfRule>
  </conditionalFormatting>
  <conditionalFormatting sqref="N1303">
    <cfRule type="cellIs" dxfId="408" priority="485" stopIfTrue="1" operator="between">
      <formula>-350</formula>
      <formula>-1</formula>
    </cfRule>
  </conditionalFormatting>
  <conditionalFormatting sqref="AE1304">
    <cfRule type="cellIs" dxfId="407" priority="490" stopIfTrue="1" operator="between">
      <formula>-0.15</formula>
      <formula>-0.0001</formula>
    </cfRule>
  </conditionalFormatting>
  <conditionalFormatting sqref="AE1305">
    <cfRule type="cellIs" dxfId="406" priority="495" stopIfTrue="1" operator="between">
      <formula>-0.15</formula>
      <formula>-0.0001</formula>
    </cfRule>
  </conditionalFormatting>
  <conditionalFormatting sqref="AH1305:AI1305">
    <cfRule type="cellIs" dxfId="405" priority="494" stopIfTrue="1" operator="between">
      <formula>-0.15</formula>
      <formula>0.005</formula>
    </cfRule>
  </conditionalFormatting>
  <conditionalFormatting sqref="AH1304:AI1304">
    <cfRule type="cellIs" dxfId="404" priority="489" stopIfTrue="1" operator="between">
      <formula>-0.15</formula>
      <formula>0.005</formula>
    </cfRule>
  </conditionalFormatting>
  <conditionalFormatting sqref="N1304">
    <cfRule type="cellIs" dxfId="403" priority="488" stopIfTrue="1" operator="between">
      <formula>-350</formula>
      <formula>-1</formula>
    </cfRule>
  </conditionalFormatting>
  <conditionalFormatting sqref="AE30">
    <cfRule type="cellIs" dxfId="402" priority="483" stopIfTrue="1" operator="between">
      <formula>-0.15</formula>
      <formula>-0.0001</formula>
    </cfRule>
  </conditionalFormatting>
  <conditionalFormatting sqref="AH30:AI30">
    <cfRule type="cellIs" dxfId="401" priority="482" stopIfTrue="1" operator="between">
      <formula>-0.15</formula>
      <formula>0.005</formula>
    </cfRule>
  </conditionalFormatting>
  <conditionalFormatting sqref="N30">
    <cfRule type="cellIs" dxfId="400" priority="484" stopIfTrue="1" operator="between">
      <formula>-350</formula>
      <formula>-1</formula>
    </cfRule>
  </conditionalFormatting>
  <conditionalFormatting sqref="AE26">
    <cfRule type="cellIs" dxfId="399" priority="480" stopIfTrue="1" operator="between">
      <formula>-0.15</formula>
      <formula>-0.0001</formula>
    </cfRule>
  </conditionalFormatting>
  <conditionalFormatting sqref="AH26:AI26">
    <cfRule type="cellIs" dxfId="398" priority="479" stopIfTrue="1" operator="between">
      <formula>-0.15</formula>
      <formula>0.005</formula>
    </cfRule>
  </conditionalFormatting>
  <conditionalFormatting sqref="N26">
    <cfRule type="cellIs" dxfId="397" priority="481" stopIfTrue="1" operator="between">
      <formula>-350</formula>
      <formula>-1</formula>
    </cfRule>
  </conditionalFormatting>
  <conditionalFormatting sqref="AE27">
    <cfRule type="cellIs" dxfId="396" priority="477" stopIfTrue="1" operator="between">
      <formula>-0.15</formula>
      <formula>-0.0001</formula>
    </cfRule>
  </conditionalFormatting>
  <conditionalFormatting sqref="AH27:AI27">
    <cfRule type="cellIs" dxfId="395" priority="476" stopIfTrue="1" operator="between">
      <formula>-0.15</formula>
      <formula>0.005</formula>
    </cfRule>
  </conditionalFormatting>
  <conditionalFormatting sqref="N27">
    <cfRule type="cellIs" dxfId="394" priority="478" stopIfTrue="1" operator="between">
      <formula>-350</formula>
      <formula>-1</formula>
    </cfRule>
  </conditionalFormatting>
  <conditionalFormatting sqref="AE1392">
    <cfRule type="cellIs" dxfId="393" priority="475" stopIfTrue="1" operator="between">
      <formula>-0.15</formula>
      <formula>-0.0001</formula>
    </cfRule>
  </conditionalFormatting>
  <conditionalFormatting sqref="AH1392:AI1392">
    <cfRule type="cellIs" dxfId="392" priority="474" stopIfTrue="1" operator="between">
      <formula>-0.15</formula>
      <formula>0.005</formula>
    </cfRule>
  </conditionalFormatting>
  <conditionalFormatting sqref="N1392">
    <cfRule type="cellIs" dxfId="391" priority="473" stopIfTrue="1" operator="between">
      <formula>-350</formula>
      <formula>-1</formula>
    </cfRule>
  </conditionalFormatting>
  <conditionalFormatting sqref="AE1393">
    <cfRule type="cellIs" dxfId="390" priority="472" stopIfTrue="1" operator="between">
      <formula>-0.15</formula>
      <formula>-0.0001</formula>
    </cfRule>
  </conditionalFormatting>
  <conditionalFormatting sqref="AH1393:AI1393">
    <cfRule type="cellIs" dxfId="389" priority="471" stopIfTrue="1" operator="between">
      <formula>-0.15</formula>
      <formula>0.005</formula>
    </cfRule>
  </conditionalFormatting>
  <conditionalFormatting sqref="N1393">
    <cfRule type="cellIs" dxfId="388" priority="470" stopIfTrue="1" operator="between">
      <formula>-350</formula>
      <formula>-1</formula>
    </cfRule>
  </conditionalFormatting>
  <conditionalFormatting sqref="AE31">
    <cfRule type="cellIs" dxfId="387" priority="468" stopIfTrue="1" operator="between">
      <formula>-0.15</formula>
      <formula>-0.0001</formula>
    </cfRule>
  </conditionalFormatting>
  <conditionalFormatting sqref="AH31:AI31">
    <cfRule type="cellIs" dxfId="386" priority="467" stopIfTrue="1" operator="between">
      <formula>-0.15</formula>
      <formula>0.005</formula>
    </cfRule>
  </conditionalFormatting>
  <conditionalFormatting sqref="N31">
    <cfRule type="cellIs" dxfId="385" priority="469" stopIfTrue="1" operator="between">
      <formula>-350</formula>
      <formula>-1</formula>
    </cfRule>
  </conditionalFormatting>
  <conditionalFormatting sqref="AE311">
    <cfRule type="cellIs" dxfId="384" priority="466" stopIfTrue="1" operator="between">
      <formula>-0.15</formula>
      <formula>-0.0001</formula>
    </cfRule>
  </conditionalFormatting>
  <conditionalFormatting sqref="AH311:AI311">
    <cfRule type="cellIs" dxfId="383" priority="465" stopIfTrue="1" operator="between">
      <formula>-0.15</formula>
      <formula>0.005</formula>
    </cfRule>
  </conditionalFormatting>
  <conditionalFormatting sqref="N311">
    <cfRule type="cellIs" dxfId="382" priority="464" stopIfTrue="1" operator="between">
      <formula>-350</formula>
      <formula>-1</formula>
    </cfRule>
  </conditionalFormatting>
  <conditionalFormatting sqref="AE310">
    <cfRule type="cellIs" dxfId="381" priority="463" stopIfTrue="1" operator="between">
      <formula>-0.15</formula>
      <formula>-0.0001</formula>
    </cfRule>
  </conditionalFormatting>
  <conditionalFormatting sqref="AH310:AI310">
    <cfRule type="cellIs" dxfId="380" priority="462" stopIfTrue="1" operator="between">
      <formula>-0.15</formula>
      <formula>0.005</formula>
    </cfRule>
  </conditionalFormatting>
  <conditionalFormatting sqref="N310">
    <cfRule type="cellIs" dxfId="379" priority="461" stopIfTrue="1" operator="between">
      <formula>-350</formula>
      <formula>-1</formula>
    </cfRule>
  </conditionalFormatting>
  <conditionalFormatting sqref="AE313">
    <cfRule type="cellIs" dxfId="378" priority="460" stopIfTrue="1" operator="between">
      <formula>-0.15</formula>
      <formula>-0.0001</formula>
    </cfRule>
  </conditionalFormatting>
  <conditionalFormatting sqref="AH313:AI313">
    <cfRule type="cellIs" dxfId="377" priority="459" stopIfTrue="1" operator="between">
      <formula>-0.15</formula>
      <formula>0.005</formula>
    </cfRule>
  </conditionalFormatting>
  <conditionalFormatting sqref="N313">
    <cfRule type="cellIs" dxfId="376" priority="458" stopIfTrue="1" operator="between">
      <formula>-350</formula>
      <formula>-1</formula>
    </cfRule>
  </conditionalFormatting>
  <conditionalFormatting sqref="AE373">
    <cfRule type="cellIs" dxfId="375" priority="457" stopIfTrue="1" operator="between">
      <formula>-0.15</formula>
      <formula>-0.0001</formula>
    </cfRule>
  </conditionalFormatting>
  <conditionalFormatting sqref="AH373:AI373">
    <cfRule type="cellIs" dxfId="374" priority="456" stopIfTrue="1" operator="between">
      <formula>-0.15</formula>
      <formula>0.005</formula>
    </cfRule>
  </conditionalFormatting>
  <conditionalFormatting sqref="AE372">
    <cfRule type="cellIs" dxfId="373" priority="455" stopIfTrue="1" operator="between">
      <formula>-0.15</formula>
      <formula>-0.0001</formula>
    </cfRule>
  </conditionalFormatting>
  <conditionalFormatting sqref="AH372:AI372">
    <cfRule type="cellIs" dxfId="372" priority="454" stopIfTrue="1" operator="between">
      <formula>-0.15</formula>
      <formula>0.005</formula>
    </cfRule>
  </conditionalFormatting>
  <conditionalFormatting sqref="N372">
    <cfRule type="cellIs" dxfId="371" priority="453" stopIfTrue="1" operator="between">
      <formula>-350</formula>
      <formula>-1</formula>
    </cfRule>
  </conditionalFormatting>
  <conditionalFormatting sqref="AE32">
    <cfRule type="cellIs" dxfId="370" priority="451" stopIfTrue="1" operator="between">
      <formula>-0.15</formula>
      <formula>-0.0001</formula>
    </cfRule>
  </conditionalFormatting>
  <conditionalFormatting sqref="AH32:AI32">
    <cfRule type="cellIs" dxfId="369" priority="450" stopIfTrue="1" operator="between">
      <formula>-0.15</formula>
      <formula>0.005</formula>
    </cfRule>
  </conditionalFormatting>
  <conditionalFormatting sqref="N32">
    <cfRule type="cellIs" dxfId="368" priority="452" stopIfTrue="1" operator="between">
      <formula>-350</formula>
      <formula>-1</formula>
    </cfRule>
  </conditionalFormatting>
  <conditionalFormatting sqref="AH1810:AI1810">
    <cfRule type="cellIs" dxfId="367" priority="438" stopIfTrue="1" operator="between">
      <formula>-0.15</formula>
      <formula>0.005</formula>
    </cfRule>
  </conditionalFormatting>
  <conditionalFormatting sqref="AE1810">
    <cfRule type="cellIs" dxfId="366" priority="439" stopIfTrue="1" operator="between">
      <formula>-0.15</formula>
      <formula>-0.0001</formula>
    </cfRule>
  </conditionalFormatting>
  <conditionalFormatting sqref="AE1809">
    <cfRule type="cellIs" dxfId="365" priority="436" stopIfTrue="1" operator="between">
      <formula>-0.15</formula>
      <formula>-0.0001</formula>
    </cfRule>
  </conditionalFormatting>
  <conditionalFormatting sqref="N1808">
    <cfRule type="cellIs" dxfId="364" priority="437" stopIfTrue="1" operator="between">
      <formula>-350</formula>
      <formula>-1</formula>
    </cfRule>
  </conditionalFormatting>
  <conditionalFormatting sqref="N1810">
    <cfRule type="cellIs" dxfId="363" priority="443" stopIfTrue="1" operator="between">
      <formula>-350</formula>
      <formula>-1</formula>
    </cfRule>
  </conditionalFormatting>
  <conditionalFormatting sqref="AH1809:AI1809">
    <cfRule type="cellIs" dxfId="362" priority="435" stopIfTrue="1" operator="between">
      <formula>-0.15</formula>
      <formula>0.005</formula>
    </cfRule>
  </conditionalFormatting>
  <conditionalFormatting sqref="AH1797:AI1797">
    <cfRule type="cellIs" dxfId="361" priority="400" stopIfTrue="1" operator="between">
      <formula>-0.15</formula>
      <formula>0.005</formula>
    </cfRule>
  </conditionalFormatting>
  <conditionalFormatting sqref="AE1797">
    <cfRule type="cellIs" dxfId="360" priority="401" stopIfTrue="1" operator="between">
      <formula>-0.15</formula>
      <formula>-0.0001</formula>
    </cfRule>
  </conditionalFormatting>
  <conditionalFormatting sqref="AE1808">
    <cfRule type="cellIs" dxfId="359" priority="433" stopIfTrue="1" operator="between">
      <formula>-0.15</formula>
      <formula>-0.0001</formula>
    </cfRule>
  </conditionalFormatting>
  <conditionalFormatting sqref="N1809">
    <cfRule type="cellIs" dxfId="358" priority="434" stopIfTrue="1" operator="between">
      <formula>-350</formula>
      <formula>-1</formula>
    </cfRule>
  </conditionalFormatting>
  <conditionalFormatting sqref="N1803">
    <cfRule type="cellIs" dxfId="357" priority="402" stopIfTrue="1" operator="between">
      <formula>-350</formula>
      <formula>-1</formula>
    </cfRule>
  </conditionalFormatting>
  <conditionalFormatting sqref="AH1808:AI1808">
    <cfRule type="cellIs" dxfId="356" priority="432" stopIfTrue="1" operator="between">
      <formula>-0.15</formula>
      <formula>0.005</formula>
    </cfRule>
  </conditionalFormatting>
  <conditionalFormatting sqref="AH1796:AI1796">
    <cfRule type="cellIs" dxfId="355" priority="397" stopIfTrue="1" operator="between">
      <formula>-0.15</formula>
      <formula>0.005</formula>
    </cfRule>
  </conditionalFormatting>
  <conditionalFormatting sqref="AE1796">
    <cfRule type="cellIs" dxfId="354" priority="398" stopIfTrue="1" operator="between">
      <formula>-0.15</formula>
      <formula>-0.0001</formula>
    </cfRule>
  </conditionalFormatting>
  <conditionalFormatting sqref="AE1795">
    <cfRule type="cellIs" dxfId="353" priority="395" stopIfTrue="1" operator="between">
      <formula>-0.15</formula>
      <formula>-0.0001</formula>
    </cfRule>
  </conditionalFormatting>
  <conditionalFormatting sqref="N1801">
    <cfRule type="cellIs" dxfId="352" priority="393" stopIfTrue="1" operator="between">
      <formula>-350</formula>
      <formula>-1</formula>
    </cfRule>
  </conditionalFormatting>
  <conditionalFormatting sqref="N1795">
    <cfRule type="cellIs" dxfId="351" priority="399" stopIfTrue="1" operator="between">
      <formula>-350</formula>
      <formula>-1</formula>
    </cfRule>
  </conditionalFormatting>
  <conditionalFormatting sqref="AH1795:AI1795">
    <cfRule type="cellIs" dxfId="350" priority="394" stopIfTrue="1" operator="between">
      <formula>-0.15</formula>
      <formula>0.005</formula>
    </cfRule>
  </conditionalFormatting>
  <conditionalFormatting sqref="AH1799:AI1799">
    <cfRule type="cellIs" dxfId="349" priority="382" stopIfTrue="1" operator="between">
      <formula>-0.15</formula>
      <formula>0.005</formula>
    </cfRule>
  </conditionalFormatting>
  <conditionalFormatting sqref="AE1799">
    <cfRule type="cellIs" dxfId="348" priority="383" stopIfTrue="1" operator="between">
      <formula>-0.15</formula>
      <formula>-0.0001</formula>
    </cfRule>
  </conditionalFormatting>
  <conditionalFormatting sqref="AE1930">
    <cfRule type="cellIs" dxfId="347" priority="349" stopIfTrue="1" operator="between">
      <formula>-0.15</formula>
      <formula>-0.0001</formula>
    </cfRule>
  </conditionalFormatting>
  <conditionalFormatting sqref="N1933">
    <cfRule type="cellIs" dxfId="346" priority="361" stopIfTrue="1" operator="between">
      <formula>-350</formula>
      <formula>-1</formula>
    </cfRule>
  </conditionalFormatting>
  <conditionalFormatting sqref="N1800">
    <cfRule type="cellIs" dxfId="345" priority="384" stopIfTrue="1" operator="between">
      <formula>-350</formula>
      <formula>-1</formula>
    </cfRule>
  </conditionalFormatting>
  <conditionalFormatting sqref="AH1930:AI1930">
    <cfRule type="cellIs" dxfId="344" priority="348" stopIfTrue="1" operator="between">
      <formula>-0.15</formula>
      <formula>0.005</formula>
    </cfRule>
  </conditionalFormatting>
  <conditionalFormatting sqref="AH1935:AI1935">
    <cfRule type="cellIs" dxfId="343" priority="356" stopIfTrue="1" operator="between">
      <formula>-0.15</formula>
      <formula>0.005</formula>
    </cfRule>
  </conditionalFormatting>
  <conditionalFormatting sqref="AE1935">
    <cfRule type="cellIs" dxfId="342" priority="357" stopIfTrue="1" operator="between">
      <formula>-0.15</formula>
      <formula>-0.0001</formula>
    </cfRule>
  </conditionalFormatting>
  <conditionalFormatting sqref="AE1931">
    <cfRule type="cellIs" dxfId="341" priority="354" stopIfTrue="1" operator="between">
      <formula>-0.15</formula>
      <formula>-0.0001</formula>
    </cfRule>
  </conditionalFormatting>
  <conditionalFormatting sqref="N1935">
    <cfRule type="cellIs" dxfId="340" priority="355" stopIfTrue="1" operator="between">
      <formula>-350</formula>
      <formula>-1</formula>
    </cfRule>
  </conditionalFormatting>
  <conditionalFormatting sqref="N1930">
    <cfRule type="cellIs" dxfId="339" priority="347" stopIfTrue="1" operator="between">
      <formula>-350</formula>
      <formula>-1</formula>
    </cfRule>
  </conditionalFormatting>
  <conditionalFormatting sqref="AH1931:AI1931">
    <cfRule type="cellIs" dxfId="338" priority="353" stopIfTrue="1" operator="between">
      <formula>-0.15</formula>
      <formula>0.005</formula>
    </cfRule>
  </conditionalFormatting>
  <conditionalFormatting sqref="AH1805:AI1805">
    <cfRule type="cellIs" dxfId="337" priority="409" stopIfTrue="1" operator="between">
      <formula>-0.15</formula>
      <formula>0.005</formula>
    </cfRule>
  </conditionalFormatting>
  <conditionalFormatting sqref="AE1805">
    <cfRule type="cellIs" dxfId="336" priority="410" stopIfTrue="1" operator="between">
      <formula>-0.15</formula>
      <formula>-0.0001</formula>
    </cfRule>
  </conditionalFormatting>
  <conditionalFormatting sqref="N1804">
    <cfRule type="cellIs" dxfId="335" priority="411" stopIfTrue="1" operator="between">
      <formula>-350</formula>
      <formula>-1</formula>
    </cfRule>
  </conditionalFormatting>
  <conditionalFormatting sqref="AE1806">
    <cfRule type="cellIs" dxfId="334" priority="416" stopIfTrue="1" operator="between">
      <formula>-0.15</formula>
      <formula>-0.0001</formula>
    </cfRule>
  </conditionalFormatting>
  <conditionalFormatting sqref="AH1806:AI1806">
    <cfRule type="cellIs" dxfId="333" priority="415" stopIfTrue="1" operator="between">
      <formula>-0.15</formula>
      <formula>0.005</formula>
    </cfRule>
  </conditionalFormatting>
  <conditionalFormatting sqref="AH1794:AI1794">
    <cfRule type="cellIs" dxfId="332" priority="413" stopIfTrue="1" operator="between">
      <formula>-0.15</formula>
      <formula>0.005</formula>
    </cfRule>
  </conditionalFormatting>
  <conditionalFormatting sqref="AE1794">
    <cfRule type="cellIs" dxfId="331" priority="414" stopIfTrue="1" operator="between">
      <formula>-0.15</formula>
      <formula>-0.0001</formula>
    </cfRule>
  </conditionalFormatting>
  <conditionalFormatting sqref="N1794">
    <cfRule type="cellIs" dxfId="330" priority="412" stopIfTrue="1" operator="between">
      <formula>-350</formula>
      <formula>-1</formula>
    </cfRule>
  </conditionalFormatting>
  <conditionalFormatting sqref="AH1804:AI1804">
    <cfRule type="cellIs" dxfId="329" priority="406" stopIfTrue="1" operator="between">
      <formula>-0.15</formula>
      <formula>0.005</formula>
    </cfRule>
  </conditionalFormatting>
  <conditionalFormatting sqref="AE1804">
    <cfRule type="cellIs" dxfId="328" priority="407" stopIfTrue="1" operator="between">
      <formula>-0.15</formula>
      <formula>-0.0001</formula>
    </cfRule>
  </conditionalFormatting>
  <conditionalFormatting sqref="AE1798">
    <cfRule type="cellIs" dxfId="327" priority="381" stopIfTrue="1" operator="between">
      <formula>-0.15</formula>
      <formula>-0.0001</formula>
    </cfRule>
  </conditionalFormatting>
  <conditionalFormatting sqref="N1805">
    <cfRule type="cellIs" dxfId="326" priority="408" stopIfTrue="1" operator="between">
      <formula>-350</formula>
      <formula>-1</formula>
    </cfRule>
  </conditionalFormatting>
  <conditionalFormatting sqref="N1797">
    <cfRule type="cellIs" dxfId="325" priority="405" stopIfTrue="1" operator="between">
      <formula>-350</formula>
      <formula>-1</formula>
    </cfRule>
  </conditionalFormatting>
  <conditionalFormatting sqref="AH1798:AI1798">
    <cfRule type="cellIs" dxfId="324" priority="380" stopIfTrue="1" operator="between">
      <formula>-0.15</formula>
      <formula>0.005</formula>
    </cfRule>
  </conditionalFormatting>
  <conditionalFormatting sqref="AH1803:AI1803">
    <cfRule type="cellIs" dxfId="323" priority="403" stopIfTrue="1" operator="between">
      <formula>-0.15</formula>
      <formula>0.005</formula>
    </cfRule>
  </conditionalFormatting>
  <conditionalFormatting sqref="AE1803">
    <cfRule type="cellIs" dxfId="322" priority="404" stopIfTrue="1" operator="between">
      <formula>-0.15</formula>
      <formula>-0.0001</formula>
    </cfRule>
  </conditionalFormatting>
  <conditionalFormatting sqref="AE1802">
    <cfRule type="cellIs" dxfId="321" priority="392" stopIfTrue="1" operator="between">
      <formula>-0.15</formula>
      <formula>-0.0001</formula>
    </cfRule>
  </conditionalFormatting>
  <conditionalFormatting sqref="N1796">
    <cfRule type="cellIs" dxfId="320" priority="396" stopIfTrue="1" operator="between">
      <formula>-350</formula>
      <formula>-1</formula>
    </cfRule>
  </conditionalFormatting>
  <conditionalFormatting sqref="AH1802:AI1802">
    <cfRule type="cellIs" dxfId="319" priority="391" stopIfTrue="1" operator="between">
      <formula>-0.15</formula>
      <formula>0.005</formula>
    </cfRule>
  </conditionalFormatting>
  <conditionalFormatting sqref="AH1789:AI1789">
    <cfRule type="cellIs" dxfId="318" priority="377" stopIfTrue="1" operator="between">
      <formula>-0.15</formula>
      <formula>0.005</formula>
    </cfRule>
  </conditionalFormatting>
  <conditionalFormatting sqref="AE1789">
    <cfRule type="cellIs" dxfId="317" priority="378" stopIfTrue="1" operator="between">
      <formula>-0.15</formula>
      <formula>-0.0001</formula>
    </cfRule>
  </conditionalFormatting>
  <conditionalFormatting sqref="AE1790">
    <cfRule type="cellIs" dxfId="316" priority="372" stopIfTrue="1" operator="between">
      <formula>-0.15</formula>
      <formula>-0.0001</formula>
    </cfRule>
  </conditionalFormatting>
  <conditionalFormatting sqref="N1798">
    <cfRule type="cellIs" dxfId="315" priority="379" stopIfTrue="1" operator="between">
      <formula>-350</formula>
      <formula>-1</formula>
    </cfRule>
  </conditionalFormatting>
  <conditionalFormatting sqref="N1802">
    <cfRule type="cellIs" dxfId="314" priority="390" stopIfTrue="1" operator="between">
      <formula>-350</formula>
      <formula>-1</formula>
    </cfRule>
  </conditionalFormatting>
  <conditionalFormatting sqref="AH1790:AI1790">
    <cfRule type="cellIs" dxfId="313" priority="371" stopIfTrue="1" operator="between">
      <formula>-0.15</formula>
      <formula>0.005</formula>
    </cfRule>
  </conditionalFormatting>
  <conditionalFormatting sqref="AH1801:AI1801">
    <cfRule type="cellIs" dxfId="312" priority="388" stopIfTrue="1" operator="between">
      <formula>-0.15</formula>
      <formula>0.005</formula>
    </cfRule>
  </conditionalFormatting>
  <conditionalFormatting sqref="AE1801">
    <cfRule type="cellIs" dxfId="311" priority="389" stopIfTrue="1" operator="between">
      <formula>-0.15</formula>
      <formula>-0.0001</formula>
    </cfRule>
  </conditionalFormatting>
  <conditionalFormatting sqref="AE1788">
    <cfRule type="cellIs" dxfId="310" priority="375" stopIfTrue="1" operator="between">
      <formula>-0.15</formula>
      <formula>-0.0001</formula>
    </cfRule>
  </conditionalFormatting>
  <conditionalFormatting sqref="N1799">
    <cfRule type="cellIs" dxfId="309" priority="387" stopIfTrue="1" operator="between">
      <formula>-350</formula>
      <formula>-1</formula>
    </cfRule>
  </conditionalFormatting>
  <conditionalFormatting sqref="N1790">
    <cfRule type="cellIs" dxfId="308" priority="370" stopIfTrue="1" operator="between">
      <formula>-350</formula>
      <formula>-1</formula>
    </cfRule>
  </conditionalFormatting>
  <conditionalFormatting sqref="AH1788:AI1788">
    <cfRule type="cellIs" dxfId="307" priority="374" stopIfTrue="1" operator="between">
      <formula>-0.15</formula>
      <formula>0.005</formula>
    </cfRule>
  </conditionalFormatting>
  <conditionalFormatting sqref="AH1800:AI1800">
    <cfRule type="cellIs" dxfId="306" priority="385" stopIfTrue="1" operator="between">
      <formula>-0.15</formula>
      <formula>0.005</formula>
    </cfRule>
  </conditionalFormatting>
  <conditionalFormatting sqref="AE1800">
    <cfRule type="cellIs" dxfId="305" priority="386" stopIfTrue="1" operator="between">
      <formula>-0.15</formula>
      <formula>-0.0001</formula>
    </cfRule>
  </conditionalFormatting>
  <conditionalFormatting sqref="AE1933">
    <cfRule type="cellIs" dxfId="304" priority="363" stopIfTrue="1" operator="between">
      <formula>-0.15</formula>
      <formula>-0.0001</formula>
    </cfRule>
  </conditionalFormatting>
  <conditionalFormatting sqref="N1934">
    <cfRule type="cellIs" dxfId="303" priority="364" stopIfTrue="1" operator="between">
      <formula>-350</formula>
      <formula>-1</formula>
    </cfRule>
  </conditionalFormatting>
  <conditionalFormatting sqref="N1788">
    <cfRule type="cellIs" dxfId="302" priority="373" stopIfTrue="1" operator="between">
      <formula>-350</formula>
      <formula>-1</formula>
    </cfRule>
  </conditionalFormatting>
  <conditionalFormatting sqref="AH1933:AI1933">
    <cfRule type="cellIs" dxfId="301" priority="362" stopIfTrue="1" operator="between">
      <formula>-0.15</formula>
      <formula>0.005</formula>
    </cfRule>
  </conditionalFormatting>
  <conditionalFormatting sqref="AH1622:AI1622">
    <cfRule type="cellIs" dxfId="300" priority="308" stopIfTrue="1" operator="between">
      <formula>-0.15</formula>
      <formula>0.005</formula>
    </cfRule>
  </conditionalFormatting>
  <conditionalFormatting sqref="AE1622">
    <cfRule type="cellIs" dxfId="299" priority="309" stopIfTrue="1" operator="between">
      <formula>-0.15</formula>
      <formula>-0.0001</formula>
    </cfRule>
  </conditionalFormatting>
  <conditionalFormatting sqref="N1622">
    <cfRule type="cellIs" dxfId="298" priority="307" stopIfTrue="1" operator="between">
      <formula>-350</formula>
      <formula>-1</formula>
    </cfRule>
  </conditionalFormatting>
  <conditionalFormatting sqref="AE1601">
    <cfRule type="cellIs" dxfId="297" priority="237" stopIfTrue="1" operator="between">
      <formula>-0.15</formula>
      <formula>-0.0001</formula>
    </cfRule>
  </conditionalFormatting>
  <conditionalFormatting sqref="N1789">
    <cfRule type="cellIs" dxfId="296" priority="376" stopIfTrue="1" operator="between">
      <formula>-350</formula>
      <formula>-1</formula>
    </cfRule>
  </conditionalFormatting>
  <conditionalFormatting sqref="N1601">
    <cfRule type="cellIs" dxfId="295" priority="235" stopIfTrue="1" operator="between">
      <formula>-350</formula>
      <formula>-1</formula>
    </cfRule>
  </conditionalFormatting>
  <conditionalFormatting sqref="AH1601:AI1601">
    <cfRule type="cellIs" dxfId="294" priority="236" stopIfTrue="1" operator="between">
      <formula>-0.15</formula>
      <formula>0.005</formula>
    </cfRule>
  </conditionalFormatting>
  <conditionalFormatting sqref="AE1934">
    <cfRule type="cellIs" dxfId="293" priority="366" stopIfTrue="1" operator="between">
      <formula>-0.15</formula>
      <formula>-0.0001</formula>
    </cfRule>
  </conditionalFormatting>
  <conditionalFormatting sqref="N1612">
    <cfRule type="cellIs" dxfId="292" priority="232" stopIfTrue="1" operator="between">
      <formula>-350</formula>
      <formula>-1</formula>
    </cfRule>
  </conditionalFormatting>
  <conditionalFormatting sqref="AH1934:AI1934">
    <cfRule type="cellIs" dxfId="291" priority="365" stopIfTrue="1" operator="between">
      <formula>-0.15</formula>
      <formula>0.005</formula>
    </cfRule>
  </conditionalFormatting>
  <conditionalFormatting sqref="N1924">
    <cfRule type="cellIs" dxfId="290" priority="350" stopIfTrue="1" operator="between">
      <formula>-350</formula>
      <formula>-1</formula>
    </cfRule>
  </conditionalFormatting>
  <conditionalFormatting sqref="AE1924">
    <cfRule type="cellIs" dxfId="289" priority="352" stopIfTrue="1" operator="between">
      <formula>-0.15</formula>
      <formula>-0.0001</formula>
    </cfRule>
  </conditionalFormatting>
  <conditionalFormatting sqref="AH1924:AI1924">
    <cfRule type="cellIs" dxfId="288" priority="351" stopIfTrue="1" operator="between">
      <formula>-0.15</formula>
      <formula>0.005</formula>
    </cfRule>
  </conditionalFormatting>
  <conditionalFormatting sqref="N1929">
    <cfRule type="cellIs" dxfId="287" priority="344" stopIfTrue="1" operator="between">
      <formula>-350</formula>
      <formula>-1</formula>
    </cfRule>
  </conditionalFormatting>
  <conditionalFormatting sqref="AE1929">
    <cfRule type="cellIs" dxfId="286" priority="346" stopIfTrue="1" operator="between">
      <formula>-0.15</formula>
      <formula>-0.0001</formula>
    </cfRule>
  </conditionalFormatting>
  <conditionalFormatting sqref="AH1929:AI1929">
    <cfRule type="cellIs" dxfId="285" priority="345" stopIfTrue="1" operator="between">
      <formula>-0.15</formula>
      <formula>0.005</formula>
    </cfRule>
  </conditionalFormatting>
  <conditionalFormatting sqref="N1926">
    <cfRule type="cellIs" dxfId="284" priority="341" stopIfTrue="1" operator="between">
      <formula>-350</formula>
      <formula>-1</formula>
    </cfRule>
  </conditionalFormatting>
  <conditionalFormatting sqref="AE1926">
    <cfRule type="cellIs" dxfId="283" priority="343" stopIfTrue="1" operator="between">
      <formula>-0.15</formula>
      <formula>-0.0001</formula>
    </cfRule>
  </conditionalFormatting>
  <conditionalFormatting sqref="AH1926:AI1926">
    <cfRule type="cellIs" dxfId="282" priority="342" stopIfTrue="1" operator="between">
      <formula>-0.15</formula>
      <formula>0.005</formula>
    </cfRule>
  </conditionalFormatting>
  <conditionalFormatting sqref="N1594">
    <cfRule type="cellIs" dxfId="281" priority="284" stopIfTrue="1" operator="between">
      <formula>-350</formula>
      <formula>-1</formula>
    </cfRule>
  </conditionalFormatting>
  <conditionalFormatting sqref="AE1594">
    <cfRule type="cellIs" dxfId="280" priority="286" stopIfTrue="1" operator="between">
      <formula>-0.15</formula>
      <formula>-0.0001</formula>
    </cfRule>
  </conditionalFormatting>
  <conditionalFormatting sqref="AH1594:AI1594">
    <cfRule type="cellIs" dxfId="279" priority="285" stopIfTrue="1" operator="between">
      <formula>-0.15</formula>
      <formula>0.005</formula>
    </cfRule>
  </conditionalFormatting>
  <conditionalFormatting sqref="N1925">
    <cfRule type="cellIs" dxfId="278" priority="338" stopIfTrue="1" operator="between">
      <formula>-350</formula>
      <formula>-1</formula>
    </cfRule>
  </conditionalFormatting>
  <conditionalFormatting sqref="AE1595">
    <cfRule type="cellIs" dxfId="277" priority="289" stopIfTrue="1" operator="between">
      <formula>-0.15</formula>
      <formula>-0.0001</formula>
    </cfRule>
  </conditionalFormatting>
  <conditionalFormatting sqref="AH1925:AI1925">
    <cfRule type="cellIs" dxfId="276" priority="339" stopIfTrue="1" operator="between">
      <formula>-0.15</formula>
      <formula>0.005</formula>
    </cfRule>
  </conditionalFormatting>
  <conditionalFormatting sqref="AE1925">
    <cfRule type="cellIs" dxfId="275" priority="340" stopIfTrue="1" operator="between">
      <formula>-0.15</formula>
      <formula>-0.0001</formula>
    </cfRule>
  </conditionalFormatting>
  <conditionalFormatting sqref="N1595">
    <cfRule type="cellIs" dxfId="274" priority="287" stopIfTrue="1" operator="between">
      <formula>-350</formula>
      <formula>-1</formula>
    </cfRule>
  </conditionalFormatting>
  <conditionalFormatting sqref="AH1595:AI1595">
    <cfRule type="cellIs" dxfId="273" priority="288" stopIfTrue="1" operator="between">
      <formula>-0.15</formula>
      <formula>0.005</formula>
    </cfRule>
  </conditionalFormatting>
  <conditionalFormatting sqref="N1597">
    <cfRule type="cellIs" dxfId="272" priority="273" stopIfTrue="1" operator="between">
      <formula>-350</formula>
      <formula>-1</formula>
    </cfRule>
  </conditionalFormatting>
  <conditionalFormatting sqref="AE1597">
    <cfRule type="cellIs" dxfId="271" priority="275" stopIfTrue="1" operator="between">
      <formula>-0.15</formula>
      <formula>-0.0001</formula>
    </cfRule>
  </conditionalFormatting>
  <conditionalFormatting sqref="AH1597:AI1597">
    <cfRule type="cellIs" dxfId="270" priority="274" stopIfTrue="1" operator="between">
      <formula>-0.15</formula>
      <formula>0.005</formula>
    </cfRule>
  </conditionalFormatting>
  <conditionalFormatting sqref="N1900">
    <cfRule type="cellIs" dxfId="269" priority="321" stopIfTrue="1" operator="between">
      <formula>-350</formula>
      <formula>-1</formula>
    </cfRule>
  </conditionalFormatting>
  <conditionalFormatting sqref="AE1900">
    <cfRule type="cellIs" dxfId="268" priority="323" stopIfTrue="1" operator="between">
      <formula>-0.15</formula>
      <formula>-0.0001</formula>
    </cfRule>
  </conditionalFormatting>
  <conditionalFormatting sqref="AH1900:AI1900">
    <cfRule type="cellIs" dxfId="267" priority="322" stopIfTrue="1" operator="between">
      <formula>-0.15</formula>
      <formula>0.005</formula>
    </cfRule>
  </conditionalFormatting>
  <conditionalFormatting sqref="AE1928">
    <cfRule type="cellIs" dxfId="266" priority="337" stopIfTrue="1" operator="between">
      <formula>-0.15</formula>
      <formula>-0.0001</formula>
    </cfRule>
  </conditionalFormatting>
  <conditionalFormatting sqref="AH1928:AI1928">
    <cfRule type="cellIs" dxfId="265" priority="336" stopIfTrue="1" operator="between">
      <formula>-0.15</formula>
      <formula>0.005</formula>
    </cfRule>
  </conditionalFormatting>
  <conditionalFormatting sqref="N1606">
    <cfRule type="cellIs" dxfId="264" priority="223" stopIfTrue="1" operator="between">
      <formula>-350</formula>
      <formula>-1</formula>
    </cfRule>
  </conditionalFormatting>
  <conditionalFormatting sqref="AE1596">
    <cfRule type="cellIs" dxfId="263" priority="294" stopIfTrue="1" operator="between">
      <formula>-0.15</formula>
      <formula>-0.0001</formula>
    </cfRule>
  </conditionalFormatting>
  <conditionalFormatting sqref="AH1596:AI1596">
    <cfRule type="cellIs" dxfId="262" priority="293" stopIfTrue="1" operator="between">
      <formula>-0.15</formula>
      <formula>0.005</formula>
    </cfRule>
  </conditionalFormatting>
  <conditionalFormatting sqref="N1928">
    <cfRule type="cellIs" dxfId="261" priority="335" stopIfTrue="1" operator="between">
      <formula>-350</formula>
      <formula>-1</formula>
    </cfRule>
  </conditionalFormatting>
  <conditionalFormatting sqref="AE1903">
    <cfRule type="cellIs" dxfId="260" priority="320" stopIfTrue="1" operator="between">
      <formula>-0.15</formula>
      <formula>-0.0001</formula>
    </cfRule>
  </conditionalFormatting>
  <conditionalFormatting sqref="AH1903:AI1903">
    <cfRule type="cellIs" dxfId="259" priority="319" stopIfTrue="1" operator="between">
      <formula>-0.15</formula>
      <formula>0.005</formula>
    </cfRule>
  </conditionalFormatting>
  <conditionalFormatting sqref="N1927">
    <cfRule type="cellIs" dxfId="258" priority="332" stopIfTrue="1" operator="between">
      <formula>-350</formula>
      <formula>-1</formula>
    </cfRule>
  </conditionalFormatting>
  <conditionalFormatting sqref="AE1927">
    <cfRule type="cellIs" dxfId="257" priority="334" stopIfTrue="1" operator="between">
      <formula>-0.15</formula>
      <formula>-0.0001</formula>
    </cfRule>
  </conditionalFormatting>
  <conditionalFormatting sqref="AH1927:AI1927">
    <cfRule type="cellIs" dxfId="256" priority="333" stopIfTrue="1" operator="between">
      <formula>-0.15</formula>
      <formula>0.005</formula>
    </cfRule>
  </conditionalFormatting>
  <conditionalFormatting sqref="AE1906">
    <cfRule type="cellIs" dxfId="255" priority="331" stopIfTrue="1" operator="between">
      <formula>-0.15</formula>
      <formula>-0.0001</formula>
    </cfRule>
  </conditionalFormatting>
  <conditionalFormatting sqref="AH1906:AI1906">
    <cfRule type="cellIs" dxfId="254" priority="330" stopIfTrue="1" operator="between">
      <formula>-0.15</formula>
      <formula>0.005</formula>
    </cfRule>
  </conditionalFormatting>
  <conditionalFormatting sqref="N1906">
    <cfRule type="cellIs" dxfId="253" priority="329" stopIfTrue="1" operator="between">
      <formula>-350</formula>
      <formula>-1</formula>
    </cfRule>
  </conditionalFormatting>
  <conditionalFormatting sqref="AE1901">
    <cfRule type="cellIs" dxfId="252" priority="317" stopIfTrue="1" operator="between">
      <formula>-0.15</formula>
      <formula>-0.0001</formula>
    </cfRule>
  </conditionalFormatting>
  <conditionalFormatting sqref="AH1901:AI1901">
    <cfRule type="cellIs" dxfId="251" priority="316" stopIfTrue="1" operator="between">
      <formula>-0.15</formula>
      <formula>0.005</formula>
    </cfRule>
  </conditionalFormatting>
  <conditionalFormatting sqref="N1901">
    <cfRule type="cellIs" dxfId="250" priority="315" stopIfTrue="1" operator="between">
      <formula>-350</formula>
      <formula>-1</formula>
    </cfRule>
  </conditionalFormatting>
  <conditionalFormatting sqref="AE1592">
    <cfRule type="cellIs" dxfId="249" priority="280" stopIfTrue="1" operator="between">
      <formula>-0.15</formula>
      <formula>-0.0001</formula>
    </cfRule>
  </conditionalFormatting>
  <conditionalFormatting sqref="AH1904:AI1904">
    <cfRule type="cellIs" dxfId="248" priority="324" stopIfTrue="1" operator="between">
      <formula>-0.15</formula>
      <formula>0.005</formula>
    </cfRule>
  </conditionalFormatting>
  <conditionalFormatting sqref="AE1593">
    <cfRule type="cellIs" dxfId="247" priority="283" stopIfTrue="1" operator="between">
      <formula>-0.15</formula>
      <formula>-0.0001</formula>
    </cfRule>
  </conditionalFormatting>
  <conditionalFormatting sqref="N1592">
    <cfRule type="cellIs" dxfId="246" priority="278" stopIfTrue="1" operator="between">
      <formula>-350</formula>
      <formula>-1</formula>
    </cfRule>
  </conditionalFormatting>
  <conditionalFormatting sqref="AE1904">
    <cfRule type="cellIs" dxfId="245" priority="325" stopIfTrue="1" operator="between">
      <formula>-0.15</formula>
      <formula>-0.0001</formula>
    </cfRule>
  </conditionalFormatting>
  <conditionalFormatting sqref="AH1592:AI1592">
    <cfRule type="cellIs" dxfId="244" priority="279" stopIfTrue="1" operator="between">
      <formula>-0.15</formula>
      <formula>0.005</formula>
    </cfRule>
  </conditionalFormatting>
  <conditionalFormatting sqref="AH1593:AI1593">
    <cfRule type="cellIs" dxfId="243" priority="282" stopIfTrue="1" operator="between">
      <formula>-0.15</formula>
      <formula>0.005</formula>
    </cfRule>
  </conditionalFormatting>
  <conditionalFormatting sqref="N1903">
    <cfRule type="cellIs" dxfId="242" priority="318" stopIfTrue="1" operator="between">
      <formula>-350</formula>
      <formula>-1</formula>
    </cfRule>
  </conditionalFormatting>
  <conditionalFormatting sqref="AE1623">
    <cfRule type="cellIs" dxfId="241" priority="311" stopIfTrue="1" operator="between">
      <formula>-0.15</formula>
      <formula>-0.0001</formula>
    </cfRule>
  </conditionalFormatting>
  <conditionalFormatting sqref="AH1623:AI1623">
    <cfRule type="cellIs" dxfId="240" priority="310" stopIfTrue="1" operator="between">
      <formula>-0.15</formula>
      <formula>0.005</formula>
    </cfRule>
  </conditionalFormatting>
  <conditionalFormatting sqref="N1593">
    <cfRule type="cellIs" dxfId="239" priority="281" stopIfTrue="1" operator="between">
      <formula>-350</formula>
      <formula>-1</formula>
    </cfRule>
  </conditionalFormatting>
  <conditionalFormatting sqref="AE1902">
    <cfRule type="cellIs" dxfId="238" priority="314" stopIfTrue="1" operator="between">
      <formula>-0.15</formula>
      <formula>-0.0001</formula>
    </cfRule>
  </conditionalFormatting>
  <conditionalFormatting sqref="AH1902:AI1902">
    <cfRule type="cellIs" dxfId="237" priority="313" stopIfTrue="1" operator="between">
      <formula>-0.15</formula>
      <formula>0.005</formula>
    </cfRule>
  </conditionalFormatting>
  <conditionalFormatting sqref="N1902">
    <cfRule type="cellIs" dxfId="236" priority="312" stopIfTrue="1" operator="between">
      <formula>-350</formula>
      <formula>-1</formula>
    </cfRule>
  </conditionalFormatting>
  <conditionalFormatting sqref="AE1600">
    <cfRule type="cellIs" dxfId="235" priority="277" stopIfTrue="1" operator="between">
      <formula>-0.15</formula>
      <formula>-0.0001</formula>
    </cfRule>
  </conditionalFormatting>
  <conditionalFormatting sqref="AE1605">
    <cfRule type="cellIs" dxfId="234" priority="222" stopIfTrue="1" operator="between">
      <formula>-0.15</formula>
      <formula>-0.0001</formula>
    </cfRule>
  </conditionalFormatting>
  <conditionalFormatting sqref="AH1605:AI1605">
    <cfRule type="cellIs" dxfId="233" priority="221" stopIfTrue="1" operator="between">
      <formula>-0.15</formula>
      <formula>0.005</formula>
    </cfRule>
  </conditionalFormatting>
  <conditionalFormatting sqref="AE1606">
    <cfRule type="cellIs" dxfId="232" priority="225" stopIfTrue="1" operator="between">
      <formula>-0.15</formula>
      <formula>-0.0001</formula>
    </cfRule>
  </conditionalFormatting>
  <conditionalFormatting sqref="AH1606:AI1606">
    <cfRule type="cellIs" dxfId="231" priority="224" stopIfTrue="1" operator="between">
      <formula>-0.15</formula>
      <formula>0.005</formula>
    </cfRule>
  </conditionalFormatting>
  <conditionalFormatting sqref="AH1600:AI1600">
    <cfRule type="cellIs" dxfId="230" priority="276" stopIfTrue="1" operator="between">
      <formula>-0.15</formula>
      <formula>0.005</formula>
    </cfRule>
  </conditionalFormatting>
  <conditionalFormatting sqref="N1603">
    <cfRule type="cellIs" dxfId="229" priority="214" stopIfTrue="1" operator="between">
      <formula>-350</formula>
      <formula>-1</formula>
    </cfRule>
  </conditionalFormatting>
  <conditionalFormatting sqref="AE1591">
    <cfRule type="cellIs" dxfId="228" priority="292" stopIfTrue="1" operator="between">
      <formula>-0.15</formula>
      <formula>-0.0001</formula>
    </cfRule>
  </conditionalFormatting>
  <conditionalFormatting sqref="AH1591:AI1591">
    <cfRule type="cellIs" dxfId="227" priority="291" stopIfTrue="1" operator="between">
      <formula>-0.15</formula>
      <formula>0.005</formula>
    </cfRule>
  </conditionalFormatting>
  <conditionalFormatting sqref="N1591">
    <cfRule type="cellIs" dxfId="226" priority="290" stopIfTrue="1" operator="between">
      <formula>-350</formula>
      <formula>-1</formula>
    </cfRule>
  </conditionalFormatting>
  <conditionalFormatting sqref="AE1613">
    <cfRule type="cellIs" dxfId="225" priority="239" stopIfTrue="1" operator="between">
      <formula>-0.15</formula>
      <formula>-0.0001</formula>
    </cfRule>
  </conditionalFormatting>
  <conditionalFormatting sqref="AH1613:AI1613">
    <cfRule type="cellIs" dxfId="224" priority="238" stopIfTrue="1" operator="between">
      <formula>-0.15</formula>
      <formula>0.005</formula>
    </cfRule>
  </conditionalFormatting>
  <conditionalFormatting sqref="N1611">
    <cfRule type="cellIs" dxfId="223" priority="229" stopIfTrue="1" operator="between">
      <formula>-350</formula>
      <formula>-1</formula>
    </cfRule>
  </conditionalFormatting>
  <conditionalFormatting sqref="AE1610">
    <cfRule type="cellIs" dxfId="222" priority="228" stopIfTrue="1" operator="between">
      <formula>-0.15</formula>
      <formula>-0.0001</formula>
    </cfRule>
  </conditionalFormatting>
  <conditionalFormatting sqref="AH1610:AI1610">
    <cfRule type="cellIs" dxfId="221" priority="227" stopIfTrue="1" operator="between">
      <formula>-0.15</formula>
      <formula>0.005</formula>
    </cfRule>
  </conditionalFormatting>
  <conditionalFormatting sqref="N1610">
    <cfRule type="cellIs" dxfId="220" priority="226" stopIfTrue="1" operator="between">
      <formula>-350</formula>
      <formula>-1</formula>
    </cfRule>
  </conditionalFormatting>
  <conditionalFormatting sqref="AE1603">
    <cfRule type="cellIs" dxfId="219" priority="216" stopIfTrue="1" operator="between">
      <formula>-0.15</formula>
      <formula>-0.0001</formula>
    </cfRule>
  </conditionalFormatting>
  <conditionalFormatting sqref="AE1611">
    <cfRule type="cellIs" dxfId="218" priority="231" stopIfTrue="1" operator="between">
      <formula>-0.15</formula>
      <formula>-0.0001</formula>
    </cfRule>
  </conditionalFormatting>
  <conditionalFormatting sqref="AH1611:AI1611">
    <cfRule type="cellIs" dxfId="217" priority="230" stopIfTrue="1" operator="between">
      <formula>-0.15</formula>
      <formula>0.005</formula>
    </cfRule>
  </conditionalFormatting>
  <conditionalFormatting sqref="N1605">
    <cfRule type="cellIs" dxfId="216" priority="220" stopIfTrue="1" operator="between">
      <formula>-350</formula>
      <formula>-1</formula>
    </cfRule>
  </conditionalFormatting>
  <conditionalFormatting sqref="AH1603:AI1603">
    <cfRule type="cellIs" dxfId="215" priority="215" stopIfTrue="1" operator="between">
      <formula>-0.15</formula>
      <formula>0.005</formula>
    </cfRule>
  </conditionalFormatting>
  <conditionalFormatting sqref="AE1602">
    <cfRule type="cellIs" dxfId="214" priority="213" stopIfTrue="1" operator="between">
      <formula>-0.15</formula>
      <formula>-0.0001</formula>
    </cfRule>
  </conditionalFormatting>
  <conditionalFormatting sqref="AH1602:AI1602">
    <cfRule type="cellIs" dxfId="213" priority="212" stopIfTrue="1" operator="between">
      <formula>-0.15</formula>
      <formula>0.005</formula>
    </cfRule>
  </conditionalFormatting>
  <conditionalFormatting sqref="N1602">
    <cfRule type="cellIs" dxfId="212" priority="211" stopIfTrue="1" operator="between">
      <formula>-350</formula>
      <formula>-1</formula>
    </cfRule>
  </conditionalFormatting>
  <conditionalFormatting sqref="N1607">
    <cfRule type="cellIs" dxfId="211" priority="202" stopIfTrue="1" operator="between">
      <formula>-350</formula>
      <formula>-1</formula>
    </cfRule>
  </conditionalFormatting>
  <conditionalFormatting sqref="AE1607">
    <cfRule type="cellIs" dxfId="210" priority="204" stopIfTrue="1" operator="between">
      <formula>-0.15</formula>
      <formula>-0.0001</formula>
    </cfRule>
  </conditionalFormatting>
  <conditionalFormatting sqref="AH1607:AI1607">
    <cfRule type="cellIs" dxfId="209" priority="203" stopIfTrue="1" operator="between">
      <formula>-0.15</formula>
      <formula>0.005</formula>
    </cfRule>
  </conditionalFormatting>
  <conditionalFormatting sqref="AE1599">
    <cfRule type="cellIs" dxfId="208" priority="272" stopIfTrue="1" operator="between">
      <formula>-0.15</formula>
      <formula>-0.0001</formula>
    </cfRule>
  </conditionalFormatting>
  <conditionalFormatting sqref="AH1599:AI1599">
    <cfRule type="cellIs" dxfId="207" priority="271" stopIfTrue="1" operator="between">
      <formula>-0.15</formula>
      <formula>0.005</formula>
    </cfRule>
  </conditionalFormatting>
  <conditionalFormatting sqref="N1599">
    <cfRule type="cellIs" dxfId="206" priority="270" stopIfTrue="1" operator="between">
      <formula>-350</formula>
      <formula>-1</formula>
    </cfRule>
  </conditionalFormatting>
  <conditionalFormatting sqref="AE1598">
    <cfRule type="cellIs" dxfId="205" priority="269" stopIfTrue="1" operator="between">
      <formula>-0.15</formula>
      <formula>-0.0001</formula>
    </cfRule>
  </conditionalFormatting>
  <conditionalFormatting sqref="AH1598:AI1598">
    <cfRule type="cellIs" dxfId="204" priority="268" stopIfTrue="1" operator="between">
      <formula>-0.15</formula>
      <formula>0.005</formula>
    </cfRule>
  </conditionalFormatting>
  <conditionalFormatting sqref="N1598">
    <cfRule type="cellIs" dxfId="203" priority="267" stopIfTrue="1" operator="between">
      <formula>-350</formula>
      <formula>-1</formula>
    </cfRule>
  </conditionalFormatting>
  <conditionalFormatting sqref="AE1612">
    <cfRule type="cellIs" dxfId="202" priority="234" stopIfTrue="1" operator="between">
      <formula>-0.15</formula>
      <formula>-0.0001</formula>
    </cfRule>
  </conditionalFormatting>
  <conditionalFormatting sqref="AH1612:AI1612">
    <cfRule type="cellIs" dxfId="201" priority="233" stopIfTrue="1" operator="between">
      <formula>-0.15</formula>
      <formula>0.005</formula>
    </cfRule>
  </conditionalFormatting>
  <conditionalFormatting sqref="AE1604">
    <cfRule type="cellIs" dxfId="200" priority="219" stopIfTrue="1" operator="between">
      <formula>-0.15</formula>
      <formula>-0.0001</formula>
    </cfRule>
  </conditionalFormatting>
  <conditionalFormatting sqref="AH1604:AI1604">
    <cfRule type="cellIs" dxfId="199" priority="218" stopIfTrue="1" operator="between">
      <formula>-0.15</formula>
      <formula>0.005</formula>
    </cfRule>
  </conditionalFormatting>
  <conditionalFormatting sqref="N1604">
    <cfRule type="cellIs" dxfId="198" priority="217" stopIfTrue="1" operator="between">
      <formula>-350</formula>
      <formula>-1</formula>
    </cfRule>
  </conditionalFormatting>
  <conditionalFormatting sqref="AE1619">
    <cfRule type="cellIs" dxfId="197" priority="185" stopIfTrue="1" operator="between">
      <formula>-0.15</formula>
      <formula>-0.0001</formula>
    </cfRule>
  </conditionalFormatting>
  <conditionalFormatting sqref="AH1619:AI1619">
    <cfRule type="cellIs" dxfId="196" priority="184" stopIfTrue="1" operator="between">
      <formula>-0.15</formula>
      <formula>0.005</formula>
    </cfRule>
  </conditionalFormatting>
  <conditionalFormatting sqref="N1619">
    <cfRule type="cellIs" dxfId="195" priority="183" stopIfTrue="1" operator="between">
      <formula>-350</formula>
      <formula>-1</formula>
    </cfRule>
  </conditionalFormatting>
  <conditionalFormatting sqref="N1609">
    <cfRule type="cellIs" dxfId="194" priority="208" stopIfTrue="1" operator="between">
      <formula>-350</formula>
      <formula>-1</formula>
    </cfRule>
  </conditionalFormatting>
  <conditionalFormatting sqref="AE1609">
    <cfRule type="cellIs" dxfId="193" priority="210" stopIfTrue="1" operator="between">
      <formula>-0.15</formula>
      <formula>-0.0001</formula>
    </cfRule>
  </conditionalFormatting>
  <conditionalFormatting sqref="AH1609:AI1609">
    <cfRule type="cellIs" dxfId="192" priority="209" stopIfTrue="1" operator="between">
      <formula>-0.15</formula>
      <formula>0.005</formula>
    </cfRule>
  </conditionalFormatting>
  <conditionalFormatting sqref="AE1608">
    <cfRule type="cellIs" dxfId="191" priority="207" stopIfTrue="1" operator="between">
      <formula>-0.15</formula>
      <formula>-0.0001</formula>
    </cfRule>
  </conditionalFormatting>
  <conditionalFormatting sqref="AH1608:AI1608">
    <cfRule type="cellIs" dxfId="190" priority="206" stopIfTrue="1" operator="between">
      <formula>-0.15</formula>
      <formula>0.005</formula>
    </cfRule>
  </conditionalFormatting>
  <conditionalFormatting sqref="N1608">
    <cfRule type="cellIs" dxfId="189" priority="205" stopIfTrue="1" operator="between">
      <formula>-350</formula>
      <formula>-1</formula>
    </cfRule>
  </conditionalFormatting>
  <conditionalFormatting sqref="AE1617">
    <cfRule type="cellIs" dxfId="188" priority="196" stopIfTrue="1" operator="between">
      <formula>-0.15</formula>
      <formula>-0.0001</formula>
    </cfRule>
  </conditionalFormatting>
  <conditionalFormatting sqref="AH1617:AI1617">
    <cfRule type="cellIs" dxfId="187" priority="195" stopIfTrue="1" operator="between">
      <formula>-0.15</formula>
      <formula>0.005</formula>
    </cfRule>
  </conditionalFormatting>
  <conditionalFormatting sqref="N1617">
    <cfRule type="cellIs" dxfId="186" priority="194" stopIfTrue="1" operator="between">
      <formula>-350</formula>
      <formula>-1</formula>
    </cfRule>
  </conditionalFormatting>
  <conditionalFormatting sqref="AH1614:AI1614">
    <cfRule type="cellIs" dxfId="185" priority="198" stopIfTrue="1" operator="between">
      <formula>-0.15</formula>
      <formula>0.005</formula>
    </cfRule>
  </conditionalFormatting>
  <conditionalFormatting sqref="AE1614">
    <cfRule type="cellIs" dxfId="184" priority="199" stopIfTrue="1" operator="between">
      <formula>-0.15</formula>
      <formula>-0.0001</formula>
    </cfRule>
  </conditionalFormatting>
  <conditionalFormatting sqref="N1614">
    <cfRule type="cellIs" dxfId="183" priority="197" stopIfTrue="1" operator="between">
      <formula>-350</formula>
      <formula>-1</formula>
    </cfRule>
  </conditionalFormatting>
  <conditionalFormatting sqref="AE1618">
    <cfRule type="cellIs" dxfId="182" priority="201" stopIfTrue="1" operator="between">
      <formula>-0.15</formula>
      <formula>-0.0001</formula>
    </cfRule>
  </conditionalFormatting>
  <conditionalFormatting sqref="AH1618:AI1618">
    <cfRule type="cellIs" dxfId="181" priority="200" stopIfTrue="1" operator="between">
      <formula>-0.15</formula>
      <formula>0.005</formula>
    </cfRule>
  </conditionalFormatting>
  <conditionalFormatting sqref="AE1616">
    <cfRule type="cellIs" dxfId="180" priority="193" stopIfTrue="1" operator="between">
      <formula>-0.15</formula>
      <formula>-0.0001</formula>
    </cfRule>
  </conditionalFormatting>
  <conditionalFormatting sqref="AH1616:AI1616">
    <cfRule type="cellIs" dxfId="179" priority="192" stopIfTrue="1" operator="between">
      <formula>-0.15</formula>
      <formula>0.005</formula>
    </cfRule>
  </conditionalFormatting>
  <conditionalFormatting sqref="N1616">
    <cfRule type="cellIs" dxfId="178" priority="191" stopIfTrue="1" operator="between">
      <formula>-350</formula>
      <formula>-1</formula>
    </cfRule>
  </conditionalFormatting>
  <conditionalFormatting sqref="AE1620">
    <cfRule type="cellIs" dxfId="177" priority="182" stopIfTrue="1" operator="between">
      <formula>-0.15</formula>
      <formula>-0.0001</formula>
    </cfRule>
  </conditionalFormatting>
  <conditionalFormatting sqref="AH1620:AI1620">
    <cfRule type="cellIs" dxfId="176" priority="181" stopIfTrue="1" operator="between">
      <formula>-0.15</formula>
      <formula>0.005</formula>
    </cfRule>
  </conditionalFormatting>
  <conditionalFormatting sqref="N1620">
    <cfRule type="cellIs" dxfId="175" priority="180" stopIfTrue="1" operator="between">
      <formula>-350</formula>
      <formula>-1</formula>
    </cfRule>
  </conditionalFormatting>
  <conditionalFormatting sqref="AE1615">
    <cfRule type="cellIs" dxfId="174" priority="190" stopIfTrue="1" operator="between">
      <formula>-0.15</formula>
      <formula>-0.0001</formula>
    </cfRule>
  </conditionalFormatting>
  <conditionalFormatting sqref="AH1615:AI1615">
    <cfRule type="cellIs" dxfId="173" priority="189" stopIfTrue="1" operator="between">
      <formula>-0.15</formula>
      <formula>0.005</formula>
    </cfRule>
  </conditionalFormatting>
  <conditionalFormatting sqref="N1615">
    <cfRule type="cellIs" dxfId="172" priority="188" stopIfTrue="1" operator="between">
      <formula>-350</formula>
      <formula>-1</formula>
    </cfRule>
  </conditionalFormatting>
  <conditionalFormatting sqref="AE1432">
    <cfRule type="cellIs" dxfId="171" priority="176" stopIfTrue="1" operator="between">
      <formula>-0.15</formula>
      <formula>-0.0001</formula>
    </cfRule>
  </conditionalFormatting>
  <conditionalFormatting sqref="AH1432:AI1432">
    <cfRule type="cellIs" dxfId="170" priority="175" stopIfTrue="1" operator="between">
      <formula>-0.15</formula>
      <formula>0.005</formula>
    </cfRule>
  </conditionalFormatting>
  <conditionalFormatting sqref="AE1621">
    <cfRule type="cellIs" dxfId="169" priority="187" stopIfTrue="1" operator="between">
      <formula>-0.15</formula>
      <formula>-0.0001</formula>
    </cfRule>
  </conditionalFormatting>
  <conditionalFormatting sqref="AH1621:AI1621">
    <cfRule type="cellIs" dxfId="168" priority="186" stopIfTrue="1" operator="between">
      <formula>-0.15</formula>
      <formula>0.005</formula>
    </cfRule>
  </conditionalFormatting>
  <conditionalFormatting sqref="AH1450:AI1450">
    <cfRule type="cellIs" dxfId="167" priority="178" stopIfTrue="1" operator="between">
      <formula>-0.15</formula>
      <formula>0.005</formula>
    </cfRule>
  </conditionalFormatting>
  <conditionalFormatting sqref="N1450">
    <cfRule type="cellIs" dxfId="166" priority="177" stopIfTrue="1" operator="between">
      <formula>-350</formula>
      <formula>-1</formula>
    </cfRule>
  </conditionalFormatting>
  <conditionalFormatting sqref="AE1450">
    <cfRule type="cellIs" dxfId="165" priority="179" stopIfTrue="1" operator="between">
      <formula>-0.15</formula>
      <formula>-0.0001</formula>
    </cfRule>
  </conditionalFormatting>
  <conditionalFormatting sqref="N1429">
    <cfRule type="cellIs" dxfId="164" priority="172" stopIfTrue="1" operator="between">
      <formula>-350</formula>
      <formula>-1</formula>
    </cfRule>
  </conditionalFormatting>
  <conditionalFormatting sqref="N1430">
    <cfRule type="cellIs" dxfId="163" priority="166" stopIfTrue="1" operator="between">
      <formula>-350</formula>
      <formula>-1</formula>
    </cfRule>
  </conditionalFormatting>
  <conditionalFormatting sqref="N1431">
    <cfRule type="cellIs" dxfId="162" priority="169" stopIfTrue="1" operator="between">
      <formula>-350</formula>
      <formula>-1</formula>
    </cfRule>
  </conditionalFormatting>
  <conditionalFormatting sqref="AH1430:AI1430">
    <cfRule type="cellIs" dxfId="161" priority="167" stopIfTrue="1" operator="between">
      <formula>-0.15</formula>
      <formula>0.005</formula>
    </cfRule>
  </conditionalFormatting>
  <conditionalFormatting sqref="AE1431">
    <cfRule type="cellIs" dxfId="160" priority="171" stopIfTrue="1" operator="between">
      <formula>-0.15</formula>
      <formula>-0.0001</formula>
    </cfRule>
  </conditionalFormatting>
  <conditionalFormatting sqref="AH1429:AI1429">
    <cfRule type="cellIs" dxfId="159" priority="173" stopIfTrue="1" operator="between">
      <formula>-0.15</formula>
      <formula>0.005</formula>
    </cfRule>
  </conditionalFormatting>
  <conditionalFormatting sqref="AH1431:AI1431">
    <cfRule type="cellIs" dxfId="158" priority="170" stopIfTrue="1" operator="between">
      <formula>-0.15</formula>
      <formula>0.005</formula>
    </cfRule>
  </conditionalFormatting>
  <conditionalFormatting sqref="AE1430">
    <cfRule type="cellIs" dxfId="157" priority="168" stopIfTrue="1" operator="between">
      <formula>-0.15</formula>
      <formula>-0.0001</formula>
    </cfRule>
  </conditionalFormatting>
  <conditionalFormatting sqref="AE1429">
    <cfRule type="cellIs" dxfId="156" priority="174" stopIfTrue="1" operator="between">
      <formula>-0.15</formula>
      <formula>-0.0001</formula>
    </cfRule>
  </conditionalFormatting>
  <conditionalFormatting sqref="N1434">
    <cfRule type="cellIs" dxfId="155" priority="160" stopIfTrue="1" operator="between">
      <formula>-350</formula>
      <formula>-1</formula>
    </cfRule>
  </conditionalFormatting>
  <conditionalFormatting sqref="N1435">
    <cfRule type="cellIs" dxfId="154" priority="163" stopIfTrue="1" operator="between">
      <formula>-350</formula>
      <formula>-1</formula>
    </cfRule>
  </conditionalFormatting>
  <conditionalFormatting sqref="AH1434:AI1434">
    <cfRule type="cellIs" dxfId="153" priority="161" stopIfTrue="1" operator="between">
      <formula>-0.15</formula>
      <formula>0.005</formula>
    </cfRule>
  </conditionalFormatting>
  <conditionalFormatting sqref="AE1435">
    <cfRule type="cellIs" dxfId="152" priority="165" stopIfTrue="1" operator="between">
      <formula>-0.15</formula>
      <formula>-0.0001</formula>
    </cfRule>
  </conditionalFormatting>
  <conditionalFormatting sqref="AH1435:AI1435">
    <cfRule type="cellIs" dxfId="151" priority="164" stopIfTrue="1" operator="between">
      <formula>-0.15</formula>
      <formula>0.005</formula>
    </cfRule>
  </conditionalFormatting>
  <conditionalFormatting sqref="AE1434">
    <cfRule type="cellIs" dxfId="150" priority="162" stopIfTrue="1" operator="between">
      <formula>-0.15</formula>
      <formula>-0.0001</formula>
    </cfRule>
  </conditionalFormatting>
  <conditionalFormatting sqref="AE2244:AE2245">
    <cfRule type="cellIs" dxfId="149" priority="159" stopIfTrue="1" operator="between">
      <formula>-0.15</formula>
      <formula>-0.0001</formula>
    </cfRule>
  </conditionalFormatting>
  <conditionalFormatting sqref="AH2244:AI2245">
    <cfRule type="cellIs" dxfId="148" priority="158" stopIfTrue="1" operator="between">
      <formula>-0.15</formula>
      <formula>0.005</formula>
    </cfRule>
  </conditionalFormatting>
  <conditionalFormatting sqref="N2244">
    <cfRule type="cellIs" dxfId="147" priority="157" stopIfTrue="1" operator="between">
      <formula>-350</formula>
      <formula>-1</formula>
    </cfRule>
  </conditionalFormatting>
  <conditionalFormatting sqref="AE383">
    <cfRule type="cellIs" dxfId="146" priority="156" stopIfTrue="1" operator="between">
      <formula>-0.15</formula>
      <formula>-0.0001</formula>
    </cfRule>
  </conditionalFormatting>
  <conditionalFormatting sqref="AH383:AI383">
    <cfRule type="cellIs" dxfId="145" priority="155" stopIfTrue="1" operator="between">
      <formula>-0.15</formula>
      <formula>0.005</formula>
    </cfRule>
  </conditionalFormatting>
  <conditionalFormatting sqref="AE382">
    <cfRule type="cellIs" dxfId="144" priority="154" stopIfTrue="1" operator="between">
      <formula>-0.15</formula>
      <formula>-0.0001</formula>
    </cfRule>
  </conditionalFormatting>
  <conditionalFormatting sqref="AH382:AI382">
    <cfRule type="cellIs" dxfId="143" priority="153" stopIfTrue="1" operator="between">
      <formula>-0.15</formula>
      <formula>0.005</formula>
    </cfRule>
  </conditionalFormatting>
  <conditionalFormatting sqref="N382">
    <cfRule type="cellIs" dxfId="142" priority="152" stopIfTrue="1" operator="between">
      <formula>-350</formula>
      <formula>-1</formula>
    </cfRule>
  </conditionalFormatting>
  <conditionalFormatting sqref="AE381">
    <cfRule type="cellIs" dxfId="141" priority="151" stopIfTrue="1" operator="between">
      <formula>-0.15</formula>
      <formula>-0.0001</formula>
    </cfRule>
  </conditionalFormatting>
  <conditionalFormatting sqref="AH381:AI381">
    <cfRule type="cellIs" dxfId="140" priority="150" stopIfTrue="1" operator="between">
      <formula>-0.15</formula>
      <formula>0.005</formula>
    </cfRule>
  </conditionalFormatting>
  <conditionalFormatting sqref="AE380">
    <cfRule type="cellIs" dxfId="139" priority="149" stopIfTrue="1" operator="between">
      <formula>-0.15</formula>
      <formula>-0.0001</formula>
    </cfRule>
  </conditionalFormatting>
  <conditionalFormatting sqref="AH380:AI380">
    <cfRule type="cellIs" dxfId="138" priority="148" stopIfTrue="1" operator="between">
      <formula>-0.15</formula>
      <formula>0.005</formula>
    </cfRule>
  </conditionalFormatting>
  <conditionalFormatting sqref="N380">
    <cfRule type="cellIs" dxfId="137" priority="147" stopIfTrue="1" operator="between">
      <formula>-350</formula>
      <formula>-1</formula>
    </cfRule>
  </conditionalFormatting>
  <conditionalFormatting sqref="AE1177">
    <cfRule type="cellIs" dxfId="136" priority="146" stopIfTrue="1" operator="between">
      <formula>-0.15</formula>
      <formula>-0.0001</formula>
    </cfRule>
  </conditionalFormatting>
  <conditionalFormatting sqref="AH1177:AI1177">
    <cfRule type="cellIs" dxfId="135" priority="145" stopIfTrue="1" operator="between">
      <formula>-0.15</formula>
      <formula>0.005</formula>
    </cfRule>
  </conditionalFormatting>
  <conditionalFormatting sqref="N1177">
    <cfRule type="cellIs" dxfId="134" priority="144" stopIfTrue="1" operator="between">
      <formula>-350</formula>
      <formula>-1</formula>
    </cfRule>
  </conditionalFormatting>
  <conditionalFormatting sqref="AE1176">
    <cfRule type="cellIs" dxfId="133" priority="143" stopIfTrue="1" operator="between">
      <formula>-0.15</formula>
      <formula>-0.0001</formula>
    </cfRule>
  </conditionalFormatting>
  <conditionalFormatting sqref="AH1176:AI1176">
    <cfRule type="cellIs" dxfId="132" priority="142" stopIfTrue="1" operator="between">
      <formula>-0.15</formula>
      <formula>0.005</formula>
    </cfRule>
  </conditionalFormatting>
  <conditionalFormatting sqref="N1176">
    <cfRule type="cellIs" dxfId="131" priority="141" stopIfTrue="1" operator="between">
      <formula>-350</formula>
      <formula>-1</formula>
    </cfRule>
  </conditionalFormatting>
  <conditionalFormatting sqref="AE1175">
    <cfRule type="cellIs" dxfId="130" priority="140" stopIfTrue="1" operator="between">
      <formula>-0.15</formula>
      <formula>-0.0001</formula>
    </cfRule>
  </conditionalFormatting>
  <conditionalFormatting sqref="AH1175:AI1175">
    <cfRule type="cellIs" dxfId="129" priority="139" stopIfTrue="1" operator="between">
      <formula>-0.15</formula>
      <formula>0.005</formula>
    </cfRule>
  </conditionalFormatting>
  <conditionalFormatting sqref="N1175">
    <cfRule type="cellIs" dxfId="128" priority="138" stopIfTrue="1" operator="between">
      <formula>-350</formula>
      <formula>-1</formula>
    </cfRule>
  </conditionalFormatting>
  <conditionalFormatting sqref="AE1178">
    <cfRule type="cellIs" dxfId="127" priority="137" stopIfTrue="1" operator="between">
      <formula>-0.15</formula>
      <formula>-0.0001</formula>
    </cfRule>
  </conditionalFormatting>
  <conditionalFormatting sqref="AH1178:AI1178">
    <cfRule type="cellIs" dxfId="126" priority="136" stopIfTrue="1" operator="between">
      <formula>-0.15</formula>
      <formula>0.005</formula>
    </cfRule>
  </conditionalFormatting>
  <conditionalFormatting sqref="N1178">
    <cfRule type="cellIs" dxfId="125" priority="135" stopIfTrue="1" operator="between">
      <formula>-350</formula>
      <formula>-1</formula>
    </cfRule>
  </conditionalFormatting>
  <conditionalFormatting sqref="AE1181:AE1182">
    <cfRule type="cellIs" dxfId="124" priority="134" stopIfTrue="1" operator="between">
      <formula>-0.15</formula>
      <formula>-0.0001</formula>
    </cfRule>
  </conditionalFormatting>
  <conditionalFormatting sqref="AH1181:AI1182">
    <cfRule type="cellIs" dxfId="123" priority="133" stopIfTrue="1" operator="between">
      <formula>-0.15</formula>
      <formula>0.005</formula>
    </cfRule>
  </conditionalFormatting>
  <conditionalFormatting sqref="N1182">
    <cfRule type="cellIs" dxfId="122" priority="132" stopIfTrue="1" operator="between">
      <formula>-350</formula>
      <formula>-1</formula>
    </cfRule>
  </conditionalFormatting>
  <conditionalFormatting sqref="N1181">
    <cfRule type="cellIs" dxfId="121" priority="131" stopIfTrue="1" operator="between">
      <formula>-350</formula>
      <formula>-1</formula>
    </cfRule>
  </conditionalFormatting>
  <conditionalFormatting sqref="AE1217">
    <cfRule type="cellIs" dxfId="120" priority="124" stopIfTrue="1" operator="between">
      <formula>-0.15</formula>
      <formula>-0.0001</formula>
    </cfRule>
  </conditionalFormatting>
  <conditionalFormatting sqref="AH1217:AI1217">
    <cfRule type="cellIs" dxfId="119" priority="123" stopIfTrue="1" operator="between">
      <formula>-0.15</formula>
      <formula>0.005</formula>
    </cfRule>
  </conditionalFormatting>
  <conditionalFormatting sqref="N1217">
    <cfRule type="cellIs" dxfId="118" priority="122" stopIfTrue="1" operator="between">
      <formula>-350</formula>
      <formula>-1</formula>
    </cfRule>
  </conditionalFormatting>
  <conditionalFormatting sqref="AE1262">
    <cfRule type="cellIs" dxfId="117" priority="116" stopIfTrue="1" operator="between">
      <formula>-0.15</formula>
      <formula>-0.0001</formula>
    </cfRule>
  </conditionalFormatting>
  <conditionalFormatting sqref="AH1262:AI1262">
    <cfRule type="cellIs" dxfId="116" priority="115" stopIfTrue="1" operator="between">
      <formula>-0.15</formula>
      <formula>0.005</formula>
    </cfRule>
  </conditionalFormatting>
  <conditionalFormatting sqref="N1262">
    <cfRule type="cellIs" dxfId="115" priority="114" stopIfTrue="1" operator="between">
      <formula>-350</formula>
      <formula>-1</formula>
    </cfRule>
  </conditionalFormatting>
  <conditionalFormatting sqref="AE1218">
    <cfRule type="cellIs" dxfId="114" priority="121" stopIfTrue="1" operator="between">
      <formula>-0.15</formula>
      <formula>-0.0001</formula>
    </cfRule>
  </conditionalFormatting>
  <conditionalFormatting sqref="AH1218:AI1218">
    <cfRule type="cellIs" dxfId="113" priority="120" stopIfTrue="1" operator="between">
      <formula>-0.15</formula>
      <formula>0.005</formula>
    </cfRule>
  </conditionalFormatting>
  <conditionalFormatting sqref="N1218">
    <cfRule type="cellIs" dxfId="112" priority="119" stopIfTrue="1" operator="between">
      <formula>-350</formula>
      <formula>-1</formula>
    </cfRule>
  </conditionalFormatting>
  <conditionalFormatting sqref="AE1263">
    <cfRule type="cellIs" dxfId="111" priority="113" stopIfTrue="1" operator="between">
      <formula>-0.15</formula>
      <formula>-0.0001</formula>
    </cfRule>
  </conditionalFormatting>
  <conditionalFormatting sqref="AH1263:AI1263">
    <cfRule type="cellIs" dxfId="110" priority="112" stopIfTrue="1" operator="between">
      <formula>-0.15</formula>
      <formula>0.005</formula>
    </cfRule>
  </conditionalFormatting>
  <conditionalFormatting sqref="N1263">
    <cfRule type="cellIs" dxfId="109" priority="111" stopIfTrue="1" operator="between">
      <formula>-350</formula>
      <formula>-1</formula>
    </cfRule>
  </conditionalFormatting>
  <conditionalFormatting sqref="AE1264">
    <cfRule type="cellIs" dxfId="108" priority="118" stopIfTrue="1" operator="between">
      <formula>-0.15</formula>
      <formula>-0.0001</formula>
    </cfRule>
  </conditionalFormatting>
  <conditionalFormatting sqref="AH1264:AI1264">
    <cfRule type="cellIs" dxfId="107" priority="117" stopIfTrue="1" operator="between">
      <formula>-0.15</formula>
      <formula>0.005</formula>
    </cfRule>
  </conditionalFormatting>
  <conditionalFormatting sqref="N1408">
    <cfRule type="cellIs" dxfId="106" priority="108" stopIfTrue="1" operator="between">
      <formula>-350</formula>
      <formula>-1</formula>
    </cfRule>
  </conditionalFormatting>
  <conditionalFormatting sqref="AE6">
    <cfRule type="cellIs" dxfId="105" priority="105" stopIfTrue="1" operator="between">
      <formula>-0.15</formula>
      <formula>-0.0001</formula>
    </cfRule>
  </conditionalFormatting>
  <conditionalFormatting sqref="AH6:AI6">
    <cfRule type="cellIs" dxfId="104" priority="104" stopIfTrue="1" operator="between">
      <formula>-0.15</formula>
      <formula>0.005</formula>
    </cfRule>
  </conditionalFormatting>
  <conditionalFormatting sqref="N6">
    <cfRule type="cellIs" dxfId="103" priority="103" stopIfTrue="1" operator="between">
      <formula>-350</formula>
      <formula>-1</formula>
    </cfRule>
  </conditionalFormatting>
  <conditionalFormatting sqref="AE1408">
    <cfRule type="cellIs" dxfId="102" priority="110" stopIfTrue="1" operator="between">
      <formula>-0.15</formula>
      <formula>-0.0001</formula>
    </cfRule>
  </conditionalFormatting>
  <conditionalFormatting sqref="AH1408:AI1408">
    <cfRule type="cellIs" dxfId="101" priority="109" stopIfTrue="1" operator="between">
      <formula>-0.15</formula>
      <formula>0.005</formula>
    </cfRule>
  </conditionalFormatting>
  <conditionalFormatting sqref="AH8:AI8">
    <cfRule type="cellIs" dxfId="100" priority="106" stopIfTrue="1" operator="between">
      <formula>-0.15</formula>
      <formula>0.005</formula>
    </cfRule>
  </conditionalFormatting>
  <conditionalFormatting sqref="AE8">
    <cfRule type="cellIs" dxfId="99" priority="107" stopIfTrue="1" operator="between">
      <formula>-0.15</formula>
      <formula>-0.0001</formula>
    </cfRule>
  </conditionalFormatting>
  <conditionalFormatting sqref="AH7:AI7">
    <cfRule type="cellIs" dxfId="98" priority="100" stopIfTrue="1" operator="between">
      <formula>-0.15</formula>
      <formula>0.005</formula>
    </cfRule>
  </conditionalFormatting>
  <conditionalFormatting sqref="N7">
    <cfRule type="cellIs" dxfId="97" priority="102" stopIfTrue="1" operator="between">
      <formula>-350</formula>
      <formula>-1</formula>
    </cfRule>
  </conditionalFormatting>
  <conditionalFormatting sqref="AE7">
    <cfRule type="cellIs" dxfId="96" priority="101" stopIfTrue="1" operator="between">
      <formula>-0.15</formula>
      <formula>-0.0001</formula>
    </cfRule>
  </conditionalFormatting>
  <conditionalFormatting sqref="AE1358">
    <cfRule type="cellIs" dxfId="95" priority="99" stopIfTrue="1" operator="between">
      <formula>-0.15</formula>
      <formula>-0.0001</formula>
    </cfRule>
  </conditionalFormatting>
  <conditionalFormatting sqref="AH1358:AI1358">
    <cfRule type="cellIs" dxfId="94" priority="98" stopIfTrue="1" operator="between">
      <formula>-0.15</formula>
      <formula>0.005</formula>
    </cfRule>
  </conditionalFormatting>
  <conditionalFormatting sqref="AE1356">
    <cfRule type="cellIs" dxfId="93" priority="97" stopIfTrue="1" operator="between">
      <formula>-0.15</formula>
      <formula>-0.0001</formula>
    </cfRule>
  </conditionalFormatting>
  <conditionalFormatting sqref="AH1356:AI1356">
    <cfRule type="cellIs" dxfId="92" priority="96" stopIfTrue="1" operator="between">
      <formula>-0.15</formula>
      <formula>0.005</formula>
    </cfRule>
  </conditionalFormatting>
  <conditionalFormatting sqref="N1356">
    <cfRule type="cellIs" dxfId="91" priority="95" stopIfTrue="1" operator="between">
      <formula>-350</formula>
      <formula>-1</formula>
    </cfRule>
  </conditionalFormatting>
  <conditionalFormatting sqref="AE1365">
    <cfRule type="cellIs" dxfId="90" priority="83" stopIfTrue="1" operator="between">
      <formula>-0.15</formula>
      <formula>-0.0001</formula>
    </cfRule>
  </conditionalFormatting>
  <conditionalFormatting sqref="AH1365:AI1365">
    <cfRule type="cellIs" dxfId="89" priority="82" stopIfTrue="1" operator="between">
      <formula>-0.15</formula>
      <formula>0.005</formula>
    </cfRule>
  </conditionalFormatting>
  <conditionalFormatting sqref="N1365">
    <cfRule type="cellIs" dxfId="88" priority="81" stopIfTrue="1" operator="between">
      <formula>-350</formula>
      <formula>-1</formula>
    </cfRule>
  </conditionalFormatting>
  <conditionalFormatting sqref="AE1357">
    <cfRule type="cellIs" dxfId="87" priority="91" stopIfTrue="1" operator="between">
      <formula>-0.15</formula>
      <formula>-0.0001</formula>
    </cfRule>
  </conditionalFormatting>
  <conditionalFormatting sqref="AH1357:AI1357">
    <cfRule type="cellIs" dxfId="86" priority="90" stopIfTrue="1" operator="between">
      <formula>-0.15</formula>
      <formula>0.005</formula>
    </cfRule>
  </conditionalFormatting>
  <conditionalFormatting sqref="N1357">
    <cfRule type="cellIs" dxfId="85" priority="89" stopIfTrue="1" operator="between">
      <formula>-350</formula>
      <formula>-1</formula>
    </cfRule>
  </conditionalFormatting>
  <conditionalFormatting sqref="AE1366">
    <cfRule type="cellIs" dxfId="84" priority="88" stopIfTrue="1" operator="between">
      <formula>-0.15</formula>
      <formula>-0.0001</formula>
    </cfRule>
  </conditionalFormatting>
  <conditionalFormatting sqref="AH1366:AI1366">
    <cfRule type="cellIs" dxfId="83" priority="87" stopIfTrue="1" operator="between">
      <formula>-0.15</formula>
      <formula>0.005</formula>
    </cfRule>
  </conditionalFormatting>
  <conditionalFormatting sqref="AE1363">
    <cfRule type="cellIs" dxfId="82" priority="86" stopIfTrue="1" operator="between">
      <formula>-0.15</formula>
      <formula>-0.0001</formula>
    </cfRule>
  </conditionalFormatting>
  <conditionalFormatting sqref="AH1363:AI1363">
    <cfRule type="cellIs" dxfId="81" priority="85" stopIfTrue="1" operator="between">
      <formula>-0.15</formula>
      <formula>0.005</formula>
    </cfRule>
  </conditionalFormatting>
  <conditionalFormatting sqref="N1363">
    <cfRule type="cellIs" dxfId="80" priority="84" stopIfTrue="1" operator="between">
      <formula>-350</formula>
      <formula>-1</formula>
    </cfRule>
  </conditionalFormatting>
  <conditionalFormatting sqref="AE1361">
    <cfRule type="cellIs" dxfId="79" priority="72" stopIfTrue="1" operator="between">
      <formula>-0.15</formula>
      <formula>-0.0001</formula>
    </cfRule>
  </conditionalFormatting>
  <conditionalFormatting sqref="AH1361:AI1361">
    <cfRule type="cellIs" dxfId="78" priority="71" stopIfTrue="1" operator="between">
      <formula>-0.15</formula>
      <formula>0.005</formula>
    </cfRule>
  </conditionalFormatting>
  <conditionalFormatting sqref="N1361">
    <cfRule type="cellIs" dxfId="77" priority="70" stopIfTrue="1" operator="between">
      <formula>-350</formula>
      <formula>-1</formula>
    </cfRule>
  </conditionalFormatting>
  <conditionalFormatting sqref="AE1364">
    <cfRule type="cellIs" dxfId="76" priority="80" stopIfTrue="1" operator="between">
      <formula>-0.15</formula>
      <formula>-0.0001</formula>
    </cfRule>
  </conditionalFormatting>
  <conditionalFormatting sqref="AH1364:AI1364">
    <cfRule type="cellIs" dxfId="75" priority="79" stopIfTrue="1" operator="between">
      <formula>-0.15</formula>
      <formula>0.005</formula>
    </cfRule>
  </conditionalFormatting>
  <conditionalFormatting sqref="N1364">
    <cfRule type="cellIs" dxfId="74" priority="78" stopIfTrue="1" operator="between">
      <formula>-350</formula>
      <formula>-1</formula>
    </cfRule>
  </conditionalFormatting>
  <conditionalFormatting sqref="AE143">
    <cfRule type="cellIs" dxfId="73" priority="66" stopIfTrue="1" operator="between">
      <formula>-0.15</formula>
      <formula>-0.0001</formula>
    </cfRule>
  </conditionalFormatting>
  <conditionalFormatting sqref="AE1362">
    <cfRule type="cellIs" dxfId="72" priority="77" stopIfTrue="1" operator="between">
      <formula>-0.15</formula>
      <formula>-0.0001</formula>
    </cfRule>
  </conditionalFormatting>
  <conditionalFormatting sqref="AH1362:AI1362">
    <cfRule type="cellIs" dxfId="71" priority="76" stopIfTrue="1" operator="between">
      <formula>-0.15</formula>
      <formula>0.005</formula>
    </cfRule>
  </conditionalFormatting>
  <conditionalFormatting sqref="AE1359">
    <cfRule type="cellIs" dxfId="70" priority="75" stopIfTrue="1" operator="between">
      <formula>-0.15</formula>
      <formula>-0.0001</formula>
    </cfRule>
  </conditionalFormatting>
  <conditionalFormatting sqref="AH1359:AI1359">
    <cfRule type="cellIs" dxfId="69" priority="74" stopIfTrue="1" operator="between">
      <formula>-0.15</formula>
      <formula>0.005</formula>
    </cfRule>
  </conditionalFormatting>
  <conditionalFormatting sqref="N1359">
    <cfRule type="cellIs" dxfId="68" priority="73" stopIfTrue="1" operator="between">
      <formula>-350</formula>
      <formula>-1</formula>
    </cfRule>
  </conditionalFormatting>
  <conditionalFormatting sqref="AE1360">
    <cfRule type="cellIs" dxfId="67" priority="69" stopIfTrue="1" operator="between">
      <formula>-0.15</formula>
      <formula>-0.0001</formula>
    </cfRule>
  </conditionalFormatting>
  <conditionalFormatting sqref="AH1360:AI1360">
    <cfRule type="cellIs" dxfId="66" priority="68" stopIfTrue="1" operator="between">
      <formula>-0.15</formula>
      <formula>0.005</formula>
    </cfRule>
  </conditionalFormatting>
  <conditionalFormatting sqref="N1360">
    <cfRule type="cellIs" dxfId="65" priority="67" stopIfTrue="1" operator="between">
      <formula>-350</formula>
      <formula>-1</formula>
    </cfRule>
  </conditionalFormatting>
  <conditionalFormatting sqref="AH142:AI142">
    <cfRule type="cellIs" dxfId="64" priority="61" stopIfTrue="1" operator="between">
      <formula>-0.15</formula>
      <formula>0.005</formula>
    </cfRule>
  </conditionalFormatting>
  <conditionalFormatting sqref="AH143:AI143">
    <cfRule type="cellIs" dxfId="63" priority="64" stopIfTrue="1" operator="between">
      <formula>-0.15</formula>
      <formula>0.005</formula>
    </cfRule>
  </conditionalFormatting>
  <conditionalFormatting sqref="AE142">
    <cfRule type="cellIs" dxfId="62" priority="63" stopIfTrue="1" operator="between">
      <formula>-0.15</formula>
      <formula>-0.0001</formula>
    </cfRule>
  </conditionalFormatting>
  <conditionalFormatting sqref="N143">
    <cfRule type="cellIs" dxfId="61" priority="65" stopIfTrue="1" operator="between">
      <formula>-350</formula>
      <formula>-1</formula>
    </cfRule>
  </conditionalFormatting>
  <conditionalFormatting sqref="AE138">
    <cfRule type="cellIs" dxfId="60" priority="54" stopIfTrue="1" operator="between">
      <formula>-0.15</formula>
      <formula>-0.0001</formula>
    </cfRule>
  </conditionalFormatting>
  <conditionalFormatting sqref="N142">
    <cfRule type="cellIs" dxfId="59" priority="62" stopIfTrue="1" operator="between">
      <formula>-350</formula>
      <formula>-1</formula>
    </cfRule>
  </conditionalFormatting>
  <conditionalFormatting sqref="AH140:AI140">
    <cfRule type="cellIs" dxfId="58" priority="55" stopIfTrue="1" operator="between">
      <formula>-0.15</formula>
      <formula>0.005</formula>
    </cfRule>
  </conditionalFormatting>
  <conditionalFormatting sqref="AH141:AI141">
    <cfRule type="cellIs" dxfId="57" priority="58" stopIfTrue="1" operator="between">
      <formula>-0.15</formula>
      <formula>0.005</formula>
    </cfRule>
  </conditionalFormatting>
  <conditionalFormatting sqref="AE140">
    <cfRule type="cellIs" dxfId="56" priority="57" stopIfTrue="1" operator="between">
      <formula>-0.15</formula>
      <formula>-0.0001</formula>
    </cfRule>
  </conditionalFormatting>
  <conditionalFormatting sqref="N141">
    <cfRule type="cellIs" dxfId="55" priority="59" stopIfTrue="1" operator="between">
      <formula>-350</formula>
      <formula>-1</formula>
    </cfRule>
  </conditionalFormatting>
  <conditionalFormatting sqref="AE141">
    <cfRule type="cellIs" dxfId="54" priority="60" stopIfTrue="1" operator="between">
      <formula>-0.15</formula>
      <formula>-0.0001</formula>
    </cfRule>
  </conditionalFormatting>
  <conditionalFormatting sqref="N140">
    <cfRule type="cellIs" dxfId="53" priority="56" stopIfTrue="1" operator="between">
      <formula>-350</formula>
      <formula>-1</formula>
    </cfRule>
  </conditionalFormatting>
  <conditionalFormatting sqref="AE137">
    <cfRule type="cellIs" dxfId="52" priority="51" stopIfTrue="1" operator="between">
      <formula>-0.15</formula>
      <formula>-0.0001</formula>
    </cfRule>
  </conditionalFormatting>
  <conditionalFormatting sqref="AH137:AI137">
    <cfRule type="cellIs" dxfId="51" priority="49" stopIfTrue="1" operator="between">
      <formula>-0.15</formula>
      <formula>0.005</formula>
    </cfRule>
  </conditionalFormatting>
  <conditionalFormatting sqref="AH138:AI138">
    <cfRule type="cellIs" dxfId="50" priority="52" stopIfTrue="1" operator="between">
      <formula>-0.15</formula>
      <formula>0.005</formula>
    </cfRule>
  </conditionalFormatting>
  <conditionalFormatting sqref="AE146">
    <cfRule type="cellIs" dxfId="49" priority="42" stopIfTrue="1" operator="between">
      <formula>-0.15</formula>
      <formula>-0.0001</formula>
    </cfRule>
  </conditionalFormatting>
  <conditionalFormatting sqref="N138">
    <cfRule type="cellIs" dxfId="48" priority="53" stopIfTrue="1" operator="between">
      <formula>-350</formula>
      <formula>-1</formula>
    </cfRule>
  </conditionalFormatting>
  <conditionalFormatting sqref="N137">
    <cfRule type="cellIs" dxfId="47" priority="50" stopIfTrue="1" operator="between">
      <formula>-350</formula>
      <formula>-1</formula>
    </cfRule>
  </conditionalFormatting>
  <conditionalFormatting sqref="AH139:AI139">
    <cfRule type="cellIs" dxfId="46" priority="46" stopIfTrue="1" operator="between">
      <formula>-0.15</formula>
      <formula>0.005</formula>
    </cfRule>
  </conditionalFormatting>
  <conditionalFormatting sqref="AE139">
    <cfRule type="cellIs" dxfId="45" priority="48" stopIfTrue="1" operator="between">
      <formula>-0.15</formula>
      <formula>-0.0001</formula>
    </cfRule>
  </conditionalFormatting>
  <conditionalFormatting sqref="N139">
    <cfRule type="cellIs" dxfId="44" priority="47" stopIfTrue="1" operator="between">
      <formula>-350</formula>
      <formula>-1</formula>
    </cfRule>
  </conditionalFormatting>
  <conditionalFormatting sqref="AE148">
    <cfRule type="cellIs" dxfId="43" priority="39" stopIfTrue="1" operator="between">
      <formula>-0.15</formula>
      <formula>-0.0001</formula>
    </cfRule>
  </conditionalFormatting>
  <conditionalFormatting sqref="AH149:AI149">
    <cfRule type="cellIs" dxfId="42" priority="43" stopIfTrue="1" operator="between">
      <formula>-0.15</formula>
      <formula>0.005</formula>
    </cfRule>
  </conditionalFormatting>
  <conditionalFormatting sqref="AE149">
    <cfRule type="cellIs" dxfId="41" priority="44" stopIfTrue="1" operator="between">
      <formula>-0.15</formula>
      <formula>-0.0001</formula>
    </cfRule>
  </conditionalFormatting>
  <conditionalFormatting sqref="N149">
    <cfRule type="cellIs" dxfId="40" priority="45" stopIfTrue="1" operator="between">
      <formula>-350</formula>
      <formula>-1</formula>
    </cfRule>
  </conditionalFormatting>
  <conditionalFormatting sqref="N146">
    <cfRule type="cellIs" dxfId="39" priority="41" stopIfTrue="1" operator="between">
      <formula>-350</formula>
      <formula>-1</formula>
    </cfRule>
  </conditionalFormatting>
  <conditionalFormatting sqref="AH146:AI146">
    <cfRule type="cellIs" dxfId="38" priority="40" stopIfTrue="1" operator="between">
      <formula>-0.15</formula>
      <formula>0.005</formula>
    </cfRule>
  </conditionalFormatting>
  <conditionalFormatting sqref="AE228">
    <cfRule type="cellIs" dxfId="37" priority="30" stopIfTrue="1" operator="between">
      <formula>-0.15</formula>
      <formula>-0.0001</formula>
    </cfRule>
  </conditionalFormatting>
  <conditionalFormatting sqref="AH148:AI148">
    <cfRule type="cellIs" dxfId="36" priority="37" stopIfTrue="1" operator="between">
      <formula>-0.15</formula>
      <formula>0.005</formula>
    </cfRule>
  </conditionalFormatting>
  <conditionalFormatting sqref="N148">
    <cfRule type="cellIs" dxfId="35" priority="38" stopIfTrue="1" operator="between">
      <formula>-350</formula>
      <formula>-1</formula>
    </cfRule>
  </conditionalFormatting>
  <conditionalFormatting sqref="AE147">
    <cfRule type="cellIs" dxfId="34" priority="36" stopIfTrue="1" operator="between">
      <formula>-0.15</formula>
      <formula>-0.0001</formula>
    </cfRule>
  </conditionalFormatting>
  <conditionalFormatting sqref="AH147:AI147">
    <cfRule type="cellIs" dxfId="33" priority="34" stopIfTrue="1" operator="between">
      <formula>-0.15</formula>
      <formula>0.005</formula>
    </cfRule>
  </conditionalFormatting>
  <conditionalFormatting sqref="N147">
    <cfRule type="cellIs" dxfId="32" priority="35" stopIfTrue="1" operator="between">
      <formula>-350</formula>
      <formula>-1</formula>
    </cfRule>
  </conditionalFormatting>
  <conditionalFormatting sqref="N228">
    <cfRule type="cellIs" dxfId="31" priority="29" stopIfTrue="1" operator="between">
      <formula>-350</formula>
      <formula>-1</formula>
    </cfRule>
  </conditionalFormatting>
  <conditionalFormatting sqref="AE229">
    <cfRule type="cellIs" dxfId="30" priority="33" stopIfTrue="1" operator="between">
      <formula>-0.15</formula>
      <formula>-0.0001</formula>
    </cfRule>
  </conditionalFormatting>
  <conditionalFormatting sqref="AH229:AI229">
    <cfRule type="cellIs" dxfId="29" priority="31" stopIfTrue="1" operator="between">
      <formula>-0.15</formula>
      <formula>0.005</formula>
    </cfRule>
  </conditionalFormatting>
  <conditionalFormatting sqref="N229">
    <cfRule type="cellIs" dxfId="28" priority="32" stopIfTrue="1" operator="between">
      <formula>-350</formula>
      <formula>-1</formula>
    </cfRule>
  </conditionalFormatting>
  <conditionalFormatting sqref="AH228:AI228">
    <cfRule type="cellIs" dxfId="27" priority="28" stopIfTrue="1" operator="between">
      <formula>-0.15</formula>
      <formula>0.005</formula>
    </cfRule>
  </conditionalFormatting>
  <conditionalFormatting sqref="AE222">
    <cfRule type="cellIs" dxfId="26" priority="12" stopIfTrue="1" operator="between">
      <formula>-0.15</formula>
      <formula>-0.0001</formula>
    </cfRule>
  </conditionalFormatting>
  <conditionalFormatting sqref="N230">
    <cfRule type="cellIs" dxfId="25" priority="26" stopIfTrue="1" operator="between">
      <formula>-350</formula>
      <formula>-1</formula>
    </cfRule>
  </conditionalFormatting>
  <conditionalFormatting sqref="AH230:AI230">
    <cfRule type="cellIs" dxfId="24" priority="25" stopIfTrue="1" operator="between">
      <formula>-0.15</formula>
      <formula>0.005</formula>
    </cfRule>
  </conditionalFormatting>
  <conditionalFormatting sqref="AE230">
    <cfRule type="cellIs" dxfId="23" priority="27" stopIfTrue="1" operator="between">
      <formula>-0.15</formula>
      <formula>-0.0001</formula>
    </cfRule>
  </conditionalFormatting>
  <conditionalFormatting sqref="N225">
    <cfRule type="cellIs" dxfId="22" priority="20" stopIfTrue="1" operator="between">
      <formula>-350</formula>
      <formula>-1</formula>
    </cfRule>
  </conditionalFormatting>
  <conditionalFormatting sqref="AE226">
    <cfRule type="cellIs" dxfId="21" priority="24" stopIfTrue="1" operator="between">
      <formula>-0.15</formula>
      <formula>-0.0001</formula>
    </cfRule>
  </conditionalFormatting>
  <conditionalFormatting sqref="AH226:AI226">
    <cfRule type="cellIs" dxfId="20" priority="22" stopIfTrue="1" operator="between">
      <formula>-0.15</formula>
      <formula>0.005</formula>
    </cfRule>
  </conditionalFormatting>
  <conditionalFormatting sqref="N226">
    <cfRule type="cellIs" dxfId="19" priority="23" stopIfTrue="1" operator="between">
      <formula>-350</formula>
      <formula>-1</formula>
    </cfRule>
  </conditionalFormatting>
  <conditionalFormatting sqref="AH225:AI225">
    <cfRule type="cellIs" dxfId="18" priority="19" stopIfTrue="1" operator="between">
      <formula>-0.15</formula>
      <formula>0.005</formula>
    </cfRule>
  </conditionalFormatting>
  <conditionalFormatting sqref="AE225">
    <cfRule type="cellIs" dxfId="17" priority="21" stopIfTrue="1" operator="between">
      <formula>-0.15</formula>
      <formula>-0.0001</formula>
    </cfRule>
  </conditionalFormatting>
  <conditionalFormatting sqref="N227">
    <cfRule type="cellIs" dxfId="16" priority="17" stopIfTrue="1" operator="between">
      <formula>-350</formula>
      <formula>-1</formula>
    </cfRule>
  </conditionalFormatting>
  <conditionalFormatting sqref="AH227:AI227">
    <cfRule type="cellIs" dxfId="15" priority="16" stopIfTrue="1" operator="between">
      <formula>-0.15</formula>
      <formula>0.005</formula>
    </cfRule>
  </conditionalFormatting>
  <conditionalFormatting sqref="AE227">
    <cfRule type="cellIs" dxfId="14" priority="18" stopIfTrue="1" operator="between">
      <formula>-0.15</formula>
      <formula>-0.0001</formula>
    </cfRule>
  </conditionalFormatting>
  <conditionalFormatting sqref="AE224">
    <cfRule type="cellIs" dxfId="13" priority="9" stopIfTrue="1" operator="between">
      <formula>-0.15</formula>
      <formula>-0.0001</formula>
    </cfRule>
  </conditionalFormatting>
  <conditionalFormatting sqref="N222">
    <cfRule type="cellIs" dxfId="12" priority="11" stopIfTrue="1" operator="between">
      <formula>-350</formula>
      <formula>-1</formula>
    </cfRule>
  </conditionalFormatting>
  <conditionalFormatting sqref="AE223">
    <cfRule type="cellIs" dxfId="11" priority="15" stopIfTrue="1" operator="between">
      <formula>-0.15</formula>
      <formula>-0.0001</formula>
    </cfRule>
  </conditionalFormatting>
  <conditionalFormatting sqref="AH223:AI223">
    <cfRule type="cellIs" dxfId="10" priority="13" stopIfTrue="1" operator="between">
      <formula>-0.15</formula>
      <formula>0.005</formula>
    </cfRule>
  </conditionalFormatting>
  <conditionalFormatting sqref="N223">
    <cfRule type="cellIs" dxfId="9" priority="14" stopIfTrue="1" operator="between">
      <formula>-350</formula>
      <formula>-1</formula>
    </cfRule>
  </conditionalFormatting>
  <conditionalFormatting sqref="AH222:AI222">
    <cfRule type="cellIs" dxfId="8" priority="10" stopIfTrue="1" operator="between">
      <formula>-0.15</formula>
      <formula>0.005</formula>
    </cfRule>
  </conditionalFormatting>
  <conditionalFormatting sqref="N224">
    <cfRule type="cellIs" dxfId="7" priority="8" stopIfTrue="1" operator="between">
      <formula>-350</formula>
      <formula>-1</formula>
    </cfRule>
  </conditionalFormatting>
  <conditionalFormatting sqref="AH224:AI224">
    <cfRule type="cellIs" dxfId="6" priority="7" stopIfTrue="1" operator="between">
      <formula>-0.15</formula>
      <formula>0.005</formula>
    </cfRule>
  </conditionalFormatting>
  <conditionalFormatting sqref="AE157">
    <cfRule type="cellIs" dxfId="5" priority="6" stopIfTrue="1" operator="between">
      <formula>-0.15</formula>
      <formula>-0.0001</formula>
    </cfRule>
  </conditionalFormatting>
  <conditionalFormatting sqref="AH157:AI157">
    <cfRule type="cellIs" dxfId="4" priority="4" stopIfTrue="1" operator="between">
      <formula>-0.15</formula>
      <formula>0.005</formula>
    </cfRule>
  </conditionalFormatting>
  <conditionalFormatting sqref="N157">
    <cfRule type="cellIs" dxfId="3" priority="5" stopIfTrue="1" operator="between">
      <formula>-350</formula>
      <formula>-1</formula>
    </cfRule>
  </conditionalFormatting>
  <conditionalFormatting sqref="AE107">
    <cfRule type="cellIs" dxfId="2" priority="3" stopIfTrue="1" operator="between">
      <formula>-0.15</formula>
      <formula>-0.0001</formula>
    </cfRule>
  </conditionalFormatting>
  <conditionalFormatting sqref="AH107:AI107">
    <cfRule type="cellIs" dxfId="1" priority="1" stopIfTrue="1" operator="between">
      <formula>-0.15</formula>
      <formula>0.005</formula>
    </cfRule>
  </conditionalFormatting>
  <conditionalFormatting sqref="N107">
    <cfRule type="cellIs" dxfId="0" priority="2" stopIfTrue="1" operator="between">
      <formula>-350</formula>
      <formula>-1</formula>
    </cfRule>
  </conditionalFormatting>
  <pageMargins left="0.28000000000000003" right="0.16" top="0.11" bottom="0.16" header="0.03" footer="0.1"/>
  <pageSetup paperSize="9" scale="41" orientation="landscape" verticalDpi="300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J3255"/>
  <sheetViews>
    <sheetView workbookViewId="0">
      <pane ySplit="2" topLeftCell="A3" activePane="bottomLeft" state="frozen"/>
      <selection pane="bottomLeft" activeCell="B3" sqref="B3:B3255"/>
    </sheetView>
  </sheetViews>
  <sheetFormatPr defaultRowHeight="16.5" x14ac:dyDescent="0.3"/>
  <cols>
    <col min="3" max="3" width="11.5" customWidth="1"/>
    <col min="5" max="5" width="10.875" customWidth="1"/>
    <col min="6" max="6" width="18.125" customWidth="1"/>
    <col min="7" max="7" width="13.75" customWidth="1"/>
  </cols>
  <sheetData>
    <row r="2" spans="2:10" x14ac:dyDescent="0.3">
      <c r="B2" s="76" t="s">
        <v>63</v>
      </c>
      <c r="C2" s="76" t="s">
        <v>64</v>
      </c>
      <c r="D2" s="76" t="s">
        <v>65</v>
      </c>
      <c r="E2" s="76" t="s">
        <v>66</v>
      </c>
      <c r="F2" s="76" t="s">
        <v>85</v>
      </c>
      <c r="G2" s="76" t="s">
        <v>67</v>
      </c>
      <c r="H2" s="87" t="s">
        <v>87</v>
      </c>
      <c r="I2" s="87" t="s">
        <v>86</v>
      </c>
      <c r="J2" s="87" t="s">
        <v>88</v>
      </c>
    </row>
    <row r="3" spans="2:10" x14ac:dyDescent="0.3">
      <c r="B3" s="114">
        <f>'Production '!C6</f>
        <v>48553</v>
      </c>
      <c r="C3" s="76">
        <f ca="1">SUMIF('Production '!$C$4:$AI$4407,'Tracking Sheet'!B3,'Production '!$M$4:$M$4407)</f>
        <v>0</v>
      </c>
      <c r="D3" s="76">
        <f ca="1">SUMIF('Production '!$C$4:$AI$4407,'Tracking Sheet'!B3,'Production '!$Q$4:$Q$4407)</f>
        <v>0</v>
      </c>
      <c r="E3" s="76">
        <f ca="1">SUMIF('Production '!$C$4:$AI$4407,'Tracking Sheet'!B3,'Production '!$S$4:$S$4407)</f>
        <v>0</v>
      </c>
      <c r="F3" s="76">
        <f ca="1">SUMIF('Production '!$C$4:$AI$4407,'Tracking Sheet'!B3,'Production '!$U$4:$U$4407)</f>
        <v>0</v>
      </c>
      <c r="G3" s="76">
        <f ca="1">SUMIF('Production '!$C$4:$AI$4407,'Tracking Sheet'!B3,'Production '!$W$4:$W$4407)</f>
        <v>0</v>
      </c>
      <c r="H3" s="76">
        <f ca="1">SUMIF('Production '!$C$4:$AI$4407,'Tracking Sheet'!B3,'Production '!$F$4:$F$4407)</f>
        <v>2000</v>
      </c>
      <c r="I3" s="76">
        <f ca="1">SUMIF('Production '!$C$4:$AI$4407,'Tracking Sheet'!B3,'Production '!$V$4:$V$4407)</f>
        <v>0</v>
      </c>
      <c r="J3" s="76">
        <f ca="1">SUMIF('Production '!$C$4:$AI$4407,'Tracking Sheet'!B3,'Production '!$AG$4:$AG$4407)</f>
        <v>-2000</v>
      </c>
    </row>
    <row r="4" spans="2:10" x14ac:dyDescent="0.3">
      <c r="B4" s="277">
        <f>'Production '!C7</f>
        <v>48553</v>
      </c>
      <c r="C4" s="76">
        <f ca="1">SUMIF('Production '!$C$4:$AI$4407,'Tracking Sheet'!B4,'Production '!$M$4:$M$4407)</f>
        <v>0</v>
      </c>
      <c r="D4" s="76">
        <f ca="1">SUMIF('Production '!$C$4:$AI$4407,'Tracking Sheet'!B4,'Production '!$Q$4:$Q$4407)</f>
        <v>0</v>
      </c>
      <c r="E4" s="76">
        <f ca="1">SUMIF('Production '!$C$4:$AI$4407,'Tracking Sheet'!B4,'Production '!$S$4:$S$4407)</f>
        <v>0</v>
      </c>
      <c r="F4" s="76">
        <f ca="1">SUMIF('Production '!$C$4:$AI$4407,'Tracking Sheet'!B4,'Production '!$U$4:$U$4407)</f>
        <v>0</v>
      </c>
      <c r="G4" s="76">
        <f ca="1">SUMIF('Production '!$C$4:$AI$4407,'Tracking Sheet'!B4,'Production '!$W$4:$W$4407)</f>
        <v>0</v>
      </c>
      <c r="H4" s="76">
        <f ca="1">SUMIF('Production '!$C$4:$AI$4407,'Tracking Sheet'!B4,'Production '!$F$4:$F$4407)</f>
        <v>2000</v>
      </c>
      <c r="I4" s="76">
        <f ca="1">SUMIF('Production '!$C$4:$AI$4407,'Tracking Sheet'!B4,'Production '!$V$4:$V$4407)</f>
        <v>0</v>
      </c>
      <c r="J4" s="76">
        <f ca="1">SUMIF('Production '!$C$4:$AI$4407,'Tracking Sheet'!B4,'Production '!$AG$4:$AG$4407)</f>
        <v>-2000</v>
      </c>
    </row>
    <row r="5" spans="2:10" x14ac:dyDescent="0.3">
      <c r="B5" s="277">
        <f>'Production '!C8</f>
        <v>0</v>
      </c>
      <c r="C5" s="76" t="e">
        <f ca="1">SUMIF('Production '!$C$4:$AI$4407,'Tracking Sheet'!B5,'Production '!$M$4:$M$4407)</f>
        <v>#DIV/0!</v>
      </c>
      <c r="D5" s="76" t="e">
        <f ca="1">SUMIF('Production '!$C$4:$AI$4407,'Tracking Sheet'!B5,'Production '!$Q$4:$Q$4407)</f>
        <v>#DIV/0!</v>
      </c>
      <c r="E5" s="76">
        <f ca="1">SUMIF('Production '!$C$4:$AI$4407,'Tracking Sheet'!B5,'Production '!$S$4:$S$4407)</f>
        <v>-1268218.9828305368</v>
      </c>
      <c r="F5" s="76">
        <f ca="1">SUMIF('Production '!$C$4:$AI$4407,'Tracking Sheet'!B5,'Production '!$U$4:$U$4407)</f>
        <v>-10620.435600016917</v>
      </c>
      <c r="G5" s="76" t="e">
        <f ca="1">SUMIF('Production '!$C$4:$AI$4407,'Tracking Sheet'!B5,'Production '!$W$4:$W$4407)</f>
        <v>#DIV/0!</v>
      </c>
      <c r="H5" s="76">
        <f ca="1">SUMIF('Production '!$C$4:$AI$4407,'Tracking Sheet'!B5,'Production '!$F$4:$F$4407)</f>
        <v>3230621.3283604058</v>
      </c>
      <c r="I5" s="76">
        <f ca="1">SUMIF('Production '!$C$4:$AI$4407,'Tracking Sheet'!B5,'Production '!$V$4:$V$4407)</f>
        <v>-489.86487791182844</v>
      </c>
      <c r="J5" s="76">
        <f ca="1">SUMIF('Production '!$C$4:$AI$4407,'Tracking Sheet'!B5,'Production '!$AG$4:$AG$4407)</f>
        <v>0</v>
      </c>
    </row>
    <row r="6" spans="2:10" x14ac:dyDescent="0.3">
      <c r="B6" s="277" t="str">
        <f>'Production '!C9</f>
        <v>48551 1st</v>
      </c>
      <c r="C6" s="76">
        <f ca="1">SUMIF('Production '!$C$4:$AI$4407,'Tracking Sheet'!B6,'Production '!$M$4:$M$4407)</f>
        <v>0</v>
      </c>
      <c r="D6" s="76">
        <f ca="1">SUMIF('Production '!$C$4:$AI$4407,'Tracking Sheet'!B6,'Production '!$Q$4:$Q$4407)</f>
        <v>0</v>
      </c>
      <c r="E6" s="76">
        <f ca="1">SUMIF('Production '!$C$4:$AI$4407,'Tracking Sheet'!B6,'Production '!$S$4:$S$4407)</f>
        <v>0</v>
      </c>
      <c r="F6" s="76">
        <f ca="1">SUMIF('Production '!$C$4:$AI$4407,'Tracking Sheet'!B6,'Production '!$U$4:$U$4407)</f>
        <v>0</v>
      </c>
      <c r="G6" s="76">
        <f ca="1">SUMIF('Production '!$C$4:$AI$4407,'Tracking Sheet'!B6,'Production '!$W$4:$W$4407)</f>
        <v>0</v>
      </c>
      <c r="H6" s="76">
        <f ca="1">SUMIF('Production '!$C$4:$AI$4407,'Tracking Sheet'!B6,'Production '!$F$4:$F$4407)</f>
        <v>5350</v>
      </c>
      <c r="I6" s="76">
        <f ca="1">SUMIF('Production '!$C$4:$AI$4407,'Tracking Sheet'!B6,'Production '!$V$4:$V$4407)</f>
        <v>0</v>
      </c>
      <c r="J6" s="76">
        <f ca="1">SUMIF('Production '!$C$4:$AI$4407,'Tracking Sheet'!B6,'Production '!$AG$4:$AG$4407)</f>
        <v>-5350</v>
      </c>
    </row>
    <row r="7" spans="2:10" x14ac:dyDescent="0.3">
      <c r="B7" s="277">
        <f>'Production '!C10</f>
        <v>0</v>
      </c>
      <c r="C7" s="76" t="e">
        <f ca="1">SUMIF('Production '!$C$4:$AI$4407,'Tracking Sheet'!B7,'Production '!$M$4:$M$4407)</f>
        <v>#DIV/0!</v>
      </c>
      <c r="D7" s="76" t="e">
        <f ca="1">SUMIF('Production '!$C$4:$AI$4407,'Tracking Sheet'!B7,'Production '!$Q$4:$Q$4407)</f>
        <v>#DIV/0!</v>
      </c>
      <c r="E7" s="76">
        <f ca="1">SUMIF('Production '!$C$4:$AI$4407,'Tracking Sheet'!B7,'Production '!$S$4:$S$4407)</f>
        <v>-1268218.9828305368</v>
      </c>
      <c r="F7" s="76">
        <f ca="1">SUMIF('Production '!$C$4:$AI$4407,'Tracking Sheet'!B7,'Production '!$U$4:$U$4407)</f>
        <v>-10620.435600016917</v>
      </c>
      <c r="G7" s="76" t="e">
        <f ca="1">SUMIF('Production '!$C$4:$AI$4407,'Tracking Sheet'!B7,'Production '!$W$4:$W$4407)</f>
        <v>#DIV/0!</v>
      </c>
      <c r="H7" s="76">
        <f ca="1">SUMIF('Production '!$C$4:$AI$4407,'Tracking Sheet'!B7,'Production '!$F$4:$F$4407)</f>
        <v>3230621.3283604058</v>
      </c>
      <c r="I7" s="76">
        <f ca="1">SUMIF('Production '!$C$4:$AI$4407,'Tracking Sheet'!B7,'Production '!$V$4:$V$4407)</f>
        <v>-489.86487791182844</v>
      </c>
      <c r="J7" s="76">
        <f ca="1">SUMIF('Production '!$C$4:$AI$4407,'Tracking Sheet'!B7,'Production '!$AG$4:$AG$4407)</f>
        <v>0</v>
      </c>
    </row>
    <row r="8" spans="2:10" x14ac:dyDescent="0.3">
      <c r="B8" s="277">
        <f>'Production '!C11</f>
        <v>0</v>
      </c>
      <c r="C8" s="76" t="e">
        <f ca="1">SUMIF('Production '!$C$4:$AI$4407,'Tracking Sheet'!B8,'Production '!$M$4:$M$4407)</f>
        <v>#DIV/0!</v>
      </c>
      <c r="D8" s="76" t="e">
        <f ca="1">SUMIF('Production '!$C$4:$AI$4407,'Tracking Sheet'!B8,'Production '!$Q$4:$Q$4407)</f>
        <v>#DIV/0!</v>
      </c>
      <c r="E8" s="76">
        <f ca="1">SUMIF('Production '!$C$4:$AI$4407,'Tracking Sheet'!B8,'Production '!$S$4:$S$4407)</f>
        <v>-1268218.9828305368</v>
      </c>
      <c r="F8" s="76">
        <f ca="1">SUMIF('Production '!$C$4:$AI$4407,'Tracking Sheet'!B8,'Production '!$U$4:$U$4407)</f>
        <v>-10620.435600016917</v>
      </c>
      <c r="G8" s="76" t="e">
        <f ca="1">SUMIF('Production '!$C$4:$AI$4407,'Tracking Sheet'!B8,'Production '!$W$4:$W$4407)</f>
        <v>#DIV/0!</v>
      </c>
      <c r="H8" s="76">
        <f ca="1">SUMIF('Production '!$C$4:$AI$4407,'Tracking Sheet'!B8,'Production '!$F$4:$F$4407)</f>
        <v>3230621.3283604058</v>
      </c>
      <c r="I8" s="76">
        <f ca="1">SUMIF('Production '!$C$4:$AI$4407,'Tracking Sheet'!B8,'Production '!$V$4:$V$4407)</f>
        <v>-489.86487791182844</v>
      </c>
      <c r="J8" s="76">
        <f ca="1">SUMIF('Production '!$C$4:$AI$4407,'Tracking Sheet'!B8,'Production '!$AG$4:$AG$4407)</f>
        <v>0</v>
      </c>
    </row>
    <row r="9" spans="2:10" x14ac:dyDescent="0.3">
      <c r="B9" s="277">
        <f>'Production '!C12</f>
        <v>46594</v>
      </c>
      <c r="C9" s="76">
        <f ca="1">SUMIF('Production '!$C$4:$AI$4407,'Tracking Sheet'!B9,'Production '!$M$4:$M$4407)</f>
        <v>9435</v>
      </c>
      <c r="D9" s="76">
        <f ca="1">SUMIF('Production '!$C$4:$AI$4407,'Tracking Sheet'!B9,'Production '!$Q$4:$Q$4407)</f>
        <v>0</v>
      </c>
      <c r="E9" s="76">
        <f ca="1">SUMIF('Production '!$C$4:$AI$4407,'Tracking Sheet'!B9,'Production '!$S$4:$S$4407)</f>
        <v>0</v>
      </c>
      <c r="F9" s="76">
        <f ca="1">SUMIF('Production '!$C$4:$AI$4407,'Tracking Sheet'!B9,'Production '!$U$4:$U$4407)</f>
        <v>67</v>
      </c>
      <c r="G9" s="76">
        <f ca="1">SUMIF('Production '!$C$4:$AI$4407,'Tracking Sheet'!B9,'Production '!$W$4:$W$4407)</f>
        <v>9368</v>
      </c>
      <c r="H9" s="76">
        <f ca="1">SUMIF('Production '!$C$4:$AI$4407,'Tracking Sheet'!B9,'Production '!$F$4:$F$4407)</f>
        <v>9122</v>
      </c>
      <c r="I9" s="76">
        <f ca="1">SUMIF('Production '!$C$4:$AI$4407,'Tracking Sheet'!B9,'Production '!$V$4:$V$4407)</f>
        <v>0</v>
      </c>
      <c r="J9" s="76">
        <f ca="1">SUMIF('Production '!$C$4:$AI$4407,'Tracking Sheet'!B9,'Production '!$AG$4:$AG$4407)</f>
        <v>0</v>
      </c>
    </row>
    <row r="10" spans="2:10" x14ac:dyDescent="0.3">
      <c r="B10" s="277">
        <f>'Production '!C13</f>
        <v>46594</v>
      </c>
      <c r="C10" s="76">
        <f ca="1">SUMIF('Production '!$C$4:$AI$4407,'Tracking Sheet'!B10,'Production '!$M$4:$M$4407)</f>
        <v>9435</v>
      </c>
      <c r="D10" s="76">
        <f ca="1">SUMIF('Production '!$C$4:$AI$4407,'Tracking Sheet'!B10,'Production '!$Q$4:$Q$4407)</f>
        <v>0</v>
      </c>
      <c r="E10" s="76">
        <f ca="1">SUMIF('Production '!$C$4:$AI$4407,'Tracking Sheet'!B10,'Production '!$S$4:$S$4407)</f>
        <v>0</v>
      </c>
      <c r="F10" s="76">
        <f ca="1">SUMIF('Production '!$C$4:$AI$4407,'Tracking Sheet'!B10,'Production '!$U$4:$U$4407)</f>
        <v>67</v>
      </c>
      <c r="G10" s="76">
        <f ca="1">SUMIF('Production '!$C$4:$AI$4407,'Tracking Sheet'!B10,'Production '!$W$4:$W$4407)</f>
        <v>9368</v>
      </c>
      <c r="H10" s="76">
        <f ca="1">SUMIF('Production '!$C$4:$AI$4407,'Tracking Sheet'!B10,'Production '!$F$4:$F$4407)</f>
        <v>9122</v>
      </c>
      <c r="I10" s="76">
        <f ca="1">SUMIF('Production '!$C$4:$AI$4407,'Tracking Sheet'!B10,'Production '!$V$4:$V$4407)</f>
        <v>0</v>
      </c>
      <c r="J10" s="76">
        <f ca="1">SUMIF('Production '!$C$4:$AI$4407,'Tracking Sheet'!B10,'Production '!$AG$4:$AG$4407)</f>
        <v>0</v>
      </c>
    </row>
    <row r="11" spans="2:10" x14ac:dyDescent="0.3">
      <c r="B11" s="277">
        <f>'Production '!C14</f>
        <v>46594</v>
      </c>
      <c r="C11" s="76">
        <f ca="1">SUMIF('Production '!$C$4:$AI$4407,'Tracking Sheet'!B11,'Production '!$M$4:$M$4407)</f>
        <v>9435</v>
      </c>
      <c r="D11" s="76">
        <f ca="1">SUMIF('Production '!$C$4:$AI$4407,'Tracking Sheet'!B11,'Production '!$Q$4:$Q$4407)</f>
        <v>0</v>
      </c>
      <c r="E11" s="76">
        <f ca="1">SUMIF('Production '!$C$4:$AI$4407,'Tracking Sheet'!B11,'Production '!$S$4:$S$4407)</f>
        <v>0</v>
      </c>
      <c r="F11" s="76">
        <f ca="1">SUMIF('Production '!$C$4:$AI$4407,'Tracking Sheet'!B11,'Production '!$U$4:$U$4407)</f>
        <v>67</v>
      </c>
      <c r="G11" s="76">
        <f ca="1">SUMIF('Production '!$C$4:$AI$4407,'Tracking Sheet'!B11,'Production '!$W$4:$W$4407)</f>
        <v>9368</v>
      </c>
      <c r="H11" s="76">
        <f ca="1">SUMIF('Production '!$C$4:$AI$4407,'Tracking Sheet'!B11,'Production '!$F$4:$F$4407)</f>
        <v>9122</v>
      </c>
      <c r="I11" s="76">
        <f ca="1">SUMIF('Production '!$C$4:$AI$4407,'Tracking Sheet'!B11,'Production '!$V$4:$V$4407)</f>
        <v>0</v>
      </c>
      <c r="J11" s="76">
        <f ca="1">SUMIF('Production '!$C$4:$AI$4407,'Tracking Sheet'!B11,'Production '!$AG$4:$AG$4407)</f>
        <v>0</v>
      </c>
    </row>
    <row r="12" spans="2:10" x14ac:dyDescent="0.3">
      <c r="B12" s="277">
        <f>'Production '!C15</f>
        <v>46594</v>
      </c>
      <c r="C12" s="76">
        <f ca="1">SUMIF('Production '!$C$4:$AI$4407,'Tracking Sheet'!B12,'Production '!$M$4:$M$4407)</f>
        <v>9435</v>
      </c>
      <c r="D12" s="76">
        <f ca="1">SUMIF('Production '!$C$4:$AI$4407,'Tracking Sheet'!B12,'Production '!$Q$4:$Q$4407)</f>
        <v>0</v>
      </c>
      <c r="E12" s="76">
        <f ca="1">SUMIF('Production '!$C$4:$AI$4407,'Tracking Sheet'!B12,'Production '!$S$4:$S$4407)</f>
        <v>0</v>
      </c>
      <c r="F12" s="76">
        <f ca="1">SUMIF('Production '!$C$4:$AI$4407,'Tracking Sheet'!B12,'Production '!$U$4:$U$4407)</f>
        <v>67</v>
      </c>
      <c r="G12" s="76">
        <f ca="1">SUMIF('Production '!$C$4:$AI$4407,'Tracking Sheet'!B12,'Production '!$W$4:$W$4407)</f>
        <v>9368</v>
      </c>
      <c r="H12" s="76">
        <f ca="1">SUMIF('Production '!$C$4:$AI$4407,'Tracking Sheet'!B12,'Production '!$F$4:$F$4407)</f>
        <v>9122</v>
      </c>
      <c r="I12" s="76">
        <f ca="1">SUMIF('Production '!$C$4:$AI$4407,'Tracking Sheet'!B12,'Production '!$V$4:$V$4407)</f>
        <v>0</v>
      </c>
      <c r="J12" s="76">
        <f ca="1">SUMIF('Production '!$C$4:$AI$4407,'Tracking Sheet'!B12,'Production '!$AG$4:$AG$4407)</f>
        <v>0</v>
      </c>
    </row>
    <row r="13" spans="2:10" x14ac:dyDescent="0.3">
      <c r="B13" s="277">
        <f>'Production '!C16</f>
        <v>0</v>
      </c>
      <c r="C13" s="76" t="e">
        <f ca="1">SUMIF('Production '!$C$4:$AI$4407,'Tracking Sheet'!B13,'Production '!$M$4:$M$4407)</f>
        <v>#DIV/0!</v>
      </c>
      <c r="D13" s="76" t="e">
        <f ca="1">SUMIF('Production '!$C$4:$AI$4407,'Tracking Sheet'!B13,'Production '!$Q$4:$Q$4407)</f>
        <v>#DIV/0!</v>
      </c>
      <c r="E13" s="76">
        <f ca="1">SUMIF('Production '!$C$4:$AI$4407,'Tracking Sheet'!B13,'Production '!$S$4:$S$4407)</f>
        <v>-1268218.9828305368</v>
      </c>
      <c r="F13" s="76">
        <f ca="1">SUMIF('Production '!$C$4:$AI$4407,'Tracking Sheet'!B13,'Production '!$U$4:$U$4407)</f>
        <v>-10620.435600016917</v>
      </c>
      <c r="G13" s="76" t="e">
        <f ca="1">SUMIF('Production '!$C$4:$AI$4407,'Tracking Sheet'!B13,'Production '!$W$4:$W$4407)</f>
        <v>#DIV/0!</v>
      </c>
      <c r="H13" s="76">
        <f ca="1">SUMIF('Production '!$C$4:$AI$4407,'Tracking Sheet'!B13,'Production '!$F$4:$F$4407)</f>
        <v>3230621.3283604058</v>
      </c>
      <c r="I13" s="76">
        <f ca="1">SUMIF('Production '!$C$4:$AI$4407,'Tracking Sheet'!B13,'Production '!$V$4:$V$4407)</f>
        <v>-489.86487791182844</v>
      </c>
      <c r="J13" s="76">
        <f ca="1">SUMIF('Production '!$C$4:$AI$4407,'Tracking Sheet'!B13,'Production '!$AG$4:$AG$4407)</f>
        <v>0</v>
      </c>
    </row>
    <row r="14" spans="2:10" x14ac:dyDescent="0.3">
      <c r="B14" s="277">
        <f>'Production '!C17</f>
        <v>0</v>
      </c>
      <c r="C14" s="76" t="e">
        <f ca="1">SUMIF('Production '!$C$4:$AI$4407,'Tracking Sheet'!B14,'Production '!$M$4:$M$4407)</f>
        <v>#DIV/0!</v>
      </c>
      <c r="D14" s="76" t="e">
        <f ca="1">SUMIF('Production '!$C$4:$AI$4407,'Tracking Sheet'!B14,'Production '!$Q$4:$Q$4407)</f>
        <v>#DIV/0!</v>
      </c>
      <c r="E14" s="76">
        <f ca="1">SUMIF('Production '!$C$4:$AI$4407,'Tracking Sheet'!B14,'Production '!$S$4:$S$4407)</f>
        <v>-1268218.9828305368</v>
      </c>
      <c r="F14" s="76">
        <f ca="1">SUMIF('Production '!$C$4:$AI$4407,'Tracking Sheet'!B14,'Production '!$U$4:$U$4407)</f>
        <v>-10620.435600016917</v>
      </c>
      <c r="G14" s="76" t="e">
        <f ca="1">SUMIF('Production '!$C$4:$AI$4407,'Tracking Sheet'!B14,'Production '!$W$4:$W$4407)</f>
        <v>#DIV/0!</v>
      </c>
      <c r="H14" s="76">
        <f ca="1">SUMIF('Production '!$C$4:$AI$4407,'Tracking Sheet'!B14,'Production '!$F$4:$F$4407)</f>
        <v>3230621.3283604058</v>
      </c>
      <c r="I14" s="76">
        <f ca="1">SUMIF('Production '!$C$4:$AI$4407,'Tracking Sheet'!B14,'Production '!$V$4:$V$4407)</f>
        <v>-489.86487791182844</v>
      </c>
      <c r="J14" s="76">
        <f ca="1">SUMIF('Production '!$C$4:$AI$4407,'Tracking Sheet'!B14,'Production '!$AG$4:$AG$4407)</f>
        <v>0</v>
      </c>
    </row>
    <row r="15" spans="2:10" x14ac:dyDescent="0.3">
      <c r="B15" s="277">
        <f>'Production '!C18</f>
        <v>47437</v>
      </c>
      <c r="C15" s="76">
        <f ca="1">SUMIF('Production '!$C$4:$AI$4407,'Tracking Sheet'!B15,'Production '!$M$4:$M$4407)</f>
        <v>15519</v>
      </c>
      <c r="D15" s="76">
        <f ca="1">SUMIF('Production '!$C$4:$AI$4407,'Tracking Sheet'!B15,'Production '!$Q$4:$Q$4407)</f>
        <v>15519</v>
      </c>
      <c r="E15" s="76">
        <f ca="1">SUMIF('Production '!$C$4:$AI$4407,'Tracking Sheet'!B15,'Production '!$S$4:$S$4407)</f>
        <v>15519</v>
      </c>
      <c r="F15" s="76">
        <f ca="1">SUMIF('Production '!$C$4:$AI$4407,'Tracking Sheet'!B15,'Production '!$U$4:$U$4407)</f>
        <v>75</v>
      </c>
      <c r="G15" s="76">
        <f ca="1">SUMIF('Production '!$C$4:$AI$4407,'Tracking Sheet'!B15,'Production '!$W$4:$W$4407)</f>
        <v>15444</v>
      </c>
      <c r="H15" s="76">
        <f ca="1">SUMIF('Production '!$C$4:$AI$4407,'Tracking Sheet'!B15,'Production '!$F$4:$F$4407)</f>
        <v>15144</v>
      </c>
      <c r="I15" s="76">
        <f ca="1">SUMIF('Production '!$C$4:$AI$4407,'Tracking Sheet'!B15,'Production '!$V$4:$V$4407)</f>
        <v>0</v>
      </c>
      <c r="J15" s="76">
        <f ca="1">SUMIF('Production '!$C$4:$AI$4407,'Tracking Sheet'!B15,'Production '!$AG$4:$AG$4407)</f>
        <v>0</v>
      </c>
    </row>
    <row r="16" spans="2:10" x14ac:dyDescent="0.3">
      <c r="B16" s="277">
        <f>'Production '!C19</f>
        <v>0</v>
      </c>
      <c r="C16" s="76" t="e">
        <f ca="1">SUMIF('Production '!$C$4:$AI$4407,'Tracking Sheet'!B16,'Production '!$M$4:$M$4407)</f>
        <v>#DIV/0!</v>
      </c>
      <c r="D16" s="76" t="e">
        <f ca="1">SUMIF('Production '!$C$4:$AI$4407,'Tracking Sheet'!B16,'Production '!$Q$4:$Q$4407)</f>
        <v>#DIV/0!</v>
      </c>
      <c r="E16" s="76">
        <f ca="1">SUMIF('Production '!$C$4:$AI$4407,'Tracking Sheet'!B16,'Production '!$S$4:$S$4407)</f>
        <v>-1268218.9828305368</v>
      </c>
      <c r="F16" s="76">
        <f ca="1">SUMIF('Production '!$C$4:$AI$4407,'Tracking Sheet'!B16,'Production '!$U$4:$U$4407)</f>
        <v>-10620.435600016917</v>
      </c>
      <c r="G16" s="76" t="e">
        <f ca="1">SUMIF('Production '!$C$4:$AI$4407,'Tracking Sheet'!B16,'Production '!$W$4:$W$4407)</f>
        <v>#DIV/0!</v>
      </c>
      <c r="H16" s="76">
        <f ca="1">SUMIF('Production '!$C$4:$AI$4407,'Tracking Sheet'!B16,'Production '!$F$4:$F$4407)</f>
        <v>3230621.3283604058</v>
      </c>
      <c r="I16" s="76">
        <f ca="1">SUMIF('Production '!$C$4:$AI$4407,'Tracking Sheet'!B16,'Production '!$V$4:$V$4407)</f>
        <v>-489.86487791182844</v>
      </c>
      <c r="J16" s="76">
        <f ca="1">SUMIF('Production '!$C$4:$AI$4407,'Tracking Sheet'!B16,'Production '!$AG$4:$AG$4407)</f>
        <v>0</v>
      </c>
    </row>
    <row r="17" spans="2:10" x14ac:dyDescent="0.3">
      <c r="B17" s="277">
        <f>'Production '!C20</f>
        <v>0</v>
      </c>
      <c r="C17" s="76" t="e">
        <f ca="1">SUMIF('Production '!$C$4:$AI$4407,'Tracking Sheet'!B17,'Production '!$M$4:$M$4407)</f>
        <v>#DIV/0!</v>
      </c>
      <c r="D17" s="76" t="e">
        <f ca="1">SUMIF('Production '!$C$4:$AI$4407,'Tracking Sheet'!B17,'Production '!$Q$4:$Q$4407)</f>
        <v>#DIV/0!</v>
      </c>
      <c r="E17" s="76">
        <f ca="1">SUMIF('Production '!$C$4:$AI$4407,'Tracking Sheet'!B17,'Production '!$S$4:$S$4407)</f>
        <v>-1268218.9828305368</v>
      </c>
      <c r="F17" s="76">
        <f ca="1">SUMIF('Production '!$C$4:$AI$4407,'Tracking Sheet'!B17,'Production '!$U$4:$U$4407)</f>
        <v>-10620.435600016917</v>
      </c>
      <c r="G17" s="76" t="e">
        <f ca="1">SUMIF('Production '!$C$4:$AI$4407,'Tracking Sheet'!B17,'Production '!$W$4:$W$4407)</f>
        <v>#DIV/0!</v>
      </c>
      <c r="H17" s="76">
        <f ca="1">SUMIF('Production '!$C$4:$AI$4407,'Tracking Sheet'!B17,'Production '!$F$4:$F$4407)</f>
        <v>3230621.3283604058</v>
      </c>
      <c r="I17" s="76">
        <f ca="1">SUMIF('Production '!$C$4:$AI$4407,'Tracking Sheet'!B17,'Production '!$V$4:$V$4407)</f>
        <v>-489.86487791182844</v>
      </c>
      <c r="J17" s="76">
        <f ca="1">SUMIF('Production '!$C$4:$AI$4407,'Tracking Sheet'!B17,'Production '!$AG$4:$AG$4407)</f>
        <v>0</v>
      </c>
    </row>
    <row r="18" spans="2:10" x14ac:dyDescent="0.3">
      <c r="B18" s="277" t="str">
        <f>'Production '!C21</f>
        <v>48245 2nd</v>
      </c>
      <c r="C18" s="76">
        <f ca="1">SUMIF('Production '!$C$4:$AI$4407,'Tracking Sheet'!B18,'Production '!$M$4:$M$4407)</f>
        <v>12374</v>
      </c>
      <c r="D18" s="76">
        <f ca="1">SUMIF('Production '!$C$4:$AI$4407,'Tracking Sheet'!B18,'Production '!$Q$4:$Q$4407)</f>
        <v>0</v>
      </c>
      <c r="E18" s="76">
        <f ca="1">SUMIF('Production '!$C$4:$AI$4407,'Tracking Sheet'!B18,'Production '!$S$4:$S$4407)</f>
        <v>0</v>
      </c>
      <c r="F18" s="76">
        <f ca="1">SUMIF('Production '!$C$4:$AI$4407,'Tracking Sheet'!B18,'Production '!$U$4:$U$4407)</f>
        <v>275</v>
      </c>
      <c r="G18" s="76">
        <f ca="1">SUMIF('Production '!$C$4:$AI$4407,'Tracking Sheet'!B18,'Production '!$W$4:$W$4407)</f>
        <v>12099</v>
      </c>
      <c r="H18" s="76">
        <f ca="1">SUMIF('Production '!$C$4:$AI$4407,'Tracking Sheet'!B18,'Production '!$F$4:$F$4407)</f>
        <v>12374</v>
      </c>
      <c r="I18" s="76">
        <f ca="1">SUMIF('Production '!$C$4:$AI$4407,'Tracking Sheet'!B18,'Production '!$V$4:$V$4407)</f>
        <v>0</v>
      </c>
      <c r="J18" s="76">
        <f ca="1">SUMIF('Production '!$C$4:$AI$4407,'Tracking Sheet'!B18,'Production '!$AG$4:$AG$4407)</f>
        <v>0</v>
      </c>
    </row>
    <row r="19" spans="2:10" x14ac:dyDescent="0.3">
      <c r="B19" s="277" t="str">
        <f>'Production '!C22</f>
        <v>48245 2nd</v>
      </c>
      <c r="C19" s="76">
        <f ca="1">SUMIF('Production '!$C$4:$AI$4407,'Tracking Sheet'!B19,'Production '!$M$4:$M$4407)</f>
        <v>12374</v>
      </c>
      <c r="D19" s="76">
        <f ca="1">SUMIF('Production '!$C$4:$AI$4407,'Tracking Sheet'!B19,'Production '!$Q$4:$Q$4407)</f>
        <v>0</v>
      </c>
      <c r="E19" s="76">
        <f ca="1">SUMIF('Production '!$C$4:$AI$4407,'Tracking Sheet'!B19,'Production '!$S$4:$S$4407)</f>
        <v>0</v>
      </c>
      <c r="F19" s="76">
        <f ca="1">SUMIF('Production '!$C$4:$AI$4407,'Tracking Sheet'!B19,'Production '!$U$4:$U$4407)</f>
        <v>275</v>
      </c>
      <c r="G19" s="76">
        <f ca="1">SUMIF('Production '!$C$4:$AI$4407,'Tracking Sheet'!B19,'Production '!$W$4:$W$4407)</f>
        <v>12099</v>
      </c>
      <c r="H19" s="76">
        <f ca="1">SUMIF('Production '!$C$4:$AI$4407,'Tracking Sheet'!B19,'Production '!$F$4:$F$4407)</f>
        <v>12374</v>
      </c>
      <c r="I19" s="76">
        <f ca="1">SUMIF('Production '!$C$4:$AI$4407,'Tracking Sheet'!B19,'Production '!$V$4:$V$4407)</f>
        <v>0</v>
      </c>
      <c r="J19" s="76">
        <f ca="1">SUMIF('Production '!$C$4:$AI$4407,'Tracking Sheet'!B19,'Production '!$AG$4:$AG$4407)</f>
        <v>0</v>
      </c>
    </row>
    <row r="20" spans="2:10" x14ac:dyDescent="0.3">
      <c r="B20" s="277">
        <f>'Production '!C23</f>
        <v>0</v>
      </c>
      <c r="C20" s="76" t="e">
        <f ca="1">SUMIF('Production '!$C$4:$AI$4407,'Tracking Sheet'!B20,'Production '!$M$4:$M$4407)</f>
        <v>#DIV/0!</v>
      </c>
      <c r="D20" s="76" t="e">
        <f ca="1">SUMIF('Production '!$C$4:$AI$4407,'Tracking Sheet'!B20,'Production '!$Q$4:$Q$4407)</f>
        <v>#DIV/0!</v>
      </c>
      <c r="E20" s="76">
        <f ca="1">SUMIF('Production '!$C$4:$AI$4407,'Tracking Sheet'!B20,'Production '!$S$4:$S$4407)</f>
        <v>-1268218.9828305368</v>
      </c>
      <c r="F20" s="76">
        <f ca="1">SUMIF('Production '!$C$4:$AI$4407,'Tracking Sheet'!B20,'Production '!$U$4:$U$4407)</f>
        <v>-10620.435600016917</v>
      </c>
      <c r="G20" s="76" t="e">
        <f ca="1">SUMIF('Production '!$C$4:$AI$4407,'Tracking Sheet'!B20,'Production '!$W$4:$W$4407)</f>
        <v>#DIV/0!</v>
      </c>
      <c r="H20" s="76">
        <f ca="1">SUMIF('Production '!$C$4:$AI$4407,'Tracking Sheet'!B20,'Production '!$F$4:$F$4407)</f>
        <v>3230621.3283604058</v>
      </c>
      <c r="I20" s="76">
        <f ca="1">SUMIF('Production '!$C$4:$AI$4407,'Tracking Sheet'!B20,'Production '!$V$4:$V$4407)</f>
        <v>-489.86487791182844</v>
      </c>
      <c r="J20" s="76">
        <f ca="1">SUMIF('Production '!$C$4:$AI$4407,'Tracking Sheet'!B20,'Production '!$AG$4:$AG$4407)</f>
        <v>0</v>
      </c>
    </row>
    <row r="21" spans="2:10" x14ac:dyDescent="0.3">
      <c r="B21" s="277" t="str">
        <f>'Production '!C24</f>
        <v>Left Over</v>
      </c>
      <c r="C21" s="76">
        <f ca="1">SUMIF('Production '!$C$4:$AI$4407,'Tracking Sheet'!B21,'Production '!$M$4:$M$4407)</f>
        <v>408</v>
      </c>
      <c r="D21" s="76">
        <f ca="1">SUMIF('Production '!$C$4:$AI$4407,'Tracking Sheet'!B21,'Production '!$Q$4:$Q$4407)</f>
        <v>0</v>
      </c>
      <c r="E21" s="76">
        <f ca="1">SUMIF('Production '!$C$4:$AI$4407,'Tracking Sheet'!B21,'Production '!$S$4:$S$4407)</f>
        <v>0</v>
      </c>
      <c r="F21" s="76">
        <f ca="1">SUMIF('Production '!$C$4:$AI$4407,'Tracking Sheet'!B21,'Production '!$U$4:$U$4407)</f>
        <v>25</v>
      </c>
      <c r="G21" s="76">
        <f ca="1">SUMIF('Production '!$C$4:$AI$4407,'Tracking Sheet'!B21,'Production '!$W$4:$W$4407)</f>
        <v>383</v>
      </c>
      <c r="H21" s="76">
        <f ca="1">SUMIF('Production '!$C$4:$AI$4407,'Tracking Sheet'!B21,'Production '!$F$4:$F$4407)</f>
        <v>408</v>
      </c>
      <c r="I21" s="76">
        <f ca="1">SUMIF('Production '!$C$4:$AI$4407,'Tracking Sheet'!B21,'Production '!$V$4:$V$4407)</f>
        <v>0</v>
      </c>
      <c r="J21" s="76">
        <f ca="1">SUMIF('Production '!$C$4:$AI$4407,'Tracking Sheet'!B21,'Production '!$AG$4:$AG$4407)</f>
        <v>0</v>
      </c>
    </row>
    <row r="22" spans="2:10" x14ac:dyDescent="0.3">
      <c r="B22" s="277">
        <f>'Production '!C25</f>
        <v>0</v>
      </c>
      <c r="C22" s="76" t="e">
        <f ca="1">SUMIF('Production '!$C$4:$AI$4407,'Tracking Sheet'!B22,'Production '!$M$4:$M$4407)</f>
        <v>#DIV/0!</v>
      </c>
      <c r="D22" s="76" t="e">
        <f ca="1">SUMIF('Production '!$C$4:$AI$4407,'Tracking Sheet'!B22,'Production '!$Q$4:$Q$4407)</f>
        <v>#DIV/0!</v>
      </c>
      <c r="E22" s="76">
        <f ca="1">SUMIF('Production '!$C$4:$AI$4407,'Tracking Sheet'!B22,'Production '!$S$4:$S$4407)</f>
        <v>-1268218.9828305368</v>
      </c>
      <c r="F22" s="76">
        <f ca="1">SUMIF('Production '!$C$4:$AI$4407,'Tracking Sheet'!B22,'Production '!$U$4:$U$4407)</f>
        <v>-10620.435600016917</v>
      </c>
      <c r="G22" s="76" t="e">
        <f ca="1">SUMIF('Production '!$C$4:$AI$4407,'Tracking Sheet'!B22,'Production '!$W$4:$W$4407)</f>
        <v>#DIV/0!</v>
      </c>
      <c r="H22" s="76">
        <f ca="1">SUMIF('Production '!$C$4:$AI$4407,'Tracking Sheet'!B22,'Production '!$F$4:$F$4407)</f>
        <v>3230621.3283604058</v>
      </c>
      <c r="I22" s="76">
        <f ca="1">SUMIF('Production '!$C$4:$AI$4407,'Tracking Sheet'!B22,'Production '!$V$4:$V$4407)</f>
        <v>-489.86487791182844</v>
      </c>
      <c r="J22" s="76">
        <f ca="1">SUMIF('Production '!$C$4:$AI$4407,'Tracking Sheet'!B22,'Production '!$AG$4:$AG$4407)</f>
        <v>0</v>
      </c>
    </row>
    <row r="23" spans="2:10" x14ac:dyDescent="0.3">
      <c r="B23" s="277" t="str">
        <f>'Production '!C26</f>
        <v>43319 21th</v>
      </c>
      <c r="C23" s="76">
        <f ca="1">SUMIF('Production '!$C$4:$AI$4407,'Tracking Sheet'!B23,'Production '!$M$4:$M$4407)</f>
        <v>12899</v>
      </c>
      <c r="D23" s="76">
        <f ca="1">SUMIF('Production '!$C$4:$AI$4407,'Tracking Sheet'!B23,'Production '!$Q$4:$Q$4407)</f>
        <v>4105</v>
      </c>
      <c r="E23" s="76">
        <f ca="1">SUMIF('Production '!$C$4:$AI$4407,'Tracking Sheet'!B23,'Production '!$S$4:$S$4407)</f>
        <v>4085</v>
      </c>
      <c r="F23" s="76">
        <f ca="1">SUMIF('Production '!$C$4:$AI$4407,'Tracking Sheet'!B23,'Production '!$U$4:$U$4407)</f>
        <v>619</v>
      </c>
      <c r="G23" s="76">
        <f ca="1">SUMIF('Production '!$C$4:$AI$4407,'Tracking Sheet'!B23,'Production '!$W$4:$W$4407)</f>
        <v>12247</v>
      </c>
      <c r="H23" s="76">
        <f ca="1">SUMIF('Production '!$C$4:$AI$4407,'Tracking Sheet'!B23,'Production '!$F$4:$F$4407)</f>
        <v>12682</v>
      </c>
      <c r="I23" s="76">
        <f ca="1">SUMIF('Production '!$C$4:$AI$4407,'Tracking Sheet'!B23,'Production '!$V$4:$V$4407)</f>
        <v>0</v>
      </c>
      <c r="J23" s="76">
        <f ca="1">SUMIF('Production '!$C$4:$AI$4407,'Tracking Sheet'!B23,'Production '!$AG$4:$AG$4407)</f>
        <v>0</v>
      </c>
    </row>
    <row r="24" spans="2:10" x14ac:dyDescent="0.3">
      <c r="B24" s="277" t="str">
        <f>'Production '!C27</f>
        <v>43319 21th</v>
      </c>
      <c r="C24" s="76">
        <f ca="1">SUMIF('Production '!$C$4:$AI$4407,'Tracking Sheet'!B24,'Production '!$M$4:$M$4407)</f>
        <v>12899</v>
      </c>
      <c r="D24" s="76">
        <f ca="1">SUMIF('Production '!$C$4:$AI$4407,'Tracking Sheet'!B24,'Production '!$Q$4:$Q$4407)</f>
        <v>4105</v>
      </c>
      <c r="E24" s="76">
        <f ca="1">SUMIF('Production '!$C$4:$AI$4407,'Tracking Sheet'!B24,'Production '!$S$4:$S$4407)</f>
        <v>4085</v>
      </c>
      <c r="F24" s="76">
        <f ca="1">SUMIF('Production '!$C$4:$AI$4407,'Tracking Sheet'!B24,'Production '!$U$4:$U$4407)</f>
        <v>619</v>
      </c>
      <c r="G24" s="76">
        <f ca="1">SUMIF('Production '!$C$4:$AI$4407,'Tracking Sheet'!B24,'Production '!$W$4:$W$4407)</f>
        <v>12247</v>
      </c>
      <c r="H24" s="76">
        <f ca="1">SUMIF('Production '!$C$4:$AI$4407,'Tracking Sheet'!B24,'Production '!$F$4:$F$4407)</f>
        <v>12682</v>
      </c>
      <c r="I24" s="76">
        <f ca="1">SUMIF('Production '!$C$4:$AI$4407,'Tracking Sheet'!B24,'Production '!$V$4:$V$4407)</f>
        <v>0</v>
      </c>
      <c r="J24" s="76">
        <f ca="1">SUMIF('Production '!$C$4:$AI$4407,'Tracking Sheet'!B24,'Production '!$AG$4:$AG$4407)</f>
        <v>0</v>
      </c>
    </row>
    <row r="25" spans="2:10" x14ac:dyDescent="0.3">
      <c r="B25" s="277" t="str">
        <f>'Production '!C28</f>
        <v>43319 21th</v>
      </c>
      <c r="C25" s="76">
        <f ca="1">SUMIF('Production '!$C$4:$AI$4407,'Tracking Sheet'!B25,'Production '!$M$4:$M$4407)</f>
        <v>12899</v>
      </c>
      <c r="D25" s="76">
        <f ca="1">SUMIF('Production '!$C$4:$AI$4407,'Tracking Sheet'!B25,'Production '!$Q$4:$Q$4407)</f>
        <v>4105</v>
      </c>
      <c r="E25" s="76">
        <f ca="1">SUMIF('Production '!$C$4:$AI$4407,'Tracking Sheet'!B25,'Production '!$S$4:$S$4407)</f>
        <v>4085</v>
      </c>
      <c r="F25" s="76">
        <f ca="1">SUMIF('Production '!$C$4:$AI$4407,'Tracking Sheet'!B25,'Production '!$U$4:$U$4407)</f>
        <v>619</v>
      </c>
      <c r="G25" s="76">
        <f ca="1">SUMIF('Production '!$C$4:$AI$4407,'Tracking Sheet'!B25,'Production '!$W$4:$W$4407)</f>
        <v>12247</v>
      </c>
      <c r="H25" s="76">
        <f ca="1">SUMIF('Production '!$C$4:$AI$4407,'Tracking Sheet'!B25,'Production '!$F$4:$F$4407)</f>
        <v>12682</v>
      </c>
      <c r="I25" s="76">
        <f ca="1">SUMIF('Production '!$C$4:$AI$4407,'Tracking Sheet'!B25,'Production '!$V$4:$V$4407)</f>
        <v>0</v>
      </c>
      <c r="J25" s="76">
        <f ca="1">SUMIF('Production '!$C$4:$AI$4407,'Tracking Sheet'!B25,'Production '!$AG$4:$AG$4407)</f>
        <v>0</v>
      </c>
    </row>
    <row r="26" spans="2:10" x14ac:dyDescent="0.3">
      <c r="B26" s="277">
        <f>'Production '!C29</f>
        <v>0</v>
      </c>
      <c r="C26" s="76" t="e">
        <f ca="1">SUMIF('Production '!$C$4:$AI$4407,'Tracking Sheet'!B26,'Production '!$M$4:$M$4407)</f>
        <v>#DIV/0!</v>
      </c>
      <c r="D26" s="76" t="e">
        <f ca="1">SUMIF('Production '!$C$4:$AI$4407,'Tracking Sheet'!B26,'Production '!$Q$4:$Q$4407)</f>
        <v>#DIV/0!</v>
      </c>
      <c r="E26" s="76">
        <f ca="1">SUMIF('Production '!$C$4:$AI$4407,'Tracking Sheet'!B26,'Production '!$S$4:$S$4407)</f>
        <v>-1268218.9828305368</v>
      </c>
      <c r="F26" s="76">
        <f ca="1">SUMIF('Production '!$C$4:$AI$4407,'Tracking Sheet'!B26,'Production '!$U$4:$U$4407)</f>
        <v>-10620.435600016917</v>
      </c>
      <c r="G26" s="76" t="e">
        <f ca="1">SUMIF('Production '!$C$4:$AI$4407,'Tracking Sheet'!B26,'Production '!$W$4:$W$4407)</f>
        <v>#DIV/0!</v>
      </c>
      <c r="H26" s="76">
        <f ca="1">SUMIF('Production '!$C$4:$AI$4407,'Tracking Sheet'!B26,'Production '!$F$4:$F$4407)</f>
        <v>3230621.3283604058</v>
      </c>
      <c r="I26" s="76">
        <f ca="1">SUMIF('Production '!$C$4:$AI$4407,'Tracking Sheet'!B26,'Production '!$V$4:$V$4407)</f>
        <v>-489.86487791182844</v>
      </c>
      <c r="J26" s="76">
        <f ca="1">SUMIF('Production '!$C$4:$AI$4407,'Tracking Sheet'!B26,'Production '!$AG$4:$AG$4407)</f>
        <v>0</v>
      </c>
    </row>
    <row r="27" spans="2:10" x14ac:dyDescent="0.3">
      <c r="B27" s="277" t="str">
        <f>'Production '!C30</f>
        <v>41831 8th</v>
      </c>
      <c r="C27" s="76">
        <f ca="1">SUMIF('Production '!$C$4:$AI$4407,'Tracking Sheet'!B27,'Production '!$M$4:$M$4407)</f>
        <v>21921</v>
      </c>
      <c r="D27" s="76">
        <f ca="1">SUMIF('Production '!$C$4:$AI$4407,'Tracking Sheet'!B27,'Production '!$Q$4:$Q$4407)</f>
        <v>13940</v>
      </c>
      <c r="E27" s="76">
        <f ca="1">SUMIF('Production '!$C$4:$AI$4407,'Tracking Sheet'!B27,'Production '!$S$4:$S$4407)</f>
        <v>13895</v>
      </c>
      <c r="F27" s="76">
        <f ca="1">SUMIF('Production '!$C$4:$AI$4407,'Tracking Sheet'!B27,'Production '!$U$4:$U$4407)</f>
        <v>6257</v>
      </c>
      <c r="G27" s="76">
        <f ca="1">SUMIF('Production '!$C$4:$AI$4407,'Tracking Sheet'!B27,'Production '!$W$4:$W$4407)</f>
        <v>14925</v>
      </c>
      <c r="H27" s="76">
        <f ca="1">SUMIF('Production '!$C$4:$AI$4407,'Tracking Sheet'!B27,'Production '!$F$4:$F$4407)</f>
        <v>21714</v>
      </c>
      <c r="I27" s="76">
        <f ca="1">SUMIF('Production '!$C$4:$AI$4407,'Tracking Sheet'!B27,'Production '!$V$4:$V$4407)</f>
        <v>0</v>
      </c>
      <c r="J27" s="76">
        <f ca="1">SUMIF('Production '!$C$4:$AI$4407,'Tracking Sheet'!B27,'Production '!$AG$4:$AG$4407)</f>
        <v>0</v>
      </c>
    </row>
    <row r="28" spans="2:10" x14ac:dyDescent="0.3">
      <c r="B28" s="277" t="str">
        <f>'Production '!C31</f>
        <v>41831 8th</v>
      </c>
      <c r="C28" s="76">
        <f ca="1">SUMIF('Production '!$C$4:$AI$4407,'Tracking Sheet'!B28,'Production '!$M$4:$M$4407)</f>
        <v>21921</v>
      </c>
      <c r="D28" s="76">
        <f ca="1">SUMIF('Production '!$C$4:$AI$4407,'Tracking Sheet'!B28,'Production '!$Q$4:$Q$4407)</f>
        <v>13940</v>
      </c>
      <c r="E28" s="76">
        <f ca="1">SUMIF('Production '!$C$4:$AI$4407,'Tracking Sheet'!B28,'Production '!$S$4:$S$4407)</f>
        <v>13895</v>
      </c>
      <c r="F28" s="76">
        <f ca="1">SUMIF('Production '!$C$4:$AI$4407,'Tracking Sheet'!B28,'Production '!$U$4:$U$4407)</f>
        <v>6257</v>
      </c>
      <c r="G28" s="76">
        <f ca="1">SUMIF('Production '!$C$4:$AI$4407,'Tracking Sheet'!B28,'Production '!$W$4:$W$4407)</f>
        <v>14925</v>
      </c>
      <c r="H28" s="76">
        <f ca="1">SUMIF('Production '!$C$4:$AI$4407,'Tracking Sheet'!B28,'Production '!$F$4:$F$4407)</f>
        <v>21714</v>
      </c>
      <c r="I28" s="76">
        <f ca="1">SUMIF('Production '!$C$4:$AI$4407,'Tracking Sheet'!B28,'Production '!$V$4:$V$4407)</f>
        <v>0</v>
      </c>
      <c r="J28" s="76">
        <f ca="1">SUMIF('Production '!$C$4:$AI$4407,'Tracking Sheet'!B28,'Production '!$AG$4:$AG$4407)</f>
        <v>0</v>
      </c>
    </row>
    <row r="29" spans="2:10" x14ac:dyDescent="0.3">
      <c r="B29" s="277" t="str">
        <f>'Production '!C32</f>
        <v>41831 8th</v>
      </c>
      <c r="C29" s="76">
        <f ca="1">SUMIF('Production '!$C$4:$AI$4407,'Tracking Sheet'!B29,'Production '!$M$4:$M$4407)</f>
        <v>21921</v>
      </c>
      <c r="D29" s="76">
        <f ca="1">SUMIF('Production '!$C$4:$AI$4407,'Tracking Sheet'!B29,'Production '!$Q$4:$Q$4407)</f>
        <v>13940</v>
      </c>
      <c r="E29" s="76">
        <f ca="1">SUMIF('Production '!$C$4:$AI$4407,'Tracking Sheet'!B29,'Production '!$S$4:$S$4407)</f>
        <v>13895</v>
      </c>
      <c r="F29" s="76">
        <f ca="1">SUMIF('Production '!$C$4:$AI$4407,'Tracking Sheet'!B29,'Production '!$U$4:$U$4407)</f>
        <v>6257</v>
      </c>
      <c r="G29" s="76">
        <f ca="1">SUMIF('Production '!$C$4:$AI$4407,'Tracking Sheet'!B29,'Production '!$W$4:$W$4407)</f>
        <v>14925</v>
      </c>
      <c r="H29" s="76">
        <f ca="1">SUMIF('Production '!$C$4:$AI$4407,'Tracking Sheet'!B29,'Production '!$F$4:$F$4407)</f>
        <v>21714</v>
      </c>
      <c r="I29" s="76">
        <f ca="1">SUMIF('Production '!$C$4:$AI$4407,'Tracking Sheet'!B29,'Production '!$V$4:$V$4407)</f>
        <v>0</v>
      </c>
      <c r="J29" s="76">
        <f ca="1">SUMIF('Production '!$C$4:$AI$4407,'Tracking Sheet'!B29,'Production '!$AG$4:$AG$4407)</f>
        <v>0</v>
      </c>
    </row>
    <row r="30" spans="2:10" x14ac:dyDescent="0.3">
      <c r="B30" s="277" t="str">
        <f>'Production '!C33</f>
        <v>41831 8th</v>
      </c>
      <c r="C30" s="76">
        <f ca="1">SUMIF('Production '!$C$4:$AI$4407,'Tracking Sheet'!B30,'Production '!$M$4:$M$4407)</f>
        <v>21921</v>
      </c>
      <c r="D30" s="76">
        <f ca="1">SUMIF('Production '!$C$4:$AI$4407,'Tracking Sheet'!B30,'Production '!$Q$4:$Q$4407)</f>
        <v>13940</v>
      </c>
      <c r="E30" s="76">
        <f ca="1">SUMIF('Production '!$C$4:$AI$4407,'Tracking Sheet'!B30,'Production '!$S$4:$S$4407)</f>
        <v>13895</v>
      </c>
      <c r="F30" s="76">
        <f ca="1">SUMIF('Production '!$C$4:$AI$4407,'Tracking Sheet'!B30,'Production '!$U$4:$U$4407)</f>
        <v>6257</v>
      </c>
      <c r="G30" s="76">
        <f ca="1">SUMIF('Production '!$C$4:$AI$4407,'Tracking Sheet'!B30,'Production '!$W$4:$W$4407)</f>
        <v>14925</v>
      </c>
      <c r="H30" s="76">
        <f ca="1">SUMIF('Production '!$C$4:$AI$4407,'Tracking Sheet'!B30,'Production '!$F$4:$F$4407)</f>
        <v>21714</v>
      </c>
      <c r="I30" s="76">
        <f ca="1">SUMIF('Production '!$C$4:$AI$4407,'Tracking Sheet'!B30,'Production '!$V$4:$V$4407)</f>
        <v>0</v>
      </c>
      <c r="J30" s="76">
        <f ca="1">SUMIF('Production '!$C$4:$AI$4407,'Tracking Sheet'!B30,'Production '!$AG$4:$AG$4407)</f>
        <v>0</v>
      </c>
    </row>
    <row r="31" spans="2:10" x14ac:dyDescent="0.3">
      <c r="B31" s="277">
        <f>'Production '!C34</f>
        <v>0</v>
      </c>
      <c r="C31" s="76" t="e">
        <f ca="1">SUMIF('Production '!$C$4:$AI$4407,'Tracking Sheet'!B31,'Production '!$M$4:$M$4407)</f>
        <v>#DIV/0!</v>
      </c>
      <c r="D31" s="76" t="e">
        <f ca="1">SUMIF('Production '!$C$4:$AI$4407,'Tracking Sheet'!B31,'Production '!$Q$4:$Q$4407)</f>
        <v>#DIV/0!</v>
      </c>
      <c r="E31" s="76">
        <f ca="1">SUMIF('Production '!$C$4:$AI$4407,'Tracking Sheet'!B31,'Production '!$S$4:$S$4407)</f>
        <v>-1268218.9828305368</v>
      </c>
      <c r="F31" s="76">
        <f ca="1">SUMIF('Production '!$C$4:$AI$4407,'Tracking Sheet'!B31,'Production '!$U$4:$U$4407)</f>
        <v>-10620.435600016917</v>
      </c>
      <c r="G31" s="76" t="e">
        <f ca="1">SUMIF('Production '!$C$4:$AI$4407,'Tracking Sheet'!B31,'Production '!$W$4:$W$4407)</f>
        <v>#DIV/0!</v>
      </c>
      <c r="H31" s="76">
        <f ca="1">SUMIF('Production '!$C$4:$AI$4407,'Tracking Sheet'!B31,'Production '!$F$4:$F$4407)</f>
        <v>3230621.3283604058</v>
      </c>
      <c r="I31" s="76">
        <f ca="1">SUMIF('Production '!$C$4:$AI$4407,'Tracking Sheet'!B31,'Production '!$V$4:$V$4407)</f>
        <v>-489.86487791182844</v>
      </c>
      <c r="J31" s="76">
        <f ca="1">SUMIF('Production '!$C$4:$AI$4407,'Tracking Sheet'!B31,'Production '!$AG$4:$AG$4407)</f>
        <v>0</v>
      </c>
    </row>
    <row r="32" spans="2:10" x14ac:dyDescent="0.3">
      <c r="B32" s="277">
        <f>'Production '!C35</f>
        <v>0</v>
      </c>
      <c r="C32" s="76" t="e">
        <f ca="1">SUMIF('Production '!$C$4:$AI$4407,'Tracking Sheet'!B32,'Production '!$M$4:$M$4407)</f>
        <v>#DIV/0!</v>
      </c>
      <c r="D32" s="76" t="e">
        <f ca="1">SUMIF('Production '!$C$4:$AI$4407,'Tracking Sheet'!B32,'Production '!$Q$4:$Q$4407)</f>
        <v>#DIV/0!</v>
      </c>
      <c r="E32" s="76">
        <f ca="1">SUMIF('Production '!$C$4:$AI$4407,'Tracking Sheet'!B32,'Production '!$S$4:$S$4407)</f>
        <v>-1268218.9828305368</v>
      </c>
      <c r="F32" s="76">
        <f ca="1">SUMIF('Production '!$C$4:$AI$4407,'Tracking Sheet'!B32,'Production '!$U$4:$U$4407)</f>
        <v>-10620.435600016917</v>
      </c>
      <c r="G32" s="76" t="e">
        <f ca="1">SUMIF('Production '!$C$4:$AI$4407,'Tracking Sheet'!B32,'Production '!$W$4:$W$4407)</f>
        <v>#DIV/0!</v>
      </c>
      <c r="H32" s="76">
        <f ca="1">SUMIF('Production '!$C$4:$AI$4407,'Tracking Sheet'!B32,'Production '!$F$4:$F$4407)</f>
        <v>3230621.3283604058</v>
      </c>
      <c r="I32" s="76">
        <f ca="1">SUMIF('Production '!$C$4:$AI$4407,'Tracking Sheet'!B32,'Production '!$V$4:$V$4407)</f>
        <v>-489.86487791182844</v>
      </c>
      <c r="J32" s="76">
        <f ca="1">SUMIF('Production '!$C$4:$AI$4407,'Tracking Sheet'!B32,'Production '!$AG$4:$AG$4407)</f>
        <v>0</v>
      </c>
    </row>
    <row r="33" spans="2:10" x14ac:dyDescent="0.3">
      <c r="B33" s="277">
        <f>'Production '!C36</f>
        <v>47721</v>
      </c>
      <c r="C33" s="76">
        <f ca="1">SUMIF('Production '!$C$4:$AI$4407,'Tracking Sheet'!B33,'Production '!$M$4:$M$4407)</f>
        <v>1652</v>
      </c>
      <c r="D33" s="76">
        <f ca="1">SUMIF('Production '!$C$4:$AI$4407,'Tracking Sheet'!B33,'Production '!$Q$4:$Q$4407)</f>
        <v>0</v>
      </c>
      <c r="E33" s="76">
        <f ca="1">SUMIF('Production '!$C$4:$AI$4407,'Tracking Sheet'!B33,'Production '!$S$4:$S$4407)</f>
        <v>0</v>
      </c>
      <c r="F33" s="76">
        <f ca="1">SUMIF('Production '!$C$4:$AI$4407,'Tracking Sheet'!B33,'Production '!$U$4:$U$4407)</f>
        <v>14</v>
      </c>
      <c r="G33" s="76">
        <f ca="1">SUMIF('Production '!$C$4:$AI$4407,'Tracking Sheet'!B33,'Production '!$W$4:$W$4407)</f>
        <v>1638</v>
      </c>
      <c r="H33" s="76">
        <f ca="1">SUMIF('Production '!$C$4:$AI$4407,'Tracking Sheet'!B33,'Production '!$F$4:$F$4407)</f>
        <v>1590</v>
      </c>
      <c r="I33" s="76">
        <f ca="1">SUMIF('Production '!$C$4:$AI$4407,'Tracking Sheet'!B33,'Production '!$V$4:$V$4407)</f>
        <v>0</v>
      </c>
      <c r="J33" s="76">
        <f ca="1">SUMIF('Production '!$C$4:$AI$4407,'Tracking Sheet'!B33,'Production '!$AG$4:$AG$4407)</f>
        <v>0</v>
      </c>
    </row>
    <row r="34" spans="2:10" x14ac:dyDescent="0.3">
      <c r="B34" s="277">
        <f>'Production '!C37</f>
        <v>47721</v>
      </c>
      <c r="C34" s="76">
        <f ca="1">SUMIF('Production '!$C$4:$AI$4407,'Tracking Sheet'!B34,'Production '!$M$4:$M$4407)</f>
        <v>1652</v>
      </c>
      <c r="D34" s="76">
        <f ca="1">SUMIF('Production '!$C$4:$AI$4407,'Tracking Sheet'!B34,'Production '!$Q$4:$Q$4407)</f>
        <v>0</v>
      </c>
      <c r="E34" s="76">
        <f ca="1">SUMIF('Production '!$C$4:$AI$4407,'Tracking Sheet'!B34,'Production '!$S$4:$S$4407)</f>
        <v>0</v>
      </c>
      <c r="F34" s="76">
        <f ca="1">SUMIF('Production '!$C$4:$AI$4407,'Tracking Sheet'!B34,'Production '!$U$4:$U$4407)</f>
        <v>14</v>
      </c>
      <c r="G34" s="76">
        <f ca="1">SUMIF('Production '!$C$4:$AI$4407,'Tracking Sheet'!B34,'Production '!$W$4:$W$4407)</f>
        <v>1638</v>
      </c>
      <c r="H34" s="76">
        <f ca="1">SUMIF('Production '!$C$4:$AI$4407,'Tracking Sheet'!B34,'Production '!$F$4:$F$4407)</f>
        <v>1590</v>
      </c>
      <c r="I34" s="76">
        <f ca="1">SUMIF('Production '!$C$4:$AI$4407,'Tracking Sheet'!B34,'Production '!$V$4:$V$4407)</f>
        <v>0</v>
      </c>
      <c r="J34" s="76">
        <f ca="1">SUMIF('Production '!$C$4:$AI$4407,'Tracking Sheet'!B34,'Production '!$AG$4:$AG$4407)</f>
        <v>0</v>
      </c>
    </row>
    <row r="35" spans="2:10" x14ac:dyDescent="0.3">
      <c r="B35" s="277">
        <f>'Production '!C38</f>
        <v>47721</v>
      </c>
      <c r="C35" s="76">
        <f ca="1">SUMIF('Production '!$C$4:$AI$4407,'Tracking Sheet'!B35,'Production '!$M$4:$M$4407)</f>
        <v>1652</v>
      </c>
      <c r="D35" s="76">
        <f ca="1">SUMIF('Production '!$C$4:$AI$4407,'Tracking Sheet'!B35,'Production '!$Q$4:$Q$4407)</f>
        <v>0</v>
      </c>
      <c r="E35" s="76">
        <f ca="1">SUMIF('Production '!$C$4:$AI$4407,'Tracking Sheet'!B35,'Production '!$S$4:$S$4407)</f>
        <v>0</v>
      </c>
      <c r="F35" s="76">
        <f ca="1">SUMIF('Production '!$C$4:$AI$4407,'Tracking Sheet'!B35,'Production '!$U$4:$U$4407)</f>
        <v>14</v>
      </c>
      <c r="G35" s="76">
        <f ca="1">SUMIF('Production '!$C$4:$AI$4407,'Tracking Sheet'!B35,'Production '!$W$4:$W$4407)</f>
        <v>1638</v>
      </c>
      <c r="H35" s="76">
        <f ca="1">SUMIF('Production '!$C$4:$AI$4407,'Tracking Sheet'!B35,'Production '!$F$4:$F$4407)</f>
        <v>1590</v>
      </c>
      <c r="I35" s="76">
        <f ca="1">SUMIF('Production '!$C$4:$AI$4407,'Tracking Sheet'!B35,'Production '!$V$4:$V$4407)</f>
        <v>0</v>
      </c>
      <c r="J35" s="76">
        <f ca="1">SUMIF('Production '!$C$4:$AI$4407,'Tracking Sheet'!B35,'Production '!$AG$4:$AG$4407)</f>
        <v>0</v>
      </c>
    </row>
    <row r="36" spans="2:10" x14ac:dyDescent="0.3">
      <c r="B36" s="277">
        <f>'Production '!C39</f>
        <v>0</v>
      </c>
      <c r="C36" s="76" t="e">
        <f ca="1">SUMIF('Production '!$C$4:$AI$4407,'Tracking Sheet'!B36,'Production '!$M$4:$M$4407)</f>
        <v>#DIV/0!</v>
      </c>
      <c r="D36" s="76" t="e">
        <f ca="1">SUMIF('Production '!$C$4:$AI$4407,'Tracking Sheet'!B36,'Production '!$Q$4:$Q$4407)</f>
        <v>#DIV/0!</v>
      </c>
      <c r="E36" s="76">
        <f ca="1">SUMIF('Production '!$C$4:$AI$4407,'Tracking Sheet'!B36,'Production '!$S$4:$S$4407)</f>
        <v>-1268218.9828305368</v>
      </c>
      <c r="F36" s="76">
        <f ca="1">SUMIF('Production '!$C$4:$AI$4407,'Tracking Sheet'!B36,'Production '!$U$4:$U$4407)</f>
        <v>-10620.435600016917</v>
      </c>
      <c r="G36" s="76" t="e">
        <f ca="1">SUMIF('Production '!$C$4:$AI$4407,'Tracking Sheet'!B36,'Production '!$W$4:$W$4407)</f>
        <v>#DIV/0!</v>
      </c>
      <c r="H36" s="76">
        <f ca="1">SUMIF('Production '!$C$4:$AI$4407,'Tracking Sheet'!B36,'Production '!$F$4:$F$4407)</f>
        <v>3230621.3283604058</v>
      </c>
      <c r="I36" s="76">
        <f ca="1">SUMIF('Production '!$C$4:$AI$4407,'Tracking Sheet'!B36,'Production '!$V$4:$V$4407)</f>
        <v>-489.86487791182844</v>
      </c>
      <c r="J36" s="76">
        <f ca="1">SUMIF('Production '!$C$4:$AI$4407,'Tracking Sheet'!B36,'Production '!$AG$4:$AG$4407)</f>
        <v>0</v>
      </c>
    </row>
    <row r="37" spans="2:10" x14ac:dyDescent="0.3">
      <c r="B37" s="277">
        <f>'Production '!C40</f>
        <v>47425</v>
      </c>
      <c r="C37" s="76">
        <f ca="1">SUMIF('Production '!$C$4:$AI$4407,'Tracking Sheet'!B37,'Production '!$M$4:$M$4407)</f>
        <v>1608</v>
      </c>
      <c r="D37" s="76">
        <f ca="1">SUMIF('Production '!$C$4:$AI$4407,'Tracking Sheet'!B37,'Production '!$Q$4:$Q$4407)</f>
        <v>1608</v>
      </c>
      <c r="E37" s="76">
        <f ca="1">SUMIF('Production '!$C$4:$AI$4407,'Tracking Sheet'!B37,'Production '!$S$4:$S$4407)</f>
        <v>1601</v>
      </c>
      <c r="F37" s="76">
        <f ca="1">SUMIF('Production '!$C$4:$AI$4407,'Tracking Sheet'!B37,'Production '!$U$4:$U$4407)</f>
        <v>7</v>
      </c>
      <c r="G37" s="76">
        <f ca="1">SUMIF('Production '!$C$4:$AI$4407,'Tracking Sheet'!B37,'Production '!$W$4:$W$4407)</f>
        <v>1594</v>
      </c>
      <c r="H37" s="76">
        <f ca="1">SUMIF('Production '!$C$4:$AI$4407,'Tracking Sheet'!B37,'Production '!$F$4:$F$4407)</f>
        <v>1608</v>
      </c>
      <c r="I37" s="76">
        <f ca="1">SUMIF('Production '!$C$4:$AI$4407,'Tracking Sheet'!B37,'Production '!$V$4:$V$4407)</f>
        <v>0</v>
      </c>
      <c r="J37" s="76">
        <f ca="1">SUMIF('Production '!$C$4:$AI$4407,'Tracking Sheet'!B37,'Production '!$AG$4:$AG$4407)</f>
        <v>0</v>
      </c>
    </row>
    <row r="38" spans="2:10" x14ac:dyDescent="0.3">
      <c r="B38" s="277">
        <f>'Production '!C41</f>
        <v>0</v>
      </c>
      <c r="C38" s="76" t="e">
        <f ca="1">SUMIF('Production '!$C$4:$AI$4407,'Tracking Sheet'!B38,'Production '!$M$4:$M$4407)</f>
        <v>#DIV/0!</v>
      </c>
      <c r="D38" s="76" t="e">
        <f ca="1">SUMIF('Production '!$C$4:$AI$4407,'Tracking Sheet'!B38,'Production '!$Q$4:$Q$4407)</f>
        <v>#DIV/0!</v>
      </c>
      <c r="E38" s="76">
        <f ca="1">SUMIF('Production '!$C$4:$AI$4407,'Tracking Sheet'!B38,'Production '!$S$4:$S$4407)</f>
        <v>-1268218.9828305368</v>
      </c>
      <c r="F38" s="76">
        <f ca="1">SUMIF('Production '!$C$4:$AI$4407,'Tracking Sheet'!B38,'Production '!$U$4:$U$4407)</f>
        <v>-10620.435600016917</v>
      </c>
      <c r="G38" s="76" t="e">
        <f ca="1">SUMIF('Production '!$C$4:$AI$4407,'Tracking Sheet'!B38,'Production '!$W$4:$W$4407)</f>
        <v>#DIV/0!</v>
      </c>
      <c r="H38" s="76">
        <f ca="1">SUMIF('Production '!$C$4:$AI$4407,'Tracking Sheet'!B38,'Production '!$F$4:$F$4407)</f>
        <v>3230621.3283604058</v>
      </c>
      <c r="I38" s="76">
        <f ca="1">SUMIF('Production '!$C$4:$AI$4407,'Tracking Sheet'!B38,'Production '!$V$4:$V$4407)</f>
        <v>-489.86487791182844</v>
      </c>
      <c r="J38" s="76">
        <f ca="1">SUMIF('Production '!$C$4:$AI$4407,'Tracking Sheet'!B38,'Production '!$AG$4:$AG$4407)</f>
        <v>0</v>
      </c>
    </row>
    <row r="39" spans="2:10" x14ac:dyDescent="0.3">
      <c r="B39" s="277">
        <f>'Production '!C42</f>
        <v>47719</v>
      </c>
      <c r="C39" s="76">
        <f ca="1">SUMIF('Production '!$C$4:$AI$4407,'Tracking Sheet'!B39,'Production '!$M$4:$M$4407)</f>
        <v>448</v>
      </c>
      <c r="D39" s="76">
        <f ca="1">SUMIF('Production '!$C$4:$AI$4407,'Tracking Sheet'!B39,'Production '!$Q$4:$Q$4407)</f>
        <v>0</v>
      </c>
      <c r="E39" s="76">
        <f ca="1">SUMIF('Production '!$C$4:$AI$4407,'Tracking Sheet'!B39,'Production '!$S$4:$S$4407)</f>
        <v>0</v>
      </c>
      <c r="F39" s="76">
        <f ca="1">SUMIF('Production '!$C$4:$AI$4407,'Tracking Sheet'!B39,'Production '!$U$4:$U$4407)</f>
        <v>0</v>
      </c>
      <c r="G39" s="76">
        <f ca="1">SUMIF('Production '!$C$4:$AI$4407,'Tracking Sheet'!B39,'Production '!$W$4:$W$4407)</f>
        <v>448</v>
      </c>
      <c r="H39" s="76">
        <f ca="1">SUMIF('Production '!$C$4:$AI$4407,'Tracking Sheet'!B39,'Production '!$F$4:$F$4407)</f>
        <v>430</v>
      </c>
      <c r="I39" s="76">
        <f ca="1">SUMIF('Production '!$C$4:$AI$4407,'Tracking Sheet'!B39,'Production '!$V$4:$V$4407)</f>
        <v>0</v>
      </c>
      <c r="J39" s="76">
        <f ca="1">SUMIF('Production '!$C$4:$AI$4407,'Tracking Sheet'!B39,'Production '!$AG$4:$AG$4407)</f>
        <v>0</v>
      </c>
    </row>
    <row r="40" spans="2:10" x14ac:dyDescent="0.3">
      <c r="B40" s="277">
        <f>'Production '!C43</f>
        <v>0</v>
      </c>
      <c r="C40" s="76" t="e">
        <f ca="1">SUMIF('Production '!$C$4:$AI$4407,'Tracking Sheet'!B40,'Production '!$M$4:$M$4407)</f>
        <v>#DIV/0!</v>
      </c>
      <c r="D40" s="76" t="e">
        <f ca="1">SUMIF('Production '!$C$4:$AI$4407,'Tracking Sheet'!B40,'Production '!$Q$4:$Q$4407)</f>
        <v>#DIV/0!</v>
      </c>
      <c r="E40" s="76">
        <f ca="1">SUMIF('Production '!$C$4:$AI$4407,'Tracking Sheet'!B40,'Production '!$S$4:$S$4407)</f>
        <v>-1268218.9828305368</v>
      </c>
      <c r="F40" s="76">
        <f ca="1">SUMIF('Production '!$C$4:$AI$4407,'Tracking Sheet'!B40,'Production '!$U$4:$U$4407)</f>
        <v>-10620.435600016917</v>
      </c>
      <c r="G40" s="76" t="e">
        <f ca="1">SUMIF('Production '!$C$4:$AI$4407,'Tracking Sheet'!B40,'Production '!$W$4:$W$4407)</f>
        <v>#DIV/0!</v>
      </c>
      <c r="H40" s="76">
        <f ca="1">SUMIF('Production '!$C$4:$AI$4407,'Tracking Sheet'!B40,'Production '!$F$4:$F$4407)</f>
        <v>3230621.3283604058</v>
      </c>
      <c r="I40" s="76">
        <f ca="1">SUMIF('Production '!$C$4:$AI$4407,'Tracking Sheet'!B40,'Production '!$V$4:$V$4407)</f>
        <v>-489.86487791182844</v>
      </c>
      <c r="J40" s="76">
        <f ca="1">SUMIF('Production '!$C$4:$AI$4407,'Tracking Sheet'!B40,'Production '!$AG$4:$AG$4407)</f>
        <v>0</v>
      </c>
    </row>
    <row r="41" spans="2:10" x14ac:dyDescent="0.3">
      <c r="B41" s="277">
        <f>'Production '!C44</f>
        <v>0</v>
      </c>
      <c r="C41" s="76" t="e">
        <f ca="1">SUMIF('Production '!$C$4:$AI$4407,'Tracking Sheet'!B41,'Production '!$M$4:$M$4407)</f>
        <v>#DIV/0!</v>
      </c>
      <c r="D41" s="76" t="e">
        <f ca="1">SUMIF('Production '!$C$4:$AI$4407,'Tracking Sheet'!B41,'Production '!$Q$4:$Q$4407)</f>
        <v>#DIV/0!</v>
      </c>
      <c r="E41" s="76">
        <f ca="1">SUMIF('Production '!$C$4:$AI$4407,'Tracking Sheet'!B41,'Production '!$S$4:$S$4407)</f>
        <v>-1268218.9828305368</v>
      </c>
      <c r="F41" s="76">
        <f ca="1">SUMIF('Production '!$C$4:$AI$4407,'Tracking Sheet'!B41,'Production '!$U$4:$U$4407)</f>
        <v>-10620.435600016917</v>
      </c>
      <c r="G41" s="76" t="e">
        <f ca="1">SUMIF('Production '!$C$4:$AI$4407,'Tracking Sheet'!B41,'Production '!$W$4:$W$4407)</f>
        <v>#DIV/0!</v>
      </c>
      <c r="H41" s="76">
        <f ca="1">SUMIF('Production '!$C$4:$AI$4407,'Tracking Sheet'!B41,'Production '!$F$4:$F$4407)</f>
        <v>3230621.3283604058</v>
      </c>
      <c r="I41" s="76">
        <f ca="1">SUMIF('Production '!$C$4:$AI$4407,'Tracking Sheet'!B41,'Production '!$V$4:$V$4407)</f>
        <v>-489.86487791182844</v>
      </c>
      <c r="J41" s="76">
        <f ca="1">SUMIF('Production '!$C$4:$AI$4407,'Tracking Sheet'!B41,'Production '!$AG$4:$AG$4407)</f>
        <v>0</v>
      </c>
    </row>
    <row r="42" spans="2:10" x14ac:dyDescent="0.3">
      <c r="B42" s="277">
        <f>'Production '!C45</f>
        <v>47722</v>
      </c>
      <c r="C42" s="76">
        <f ca="1">SUMIF('Production '!$C$4:$AI$4407,'Tracking Sheet'!B42,'Production '!$M$4:$M$4407)</f>
        <v>287</v>
      </c>
      <c r="D42" s="76">
        <f ca="1">SUMIF('Production '!$C$4:$AI$4407,'Tracking Sheet'!B42,'Production '!$Q$4:$Q$4407)</f>
        <v>275</v>
      </c>
      <c r="E42" s="76">
        <f ca="1">SUMIF('Production '!$C$4:$AI$4407,'Tracking Sheet'!B42,'Production '!$S$4:$S$4407)</f>
        <v>275</v>
      </c>
      <c r="F42" s="76">
        <f ca="1">SUMIF('Production '!$C$4:$AI$4407,'Tracking Sheet'!B42,'Production '!$U$4:$U$4407)</f>
        <v>0</v>
      </c>
      <c r="G42" s="76">
        <f ca="1">SUMIF('Production '!$C$4:$AI$4407,'Tracking Sheet'!B42,'Production '!$W$4:$W$4407)</f>
        <v>275</v>
      </c>
      <c r="H42" s="76">
        <f ca="1">SUMIF('Production '!$C$4:$AI$4407,'Tracking Sheet'!B42,'Production '!$F$4:$F$4407)</f>
        <v>275</v>
      </c>
      <c r="I42" s="76">
        <f ca="1">SUMIF('Production '!$C$4:$AI$4407,'Tracking Sheet'!B42,'Production '!$V$4:$V$4407)</f>
        <v>0</v>
      </c>
      <c r="J42" s="76">
        <f ca="1">SUMIF('Production '!$C$4:$AI$4407,'Tracking Sheet'!B42,'Production '!$AG$4:$AG$4407)</f>
        <v>0</v>
      </c>
    </row>
    <row r="43" spans="2:10" x14ac:dyDescent="0.3">
      <c r="B43" s="277">
        <f>'Production '!C46</f>
        <v>0</v>
      </c>
      <c r="C43" s="76" t="e">
        <f ca="1">SUMIF('Production '!$C$4:$AI$4407,'Tracking Sheet'!B43,'Production '!$M$4:$M$4407)</f>
        <v>#DIV/0!</v>
      </c>
      <c r="D43" s="76" t="e">
        <f ca="1">SUMIF('Production '!$C$4:$AI$4407,'Tracking Sheet'!B43,'Production '!$Q$4:$Q$4407)</f>
        <v>#DIV/0!</v>
      </c>
      <c r="E43" s="76">
        <f ca="1">SUMIF('Production '!$C$4:$AI$4407,'Tracking Sheet'!B43,'Production '!$S$4:$S$4407)</f>
        <v>-1268218.9828305368</v>
      </c>
      <c r="F43" s="76">
        <f ca="1">SUMIF('Production '!$C$4:$AI$4407,'Tracking Sheet'!B43,'Production '!$U$4:$U$4407)</f>
        <v>-10620.435600016917</v>
      </c>
      <c r="G43" s="76" t="e">
        <f ca="1">SUMIF('Production '!$C$4:$AI$4407,'Tracking Sheet'!B43,'Production '!$W$4:$W$4407)</f>
        <v>#DIV/0!</v>
      </c>
      <c r="H43" s="76">
        <f ca="1">SUMIF('Production '!$C$4:$AI$4407,'Tracking Sheet'!B43,'Production '!$F$4:$F$4407)</f>
        <v>3230621.3283604058</v>
      </c>
      <c r="I43" s="76">
        <f ca="1">SUMIF('Production '!$C$4:$AI$4407,'Tracking Sheet'!B43,'Production '!$V$4:$V$4407)</f>
        <v>-489.86487791182844</v>
      </c>
      <c r="J43" s="76">
        <f ca="1">SUMIF('Production '!$C$4:$AI$4407,'Tracking Sheet'!B43,'Production '!$AG$4:$AG$4407)</f>
        <v>0</v>
      </c>
    </row>
    <row r="44" spans="2:10" x14ac:dyDescent="0.3">
      <c r="B44" s="277">
        <f>'Production '!C47</f>
        <v>47241</v>
      </c>
      <c r="C44" s="76">
        <f ca="1">SUMIF('Production '!$C$4:$AI$4407,'Tracking Sheet'!B44,'Production '!$M$4:$M$4407)</f>
        <v>3093</v>
      </c>
      <c r="D44" s="76">
        <f ca="1">SUMIF('Production '!$C$4:$AI$4407,'Tracking Sheet'!B44,'Production '!$Q$4:$Q$4407)</f>
        <v>0</v>
      </c>
      <c r="E44" s="76">
        <f ca="1">SUMIF('Production '!$C$4:$AI$4407,'Tracking Sheet'!B44,'Production '!$S$4:$S$4407)</f>
        <v>0</v>
      </c>
      <c r="F44" s="76">
        <f ca="1">SUMIF('Production '!$C$4:$AI$4407,'Tracking Sheet'!B44,'Production '!$U$4:$U$4407)</f>
        <v>0</v>
      </c>
      <c r="G44" s="76">
        <f ca="1">SUMIF('Production '!$C$4:$AI$4407,'Tracking Sheet'!B44,'Production '!$W$4:$W$4407)</f>
        <v>3093</v>
      </c>
      <c r="H44" s="76">
        <f ca="1">SUMIF('Production '!$C$4:$AI$4407,'Tracking Sheet'!B44,'Production '!$F$4:$F$4407)</f>
        <v>3000</v>
      </c>
      <c r="I44" s="76">
        <f ca="1">SUMIF('Production '!$C$4:$AI$4407,'Tracking Sheet'!B44,'Production '!$V$4:$V$4407)</f>
        <v>0</v>
      </c>
      <c r="J44" s="76">
        <f ca="1">SUMIF('Production '!$C$4:$AI$4407,'Tracking Sheet'!B44,'Production '!$AG$4:$AG$4407)</f>
        <v>0</v>
      </c>
    </row>
    <row r="45" spans="2:10" x14ac:dyDescent="0.3">
      <c r="B45" s="277">
        <f>'Production '!C48</f>
        <v>47241</v>
      </c>
      <c r="C45" s="76">
        <f ca="1">SUMIF('Production '!$C$4:$AI$4407,'Tracking Sheet'!B45,'Production '!$M$4:$M$4407)</f>
        <v>3093</v>
      </c>
      <c r="D45" s="76">
        <f ca="1">SUMIF('Production '!$C$4:$AI$4407,'Tracking Sheet'!B45,'Production '!$Q$4:$Q$4407)</f>
        <v>0</v>
      </c>
      <c r="E45" s="76">
        <f ca="1">SUMIF('Production '!$C$4:$AI$4407,'Tracking Sheet'!B45,'Production '!$S$4:$S$4407)</f>
        <v>0</v>
      </c>
      <c r="F45" s="76">
        <f ca="1">SUMIF('Production '!$C$4:$AI$4407,'Tracking Sheet'!B45,'Production '!$U$4:$U$4407)</f>
        <v>0</v>
      </c>
      <c r="G45" s="76">
        <f ca="1">SUMIF('Production '!$C$4:$AI$4407,'Tracking Sheet'!B45,'Production '!$W$4:$W$4407)</f>
        <v>3093</v>
      </c>
      <c r="H45" s="76">
        <f ca="1">SUMIF('Production '!$C$4:$AI$4407,'Tracking Sheet'!B45,'Production '!$F$4:$F$4407)</f>
        <v>3000</v>
      </c>
      <c r="I45" s="76">
        <f ca="1">SUMIF('Production '!$C$4:$AI$4407,'Tracking Sheet'!B45,'Production '!$V$4:$V$4407)</f>
        <v>0</v>
      </c>
      <c r="J45" s="76">
        <f ca="1">SUMIF('Production '!$C$4:$AI$4407,'Tracking Sheet'!B45,'Production '!$AG$4:$AG$4407)</f>
        <v>0</v>
      </c>
    </row>
    <row r="46" spans="2:10" x14ac:dyDescent="0.3">
      <c r="B46" s="277">
        <f>'Production '!C49</f>
        <v>0</v>
      </c>
      <c r="C46" s="76" t="e">
        <f ca="1">SUMIF('Production '!$C$4:$AI$4407,'Tracking Sheet'!B46,'Production '!$M$4:$M$4407)</f>
        <v>#DIV/0!</v>
      </c>
      <c r="D46" s="76" t="e">
        <f ca="1">SUMIF('Production '!$C$4:$AI$4407,'Tracking Sheet'!B46,'Production '!$Q$4:$Q$4407)</f>
        <v>#DIV/0!</v>
      </c>
      <c r="E46" s="76">
        <f ca="1">SUMIF('Production '!$C$4:$AI$4407,'Tracking Sheet'!B46,'Production '!$S$4:$S$4407)</f>
        <v>-1268218.9828305368</v>
      </c>
      <c r="F46" s="76">
        <f ca="1">SUMIF('Production '!$C$4:$AI$4407,'Tracking Sheet'!B46,'Production '!$U$4:$U$4407)</f>
        <v>-10620.435600016917</v>
      </c>
      <c r="G46" s="76" t="e">
        <f ca="1">SUMIF('Production '!$C$4:$AI$4407,'Tracking Sheet'!B46,'Production '!$W$4:$W$4407)</f>
        <v>#DIV/0!</v>
      </c>
      <c r="H46" s="76">
        <f ca="1">SUMIF('Production '!$C$4:$AI$4407,'Tracking Sheet'!B46,'Production '!$F$4:$F$4407)</f>
        <v>3230621.3283604058</v>
      </c>
      <c r="I46" s="76">
        <f ca="1">SUMIF('Production '!$C$4:$AI$4407,'Tracking Sheet'!B46,'Production '!$V$4:$V$4407)</f>
        <v>-489.86487791182844</v>
      </c>
      <c r="J46" s="76">
        <f ca="1">SUMIF('Production '!$C$4:$AI$4407,'Tracking Sheet'!B46,'Production '!$AG$4:$AG$4407)</f>
        <v>0</v>
      </c>
    </row>
    <row r="47" spans="2:10" x14ac:dyDescent="0.3">
      <c r="B47" s="277">
        <f>'Production '!C50</f>
        <v>0</v>
      </c>
      <c r="C47" s="76" t="e">
        <f ca="1">SUMIF('Production '!$C$4:$AI$4407,'Tracking Sheet'!B47,'Production '!$M$4:$M$4407)</f>
        <v>#DIV/0!</v>
      </c>
      <c r="D47" s="76" t="e">
        <f ca="1">SUMIF('Production '!$C$4:$AI$4407,'Tracking Sheet'!B47,'Production '!$Q$4:$Q$4407)</f>
        <v>#DIV/0!</v>
      </c>
      <c r="E47" s="76">
        <f ca="1">SUMIF('Production '!$C$4:$AI$4407,'Tracking Sheet'!B47,'Production '!$S$4:$S$4407)</f>
        <v>-1268218.9828305368</v>
      </c>
      <c r="F47" s="76">
        <f ca="1">SUMIF('Production '!$C$4:$AI$4407,'Tracking Sheet'!B47,'Production '!$U$4:$U$4407)</f>
        <v>-10620.435600016917</v>
      </c>
      <c r="G47" s="76" t="e">
        <f ca="1">SUMIF('Production '!$C$4:$AI$4407,'Tracking Sheet'!B47,'Production '!$W$4:$W$4407)</f>
        <v>#DIV/0!</v>
      </c>
      <c r="H47" s="76">
        <f ca="1">SUMIF('Production '!$C$4:$AI$4407,'Tracking Sheet'!B47,'Production '!$F$4:$F$4407)</f>
        <v>3230621.3283604058</v>
      </c>
      <c r="I47" s="76">
        <f ca="1">SUMIF('Production '!$C$4:$AI$4407,'Tracking Sheet'!B47,'Production '!$V$4:$V$4407)</f>
        <v>-489.86487791182844</v>
      </c>
      <c r="J47" s="76">
        <f ca="1">SUMIF('Production '!$C$4:$AI$4407,'Tracking Sheet'!B47,'Production '!$AG$4:$AG$4407)</f>
        <v>0</v>
      </c>
    </row>
    <row r="48" spans="2:10" x14ac:dyDescent="0.3">
      <c r="B48" s="277" t="str">
        <f>'Production '!C51</f>
        <v>23325 17th</v>
      </c>
      <c r="C48" s="76">
        <f ca="1">SUMIF('Production '!$C$4:$AI$4407,'Tracking Sheet'!B48,'Production '!$M$4:$M$4407)</f>
        <v>6705</v>
      </c>
      <c r="D48" s="76">
        <f ca="1">SUMIF('Production '!$C$4:$AI$4407,'Tracking Sheet'!B48,'Production '!$Q$4:$Q$4407)</f>
        <v>0</v>
      </c>
      <c r="E48" s="76">
        <f ca="1">SUMIF('Production '!$C$4:$AI$4407,'Tracking Sheet'!B48,'Production '!$S$4:$S$4407)</f>
        <v>0</v>
      </c>
      <c r="F48" s="76">
        <f ca="1">SUMIF('Production '!$C$4:$AI$4407,'Tracking Sheet'!B48,'Production '!$U$4:$U$4407)</f>
        <v>42</v>
      </c>
      <c r="G48" s="76">
        <f ca="1">SUMIF('Production '!$C$4:$AI$4407,'Tracking Sheet'!B48,'Production '!$W$4:$W$4407)</f>
        <v>6663</v>
      </c>
      <c r="H48" s="76">
        <f ca="1">SUMIF('Production '!$C$4:$AI$4407,'Tracking Sheet'!B48,'Production '!$F$4:$F$4407)</f>
        <v>6500</v>
      </c>
      <c r="I48" s="76">
        <f ca="1">SUMIF('Production '!$C$4:$AI$4407,'Tracking Sheet'!B48,'Production '!$V$4:$V$4407)</f>
        <v>0</v>
      </c>
      <c r="J48" s="76">
        <f ca="1">SUMIF('Production '!$C$4:$AI$4407,'Tracking Sheet'!B48,'Production '!$AG$4:$AG$4407)</f>
        <v>0</v>
      </c>
    </row>
    <row r="49" spans="2:10" x14ac:dyDescent="0.3">
      <c r="B49" s="277" t="str">
        <f>'Production '!C52</f>
        <v>23325 17th</v>
      </c>
      <c r="C49" s="76">
        <f ca="1">SUMIF('Production '!$C$4:$AI$4407,'Tracking Sheet'!B49,'Production '!$M$4:$M$4407)</f>
        <v>6705</v>
      </c>
      <c r="D49" s="76">
        <f ca="1">SUMIF('Production '!$C$4:$AI$4407,'Tracking Sheet'!B49,'Production '!$Q$4:$Q$4407)</f>
        <v>0</v>
      </c>
      <c r="E49" s="76">
        <f ca="1">SUMIF('Production '!$C$4:$AI$4407,'Tracking Sheet'!B49,'Production '!$S$4:$S$4407)</f>
        <v>0</v>
      </c>
      <c r="F49" s="76">
        <f ca="1">SUMIF('Production '!$C$4:$AI$4407,'Tracking Sheet'!B49,'Production '!$U$4:$U$4407)</f>
        <v>42</v>
      </c>
      <c r="G49" s="76">
        <f ca="1">SUMIF('Production '!$C$4:$AI$4407,'Tracking Sheet'!B49,'Production '!$W$4:$W$4407)</f>
        <v>6663</v>
      </c>
      <c r="H49" s="76">
        <f ca="1">SUMIF('Production '!$C$4:$AI$4407,'Tracking Sheet'!B49,'Production '!$F$4:$F$4407)</f>
        <v>6500</v>
      </c>
      <c r="I49" s="76">
        <f ca="1">SUMIF('Production '!$C$4:$AI$4407,'Tracking Sheet'!B49,'Production '!$V$4:$V$4407)</f>
        <v>0</v>
      </c>
      <c r="J49" s="76">
        <f ca="1">SUMIF('Production '!$C$4:$AI$4407,'Tracking Sheet'!B49,'Production '!$AG$4:$AG$4407)</f>
        <v>0</v>
      </c>
    </row>
    <row r="50" spans="2:10" x14ac:dyDescent="0.3">
      <c r="B50" s="277" t="str">
        <f>'Production '!C53</f>
        <v>23325 17th</v>
      </c>
      <c r="C50" s="76">
        <f ca="1">SUMIF('Production '!$C$4:$AI$4407,'Tracking Sheet'!B50,'Production '!$M$4:$M$4407)</f>
        <v>6705</v>
      </c>
      <c r="D50" s="76">
        <f ca="1">SUMIF('Production '!$C$4:$AI$4407,'Tracking Sheet'!B50,'Production '!$Q$4:$Q$4407)</f>
        <v>0</v>
      </c>
      <c r="E50" s="76">
        <f ca="1">SUMIF('Production '!$C$4:$AI$4407,'Tracking Sheet'!B50,'Production '!$S$4:$S$4407)</f>
        <v>0</v>
      </c>
      <c r="F50" s="76">
        <f ca="1">SUMIF('Production '!$C$4:$AI$4407,'Tracking Sheet'!B50,'Production '!$U$4:$U$4407)</f>
        <v>42</v>
      </c>
      <c r="G50" s="76">
        <f ca="1">SUMIF('Production '!$C$4:$AI$4407,'Tracking Sheet'!B50,'Production '!$W$4:$W$4407)</f>
        <v>6663</v>
      </c>
      <c r="H50" s="76">
        <f ca="1">SUMIF('Production '!$C$4:$AI$4407,'Tracking Sheet'!B50,'Production '!$F$4:$F$4407)</f>
        <v>6500</v>
      </c>
      <c r="I50" s="76">
        <f ca="1">SUMIF('Production '!$C$4:$AI$4407,'Tracking Sheet'!B50,'Production '!$V$4:$V$4407)</f>
        <v>0</v>
      </c>
      <c r="J50" s="76">
        <f ca="1">SUMIF('Production '!$C$4:$AI$4407,'Tracking Sheet'!B50,'Production '!$AG$4:$AG$4407)</f>
        <v>0</v>
      </c>
    </row>
    <row r="51" spans="2:10" x14ac:dyDescent="0.3">
      <c r="B51" s="277">
        <f>'Production '!C54</f>
        <v>0</v>
      </c>
      <c r="C51" s="76" t="e">
        <f ca="1">SUMIF('Production '!$C$4:$AI$4407,'Tracking Sheet'!B51,'Production '!$M$4:$M$4407)</f>
        <v>#DIV/0!</v>
      </c>
      <c r="D51" s="76" t="e">
        <f ca="1">SUMIF('Production '!$C$4:$AI$4407,'Tracking Sheet'!B51,'Production '!$Q$4:$Q$4407)</f>
        <v>#DIV/0!</v>
      </c>
      <c r="E51" s="76">
        <f ca="1">SUMIF('Production '!$C$4:$AI$4407,'Tracking Sheet'!B51,'Production '!$S$4:$S$4407)</f>
        <v>-1268218.9828305368</v>
      </c>
      <c r="F51" s="76">
        <f ca="1">SUMIF('Production '!$C$4:$AI$4407,'Tracking Sheet'!B51,'Production '!$U$4:$U$4407)</f>
        <v>-10620.435600016917</v>
      </c>
      <c r="G51" s="76" t="e">
        <f ca="1">SUMIF('Production '!$C$4:$AI$4407,'Tracking Sheet'!B51,'Production '!$W$4:$W$4407)</f>
        <v>#DIV/0!</v>
      </c>
      <c r="H51" s="76">
        <f ca="1">SUMIF('Production '!$C$4:$AI$4407,'Tracking Sheet'!B51,'Production '!$F$4:$F$4407)</f>
        <v>3230621.3283604058</v>
      </c>
      <c r="I51" s="76">
        <f ca="1">SUMIF('Production '!$C$4:$AI$4407,'Tracking Sheet'!B51,'Production '!$V$4:$V$4407)</f>
        <v>-489.86487791182844</v>
      </c>
      <c r="J51" s="76">
        <f ca="1">SUMIF('Production '!$C$4:$AI$4407,'Tracking Sheet'!B51,'Production '!$AG$4:$AG$4407)</f>
        <v>0</v>
      </c>
    </row>
    <row r="52" spans="2:10" x14ac:dyDescent="0.3">
      <c r="B52" s="277" t="str">
        <f>'Production '!C55</f>
        <v>45963 11th</v>
      </c>
      <c r="C52" s="76">
        <f ca="1">SUMIF('Production '!$C$4:$AI$4407,'Tracking Sheet'!B52,'Production '!$M$4:$M$4407)</f>
        <v>17431</v>
      </c>
      <c r="D52" s="76">
        <f ca="1">SUMIF('Production '!$C$4:$AI$4407,'Tracking Sheet'!B52,'Production '!$Q$4:$Q$4407)</f>
        <v>0</v>
      </c>
      <c r="E52" s="76">
        <f ca="1">SUMIF('Production '!$C$4:$AI$4407,'Tracking Sheet'!B52,'Production '!$S$4:$S$4407)</f>
        <v>0</v>
      </c>
      <c r="F52" s="76">
        <f ca="1">SUMIF('Production '!$C$4:$AI$4407,'Tracking Sheet'!B52,'Production '!$U$4:$U$4407)</f>
        <v>0</v>
      </c>
      <c r="G52" s="76">
        <f ca="1">SUMIF('Production '!$C$4:$AI$4407,'Tracking Sheet'!B52,'Production '!$W$4:$W$4407)</f>
        <v>17431</v>
      </c>
      <c r="H52" s="76">
        <f ca="1">SUMIF('Production '!$C$4:$AI$4407,'Tracking Sheet'!B52,'Production '!$F$4:$F$4407)</f>
        <v>16800</v>
      </c>
      <c r="I52" s="76">
        <f ca="1">SUMIF('Production '!$C$4:$AI$4407,'Tracking Sheet'!B52,'Production '!$V$4:$V$4407)</f>
        <v>0</v>
      </c>
      <c r="J52" s="76">
        <f ca="1">SUMIF('Production '!$C$4:$AI$4407,'Tracking Sheet'!B52,'Production '!$AG$4:$AG$4407)</f>
        <v>0</v>
      </c>
    </row>
    <row r="53" spans="2:10" x14ac:dyDescent="0.3">
      <c r="B53" s="277" t="str">
        <f>'Production '!C56</f>
        <v>45963 11th</v>
      </c>
      <c r="C53" s="76">
        <f ca="1">SUMIF('Production '!$C$4:$AI$4407,'Tracking Sheet'!B53,'Production '!$M$4:$M$4407)</f>
        <v>17431</v>
      </c>
      <c r="D53" s="76">
        <f ca="1">SUMIF('Production '!$C$4:$AI$4407,'Tracking Sheet'!B53,'Production '!$Q$4:$Q$4407)</f>
        <v>0</v>
      </c>
      <c r="E53" s="76">
        <f ca="1">SUMIF('Production '!$C$4:$AI$4407,'Tracking Sheet'!B53,'Production '!$S$4:$S$4407)</f>
        <v>0</v>
      </c>
      <c r="F53" s="76">
        <f ca="1">SUMIF('Production '!$C$4:$AI$4407,'Tracking Sheet'!B53,'Production '!$U$4:$U$4407)</f>
        <v>0</v>
      </c>
      <c r="G53" s="76">
        <f ca="1">SUMIF('Production '!$C$4:$AI$4407,'Tracking Sheet'!B53,'Production '!$W$4:$W$4407)</f>
        <v>17431</v>
      </c>
      <c r="H53" s="76">
        <f ca="1">SUMIF('Production '!$C$4:$AI$4407,'Tracking Sheet'!B53,'Production '!$F$4:$F$4407)</f>
        <v>16800</v>
      </c>
      <c r="I53" s="76">
        <f ca="1">SUMIF('Production '!$C$4:$AI$4407,'Tracking Sheet'!B53,'Production '!$V$4:$V$4407)</f>
        <v>0</v>
      </c>
      <c r="J53" s="76">
        <f ca="1">SUMIF('Production '!$C$4:$AI$4407,'Tracking Sheet'!B53,'Production '!$AG$4:$AG$4407)</f>
        <v>0</v>
      </c>
    </row>
    <row r="54" spans="2:10" x14ac:dyDescent="0.3">
      <c r="B54" s="277" t="str">
        <f>'Production '!C57</f>
        <v>45963 11th</v>
      </c>
      <c r="C54" s="76">
        <f ca="1">SUMIF('Production '!$C$4:$AI$4407,'Tracking Sheet'!B54,'Production '!$M$4:$M$4407)</f>
        <v>17431</v>
      </c>
      <c r="D54" s="76">
        <f ca="1">SUMIF('Production '!$C$4:$AI$4407,'Tracking Sheet'!B54,'Production '!$Q$4:$Q$4407)</f>
        <v>0</v>
      </c>
      <c r="E54" s="76">
        <f ca="1">SUMIF('Production '!$C$4:$AI$4407,'Tracking Sheet'!B54,'Production '!$S$4:$S$4407)</f>
        <v>0</v>
      </c>
      <c r="F54" s="76">
        <f ca="1">SUMIF('Production '!$C$4:$AI$4407,'Tracking Sheet'!B54,'Production '!$U$4:$U$4407)</f>
        <v>0</v>
      </c>
      <c r="G54" s="76">
        <f ca="1">SUMIF('Production '!$C$4:$AI$4407,'Tracking Sheet'!B54,'Production '!$W$4:$W$4407)</f>
        <v>17431</v>
      </c>
      <c r="H54" s="76">
        <f ca="1">SUMIF('Production '!$C$4:$AI$4407,'Tracking Sheet'!B54,'Production '!$F$4:$F$4407)</f>
        <v>16800</v>
      </c>
      <c r="I54" s="76">
        <f ca="1">SUMIF('Production '!$C$4:$AI$4407,'Tracking Sheet'!B54,'Production '!$V$4:$V$4407)</f>
        <v>0</v>
      </c>
      <c r="J54" s="76">
        <f ca="1">SUMIF('Production '!$C$4:$AI$4407,'Tracking Sheet'!B54,'Production '!$AG$4:$AG$4407)</f>
        <v>0</v>
      </c>
    </row>
    <row r="55" spans="2:10" x14ac:dyDescent="0.3">
      <c r="B55" s="277" t="str">
        <f>'Production '!C58</f>
        <v>45963 11th</v>
      </c>
      <c r="C55" s="76">
        <f ca="1">SUMIF('Production '!$C$4:$AI$4407,'Tracking Sheet'!B55,'Production '!$M$4:$M$4407)</f>
        <v>17431</v>
      </c>
      <c r="D55" s="76">
        <f ca="1">SUMIF('Production '!$C$4:$AI$4407,'Tracking Sheet'!B55,'Production '!$Q$4:$Q$4407)</f>
        <v>0</v>
      </c>
      <c r="E55" s="76">
        <f ca="1">SUMIF('Production '!$C$4:$AI$4407,'Tracking Sheet'!B55,'Production '!$S$4:$S$4407)</f>
        <v>0</v>
      </c>
      <c r="F55" s="76">
        <f ca="1">SUMIF('Production '!$C$4:$AI$4407,'Tracking Sheet'!B55,'Production '!$U$4:$U$4407)</f>
        <v>0</v>
      </c>
      <c r="G55" s="76">
        <f ca="1">SUMIF('Production '!$C$4:$AI$4407,'Tracking Sheet'!B55,'Production '!$W$4:$W$4407)</f>
        <v>17431</v>
      </c>
      <c r="H55" s="76">
        <f ca="1">SUMIF('Production '!$C$4:$AI$4407,'Tracking Sheet'!B55,'Production '!$F$4:$F$4407)</f>
        <v>16800</v>
      </c>
      <c r="I55" s="76">
        <f ca="1">SUMIF('Production '!$C$4:$AI$4407,'Tracking Sheet'!B55,'Production '!$V$4:$V$4407)</f>
        <v>0</v>
      </c>
      <c r="J55" s="76">
        <f ca="1">SUMIF('Production '!$C$4:$AI$4407,'Tracking Sheet'!B55,'Production '!$AG$4:$AG$4407)</f>
        <v>0</v>
      </c>
    </row>
    <row r="56" spans="2:10" x14ac:dyDescent="0.3">
      <c r="B56" s="277" t="str">
        <f>'Production '!C59</f>
        <v>45963 11th</v>
      </c>
      <c r="C56" s="76">
        <f ca="1">SUMIF('Production '!$C$4:$AI$4407,'Tracking Sheet'!B56,'Production '!$M$4:$M$4407)</f>
        <v>17431</v>
      </c>
      <c r="D56" s="76">
        <f ca="1">SUMIF('Production '!$C$4:$AI$4407,'Tracking Sheet'!B56,'Production '!$Q$4:$Q$4407)</f>
        <v>0</v>
      </c>
      <c r="E56" s="76">
        <f ca="1">SUMIF('Production '!$C$4:$AI$4407,'Tracking Sheet'!B56,'Production '!$S$4:$S$4407)</f>
        <v>0</v>
      </c>
      <c r="F56" s="76">
        <f ca="1">SUMIF('Production '!$C$4:$AI$4407,'Tracking Sheet'!B56,'Production '!$U$4:$U$4407)</f>
        <v>0</v>
      </c>
      <c r="G56" s="76">
        <f ca="1">SUMIF('Production '!$C$4:$AI$4407,'Tracking Sheet'!B56,'Production '!$W$4:$W$4407)</f>
        <v>17431</v>
      </c>
      <c r="H56" s="76">
        <f ca="1">SUMIF('Production '!$C$4:$AI$4407,'Tracking Sheet'!B56,'Production '!$F$4:$F$4407)</f>
        <v>16800</v>
      </c>
      <c r="I56" s="76">
        <f ca="1">SUMIF('Production '!$C$4:$AI$4407,'Tracking Sheet'!B56,'Production '!$V$4:$V$4407)</f>
        <v>0</v>
      </c>
      <c r="J56" s="76">
        <f ca="1">SUMIF('Production '!$C$4:$AI$4407,'Tracking Sheet'!B56,'Production '!$AG$4:$AG$4407)</f>
        <v>0</v>
      </c>
    </row>
    <row r="57" spans="2:10" x14ac:dyDescent="0.3">
      <c r="B57" s="277" t="str">
        <f>'Production '!C60</f>
        <v>45963 11th</v>
      </c>
      <c r="C57" s="76">
        <f ca="1">SUMIF('Production '!$C$4:$AI$4407,'Tracking Sheet'!B57,'Production '!$M$4:$M$4407)</f>
        <v>17431</v>
      </c>
      <c r="D57" s="76">
        <f ca="1">SUMIF('Production '!$C$4:$AI$4407,'Tracking Sheet'!B57,'Production '!$Q$4:$Q$4407)</f>
        <v>0</v>
      </c>
      <c r="E57" s="76">
        <f ca="1">SUMIF('Production '!$C$4:$AI$4407,'Tracking Sheet'!B57,'Production '!$S$4:$S$4407)</f>
        <v>0</v>
      </c>
      <c r="F57" s="76">
        <f ca="1">SUMIF('Production '!$C$4:$AI$4407,'Tracking Sheet'!B57,'Production '!$U$4:$U$4407)</f>
        <v>0</v>
      </c>
      <c r="G57" s="76">
        <f ca="1">SUMIF('Production '!$C$4:$AI$4407,'Tracking Sheet'!B57,'Production '!$W$4:$W$4407)</f>
        <v>17431</v>
      </c>
      <c r="H57" s="76">
        <f ca="1">SUMIF('Production '!$C$4:$AI$4407,'Tracking Sheet'!B57,'Production '!$F$4:$F$4407)</f>
        <v>16800</v>
      </c>
      <c r="I57" s="76">
        <f ca="1">SUMIF('Production '!$C$4:$AI$4407,'Tracking Sheet'!B57,'Production '!$V$4:$V$4407)</f>
        <v>0</v>
      </c>
      <c r="J57" s="76">
        <f ca="1">SUMIF('Production '!$C$4:$AI$4407,'Tracking Sheet'!B57,'Production '!$AG$4:$AG$4407)</f>
        <v>0</v>
      </c>
    </row>
    <row r="58" spans="2:10" x14ac:dyDescent="0.3">
      <c r="B58" s="277" t="str">
        <f>'Production '!C61</f>
        <v>45963 11th</v>
      </c>
      <c r="C58" s="76">
        <f ca="1">SUMIF('Production '!$C$4:$AI$4407,'Tracking Sheet'!B58,'Production '!$M$4:$M$4407)</f>
        <v>17431</v>
      </c>
      <c r="D58" s="76">
        <f ca="1">SUMIF('Production '!$C$4:$AI$4407,'Tracking Sheet'!B58,'Production '!$Q$4:$Q$4407)</f>
        <v>0</v>
      </c>
      <c r="E58" s="76">
        <f ca="1">SUMIF('Production '!$C$4:$AI$4407,'Tracking Sheet'!B58,'Production '!$S$4:$S$4407)</f>
        <v>0</v>
      </c>
      <c r="F58" s="76">
        <f ca="1">SUMIF('Production '!$C$4:$AI$4407,'Tracking Sheet'!B58,'Production '!$U$4:$U$4407)</f>
        <v>0</v>
      </c>
      <c r="G58" s="76">
        <f ca="1">SUMIF('Production '!$C$4:$AI$4407,'Tracking Sheet'!B58,'Production '!$W$4:$W$4407)</f>
        <v>17431</v>
      </c>
      <c r="H58" s="76">
        <f ca="1">SUMIF('Production '!$C$4:$AI$4407,'Tracking Sheet'!B58,'Production '!$F$4:$F$4407)</f>
        <v>16800</v>
      </c>
      <c r="I58" s="76">
        <f ca="1">SUMIF('Production '!$C$4:$AI$4407,'Tracking Sheet'!B58,'Production '!$V$4:$V$4407)</f>
        <v>0</v>
      </c>
      <c r="J58" s="76">
        <f ca="1">SUMIF('Production '!$C$4:$AI$4407,'Tracking Sheet'!B58,'Production '!$AG$4:$AG$4407)</f>
        <v>0</v>
      </c>
    </row>
    <row r="59" spans="2:10" x14ac:dyDescent="0.3">
      <c r="B59" s="277" t="str">
        <f>'Production '!C62</f>
        <v>45963 11th</v>
      </c>
      <c r="C59" s="76">
        <f ca="1">SUMIF('Production '!$C$4:$AI$4407,'Tracking Sheet'!B59,'Production '!$M$4:$M$4407)</f>
        <v>17431</v>
      </c>
      <c r="D59" s="76">
        <f ca="1">SUMIF('Production '!$C$4:$AI$4407,'Tracking Sheet'!B59,'Production '!$Q$4:$Q$4407)</f>
        <v>0</v>
      </c>
      <c r="E59" s="76">
        <f ca="1">SUMIF('Production '!$C$4:$AI$4407,'Tracking Sheet'!B59,'Production '!$S$4:$S$4407)</f>
        <v>0</v>
      </c>
      <c r="F59" s="76">
        <f ca="1">SUMIF('Production '!$C$4:$AI$4407,'Tracking Sheet'!B59,'Production '!$U$4:$U$4407)</f>
        <v>0</v>
      </c>
      <c r="G59" s="76">
        <f ca="1">SUMIF('Production '!$C$4:$AI$4407,'Tracking Sheet'!B59,'Production '!$W$4:$W$4407)</f>
        <v>17431</v>
      </c>
      <c r="H59" s="76">
        <f ca="1">SUMIF('Production '!$C$4:$AI$4407,'Tracking Sheet'!B59,'Production '!$F$4:$F$4407)</f>
        <v>16800</v>
      </c>
      <c r="I59" s="76">
        <f ca="1">SUMIF('Production '!$C$4:$AI$4407,'Tracking Sheet'!B59,'Production '!$V$4:$V$4407)</f>
        <v>0</v>
      </c>
      <c r="J59" s="76">
        <f ca="1">SUMIF('Production '!$C$4:$AI$4407,'Tracking Sheet'!B59,'Production '!$AG$4:$AG$4407)</f>
        <v>0</v>
      </c>
    </row>
    <row r="60" spans="2:10" x14ac:dyDescent="0.3">
      <c r="B60" s="277">
        <f>'Production '!C63</f>
        <v>0</v>
      </c>
      <c r="C60" s="76" t="e">
        <f ca="1">SUMIF('Production '!$C$4:$AI$4407,'Tracking Sheet'!B60,'Production '!$M$4:$M$4407)</f>
        <v>#DIV/0!</v>
      </c>
      <c r="D60" s="76" t="e">
        <f ca="1">SUMIF('Production '!$C$4:$AI$4407,'Tracking Sheet'!B60,'Production '!$Q$4:$Q$4407)</f>
        <v>#DIV/0!</v>
      </c>
      <c r="E60" s="76">
        <f ca="1">SUMIF('Production '!$C$4:$AI$4407,'Tracking Sheet'!B60,'Production '!$S$4:$S$4407)</f>
        <v>-1268218.9828305368</v>
      </c>
      <c r="F60" s="76">
        <f ca="1">SUMIF('Production '!$C$4:$AI$4407,'Tracking Sheet'!B60,'Production '!$U$4:$U$4407)</f>
        <v>-10620.435600016917</v>
      </c>
      <c r="G60" s="76" t="e">
        <f ca="1">SUMIF('Production '!$C$4:$AI$4407,'Tracking Sheet'!B60,'Production '!$W$4:$W$4407)</f>
        <v>#DIV/0!</v>
      </c>
      <c r="H60" s="76">
        <f ca="1">SUMIF('Production '!$C$4:$AI$4407,'Tracking Sheet'!B60,'Production '!$F$4:$F$4407)</f>
        <v>3230621.3283604058</v>
      </c>
      <c r="I60" s="76">
        <f ca="1">SUMIF('Production '!$C$4:$AI$4407,'Tracking Sheet'!B60,'Production '!$V$4:$V$4407)</f>
        <v>-489.86487791182844</v>
      </c>
      <c r="J60" s="76">
        <f ca="1">SUMIF('Production '!$C$4:$AI$4407,'Tracking Sheet'!B60,'Production '!$AG$4:$AG$4407)</f>
        <v>0</v>
      </c>
    </row>
    <row r="61" spans="2:10" x14ac:dyDescent="0.3">
      <c r="B61" s="277" t="str">
        <f>'Production '!C64</f>
        <v>40675 11th</v>
      </c>
      <c r="C61" s="76">
        <f ca="1">SUMIF('Production '!$C$4:$AI$4407,'Tracking Sheet'!B61,'Production '!$M$4:$M$4407)</f>
        <v>6289</v>
      </c>
      <c r="D61" s="76">
        <f ca="1">SUMIF('Production '!$C$4:$AI$4407,'Tracking Sheet'!B61,'Production '!$Q$4:$Q$4407)</f>
        <v>0</v>
      </c>
      <c r="E61" s="76">
        <f ca="1">SUMIF('Production '!$C$4:$AI$4407,'Tracking Sheet'!B61,'Production '!$S$4:$S$4407)</f>
        <v>0</v>
      </c>
      <c r="F61" s="76">
        <f ca="1">SUMIF('Production '!$C$4:$AI$4407,'Tracking Sheet'!B61,'Production '!$U$4:$U$4407)</f>
        <v>40</v>
      </c>
      <c r="G61" s="76">
        <f ca="1">SUMIF('Production '!$C$4:$AI$4407,'Tracking Sheet'!B61,'Production '!$W$4:$W$4407)</f>
        <v>6249</v>
      </c>
      <c r="H61" s="76">
        <f ca="1">SUMIF('Production '!$C$4:$AI$4407,'Tracking Sheet'!B61,'Production '!$F$4:$F$4407)</f>
        <v>6000</v>
      </c>
      <c r="I61" s="76">
        <f ca="1">SUMIF('Production '!$C$4:$AI$4407,'Tracking Sheet'!B61,'Production '!$V$4:$V$4407)</f>
        <v>0</v>
      </c>
      <c r="J61" s="76">
        <f ca="1">SUMIF('Production '!$C$4:$AI$4407,'Tracking Sheet'!B61,'Production '!$AG$4:$AG$4407)</f>
        <v>0</v>
      </c>
    </row>
    <row r="62" spans="2:10" x14ac:dyDescent="0.3">
      <c r="B62" s="277" t="str">
        <f>'Production '!C65</f>
        <v>40675 11th</v>
      </c>
      <c r="C62" s="76">
        <f ca="1">SUMIF('Production '!$C$4:$AI$4407,'Tracking Sheet'!B62,'Production '!$M$4:$M$4407)</f>
        <v>6289</v>
      </c>
      <c r="D62" s="76">
        <f ca="1">SUMIF('Production '!$C$4:$AI$4407,'Tracking Sheet'!B62,'Production '!$Q$4:$Q$4407)</f>
        <v>0</v>
      </c>
      <c r="E62" s="76">
        <f ca="1">SUMIF('Production '!$C$4:$AI$4407,'Tracking Sheet'!B62,'Production '!$S$4:$S$4407)</f>
        <v>0</v>
      </c>
      <c r="F62" s="76">
        <f ca="1">SUMIF('Production '!$C$4:$AI$4407,'Tracking Sheet'!B62,'Production '!$U$4:$U$4407)</f>
        <v>40</v>
      </c>
      <c r="G62" s="76">
        <f ca="1">SUMIF('Production '!$C$4:$AI$4407,'Tracking Sheet'!B62,'Production '!$W$4:$W$4407)</f>
        <v>6249</v>
      </c>
      <c r="H62" s="76">
        <f ca="1">SUMIF('Production '!$C$4:$AI$4407,'Tracking Sheet'!B62,'Production '!$F$4:$F$4407)</f>
        <v>6000</v>
      </c>
      <c r="I62" s="76">
        <f ca="1">SUMIF('Production '!$C$4:$AI$4407,'Tracking Sheet'!B62,'Production '!$V$4:$V$4407)</f>
        <v>0</v>
      </c>
      <c r="J62" s="76">
        <f ca="1">SUMIF('Production '!$C$4:$AI$4407,'Tracking Sheet'!B62,'Production '!$AG$4:$AG$4407)</f>
        <v>0</v>
      </c>
    </row>
    <row r="63" spans="2:10" x14ac:dyDescent="0.3">
      <c r="B63" s="277" t="str">
        <f>'Production '!C66</f>
        <v>40675 11th</v>
      </c>
      <c r="C63" s="76">
        <f ca="1">SUMIF('Production '!$C$4:$AI$4407,'Tracking Sheet'!B63,'Production '!$M$4:$M$4407)</f>
        <v>6289</v>
      </c>
      <c r="D63" s="76">
        <f ca="1">SUMIF('Production '!$C$4:$AI$4407,'Tracking Sheet'!B63,'Production '!$Q$4:$Q$4407)</f>
        <v>0</v>
      </c>
      <c r="E63" s="76">
        <f ca="1">SUMIF('Production '!$C$4:$AI$4407,'Tracking Sheet'!B63,'Production '!$S$4:$S$4407)</f>
        <v>0</v>
      </c>
      <c r="F63" s="76">
        <f ca="1">SUMIF('Production '!$C$4:$AI$4407,'Tracking Sheet'!B63,'Production '!$U$4:$U$4407)</f>
        <v>40</v>
      </c>
      <c r="G63" s="76">
        <f ca="1">SUMIF('Production '!$C$4:$AI$4407,'Tracking Sheet'!B63,'Production '!$W$4:$W$4407)</f>
        <v>6249</v>
      </c>
      <c r="H63" s="76">
        <f ca="1">SUMIF('Production '!$C$4:$AI$4407,'Tracking Sheet'!B63,'Production '!$F$4:$F$4407)</f>
        <v>6000</v>
      </c>
      <c r="I63" s="76">
        <f ca="1">SUMIF('Production '!$C$4:$AI$4407,'Tracking Sheet'!B63,'Production '!$V$4:$V$4407)</f>
        <v>0</v>
      </c>
      <c r="J63" s="76">
        <f ca="1">SUMIF('Production '!$C$4:$AI$4407,'Tracking Sheet'!B63,'Production '!$AG$4:$AG$4407)</f>
        <v>0</v>
      </c>
    </row>
    <row r="64" spans="2:10" x14ac:dyDescent="0.3">
      <c r="B64" s="277">
        <f>'Production '!C67</f>
        <v>0</v>
      </c>
      <c r="C64" s="76" t="e">
        <f ca="1">SUMIF('Production '!$C$4:$AI$4407,'Tracking Sheet'!B64,'Production '!$M$4:$M$4407)</f>
        <v>#DIV/0!</v>
      </c>
      <c r="D64" s="76" t="e">
        <f ca="1">SUMIF('Production '!$C$4:$AI$4407,'Tracking Sheet'!B64,'Production '!$Q$4:$Q$4407)</f>
        <v>#DIV/0!</v>
      </c>
      <c r="E64" s="76">
        <f ca="1">SUMIF('Production '!$C$4:$AI$4407,'Tracking Sheet'!B64,'Production '!$S$4:$S$4407)</f>
        <v>-1268218.9828305368</v>
      </c>
      <c r="F64" s="76">
        <f ca="1">SUMIF('Production '!$C$4:$AI$4407,'Tracking Sheet'!B64,'Production '!$U$4:$U$4407)</f>
        <v>-10620.435600016917</v>
      </c>
      <c r="G64" s="76" t="e">
        <f ca="1">SUMIF('Production '!$C$4:$AI$4407,'Tracking Sheet'!B64,'Production '!$W$4:$W$4407)</f>
        <v>#DIV/0!</v>
      </c>
      <c r="H64" s="76">
        <f ca="1">SUMIF('Production '!$C$4:$AI$4407,'Tracking Sheet'!B64,'Production '!$F$4:$F$4407)</f>
        <v>3230621.3283604058</v>
      </c>
      <c r="I64" s="76">
        <f ca="1">SUMIF('Production '!$C$4:$AI$4407,'Tracking Sheet'!B64,'Production '!$V$4:$V$4407)</f>
        <v>-489.86487791182844</v>
      </c>
      <c r="J64" s="76">
        <f ca="1">SUMIF('Production '!$C$4:$AI$4407,'Tracking Sheet'!B64,'Production '!$AG$4:$AG$4407)</f>
        <v>0</v>
      </c>
    </row>
    <row r="65" spans="2:10" x14ac:dyDescent="0.3">
      <c r="B65" s="277" t="str">
        <f>'Production '!C68</f>
        <v>44587 10th</v>
      </c>
      <c r="C65" s="76">
        <f ca="1">SUMIF('Production '!$C$4:$AI$4407,'Tracking Sheet'!B65,'Production '!$M$4:$M$4407)</f>
        <v>2529</v>
      </c>
      <c r="D65" s="76">
        <f ca="1">SUMIF('Production '!$C$4:$AI$4407,'Tracking Sheet'!B65,'Production '!$Q$4:$Q$4407)</f>
        <v>0</v>
      </c>
      <c r="E65" s="76">
        <f ca="1">SUMIF('Production '!$C$4:$AI$4407,'Tracking Sheet'!B65,'Production '!$S$4:$S$4407)</f>
        <v>0</v>
      </c>
      <c r="F65" s="76">
        <f ca="1">SUMIF('Production '!$C$4:$AI$4407,'Tracking Sheet'!B65,'Production '!$U$4:$U$4407)</f>
        <v>0</v>
      </c>
      <c r="G65" s="76">
        <f ca="1">SUMIF('Production '!$C$4:$AI$4407,'Tracking Sheet'!B65,'Production '!$W$4:$W$4407)</f>
        <v>2529</v>
      </c>
      <c r="H65" s="76">
        <f ca="1">SUMIF('Production '!$C$4:$AI$4407,'Tracking Sheet'!B65,'Production '!$F$4:$F$4407)</f>
        <v>2400</v>
      </c>
      <c r="I65" s="76">
        <f ca="1">SUMIF('Production '!$C$4:$AI$4407,'Tracking Sheet'!B65,'Production '!$V$4:$V$4407)</f>
        <v>0</v>
      </c>
      <c r="J65" s="76">
        <f ca="1">SUMIF('Production '!$C$4:$AI$4407,'Tracking Sheet'!B65,'Production '!$AG$4:$AG$4407)</f>
        <v>0</v>
      </c>
    </row>
    <row r="66" spans="2:10" x14ac:dyDescent="0.3">
      <c r="B66" s="277" t="str">
        <f>'Production '!C69</f>
        <v>44587 10th</v>
      </c>
      <c r="C66" s="76">
        <f ca="1">SUMIF('Production '!$C$4:$AI$4407,'Tracking Sheet'!B66,'Production '!$M$4:$M$4407)</f>
        <v>2529</v>
      </c>
      <c r="D66" s="76">
        <f ca="1">SUMIF('Production '!$C$4:$AI$4407,'Tracking Sheet'!B66,'Production '!$Q$4:$Q$4407)</f>
        <v>0</v>
      </c>
      <c r="E66" s="76">
        <f ca="1">SUMIF('Production '!$C$4:$AI$4407,'Tracking Sheet'!B66,'Production '!$S$4:$S$4407)</f>
        <v>0</v>
      </c>
      <c r="F66" s="76">
        <f ca="1">SUMIF('Production '!$C$4:$AI$4407,'Tracking Sheet'!B66,'Production '!$U$4:$U$4407)</f>
        <v>0</v>
      </c>
      <c r="G66" s="76">
        <f ca="1">SUMIF('Production '!$C$4:$AI$4407,'Tracking Sheet'!B66,'Production '!$W$4:$W$4407)</f>
        <v>2529</v>
      </c>
      <c r="H66" s="76">
        <f ca="1">SUMIF('Production '!$C$4:$AI$4407,'Tracking Sheet'!B66,'Production '!$F$4:$F$4407)</f>
        <v>2400</v>
      </c>
      <c r="I66" s="76">
        <f ca="1">SUMIF('Production '!$C$4:$AI$4407,'Tracking Sheet'!B66,'Production '!$V$4:$V$4407)</f>
        <v>0</v>
      </c>
      <c r="J66" s="76">
        <f ca="1">SUMIF('Production '!$C$4:$AI$4407,'Tracking Sheet'!B66,'Production '!$AG$4:$AG$4407)</f>
        <v>0</v>
      </c>
    </row>
    <row r="67" spans="2:10" x14ac:dyDescent="0.3">
      <c r="B67" s="277" t="str">
        <f>'Production '!C70</f>
        <v>44587 10th</v>
      </c>
      <c r="C67" s="76">
        <f ca="1">SUMIF('Production '!$C$4:$AI$4407,'Tracking Sheet'!B67,'Production '!$M$4:$M$4407)</f>
        <v>2529</v>
      </c>
      <c r="D67" s="76">
        <f ca="1">SUMIF('Production '!$C$4:$AI$4407,'Tracking Sheet'!B67,'Production '!$Q$4:$Q$4407)</f>
        <v>0</v>
      </c>
      <c r="E67" s="76">
        <f ca="1">SUMIF('Production '!$C$4:$AI$4407,'Tracking Sheet'!B67,'Production '!$S$4:$S$4407)</f>
        <v>0</v>
      </c>
      <c r="F67" s="76">
        <f ca="1">SUMIF('Production '!$C$4:$AI$4407,'Tracking Sheet'!B67,'Production '!$U$4:$U$4407)</f>
        <v>0</v>
      </c>
      <c r="G67" s="76">
        <f ca="1">SUMIF('Production '!$C$4:$AI$4407,'Tracking Sheet'!B67,'Production '!$W$4:$W$4407)</f>
        <v>2529</v>
      </c>
      <c r="H67" s="76">
        <f ca="1">SUMIF('Production '!$C$4:$AI$4407,'Tracking Sheet'!B67,'Production '!$F$4:$F$4407)</f>
        <v>2400</v>
      </c>
      <c r="I67" s="76">
        <f ca="1">SUMIF('Production '!$C$4:$AI$4407,'Tracking Sheet'!B67,'Production '!$V$4:$V$4407)</f>
        <v>0</v>
      </c>
      <c r="J67" s="76">
        <f ca="1">SUMIF('Production '!$C$4:$AI$4407,'Tracking Sheet'!B67,'Production '!$AG$4:$AG$4407)</f>
        <v>0</v>
      </c>
    </row>
    <row r="68" spans="2:10" x14ac:dyDescent="0.3">
      <c r="B68" s="277">
        <f>'Production '!C71</f>
        <v>0</v>
      </c>
      <c r="C68" s="76" t="e">
        <f ca="1">SUMIF('Production '!$C$4:$AI$4407,'Tracking Sheet'!B68,'Production '!$M$4:$M$4407)</f>
        <v>#DIV/0!</v>
      </c>
      <c r="D68" s="76" t="e">
        <f ca="1">SUMIF('Production '!$C$4:$AI$4407,'Tracking Sheet'!B68,'Production '!$Q$4:$Q$4407)</f>
        <v>#DIV/0!</v>
      </c>
      <c r="E68" s="76">
        <f ca="1">SUMIF('Production '!$C$4:$AI$4407,'Tracking Sheet'!B68,'Production '!$S$4:$S$4407)</f>
        <v>-1268218.9828305368</v>
      </c>
      <c r="F68" s="76">
        <f ca="1">SUMIF('Production '!$C$4:$AI$4407,'Tracking Sheet'!B68,'Production '!$U$4:$U$4407)</f>
        <v>-10620.435600016917</v>
      </c>
      <c r="G68" s="76" t="e">
        <f ca="1">SUMIF('Production '!$C$4:$AI$4407,'Tracking Sheet'!B68,'Production '!$W$4:$W$4407)</f>
        <v>#DIV/0!</v>
      </c>
      <c r="H68" s="76">
        <f ca="1">SUMIF('Production '!$C$4:$AI$4407,'Tracking Sheet'!B68,'Production '!$F$4:$F$4407)</f>
        <v>3230621.3283604058</v>
      </c>
      <c r="I68" s="76">
        <f ca="1">SUMIF('Production '!$C$4:$AI$4407,'Tracking Sheet'!B68,'Production '!$V$4:$V$4407)</f>
        <v>-489.86487791182844</v>
      </c>
      <c r="J68" s="76">
        <f ca="1">SUMIF('Production '!$C$4:$AI$4407,'Tracking Sheet'!B68,'Production '!$AG$4:$AG$4407)</f>
        <v>0</v>
      </c>
    </row>
    <row r="69" spans="2:10" x14ac:dyDescent="0.3">
      <c r="B69" s="277" t="str">
        <f>'Production '!C72</f>
        <v>46703 2nd</v>
      </c>
      <c r="C69" s="76">
        <f ca="1">SUMIF('Production '!$C$4:$AI$4407,'Tracking Sheet'!B69,'Production '!$M$4:$M$4407)</f>
        <v>1045</v>
      </c>
      <c r="D69" s="76">
        <f ca="1">SUMIF('Production '!$C$4:$AI$4407,'Tracking Sheet'!B69,'Production '!$Q$4:$Q$4407)</f>
        <v>0</v>
      </c>
      <c r="E69" s="76">
        <f ca="1">SUMIF('Production '!$C$4:$AI$4407,'Tracking Sheet'!B69,'Production '!$S$4:$S$4407)</f>
        <v>0</v>
      </c>
      <c r="F69" s="76">
        <f ca="1">SUMIF('Production '!$C$4:$AI$4407,'Tracking Sheet'!B69,'Production '!$U$4:$U$4407)</f>
        <v>4</v>
      </c>
      <c r="G69" s="76">
        <f ca="1">SUMIF('Production '!$C$4:$AI$4407,'Tracking Sheet'!B69,'Production '!$W$4:$W$4407)</f>
        <v>1041</v>
      </c>
      <c r="H69" s="76">
        <f ca="1">SUMIF('Production '!$C$4:$AI$4407,'Tracking Sheet'!B69,'Production '!$F$4:$F$4407)</f>
        <v>1000</v>
      </c>
      <c r="I69" s="76">
        <f ca="1">SUMIF('Production '!$C$4:$AI$4407,'Tracking Sheet'!B69,'Production '!$V$4:$V$4407)</f>
        <v>0</v>
      </c>
      <c r="J69" s="76">
        <f ca="1">SUMIF('Production '!$C$4:$AI$4407,'Tracking Sheet'!B69,'Production '!$AG$4:$AG$4407)</f>
        <v>0</v>
      </c>
    </row>
    <row r="70" spans="2:10" x14ac:dyDescent="0.3">
      <c r="B70" s="277">
        <f>'Production '!C73</f>
        <v>0</v>
      </c>
      <c r="C70" s="76" t="e">
        <f ca="1">SUMIF('Production '!$C$4:$AI$4407,'Tracking Sheet'!B70,'Production '!$M$4:$M$4407)</f>
        <v>#DIV/0!</v>
      </c>
      <c r="D70" s="76" t="e">
        <f ca="1">SUMIF('Production '!$C$4:$AI$4407,'Tracking Sheet'!B70,'Production '!$Q$4:$Q$4407)</f>
        <v>#DIV/0!</v>
      </c>
      <c r="E70" s="76">
        <f ca="1">SUMIF('Production '!$C$4:$AI$4407,'Tracking Sheet'!B70,'Production '!$S$4:$S$4407)</f>
        <v>-1268218.9828305368</v>
      </c>
      <c r="F70" s="76">
        <f ca="1">SUMIF('Production '!$C$4:$AI$4407,'Tracking Sheet'!B70,'Production '!$U$4:$U$4407)</f>
        <v>-10620.435600016917</v>
      </c>
      <c r="G70" s="76" t="e">
        <f ca="1">SUMIF('Production '!$C$4:$AI$4407,'Tracking Sheet'!B70,'Production '!$W$4:$W$4407)</f>
        <v>#DIV/0!</v>
      </c>
      <c r="H70" s="76">
        <f ca="1">SUMIF('Production '!$C$4:$AI$4407,'Tracking Sheet'!B70,'Production '!$F$4:$F$4407)</f>
        <v>3230621.3283604058</v>
      </c>
      <c r="I70" s="76">
        <f ca="1">SUMIF('Production '!$C$4:$AI$4407,'Tracking Sheet'!B70,'Production '!$V$4:$V$4407)</f>
        <v>-489.86487791182844</v>
      </c>
      <c r="J70" s="76">
        <f ca="1">SUMIF('Production '!$C$4:$AI$4407,'Tracking Sheet'!B70,'Production '!$AG$4:$AG$4407)</f>
        <v>0</v>
      </c>
    </row>
    <row r="71" spans="2:10" x14ac:dyDescent="0.3">
      <c r="B71" s="277" t="str">
        <f>'Production '!C74</f>
        <v>41712 15th</v>
      </c>
      <c r="C71" s="76">
        <f ca="1">SUMIF('Production '!$C$4:$AI$4407,'Tracking Sheet'!B71,'Production '!$M$4:$M$4407)</f>
        <v>2084</v>
      </c>
      <c r="D71" s="76">
        <f ca="1">SUMIF('Production '!$C$4:$AI$4407,'Tracking Sheet'!B71,'Production '!$Q$4:$Q$4407)</f>
        <v>0</v>
      </c>
      <c r="E71" s="76">
        <f ca="1">SUMIF('Production '!$C$4:$AI$4407,'Tracking Sheet'!B71,'Production '!$S$4:$S$4407)</f>
        <v>0</v>
      </c>
      <c r="F71" s="76">
        <f ca="1">SUMIF('Production '!$C$4:$AI$4407,'Tracking Sheet'!B71,'Production '!$U$4:$U$4407)</f>
        <v>2084</v>
      </c>
      <c r="G71" s="76">
        <f ca="1">SUMIF('Production '!$C$4:$AI$4407,'Tracking Sheet'!B71,'Production '!$W$4:$W$4407)</f>
        <v>0</v>
      </c>
      <c r="H71" s="76">
        <f ca="1">SUMIF('Production '!$C$4:$AI$4407,'Tracking Sheet'!B71,'Production '!$F$4:$F$4407)</f>
        <v>3000</v>
      </c>
      <c r="I71" s="76">
        <f ca="1">SUMIF('Production '!$C$4:$AI$4407,'Tracking Sheet'!B71,'Production '!$V$4:$V$4407)</f>
        <v>0</v>
      </c>
      <c r="J71" s="76">
        <f ca="1">SUMIF('Production '!$C$4:$AI$4407,'Tracking Sheet'!B71,'Production '!$AG$4:$AG$4407)</f>
        <v>-1000</v>
      </c>
    </row>
    <row r="72" spans="2:10" x14ac:dyDescent="0.3">
      <c r="B72" s="277" t="str">
        <f>'Production '!C75</f>
        <v>41712 15th</v>
      </c>
      <c r="C72" s="76">
        <f ca="1">SUMIF('Production '!$C$4:$AI$4407,'Tracking Sheet'!B72,'Production '!$M$4:$M$4407)</f>
        <v>2084</v>
      </c>
      <c r="D72" s="76">
        <f ca="1">SUMIF('Production '!$C$4:$AI$4407,'Tracking Sheet'!B72,'Production '!$Q$4:$Q$4407)</f>
        <v>0</v>
      </c>
      <c r="E72" s="76">
        <f ca="1">SUMIF('Production '!$C$4:$AI$4407,'Tracking Sheet'!B72,'Production '!$S$4:$S$4407)</f>
        <v>0</v>
      </c>
      <c r="F72" s="76">
        <f ca="1">SUMIF('Production '!$C$4:$AI$4407,'Tracking Sheet'!B72,'Production '!$U$4:$U$4407)</f>
        <v>2084</v>
      </c>
      <c r="G72" s="76">
        <f ca="1">SUMIF('Production '!$C$4:$AI$4407,'Tracking Sheet'!B72,'Production '!$W$4:$W$4407)</f>
        <v>0</v>
      </c>
      <c r="H72" s="76">
        <f ca="1">SUMIF('Production '!$C$4:$AI$4407,'Tracking Sheet'!B72,'Production '!$F$4:$F$4407)</f>
        <v>3000</v>
      </c>
      <c r="I72" s="76">
        <f ca="1">SUMIF('Production '!$C$4:$AI$4407,'Tracking Sheet'!B72,'Production '!$V$4:$V$4407)</f>
        <v>0</v>
      </c>
      <c r="J72" s="76">
        <f ca="1">SUMIF('Production '!$C$4:$AI$4407,'Tracking Sheet'!B72,'Production '!$AG$4:$AG$4407)</f>
        <v>-1000</v>
      </c>
    </row>
    <row r="73" spans="2:10" x14ac:dyDescent="0.3">
      <c r="B73" s="277" t="str">
        <f>'Production '!C76</f>
        <v>41712 15th</v>
      </c>
      <c r="C73" s="76">
        <f ca="1">SUMIF('Production '!$C$4:$AI$4407,'Tracking Sheet'!B73,'Production '!$M$4:$M$4407)</f>
        <v>2084</v>
      </c>
      <c r="D73" s="76">
        <f ca="1">SUMIF('Production '!$C$4:$AI$4407,'Tracking Sheet'!B73,'Production '!$Q$4:$Q$4407)</f>
        <v>0</v>
      </c>
      <c r="E73" s="76">
        <f ca="1">SUMIF('Production '!$C$4:$AI$4407,'Tracking Sheet'!B73,'Production '!$S$4:$S$4407)</f>
        <v>0</v>
      </c>
      <c r="F73" s="76">
        <f ca="1">SUMIF('Production '!$C$4:$AI$4407,'Tracking Sheet'!B73,'Production '!$U$4:$U$4407)</f>
        <v>2084</v>
      </c>
      <c r="G73" s="76">
        <f ca="1">SUMIF('Production '!$C$4:$AI$4407,'Tracking Sheet'!B73,'Production '!$W$4:$W$4407)</f>
        <v>0</v>
      </c>
      <c r="H73" s="76">
        <f ca="1">SUMIF('Production '!$C$4:$AI$4407,'Tracking Sheet'!B73,'Production '!$F$4:$F$4407)</f>
        <v>3000</v>
      </c>
      <c r="I73" s="76">
        <f ca="1">SUMIF('Production '!$C$4:$AI$4407,'Tracking Sheet'!B73,'Production '!$V$4:$V$4407)</f>
        <v>0</v>
      </c>
      <c r="J73" s="76">
        <f ca="1">SUMIF('Production '!$C$4:$AI$4407,'Tracking Sheet'!B73,'Production '!$AG$4:$AG$4407)</f>
        <v>-1000</v>
      </c>
    </row>
    <row r="74" spans="2:10" x14ac:dyDescent="0.3">
      <c r="B74" s="277">
        <f>'Production '!C77</f>
        <v>0</v>
      </c>
      <c r="C74" s="76" t="e">
        <f ca="1">SUMIF('Production '!$C$4:$AI$4407,'Tracking Sheet'!B74,'Production '!$M$4:$M$4407)</f>
        <v>#DIV/0!</v>
      </c>
      <c r="D74" s="76" t="e">
        <f ca="1">SUMIF('Production '!$C$4:$AI$4407,'Tracking Sheet'!B74,'Production '!$Q$4:$Q$4407)</f>
        <v>#DIV/0!</v>
      </c>
      <c r="E74" s="76">
        <f ca="1">SUMIF('Production '!$C$4:$AI$4407,'Tracking Sheet'!B74,'Production '!$S$4:$S$4407)</f>
        <v>-1268218.9828305368</v>
      </c>
      <c r="F74" s="76">
        <f ca="1">SUMIF('Production '!$C$4:$AI$4407,'Tracking Sheet'!B74,'Production '!$U$4:$U$4407)</f>
        <v>-10620.435600016917</v>
      </c>
      <c r="G74" s="76" t="e">
        <f ca="1">SUMIF('Production '!$C$4:$AI$4407,'Tracking Sheet'!B74,'Production '!$W$4:$W$4407)</f>
        <v>#DIV/0!</v>
      </c>
      <c r="H74" s="76">
        <f ca="1">SUMIF('Production '!$C$4:$AI$4407,'Tracking Sheet'!B74,'Production '!$F$4:$F$4407)</f>
        <v>3230621.3283604058</v>
      </c>
      <c r="I74" s="76">
        <f ca="1">SUMIF('Production '!$C$4:$AI$4407,'Tracking Sheet'!B74,'Production '!$V$4:$V$4407)</f>
        <v>-489.86487791182844</v>
      </c>
      <c r="J74" s="76">
        <f ca="1">SUMIF('Production '!$C$4:$AI$4407,'Tracking Sheet'!B74,'Production '!$AG$4:$AG$4407)</f>
        <v>0</v>
      </c>
    </row>
    <row r="75" spans="2:10" x14ac:dyDescent="0.3">
      <c r="B75" s="277" t="str">
        <f>'Production '!C78</f>
        <v>41712 16th</v>
      </c>
      <c r="C75" s="76">
        <f ca="1">SUMIF('Production '!$C$4:$AI$4407,'Tracking Sheet'!B75,'Production '!$M$4:$M$4407)</f>
        <v>0</v>
      </c>
      <c r="D75" s="76">
        <f ca="1">SUMIF('Production '!$C$4:$AI$4407,'Tracking Sheet'!B75,'Production '!$Q$4:$Q$4407)</f>
        <v>0</v>
      </c>
      <c r="E75" s="76">
        <f ca="1">SUMIF('Production '!$C$4:$AI$4407,'Tracking Sheet'!B75,'Production '!$S$4:$S$4407)</f>
        <v>0</v>
      </c>
      <c r="F75" s="76">
        <f ca="1">SUMIF('Production '!$C$4:$AI$4407,'Tracking Sheet'!B75,'Production '!$U$4:$U$4407)</f>
        <v>0</v>
      </c>
      <c r="G75" s="76">
        <f ca="1">SUMIF('Production '!$C$4:$AI$4407,'Tracking Sheet'!B75,'Production '!$W$4:$W$4407)</f>
        <v>0</v>
      </c>
      <c r="H75" s="76">
        <f ca="1">SUMIF('Production '!$C$4:$AI$4407,'Tracking Sheet'!B75,'Production '!$F$4:$F$4407)</f>
        <v>3600</v>
      </c>
      <c r="I75" s="76">
        <f ca="1">SUMIF('Production '!$C$4:$AI$4407,'Tracking Sheet'!B75,'Production '!$V$4:$V$4407)</f>
        <v>0</v>
      </c>
      <c r="J75" s="76">
        <f ca="1">SUMIF('Production '!$C$4:$AI$4407,'Tracking Sheet'!B75,'Production '!$AG$4:$AG$4407)</f>
        <v>-3600</v>
      </c>
    </row>
    <row r="76" spans="2:10" x14ac:dyDescent="0.3">
      <c r="B76" s="277" t="str">
        <f>'Production '!C79</f>
        <v>41712 16th</v>
      </c>
      <c r="C76" s="76">
        <f ca="1">SUMIF('Production '!$C$4:$AI$4407,'Tracking Sheet'!B76,'Production '!$M$4:$M$4407)</f>
        <v>0</v>
      </c>
      <c r="D76" s="76">
        <f ca="1">SUMIF('Production '!$C$4:$AI$4407,'Tracking Sheet'!B76,'Production '!$Q$4:$Q$4407)</f>
        <v>0</v>
      </c>
      <c r="E76" s="76">
        <f ca="1">SUMIF('Production '!$C$4:$AI$4407,'Tracking Sheet'!B76,'Production '!$S$4:$S$4407)</f>
        <v>0</v>
      </c>
      <c r="F76" s="76">
        <f ca="1">SUMIF('Production '!$C$4:$AI$4407,'Tracking Sheet'!B76,'Production '!$U$4:$U$4407)</f>
        <v>0</v>
      </c>
      <c r="G76" s="76">
        <f ca="1">SUMIF('Production '!$C$4:$AI$4407,'Tracking Sheet'!B76,'Production '!$W$4:$W$4407)</f>
        <v>0</v>
      </c>
      <c r="H76" s="76">
        <f ca="1">SUMIF('Production '!$C$4:$AI$4407,'Tracking Sheet'!B76,'Production '!$F$4:$F$4407)</f>
        <v>3600</v>
      </c>
      <c r="I76" s="76">
        <f ca="1">SUMIF('Production '!$C$4:$AI$4407,'Tracking Sheet'!B76,'Production '!$V$4:$V$4407)</f>
        <v>0</v>
      </c>
      <c r="J76" s="76">
        <f ca="1">SUMIF('Production '!$C$4:$AI$4407,'Tracking Sheet'!B76,'Production '!$AG$4:$AG$4407)</f>
        <v>-3600</v>
      </c>
    </row>
    <row r="77" spans="2:10" x14ac:dyDescent="0.3">
      <c r="B77" s="277" t="str">
        <f>'Production '!C80</f>
        <v>41712 16th</v>
      </c>
      <c r="C77" s="76">
        <f ca="1">SUMIF('Production '!$C$4:$AI$4407,'Tracking Sheet'!B77,'Production '!$M$4:$M$4407)</f>
        <v>0</v>
      </c>
      <c r="D77" s="76">
        <f ca="1">SUMIF('Production '!$C$4:$AI$4407,'Tracking Sheet'!B77,'Production '!$Q$4:$Q$4407)</f>
        <v>0</v>
      </c>
      <c r="E77" s="76">
        <f ca="1">SUMIF('Production '!$C$4:$AI$4407,'Tracking Sheet'!B77,'Production '!$S$4:$S$4407)</f>
        <v>0</v>
      </c>
      <c r="F77" s="76">
        <f ca="1">SUMIF('Production '!$C$4:$AI$4407,'Tracking Sheet'!B77,'Production '!$U$4:$U$4407)</f>
        <v>0</v>
      </c>
      <c r="G77" s="76">
        <f ca="1">SUMIF('Production '!$C$4:$AI$4407,'Tracking Sheet'!B77,'Production '!$W$4:$W$4407)</f>
        <v>0</v>
      </c>
      <c r="H77" s="76">
        <f ca="1">SUMIF('Production '!$C$4:$AI$4407,'Tracking Sheet'!B77,'Production '!$F$4:$F$4407)</f>
        <v>3600</v>
      </c>
      <c r="I77" s="76">
        <f ca="1">SUMIF('Production '!$C$4:$AI$4407,'Tracking Sheet'!B77,'Production '!$V$4:$V$4407)</f>
        <v>0</v>
      </c>
      <c r="J77" s="76">
        <f ca="1">SUMIF('Production '!$C$4:$AI$4407,'Tracking Sheet'!B77,'Production '!$AG$4:$AG$4407)</f>
        <v>-3600</v>
      </c>
    </row>
    <row r="78" spans="2:10" x14ac:dyDescent="0.3">
      <c r="B78" s="277">
        <f>'Production '!C81</f>
        <v>0</v>
      </c>
      <c r="C78" s="76" t="e">
        <f ca="1">SUMIF('Production '!$C$4:$AI$4407,'Tracking Sheet'!B78,'Production '!$M$4:$M$4407)</f>
        <v>#DIV/0!</v>
      </c>
      <c r="D78" s="76" t="e">
        <f ca="1">SUMIF('Production '!$C$4:$AI$4407,'Tracking Sheet'!B78,'Production '!$Q$4:$Q$4407)</f>
        <v>#DIV/0!</v>
      </c>
      <c r="E78" s="76">
        <f ca="1">SUMIF('Production '!$C$4:$AI$4407,'Tracking Sheet'!B78,'Production '!$S$4:$S$4407)</f>
        <v>-1268218.9828305368</v>
      </c>
      <c r="F78" s="76">
        <f ca="1">SUMIF('Production '!$C$4:$AI$4407,'Tracking Sheet'!B78,'Production '!$U$4:$U$4407)</f>
        <v>-10620.435600016917</v>
      </c>
      <c r="G78" s="76" t="e">
        <f ca="1">SUMIF('Production '!$C$4:$AI$4407,'Tracking Sheet'!B78,'Production '!$W$4:$W$4407)</f>
        <v>#DIV/0!</v>
      </c>
      <c r="H78" s="76">
        <f ca="1">SUMIF('Production '!$C$4:$AI$4407,'Tracking Sheet'!B78,'Production '!$F$4:$F$4407)</f>
        <v>3230621.3283604058</v>
      </c>
      <c r="I78" s="76">
        <f ca="1">SUMIF('Production '!$C$4:$AI$4407,'Tracking Sheet'!B78,'Production '!$V$4:$V$4407)</f>
        <v>-489.86487791182844</v>
      </c>
      <c r="J78" s="76">
        <f ca="1">SUMIF('Production '!$C$4:$AI$4407,'Tracking Sheet'!B78,'Production '!$AG$4:$AG$4407)</f>
        <v>0</v>
      </c>
    </row>
    <row r="79" spans="2:10" x14ac:dyDescent="0.3">
      <c r="B79" s="277" t="str">
        <f>'Production '!C82</f>
        <v>44281 2nd</v>
      </c>
      <c r="C79" s="76">
        <f ca="1">SUMIF('Production '!$C$4:$AI$4407,'Tracking Sheet'!B79,'Production '!$M$4:$M$4407)</f>
        <v>424</v>
      </c>
      <c r="D79" s="76">
        <f ca="1">SUMIF('Production '!$C$4:$AI$4407,'Tracking Sheet'!B79,'Production '!$Q$4:$Q$4407)</f>
        <v>0</v>
      </c>
      <c r="E79" s="76">
        <f ca="1">SUMIF('Production '!$C$4:$AI$4407,'Tracking Sheet'!B79,'Production '!$S$4:$S$4407)</f>
        <v>0</v>
      </c>
      <c r="F79" s="76">
        <f ca="1">SUMIF('Production '!$C$4:$AI$4407,'Tracking Sheet'!B79,'Production '!$U$4:$U$4407)</f>
        <v>4</v>
      </c>
      <c r="G79" s="76">
        <f ca="1">SUMIF('Production '!$C$4:$AI$4407,'Tracking Sheet'!B79,'Production '!$W$4:$W$4407)</f>
        <v>420</v>
      </c>
      <c r="H79" s="76">
        <f ca="1">SUMIF('Production '!$C$4:$AI$4407,'Tracking Sheet'!B79,'Production '!$F$4:$F$4407)</f>
        <v>400</v>
      </c>
      <c r="I79" s="76">
        <f ca="1">SUMIF('Production '!$C$4:$AI$4407,'Tracking Sheet'!B79,'Production '!$V$4:$V$4407)</f>
        <v>0</v>
      </c>
      <c r="J79" s="76">
        <f ca="1">SUMIF('Production '!$C$4:$AI$4407,'Tracking Sheet'!B79,'Production '!$AG$4:$AG$4407)</f>
        <v>0</v>
      </c>
    </row>
    <row r="80" spans="2:10" x14ac:dyDescent="0.3">
      <c r="B80" s="277">
        <f>'Production '!C83</f>
        <v>0</v>
      </c>
      <c r="C80" s="76" t="e">
        <f ca="1">SUMIF('Production '!$C$4:$AI$4407,'Tracking Sheet'!B80,'Production '!$M$4:$M$4407)</f>
        <v>#DIV/0!</v>
      </c>
      <c r="D80" s="76" t="e">
        <f ca="1">SUMIF('Production '!$C$4:$AI$4407,'Tracking Sheet'!B80,'Production '!$Q$4:$Q$4407)</f>
        <v>#DIV/0!</v>
      </c>
      <c r="E80" s="76">
        <f ca="1">SUMIF('Production '!$C$4:$AI$4407,'Tracking Sheet'!B80,'Production '!$S$4:$S$4407)</f>
        <v>-1268218.9828305368</v>
      </c>
      <c r="F80" s="76">
        <f ca="1">SUMIF('Production '!$C$4:$AI$4407,'Tracking Sheet'!B80,'Production '!$U$4:$U$4407)</f>
        <v>-10620.435600016917</v>
      </c>
      <c r="G80" s="76" t="e">
        <f ca="1">SUMIF('Production '!$C$4:$AI$4407,'Tracking Sheet'!B80,'Production '!$W$4:$W$4407)</f>
        <v>#DIV/0!</v>
      </c>
      <c r="H80" s="76">
        <f ca="1">SUMIF('Production '!$C$4:$AI$4407,'Tracking Sheet'!B80,'Production '!$F$4:$F$4407)</f>
        <v>3230621.3283604058</v>
      </c>
      <c r="I80" s="76">
        <f ca="1">SUMIF('Production '!$C$4:$AI$4407,'Tracking Sheet'!B80,'Production '!$V$4:$V$4407)</f>
        <v>-489.86487791182844</v>
      </c>
      <c r="J80" s="76">
        <f ca="1">SUMIF('Production '!$C$4:$AI$4407,'Tracking Sheet'!B80,'Production '!$AG$4:$AG$4407)</f>
        <v>0</v>
      </c>
    </row>
    <row r="81" spans="2:10" x14ac:dyDescent="0.3">
      <c r="B81" s="277" t="str">
        <f>'Production '!C84</f>
        <v>30703 12th</v>
      </c>
      <c r="C81" s="76">
        <f ca="1">SUMIF('Production '!$C$4:$AI$4407,'Tracking Sheet'!B81,'Production '!$M$4:$M$4407)</f>
        <v>2542</v>
      </c>
      <c r="D81" s="76">
        <f ca="1">SUMIF('Production '!$C$4:$AI$4407,'Tracking Sheet'!B81,'Production '!$Q$4:$Q$4407)</f>
        <v>0</v>
      </c>
      <c r="E81" s="76">
        <f ca="1">SUMIF('Production '!$C$4:$AI$4407,'Tracking Sheet'!B81,'Production '!$S$4:$S$4407)</f>
        <v>0</v>
      </c>
      <c r="F81" s="76">
        <f ca="1">SUMIF('Production '!$C$4:$AI$4407,'Tracking Sheet'!B81,'Production '!$U$4:$U$4407)</f>
        <v>0</v>
      </c>
      <c r="G81" s="76">
        <f ca="1">SUMIF('Production '!$C$4:$AI$4407,'Tracking Sheet'!B81,'Production '!$W$4:$W$4407)</f>
        <v>2542</v>
      </c>
      <c r="H81" s="76">
        <f ca="1">SUMIF('Production '!$C$4:$AI$4407,'Tracking Sheet'!B81,'Production '!$F$4:$F$4407)</f>
        <v>2500</v>
      </c>
      <c r="I81" s="76">
        <f ca="1">SUMIF('Production '!$C$4:$AI$4407,'Tracking Sheet'!B81,'Production '!$V$4:$V$4407)</f>
        <v>0</v>
      </c>
      <c r="J81" s="76">
        <f ca="1">SUMIF('Production '!$C$4:$AI$4407,'Tracking Sheet'!B81,'Production '!$AG$4:$AG$4407)</f>
        <v>0</v>
      </c>
    </row>
    <row r="82" spans="2:10" x14ac:dyDescent="0.3">
      <c r="B82" s="277">
        <f>'Production '!C85</f>
        <v>0</v>
      </c>
      <c r="C82" s="76" t="e">
        <f ca="1">SUMIF('Production '!$C$4:$AI$4407,'Tracking Sheet'!B82,'Production '!$M$4:$M$4407)</f>
        <v>#DIV/0!</v>
      </c>
      <c r="D82" s="76" t="e">
        <f ca="1">SUMIF('Production '!$C$4:$AI$4407,'Tracking Sheet'!B82,'Production '!$Q$4:$Q$4407)</f>
        <v>#DIV/0!</v>
      </c>
      <c r="E82" s="76">
        <f ca="1">SUMIF('Production '!$C$4:$AI$4407,'Tracking Sheet'!B82,'Production '!$S$4:$S$4407)</f>
        <v>-1268218.9828305368</v>
      </c>
      <c r="F82" s="76">
        <f ca="1">SUMIF('Production '!$C$4:$AI$4407,'Tracking Sheet'!B82,'Production '!$U$4:$U$4407)</f>
        <v>-10620.435600016917</v>
      </c>
      <c r="G82" s="76" t="e">
        <f ca="1">SUMIF('Production '!$C$4:$AI$4407,'Tracking Sheet'!B82,'Production '!$W$4:$W$4407)</f>
        <v>#DIV/0!</v>
      </c>
      <c r="H82" s="76">
        <f ca="1">SUMIF('Production '!$C$4:$AI$4407,'Tracking Sheet'!B82,'Production '!$F$4:$F$4407)</f>
        <v>3230621.3283604058</v>
      </c>
      <c r="I82" s="76">
        <f ca="1">SUMIF('Production '!$C$4:$AI$4407,'Tracking Sheet'!B82,'Production '!$V$4:$V$4407)</f>
        <v>-489.86487791182844</v>
      </c>
      <c r="J82" s="76">
        <f ca="1">SUMIF('Production '!$C$4:$AI$4407,'Tracking Sheet'!B82,'Production '!$AG$4:$AG$4407)</f>
        <v>0</v>
      </c>
    </row>
    <row r="83" spans="2:10" x14ac:dyDescent="0.3">
      <c r="B83" s="277" t="str">
        <f>'Production '!C86</f>
        <v>47875 2nd</v>
      </c>
      <c r="C83" s="76">
        <f ca="1">SUMIF('Production '!$C$4:$AI$4407,'Tracking Sheet'!B83,'Production '!$M$4:$M$4407)</f>
        <v>1050</v>
      </c>
      <c r="D83" s="76">
        <f ca="1">SUMIF('Production '!$C$4:$AI$4407,'Tracking Sheet'!B83,'Production '!$Q$4:$Q$4407)</f>
        <v>0</v>
      </c>
      <c r="E83" s="76">
        <f ca="1">SUMIF('Production '!$C$4:$AI$4407,'Tracking Sheet'!B83,'Production '!$S$4:$S$4407)</f>
        <v>0</v>
      </c>
      <c r="F83" s="76">
        <f ca="1">SUMIF('Production '!$C$4:$AI$4407,'Tracking Sheet'!B83,'Production '!$U$4:$U$4407)</f>
        <v>0</v>
      </c>
      <c r="G83" s="76">
        <f ca="1">SUMIF('Production '!$C$4:$AI$4407,'Tracking Sheet'!B83,'Production '!$W$4:$W$4407)</f>
        <v>1050</v>
      </c>
      <c r="H83" s="76">
        <f ca="1">SUMIF('Production '!$C$4:$AI$4407,'Tracking Sheet'!B83,'Production '!$F$4:$F$4407)</f>
        <v>1000</v>
      </c>
      <c r="I83" s="76">
        <f ca="1">SUMIF('Production '!$C$4:$AI$4407,'Tracking Sheet'!B83,'Production '!$V$4:$V$4407)</f>
        <v>0</v>
      </c>
      <c r="J83" s="76">
        <f ca="1">SUMIF('Production '!$C$4:$AI$4407,'Tracking Sheet'!B83,'Production '!$AG$4:$AG$4407)</f>
        <v>0</v>
      </c>
    </row>
    <row r="84" spans="2:10" x14ac:dyDescent="0.3">
      <c r="B84" s="277">
        <f>'Production '!C87</f>
        <v>0</v>
      </c>
      <c r="C84" s="76" t="e">
        <f ca="1">SUMIF('Production '!$C$4:$AI$4407,'Tracking Sheet'!B84,'Production '!$M$4:$M$4407)</f>
        <v>#DIV/0!</v>
      </c>
      <c r="D84" s="76" t="e">
        <f ca="1">SUMIF('Production '!$C$4:$AI$4407,'Tracking Sheet'!B84,'Production '!$Q$4:$Q$4407)</f>
        <v>#DIV/0!</v>
      </c>
      <c r="E84" s="76">
        <f ca="1">SUMIF('Production '!$C$4:$AI$4407,'Tracking Sheet'!B84,'Production '!$S$4:$S$4407)</f>
        <v>-1268218.9828305368</v>
      </c>
      <c r="F84" s="76">
        <f ca="1">SUMIF('Production '!$C$4:$AI$4407,'Tracking Sheet'!B84,'Production '!$U$4:$U$4407)</f>
        <v>-10620.435600016917</v>
      </c>
      <c r="G84" s="76" t="e">
        <f ca="1">SUMIF('Production '!$C$4:$AI$4407,'Tracking Sheet'!B84,'Production '!$W$4:$W$4407)</f>
        <v>#DIV/0!</v>
      </c>
      <c r="H84" s="76">
        <f ca="1">SUMIF('Production '!$C$4:$AI$4407,'Tracking Sheet'!B84,'Production '!$F$4:$F$4407)</f>
        <v>3230621.3283604058</v>
      </c>
      <c r="I84" s="76">
        <f ca="1">SUMIF('Production '!$C$4:$AI$4407,'Tracking Sheet'!B84,'Production '!$V$4:$V$4407)</f>
        <v>-489.86487791182844</v>
      </c>
      <c r="J84" s="76">
        <f ca="1">SUMIF('Production '!$C$4:$AI$4407,'Tracking Sheet'!B84,'Production '!$AG$4:$AG$4407)</f>
        <v>0</v>
      </c>
    </row>
    <row r="85" spans="2:10" x14ac:dyDescent="0.3">
      <c r="B85" s="277" t="str">
        <f>'Production '!C88</f>
        <v>40672 6th</v>
      </c>
      <c r="C85" s="76">
        <f ca="1">SUMIF('Production '!$C$4:$AI$4407,'Tracking Sheet'!B85,'Production '!$M$4:$M$4407)</f>
        <v>850</v>
      </c>
      <c r="D85" s="76">
        <f ca="1">SUMIF('Production '!$C$4:$AI$4407,'Tracking Sheet'!B85,'Production '!$Q$4:$Q$4407)</f>
        <v>0</v>
      </c>
      <c r="E85" s="76">
        <f ca="1">SUMIF('Production '!$C$4:$AI$4407,'Tracking Sheet'!B85,'Production '!$S$4:$S$4407)</f>
        <v>0</v>
      </c>
      <c r="F85" s="76">
        <f ca="1">SUMIF('Production '!$C$4:$AI$4407,'Tracking Sheet'!B85,'Production '!$U$4:$U$4407)</f>
        <v>0</v>
      </c>
      <c r="G85" s="76">
        <f ca="1">SUMIF('Production '!$C$4:$AI$4407,'Tracking Sheet'!B85,'Production '!$W$4:$W$4407)</f>
        <v>850</v>
      </c>
      <c r="H85" s="76">
        <f ca="1">SUMIF('Production '!$C$4:$AI$4407,'Tracking Sheet'!B85,'Production '!$F$4:$F$4407)</f>
        <v>800</v>
      </c>
      <c r="I85" s="76">
        <f ca="1">SUMIF('Production '!$C$4:$AI$4407,'Tracking Sheet'!B85,'Production '!$V$4:$V$4407)</f>
        <v>0</v>
      </c>
      <c r="J85" s="76">
        <f ca="1">SUMIF('Production '!$C$4:$AI$4407,'Tracking Sheet'!B85,'Production '!$AG$4:$AG$4407)</f>
        <v>0</v>
      </c>
    </row>
    <row r="86" spans="2:10" x14ac:dyDescent="0.3">
      <c r="B86" s="277">
        <f>'Production '!C89</f>
        <v>0</v>
      </c>
      <c r="C86" s="76" t="e">
        <f ca="1">SUMIF('Production '!$C$4:$AI$4407,'Tracking Sheet'!B86,'Production '!$M$4:$M$4407)</f>
        <v>#DIV/0!</v>
      </c>
      <c r="D86" s="76" t="e">
        <f ca="1">SUMIF('Production '!$C$4:$AI$4407,'Tracking Sheet'!B86,'Production '!$Q$4:$Q$4407)</f>
        <v>#DIV/0!</v>
      </c>
      <c r="E86" s="76">
        <f ca="1">SUMIF('Production '!$C$4:$AI$4407,'Tracking Sheet'!B86,'Production '!$S$4:$S$4407)</f>
        <v>-1268218.9828305368</v>
      </c>
      <c r="F86" s="76">
        <f ca="1">SUMIF('Production '!$C$4:$AI$4407,'Tracking Sheet'!B86,'Production '!$U$4:$U$4407)</f>
        <v>-10620.435600016917</v>
      </c>
      <c r="G86" s="76" t="e">
        <f ca="1">SUMIF('Production '!$C$4:$AI$4407,'Tracking Sheet'!B86,'Production '!$W$4:$W$4407)</f>
        <v>#DIV/0!</v>
      </c>
      <c r="H86" s="76">
        <f ca="1">SUMIF('Production '!$C$4:$AI$4407,'Tracking Sheet'!B86,'Production '!$F$4:$F$4407)</f>
        <v>3230621.3283604058</v>
      </c>
      <c r="I86" s="76">
        <f ca="1">SUMIF('Production '!$C$4:$AI$4407,'Tracking Sheet'!B86,'Production '!$V$4:$V$4407)</f>
        <v>-489.86487791182844</v>
      </c>
      <c r="J86" s="76">
        <f ca="1">SUMIF('Production '!$C$4:$AI$4407,'Tracking Sheet'!B86,'Production '!$AG$4:$AG$4407)</f>
        <v>0</v>
      </c>
    </row>
    <row r="87" spans="2:10" x14ac:dyDescent="0.3">
      <c r="B87" s="277" t="str">
        <f>'Production '!C90</f>
        <v>40672 7th</v>
      </c>
      <c r="C87" s="76">
        <f ca="1">SUMIF('Production '!$C$4:$AI$4407,'Tracking Sheet'!B87,'Production '!$M$4:$M$4407)</f>
        <v>3068</v>
      </c>
      <c r="D87" s="76">
        <f ca="1">SUMIF('Production '!$C$4:$AI$4407,'Tracking Sheet'!B87,'Production '!$Q$4:$Q$4407)</f>
        <v>0</v>
      </c>
      <c r="E87" s="76">
        <f ca="1">SUMIF('Production '!$C$4:$AI$4407,'Tracking Sheet'!B87,'Production '!$S$4:$S$4407)</f>
        <v>0</v>
      </c>
      <c r="F87" s="76">
        <f ca="1">SUMIF('Production '!$C$4:$AI$4407,'Tracking Sheet'!B87,'Production '!$U$4:$U$4407)</f>
        <v>0</v>
      </c>
      <c r="G87" s="76">
        <f ca="1">SUMIF('Production '!$C$4:$AI$4407,'Tracking Sheet'!B87,'Production '!$W$4:$W$4407)</f>
        <v>3068</v>
      </c>
      <c r="H87" s="76">
        <f ca="1">SUMIF('Production '!$C$4:$AI$4407,'Tracking Sheet'!B87,'Production '!$F$4:$F$4407)</f>
        <v>3000</v>
      </c>
      <c r="I87" s="76">
        <f ca="1">SUMIF('Production '!$C$4:$AI$4407,'Tracking Sheet'!B87,'Production '!$V$4:$V$4407)</f>
        <v>0</v>
      </c>
      <c r="J87" s="76">
        <f ca="1">SUMIF('Production '!$C$4:$AI$4407,'Tracking Sheet'!B87,'Production '!$AG$4:$AG$4407)</f>
        <v>0</v>
      </c>
    </row>
    <row r="88" spans="2:10" x14ac:dyDescent="0.3">
      <c r="B88" s="277" t="str">
        <f>'Production '!C91</f>
        <v>40672 7th</v>
      </c>
      <c r="C88" s="76">
        <f ca="1">SUMIF('Production '!$C$4:$AI$4407,'Tracking Sheet'!B88,'Production '!$M$4:$M$4407)</f>
        <v>3068</v>
      </c>
      <c r="D88" s="76">
        <f ca="1">SUMIF('Production '!$C$4:$AI$4407,'Tracking Sheet'!B88,'Production '!$Q$4:$Q$4407)</f>
        <v>0</v>
      </c>
      <c r="E88" s="76">
        <f ca="1">SUMIF('Production '!$C$4:$AI$4407,'Tracking Sheet'!B88,'Production '!$S$4:$S$4407)</f>
        <v>0</v>
      </c>
      <c r="F88" s="76">
        <f ca="1">SUMIF('Production '!$C$4:$AI$4407,'Tracking Sheet'!B88,'Production '!$U$4:$U$4407)</f>
        <v>0</v>
      </c>
      <c r="G88" s="76">
        <f ca="1">SUMIF('Production '!$C$4:$AI$4407,'Tracking Sheet'!B88,'Production '!$W$4:$W$4407)</f>
        <v>3068</v>
      </c>
      <c r="H88" s="76">
        <f ca="1">SUMIF('Production '!$C$4:$AI$4407,'Tracking Sheet'!B88,'Production '!$F$4:$F$4407)</f>
        <v>3000</v>
      </c>
      <c r="I88" s="76">
        <f ca="1">SUMIF('Production '!$C$4:$AI$4407,'Tracking Sheet'!B88,'Production '!$V$4:$V$4407)</f>
        <v>0</v>
      </c>
      <c r="J88" s="76">
        <f ca="1">SUMIF('Production '!$C$4:$AI$4407,'Tracking Sheet'!B88,'Production '!$AG$4:$AG$4407)</f>
        <v>0</v>
      </c>
    </row>
    <row r="89" spans="2:10" x14ac:dyDescent="0.3">
      <c r="B89" s="277">
        <f>'Production '!C92</f>
        <v>0</v>
      </c>
      <c r="C89" s="76" t="e">
        <f ca="1">SUMIF('Production '!$C$4:$AI$4407,'Tracking Sheet'!B89,'Production '!$M$4:$M$4407)</f>
        <v>#DIV/0!</v>
      </c>
      <c r="D89" s="76" t="e">
        <f ca="1">SUMIF('Production '!$C$4:$AI$4407,'Tracking Sheet'!B89,'Production '!$Q$4:$Q$4407)</f>
        <v>#DIV/0!</v>
      </c>
      <c r="E89" s="76">
        <f ca="1">SUMIF('Production '!$C$4:$AI$4407,'Tracking Sheet'!B89,'Production '!$S$4:$S$4407)</f>
        <v>-1268218.9828305368</v>
      </c>
      <c r="F89" s="76">
        <f ca="1">SUMIF('Production '!$C$4:$AI$4407,'Tracking Sheet'!B89,'Production '!$U$4:$U$4407)</f>
        <v>-10620.435600016917</v>
      </c>
      <c r="G89" s="76" t="e">
        <f ca="1">SUMIF('Production '!$C$4:$AI$4407,'Tracking Sheet'!B89,'Production '!$W$4:$W$4407)</f>
        <v>#DIV/0!</v>
      </c>
      <c r="H89" s="76">
        <f ca="1">SUMIF('Production '!$C$4:$AI$4407,'Tracking Sheet'!B89,'Production '!$F$4:$F$4407)</f>
        <v>3230621.3283604058</v>
      </c>
      <c r="I89" s="76">
        <f ca="1">SUMIF('Production '!$C$4:$AI$4407,'Tracking Sheet'!B89,'Production '!$V$4:$V$4407)</f>
        <v>-489.86487791182844</v>
      </c>
      <c r="J89" s="76">
        <f ca="1">SUMIF('Production '!$C$4:$AI$4407,'Tracking Sheet'!B89,'Production '!$AG$4:$AG$4407)</f>
        <v>0</v>
      </c>
    </row>
    <row r="90" spans="2:10" x14ac:dyDescent="0.3">
      <c r="B90" s="277">
        <f>'Production '!C93</f>
        <v>47887</v>
      </c>
      <c r="C90" s="76">
        <f ca="1">SUMIF('Production '!$C$4:$AI$4407,'Tracking Sheet'!B90,'Production '!$M$4:$M$4407)</f>
        <v>640</v>
      </c>
      <c r="D90" s="76">
        <f ca="1">SUMIF('Production '!$C$4:$AI$4407,'Tracking Sheet'!B90,'Production '!$Q$4:$Q$4407)</f>
        <v>0</v>
      </c>
      <c r="E90" s="76">
        <f ca="1">SUMIF('Production '!$C$4:$AI$4407,'Tracking Sheet'!B90,'Production '!$S$4:$S$4407)</f>
        <v>0</v>
      </c>
      <c r="F90" s="76">
        <f ca="1">SUMIF('Production '!$C$4:$AI$4407,'Tracking Sheet'!B90,'Production '!$U$4:$U$4407)</f>
        <v>3</v>
      </c>
      <c r="G90" s="76">
        <f ca="1">SUMIF('Production '!$C$4:$AI$4407,'Tracking Sheet'!B90,'Production '!$W$4:$W$4407)</f>
        <v>637</v>
      </c>
      <c r="H90" s="76">
        <f ca="1">SUMIF('Production '!$C$4:$AI$4407,'Tracking Sheet'!B90,'Production '!$F$4:$F$4407)</f>
        <v>600</v>
      </c>
      <c r="I90" s="76">
        <f ca="1">SUMIF('Production '!$C$4:$AI$4407,'Tracking Sheet'!B90,'Production '!$V$4:$V$4407)</f>
        <v>0</v>
      </c>
      <c r="J90" s="76">
        <f ca="1">SUMIF('Production '!$C$4:$AI$4407,'Tracking Sheet'!B90,'Production '!$AG$4:$AG$4407)</f>
        <v>0</v>
      </c>
    </row>
    <row r="91" spans="2:10" x14ac:dyDescent="0.3">
      <c r="B91" s="277">
        <f>'Production '!C94</f>
        <v>0</v>
      </c>
      <c r="C91" s="76" t="e">
        <f ca="1">SUMIF('Production '!$C$4:$AI$4407,'Tracking Sheet'!B91,'Production '!$M$4:$M$4407)</f>
        <v>#DIV/0!</v>
      </c>
      <c r="D91" s="76" t="e">
        <f ca="1">SUMIF('Production '!$C$4:$AI$4407,'Tracking Sheet'!B91,'Production '!$Q$4:$Q$4407)</f>
        <v>#DIV/0!</v>
      </c>
      <c r="E91" s="76">
        <f ca="1">SUMIF('Production '!$C$4:$AI$4407,'Tracking Sheet'!B91,'Production '!$S$4:$S$4407)</f>
        <v>-1268218.9828305368</v>
      </c>
      <c r="F91" s="76">
        <f ca="1">SUMIF('Production '!$C$4:$AI$4407,'Tracking Sheet'!B91,'Production '!$U$4:$U$4407)</f>
        <v>-10620.435600016917</v>
      </c>
      <c r="G91" s="76" t="e">
        <f ca="1">SUMIF('Production '!$C$4:$AI$4407,'Tracking Sheet'!B91,'Production '!$W$4:$W$4407)</f>
        <v>#DIV/0!</v>
      </c>
      <c r="H91" s="76">
        <f ca="1">SUMIF('Production '!$C$4:$AI$4407,'Tracking Sheet'!B91,'Production '!$F$4:$F$4407)</f>
        <v>3230621.3283604058</v>
      </c>
      <c r="I91" s="76">
        <f ca="1">SUMIF('Production '!$C$4:$AI$4407,'Tracking Sheet'!B91,'Production '!$V$4:$V$4407)</f>
        <v>-489.86487791182844</v>
      </c>
      <c r="J91" s="76">
        <f ca="1">SUMIF('Production '!$C$4:$AI$4407,'Tracking Sheet'!B91,'Production '!$AG$4:$AG$4407)</f>
        <v>0</v>
      </c>
    </row>
    <row r="92" spans="2:10" x14ac:dyDescent="0.3">
      <c r="B92" s="277" t="str">
        <f>'Production '!C95</f>
        <v>46615 8th</v>
      </c>
      <c r="C92" s="76">
        <f ca="1">SUMIF('Production '!$C$4:$AI$4407,'Tracking Sheet'!B92,'Production '!$M$4:$M$4407)</f>
        <v>0</v>
      </c>
      <c r="D92" s="76">
        <f ca="1">SUMIF('Production '!$C$4:$AI$4407,'Tracking Sheet'!B92,'Production '!$Q$4:$Q$4407)</f>
        <v>0</v>
      </c>
      <c r="E92" s="76">
        <f ca="1">SUMIF('Production '!$C$4:$AI$4407,'Tracking Sheet'!B92,'Production '!$S$4:$S$4407)</f>
        <v>0</v>
      </c>
      <c r="F92" s="76">
        <f ca="1">SUMIF('Production '!$C$4:$AI$4407,'Tracking Sheet'!B92,'Production '!$U$4:$U$4407)</f>
        <v>0</v>
      </c>
      <c r="G92" s="76">
        <f ca="1">SUMIF('Production '!$C$4:$AI$4407,'Tracking Sheet'!B92,'Production '!$W$4:$W$4407)</f>
        <v>0</v>
      </c>
      <c r="H92" s="76">
        <f ca="1">SUMIF('Production '!$C$4:$AI$4407,'Tracking Sheet'!B92,'Production '!$F$4:$F$4407)</f>
        <v>3300</v>
      </c>
      <c r="I92" s="76">
        <f ca="1">SUMIF('Production '!$C$4:$AI$4407,'Tracking Sheet'!B92,'Production '!$V$4:$V$4407)</f>
        <v>0</v>
      </c>
      <c r="J92" s="76">
        <f ca="1">SUMIF('Production '!$C$4:$AI$4407,'Tracking Sheet'!B92,'Production '!$AG$4:$AG$4407)</f>
        <v>-3300</v>
      </c>
    </row>
    <row r="93" spans="2:10" x14ac:dyDescent="0.3">
      <c r="B93" s="277" t="str">
        <f>'Production '!C96</f>
        <v>46615 8th</v>
      </c>
      <c r="C93" s="76">
        <f ca="1">SUMIF('Production '!$C$4:$AI$4407,'Tracking Sheet'!B93,'Production '!$M$4:$M$4407)</f>
        <v>0</v>
      </c>
      <c r="D93" s="76">
        <f ca="1">SUMIF('Production '!$C$4:$AI$4407,'Tracking Sheet'!B93,'Production '!$Q$4:$Q$4407)</f>
        <v>0</v>
      </c>
      <c r="E93" s="76">
        <f ca="1">SUMIF('Production '!$C$4:$AI$4407,'Tracking Sheet'!B93,'Production '!$S$4:$S$4407)</f>
        <v>0</v>
      </c>
      <c r="F93" s="76">
        <f ca="1">SUMIF('Production '!$C$4:$AI$4407,'Tracking Sheet'!B93,'Production '!$U$4:$U$4407)</f>
        <v>0</v>
      </c>
      <c r="G93" s="76">
        <f ca="1">SUMIF('Production '!$C$4:$AI$4407,'Tracking Sheet'!B93,'Production '!$W$4:$W$4407)</f>
        <v>0</v>
      </c>
      <c r="H93" s="76">
        <f ca="1">SUMIF('Production '!$C$4:$AI$4407,'Tracking Sheet'!B93,'Production '!$F$4:$F$4407)</f>
        <v>3300</v>
      </c>
      <c r="I93" s="76">
        <f ca="1">SUMIF('Production '!$C$4:$AI$4407,'Tracking Sheet'!B93,'Production '!$V$4:$V$4407)</f>
        <v>0</v>
      </c>
      <c r="J93" s="76">
        <f ca="1">SUMIF('Production '!$C$4:$AI$4407,'Tracking Sheet'!B93,'Production '!$AG$4:$AG$4407)</f>
        <v>-3300</v>
      </c>
    </row>
    <row r="94" spans="2:10" x14ac:dyDescent="0.3">
      <c r="B94" s="277">
        <f>'Production '!C97</f>
        <v>0</v>
      </c>
      <c r="C94" s="76" t="e">
        <f ca="1">SUMIF('Production '!$C$4:$AI$4407,'Tracking Sheet'!B94,'Production '!$M$4:$M$4407)</f>
        <v>#DIV/0!</v>
      </c>
      <c r="D94" s="76" t="e">
        <f ca="1">SUMIF('Production '!$C$4:$AI$4407,'Tracking Sheet'!B94,'Production '!$Q$4:$Q$4407)</f>
        <v>#DIV/0!</v>
      </c>
      <c r="E94" s="76">
        <f ca="1">SUMIF('Production '!$C$4:$AI$4407,'Tracking Sheet'!B94,'Production '!$S$4:$S$4407)</f>
        <v>-1268218.9828305368</v>
      </c>
      <c r="F94" s="76">
        <f ca="1">SUMIF('Production '!$C$4:$AI$4407,'Tracking Sheet'!B94,'Production '!$U$4:$U$4407)</f>
        <v>-10620.435600016917</v>
      </c>
      <c r="G94" s="76" t="e">
        <f ca="1">SUMIF('Production '!$C$4:$AI$4407,'Tracking Sheet'!B94,'Production '!$W$4:$W$4407)</f>
        <v>#DIV/0!</v>
      </c>
      <c r="H94" s="76">
        <f ca="1">SUMIF('Production '!$C$4:$AI$4407,'Tracking Sheet'!B94,'Production '!$F$4:$F$4407)</f>
        <v>3230621.3283604058</v>
      </c>
      <c r="I94" s="76">
        <f ca="1">SUMIF('Production '!$C$4:$AI$4407,'Tracking Sheet'!B94,'Production '!$V$4:$V$4407)</f>
        <v>-489.86487791182844</v>
      </c>
      <c r="J94" s="76">
        <f ca="1">SUMIF('Production '!$C$4:$AI$4407,'Tracking Sheet'!B94,'Production '!$AG$4:$AG$4407)</f>
        <v>0</v>
      </c>
    </row>
    <row r="95" spans="2:10" x14ac:dyDescent="0.3">
      <c r="B95" s="277" t="str">
        <f>'Production '!C98</f>
        <v>46615 9th</v>
      </c>
      <c r="C95" s="76">
        <f ca="1">SUMIF('Production '!$C$4:$AI$4407,'Tracking Sheet'!B95,'Production '!$M$4:$M$4407)</f>
        <v>0</v>
      </c>
      <c r="D95" s="76">
        <f ca="1">SUMIF('Production '!$C$4:$AI$4407,'Tracking Sheet'!B95,'Production '!$Q$4:$Q$4407)</f>
        <v>0</v>
      </c>
      <c r="E95" s="76">
        <f ca="1">SUMIF('Production '!$C$4:$AI$4407,'Tracking Sheet'!B95,'Production '!$S$4:$S$4407)</f>
        <v>0</v>
      </c>
      <c r="F95" s="76">
        <f ca="1">SUMIF('Production '!$C$4:$AI$4407,'Tracking Sheet'!B95,'Production '!$U$4:$U$4407)</f>
        <v>0</v>
      </c>
      <c r="G95" s="76">
        <f ca="1">SUMIF('Production '!$C$4:$AI$4407,'Tracking Sheet'!B95,'Production '!$W$4:$W$4407)</f>
        <v>0</v>
      </c>
      <c r="H95" s="76">
        <f ca="1">SUMIF('Production '!$C$4:$AI$4407,'Tracking Sheet'!B95,'Production '!$F$4:$F$4407)</f>
        <v>7000</v>
      </c>
      <c r="I95" s="76">
        <f ca="1">SUMIF('Production '!$C$4:$AI$4407,'Tracking Sheet'!B95,'Production '!$V$4:$V$4407)</f>
        <v>0</v>
      </c>
      <c r="J95" s="76">
        <f ca="1">SUMIF('Production '!$C$4:$AI$4407,'Tracking Sheet'!B95,'Production '!$AG$4:$AG$4407)</f>
        <v>-7000</v>
      </c>
    </row>
    <row r="96" spans="2:10" x14ac:dyDescent="0.3">
      <c r="B96" s="277" t="str">
        <f>'Production '!C99</f>
        <v>46615 9th</v>
      </c>
      <c r="C96" s="76">
        <f ca="1">SUMIF('Production '!$C$4:$AI$4407,'Tracking Sheet'!B96,'Production '!$M$4:$M$4407)</f>
        <v>0</v>
      </c>
      <c r="D96" s="76">
        <f ca="1">SUMIF('Production '!$C$4:$AI$4407,'Tracking Sheet'!B96,'Production '!$Q$4:$Q$4407)</f>
        <v>0</v>
      </c>
      <c r="E96" s="76">
        <f ca="1">SUMIF('Production '!$C$4:$AI$4407,'Tracking Sheet'!B96,'Production '!$S$4:$S$4407)</f>
        <v>0</v>
      </c>
      <c r="F96" s="76">
        <f ca="1">SUMIF('Production '!$C$4:$AI$4407,'Tracking Sheet'!B96,'Production '!$U$4:$U$4407)</f>
        <v>0</v>
      </c>
      <c r="G96" s="76">
        <f ca="1">SUMIF('Production '!$C$4:$AI$4407,'Tracking Sheet'!B96,'Production '!$W$4:$W$4407)</f>
        <v>0</v>
      </c>
      <c r="H96" s="76">
        <f ca="1">SUMIF('Production '!$C$4:$AI$4407,'Tracking Sheet'!B96,'Production '!$F$4:$F$4407)</f>
        <v>7000</v>
      </c>
      <c r="I96" s="76">
        <f ca="1">SUMIF('Production '!$C$4:$AI$4407,'Tracking Sheet'!B96,'Production '!$V$4:$V$4407)</f>
        <v>0</v>
      </c>
      <c r="J96" s="76">
        <f ca="1">SUMIF('Production '!$C$4:$AI$4407,'Tracking Sheet'!B96,'Production '!$AG$4:$AG$4407)</f>
        <v>-7000</v>
      </c>
    </row>
    <row r="97" spans="2:10" x14ac:dyDescent="0.3">
      <c r="B97" s="277">
        <f>'Production '!C100</f>
        <v>0</v>
      </c>
      <c r="C97" s="76" t="e">
        <f ca="1">SUMIF('Production '!$C$4:$AI$4407,'Tracking Sheet'!B97,'Production '!$M$4:$M$4407)</f>
        <v>#DIV/0!</v>
      </c>
      <c r="D97" s="76" t="e">
        <f ca="1">SUMIF('Production '!$C$4:$AI$4407,'Tracking Sheet'!B97,'Production '!$Q$4:$Q$4407)</f>
        <v>#DIV/0!</v>
      </c>
      <c r="E97" s="76">
        <f ca="1">SUMIF('Production '!$C$4:$AI$4407,'Tracking Sheet'!B97,'Production '!$S$4:$S$4407)</f>
        <v>-1268218.9828305368</v>
      </c>
      <c r="F97" s="76">
        <f ca="1">SUMIF('Production '!$C$4:$AI$4407,'Tracking Sheet'!B97,'Production '!$U$4:$U$4407)</f>
        <v>-10620.435600016917</v>
      </c>
      <c r="G97" s="76" t="e">
        <f ca="1">SUMIF('Production '!$C$4:$AI$4407,'Tracking Sheet'!B97,'Production '!$W$4:$W$4407)</f>
        <v>#DIV/0!</v>
      </c>
      <c r="H97" s="76">
        <f ca="1">SUMIF('Production '!$C$4:$AI$4407,'Tracking Sheet'!B97,'Production '!$F$4:$F$4407)</f>
        <v>3230621.3283604058</v>
      </c>
      <c r="I97" s="76">
        <f ca="1">SUMIF('Production '!$C$4:$AI$4407,'Tracking Sheet'!B97,'Production '!$V$4:$V$4407)</f>
        <v>-489.86487791182844</v>
      </c>
      <c r="J97" s="76">
        <f ca="1">SUMIF('Production '!$C$4:$AI$4407,'Tracking Sheet'!B97,'Production '!$AG$4:$AG$4407)</f>
        <v>0</v>
      </c>
    </row>
    <row r="98" spans="2:10" x14ac:dyDescent="0.3">
      <c r="B98" s="277" t="str">
        <f>'Production '!C101</f>
        <v>41637 9th</v>
      </c>
      <c r="C98" s="76">
        <f ca="1">SUMIF('Production '!$C$4:$AI$4407,'Tracking Sheet'!B98,'Production '!$M$4:$M$4407)</f>
        <v>0</v>
      </c>
      <c r="D98" s="76">
        <f ca="1">SUMIF('Production '!$C$4:$AI$4407,'Tracking Sheet'!B98,'Production '!$Q$4:$Q$4407)</f>
        <v>0</v>
      </c>
      <c r="E98" s="76">
        <f ca="1">SUMIF('Production '!$C$4:$AI$4407,'Tracking Sheet'!B98,'Production '!$S$4:$S$4407)</f>
        <v>0</v>
      </c>
      <c r="F98" s="76">
        <f ca="1">SUMIF('Production '!$C$4:$AI$4407,'Tracking Sheet'!B98,'Production '!$U$4:$U$4407)</f>
        <v>0</v>
      </c>
      <c r="G98" s="76">
        <f ca="1">SUMIF('Production '!$C$4:$AI$4407,'Tracking Sheet'!B98,'Production '!$W$4:$W$4407)</f>
        <v>0</v>
      </c>
      <c r="H98" s="76">
        <f ca="1">SUMIF('Production '!$C$4:$AI$4407,'Tracking Sheet'!B98,'Production '!$F$4:$F$4407)</f>
        <v>1400</v>
      </c>
      <c r="I98" s="76">
        <f ca="1">SUMIF('Production '!$C$4:$AI$4407,'Tracking Sheet'!B98,'Production '!$V$4:$V$4407)</f>
        <v>0</v>
      </c>
      <c r="J98" s="76">
        <f ca="1">SUMIF('Production '!$C$4:$AI$4407,'Tracking Sheet'!B98,'Production '!$AG$4:$AG$4407)</f>
        <v>-1400</v>
      </c>
    </row>
    <row r="99" spans="2:10" x14ac:dyDescent="0.3">
      <c r="B99" s="277" t="str">
        <f>'Production '!C102</f>
        <v>41637 9th</v>
      </c>
      <c r="C99" s="76">
        <f ca="1">SUMIF('Production '!$C$4:$AI$4407,'Tracking Sheet'!B99,'Production '!$M$4:$M$4407)</f>
        <v>0</v>
      </c>
      <c r="D99" s="76">
        <f ca="1">SUMIF('Production '!$C$4:$AI$4407,'Tracking Sheet'!B99,'Production '!$Q$4:$Q$4407)</f>
        <v>0</v>
      </c>
      <c r="E99" s="76">
        <f ca="1">SUMIF('Production '!$C$4:$AI$4407,'Tracking Sheet'!B99,'Production '!$S$4:$S$4407)</f>
        <v>0</v>
      </c>
      <c r="F99" s="76">
        <f ca="1">SUMIF('Production '!$C$4:$AI$4407,'Tracking Sheet'!B99,'Production '!$U$4:$U$4407)</f>
        <v>0</v>
      </c>
      <c r="G99" s="76">
        <f ca="1">SUMIF('Production '!$C$4:$AI$4407,'Tracking Sheet'!B99,'Production '!$W$4:$W$4407)</f>
        <v>0</v>
      </c>
      <c r="H99" s="76">
        <f ca="1">SUMIF('Production '!$C$4:$AI$4407,'Tracking Sheet'!B99,'Production '!$F$4:$F$4407)</f>
        <v>1400</v>
      </c>
      <c r="I99" s="76">
        <f ca="1">SUMIF('Production '!$C$4:$AI$4407,'Tracking Sheet'!B99,'Production '!$V$4:$V$4407)</f>
        <v>0</v>
      </c>
      <c r="J99" s="76">
        <f ca="1">SUMIF('Production '!$C$4:$AI$4407,'Tracking Sheet'!B99,'Production '!$AG$4:$AG$4407)</f>
        <v>-1400</v>
      </c>
    </row>
    <row r="100" spans="2:10" x14ac:dyDescent="0.3">
      <c r="B100" s="277">
        <f>'Production '!C103</f>
        <v>0</v>
      </c>
      <c r="C100" s="76" t="e">
        <f ca="1">SUMIF('Production '!$C$4:$AI$4407,'Tracking Sheet'!B100,'Production '!$M$4:$M$4407)</f>
        <v>#DIV/0!</v>
      </c>
      <c r="D100" s="76" t="e">
        <f ca="1">SUMIF('Production '!$C$4:$AI$4407,'Tracking Sheet'!B100,'Production '!$Q$4:$Q$4407)</f>
        <v>#DIV/0!</v>
      </c>
      <c r="E100" s="76">
        <f ca="1">SUMIF('Production '!$C$4:$AI$4407,'Tracking Sheet'!B100,'Production '!$S$4:$S$4407)</f>
        <v>-1268218.9828305368</v>
      </c>
      <c r="F100" s="76">
        <f ca="1">SUMIF('Production '!$C$4:$AI$4407,'Tracking Sheet'!B100,'Production '!$U$4:$U$4407)</f>
        <v>-10620.435600016917</v>
      </c>
      <c r="G100" s="76" t="e">
        <f ca="1">SUMIF('Production '!$C$4:$AI$4407,'Tracking Sheet'!B100,'Production '!$W$4:$W$4407)</f>
        <v>#DIV/0!</v>
      </c>
      <c r="H100" s="76">
        <f ca="1">SUMIF('Production '!$C$4:$AI$4407,'Tracking Sheet'!B100,'Production '!$F$4:$F$4407)</f>
        <v>3230621.3283604058</v>
      </c>
      <c r="I100" s="76">
        <f ca="1">SUMIF('Production '!$C$4:$AI$4407,'Tracking Sheet'!B100,'Production '!$V$4:$V$4407)</f>
        <v>-489.86487791182844</v>
      </c>
      <c r="J100" s="76">
        <f ca="1">SUMIF('Production '!$C$4:$AI$4407,'Tracking Sheet'!B100,'Production '!$AG$4:$AG$4407)</f>
        <v>0</v>
      </c>
    </row>
    <row r="101" spans="2:10" x14ac:dyDescent="0.3">
      <c r="B101" s="277" t="str">
        <f>'Production '!C104</f>
        <v>43306 19th</v>
      </c>
      <c r="C101" s="76">
        <f ca="1">SUMIF('Production '!$C$4:$AI$4407,'Tracking Sheet'!B101,'Production '!$M$4:$M$4407)</f>
        <v>0</v>
      </c>
      <c r="D101" s="76">
        <f ca="1">SUMIF('Production '!$C$4:$AI$4407,'Tracking Sheet'!B101,'Production '!$Q$4:$Q$4407)</f>
        <v>0</v>
      </c>
      <c r="E101" s="76">
        <f ca="1">SUMIF('Production '!$C$4:$AI$4407,'Tracking Sheet'!B101,'Production '!$S$4:$S$4407)</f>
        <v>0</v>
      </c>
      <c r="F101" s="76">
        <f ca="1">SUMIF('Production '!$C$4:$AI$4407,'Tracking Sheet'!B101,'Production '!$U$4:$U$4407)</f>
        <v>0</v>
      </c>
      <c r="G101" s="76">
        <f ca="1">SUMIF('Production '!$C$4:$AI$4407,'Tracking Sheet'!B101,'Production '!$W$4:$W$4407)</f>
        <v>0</v>
      </c>
      <c r="H101" s="76">
        <f ca="1">SUMIF('Production '!$C$4:$AI$4407,'Tracking Sheet'!B101,'Production '!$F$4:$F$4407)</f>
        <v>5000</v>
      </c>
      <c r="I101" s="76">
        <f ca="1">SUMIF('Production '!$C$4:$AI$4407,'Tracking Sheet'!B101,'Production '!$V$4:$V$4407)</f>
        <v>0</v>
      </c>
      <c r="J101" s="76">
        <f ca="1">SUMIF('Production '!$C$4:$AI$4407,'Tracking Sheet'!B101,'Production '!$AG$4:$AG$4407)</f>
        <v>-5000</v>
      </c>
    </row>
    <row r="102" spans="2:10" x14ac:dyDescent="0.3">
      <c r="B102" s="277">
        <f>'Production '!C105</f>
        <v>0</v>
      </c>
      <c r="C102" s="76" t="e">
        <f ca="1">SUMIF('Production '!$C$4:$AI$4407,'Tracking Sheet'!B102,'Production '!$M$4:$M$4407)</f>
        <v>#DIV/0!</v>
      </c>
      <c r="D102" s="76" t="e">
        <f ca="1">SUMIF('Production '!$C$4:$AI$4407,'Tracking Sheet'!B102,'Production '!$Q$4:$Q$4407)</f>
        <v>#DIV/0!</v>
      </c>
      <c r="E102" s="76">
        <f ca="1">SUMIF('Production '!$C$4:$AI$4407,'Tracking Sheet'!B102,'Production '!$S$4:$S$4407)</f>
        <v>-1268218.9828305368</v>
      </c>
      <c r="F102" s="76">
        <f ca="1">SUMIF('Production '!$C$4:$AI$4407,'Tracking Sheet'!B102,'Production '!$U$4:$U$4407)</f>
        <v>-10620.435600016917</v>
      </c>
      <c r="G102" s="76" t="e">
        <f ca="1">SUMIF('Production '!$C$4:$AI$4407,'Tracking Sheet'!B102,'Production '!$W$4:$W$4407)</f>
        <v>#DIV/0!</v>
      </c>
      <c r="H102" s="76">
        <f ca="1">SUMIF('Production '!$C$4:$AI$4407,'Tracking Sheet'!B102,'Production '!$F$4:$F$4407)</f>
        <v>3230621.3283604058</v>
      </c>
      <c r="I102" s="76">
        <f ca="1">SUMIF('Production '!$C$4:$AI$4407,'Tracking Sheet'!B102,'Production '!$V$4:$V$4407)</f>
        <v>-489.86487791182844</v>
      </c>
      <c r="J102" s="76">
        <f ca="1">SUMIF('Production '!$C$4:$AI$4407,'Tracking Sheet'!B102,'Production '!$AG$4:$AG$4407)</f>
        <v>0</v>
      </c>
    </row>
    <row r="103" spans="2:10" x14ac:dyDescent="0.3">
      <c r="B103" s="277" t="str">
        <f>'Production '!C106</f>
        <v>44587 11th</v>
      </c>
      <c r="C103" s="76">
        <f ca="1">SUMIF('Production '!$C$4:$AI$4407,'Tracking Sheet'!B103,'Production '!$M$4:$M$4407)</f>
        <v>0</v>
      </c>
      <c r="D103" s="76">
        <f ca="1">SUMIF('Production '!$C$4:$AI$4407,'Tracking Sheet'!B103,'Production '!$Q$4:$Q$4407)</f>
        <v>0</v>
      </c>
      <c r="E103" s="76">
        <f ca="1">SUMIF('Production '!$C$4:$AI$4407,'Tracking Sheet'!B103,'Production '!$S$4:$S$4407)</f>
        <v>0</v>
      </c>
      <c r="F103" s="76">
        <f ca="1">SUMIF('Production '!$C$4:$AI$4407,'Tracking Sheet'!B103,'Production '!$U$4:$U$4407)</f>
        <v>0</v>
      </c>
      <c r="G103" s="76">
        <f ca="1">SUMIF('Production '!$C$4:$AI$4407,'Tracking Sheet'!B103,'Production '!$W$4:$W$4407)</f>
        <v>0</v>
      </c>
      <c r="H103" s="76">
        <f ca="1">SUMIF('Production '!$C$4:$AI$4407,'Tracking Sheet'!B103,'Production '!$F$4:$F$4407)</f>
        <v>3000</v>
      </c>
      <c r="I103" s="76">
        <f ca="1">SUMIF('Production '!$C$4:$AI$4407,'Tracking Sheet'!B103,'Production '!$V$4:$V$4407)</f>
        <v>0</v>
      </c>
      <c r="J103" s="76">
        <f ca="1">SUMIF('Production '!$C$4:$AI$4407,'Tracking Sheet'!B103,'Production '!$AG$4:$AG$4407)</f>
        <v>-3000</v>
      </c>
    </row>
    <row r="104" spans="2:10" x14ac:dyDescent="0.3">
      <c r="B104" s="277" t="str">
        <f>'Production '!C107</f>
        <v>44587 11th</v>
      </c>
      <c r="C104" s="76">
        <f ca="1">SUMIF('Production '!$C$4:$AI$4407,'Tracking Sheet'!B104,'Production '!$M$4:$M$4407)</f>
        <v>0</v>
      </c>
      <c r="D104" s="76">
        <f ca="1">SUMIF('Production '!$C$4:$AI$4407,'Tracking Sheet'!B104,'Production '!$Q$4:$Q$4407)</f>
        <v>0</v>
      </c>
      <c r="E104" s="76">
        <f ca="1">SUMIF('Production '!$C$4:$AI$4407,'Tracking Sheet'!B104,'Production '!$S$4:$S$4407)</f>
        <v>0</v>
      </c>
      <c r="F104" s="76">
        <f ca="1">SUMIF('Production '!$C$4:$AI$4407,'Tracking Sheet'!B104,'Production '!$U$4:$U$4407)</f>
        <v>0</v>
      </c>
      <c r="G104" s="76">
        <f ca="1">SUMIF('Production '!$C$4:$AI$4407,'Tracking Sheet'!B104,'Production '!$W$4:$W$4407)</f>
        <v>0</v>
      </c>
      <c r="H104" s="76">
        <f ca="1">SUMIF('Production '!$C$4:$AI$4407,'Tracking Sheet'!B104,'Production '!$F$4:$F$4407)</f>
        <v>3000</v>
      </c>
      <c r="I104" s="76">
        <f ca="1">SUMIF('Production '!$C$4:$AI$4407,'Tracking Sheet'!B104,'Production '!$V$4:$V$4407)</f>
        <v>0</v>
      </c>
      <c r="J104" s="76">
        <f ca="1">SUMIF('Production '!$C$4:$AI$4407,'Tracking Sheet'!B104,'Production '!$AG$4:$AG$4407)</f>
        <v>-3000</v>
      </c>
    </row>
    <row r="105" spans="2:10" x14ac:dyDescent="0.3">
      <c r="B105" s="277" t="str">
        <f>'Production '!C108</f>
        <v>44587 11th</v>
      </c>
      <c r="C105" s="76">
        <f ca="1">SUMIF('Production '!$C$4:$AI$4407,'Tracking Sheet'!B105,'Production '!$M$4:$M$4407)</f>
        <v>0</v>
      </c>
      <c r="D105" s="76">
        <f ca="1">SUMIF('Production '!$C$4:$AI$4407,'Tracking Sheet'!B105,'Production '!$Q$4:$Q$4407)</f>
        <v>0</v>
      </c>
      <c r="E105" s="76">
        <f ca="1">SUMIF('Production '!$C$4:$AI$4407,'Tracking Sheet'!B105,'Production '!$S$4:$S$4407)</f>
        <v>0</v>
      </c>
      <c r="F105" s="76">
        <f ca="1">SUMIF('Production '!$C$4:$AI$4407,'Tracking Sheet'!B105,'Production '!$U$4:$U$4407)</f>
        <v>0</v>
      </c>
      <c r="G105" s="76">
        <f ca="1">SUMIF('Production '!$C$4:$AI$4407,'Tracking Sheet'!B105,'Production '!$W$4:$W$4407)</f>
        <v>0</v>
      </c>
      <c r="H105" s="76">
        <f ca="1">SUMIF('Production '!$C$4:$AI$4407,'Tracking Sheet'!B105,'Production '!$F$4:$F$4407)</f>
        <v>3000</v>
      </c>
      <c r="I105" s="76">
        <f ca="1">SUMIF('Production '!$C$4:$AI$4407,'Tracking Sheet'!B105,'Production '!$V$4:$V$4407)</f>
        <v>0</v>
      </c>
      <c r="J105" s="76">
        <f ca="1">SUMIF('Production '!$C$4:$AI$4407,'Tracking Sheet'!B105,'Production '!$AG$4:$AG$4407)</f>
        <v>-3000</v>
      </c>
    </row>
    <row r="106" spans="2:10" x14ac:dyDescent="0.3">
      <c r="B106" s="277">
        <f>'Production '!C109</f>
        <v>0</v>
      </c>
      <c r="C106" s="76" t="e">
        <f ca="1">SUMIF('Production '!$C$4:$AI$4407,'Tracking Sheet'!B106,'Production '!$M$4:$M$4407)</f>
        <v>#DIV/0!</v>
      </c>
      <c r="D106" s="76" t="e">
        <f ca="1">SUMIF('Production '!$C$4:$AI$4407,'Tracking Sheet'!B106,'Production '!$Q$4:$Q$4407)</f>
        <v>#DIV/0!</v>
      </c>
      <c r="E106" s="76">
        <f ca="1">SUMIF('Production '!$C$4:$AI$4407,'Tracking Sheet'!B106,'Production '!$S$4:$S$4407)</f>
        <v>-1268218.9828305368</v>
      </c>
      <c r="F106" s="76">
        <f ca="1">SUMIF('Production '!$C$4:$AI$4407,'Tracking Sheet'!B106,'Production '!$U$4:$U$4407)</f>
        <v>-10620.435600016917</v>
      </c>
      <c r="G106" s="76" t="e">
        <f ca="1">SUMIF('Production '!$C$4:$AI$4407,'Tracking Sheet'!B106,'Production '!$W$4:$W$4407)</f>
        <v>#DIV/0!</v>
      </c>
      <c r="H106" s="76">
        <f ca="1">SUMIF('Production '!$C$4:$AI$4407,'Tracking Sheet'!B106,'Production '!$F$4:$F$4407)</f>
        <v>3230621.3283604058</v>
      </c>
      <c r="I106" s="76">
        <f ca="1">SUMIF('Production '!$C$4:$AI$4407,'Tracking Sheet'!B106,'Production '!$V$4:$V$4407)</f>
        <v>-489.86487791182844</v>
      </c>
      <c r="J106" s="76">
        <f ca="1">SUMIF('Production '!$C$4:$AI$4407,'Tracking Sheet'!B106,'Production '!$AG$4:$AG$4407)</f>
        <v>0</v>
      </c>
    </row>
    <row r="107" spans="2:10" x14ac:dyDescent="0.3">
      <c r="B107" s="277" t="str">
        <f>'Production '!C110</f>
        <v>46152 6th</v>
      </c>
      <c r="C107" s="76">
        <f ca="1">SUMIF('Production '!$C$4:$AI$4407,'Tracking Sheet'!B107,'Production '!$M$4:$M$4407)</f>
        <v>7766</v>
      </c>
      <c r="D107" s="76">
        <f ca="1">SUMIF('Production '!$C$4:$AI$4407,'Tracking Sheet'!B107,'Production '!$Q$4:$Q$4407)</f>
        <v>0</v>
      </c>
      <c r="E107" s="76">
        <f ca="1">SUMIF('Production '!$C$4:$AI$4407,'Tracking Sheet'!B107,'Production '!$S$4:$S$4407)</f>
        <v>0</v>
      </c>
      <c r="F107" s="76">
        <f ca="1">SUMIF('Production '!$C$4:$AI$4407,'Tracking Sheet'!B107,'Production '!$U$4:$U$4407)</f>
        <v>6</v>
      </c>
      <c r="G107" s="76">
        <f ca="1">SUMIF('Production '!$C$4:$AI$4407,'Tracking Sheet'!B107,'Production '!$W$4:$W$4407)</f>
        <v>7760</v>
      </c>
      <c r="H107" s="76">
        <f ca="1">SUMIF('Production '!$C$4:$AI$4407,'Tracking Sheet'!B107,'Production '!$F$4:$F$4407)</f>
        <v>7400</v>
      </c>
      <c r="I107" s="76">
        <f ca="1">SUMIF('Production '!$C$4:$AI$4407,'Tracking Sheet'!B107,'Production '!$V$4:$V$4407)</f>
        <v>0</v>
      </c>
      <c r="J107" s="76">
        <f ca="1">SUMIF('Production '!$C$4:$AI$4407,'Tracking Sheet'!B107,'Production '!$AG$4:$AG$4407)</f>
        <v>0</v>
      </c>
    </row>
    <row r="108" spans="2:10" x14ac:dyDescent="0.3">
      <c r="B108" s="277" t="str">
        <f>'Production '!C111</f>
        <v>46152 6th</v>
      </c>
      <c r="C108" s="76">
        <f ca="1">SUMIF('Production '!$C$4:$AI$4407,'Tracking Sheet'!B108,'Production '!$M$4:$M$4407)</f>
        <v>7766</v>
      </c>
      <c r="D108" s="76">
        <f ca="1">SUMIF('Production '!$C$4:$AI$4407,'Tracking Sheet'!B108,'Production '!$Q$4:$Q$4407)</f>
        <v>0</v>
      </c>
      <c r="E108" s="76">
        <f ca="1">SUMIF('Production '!$C$4:$AI$4407,'Tracking Sheet'!B108,'Production '!$S$4:$S$4407)</f>
        <v>0</v>
      </c>
      <c r="F108" s="76">
        <f ca="1">SUMIF('Production '!$C$4:$AI$4407,'Tracking Sheet'!B108,'Production '!$U$4:$U$4407)</f>
        <v>6</v>
      </c>
      <c r="G108" s="76">
        <f ca="1">SUMIF('Production '!$C$4:$AI$4407,'Tracking Sheet'!B108,'Production '!$W$4:$W$4407)</f>
        <v>7760</v>
      </c>
      <c r="H108" s="76">
        <f ca="1">SUMIF('Production '!$C$4:$AI$4407,'Tracking Sheet'!B108,'Production '!$F$4:$F$4407)</f>
        <v>7400</v>
      </c>
      <c r="I108" s="76">
        <f ca="1">SUMIF('Production '!$C$4:$AI$4407,'Tracking Sheet'!B108,'Production '!$V$4:$V$4407)</f>
        <v>0</v>
      </c>
      <c r="J108" s="76">
        <f ca="1">SUMIF('Production '!$C$4:$AI$4407,'Tracking Sheet'!B108,'Production '!$AG$4:$AG$4407)</f>
        <v>0</v>
      </c>
    </row>
    <row r="109" spans="2:10" x14ac:dyDescent="0.3">
      <c r="B109" s="277" t="str">
        <f>'Production '!C112</f>
        <v>46152 6th</v>
      </c>
      <c r="C109" s="76">
        <f ca="1">SUMIF('Production '!$C$4:$AI$4407,'Tracking Sheet'!B109,'Production '!$M$4:$M$4407)</f>
        <v>7766</v>
      </c>
      <c r="D109" s="76">
        <f ca="1">SUMIF('Production '!$C$4:$AI$4407,'Tracking Sheet'!B109,'Production '!$Q$4:$Q$4407)</f>
        <v>0</v>
      </c>
      <c r="E109" s="76">
        <f ca="1">SUMIF('Production '!$C$4:$AI$4407,'Tracking Sheet'!B109,'Production '!$S$4:$S$4407)</f>
        <v>0</v>
      </c>
      <c r="F109" s="76">
        <f ca="1">SUMIF('Production '!$C$4:$AI$4407,'Tracking Sheet'!B109,'Production '!$U$4:$U$4407)</f>
        <v>6</v>
      </c>
      <c r="G109" s="76">
        <f ca="1">SUMIF('Production '!$C$4:$AI$4407,'Tracking Sheet'!B109,'Production '!$W$4:$W$4407)</f>
        <v>7760</v>
      </c>
      <c r="H109" s="76">
        <f ca="1">SUMIF('Production '!$C$4:$AI$4407,'Tracking Sheet'!B109,'Production '!$F$4:$F$4407)</f>
        <v>7400</v>
      </c>
      <c r="I109" s="76">
        <f ca="1">SUMIF('Production '!$C$4:$AI$4407,'Tracking Sheet'!B109,'Production '!$V$4:$V$4407)</f>
        <v>0</v>
      </c>
      <c r="J109" s="76">
        <f ca="1">SUMIF('Production '!$C$4:$AI$4407,'Tracking Sheet'!B109,'Production '!$AG$4:$AG$4407)</f>
        <v>0</v>
      </c>
    </row>
    <row r="110" spans="2:10" x14ac:dyDescent="0.3">
      <c r="B110" s="277" t="str">
        <f>'Production '!C113</f>
        <v>46152 6th</v>
      </c>
      <c r="C110" s="76">
        <f ca="1">SUMIF('Production '!$C$4:$AI$4407,'Tracking Sheet'!B110,'Production '!$M$4:$M$4407)</f>
        <v>7766</v>
      </c>
      <c r="D110" s="76">
        <f ca="1">SUMIF('Production '!$C$4:$AI$4407,'Tracking Sheet'!B110,'Production '!$Q$4:$Q$4407)</f>
        <v>0</v>
      </c>
      <c r="E110" s="76">
        <f ca="1">SUMIF('Production '!$C$4:$AI$4407,'Tracking Sheet'!B110,'Production '!$S$4:$S$4407)</f>
        <v>0</v>
      </c>
      <c r="F110" s="76">
        <f ca="1">SUMIF('Production '!$C$4:$AI$4407,'Tracking Sheet'!B110,'Production '!$U$4:$U$4407)</f>
        <v>6</v>
      </c>
      <c r="G110" s="76">
        <f ca="1">SUMIF('Production '!$C$4:$AI$4407,'Tracking Sheet'!B110,'Production '!$W$4:$W$4407)</f>
        <v>7760</v>
      </c>
      <c r="H110" s="76">
        <f ca="1">SUMIF('Production '!$C$4:$AI$4407,'Tracking Sheet'!B110,'Production '!$F$4:$F$4407)</f>
        <v>7400</v>
      </c>
      <c r="I110" s="76">
        <f ca="1">SUMIF('Production '!$C$4:$AI$4407,'Tracking Sheet'!B110,'Production '!$V$4:$V$4407)</f>
        <v>0</v>
      </c>
      <c r="J110" s="76">
        <f ca="1">SUMIF('Production '!$C$4:$AI$4407,'Tracking Sheet'!B110,'Production '!$AG$4:$AG$4407)</f>
        <v>0</v>
      </c>
    </row>
    <row r="111" spans="2:10" x14ac:dyDescent="0.3">
      <c r="B111" s="277" t="str">
        <f>'Production '!C114</f>
        <v>46152 6th</v>
      </c>
      <c r="C111" s="76">
        <f ca="1">SUMIF('Production '!$C$4:$AI$4407,'Tracking Sheet'!B111,'Production '!$M$4:$M$4407)</f>
        <v>7766</v>
      </c>
      <c r="D111" s="76">
        <f ca="1">SUMIF('Production '!$C$4:$AI$4407,'Tracking Sheet'!B111,'Production '!$Q$4:$Q$4407)</f>
        <v>0</v>
      </c>
      <c r="E111" s="76">
        <f ca="1">SUMIF('Production '!$C$4:$AI$4407,'Tracking Sheet'!B111,'Production '!$S$4:$S$4407)</f>
        <v>0</v>
      </c>
      <c r="F111" s="76">
        <f ca="1">SUMIF('Production '!$C$4:$AI$4407,'Tracking Sheet'!B111,'Production '!$U$4:$U$4407)</f>
        <v>6</v>
      </c>
      <c r="G111" s="76">
        <f ca="1">SUMIF('Production '!$C$4:$AI$4407,'Tracking Sheet'!B111,'Production '!$W$4:$W$4407)</f>
        <v>7760</v>
      </c>
      <c r="H111" s="76">
        <f ca="1">SUMIF('Production '!$C$4:$AI$4407,'Tracking Sheet'!B111,'Production '!$F$4:$F$4407)</f>
        <v>7400</v>
      </c>
      <c r="I111" s="76">
        <f ca="1">SUMIF('Production '!$C$4:$AI$4407,'Tracking Sheet'!B111,'Production '!$V$4:$V$4407)</f>
        <v>0</v>
      </c>
      <c r="J111" s="76">
        <f ca="1">SUMIF('Production '!$C$4:$AI$4407,'Tracking Sheet'!B111,'Production '!$AG$4:$AG$4407)</f>
        <v>0</v>
      </c>
    </row>
    <row r="112" spans="2:10" x14ac:dyDescent="0.3">
      <c r="B112" s="277" t="str">
        <f>'Production '!C115</f>
        <v>46152 6th</v>
      </c>
      <c r="C112" s="76">
        <f ca="1">SUMIF('Production '!$C$4:$AI$4407,'Tracking Sheet'!B112,'Production '!$M$4:$M$4407)</f>
        <v>7766</v>
      </c>
      <c r="D112" s="76">
        <f ca="1">SUMIF('Production '!$C$4:$AI$4407,'Tracking Sheet'!B112,'Production '!$Q$4:$Q$4407)</f>
        <v>0</v>
      </c>
      <c r="E112" s="76">
        <f ca="1">SUMIF('Production '!$C$4:$AI$4407,'Tracking Sheet'!B112,'Production '!$S$4:$S$4407)</f>
        <v>0</v>
      </c>
      <c r="F112" s="76">
        <f ca="1">SUMIF('Production '!$C$4:$AI$4407,'Tracking Sheet'!B112,'Production '!$U$4:$U$4407)</f>
        <v>6</v>
      </c>
      <c r="G112" s="76">
        <f ca="1">SUMIF('Production '!$C$4:$AI$4407,'Tracking Sheet'!B112,'Production '!$W$4:$W$4407)</f>
        <v>7760</v>
      </c>
      <c r="H112" s="76">
        <f ca="1">SUMIF('Production '!$C$4:$AI$4407,'Tracking Sheet'!B112,'Production '!$F$4:$F$4407)</f>
        <v>7400</v>
      </c>
      <c r="I112" s="76">
        <f ca="1">SUMIF('Production '!$C$4:$AI$4407,'Tracking Sheet'!B112,'Production '!$V$4:$V$4407)</f>
        <v>0</v>
      </c>
      <c r="J112" s="76">
        <f ca="1">SUMIF('Production '!$C$4:$AI$4407,'Tracking Sheet'!B112,'Production '!$AG$4:$AG$4407)</f>
        <v>0</v>
      </c>
    </row>
    <row r="113" spans="2:10" x14ac:dyDescent="0.3">
      <c r="B113" s="277">
        <f>'Production '!C116</f>
        <v>0</v>
      </c>
      <c r="C113" s="76" t="e">
        <f ca="1">SUMIF('Production '!$C$4:$AI$4407,'Tracking Sheet'!B113,'Production '!$M$4:$M$4407)</f>
        <v>#DIV/0!</v>
      </c>
      <c r="D113" s="76" t="e">
        <f ca="1">SUMIF('Production '!$C$4:$AI$4407,'Tracking Sheet'!B113,'Production '!$Q$4:$Q$4407)</f>
        <v>#DIV/0!</v>
      </c>
      <c r="E113" s="76">
        <f ca="1">SUMIF('Production '!$C$4:$AI$4407,'Tracking Sheet'!B113,'Production '!$S$4:$S$4407)</f>
        <v>-1268218.9828305368</v>
      </c>
      <c r="F113" s="76">
        <f ca="1">SUMIF('Production '!$C$4:$AI$4407,'Tracking Sheet'!B113,'Production '!$U$4:$U$4407)</f>
        <v>-10620.435600016917</v>
      </c>
      <c r="G113" s="76" t="e">
        <f ca="1">SUMIF('Production '!$C$4:$AI$4407,'Tracking Sheet'!B113,'Production '!$W$4:$W$4407)</f>
        <v>#DIV/0!</v>
      </c>
      <c r="H113" s="76">
        <f ca="1">SUMIF('Production '!$C$4:$AI$4407,'Tracking Sheet'!B113,'Production '!$F$4:$F$4407)</f>
        <v>3230621.3283604058</v>
      </c>
      <c r="I113" s="76">
        <f ca="1">SUMIF('Production '!$C$4:$AI$4407,'Tracking Sheet'!B113,'Production '!$V$4:$V$4407)</f>
        <v>-489.86487791182844</v>
      </c>
      <c r="J113" s="76">
        <f ca="1">SUMIF('Production '!$C$4:$AI$4407,'Tracking Sheet'!B113,'Production '!$AG$4:$AG$4407)</f>
        <v>0</v>
      </c>
    </row>
    <row r="114" spans="2:10" x14ac:dyDescent="0.3">
      <c r="B114" s="277" t="str">
        <f>'Production '!C117</f>
        <v>46152 8th</v>
      </c>
      <c r="C114" s="76">
        <f ca="1">SUMIF('Production '!$C$4:$AI$4407,'Tracking Sheet'!B114,'Production '!$M$4:$M$4407)</f>
        <v>9532</v>
      </c>
      <c r="D114" s="76">
        <f ca="1">SUMIF('Production '!$C$4:$AI$4407,'Tracking Sheet'!B114,'Production '!$Q$4:$Q$4407)</f>
        <v>0</v>
      </c>
      <c r="E114" s="76">
        <f ca="1">SUMIF('Production '!$C$4:$AI$4407,'Tracking Sheet'!B114,'Production '!$S$4:$S$4407)</f>
        <v>0</v>
      </c>
      <c r="F114" s="76">
        <f ca="1">SUMIF('Production '!$C$4:$AI$4407,'Tracking Sheet'!B114,'Production '!$U$4:$U$4407)</f>
        <v>0</v>
      </c>
      <c r="G114" s="76">
        <f ca="1">SUMIF('Production '!$C$4:$AI$4407,'Tracking Sheet'!B114,'Production '!$W$4:$W$4407)</f>
        <v>9532</v>
      </c>
      <c r="H114" s="76">
        <f ca="1">SUMIF('Production '!$C$4:$AI$4407,'Tracking Sheet'!B114,'Production '!$F$4:$F$4407)</f>
        <v>9000</v>
      </c>
      <c r="I114" s="76">
        <f ca="1">SUMIF('Production '!$C$4:$AI$4407,'Tracking Sheet'!B114,'Production '!$V$4:$V$4407)</f>
        <v>0</v>
      </c>
      <c r="J114" s="76">
        <f ca="1">SUMIF('Production '!$C$4:$AI$4407,'Tracking Sheet'!B114,'Production '!$AG$4:$AG$4407)</f>
        <v>0</v>
      </c>
    </row>
    <row r="115" spans="2:10" x14ac:dyDescent="0.3">
      <c r="B115" s="277" t="str">
        <f>'Production '!C118</f>
        <v>46152 8th</v>
      </c>
      <c r="C115" s="76">
        <f ca="1">SUMIF('Production '!$C$4:$AI$4407,'Tracking Sheet'!B115,'Production '!$M$4:$M$4407)</f>
        <v>9532</v>
      </c>
      <c r="D115" s="76">
        <f ca="1">SUMIF('Production '!$C$4:$AI$4407,'Tracking Sheet'!B115,'Production '!$Q$4:$Q$4407)</f>
        <v>0</v>
      </c>
      <c r="E115" s="76">
        <f ca="1">SUMIF('Production '!$C$4:$AI$4407,'Tracking Sheet'!B115,'Production '!$S$4:$S$4407)</f>
        <v>0</v>
      </c>
      <c r="F115" s="76">
        <f ca="1">SUMIF('Production '!$C$4:$AI$4407,'Tracking Sheet'!B115,'Production '!$U$4:$U$4407)</f>
        <v>0</v>
      </c>
      <c r="G115" s="76">
        <f ca="1">SUMIF('Production '!$C$4:$AI$4407,'Tracking Sheet'!B115,'Production '!$W$4:$W$4407)</f>
        <v>9532</v>
      </c>
      <c r="H115" s="76">
        <f ca="1">SUMIF('Production '!$C$4:$AI$4407,'Tracking Sheet'!B115,'Production '!$F$4:$F$4407)</f>
        <v>9000</v>
      </c>
      <c r="I115" s="76">
        <f ca="1">SUMIF('Production '!$C$4:$AI$4407,'Tracking Sheet'!B115,'Production '!$V$4:$V$4407)</f>
        <v>0</v>
      </c>
      <c r="J115" s="76">
        <f ca="1">SUMIF('Production '!$C$4:$AI$4407,'Tracking Sheet'!B115,'Production '!$AG$4:$AG$4407)</f>
        <v>0</v>
      </c>
    </row>
    <row r="116" spans="2:10" x14ac:dyDescent="0.3">
      <c r="B116" s="277">
        <f>'Production '!C119</f>
        <v>0</v>
      </c>
      <c r="C116" s="76" t="e">
        <f ca="1">SUMIF('Production '!$C$4:$AI$4407,'Tracking Sheet'!B116,'Production '!$M$4:$M$4407)</f>
        <v>#DIV/0!</v>
      </c>
      <c r="D116" s="76" t="e">
        <f ca="1">SUMIF('Production '!$C$4:$AI$4407,'Tracking Sheet'!B116,'Production '!$Q$4:$Q$4407)</f>
        <v>#DIV/0!</v>
      </c>
      <c r="E116" s="76">
        <f ca="1">SUMIF('Production '!$C$4:$AI$4407,'Tracking Sheet'!B116,'Production '!$S$4:$S$4407)</f>
        <v>-1268218.9828305368</v>
      </c>
      <c r="F116" s="76">
        <f ca="1">SUMIF('Production '!$C$4:$AI$4407,'Tracking Sheet'!B116,'Production '!$U$4:$U$4407)</f>
        <v>-10620.435600016917</v>
      </c>
      <c r="G116" s="76" t="e">
        <f ca="1">SUMIF('Production '!$C$4:$AI$4407,'Tracking Sheet'!B116,'Production '!$W$4:$W$4407)</f>
        <v>#DIV/0!</v>
      </c>
      <c r="H116" s="76">
        <f ca="1">SUMIF('Production '!$C$4:$AI$4407,'Tracking Sheet'!B116,'Production '!$F$4:$F$4407)</f>
        <v>3230621.3283604058</v>
      </c>
      <c r="I116" s="76">
        <f ca="1">SUMIF('Production '!$C$4:$AI$4407,'Tracking Sheet'!B116,'Production '!$V$4:$V$4407)</f>
        <v>-489.86487791182844</v>
      </c>
      <c r="J116" s="76">
        <f ca="1">SUMIF('Production '!$C$4:$AI$4407,'Tracking Sheet'!B116,'Production '!$AG$4:$AG$4407)</f>
        <v>0</v>
      </c>
    </row>
    <row r="117" spans="2:10" x14ac:dyDescent="0.3">
      <c r="B117" s="277" t="str">
        <f>'Production '!C120</f>
        <v>44262 8th</v>
      </c>
      <c r="C117" s="76">
        <f ca="1">SUMIF('Production '!$C$4:$AI$4407,'Tracking Sheet'!B117,'Production '!$M$4:$M$4407)</f>
        <v>0</v>
      </c>
      <c r="D117" s="76">
        <f ca="1">SUMIF('Production '!$C$4:$AI$4407,'Tracking Sheet'!B117,'Production '!$Q$4:$Q$4407)</f>
        <v>0</v>
      </c>
      <c r="E117" s="76">
        <f ca="1">SUMIF('Production '!$C$4:$AI$4407,'Tracking Sheet'!B117,'Production '!$S$4:$S$4407)</f>
        <v>0</v>
      </c>
      <c r="F117" s="76">
        <f ca="1">SUMIF('Production '!$C$4:$AI$4407,'Tracking Sheet'!B117,'Production '!$U$4:$U$4407)</f>
        <v>0</v>
      </c>
      <c r="G117" s="76">
        <f ca="1">SUMIF('Production '!$C$4:$AI$4407,'Tracking Sheet'!B117,'Production '!$W$4:$W$4407)</f>
        <v>0</v>
      </c>
      <c r="H117" s="76">
        <f ca="1">SUMIF('Production '!$C$4:$AI$4407,'Tracking Sheet'!B117,'Production '!$F$4:$F$4407)</f>
        <v>2200</v>
      </c>
      <c r="I117" s="76">
        <f ca="1">SUMIF('Production '!$C$4:$AI$4407,'Tracking Sheet'!B117,'Production '!$V$4:$V$4407)</f>
        <v>0</v>
      </c>
      <c r="J117" s="76">
        <f ca="1">SUMIF('Production '!$C$4:$AI$4407,'Tracking Sheet'!B117,'Production '!$AG$4:$AG$4407)</f>
        <v>-2200</v>
      </c>
    </row>
    <row r="118" spans="2:10" x14ac:dyDescent="0.3">
      <c r="B118" s="277" t="str">
        <f>'Production '!C121</f>
        <v>44262 8th</v>
      </c>
      <c r="C118" s="76">
        <f ca="1">SUMIF('Production '!$C$4:$AI$4407,'Tracking Sheet'!B118,'Production '!$M$4:$M$4407)</f>
        <v>0</v>
      </c>
      <c r="D118" s="76">
        <f ca="1">SUMIF('Production '!$C$4:$AI$4407,'Tracking Sheet'!B118,'Production '!$Q$4:$Q$4407)</f>
        <v>0</v>
      </c>
      <c r="E118" s="76">
        <f ca="1">SUMIF('Production '!$C$4:$AI$4407,'Tracking Sheet'!B118,'Production '!$S$4:$S$4407)</f>
        <v>0</v>
      </c>
      <c r="F118" s="76">
        <f ca="1">SUMIF('Production '!$C$4:$AI$4407,'Tracking Sheet'!B118,'Production '!$U$4:$U$4407)</f>
        <v>0</v>
      </c>
      <c r="G118" s="76">
        <f ca="1">SUMIF('Production '!$C$4:$AI$4407,'Tracking Sheet'!B118,'Production '!$W$4:$W$4407)</f>
        <v>0</v>
      </c>
      <c r="H118" s="76">
        <f ca="1">SUMIF('Production '!$C$4:$AI$4407,'Tracking Sheet'!B118,'Production '!$F$4:$F$4407)</f>
        <v>2200</v>
      </c>
      <c r="I118" s="76">
        <f ca="1">SUMIF('Production '!$C$4:$AI$4407,'Tracking Sheet'!B118,'Production '!$V$4:$V$4407)</f>
        <v>0</v>
      </c>
      <c r="J118" s="76">
        <f ca="1">SUMIF('Production '!$C$4:$AI$4407,'Tracking Sheet'!B118,'Production '!$AG$4:$AG$4407)</f>
        <v>-2200</v>
      </c>
    </row>
    <row r="119" spans="2:10" x14ac:dyDescent="0.3">
      <c r="B119" s="277">
        <f>'Production '!C122</f>
        <v>0</v>
      </c>
      <c r="C119" s="76" t="e">
        <f ca="1">SUMIF('Production '!$C$4:$AI$4407,'Tracking Sheet'!B119,'Production '!$M$4:$M$4407)</f>
        <v>#DIV/0!</v>
      </c>
      <c r="D119" s="76" t="e">
        <f ca="1">SUMIF('Production '!$C$4:$AI$4407,'Tracking Sheet'!B119,'Production '!$Q$4:$Q$4407)</f>
        <v>#DIV/0!</v>
      </c>
      <c r="E119" s="76">
        <f ca="1">SUMIF('Production '!$C$4:$AI$4407,'Tracking Sheet'!B119,'Production '!$S$4:$S$4407)</f>
        <v>-1268218.9828305368</v>
      </c>
      <c r="F119" s="76">
        <f ca="1">SUMIF('Production '!$C$4:$AI$4407,'Tracking Sheet'!B119,'Production '!$U$4:$U$4407)</f>
        <v>-10620.435600016917</v>
      </c>
      <c r="G119" s="76" t="e">
        <f ca="1">SUMIF('Production '!$C$4:$AI$4407,'Tracking Sheet'!B119,'Production '!$W$4:$W$4407)</f>
        <v>#DIV/0!</v>
      </c>
      <c r="H119" s="76">
        <f ca="1">SUMIF('Production '!$C$4:$AI$4407,'Tracking Sheet'!B119,'Production '!$F$4:$F$4407)</f>
        <v>3230621.3283604058</v>
      </c>
      <c r="I119" s="76">
        <f ca="1">SUMIF('Production '!$C$4:$AI$4407,'Tracking Sheet'!B119,'Production '!$V$4:$V$4407)</f>
        <v>-489.86487791182844</v>
      </c>
      <c r="J119" s="76">
        <f ca="1">SUMIF('Production '!$C$4:$AI$4407,'Tracking Sheet'!B119,'Production '!$AG$4:$AG$4407)</f>
        <v>0</v>
      </c>
    </row>
    <row r="120" spans="2:10" x14ac:dyDescent="0.3">
      <c r="B120" s="277" t="str">
        <f>'Production '!C123</f>
        <v>43333 5th</v>
      </c>
      <c r="C120" s="76">
        <f ca="1">SUMIF('Production '!$C$4:$AI$4407,'Tracking Sheet'!B120,'Production '!$M$4:$M$4407)</f>
        <v>4152</v>
      </c>
      <c r="D120" s="76">
        <f ca="1">SUMIF('Production '!$C$4:$AI$4407,'Tracking Sheet'!B120,'Production '!$Q$4:$Q$4407)</f>
        <v>0</v>
      </c>
      <c r="E120" s="76">
        <f ca="1">SUMIF('Production '!$C$4:$AI$4407,'Tracking Sheet'!B120,'Production '!$S$4:$S$4407)</f>
        <v>0</v>
      </c>
      <c r="F120" s="76">
        <f ca="1">SUMIF('Production '!$C$4:$AI$4407,'Tracking Sheet'!B120,'Production '!$U$4:$U$4407)</f>
        <v>61</v>
      </c>
      <c r="G120" s="76">
        <f ca="1">SUMIF('Production '!$C$4:$AI$4407,'Tracking Sheet'!B120,'Production '!$W$4:$W$4407)</f>
        <v>4091</v>
      </c>
      <c r="H120" s="76">
        <f ca="1">SUMIF('Production '!$C$4:$AI$4407,'Tracking Sheet'!B120,'Production '!$F$4:$F$4407)</f>
        <v>4000</v>
      </c>
      <c r="I120" s="76">
        <f ca="1">SUMIF('Production '!$C$4:$AI$4407,'Tracking Sheet'!B120,'Production '!$V$4:$V$4407)</f>
        <v>0</v>
      </c>
      <c r="J120" s="76">
        <f ca="1">SUMIF('Production '!$C$4:$AI$4407,'Tracking Sheet'!B120,'Production '!$AG$4:$AG$4407)</f>
        <v>0</v>
      </c>
    </row>
    <row r="121" spans="2:10" x14ac:dyDescent="0.3">
      <c r="B121" s="277" t="str">
        <f>'Production '!C124</f>
        <v>43333 5th</v>
      </c>
      <c r="C121" s="76">
        <f ca="1">SUMIF('Production '!$C$4:$AI$4407,'Tracking Sheet'!B121,'Production '!$M$4:$M$4407)</f>
        <v>4152</v>
      </c>
      <c r="D121" s="76">
        <f ca="1">SUMIF('Production '!$C$4:$AI$4407,'Tracking Sheet'!B121,'Production '!$Q$4:$Q$4407)</f>
        <v>0</v>
      </c>
      <c r="E121" s="76">
        <f ca="1">SUMIF('Production '!$C$4:$AI$4407,'Tracking Sheet'!B121,'Production '!$S$4:$S$4407)</f>
        <v>0</v>
      </c>
      <c r="F121" s="76">
        <f ca="1">SUMIF('Production '!$C$4:$AI$4407,'Tracking Sheet'!B121,'Production '!$U$4:$U$4407)</f>
        <v>61</v>
      </c>
      <c r="G121" s="76">
        <f ca="1">SUMIF('Production '!$C$4:$AI$4407,'Tracking Sheet'!B121,'Production '!$W$4:$W$4407)</f>
        <v>4091</v>
      </c>
      <c r="H121" s="76">
        <f ca="1">SUMIF('Production '!$C$4:$AI$4407,'Tracking Sheet'!B121,'Production '!$F$4:$F$4407)</f>
        <v>4000</v>
      </c>
      <c r="I121" s="76">
        <f ca="1">SUMIF('Production '!$C$4:$AI$4407,'Tracking Sheet'!B121,'Production '!$V$4:$V$4407)</f>
        <v>0</v>
      </c>
      <c r="J121" s="76">
        <f ca="1">SUMIF('Production '!$C$4:$AI$4407,'Tracking Sheet'!B121,'Production '!$AG$4:$AG$4407)</f>
        <v>0</v>
      </c>
    </row>
    <row r="122" spans="2:10" x14ac:dyDescent="0.3">
      <c r="B122" s="277">
        <f>'Production '!C125</f>
        <v>0</v>
      </c>
      <c r="C122" s="76" t="e">
        <f ca="1">SUMIF('Production '!$C$4:$AI$4407,'Tracking Sheet'!B122,'Production '!$M$4:$M$4407)</f>
        <v>#DIV/0!</v>
      </c>
      <c r="D122" s="76" t="e">
        <f ca="1">SUMIF('Production '!$C$4:$AI$4407,'Tracking Sheet'!B122,'Production '!$Q$4:$Q$4407)</f>
        <v>#DIV/0!</v>
      </c>
      <c r="E122" s="76">
        <f ca="1">SUMIF('Production '!$C$4:$AI$4407,'Tracking Sheet'!B122,'Production '!$S$4:$S$4407)</f>
        <v>-1268218.9828305368</v>
      </c>
      <c r="F122" s="76">
        <f ca="1">SUMIF('Production '!$C$4:$AI$4407,'Tracking Sheet'!B122,'Production '!$U$4:$U$4407)</f>
        <v>-10620.435600016917</v>
      </c>
      <c r="G122" s="76" t="e">
        <f ca="1">SUMIF('Production '!$C$4:$AI$4407,'Tracking Sheet'!B122,'Production '!$W$4:$W$4407)</f>
        <v>#DIV/0!</v>
      </c>
      <c r="H122" s="76">
        <f ca="1">SUMIF('Production '!$C$4:$AI$4407,'Tracking Sheet'!B122,'Production '!$F$4:$F$4407)</f>
        <v>3230621.3283604058</v>
      </c>
      <c r="I122" s="76">
        <f ca="1">SUMIF('Production '!$C$4:$AI$4407,'Tracking Sheet'!B122,'Production '!$V$4:$V$4407)</f>
        <v>-489.86487791182844</v>
      </c>
      <c r="J122" s="76">
        <f ca="1">SUMIF('Production '!$C$4:$AI$4407,'Tracking Sheet'!B122,'Production '!$AG$4:$AG$4407)</f>
        <v>0</v>
      </c>
    </row>
    <row r="123" spans="2:10" x14ac:dyDescent="0.3">
      <c r="B123" s="277" t="str">
        <f>'Production '!C126</f>
        <v>42481 12th</v>
      </c>
      <c r="C123" s="76">
        <f ca="1">SUMIF('Production '!$C$4:$AI$4407,'Tracking Sheet'!B123,'Production '!$M$4:$M$4407)</f>
        <v>7288</v>
      </c>
      <c r="D123" s="76">
        <f ca="1">SUMIF('Production '!$C$4:$AI$4407,'Tracking Sheet'!B123,'Production '!$Q$4:$Q$4407)</f>
        <v>0</v>
      </c>
      <c r="E123" s="76">
        <f ca="1">SUMIF('Production '!$C$4:$AI$4407,'Tracking Sheet'!B123,'Production '!$S$4:$S$4407)</f>
        <v>0</v>
      </c>
      <c r="F123" s="76">
        <f ca="1">SUMIF('Production '!$C$4:$AI$4407,'Tracking Sheet'!B123,'Production '!$U$4:$U$4407)</f>
        <v>22</v>
      </c>
      <c r="G123" s="76">
        <f ca="1">SUMIF('Production '!$C$4:$AI$4407,'Tracking Sheet'!B123,'Production '!$W$4:$W$4407)</f>
        <v>7266</v>
      </c>
      <c r="H123" s="76">
        <f ca="1">SUMIF('Production '!$C$4:$AI$4407,'Tracking Sheet'!B123,'Production '!$F$4:$F$4407)</f>
        <v>7000</v>
      </c>
      <c r="I123" s="76">
        <f ca="1">SUMIF('Production '!$C$4:$AI$4407,'Tracking Sheet'!B123,'Production '!$V$4:$V$4407)</f>
        <v>0</v>
      </c>
      <c r="J123" s="76">
        <f ca="1">SUMIF('Production '!$C$4:$AI$4407,'Tracking Sheet'!B123,'Production '!$AG$4:$AG$4407)</f>
        <v>0</v>
      </c>
    </row>
    <row r="124" spans="2:10" x14ac:dyDescent="0.3">
      <c r="B124" s="277" t="str">
        <f>'Production '!C127</f>
        <v>42481 12th</v>
      </c>
      <c r="C124" s="76">
        <f ca="1">SUMIF('Production '!$C$4:$AI$4407,'Tracking Sheet'!B124,'Production '!$M$4:$M$4407)</f>
        <v>7288</v>
      </c>
      <c r="D124" s="76">
        <f ca="1">SUMIF('Production '!$C$4:$AI$4407,'Tracking Sheet'!B124,'Production '!$Q$4:$Q$4407)</f>
        <v>0</v>
      </c>
      <c r="E124" s="76">
        <f ca="1">SUMIF('Production '!$C$4:$AI$4407,'Tracking Sheet'!B124,'Production '!$S$4:$S$4407)</f>
        <v>0</v>
      </c>
      <c r="F124" s="76">
        <f ca="1">SUMIF('Production '!$C$4:$AI$4407,'Tracking Sheet'!B124,'Production '!$U$4:$U$4407)</f>
        <v>22</v>
      </c>
      <c r="G124" s="76">
        <f ca="1">SUMIF('Production '!$C$4:$AI$4407,'Tracking Sheet'!B124,'Production '!$W$4:$W$4407)</f>
        <v>7266</v>
      </c>
      <c r="H124" s="76">
        <f ca="1">SUMIF('Production '!$C$4:$AI$4407,'Tracking Sheet'!B124,'Production '!$F$4:$F$4407)</f>
        <v>7000</v>
      </c>
      <c r="I124" s="76">
        <f ca="1">SUMIF('Production '!$C$4:$AI$4407,'Tracking Sheet'!B124,'Production '!$V$4:$V$4407)</f>
        <v>0</v>
      </c>
      <c r="J124" s="76">
        <f ca="1">SUMIF('Production '!$C$4:$AI$4407,'Tracking Sheet'!B124,'Production '!$AG$4:$AG$4407)</f>
        <v>0</v>
      </c>
    </row>
    <row r="125" spans="2:10" x14ac:dyDescent="0.3">
      <c r="B125" s="277" t="str">
        <f>'Production '!C128</f>
        <v>42481 12th</v>
      </c>
      <c r="C125" s="76">
        <f ca="1">SUMIF('Production '!$C$4:$AI$4407,'Tracking Sheet'!B125,'Production '!$M$4:$M$4407)</f>
        <v>7288</v>
      </c>
      <c r="D125" s="76">
        <f ca="1">SUMIF('Production '!$C$4:$AI$4407,'Tracking Sheet'!B125,'Production '!$Q$4:$Q$4407)</f>
        <v>0</v>
      </c>
      <c r="E125" s="76">
        <f ca="1">SUMIF('Production '!$C$4:$AI$4407,'Tracking Sheet'!B125,'Production '!$S$4:$S$4407)</f>
        <v>0</v>
      </c>
      <c r="F125" s="76">
        <f ca="1">SUMIF('Production '!$C$4:$AI$4407,'Tracking Sheet'!B125,'Production '!$U$4:$U$4407)</f>
        <v>22</v>
      </c>
      <c r="G125" s="76">
        <f ca="1">SUMIF('Production '!$C$4:$AI$4407,'Tracking Sheet'!B125,'Production '!$W$4:$W$4407)</f>
        <v>7266</v>
      </c>
      <c r="H125" s="76">
        <f ca="1">SUMIF('Production '!$C$4:$AI$4407,'Tracking Sheet'!B125,'Production '!$F$4:$F$4407)</f>
        <v>7000</v>
      </c>
      <c r="I125" s="76">
        <f ca="1">SUMIF('Production '!$C$4:$AI$4407,'Tracking Sheet'!B125,'Production '!$V$4:$V$4407)</f>
        <v>0</v>
      </c>
      <c r="J125" s="76">
        <f ca="1">SUMIF('Production '!$C$4:$AI$4407,'Tracking Sheet'!B125,'Production '!$AG$4:$AG$4407)</f>
        <v>0</v>
      </c>
    </row>
    <row r="126" spans="2:10" x14ac:dyDescent="0.3">
      <c r="B126" s="277" t="str">
        <f>'Production '!C129</f>
        <v>42481 12th</v>
      </c>
      <c r="C126" s="76">
        <f ca="1">SUMIF('Production '!$C$4:$AI$4407,'Tracking Sheet'!B126,'Production '!$M$4:$M$4407)</f>
        <v>7288</v>
      </c>
      <c r="D126" s="76">
        <f ca="1">SUMIF('Production '!$C$4:$AI$4407,'Tracking Sheet'!B126,'Production '!$Q$4:$Q$4407)</f>
        <v>0</v>
      </c>
      <c r="E126" s="76">
        <f ca="1">SUMIF('Production '!$C$4:$AI$4407,'Tracking Sheet'!B126,'Production '!$S$4:$S$4407)</f>
        <v>0</v>
      </c>
      <c r="F126" s="76">
        <f ca="1">SUMIF('Production '!$C$4:$AI$4407,'Tracking Sheet'!B126,'Production '!$U$4:$U$4407)</f>
        <v>22</v>
      </c>
      <c r="G126" s="76">
        <f ca="1">SUMIF('Production '!$C$4:$AI$4407,'Tracking Sheet'!B126,'Production '!$W$4:$W$4407)</f>
        <v>7266</v>
      </c>
      <c r="H126" s="76">
        <f ca="1">SUMIF('Production '!$C$4:$AI$4407,'Tracking Sheet'!B126,'Production '!$F$4:$F$4407)</f>
        <v>7000</v>
      </c>
      <c r="I126" s="76">
        <f ca="1">SUMIF('Production '!$C$4:$AI$4407,'Tracking Sheet'!B126,'Production '!$V$4:$V$4407)</f>
        <v>0</v>
      </c>
      <c r="J126" s="76">
        <f ca="1">SUMIF('Production '!$C$4:$AI$4407,'Tracking Sheet'!B126,'Production '!$AG$4:$AG$4407)</f>
        <v>0</v>
      </c>
    </row>
    <row r="127" spans="2:10" x14ac:dyDescent="0.3">
      <c r="B127" s="277" t="str">
        <f>'Production '!C130</f>
        <v>42481 12th</v>
      </c>
      <c r="C127" s="76">
        <f ca="1">SUMIF('Production '!$C$4:$AI$4407,'Tracking Sheet'!B127,'Production '!$M$4:$M$4407)</f>
        <v>7288</v>
      </c>
      <c r="D127" s="76">
        <f ca="1">SUMIF('Production '!$C$4:$AI$4407,'Tracking Sheet'!B127,'Production '!$Q$4:$Q$4407)</f>
        <v>0</v>
      </c>
      <c r="E127" s="76">
        <f ca="1">SUMIF('Production '!$C$4:$AI$4407,'Tracking Sheet'!B127,'Production '!$S$4:$S$4407)</f>
        <v>0</v>
      </c>
      <c r="F127" s="76">
        <f ca="1">SUMIF('Production '!$C$4:$AI$4407,'Tracking Sheet'!B127,'Production '!$U$4:$U$4407)</f>
        <v>22</v>
      </c>
      <c r="G127" s="76">
        <f ca="1">SUMIF('Production '!$C$4:$AI$4407,'Tracking Sheet'!B127,'Production '!$W$4:$W$4407)</f>
        <v>7266</v>
      </c>
      <c r="H127" s="76">
        <f ca="1">SUMIF('Production '!$C$4:$AI$4407,'Tracking Sheet'!B127,'Production '!$F$4:$F$4407)</f>
        <v>7000</v>
      </c>
      <c r="I127" s="76">
        <f ca="1">SUMIF('Production '!$C$4:$AI$4407,'Tracking Sheet'!B127,'Production '!$V$4:$V$4407)</f>
        <v>0</v>
      </c>
      <c r="J127" s="76">
        <f ca="1">SUMIF('Production '!$C$4:$AI$4407,'Tracking Sheet'!B127,'Production '!$AG$4:$AG$4407)</f>
        <v>0</v>
      </c>
    </row>
    <row r="128" spans="2:10" x14ac:dyDescent="0.3">
      <c r="B128" s="277">
        <f>'Production '!C131</f>
        <v>0</v>
      </c>
      <c r="C128" s="76" t="e">
        <f ca="1">SUMIF('Production '!$C$4:$AI$4407,'Tracking Sheet'!B128,'Production '!$M$4:$M$4407)</f>
        <v>#DIV/0!</v>
      </c>
      <c r="D128" s="76" t="e">
        <f ca="1">SUMIF('Production '!$C$4:$AI$4407,'Tracking Sheet'!B128,'Production '!$Q$4:$Q$4407)</f>
        <v>#DIV/0!</v>
      </c>
      <c r="E128" s="76">
        <f ca="1">SUMIF('Production '!$C$4:$AI$4407,'Tracking Sheet'!B128,'Production '!$S$4:$S$4407)</f>
        <v>-1268218.9828305368</v>
      </c>
      <c r="F128" s="76">
        <f ca="1">SUMIF('Production '!$C$4:$AI$4407,'Tracking Sheet'!B128,'Production '!$U$4:$U$4407)</f>
        <v>-10620.435600016917</v>
      </c>
      <c r="G128" s="76" t="e">
        <f ca="1">SUMIF('Production '!$C$4:$AI$4407,'Tracking Sheet'!B128,'Production '!$W$4:$W$4407)</f>
        <v>#DIV/0!</v>
      </c>
      <c r="H128" s="76">
        <f ca="1">SUMIF('Production '!$C$4:$AI$4407,'Tracking Sheet'!B128,'Production '!$F$4:$F$4407)</f>
        <v>3230621.3283604058</v>
      </c>
      <c r="I128" s="76">
        <f ca="1">SUMIF('Production '!$C$4:$AI$4407,'Tracking Sheet'!B128,'Production '!$V$4:$V$4407)</f>
        <v>-489.86487791182844</v>
      </c>
      <c r="J128" s="76">
        <f ca="1">SUMIF('Production '!$C$4:$AI$4407,'Tracking Sheet'!B128,'Production '!$AG$4:$AG$4407)</f>
        <v>0</v>
      </c>
    </row>
    <row r="129" spans="2:10" x14ac:dyDescent="0.3">
      <c r="B129" s="277" t="str">
        <f>'Production '!C132</f>
        <v>43337 6th</v>
      </c>
      <c r="C129" s="76">
        <f ca="1">SUMIF('Production '!$C$4:$AI$4407,'Tracking Sheet'!B129,'Production '!$M$4:$M$4407)</f>
        <v>5830</v>
      </c>
      <c r="D129" s="76">
        <f ca="1">SUMIF('Production '!$C$4:$AI$4407,'Tracking Sheet'!B129,'Production '!$Q$4:$Q$4407)</f>
        <v>0</v>
      </c>
      <c r="E129" s="76">
        <f ca="1">SUMIF('Production '!$C$4:$AI$4407,'Tracking Sheet'!B129,'Production '!$S$4:$S$4407)</f>
        <v>0</v>
      </c>
      <c r="F129" s="76">
        <f ca="1">SUMIF('Production '!$C$4:$AI$4407,'Tracking Sheet'!B129,'Production '!$U$4:$U$4407)</f>
        <v>473</v>
      </c>
      <c r="G129" s="76">
        <f ca="1">SUMIF('Production '!$C$4:$AI$4407,'Tracking Sheet'!B129,'Production '!$W$4:$W$4407)</f>
        <v>5357</v>
      </c>
      <c r="H129" s="76">
        <f ca="1">SUMIF('Production '!$C$4:$AI$4407,'Tracking Sheet'!B129,'Production '!$F$4:$F$4407)</f>
        <v>6000</v>
      </c>
      <c r="I129" s="76">
        <f ca="1">SUMIF('Production '!$C$4:$AI$4407,'Tracking Sheet'!B129,'Production '!$V$4:$V$4407)</f>
        <v>1134</v>
      </c>
      <c r="J129" s="76">
        <f ca="1">SUMIF('Production '!$C$4:$AI$4407,'Tracking Sheet'!B129,'Production '!$AG$4:$AG$4407)</f>
        <v>-292</v>
      </c>
    </row>
    <row r="130" spans="2:10" x14ac:dyDescent="0.3">
      <c r="B130" s="277" t="str">
        <f>'Production '!C133</f>
        <v>43337 6th</v>
      </c>
      <c r="C130" s="76">
        <f ca="1">SUMIF('Production '!$C$4:$AI$4407,'Tracking Sheet'!B130,'Production '!$M$4:$M$4407)</f>
        <v>5830</v>
      </c>
      <c r="D130" s="76">
        <f ca="1">SUMIF('Production '!$C$4:$AI$4407,'Tracking Sheet'!B130,'Production '!$Q$4:$Q$4407)</f>
        <v>0</v>
      </c>
      <c r="E130" s="76">
        <f ca="1">SUMIF('Production '!$C$4:$AI$4407,'Tracking Sheet'!B130,'Production '!$S$4:$S$4407)</f>
        <v>0</v>
      </c>
      <c r="F130" s="76">
        <f ca="1">SUMIF('Production '!$C$4:$AI$4407,'Tracking Sheet'!B130,'Production '!$U$4:$U$4407)</f>
        <v>473</v>
      </c>
      <c r="G130" s="76">
        <f ca="1">SUMIF('Production '!$C$4:$AI$4407,'Tracking Sheet'!B130,'Production '!$W$4:$W$4407)</f>
        <v>5357</v>
      </c>
      <c r="H130" s="76">
        <f ca="1">SUMIF('Production '!$C$4:$AI$4407,'Tracking Sheet'!B130,'Production '!$F$4:$F$4407)</f>
        <v>6000</v>
      </c>
      <c r="I130" s="76">
        <f ca="1">SUMIF('Production '!$C$4:$AI$4407,'Tracking Sheet'!B130,'Production '!$V$4:$V$4407)</f>
        <v>1134</v>
      </c>
      <c r="J130" s="76">
        <f ca="1">SUMIF('Production '!$C$4:$AI$4407,'Tracking Sheet'!B130,'Production '!$AG$4:$AG$4407)</f>
        <v>-292</v>
      </c>
    </row>
    <row r="131" spans="2:10" x14ac:dyDescent="0.3">
      <c r="B131" s="277" t="str">
        <f>'Production '!C134</f>
        <v>43337 6th</v>
      </c>
      <c r="C131" s="76">
        <f ca="1">SUMIF('Production '!$C$4:$AI$4407,'Tracking Sheet'!B131,'Production '!$M$4:$M$4407)</f>
        <v>5830</v>
      </c>
      <c r="D131" s="76">
        <f ca="1">SUMIF('Production '!$C$4:$AI$4407,'Tracking Sheet'!B131,'Production '!$Q$4:$Q$4407)</f>
        <v>0</v>
      </c>
      <c r="E131" s="76">
        <f ca="1">SUMIF('Production '!$C$4:$AI$4407,'Tracking Sheet'!B131,'Production '!$S$4:$S$4407)</f>
        <v>0</v>
      </c>
      <c r="F131" s="76">
        <f ca="1">SUMIF('Production '!$C$4:$AI$4407,'Tracking Sheet'!B131,'Production '!$U$4:$U$4407)</f>
        <v>473</v>
      </c>
      <c r="G131" s="76">
        <f ca="1">SUMIF('Production '!$C$4:$AI$4407,'Tracking Sheet'!B131,'Production '!$W$4:$W$4407)</f>
        <v>5357</v>
      </c>
      <c r="H131" s="76">
        <f ca="1">SUMIF('Production '!$C$4:$AI$4407,'Tracking Sheet'!B131,'Production '!$F$4:$F$4407)</f>
        <v>6000</v>
      </c>
      <c r="I131" s="76">
        <f ca="1">SUMIF('Production '!$C$4:$AI$4407,'Tracking Sheet'!B131,'Production '!$V$4:$V$4407)</f>
        <v>1134</v>
      </c>
      <c r="J131" s="76">
        <f ca="1">SUMIF('Production '!$C$4:$AI$4407,'Tracking Sheet'!B131,'Production '!$AG$4:$AG$4407)</f>
        <v>-292</v>
      </c>
    </row>
    <row r="132" spans="2:10" x14ac:dyDescent="0.3">
      <c r="B132" s="277">
        <f>'Production '!C135</f>
        <v>0</v>
      </c>
      <c r="C132" s="76" t="e">
        <f ca="1">SUMIF('Production '!$C$4:$AI$4407,'Tracking Sheet'!B132,'Production '!$M$4:$M$4407)</f>
        <v>#DIV/0!</v>
      </c>
      <c r="D132" s="76" t="e">
        <f ca="1">SUMIF('Production '!$C$4:$AI$4407,'Tracking Sheet'!B132,'Production '!$Q$4:$Q$4407)</f>
        <v>#DIV/0!</v>
      </c>
      <c r="E132" s="76">
        <f ca="1">SUMIF('Production '!$C$4:$AI$4407,'Tracking Sheet'!B132,'Production '!$S$4:$S$4407)</f>
        <v>-1268218.9828305368</v>
      </c>
      <c r="F132" s="76">
        <f ca="1">SUMIF('Production '!$C$4:$AI$4407,'Tracking Sheet'!B132,'Production '!$U$4:$U$4407)</f>
        <v>-10620.435600016917</v>
      </c>
      <c r="G132" s="76" t="e">
        <f ca="1">SUMIF('Production '!$C$4:$AI$4407,'Tracking Sheet'!B132,'Production '!$W$4:$W$4407)</f>
        <v>#DIV/0!</v>
      </c>
      <c r="H132" s="76">
        <f ca="1">SUMIF('Production '!$C$4:$AI$4407,'Tracking Sheet'!B132,'Production '!$F$4:$F$4407)</f>
        <v>3230621.3283604058</v>
      </c>
      <c r="I132" s="76">
        <f ca="1">SUMIF('Production '!$C$4:$AI$4407,'Tracking Sheet'!B132,'Production '!$V$4:$V$4407)</f>
        <v>-489.86487791182844</v>
      </c>
      <c r="J132" s="76">
        <f ca="1">SUMIF('Production '!$C$4:$AI$4407,'Tracking Sheet'!B132,'Production '!$AG$4:$AG$4407)</f>
        <v>0</v>
      </c>
    </row>
    <row r="133" spans="2:10" x14ac:dyDescent="0.3">
      <c r="B133" s="277" t="str">
        <f>'Production '!C136</f>
        <v>43663 9th</v>
      </c>
      <c r="C133" s="76">
        <f ca="1">SUMIF('Production '!$C$4:$AI$4407,'Tracking Sheet'!B133,'Production '!$M$4:$M$4407)</f>
        <v>0</v>
      </c>
      <c r="D133" s="76">
        <f ca="1">SUMIF('Production '!$C$4:$AI$4407,'Tracking Sheet'!B133,'Production '!$Q$4:$Q$4407)</f>
        <v>0</v>
      </c>
      <c r="E133" s="76">
        <f ca="1">SUMIF('Production '!$C$4:$AI$4407,'Tracking Sheet'!B133,'Production '!$S$4:$S$4407)</f>
        <v>0</v>
      </c>
      <c r="F133" s="76">
        <f ca="1">SUMIF('Production '!$C$4:$AI$4407,'Tracking Sheet'!B133,'Production '!$U$4:$U$4407)</f>
        <v>0</v>
      </c>
      <c r="G133" s="76">
        <f ca="1">SUMIF('Production '!$C$4:$AI$4407,'Tracking Sheet'!B133,'Production '!$W$4:$W$4407)</f>
        <v>0</v>
      </c>
      <c r="H133" s="76">
        <f ca="1">SUMIF('Production '!$C$4:$AI$4407,'Tracking Sheet'!B133,'Production '!$F$4:$F$4407)</f>
        <v>15600</v>
      </c>
      <c r="I133" s="76">
        <f ca="1">SUMIF('Production '!$C$4:$AI$4407,'Tracking Sheet'!B133,'Production '!$V$4:$V$4407)</f>
        <v>0</v>
      </c>
      <c r="J133" s="76">
        <f ca="1">SUMIF('Production '!$C$4:$AI$4407,'Tracking Sheet'!B133,'Production '!$AG$4:$AG$4407)</f>
        <v>-15600</v>
      </c>
    </row>
    <row r="134" spans="2:10" x14ac:dyDescent="0.3">
      <c r="B134" s="277" t="str">
        <f>'Production '!C137</f>
        <v>43663 9th</v>
      </c>
      <c r="C134" s="76">
        <f ca="1">SUMIF('Production '!$C$4:$AI$4407,'Tracking Sheet'!B134,'Production '!$M$4:$M$4407)</f>
        <v>0</v>
      </c>
      <c r="D134" s="76">
        <f ca="1">SUMIF('Production '!$C$4:$AI$4407,'Tracking Sheet'!B134,'Production '!$Q$4:$Q$4407)</f>
        <v>0</v>
      </c>
      <c r="E134" s="76">
        <f ca="1">SUMIF('Production '!$C$4:$AI$4407,'Tracking Sheet'!B134,'Production '!$S$4:$S$4407)</f>
        <v>0</v>
      </c>
      <c r="F134" s="76">
        <f ca="1">SUMIF('Production '!$C$4:$AI$4407,'Tracking Sheet'!B134,'Production '!$U$4:$U$4407)</f>
        <v>0</v>
      </c>
      <c r="G134" s="76">
        <f ca="1">SUMIF('Production '!$C$4:$AI$4407,'Tracking Sheet'!B134,'Production '!$W$4:$W$4407)</f>
        <v>0</v>
      </c>
      <c r="H134" s="76">
        <f ca="1">SUMIF('Production '!$C$4:$AI$4407,'Tracking Sheet'!B134,'Production '!$F$4:$F$4407)</f>
        <v>15600</v>
      </c>
      <c r="I134" s="76">
        <f ca="1">SUMIF('Production '!$C$4:$AI$4407,'Tracking Sheet'!B134,'Production '!$V$4:$V$4407)</f>
        <v>0</v>
      </c>
      <c r="J134" s="76">
        <f ca="1">SUMIF('Production '!$C$4:$AI$4407,'Tracking Sheet'!B134,'Production '!$AG$4:$AG$4407)</f>
        <v>-15600</v>
      </c>
    </row>
    <row r="135" spans="2:10" x14ac:dyDescent="0.3">
      <c r="B135" s="277" t="str">
        <f>'Production '!C138</f>
        <v>43663 9th</v>
      </c>
      <c r="C135" s="76">
        <f ca="1">SUMIF('Production '!$C$4:$AI$4407,'Tracking Sheet'!B135,'Production '!$M$4:$M$4407)</f>
        <v>0</v>
      </c>
      <c r="D135" s="76">
        <f ca="1">SUMIF('Production '!$C$4:$AI$4407,'Tracking Sheet'!B135,'Production '!$Q$4:$Q$4407)</f>
        <v>0</v>
      </c>
      <c r="E135" s="76">
        <f ca="1">SUMIF('Production '!$C$4:$AI$4407,'Tracking Sheet'!B135,'Production '!$S$4:$S$4407)</f>
        <v>0</v>
      </c>
      <c r="F135" s="76">
        <f ca="1">SUMIF('Production '!$C$4:$AI$4407,'Tracking Sheet'!B135,'Production '!$U$4:$U$4407)</f>
        <v>0</v>
      </c>
      <c r="G135" s="76">
        <f ca="1">SUMIF('Production '!$C$4:$AI$4407,'Tracking Sheet'!B135,'Production '!$W$4:$W$4407)</f>
        <v>0</v>
      </c>
      <c r="H135" s="76">
        <f ca="1">SUMIF('Production '!$C$4:$AI$4407,'Tracking Sheet'!B135,'Production '!$F$4:$F$4407)</f>
        <v>15600</v>
      </c>
      <c r="I135" s="76">
        <f ca="1">SUMIF('Production '!$C$4:$AI$4407,'Tracking Sheet'!B135,'Production '!$V$4:$V$4407)</f>
        <v>0</v>
      </c>
      <c r="J135" s="76">
        <f ca="1">SUMIF('Production '!$C$4:$AI$4407,'Tracking Sheet'!B135,'Production '!$AG$4:$AG$4407)</f>
        <v>-15600</v>
      </c>
    </row>
    <row r="136" spans="2:10" x14ac:dyDescent="0.3">
      <c r="B136" s="277" t="str">
        <f>'Production '!C139</f>
        <v>43663 9th</v>
      </c>
      <c r="C136" s="76">
        <f ca="1">SUMIF('Production '!$C$4:$AI$4407,'Tracking Sheet'!B136,'Production '!$M$4:$M$4407)</f>
        <v>0</v>
      </c>
      <c r="D136" s="76">
        <f ca="1">SUMIF('Production '!$C$4:$AI$4407,'Tracking Sheet'!B136,'Production '!$Q$4:$Q$4407)</f>
        <v>0</v>
      </c>
      <c r="E136" s="76">
        <f ca="1">SUMIF('Production '!$C$4:$AI$4407,'Tracking Sheet'!B136,'Production '!$S$4:$S$4407)</f>
        <v>0</v>
      </c>
      <c r="F136" s="76">
        <f ca="1">SUMIF('Production '!$C$4:$AI$4407,'Tracking Sheet'!B136,'Production '!$U$4:$U$4407)</f>
        <v>0</v>
      </c>
      <c r="G136" s="76">
        <f ca="1">SUMIF('Production '!$C$4:$AI$4407,'Tracking Sheet'!B136,'Production '!$W$4:$W$4407)</f>
        <v>0</v>
      </c>
      <c r="H136" s="76">
        <f ca="1">SUMIF('Production '!$C$4:$AI$4407,'Tracking Sheet'!B136,'Production '!$F$4:$F$4407)</f>
        <v>15600</v>
      </c>
      <c r="I136" s="76">
        <f ca="1">SUMIF('Production '!$C$4:$AI$4407,'Tracking Sheet'!B136,'Production '!$V$4:$V$4407)</f>
        <v>0</v>
      </c>
      <c r="J136" s="76">
        <f ca="1">SUMIF('Production '!$C$4:$AI$4407,'Tracking Sheet'!B136,'Production '!$AG$4:$AG$4407)</f>
        <v>-15600</v>
      </c>
    </row>
    <row r="137" spans="2:10" x14ac:dyDescent="0.3">
      <c r="B137" s="277" t="str">
        <f>'Production '!C140</f>
        <v>43663 9th</v>
      </c>
      <c r="C137" s="76">
        <f ca="1">SUMIF('Production '!$C$4:$AI$4407,'Tracking Sheet'!B137,'Production '!$M$4:$M$4407)</f>
        <v>0</v>
      </c>
      <c r="D137" s="76">
        <f ca="1">SUMIF('Production '!$C$4:$AI$4407,'Tracking Sheet'!B137,'Production '!$Q$4:$Q$4407)</f>
        <v>0</v>
      </c>
      <c r="E137" s="76">
        <f ca="1">SUMIF('Production '!$C$4:$AI$4407,'Tracking Sheet'!B137,'Production '!$S$4:$S$4407)</f>
        <v>0</v>
      </c>
      <c r="F137" s="76">
        <f ca="1">SUMIF('Production '!$C$4:$AI$4407,'Tracking Sheet'!B137,'Production '!$U$4:$U$4407)</f>
        <v>0</v>
      </c>
      <c r="G137" s="76">
        <f ca="1">SUMIF('Production '!$C$4:$AI$4407,'Tracking Sheet'!B137,'Production '!$W$4:$W$4407)</f>
        <v>0</v>
      </c>
      <c r="H137" s="76">
        <f ca="1">SUMIF('Production '!$C$4:$AI$4407,'Tracking Sheet'!B137,'Production '!$F$4:$F$4407)</f>
        <v>15600</v>
      </c>
      <c r="I137" s="76">
        <f ca="1">SUMIF('Production '!$C$4:$AI$4407,'Tracking Sheet'!B137,'Production '!$V$4:$V$4407)</f>
        <v>0</v>
      </c>
      <c r="J137" s="76">
        <f ca="1">SUMIF('Production '!$C$4:$AI$4407,'Tracking Sheet'!B137,'Production '!$AG$4:$AG$4407)</f>
        <v>-15600</v>
      </c>
    </row>
    <row r="138" spans="2:10" x14ac:dyDescent="0.3">
      <c r="B138" s="277" t="str">
        <f>'Production '!C141</f>
        <v>43663 9th</v>
      </c>
      <c r="C138" s="76">
        <f ca="1">SUMIF('Production '!$C$4:$AI$4407,'Tracking Sheet'!B138,'Production '!$M$4:$M$4407)</f>
        <v>0</v>
      </c>
      <c r="D138" s="76">
        <f ca="1">SUMIF('Production '!$C$4:$AI$4407,'Tracking Sheet'!B138,'Production '!$Q$4:$Q$4407)</f>
        <v>0</v>
      </c>
      <c r="E138" s="76">
        <f ca="1">SUMIF('Production '!$C$4:$AI$4407,'Tracking Sheet'!B138,'Production '!$S$4:$S$4407)</f>
        <v>0</v>
      </c>
      <c r="F138" s="76">
        <f ca="1">SUMIF('Production '!$C$4:$AI$4407,'Tracking Sheet'!B138,'Production '!$U$4:$U$4407)</f>
        <v>0</v>
      </c>
      <c r="G138" s="76">
        <f ca="1">SUMIF('Production '!$C$4:$AI$4407,'Tracking Sheet'!B138,'Production '!$W$4:$W$4407)</f>
        <v>0</v>
      </c>
      <c r="H138" s="76">
        <f ca="1">SUMIF('Production '!$C$4:$AI$4407,'Tracking Sheet'!B138,'Production '!$F$4:$F$4407)</f>
        <v>15600</v>
      </c>
      <c r="I138" s="76">
        <f ca="1">SUMIF('Production '!$C$4:$AI$4407,'Tracking Sheet'!B138,'Production '!$V$4:$V$4407)</f>
        <v>0</v>
      </c>
      <c r="J138" s="76">
        <f ca="1">SUMIF('Production '!$C$4:$AI$4407,'Tracking Sheet'!B138,'Production '!$AG$4:$AG$4407)</f>
        <v>-15600</v>
      </c>
    </row>
    <row r="139" spans="2:10" x14ac:dyDescent="0.3">
      <c r="B139" s="277" t="str">
        <f>'Production '!C142</f>
        <v>43663 9th</v>
      </c>
      <c r="C139" s="76">
        <f ca="1">SUMIF('Production '!$C$4:$AI$4407,'Tracking Sheet'!B139,'Production '!$M$4:$M$4407)</f>
        <v>0</v>
      </c>
      <c r="D139" s="76">
        <f ca="1">SUMIF('Production '!$C$4:$AI$4407,'Tracking Sheet'!B139,'Production '!$Q$4:$Q$4407)</f>
        <v>0</v>
      </c>
      <c r="E139" s="76">
        <f ca="1">SUMIF('Production '!$C$4:$AI$4407,'Tracking Sheet'!B139,'Production '!$S$4:$S$4407)</f>
        <v>0</v>
      </c>
      <c r="F139" s="76">
        <f ca="1">SUMIF('Production '!$C$4:$AI$4407,'Tracking Sheet'!B139,'Production '!$U$4:$U$4407)</f>
        <v>0</v>
      </c>
      <c r="G139" s="76">
        <f ca="1">SUMIF('Production '!$C$4:$AI$4407,'Tracking Sheet'!B139,'Production '!$W$4:$W$4407)</f>
        <v>0</v>
      </c>
      <c r="H139" s="76">
        <f ca="1">SUMIF('Production '!$C$4:$AI$4407,'Tracking Sheet'!B139,'Production '!$F$4:$F$4407)</f>
        <v>15600</v>
      </c>
      <c r="I139" s="76">
        <f ca="1">SUMIF('Production '!$C$4:$AI$4407,'Tracking Sheet'!B139,'Production '!$V$4:$V$4407)</f>
        <v>0</v>
      </c>
      <c r="J139" s="76">
        <f ca="1">SUMIF('Production '!$C$4:$AI$4407,'Tracking Sheet'!B139,'Production '!$AG$4:$AG$4407)</f>
        <v>-15600</v>
      </c>
    </row>
    <row r="140" spans="2:10" x14ac:dyDescent="0.3">
      <c r="B140" s="277" t="str">
        <f>'Production '!C143</f>
        <v>43663 9th</v>
      </c>
      <c r="C140" s="76">
        <f ca="1">SUMIF('Production '!$C$4:$AI$4407,'Tracking Sheet'!B140,'Production '!$M$4:$M$4407)</f>
        <v>0</v>
      </c>
      <c r="D140" s="76">
        <f ca="1">SUMIF('Production '!$C$4:$AI$4407,'Tracking Sheet'!B140,'Production '!$Q$4:$Q$4407)</f>
        <v>0</v>
      </c>
      <c r="E140" s="76">
        <f ca="1">SUMIF('Production '!$C$4:$AI$4407,'Tracking Sheet'!B140,'Production '!$S$4:$S$4407)</f>
        <v>0</v>
      </c>
      <c r="F140" s="76">
        <f ca="1">SUMIF('Production '!$C$4:$AI$4407,'Tracking Sheet'!B140,'Production '!$U$4:$U$4407)</f>
        <v>0</v>
      </c>
      <c r="G140" s="76">
        <f ca="1">SUMIF('Production '!$C$4:$AI$4407,'Tracking Sheet'!B140,'Production '!$W$4:$W$4407)</f>
        <v>0</v>
      </c>
      <c r="H140" s="76">
        <f ca="1">SUMIF('Production '!$C$4:$AI$4407,'Tracking Sheet'!B140,'Production '!$F$4:$F$4407)</f>
        <v>15600</v>
      </c>
      <c r="I140" s="76">
        <f ca="1">SUMIF('Production '!$C$4:$AI$4407,'Tracking Sheet'!B140,'Production '!$V$4:$V$4407)</f>
        <v>0</v>
      </c>
      <c r="J140" s="76">
        <f ca="1">SUMIF('Production '!$C$4:$AI$4407,'Tracking Sheet'!B140,'Production '!$AG$4:$AG$4407)</f>
        <v>-15600</v>
      </c>
    </row>
    <row r="141" spans="2:10" x14ac:dyDescent="0.3">
      <c r="B141" s="277" t="str">
        <f>'Production '!C144</f>
        <v>43663 9th</v>
      </c>
      <c r="C141" s="76">
        <f ca="1">SUMIF('Production '!$C$4:$AI$4407,'Tracking Sheet'!B141,'Production '!$M$4:$M$4407)</f>
        <v>0</v>
      </c>
      <c r="D141" s="76">
        <f ca="1">SUMIF('Production '!$C$4:$AI$4407,'Tracking Sheet'!B141,'Production '!$Q$4:$Q$4407)</f>
        <v>0</v>
      </c>
      <c r="E141" s="76">
        <f ca="1">SUMIF('Production '!$C$4:$AI$4407,'Tracking Sheet'!B141,'Production '!$S$4:$S$4407)</f>
        <v>0</v>
      </c>
      <c r="F141" s="76">
        <f ca="1">SUMIF('Production '!$C$4:$AI$4407,'Tracking Sheet'!B141,'Production '!$U$4:$U$4407)</f>
        <v>0</v>
      </c>
      <c r="G141" s="76">
        <f ca="1">SUMIF('Production '!$C$4:$AI$4407,'Tracking Sheet'!B141,'Production '!$W$4:$W$4407)</f>
        <v>0</v>
      </c>
      <c r="H141" s="76">
        <f ca="1">SUMIF('Production '!$C$4:$AI$4407,'Tracking Sheet'!B141,'Production '!$F$4:$F$4407)</f>
        <v>15600</v>
      </c>
      <c r="I141" s="76">
        <f ca="1">SUMIF('Production '!$C$4:$AI$4407,'Tracking Sheet'!B141,'Production '!$V$4:$V$4407)</f>
        <v>0</v>
      </c>
      <c r="J141" s="76">
        <f ca="1">SUMIF('Production '!$C$4:$AI$4407,'Tracking Sheet'!B141,'Production '!$AG$4:$AG$4407)</f>
        <v>-15600</v>
      </c>
    </row>
    <row r="142" spans="2:10" x14ac:dyDescent="0.3">
      <c r="B142" s="277">
        <f>'Production '!C145</f>
        <v>0</v>
      </c>
      <c r="C142" s="76" t="e">
        <f ca="1">SUMIF('Production '!$C$4:$AI$4407,'Tracking Sheet'!B142,'Production '!$M$4:$M$4407)</f>
        <v>#DIV/0!</v>
      </c>
      <c r="D142" s="76" t="e">
        <f ca="1">SUMIF('Production '!$C$4:$AI$4407,'Tracking Sheet'!B142,'Production '!$Q$4:$Q$4407)</f>
        <v>#DIV/0!</v>
      </c>
      <c r="E142" s="76">
        <f ca="1">SUMIF('Production '!$C$4:$AI$4407,'Tracking Sheet'!B142,'Production '!$S$4:$S$4407)</f>
        <v>-1268218.9828305368</v>
      </c>
      <c r="F142" s="76">
        <f ca="1">SUMIF('Production '!$C$4:$AI$4407,'Tracking Sheet'!B142,'Production '!$U$4:$U$4407)</f>
        <v>-10620.435600016917</v>
      </c>
      <c r="G142" s="76" t="e">
        <f ca="1">SUMIF('Production '!$C$4:$AI$4407,'Tracking Sheet'!B142,'Production '!$W$4:$W$4407)</f>
        <v>#DIV/0!</v>
      </c>
      <c r="H142" s="76">
        <f ca="1">SUMIF('Production '!$C$4:$AI$4407,'Tracking Sheet'!B142,'Production '!$F$4:$F$4407)</f>
        <v>3230621.3283604058</v>
      </c>
      <c r="I142" s="76">
        <f ca="1">SUMIF('Production '!$C$4:$AI$4407,'Tracking Sheet'!B142,'Production '!$V$4:$V$4407)</f>
        <v>-489.86487791182844</v>
      </c>
      <c r="J142" s="76">
        <f ca="1">SUMIF('Production '!$C$4:$AI$4407,'Tracking Sheet'!B142,'Production '!$AG$4:$AG$4407)</f>
        <v>0</v>
      </c>
    </row>
    <row r="143" spans="2:10" x14ac:dyDescent="0.3">
      <c r="B143" s="277" t="str">
        <f>'Production '!C146</f>
        <v>43663 10th</v>
      </c>
      <c r="C143" s="76">
        <f ca="1">SUMIF('Production '!$C$4:$AI$4407,'Tracking Sheet'!B143,'Production '!$M$4:$M$4407)</f>
        <v>0</v>
      </c>
      <c r="D143" s="76">
        <f ca="1">SUMIF('Production '!$C$4:$AI$4407,'Tracking Sheet'!B143,'Production '!$Q$4:$Q$4407)</f>
        <v>0</v>
      </c>
      <c r="E143" s="76">
        <f ca="1">SUMIF('Production '!$C$4:$AI$4407,'Tracking Sheet'!B143,'Production '!$S$4:$S$4407)</f>
        <v>0</v>
      </c>
      <c r="F143" s="76">
        <f ca="1">SUMIF('Production '!$C$4:$AI$4407,'Tracking Sheet'!B143,'Production '!$U$4:$U$4407)</f>
        <v>0</v>
      </c>
      <c r="G143" s="76">
        <f ca="1">SUMIF('Production '!$C$4:$AI$4407,'Tracking Sheet'!B143,'Production '!$W$4:$W$4407)</f>
        <v>0</v>
      </c>
      <c r="H143" s="76">
        <f ca="1">SUMIF('Production '!$C$4:$AI$4407,'Tracking Sheet'!B143,'Production '!$F$4:$F$4407)</f>
        <v>2700</v>
      </c>
      <c r="I143" s="76">
        <f ca="1">SUMIF('Production '!$C$4:$AI$4407,'Tracking Sheet'!B143,'Production '!$V$4:$V$4407)</f>
        <v>0</v>
      </c>
      <c r="J143" s="76">
        <f ca="1">SUMIF('Production '!$C$4:$AI$4407,'Tracking Sheet'!B143,'Production '!$AG$4:$AG$4407)</f>
        <v>-2700</v>
      </c>
    </row>
    <row r="144" spans="2:10" x14ac:dyDescent="0.3">
      <c r="B144" s="277" t="str">
        <f>'Production '!C147</f>
        <v>43663 10th</v>
      </c>
      <c r="C144" s="76">
        <f ca="1">SUMIF('Production '!$C$4:$AI$4407,'Tracking Sheet'!B144,'Production '!$M$4:$M$4407)</f>
        <v>0</v>
      </c>
      <c r="D144" s="76">
        <f ca="1">SUMIF('Production '!$C$4:$AI$4407,'Tracking Sheet'!B144,'Production '!$Q$4:$Q$4407)</f>
        <v>0</v>
      </c>
      <c r="E144" s="76">
        <f ca="1">SUMIF('Production '!$C$4:$AI$4407,'Tracking Sheet'!B144,'Production '!$S$4:$S$4407)</f>
        <v>0</v>
      </c>
      <c r="F144" s="76">
        <f ca="1">SUMIF('Production '!$C$4:$AI$4407,'Tracking Sheet'!B144,'Production '!$U$4:$U$4407)</f>
        <v>0</v>
      </c>
      <c r="G144" s="76">
        <f ca="1">SUMIF('Production '!$C$4:$AI$4407,'Tracking Sheet'!B144,'Production '!$W$4:$W$4407)</f>
        <v>0</v>
      </c>
      <c r="H144" s="76">
        <f ca="1">SUMIF('Production '!$C$4:$AI$4407,'Tracking Sheet'!B144,'Production '!$F$4:$F$4407)</f>
        <v>2700</v>
      </c>
      <c r="I144" s="76">
        <f ca="1">SUMIF('Production '!$C$4:$AI$4407,'Tracking Sheet'!B144,'Production '!$V$4:$V$4407)</f>
        <v>0</v>
      </c>
      <c r="J144" s="76">
        <f ca="1">SUMIF('Production '!$C$4:$AI$4407,'Tracking Sheet'!B144,'Production '!$AG$4:$AG$4407)</f>
        <v>-2700</v>
      </c>
    </row>
    <row r="145" spans="2:10" x14ac:dyDescent="0.3">
      <c r="B145" s="277" t="str">
        <f>'Production '!C148</f>
        <v>43663 10th</v>
      </c>
      <c r="C145" s="76">
        <f ca="1">SUMIF('Production '!$C$4:$AI$4407,'Tracking Sheet'!B145,'Production '!$M$4:$M$4407)</f>
        <v>0</v>
      </c>
      <c r="D145" s="76">
        <f ca="1">SUMIF('Production '!$C$4:$AI$4407,'Tracking Sheet'!B145,'Production '!$Q$4:$Q$4407)</f>
        <v>0</v>
      </c>
      <c r="E145" s="76">
        <f ca="1">SUMIF('Production '!$C$4:$AI$4407,'Tracking Sheet'!B145,'Production '!$S$4:$S$4407)</f>
        <v>0</v>
      </c>
      <c r="F145" s="76">
        <f ca="1">SUMIF('Production '!$C$4:$AI$4407,'Tracking Sheet'!B145,'Production '!$U$4:$U$4407)</f>
        <v>0</v>
      </c>
      <c r="G145" s="76">
        <f ca="1">SUMIF('Production '!$C$4:$AI$4407,'Tracking Sheet'!B145,'Production '!$W$4:$W$4407)</f>
        <v>0</v>
      </c>
      <c r="H145" s="76">
        <f ca="1">SUMIF('Production '!$C$4:$AI$4407,'Tracking Sheet'!B145,'Production '!$F$4:$F$4407)</f>
        <v>2700</v>
      </c>
      <c r="I145" s="76">
        <f ca="1">SUMIF('Production '!$C$4:$AI$4407,'Tracking Sheet'!B145,'Production '!$V$4:$V$4407)</f>
        <v>0</v>
      </c>
      <c r="J145" s="76">
        <f ca="1">SUMIF('Production '!$C$4:$AI$4407,'Tracking Sheet'!B145,'Production '!$AG$4:$AG$4407)</f>
        <v>-2700</v>
      </c>
    </row>
    <row r="146" spans="2:10" x14ac:dyDescent="0.3">
      <c r="B146" s="277">
        <f>'Production '!C149</f>
        <v>0</v>
      </c>
      <c r="C146" s="76" t="e">
        <f ca="1">SUMIF('Production '!$C$4:$AI$4407,'Tracking Sheet'!B146,'Production '!$M$4:$M$4407)</f>
        <v>#DIV/0!</v>
      </c>
      <c r="D146" s="76" t="e">
        <f ca="1">SUMIF('Production '!$C$4:$AI$4407,'Tracking Sheet'!B146,'Production '!$Q$4:$Q$4407)</f>
        <v>#DIV/0!</v>
      </c>
      <c r="E146" s="76">
        <f ca="1">SUMIF('Production '!$C$4:$AI$4407,'Tracking Sheet'!B146,'Production '!$S$4:$S$4407)</f>
        <v>-1268218.9828305368</v>
      </c>
      <c r="F146" s="76">
        <f ca="1">SUMIF('Production '!$C$4:$AI$4407,'Tracking Sheet'!B146,'Production '!$U$4:$U$4407)</f>
        <v>-10620.435600016917</v>
      </c>
      <c r="G146" s="76" t="e">
        <f ca="1">SUMIF('Production '!$C$4:$AI$4407,'Tracking Sheet'!B146,'Production '!$W$4:$W$4407)</f>
        <v>#DIV/0!</v>
      </c>
      <c r="H146" s="76">
        <f ca="1">SUMIF('Production '!$C$4:$AI$4407,'Tracking Sheet'!B146,'Production '!$F$4:$F$4407)</f>
        <v>3230621.3283604058</v>
      </c>
      <c r="I146" s="76">
        <f ca="1">SUMIF('Production '!$C$4:$AI$4407,'Tracking Sheet'!B146,'Production '!$V$4:$V$4407)</f>
        <v>-489.86487791182844</v>
      </c>
      <c r="J146" s="76">
        <f ca="1">SUMIF('Production '!$C$4:$AI$4407,'Tracking Sheet'!B146,'Production '!$AG$4:$AG$4407)</f>
        <v>0</v>
      </c>
    </row>
    <row r="147" spans="2:10" x14ac:dyDescent="0.3">
      <c r="B147" s="277" t="str">
        <f>'Production '!C150</f>
        <v>41833 5th</v>
      </c>
      <c r="C147" s="76">
        <f ca="1">SUMIF('Production '!$C$4:$AI$4407,'Tracking Sheet'!B147,'Production '!$M$4:$M$4407)</f>
        <v>4172</v>
      </c>
      <c r="D147" s="76">
        <f ca="1">SUMIF('Production '!$C$4:$AI$4407,'Tracking Sheet'!B147,'Production '!$Q$4:$Q$4407)</f>
        <v>0</v>
      </c>
      <c r="E147" s="76">
        <f ca="1">SUMIF('Production '!$C$4:$AI$4407,'Tracking Sheet'!B147,'Production '!$S$4:$S$4407)</f>
        <v>0</v>
      </c>
      <c r="F147" s="76">
        <f ca="1">SUMIF('Production '!$C$4:$AI$4407,'Tracking Sheet'!B147,'Production '!$U$4:$U$4407)</f>
        <v>1</v>
      </c>
      <c r="G147" s="76">
        <f ca="1">SUMIF('Production '!$C$4:$AI$4407,'Tracking Sheet'!B147,'Production '!$W$4:$W$4407)</f>
        <v>4171</v>
      </c>
      <c r="H147" s="76">
        <f ca="1">SUMIF('Production '!$C$4:$AI$4407,'Tracking Sheet'!B147,'Production '!$F$4:$F$4407)</f>
        <v>4000</v>
      </c>
      <c r="I147" s="76">
        <f ca="1">SUMIF('Production '!$C$4:$AI$4407,'Tracking Sheet'!B147,'Production '!$V$4:$V$4407)</f>
        <v>0</v>
      </c>
      <c r="J147" s="76">
        <f ca="1">SUMIF('Production '!$C$4:$AI$4407,'Tracking Sheet'!B147,'Production '!$AG$4:$AG$4407)</f>
        <v>0</v>
      </c>
    </row>
    <row r="148" spans="2:10" x14ac:dyDescent="0.3">
      <c r="B148" s="277" t="str">
        <f>'Production '!C151</f>
        <v>41833 5th</v>
      </c>
      <c r="C148" s="76">
        <f ca="1">SUMIF('Production '!$C$4:$AI$4407,'Tracking Sheet'!B148,'Production '!$M$4:$M$4407)</f>
        <v>4172</v>
      </c>
      <c r="D148" s="76">
        <f ca="1">SUMIF('Production '!$C$4:$AI$4407,'Tracking Sheet'!B148,'Production '!$Q$4:$Q$4407)</f>
        <v>0</v>
      </c>
      <c r="E148" s="76">
        <f ca="1">SUMIF('Production '!$C$4:$AI$4407,'Tracking Sheet'!B148,'Production '!$S$4:$S$4407)</f>
        <v>0</v>
      </c>
      <c r="F148" s="76">
        <f ca="1">SUMIF('Production '!$C$4:$AI$4407,'Tracking Sheet'!B148,'Production '!$U$4:$U$4407)</f>
        <v>1</v>
      </c>
      <c r="G148" s="76">
        <f ca="1">SUMIF('Production '!$C$4:$AI$4407,'Tracking Sheet'!B148,'Production '!$W$4:$W$4407)</f>
        <v>4171</v>
      </c>
      <c r="H148" s="76">
        <f ca="1">SUMIF('Production '!$C$4:$AI$4407,'Tracking Sheet'!B148,'Production '!$F$4:$F$4407)</f>
        <v>4000</v>
      </c>
      <c r="I148" s="76">
        <f ca="1">SUMIF('Production '!$C$4:$AI$4407,'Tracking Sheet'!B148,'Production '!$V$4:$V$4407)</f>
        <v>0</v>
      </c>
      <c r="J148" s="76">
        <f ca="1">SUMIF('Production '!$C$4:$AI$4407,'Tracking Sheet'!B148,'Production '!$AG$4:$AG$4407)</f>
        <v>0</v>
      </c>
    </row>
    <row r="149" spans="2:10" x14ac:dyDescent="0.3">
      <c r="B149" s="277">
        <f>'Production '!C152</f>
        <v>0</v>
      </c>
      <c r="C149" s="76" t="e">
        <f ca="1">SUMIF('Production '!$C$4:$AI$4407,'Tracking Sheet'!B149,'Production '!$M$4:$M$4407)</f>
        <v>#DIV/0!</v>
      </c>
      <c r="D149" s="76" t="e">
        <f ca="1">SUMIF('Production '!$C$4:$AI$4407,'Tracking Sheet'!B149,'Production '!$Q$4:$Q$4407)</f>
        <v>#DIV/0!</v>
      </c>
      <c r="E149" s="76">
        <f ca="1">SUMIF('Production '!$C$4:$AI$4407,'Tracking Sheet'!B149,'Production '!$S$4:$S$4407)</f>
        <v>-1268218.9828305368</v>
      </c>
      <c r="F149" s="76">
        <f ca="1">SUMIF('Production '!$C$4:$AI$4407,'Tracking Sheet'!B149,'Production '!$U$4:$U$4407)</f>
        <v>-10620.435600016917</v>
      </c>
      <c r="G149" s="76" t="e">
        <f ca="1">SUMIF('Production '!$C$4:$AI$4407,'Tracking Sheet'!B149,'Production '!$W$4:$W$4407)</f>
        <v>#DIV/0!</v>
      </c>
      <c r="H149" s="76">
        <f ca="1">SUMIF('Production '!$C$4:$AI$4407,'Tracking Sheet'!B149,'Production '!$F$4:$F$4407)</f>
        <v>3230621.3283604058</v>
      </c>
      <c r="I149" s="76">
        <f ca="1">SUMIF('Production '!$C$4:$AI$4407,'Tracking Sheet'!B149,'Production '!$V$4:$V$4407)</f>
        <v>-489.86487791182844</v>
      </c>
      <c r="J149" s="76">
        <f ca="1">SUMIF('Production '!$C$4:$AI$4407,'Tracking Sheet'!B149,'Production '!$AG$4:$AG$4407)</f>
        <v>0</v>
      </c>
    </row>
    <row r="150" spans="2:10" x14ac:dyDescent="0.3">
      <c r="B150" s="277" t="str">
        <f>'Production '!C153</f>
        <v>40668 9th</v>
      </c>
      <c r="C150" s="76">
        <f ca="1">SUMIF('Production '!$C$4:$AI$4407,'Tracking Sheet'!B150,'Production '!$M$4:$M$4407)</f>
        <v>0</v>
      </c>
      <c r="D150" s="76">
        <f ca="1">SUMIF('Production '!$C$4:$AI$4407,'Tracking Sheet'!B150,'Production '!$Q$4:$Q$4407)</f>
        <v>0</v>
      </c>
      <c r="E150" s="76">
        <f ca="1">SUMIF('Production '!$C$4:$AI$4407,'Tracking Sheet'!B150,'Production '!$S$4:$S$4407)</f>
        <v>0</v>
      </c>
      <c r="F150" s="76">
        <f ca="1">SUMIF('Production '!$C$4:$AI$4407,'Tracking Sheet'!B150,'Production '!$U$4:$U$4407)</f>
        <v>0</v>
      </c>
      <c r="G150" s="76">
        <f ca="1">SUMIF('Production '!$C$4:$AI$4407,'Tracking Sheet'!B150,'Production '!$W$4:$W$4407)</f>
        <v>0</v>
      </c>
      <c r="H150" s="76">
        <f ca="1">SUMIF('Production '!$C$4:$AI$4407,'Tracking Sheet'!B150,'Production '!$F$4:$F$4407)</f>
        <v>6000</v>
      </c>
      <c r="I150" s="76">
        <f ca="1">SUMIF('Production '!$C$4:$AI$4407,'Tracking Sheet'!B150,'Production '!$V$4:$V$4407)</f>
        <v>0</v>
      </c>
      <c r="J150" s="76">
        <f ca="1">SUMIF('Production '!$C$4:$AI$4407,'Tracking Sheet'!B150,'Production '!$AG$4:$AG$4407)</f>
        <v>-6000</v>
      </c>
    </row>
    <row r="151" spans="2:10" x14ac:dyDescent="0.3">
      <c r="B151" s="277" t="str">
        <f>'Production '!C154</f>
        <v>40668 9th</v>
      </c>
      <c r="C151" s="76">
        <f ca="1">SUMIF('Production '!$C$4:$AI$4407,'Tracking Sheet'!B151,'Production '!$M$4:$M$4407)</f>
        <v>0</v>
      </c>
      <c r="D151" s="76">
        <f ca="1">SUMIF('Production '!$C$4:$AI$4407,'Tracking Sheet'!B151,'Production '!$Q$4:$Q$4407)</f>
        <v>0</v>
      </c>
      <c r="E151" s="76">
        <f ca="1">SUMIF('Production '!$C$4:$AI$4407,'Tracking Sheet'!B151,'Production '!$S$4:$S$4407)</f>
        <v>0</v>
      </c>
      <c r="F151" s="76">
        <f ca="1">SUMIF('Production '!$C$4:$AI$4407,'Tracking Sheet'!B151,'Production '!$U$4:$U$4407)</f>
        <v>0</v>
      </c>
      <c r="G151" s="76">
        <f ca="1">SUMIF('Production '!$C$4:$AI$4407,'Tracking Sheet'!B151,'Production '!$W$4:$W$4407)</f>
        <v>0</v>
      </c>
      <c r="H151" s="76">
        <f ca="1">SUMIF('Production '!$C$4:$AI$4407,'Tracking Sheet'!B151,'Production '!$F$4:$F$4407)</f>
        <v>6000</v>
      </c>
      <c r="I151" s="76">
        <f ca="1">SUMIF('Production '!$C$4:$AI$4407,'Tracking Sheet'!B151,'Production '!$V$4:$V$4407)</f>
        <v>0</v>
      </c>
      <c r="J151" s="76">
        <f ca="1">SUMIF('Production '!$C$4:$AI$4407,'Tracking Sheet'!B151,'Production '!$AG$4:$AG$4407)</f>
        <v>-6000</v>
      </c>
    </row>
    <row r="152" spans="2:10" x14ac:dyDescent="0.3">
      <c r="B152" s="277">
        <f>'Production '!C155</f>
        <v>0</v>
      </c>
      <c r="C152" s="76" t="e">
        <f ca="1">SUMIF('Production '!$C$4:$AI$4407,'Tracking Sheet'!B152,'Production '!$M$4:$M$4407)</f>
        <v>#DIV/0!</v>
      </c>
      <c r="D152" s="76" t="e">
        <f ca="1">SUMIF('Production '!$C$4:$AI$4407,'Tracking Sheet'!B152,'Production '!$Q$4:$Q$4407)</f>
        <v>#DIV/0!</v>
      </c>
      <c r="E152" s="76">
        <f ca="1">SUMIF('Production '!$C$4:$AI$4407,'Tracking Sheet'!B152,'Production '!$S$4:$S$4407)</f>
        <v>-1268218.9828305368</v>
      </c>
      <c r="F152" s="76">
        <f ca="1">SUMIF('Production '!$C$4:$AI$4407,'Tracking Sheet'!B152,'Production '!$U$4:$U$4407)</f>
        <v>-10620.435600016917</v>
      </c>
      <c r="G152" s="76" t="e">
        <f ca="1">SUMIF('Production '!$C$4:$AI$4407,'Tracking Sheet'!B152,'Production '!$W$4:$W$4407)</f>
        <v>#DIV/0!</v>
      </c>
      <c r="H152" s="76">
        <f ca="1">SUMIF('Production '!$C$4:$AI$4407,'Tracking Sheet'!B152,'Production '!$F$4:$F$4407)</f>
        <v>3230621.3283604058</v>
      </c>
      <c r="I152" s="76">
        <f ca="1">SUMIF('Production '!$C$4:$AI$4407,'Tracking Sheet'!B152,'Production '!$V$4:$V$4407)</f>
        <v>-489.86487791182844</v>
      </c>
      <c r="J152" s="76">
        <f ca="1">SUMIF('Production '!$C$4:$AI$4407,'Tracking Sheet'!B152,'Production '!$AG$4:$AG$4407)</f>
        <v>0</v>
      </c>
    </row>
    <row r="153" spans="2:10" x14ac:dyDescent="0.3">
      <c r="B153" s="277">
        <f>'Production '!C156</f>
        <v>48541</v>
      </c>
      <c r="C153" s="76">
        <f ca="1">SUMIF('Production '!$C$4:$AI$4407,'Tracking Sheet'!B153,'Production '!$M$4:$M$4407)</f>
        <v>0</v>
      </c>
      <c r="D153" s="76">
        <f ca="1">SUMIF('Production '!$C$4:$AI$4407,'Tracking Sheet'!B153,'Production '!$Q$4:$Q$4407)</f>
        <v>0</v>
      </c>
      <c r="E153" s="76">
        <f ca="1">SUMIF('Production '!$C$4:$AI$4407,'Tracking Sheet'!B153,'Production '!$S$4:$S$4407)</f>
        <v>0</v>
      </c>
      <c r="F153" s="76">
        <f ca="1">SUMIF('Production '!$C$4:$AI$4407,'Tracking Sheet'!B153,'Production '!$U$4:$U$4407)</f>
        <v>0</v>
      </c>
      <c r="G153" s="76">
        <f ca="1">SUMIF('Production '!$C$4:$AI$4407,'Tracking Sheet'!B153,'Production '!$W$4:$W$4407)</f>
        <v>0</v>
      </c>
      <c r="H153" s="76">
        <f ca="1">SUMIF('Production '!$C$4:$AI$4407,'Tracking Sheet'!B153,'Production '!$F$4:$F$4407)</f>
        <v>2400</v>
      </c>
      <c r="I153" s="76">
        <f ca="1">SUMIF('Production '!$C$4:$AI$4407,'Tracking Sheet'!B153,'Production '!$V$4:$V$4407)</f>
        <v>0</v>
      </c>
      <c r="J153" s="76">
        <f ca="1">SUMIF('Production '!$C$4:$AI$4407,'Tracking Sheet'!B153,'Production '!$AG$4:$AG$4407)</f>
        <v>-2400</v>
      </c>
    </row>
    <row r="154" spans="2:10" x14ac:dyDescent="0.3">
      <c r="B154" s="277">
        <f>'Production '!C157</f>
        <v>48541</v>
      </c>
      <c r="C154" s="76">
        <f ca="1">SUMIF('Production '!$C$4:$AI$4407,'Tracking Sheet'!B154,'Production '!$M$4:$M$4407)</f>
        <v>0</v>
      </c>
      <c r="D154" s="76">
        <f ca="1">SUMIF('Production '!$C$4:$AI$4407,'Tracking Sheet'!B154,'Production '!$Q$4:$Q$4407)</f>
        <v>0</v>
      </c>
      <c r="E154" s="76">
        <f ca="1">SUMIF('Production '!$C$4:$AI$4407,'Tracking Sheet'!B154,'Production '!$S$4:$S$4407)</f>
        <v>0</v>
      </c>
      <c r="F154" s="76">
        <f ca="1">SUMIF('Production '!$C$4:$AI$4407,'Tracking Sheet'!B154,'Production '!$U$4:$U$4407)</f>
        <v>0</v>
      </c>
      <c r="G154" s="76">
        <f ca="1">SUMIF('Production '!$C$4:$AI$4407,'Tracking Sheet'!B154,'Production '!$W$4:$W$4407)</f>
        <v>0</v>
      </c>
      <c r="H154" s="76">
        <f ca="1">SUMIF('Production '!$C$4:$AI$4407,'Tracking Sheet'!B154,'Production '!$F$4:$F$4407)</f>
        <v>2400</v>
      </c>
      <c r="I154" s="76">
        <f ca="1">SUMIF('Production '!$C$4:$AI$4407,'Tracking Sheet'!B154,'Production '!$V$4:$V$4407)</f>
        <v>0</v>
      </c>
      <c r="J154" s="76">
        <f ca="1">SUMIF('Production '!$C$4:$AI$4407,'Tracking Sheet'!B154,'Production '!$AG$4:$AG$4407)</f>
        <v>-2400</v>
      </c>
    </row>
    <row r="155" spans="2:10" x14ac:dyDescent="0.3">
      <c r="B155" s="277">
        <f>'Production '!C158</f>
        <v>48541</v>
      </c>
      <c r="C155" s="76">
        <f ca="1">SUMIF('Production '!$C$4:$AI$4407,'Tracking Sheet'!B155,'Production '!$M$4:$M$4407)</f>
        <v>0</v>
      </c>
      <c r="D155" s="76">
        <f ca="1">SUMIF('Production '!$C$4:$AI$4407,'Tracking Sheet'!B155,'Production '!$Q$4:$Q$4407)</f>
        <v>0</v>
      </c>
      <c r="E155" s="76">
        <f ca="1">SUMIF('Production '!$C$4:$AI$4407,'Tracking Sheet'!B155,'Production '!$S$4:$S$4407)</f>
        <v>0</v>
      </c>
      <c r="F155" s="76">
        <f ca="1">SUMIF('Production '!$C$4:$AI$4407,'Tracking Sheet'!B155,'Production '!$U$4:$U$4407)</f>
        <v>0</v>
      </c>
      <c r="G155" s="76">
        <f ca="1">SUMIF('Production '!$C$4:$AI$4407,'Tracking Sheet'!B155,'Production '!$W$4:$W$4407)</f>
        <v>0</v>
      </c>
      <c r="H155" s="76">
        <f ca="1">SUMIF('Production '!$C$4:$AI$4407,'Tracking Sheet'!B155,'Production '!$F$4:$F$4407)</f>
        <v>2400</v>
      </c>
      <c r="I155" s="76">
        <f ca="1">SUMIF('Production '!$C$4:$AI$4407,'Tracking Sheet'!B155,'Production '!$V$4:$V$4407)</f>
        <v>0</v>
      </c>
      <c r="J155" s="76">
        <f ca="1">SUMIF('Production '!$C$4:$AI$4407,'Tracking Sheet'!B155,'Production '!$AG$4:$AG$4407)</f>
        <v>-2400</v>
      </c>
    </row>
    <row r="156" spans="2:10" x14ac:dyDescent="0.3">
      <c r="B156" s="277">
        <f>'Production '!C159</f>
        <v>0</v>
      </c>
      <c r="C156" s="76" t="e">
        <f ca="1">SUMIF('Production '!$C$4:$AI$4407,'Tracking Sheet'!B156,'Production '!$M$4:$M$4407)</f>
        <v>#DIV/0!</v>
      </c>
      <c r="D156" s="76" t="e">
        <f ca="1">SUMIF('Production '!$C$4:$AI$4407,'Tracking Sheet'!B156,'Production '!$Q$4:$Q$4407)</f>
        <v>#DIV/0!</v>
      </c>
      <c r="E156" s="76">
        <f ca="1">SUMIF('Production '!$C$4:$AI$4407,'Tracking Sheet'!B156,'Production '!$S$4:$S$4407)</f>
        <v>-1268218.9828305368</v>
      </c>
      <c r="F156" s="76">
        <f ca="1">SUMIF('Production '!$C$4:$AI$4407,'Tracking Sheet'!B156,'Production '!$U$4:$U$4407)</f>
        <v>-10620.435600016917</v>
      </c>
      <c r="G156" s="76" t="e">
        <f ca="1">SUMIF('Production '!$C$4:$AI$4407,'Tracking Sheet'!B156,'Production '!$W$4:$W$4407)</f>
        <v>#DIV/0!</v>
      </c>
      <c r="H156" s="76">
        <f ca="1">SUMIF('Production '!$C$4:$AI$4407,'Tracking Sheet'!B156,'Production '!$F$4:$F$4407)</f>
        <v>3230621.3283604058</v>
      </c>
      <c r="I156" s="76">
        <f ca="1">SUMIF('Production '!$C$4:$AI$4407,'Tracking Sheet'!B156,'Production '!$V$4:$V$4407)</f>
        <v>-489.86487791182844</v>
      </c>
      <c r="J156" s="76">
        <f ca="1">SUMIF('Production '!$C$4:$AI$4407,'Tracking Sheet'!B156,'Production '!$AG$4:$AG$4407)</f>
        <v>0</v>
      </c>
    </row>
    <row r="157" spans="2:10" x14ac:dyDescent="0.3">
      <c r="B157" s="277" t="str">
        <f>'Production '!C160</f>
        <v>40671 12th</v>
      </c>
      <c r="C157" s="76">
        <f ca="1">SUMIF('Production '!$C$4:$AI$4407,'Tracking Sheet'!B157,'Production '!$M$4:$M$4407)</f>
        <v>6009</v>
      </c>
      <c r="D157" s="76">
        <f ca="1">SUMIF('Production '!$C$4:$AI$4407,'Tracking Sheet'!B157,'Production '!$Q$4:$Q$4407)</f>
        <v>0</v>
      </c>
      <c r="E157" s="76">
        <f ca="1">SUMIF('Production '!$C$4:$AI$4407,'Tracking Sheet'!B157,'Production '!$S$4:$S$4407)</f>
        <v>0</v>
      </c>
      <c r="F157" s="76">
        <f ca="1">SUMIF('Production '!$C$4:$AI$4407,'Tracking Sheet'!B157,'Production '!$U$4:$U$4407)</f>
        <v>74</v>
      </c>
      <c r="G157" s="76">
        <f ca="1">SUMIF('Production '!$C$4:$AI$4407,'Tracking Sheet'!B157,'Production '!$W$4:$W$4407)</f>
        <v>5935</v>
      </c>
      <c r="H157" s="76">
        <f ca="1">SUMIF('Production '!$C$4:$AI$4407,'Tracking Sheet'!B157,'Production '!$F$4:$F$4407)</f>
        <v>5799</v>
      </c>
      <c r="I157" s="76">
        <f ca="1">SUMIF('Production '!$C$4:$AI$4407,'Tracking Sheet'!B157,'Production '!$V$4:$V$4407)</f>
        <v>0</v>
      </c>
      <c r="J157" s="76">
        <f ca="1">SUMIF('Production '!$C$4:$AI$4407,'Tracking Sheet'!B157,'Production '!$AG$4:$AG$4407)</f>
        <v>0</v>
      </c>
    </row>
    <row r="158" spans="2:10" x14ac:dyDescent="0.3">
      <c r="B158" s="277" t="str">
        <f>'Production '!C161</f>
        <v>40671 12th</v>
      </c>
      <c r="C158" s="76">
        <f ca="1">SUMIF('Production '!$C$4:$AI$4407,'Tracking Sheet'!B158,'Production '!$M$4:$M$4407)</f>
        <v>6009</v>
      </c>
      <c r="D158" s="76">
        <f ca="1">SUMIF('Production '!$C$4:$AI$4407,'Tracking Sheet'!B158,'Production '!$Q$4:$Q$4407)</f>
        <v>0</v>
      </c>
      <c r="E158" s="76">
        <f ca="1">SUMIF('Production '!$C$4:$AI$4407,'Tracking Sheet'!B158,'Production '!$S$4:$S$4407)</f>
        <v>0</v>
      </c>
      <c r="F158" s="76">
        <f ca="1">SUMIF('Production '!$C$4:$AI$4407,'Tracking Sheet'!B158,'Production '!$U$4:$U$4407)</f>
        <v>74</v>
      </c>
      <c r="G158" s="76">
        <f ca="1">SUMIF('Production '!$C$4:$AI$4407,'Tracking Sheet'!B158,'Production '!$W$4:$W$4407)</f>
        <v>5935</v>
      </c>
      <c r="H158" s="76">
        <f ca="1">SUMIF('Production '!$C$4:$AI$4407,'Tracking Sheet'!B158,'Production '!$F$4:$F$4407)</f>
        <v>5799</v>
      </c>
      <c r="I158" s="76">
        <f ca="1">SUMIF('Production '!$C$4:$AI$4407,'Tracking Sheet'!B158,'Production '!$V$4:$V$4407)</f>
        <v>0</v>
      </c>
      <c r="J158" s="76">
        <f ca="1">SUMIF('Production '!$C$4:$AI$4407,'Tracking Sheet'!B158,'Production '!$AG$4:$AG$4407)</f>
        <v>0</v>
      </c>
    </row>
    <row r="159" spans="2:10" x14ac:dyDescent="0.3">
      <c r="B159" s="277" t="str">
        <f>'Production '!C162</f>
        <v>40671 12th</v>
      </c>
      <c r="C159" s="76">
        <f ca="1">SUMIF('Production '!$C$4:$AI$4407,'Tracking Sheet'!B159,'Production '!$M$4:$M$4407)</f>
        <v>6009</v>
      </c>
      <c r="D159" s="76">
        <f ca="1">SUMIF('Production '!$C$4:$AI$4407,'Tracking Sheet'!B159,'Production '!$Q$4:$Q$4407)</f>
        <v>0</v>
      </c>
      <c r="E159" s="76">
        <f ca="1">SUMIF('Production '!$C$4:$AI$4407,'Tracking Sheet'!B159,'Production '!$S$4:$S$4407)</f>
        <v>0</v>
      </c>
      <c r="F159" s="76">
        <f ca="1">SUMIF('Production '!$C$4:$AI$4407,'Tracking Sheet'!B159,'Production '!$U$4:$U$4407)</f>
        <v>74</v>
      </c>
      <c r="G159" s="76">
        <f ca="1">SUMIF('Production '!$C$4:$AI$4407,'Tracking Sheet'!B159,'Production '!$W$4:$W$4407)</f>
        <v>5935</v>
      </c>
      <c r="H159" s="76">
        <f ca="1">SUMIF('Production '!$C$4:$AI$4407,'Tracking Sheet'!B159,'Production '!$F$4:$F$4407)</f>
        <v>5799</v>
      </c>
      <c r="I159" s="76">
        <f ca="1">SUMIF('Production '!$C$4:$AI$4407,'Tracking Sheet'!B159,'Production '!$V$4:$V$4407)</f>
        <v>0</v>
      </c>
      <c r="J159" s="76">
        <f ca="1">SUMIF('Production '!$C$4:$AI$4407,'Tracking Sheet'!B159,'Production '!$AG$4:$AG$4407)</f>
        <v>0</v>
      </c>
    </row>
    <row r="160" spans="2:10" x14ac:dyDescent="0.3">
      <c r="B160" s="277" t="str">
        <f>'Production '!C163</f>
        <v>40671 12th</v>
      </c>
      <c r="C160" s="76">
        <f ca="1">SUMIF('Production '!$C$4:$AI$4407,'Tracking Sheet'!B160,'Production '!$M$4:$M$4407)</f>
        <v>6009</v>
      </c>
      <c r="D160" s="76">
        <f ca="1">SUMIF('Production '!$C$4:$AI$4407,'Tracking Sheet'!B160,'Production '!$Q$4:$Q$4407)</f>
        <v>0</v>
      </c>
      <c r="E160" s="76">
        <f ca="1">SUMIF('Production '!$C$4:$AI$4407,'Tracking Sheet'!B160,'Production '!$S$4:$S$4407)</f>
        <v>0</v>
      </c>
      <c r="F160" s="76">
        <f ca="1">SUMIF('Production '!$C$4:$AI$4407,'Tracking Sheet'!B160,'Production '!$U$4:$U$4407)</f>
        <v>74</v>
      </c>
      <c r="G160" s="76">
        <f ca="1">SUMIF('Production '!$C$4:$AI$4407,'Tracking Sheet'!B160,'Production '!$W$4:$W$4407)</f>
        <v>5935</v>
      </c>
      <c r="H160" s="76">
        <f ca="1">SUMIF('Production '!$C$4:$AI$4407,'Tracking Sheet'!B160,'Production '!$F$4:$F$4407)</f>
        <v>5799</v>
      </c>
      <c r="I160" s="76">
        <f ca="1">SUMIF('Production '!$C$4:$AI$4407,'Tracking Sheet'!B160,'Production '!$V$4:$V$4407)</f>
        <v>0</v>
      </c>
      <c r="J160" s="76">
        <f ca="1">SUMIF('Production '!$C$4:$AI$4407,'Tracking Sheet'!B160,'Production '!$AG$4:$AG$4407)</f>
        <v>0</v>
      </c>
    </row>
    <row r="161" spans="2:10" x14ac:dyDescent="0.3">
      <c r="B161" s="277">
        <f>'Production '!C164</f>
        <v>0</v>
      </c>
      <c r="C161" s="76" t="e">
        <f ca="1">SUMIF('Production '!$C$4:$AI$4407,'Tracking Sheet'!B161,'Production '!$M$4:$M$4407)</f>
        <v>#DIV/0!</v>
      </c>
      <c r="D161" s="76" t="e">
        <f ca="1">SUMIF('Production '!$C$4:$AI$4407,'Tracking Sheet'!B161,'Production '!$Q$4:$Q$4407)</f>
        <v>#DIV/0!</v>
      </c>
      <c r="E161" s="76">
        <f ca="1">SUMIF('Production '!$C$4:$AI$4407,'Tracking Sheet'!B161,'Production '!$S$4:$S$4407)</f>
        <v>-1268218.9828305368</v>
      </c>
      <c r="F161" s="76">
        <f ca="1">SUMIF('Production '!$C$4:$AI$4407,'Tracking Sheet'!B161,'Production '!$U$4:$U$4407)</f>
        <v>-10620.435600016917</v>
      </c>
      <c r="G161" s="76" t="e">
        <f ca="1">SUMIF('Production '!$C$4:$AI$4407,'Tracking Sheet'!B161,'Production '!$W$4:$W$4407)</f>
        <v>#DIV/0!</v>
      </c>
      <c r="H161" s="76">
        <f ca="1">SUMIF('Production '!$C$4:$AI$4407,'Tracking Sheet'!B161,'Production '!$F$4:$F$4407)</f>
        <v>3230621.3283604058</v>
      </c>
      <c r="I161" s="76">
        <f ca="1">SUMIF('Production '!$C$4:$AI$4407,'Tracking Sheet'!B161,'Production '!$V$4:$V$4407)</f>
        <v>-489.86487791182844</v>
      </c>
      <c r="J161" s="76">
        <f ca="1">SUMIF('Production '!$C$4:$AI$4407,'Tracking Sheet'!B161,'Production '!$AG$4:$AG$4407)</f>
        <v>0</v>
      </c>
    </row>
    <row r="162" spans="2:10" x14ac:dyDescent="0.3">
      <c r="B162" s="277" t="str">
        <f>'Production '!C165</f>
        <v>40671 13th</v>
      </c>
      <c r="C162" s="76">
        <f ca="1">SUMIF('Production '!$C$4:$AI$4407,'Tracking Sheet'!B162,'Production '!$M$4:$M$4407)</f>
        <v>0</v>
      </c>
      <c r="D162" s="76">
        <f ca="1">SUMIF('Production '!$C$4:$AI$4407,'Tracking Sheet'!B162,'Production '!$Q$4:$Q$4407)</f>
        <v>0</v>
      </c>
      <c r="E162" s="76">
        <f ca="1">SUMIF('Production '!$C$4:$AI$4407,'Tracking Sheet'!B162,'Production '!$S$4:$S$4407)</f>
        <v>0</v>
      </c>
      <c r="F162" s="76">
        <f ca="1">SUMIF('Production '!$C$4:$AI$4407,'Tracking Sheet'!B162,'Production '!$U$4:$U$4407)</f>
        <v>0</v>
      </c>
      <c r="G162" s="76">
        <f ca="1">SUMIF('Production '!$C$4:$AI$4407,'Tracking Sheet'!B162,'Production '!$W$4:$W$4407)</f>
        <v>0</v>
      </c>
      <c r="H162" s="76">
        <f ca="1">SUMIF('Production '!$C$4:$AI$4407,'Tracking Sheet'!B162,'Production '!$F$4:$F$4407)</f>
        <v>2000</v>
      </c>
      <c r="I162" s="76">
        <f ca="1">SUMIF('Production '!$C$4:$AI$4407,'Tracking Sheet'!B162,'Production '!$V$4:$V$4407)</f>
        <v>0</v>
      </c>
      <c r="J162" s="76">
        <f ca="1">SUMIF('Production '!$C$4:$AI$4407,'Tracking Sheet'!B162,'Production '!$AG$4:$AG$4407)</f>
        <v>-2000</v>
      </c>
    </row>
    <row r="163" spans="2:10" x14ac:dyDescent="0.3">
      <c r="B163" s="277" t="str">
        <f>'Production '!C166</f>
        <v>40671 13th</v>
      </c>
      <c r="C163" s="76">
        <f ca="1">SUMIF('Production '!$C$4:$AI$4407,'Tracking Sheet'!B163,'Production '!$M$4:$M$4407)</f>
        <v>0</v>
      </c>
      <c r="D163" s="76">
        <f ca="1">SUMIF('Production '!$C$4:$AI$4407,'Tracking Sheet'!B163,'Production '!$Q$4:$Q$4407)</f>
        <v>0</v>
      </c>
      <c r="E163" s="76">
        <f ca="1">SUMIF('Production '!$C$4:$AI$4407,'Tracking Sheet'!B163,'Production '!$S$4:$S$4407)</f>
        <v>0</v>
      </c>
      <c r="F163" s="76">
        <f ca="1">SUMIF('Production '!$C$4:$AI$4407,'Tracking Sheet'!B163,'Production '!$U$4:$U$4407)</f>
        <v>0</v>
      </c>
      <c r="G163" s="76">
        <f ca="1">SUMIF('Production '!$C$4:$AI$4407,'Tracking Sheet'!B163,'Production '!$W$4:$W$4407)</f>
        <v>0</v>
      </c>
      <c r="H163" s="76">
        <f ca="1">SUMIF('Production '!$C$4:$AI$4407,'Tracking Sheet'!B163,'Production '!$F$4:$F$4407)</f>
        <v>2000</v>
      </c>
      <c r="I163" s="76">
        <f ca="1">SUMIF('Production '!$C$4:$AI$4407,'Tracking Sheet'!B163,'Production '!$V$4:$V$4407)</f>
        <v>0</v>
      </c>
      <c r="J163" s="76">
        <f ca="1">SUMIF('Production '!$C$4:$AI$4407,'Tracking Sheet'!B163,'Production '!$AG$4:$AG$4407)</f>
        <v>-2000</v>
      </c>
    </row>
    <row r="164" spans="2:10" x14ac:dyDescent="0.3">
      <c r="B164" s="277">
        <f>'Production '!C167</f>
        <v>0</v>
      </c>
      <c r="C164" s="76" t="e">
        <f ca="1">SUMIF('Production '!$C$4:$AI$4407,'Tracking Sheet'!B164,'Production '!$M$4:$M$4407)</f>
        <v>#DIV/0!</v>
      </c>
      <c r="D164" s="76" t="e">
        <f ca="1">SUMIF('Production '!$C$4:$AI$4407,'Tracking Sheet'!B164,'Production '!$Q$4:$Q$4407)</f>
        <v>#DIV/0!</v>
      </c>
      <c r="E164" s="76">
        <f ca="1">SUMIF('Production '!$C$4:$AI$4407,'Tracking Sheet'!B164,'Production '!$S$4:$S$4407)</f>
        <v>-1268218.9828305368</v>
      </c>
      <c r="F164" s="76">
        <f ca="1">SUMIF('Production '!$C$4:$AI$4407,'Tracking Sheet'!B164,'Production '!$U$4:$U$4407)</f>
        <v>-10620.435600016917</v>
      </c>
      <c r="G164" s="76" t="e">
        <f ca="1">SUMIF('Production '!$C$4:$AI$4407,'Tracking Sheet'!B164,'Production '!$W$4:$W$4407)</f>
        <v>#DIV/0!</v>
      </c>
      <c r="H164" s="76">
        <f ca="1">SUMIF('Production '!$C$4:$AI$4407,'Tracking Sheet'!B164,'Production '!$F$4:$F$4407)</f>
        <v>3230621.3283604058</v>
      </c>
      <c r="I164" s="76">
        <f ca="1">SUMIF('Production '!$C$4:$AI$4407,'Tracking Sheet'!B164,'Production '!$V$4:$V$4407)</f>
        <v>-489.86487791182844</v>
      </c>
      <c r="J164" s="76">
        <f ca="1">SUMIF('Production '!$C$4:$AI$4407,'Tracking Sheet'!B164,'Production '!$AG$4:$AG$4407)</f>
        <v>0</v>
      </c>
    </row>
    <row r="165" spans="2:10" x14ac:dyDescent="0.3">
      <c r="B165" s="277" t="str">
        <f>'Production '!C168</f>
        <v>40671 14th</v>
      </c>
      <c r="C165" s="76">
        <f ca="1">SUMIF('Production '!$C$4:$AI$4407,'Tracking Sheet'!B165,'Production '!$M$4:$M$4407)</f>
        <v>1242</v>
      </c>
      <c r="D165" s="76">
        <f ca="1">SUMIF('Production '!$C$4:$AI$4407,'Tracking Sheet'!B165,'Production '!$Q$4:$Q$4407)</f>
        <v>0</v>
      </c>
      <c r="E165" s="76">
        <f ca="1">SUMIF('Production '!$C$4:$AI$4407,'Tracking Sheet'!B165,'Production '!$S$4:$S$4407)</f>
        <v>0</v>
      </c>
      <c r="F165" s="76">
        <f ca="1">SUMIF('Production '!$C$4:$AI$4407,'Tracking Sheet'!B165,'Production '!$U$4:$U$4407)</f>
        <v>1242</v>
      </c>
      <c r="G165" s="76">
        <f ca="1">SUMIF('Production '!$C$4:$AI$4407,'Tracking Sheet'!B165,'Production '!$W$4:$W$4407)</f>
        <v>0</v>
      </c>
      <c r="H165" s="76">
        <f ca="1">SUMIF('Production '!$C$4:$AI$4407,'Tracking Sheet'!B165,'Production '!$F$4:$F$4407)</f>
        <v>2400</v>
      </c>
      <c r="I165" s="76">
        <f ca="1">SUMIF('Production '!$C$4:$AI$4407,'Tracking Sheet'!B165,'Production '!$V$4:$V$4407)</f>
        <v>0</v>
      </c>
      <c r="J165" s="76">
        <f ca="1">SUMIF('Production '!$C$4:$AI$4407,'Tracking Sheet'!B165,'Production '!$AG$4:$AG$4407)</f>
        <v>-1200</v>
      </c>
    </row>
    <row r="166" spans="2:10" x14ac:dyDescent="0.3">
      <c r="B166" s="277" t="str">
        <f>'Production '!C169</f>
        <v>40671 14th</v>
      </c>
      <c r="C166" s="76">
        <f ca="1">SUMIF('Production '!$C$4:$AI$4407,'Tracking Sheet'!B166,'Production '!$M$4:$M$4407)</f>
        <v>1242</v>
      </c>
      <c r="D166" s="76">
        <f ca="1">SUMIF('Production '!$C$4:$AI$4407,'Tracking Sheet'!B166,'Production '!$Q$4:$Q$4407)</f>
        <v>0</v>
      </c>
      <c r="E166" s="76">
        <f ca="1">SUMIF('Production '!$C$4:$AI$4407,'Tracking Sheet'!B166,'Production '!$S$4:$S$4407)</f>
        <v>0</v>
      </c>
      <c r="F166" s="76">
        <f ca="1">SUMIF('Production '!$C$4:$AI$4407,'Tracking Sheet'!B166,'Production '!$U$4:$U$4407)</f>
        <v>1242</v>
      </c>
      <c r="G166" s="76">
        <f ca="1">SUMIF('Production '!$C$4:$AI$4407,'Tracking Sheet'!B166,'Production '!$W$4:$W$4407)</f>
        <v>0</v>
      </c>
      <c r="H166" s="76">
        <f ca="1">SUMIF('Production '!$C$4:$AI$4407,'Tracking Sheet'!B166,'Production '!$F$4:$F$4407)</f>
        <v>2400</v>
      </c>
      <c r="I166" s="76">
        <f ca="1">SUMIF('Production '!$C$4:$AI$4407,'Tracking Sheet'!B166,'Production '!$V$4:$V$4407)</f>
        <v>0</v>
      </c>
      <c r="J166" s="76">
        <f ca="1">SUMIF('Production '!$C$4:$AI$4407,'Tracking Sheet'!B166,'Production '!$AG$4:$AG$4407)</f>
        <v>-1200</v>
      </c>
    </row>
    <row r="167" spans="2:10" x14ac:dyDescent="0.3">
      <c r="B167" s="277">
        <f>'Production '!C170</f>
        <v>0</v>
      </c>
      <c r="C167" s="76" t="e">
        <f ca="1">SUMIF('Production '!$C$4:$AI$4407,'Tracking Sheet'!B167,'Production '!$M$4:$M$4407)</f>
        <v>#DIV/0!</v>
      </c>
      <c r="D167" s="76" t="e">
        <f ca="1">SUMIF('Production '!$C$4:$AI$4407,'Tracking Sheet'!B167,'Production '!$Q$4:$Q$4407)</f>
        <v>#DIV/0!</v>
      </c>
      <c r="E167" s="76">
        <f ca="1">SUMIF('Production '!$C$4:$AI$4407,'Tracking Sheet'!B167,'Production '!$S$4:$S$4407)</f>
        <v>-1268218.9828305368</v>
      </c>
      <c r="F167" s="76">
        <f ca="1">SUMIF('Production '!$C$4:$AI$4407,'Tracking Sheet'!B167,'Production '!$U$4:$U$4407)</f>
        <v>-10620.435600016917</v>
      </c>
      <c r="G167" s="76" t="e">
        <f ca="1">SUMIF('Production '!$C$4:$AI$4407,'Tracking Sheet'!B167,'Production '!$W$4:$W$4407)</f>
        <v>#DIV/0!</v>
      </c>
      <c r="H167" s="76">
        <f ca="1">SUMIF('Production '!$C$4:$AI$4407,'Tracking Sheet'!B167,'Production '!$F$4:$F$4407)</f>
        <v>3230621.3283604058</v>
      </c>
      <c r="I167" s="76">
        <f ca="1">SUMIF('Production '!$C$4:$AI$4407,'Tracking Sheet'!B167,'Production '!$V$4:$V$4407)</f>
        <v>-489.86487791182844</v>
      </c>
      <c r="J167" s="76">
        <f ca="1">SUMIF('Production '!$C$4:$AI$4407,'Tracking Sheet'!B167,'Production '!$AG$4:$AG$4407)</f>
        <v>0</v>
      </c>
    </row>
    <row r="168" spans="2:10" x14ac:dyDescent="0.3">
      <c r="B168" s="277" t="str">
        <f>'Production '!C171</f>
        <v>45093 3rd</v>
      </c>
      <c r="C168" s="76">
        <f ca="1">SUMIF('Production '!$C$4:$AI$4407,'Tracking Sheet'!B168,'Production '!$M$4:$M$4407)</f>
        <v>1052</v>
      </c>
      <c r="D168" s="76">
        <f ca="1">SUMIF('Production '!$C$4:$AI$4407,'Tracking Sheet'!B168,'Production '!$Q$4:$Q$4407)</f>
        <v>0</v>
      </c>
      <c r="E168" s="76">
        <f ca="1">SUMIF('Production '!$C$4:$AI$4407,'Tracking Sheet'!B168,'Production '!$S$4:$S$4407)</f>
        <v>0</v>
      </c>
      <c r="F168" s="76">
        <f ca="1">SUMIF('Production '!$C$4:$AI$4407,'Tracking Sheet'!B168,'Production '!$U$4:$U$4407)</f>
        <v>0</v>
      </c>
      <c r="G168" s="76">
        <f ca="1">SUMIF('Production '!$C$4:$AI$4407,'Tracking Sheet'!B168,'Production '!$W$4:$W$4407)</f>
        <v>1052</v>
      </c>
      <c r="H168" s="76">
        <f ca="1">SUMIF('Production '!$C$4:$AI$4407,'Tracking Sheet'!B168,'Production '!$F$4:$F$4407)</f>
        <v>1000</v>
      </c>
      <c r="I168" s="76">
        <f ca="1">SUMIF('Production '!$C$4:$AI$4407,'Tracking Sheet'!B168,'Production '!$V$4:$V$4407)</f>
        <v>0</v>
      </c>
      <c r="J168" s="76">
        <f ca="1">SUMIF('Production '!$C$4:$AI$4407,'Tracking Sheet'!B168,'Production '!$AG$4:$AG$4407)</f>
        <v>0</v>
      </c>
    </row>
    <row r="169" spans="2:10" x14ac:dyDescent="0.3">
      <c r="B169" s="277" t="str">
        <f>'Production '!C172</f>
        <v>45093 3rd</v>
      </c>
      <c r="C169" s="76">
        <f ca="1">SUMIF('Production '!$C$4:$AI$4407,'Tracking Sheet'!B169,'Production '!$M$4:$M$4407)</f>
        <v>1052</v>
      </c>
      <c r="D169" s="76">
        <f ca="1">SUMIF('Production '!$C$4:$AI$4407,'Tracking Sheet'!B169,'Production '!$Q$4:$Q$4407)</f>
        <v>0</v>
      </c>
      <c r="E169" s="76">
        <f ca="1">SUMIF('Production '!$C$4:$AI$4407,'Tracking Sheet'!B169,'Production '!$S$4:$S$4407)</f>
        <v>0</v>
      </c>
      <c r="F169" s="76">
        <f ca="1">SUMIF('Production '!$C$4:$AI$4407,'Tracking Sheet'!B169,'Production '!$U$4:$U$4407)</f>
        <v>0</v>
      </c>
      <c r="G169" s="76">
        <f ca="1">SUMIF('Production '!$C$4:$AI$4407,'Tracking Sheet'!B169,'Production '!$W$4:$W$4407)</f>
        <v>1052</v>
      </c>
      <c r="H169" s="76">
        <f ca="1">SUMIF('Production '!$C$4:$AI$4407,'Tracking Sheet'!B169,'Production '!$F$4:$F$4407)</f>
        <v>1000</v>
      </c>
      <c r="I169" s="76">
        <f ca="1">SUMIF('Production '!$C$4:$AI$4407,'Tracking Sheet'!B169,'Production '!$V$4:$V$4407)</f>
        <v>0</v>
      </c>
      <c r="J169" s="76">
        <f ca="1">SUMIF('Production '!$C$4:$AI$4407,'Tracking Sheet'!B169,'Production '!$AG$4:$AG$4407)</f>
        <v>0</v>
      </c>
    </row>
    <row r="170" spans="2:10" x14ac:dyDescent="0.3">
      <c r="B170" s="277">
        <f>'Production '!C173</f>
        <v>0</v>
      </c>
      <c r="C170" s="76" t="e">
        <f ca="1">SUMIF('Production '!$C$4:$AI$4407,'Tracking Sheet'!B170,'Production '!$M$4:$M$4407)</f>
        <v>#DIV/0!</v>
      </c>
      <c r="D170" s="76" t="e">
        <f ca="1">SUMIF('Production '!$C$4:$AI$4407,'Tracking Sheet'!B170,'Production '!$Q$4:$Q$4407)</f>
        <v>#DIV/0!</v>
      </c>
      <c r="E170" s="76">
        <f ca="1">SUMIF('Production '!$C$4:$AI$4407,'Tracking Sheet'!B170,'Production '!$S$4:$S$4407)</f>
        <v>-1268218.9828305368</v>
      </c>
      <c r="F170" s="76">
        <f ca="1">SUMIF('Production '!$C$4:$AI$4407,'Tracking Sheet'!B170,'Production '!$U$4:$U$4407)</f>
        <v>-10620.435600016917</v>
      </c>
      <c r="G170" s="76" t="e">
        <f ca="1">SUMIF('Production '!$C$4:$AI$4407,'Tracking Sheet'!B170,'Production '!$W$4:$W$4407)</f>
        <v>#DIV/0!</v>
      </c>
      <c r="H170" s="76">
        <f ca="1">SUMIF('Production '!$C$4:$AI$4407,'Tracking Sheet'!B170,'Production '!$F$4:$F$4407)</f>
        <v>3230621.3283604058</v>
      </c>
      <c r="I170" s="76">
        <f ca="1">SUMIF('Production '!$C$4:$AI$4407,'Tracking Sheet'!B170,'Production '!$V$4:$V$4407)</f>
        <v>-489.86487791182844</v>
      </c>
      <c r="J170" s="76">
        <f ca="1">SUMIF('Production '!$C$4:$AI$4407,'Tracking Sheet'!B170,'Production '!$AG$4:$AG$4407)</f>
        <v>0</v>
      </c>
    </row>
    <row r="171" spans="2:10" x14ac:dyDescent="0.3">
      <c r="B171" s="277" t="str">
        <f>'Production '!C174</f>
        <v>41645 9th</v>
      </c>
      <c r="C171" s="76">
        <f ca="1">SUMIF('Production '!$C$4:$AI$4407,'Tracking Sheet'!B171,'Production '!$M$4:$M$4407)</f>
        <v>1470</v>
      </c>
      <c r="D171" s="76">
        <f ca="1">SUMIF('Production '!$C$4:$AI$4407,'Tracking Sheet'!B171,'Production '!$Q$4:$Q$4407)</f>
        <v>0</v>
      </c>
      <c r="E171" s="76">
        <f ca="1">SUMIF('Production '!$C$4:$AI$4407,'Tracking Sheet'!B171,'Production '!$S$4:$S$4407)</f>
        <v>0</v>
      </c>
      <c r="F171" s="76">
        <f ca="1">SUMIF('Production '!$C$4:$AI$4407,'Tracking Sheet'!B171,'Production '!$U$4:$U$4407)</f>
        <v>31</v>
      </c>
      <c r="G171" s="76">
        <f ca="1">SUMIF('Production '!$C$4:$AI$4407,'Tracking Sheet'!B171,'Production '!$W$4:$W$4407)</f>
        <v>1439</v>
      </c>
      <c r="H171" s="76">
        <f ca="1">SUMIF('Production '!$C$4:$AI$4407,'Tracking Sheet'!B171,'Production '!$F$4:$F$4407)</f>
        <v>1400</v>
      </c>
      <c r="I171" s="76">
        <f ca="1">SUMIF('Production '!$C$4:$AI$4407,'Tracking Sheet'!B171,'Production '!$V$4:$V$4407)</f>
        <v>0</v>
      </c>
      <c r="J171" s="76">
        <f ca="1">SUMIF('Production '!$C$4:$AI$4407,'Tracking Sheet'!B171,'Production '!$AG$4:$AG$4407)</f>
        <v>0</v>
      </c>
    </row>
    <row r="172" spans="2:10" x14ac:dyDescent="0.3">
      <c r="B172" s="277" t="str">
        <f>'Production '!C175</f>
        <v>41645 9th</v>
      </c>
      <c r="C172" s="76">
        <f ca="1">SUMIF('Production '!$C$4:$AI$4407,'Tracking Sheet'!B172,'Production '!$M$4:$M$4407)</f>
        <v>1470</v>
      </c>
      <c r="D172" s="76">
        <f ca="1">SUMIF('Production '!$C$4:$AI$4407,'Tracking Sheet'!B172,'Production '!$Q$4:$Q$4407)</f>
        <v>0</v>
      </c>
      <c r="E172" s="76">
        <f ca="1">SUMIF('Production '!$C$4:$AI$4407,'Tracking Sheet'!B172,'Production '!$S$4:$S$4407)</f>
        <v>0</v>
      </c>
      <c r="F172" s="76">
        <f ca="1">SUMIF('Production '!$C$4:$AI$4407,'Tracking Sheet'!B172,'Production '!$U$4:$U$4407)</f>
        <v>31</v>
      </c>
      <c r="G172" s="76">
        <f ca="1">SUMIF('Production '!$C$4:$AI$4407,'Tracking Sheet'!B172,'Production '!$W$4:$W$4407)</f>
        <v>1439</v>
      </c>
      <c r="H172" s="76">
        <f ca="1">SUMIF('Production '!$C$4:$AI$4407,'Tracking Sheet'!B172,'Production '!$F$4:$F$4407)</f>
        <v>1400</v>
      </c>
      <c r="I172" s="76">
        <f ca="1">SUMIF('Production '!$C$4:$AI$4407,'Tracking Sheet'!B172,'Production '!$V$4:$V$4407)</f>
        <v>0</v>
      </c>
      <c r="J172" s="76">
        <f ca="1">SUMIF('Production '!$C$4:$AI$4407,'Tracking Sheet'!B172,'Production '!$AG$4:$AG$4407)</f>
        <v>0</v>
      </c>
    </row>
    <row r="173" spans="2:10" x14ac:dyDescent="0.3">
      <c r="B173" s="277">
        <f>'Production '!C176</f>
        <v>0</v>
      </c>
      <c r="C173" s="76" t="e">
        <f ca="1">SUMIF('Production '!$C$4:$AI$4407,'Tracking Sheet'!B173,'Production '!$M$4:$M$4407)</f>
        <v>#DIV/0!</v>
      </c>
      <c r="D173" s="76" t="e">
        <f ca="1">SUMIF('Production '!$C$4:$AI$4407,'Tracking Sheet'!B173,'Production '!$Q$4:$Q$4407)</f>
        <v>#DIV/0!</v>
      </c>
      <c r="E173" s="76">
        <f ca="1">SUMIF('Production '!$C$4:$AI$4407,'Tracking Sheet'!B173,'Production '!$S$4:$S$4407)</f>
        <v>-1268218.9828305368</v>
      </c>
      <c r="F173" s="76">
        <f ca="1">SUMIF('Production '!$C$4:$AI$4407,'Tracking Sheet'!B173,'Production '!$U$4:$U$4407)</f>
        <v>-10620.435600016917</v>
      </c>
      <c r="G173" s="76" t="e">
        <f ca="1">SUMIF('Production '!$C$4:$AI$4407,'Tracking Sheet'!B173,'Production '!$W$4:$W$4407)</f>
        <v>#DIV/0!</v>
      </c>
      <c r="H173" s="76">
        <f ca="1">SUMIF('Production '!$C$4:$AI$4407,'Tracking Sheet'!B173,'Production '!$F$4:$F$4407)</f>
        <v>3230621.3283604058</v>
      </c>
      <c r="I173" s="76">
        <f ca="1">SUMIF('Production '!$C$4:$AI$4407,'Tracking Sheet'!B173,'Production '!$V$4:$V$4407)</f>
        <v>-489.86487791182844</v>
      </c>
      <c r="J173" s="76">
        <f ca="1">SUMIF('Production '!$C$4:$AI$4407,'Tracking Sheet'!B173,'Production '!$AG$4:$AG$4407)</f>
        <v>0</v>
      </c>
    </row>
    <row r="174" spans="2:10" x14ac:dyDescent="0.3">
      <c r="B174" s="277" t="str">
        <f>'Production '!C177</f>
        <v>41645 11th</v>
      </c>
      <c r="C174" s="76">
        <f ca="1">SUMIF('Production '!$C$4:$AI$4407,'Tracking Sheet'!B174,'Production '!$M$4:$M$4407)</f>
        <v>1683</v>
      </c>
      <c r="D174" s="76">
        <f ca="1">SUMIF('Production '!$C$4:$AI$4407,'Tracking Sheet'!B174,'Production '!$Q$4:$Q$4407)</f>
        <v>0</v>
      </c>
      <c r="E174" s="76">
        <f ca="1">SUMIF('Production '!$C$4:$AI$4407,'Tracking Sheet'!B174,'Production '!$S$4:$S$4407)</f>
        <v>0</v>
      </c>
      <c r="F174" s="76">
        <f ca="1">SUMIF('Production '!$C$4:$AI$4407,'Tracking Sheet'!B174,'Production '!$U$4:$U$4407)</f>
        <v>0</v>
      </c>
      <c r="G174" s="76">
        <f ca="1">SUMIF('Production '!$C$4:$AI$4407,'Tracking Sheet'!B174,'Production '!$W$4:$W$4407)</f>
        <v>1683</v>
      </c>
      <c r="H174" s="76">
        <f ca="1">SUMIF('Production '!$C$4:$AI$4407,'Tracking Sheet'!B174,'Production '!$F$4:$F$4407)</f>
        <v>1600</v>
      </c>
      <c r="I174" s="76">
        <f ca="1">SUMIF('Production '!$C$4:$AI$4407,'Tracking Sheet'!B174,'Production '!$V$4:$V$4407)</f>
        <v>0</v>
      </c>
      <c r="J174" s="76">
        <f ca="1">SUMIF('Production '!$C$4:$AI$4407,'Tracking Sheet'!B174,'Production '!$AG$4:$AG$4407)</f>
        <v>0</v>
      </c>
    </row>
    <row r="175" spans="2:10" x14ac:dyDescent="0.3">
      <c r="B175" s="277" t="str">
        <f>'Production '!C178</f>
        <v>41645 11th</v>
      </c>
      <c r="C175" s="76">
        <f ca="1">SUMIF('Production '!$C$4:$AI$4407,'Tracking Sheet'!B175,'Production '!$M$4:$M$4407)</f>
        <v>1683</v>
      </c>
      <c r="D175" s="76">
        <f ca="1">SUMIF('Production '!$C$4:$AI$4407,'Tracking Sheet'!B175,'Production '!$Q$4:$Q$4407)</f>
        <v>0</v>
      </c>
      <c r="E175" s="76">
        <f ca="1">SUMIF('Production '!$C$4:$AI$4407,'Tracking Sheet'!B175,'Production '!$S$4:$S$4407)</f>
        <v>0</v>
      </c>
      <c r="F175" s="76">
        <f ca="1">SUMIF('Production '!$C$4:$AI$4407,'Tracking Sheet'!B175,'Production '!$U$4:$U$4407)</f>
        <v>0</v>
      </c>
      <c r="G175" s="76">
        <f ca="1">SUMIF('Production '!$C$4:$AI$4407,'Tracking Sheet'!B175,'Production '!$W$4:$W$4407)</f>
        <v>1683</v>
      </c>
      <c r="H175" s="76">
        <f ca="1">SUMIF('Production '!$C$4:$AI$4407,'Tracking Sheet'!B175,'Production '!$F$4:$F$4407)</f>
        <v>1600</v>
      </c>
      <c r="I175" s="76">
        <f ca="1">SUMIF('Production '!$C$4:$AI$4407,'Tracking Sheet'!B175,'Production '!$V$4:$V$4407)</f>
        <v>0</v>
      </c>
      <c r="J175" s="76">
        <f ca="1">SUMIF('Production '!$C$4:$AI$4407,'Tracking Sheet'!B175,'Production '!$AG$4:$AG$4407)</f>
        <v>0</v>
      </c>
    </row>
    <row r="176" spans="2:10" x14ac:dyDescent="0.3">
      <c r="B176" s="277">
        <f>'Production '!C179</f>
        <v>0</v>
      </c>
      <c r="C176" s="76" t="e">
        <f ca="1">SUMIF('Production '!$C$4:$AI$4407,'Tracking Sheet'!B176,'Production '!$M$4:$M$4407)</f>
        <v>#DIV/0!</v>
      </c>
      <c r="D176" s="76" t="e">
        <f ca="1">SUMIF('Production '!$C$4:$AI$4407,'Tracking Sheet'!B176,'Production '!$Q$4:$Q$4407)</f>
        <v>#DIV/0!</v>
      </c>
      <c r="E176" s="76">
        <f ca="1">SUMIF('Production '!$C$4:$AI$4407,'Tracking Sheet'!B176,'Production '!$S$4:$S$4407)</f>
        <v>-1268218.9828305368</v>
      </c>
      <c r="F176" s="76">
        <f ca="1">SUMIF('Production '!$C$4:$AI$4407,'Tracking Sheet'!B176,'Production '!$U$4:$U$4407)</f>
        <v>-10620.435600016917</v>
      </c>
      <c r="G176" s="76" t="e">
        <f ca="1">SUMIF('Production '!$C$4:$AI$4407,'Tracking Sheet'!B176,'Production '!$W$4:$W$4407)</f>
        <v>#DIV/0!</v>
      </c>
      <c r="H176" s="76">
        <f ca="1">SUMIF('Production '!$C$4:$AI$4407,'Tracking Sheet'!B176,'Production '!$F$4:$F$4407)</f>
        <v>3230621.3283604058</v>
      </c>
      <c r="I176" s="76">
        <f ca="1">SUMIF('Production '!$C$4:$AI$4407,'Tracking Sheet'!B176,'Production '!$V$4:$V$4407)</f>
        <v>-489.86487791182844</v>
      </c>
      <c r="J176" s="76">
        <f ca="1">SUMIF('Production '!$C$4:$AI$4407,'Tracking Sheet'!B176,'Production '!$AG$4:$AG$4407)</f>
        <v>0</v>
      </c>
    </row>
    <row r="177" spans="2:10" x14ac:dyDescent="0.3">
      <c r="B177" s="277" t="str">
        <f>'Production '!C180</f>
        <v>41645 10th</v>
      </c>
      <c r="C177" s="76">
        <f ca="1">SUMIF('Production '!$C$4:$AI$4407,'Tracking Sheet'!B177,'Production '!$M$4:$M$4407)</f>
        <v>6131</v>
      </c>
      <c r="D177" s="76">
        <f ca="1">SUMIF('Production '!$C$4:$AI$4407,'Tracking Sheet'!B177,'Production '!$Q$4:$Q$4407)</f>
        <v>0</v>
      </c>
      <c r="E177" s="76">
        <f ca="1">SUMIF('Production '!$C$4:$AI$4407,'Tracking Sheet'!B177,'Production '!$S$4:$S$4407)</f>
        <v>0</v>
      </c>
      <c r="F177" s="76">
        <f ca="1">SUMIF('Production '!$C$4:$AI$4407,'Tracking Sheet'!B177,'Production '!$U$4:$U$4407)</f>
        <v>0</v>
      </c>
      <c r="G177" s="76">
        <f ca="1">SUMIF('Production '!$C$4:$AI$4407,'Tracking Sheet'!B177,'Production '!$W$4:$W$4407)</f>
        <v>6131</v>
      </c>
      <c r="H177" s="76">
        <f ca="1">SUMIF('Production '!$C$4:$AI$4407,'Tracking Sheet'!B177,'Production '!$F$4:$F$4407)</f>
        <v>6000</v>
      </c>
      <c r="I177" s="76">
        <f ca="1">SUMIF('Production '!$C$4:$AI$4407,'Tracking Sheet'!B177,'Production '!$V$4:$V$4407)</f>
        <v>0</v>
      </c>
      <c r="J177" s="76">
        <f ca="1">SUMIF('Production '!$C$4:$AI$4407,'Tracking Sheet'!B177,'Production '!$AG$4:$AG$4407)</f>
        <v>0</v>
      </c>
    </row>
    <row r="178" spans="2:10" x14ac:dyDescent="0.3">
      <c r="B178" s="277" t="str">
        <f>'Production '!C181</f>
        <v>41645 10th</v>
      </c>
      <c r="C178" s="76">
        <f ca="1">SUMIF('Production '!$C$4:$AI$4407,'Tracking Sheet'!B178,'Production '!$M$4:$M$4407)</f>
        <v>6131</v>
      </c>
      <c r="D178" s="76">
        <f ca="1">SUMIF('Production '!$C$4:$AI$4407,'Tracking Sheet'!B178,'Production '!$Q$4:$Q$4407)</f>
        <v>0</v>
      </c>
      <c r="E178" s="76">
        <f ca="1">SUMIF('Production '!$C$4:$AI$4407,'Tracking Sheet'!B178,'Production '!$S$4:$S$4407)</f>
        <v>0</v>
      </c>
      <c r="F178" s="76">
        <f ca="1">SUMIF('Production '!$C$4:$AI$4407,'Tracking Sheet'!B178,'Production '!$U$4:$U$4407)</f>
        <v>0</v>
      </c>
      <c r="G178" s="76">
        <f ca="1">SUMIF('Production '!$C$4:$AI$4407,'Tracking Sheet'!B178,'Production '!$W$4:$W$4407)</f>
        <v>6131</v>
      </c>
      <c r="H178" s="76">
        <f ca="1">SUMIF('Production '!$C$4:$AI$4407,'Tracking Sheet'!B178,'Production '!$F$4:$F$4407)</f>
        <v>6000</v>
      </c>
      <c r="I178" s="76">
        <f ca="1">SUMIF('Production '!$C$4:$AI$4407,'Tracking Sheet'!B178,'Production '!$V$4:$V$4407)</f>
        <v>0</v>
      </c>
      <c r="J178" s="76">
        <f ca="1">SUMIF('Production '!$C$4:$AI$4407,'Tracking Sheet'!B178,'Production '!$AG$4:$AG$4407)</f>
        <v>0</v>
      </c>
    </row>
    <row r="179" spans="2:10" x14ac:dyDescent="0.3">
      <c r="B179" s="277">
        <f>'Production '!C182</f>
        <v>0</v>
      </c>
      <c r="C179" s="76" t="e">
        <f ca="1">SUMIF('Production '!$C$4:$AI$4407,'Tracking Sheet'!B179,'Production '!$M$4:$M$4407)</f>
        <v>#DIV/0!</v>
      </c>
      <c r="D179" s="76" t="e">
        <f ca="1">SUMIF('Production '!$C$4:$AI$4407,'Tracking Sheet'!B179,'Production '!$Q$4:$Q$4407)</f>
        <v>#DIV/0!</v>
      </c>
      <c r="E179" s="76">
        <f ca="1">SUMIF('Production '!$C$4:$AI$4407,'Tracking Sheet'!B179,'Production '!$S$4:$S$4407)</f>
        <v>-1268218.9828305368</v>
      </c>
      <c r="F179" s="76">
        <f ca="1">SUMIF('Production '!$C$4:$AI$4407,'Tracking Sheet'!B179,'Production '!$U$4:$U$4407)</f>
        <v>-10620.435600016917</v>
      </c>
      <c r="G179" s="76" t="e">
        <f ca="1">SUMIF('Production '!$C$4:$AI$4407,'Tracking Sheet'!B179,'Production '!$W$4:$W$4407)</f>
        <v>#DIV/0!</v>
      </c>
      <c r="H179" s="76">
        <f ca="1">SUMIF('Production '!$C$4:$AI$4407,'Tracking Sheet'!B179,'Production '!$F$4:$F$4407)</f>
        <v>3230621.3283604058</v>
      </c>
      <c r="I179" s="76">
        <f ca="1">SUMIF('Production '!$C$4:$AI$4407,'Tracking Sheet'!B179,'Production '!$V$4:$V$4407)</f>
        <v>-489.86487791182844</v>
      </c>
      <c r="J179" s="76">
        <f ca="1">SUMIF('Production '!$C$4:$AI$4407,'Tracking Sheet'!B179,'Production '!$AG$4:$AG$4407)</f>
        <v>0</v>
      </c>
    </row>
    <row r="180" spans="2:10" x14ac:dyDescent="0.3">
      <c r="B180" s="277" t="str">
        <f>'Production '!C183</f>
        <v>44277 4th</v>
      </c>
      <c r="C180" s="76">
        <f ca="1">SUMIF('Production '!$C$4:$AI$4407,'Tracking Sheet'!B180,'Production '!$M$4:$M$4407)</f>
        <v>2473</v>
      </c>
      <c r="D180" s="76">
        <f ca="1">SUMIF('Production '!$C$4:$AI$4407,'Tracking Sheet'!B180,'Production '!$Q$4:$Q$4407)</f>
        <v>0</v>
      </c>
      <c r="E180" s="76">
        <f ca="1">SUMIF('Production '!$C$4:$AI$4407,'Tracking Sheet'!B180,'Production '!$S$4:$S$4407)</f>
        <v>0</v>
      </c>
      <c r="F180" s="76">
        <f ca="1">SUMIF('Production '!$C$4:$AI$4407,'Tracking Sheet'!B180,'Production '!$U$4:$U$4407)</f>
        <v>1650</v>
      </c>
      <c r="G180" s="76">
        <f ca="1">SUMIF('Production '!$C$4:$AI$4407,'Tracking Sheet'!B180,'Production '!$W$4:$W$4407)</f>
        <v>823</v>
      </c>
      <c r="H180" s="76">
        <f ca="1">SUMIF('Production '!$C$4:$AI$4407,'Tracking Sheet'!B180,'Production '!$F$4:$F$4407)</f>
        <v>2400</v>
      </c>
      <c r="I180" s="76">
        <f ca="1">SUMIF('Production '!$C$4:$AI$4407,'Tracking Sheet'!B180,'Production '!$V$4:$V$4407)</f>
        <v>823</v>
      </c>
      <c r="J180" s="76">
        <f ca="1">SUMIF('Production '!$C$4:$AI$4407,'Tracking Sheet'!B180,'Production '!$AG$4:$AG$4407)</f>
        <v>0</v>
      </c>
    </row>
    <row r="181" spans="2:10" x14ac:dyDescent="0.3">
      <c r="B181" s="277" t="str">
        <f>'Production '!C184</f>
        <v>44277 4th</v>
      </c>
      <c r="C181" s="76">
        <f ca="1">SUMIF('Production '!$C$4:$AI$4407,'Tracking Sheet'!B181,'Production '!$M$4:$M$4407)</f>
        <v>2473</v>
      </c>
      <c r="D181" s="76">
        <f ca="1">SUMIF('Production '!$C$4:$AI$4407,'Tracking Sheet'!B181,'Production '!$Q$4:$Q$4407)</f>
        <v>0</v>
      </c>
      <c r="E181" s="76">
        <f ca="1">SUMIF('Production '!$C$4:$AI$4407,'Tracking Sheet'!B181,'Production '!$S$4:$S$4407)</f>
        <v>0</v>
      </c>
      <c r="F181" s="76">
        <f ca="1">SUMIF('Production '!$C$4:$AI$4407,'Tracking Sheet'!B181,'Production '!$U$4:$U$4407)</f>
        <v>1650</v>
      </c>
      <c r="G181" s="76">
        <f ca="1">SUMIF('Production '!$C$4:$AI$4407,'Tracking Sheet'!B181,'Production '!$W$4:$W$4407)</f>
        <v>823</v>
      </c>
      <c r="H181" s="76">
        <f ca="1">SUMIF('Production '!$C$4:$AI$4407,'Tracking Sheet'!B181,'Production '!$F$4:$F$4407)</f>
        <v>2400</v>
      </c>
      <c r="I181" s="76">
        <f ca="1">SUMIF('Production '!$C$4:$AI$4407,'Tracking Sheet'!B181,'Production '!$V$4:$V$4407)</f>
        <v>823</v>
      </c>
      <c r="J181" s="76">
        <f ca="1">SUMIF('Production '!$C$4:$AI$4407,'Tracking Sheet'!B181,'Production '!$AG$4:$AG$4407)</f>
        <v>0</v>
      </c>
    </row>
    <row r="182" spans="2:10" x14ac:dyDescent="0.3">
      <c r="B182" s="277" t="str">
        <f>'Production '!C185</f>
        <v>44277 4th</v>
      </c>
      <c r="C182" s="76">
        <f ca="1">SUMIF('Production '!$C$4:$AI$4407,'Tracking Sheet'!B182,'Production '!$M$4:$M$4407)</f>
        <v>2473</v>
      </c>
      <c r="D182" s="76">
        <f ca="1">SUMIF('Production '!$C$4:$AI$4407,'Tracking Sheet'!B182,'Production '!$Q$4:$Q$4407)</f>
        <v>0</v>
      </c>
      <c r="E182" s="76">
        <f ca="1">SUMIF('Production '!$C$4:$AI$4407,'Tracking Sheet'!B182,'Production '!$S$4:$S$4407)</f>
        <v>0</v>
      </c>
      <c r="F182" s="76">
        <f ca="1">SUMIF('Production '!$C$4:$AI$4407,'Tracking Sheet'!B182,'Production '!$U$4:$U$4407)</f>
        <v>1650</v>
      </c>
      <c r="G182" s="76">
        <f ca="1">SUMIF('Production '!$C$4:$AI$4407,'Tracking Sheet'!B182,'Production '!$W$4:$W$4407)</f>
        <v>823</v>
      </c>
      <c r="H182" s="76">
        <f ca="1">SUMIF('Production '!$C$4:$AI$4407,'Tracking Sheet'!B182,'Production '!$F$4:$F$4407)</f>
        <v>2400</v>
      </c>
      <c r="I182" s="76">
        <f ca="1">SUMIF('Production '!$C$4:$AI$4407,'Tracking Sheet'!B182,'Production '!$V$4:$V$4407)</f>
        <v>823</v>
      </c>
      <c r="J182" s="76">
        <f ca="1">SUMIF('Production '!$C$4:$AI$4407,'Tracking Sheet'!B182,'Production '!$AG$4:$AG$4407)</f>
        <v>0</v>
      </c>
    </row>
    <row r="183" spans="2:10" x14ac:dyDescent="0.3">
      <c r="B183" s="277">
        <f>'Production '!C186</f>
        <v>0</v>
      </c>
      <c r="C183" s="76" t="e">
        <f ca="1">SUMIF('Production '!$C$4:$AI$4407,'Tracking Sheet'!B183,'Production '!$M$4:$M$4407)</f>
        <v>#DIV/0!</v>
      </c>
      <c r="D183" s="76" t="e">
        <f ca="1">SUMIF('Production '!$C$4:$AI$4407,'Tracking Sheet'!B183,'Production '!$Q$4:$Q$4407)</f>
        <v>#DIV/0!</v>
      </c>
      <c r="E183" s="76">
        <f ca="1">SUMIF('Production '!$C$4:$AI$4407,'Tracking Sheet'!B183,'Production '!$S$4:$S$4407)</f>
        <v>-1268218.9828305368</v>
      </c>
      <c r="F183" s="76">
        <f ca="1">SUMIF('Production '!$C$4:$AI$4407,'Tracking Sheet'!B183,'Production '!$U$4:$U$4407)</f>
        <v>-10620.435600016917</v>
      </c>
      <c r="G183" s="76" t="e">
        <f ca="1">SUMIF('Production '!$C$4:$AI$4407,'Tracking Sheet'!B183,'Production '!$W$4:$W$4407)</f>
        <v>#DIV/0!</v>
      </c>
      <c r="H183" s="76">
        <f ca="1">SUMIF('Production '!$C$4:$AI$4407,'Tracking Sheet'!B183,'Production '!$F$4:$F$4407)</f>
        <v>3230621.3283604058</v>
      </c>
      <c r="I183" s="76">
        <f ca="1">SUMIF('Production '!$C$4:$AI$4407,'Tracking Sheet'!B183,'Production '!$V$4:$V$4407)</f>
        <v>-489.86487791182844</v>
      </c>
      <c r="J183" s="76">
        <f ca="1">SUMIF('Production '!$C$4:$AI$4407,'Tracking Sheet'!B183,'Production '!$AG$4:$AG$4407)</f>
        <v>0</v>
      </c>
    </row>
    <row r="184" spans="2:10" x14ac:dyDescent="0.3">
      <c r="B184" s="277" t="str">
        <f>'Production '!C187</f>
        <v>43430 6th</v>
      </c>
      <c r="C184" s="76">
        <f ca="1">SUMIF('Production '!$C$4:$AI$4407,'Tracking Sheet'!B184,'Production '!$M$4:$M$4407)</f>
        <v>3129</v>
      </c>
      <c r="D184" s="76">
        <f ca="1">SUMIF('Production '!$C$4:$AI$4407,'Tracking Sheet'!B184,'Production '!$Q$4:$Q$4407)</f>
        <v>0</v>
      </c>
      <c r="E184" s="76">
        <f ca="1">SUMIF('Production '!$C$4:$AI$4407,'Tracking Sheet'!B184,'Production '!$S$4:$S$4407)</f>
        <v>0</v>
      </c>
      <c r="F184" s="76">
        <f ca="1">SUMIF('Production '!$C$4:$AI$4407,'Tracking Sheet'!B184,'Production '!$U$4:$U$4407)</f>
        <v>10</v>
      </c>
      <c r="G184" s="76">
        <f ca="1">SUMIF('Production '!$C$4:$AI$4407,'Tracking Sheet'!B184,'Production '!$W$4:$W$4407)</f>
        <v>3119</v>
      </c>
      <c r="H184" s="76">
        <f ca="1">SUMIF('Production '!$C$4:$AI$4407,'Tracking Sheet'!B184,'Production '!$F$4:$F$4407)</f>
        <v>3000</v>
      </c>
      <c r="I184" s="76">
        <f ca="1">SUMIF('Production '!$C$4:$AI$4407,'Tracking Sheet'!B184,'Production '!$V$4:$V$4407)</f>
        <v>0</v>
      </c>
      <c r="J184" s="76">
        <f ca="1">SUMIF('Production '!$C$4:$AI$4407,'Tracking Sheet'!B184,'Production '!$AG$4:$AG$4407)</f>
        <v>0</v>
      </c>
    </row>
    <row r="185" spans="2:10" x14ac:dyDescent="0.3">
      <c r="B185" s="277" t="str">
        <f>'Production '!C188</f>
        <v>43430 6th</v>
      </c>
      <c r="C185" s="76">
        <f ca="1">SUMIF('Production '!$C$4:$AI$4407,'Tracking Sheet'!B185,'Production '!$M$4:$M$4407)</f>
        <v>3129</v>
      </c>
      <c r="D185" s="76">
        <f ca="1">SUMIF('Production '!$C$4:$AI$4407,'Tracking Sheet'!B185,'Production '!$Q$4:$Q$4407)</f>
        <v>0</v>
      </c>
      <c r="E185" s="76">
        <f ca="1">SUMIF('Production '!$C$4:$AI$4407,'Tracking Sheet'!B185,'Production '!$S$4:$S$4407)</f>
        <v>0</v>
      </c>
      <c r="F185" s="76">
        <f ca="1">SUMIF('Production '!$C$4:$AI$4407,'Tracking Sheet'!B185,'Production '!$U$4:$U$4407)</f>
        <v>10</v>
      </c>
      <c r="G185" s="76">
        <f ca="1">SUMIF('Production '!$C$4:$AI$4407,'Tracking Sheet'!B185,'Production '!$W$4:$W$4407)</f>
        <v>3119</v>
      </c>
      <c r="H185" s="76">
        <f ca="1">SUMIF('Production '!$C$4:$AI$4407,'Tracking Sheet'!B185,'Production '!$F$4:$F$4407)</f>
        <v>3000</v>
      </c>
      <c r="I185" s="76">
        <f ca="1">SUMIF('Production '!$C$4:$AI$4407,'Tracking Sheet'!B185,'Production '!$V$4:$V$4407)</f>
        <v>0</v>
      </c>
      <c r="J185" s="76">
        <f ca="1">SUMIF('Production '!$C$4:$AI$4407,'Tracking Sheet'!B185,'Production '!$AG$4:$AG$4407)</f>
        <v>0</v>
      </c>
    </row>
    <row r="186" spans="2:10" x14ac:dyDescent="0.3">
      <c r="B186" s="277" t="str">
        <f>'Production '!C189</f>
        <v>43430 6th</v>
      </c>
      <c r="C186" s="76">
        <f ca="1">SUMIF('Production '!$C$4:$AI$4407,'Tracking Sheet'!B186,'Production '!$M$4:$M$4407)</f>
        <v>3129</v>
      </c>
      <c r="D186" s="76">
        <f ca="1">SUMIF('Production '!$C$4:$AI$4407,'Tracking Sheet'!B186,'Production '!$Q$4:$Q$4407)</f>
        <v>0</v>
      </c>
      <c r="E186" s="76">
        <f ca="1">SUMIF('Production '!$C$4:$AI$4407,'Tracking Sheet'!B186,'Production '!$S$4:$S$4407)</f>
        <v>0</v>
      </c>
      <c r="F186" s="76">
        <f ca="1">SUMIF('Production '!$C$4:$AI$4407,'Tracking Sheet'!B186,'Production '!$U$4:$U$4407)</f>
        <v>10</v>
      </c>
      <c r="G186" s="76">
        <f ca="1">SUMIF('Production '!$C$4:$AI$4407,'Tracking Sheet'!B186,'Production '!$W$4:$W$4407)</f>
        <v>3119</v>
      </c>
      <c r="H186" s="76">
        <f ca="1">SUMIF('Production '!$C$4:$AI$4407,'Tracking Sheet'!B186,'Production '!$F$4:$F$4407)</f>
        <v>3000</v>
      </c>
      <c r="I186" s="76">
        <f ca="1">SUMIF('Production '!$C$4:$AI$4407,'Tracking Sheet'!B186,'Production '!$V$4:$V$4407)</f>
        <v>0</v>
      </c>
      <c r="J186" s="76">
        <f ca="1">SUMIF('Production '!$C$4:$AI$4407,'Tracking Sheet'!B186,'Production '!$AG$4:$AG$4407)</f>
        <v>0</v>
      </c>
    </row>
    <row r="187" spans="2:10" x14ac:dyDescent="0.3">
      <c r="B187" s="277">
        <f>'Production '!C190</f>
        <v>0</v>
      </c>
      <c r="C187" s="76" t="e">
        <f ca="1">SUMIF('Production '!$C$4:$AI$4407,'Tracking Sheet'!B187,'Production '!$M$4:$M$4407)</f>
        <v>#DIV/0!</v>
      </c>
      <c r="D187" s="76" t="e">
        <f ca="1">SUMIF('Production '!$C$4:$AI$4407,'Tracking Sheet'!B187,'Production '!$Q$4:$Q$4407)</f>
        <v>#DIV/0!</v>
      </c>
      <c r="E187" s="76">
        <f ca="1">SUMIF('Production '!$C$4:$AI$4407,'Tracking Sheet'!B187,'Production '!$S$4:$S$4407)</f>
        <v>-1268218.9828305368</v>
      </c>
      <c r="F187" s="76">
        <f ca="1">SUMIF('Production '!$C$4:$AI$4407,'Tracking Sheet'!B187,'Production '!$U$4:$U$4407)</f>
        <v>-10620.435600016917</v>
      </c>
      <c r="G187" s="76" t="e">
        <f ca="1">SUMIF('Production '!$C$4:$AI$4407,'Tracking Sheet'!B187,'Production '!$W$4:$W$4407)</f>
        <v>#DIV/0!</v>
      </c>
      <c r="H187" s="76">
        <f ca="1">SUMIF('Production '!$C$4:$AI$4407,'Tracking Sheet'!B187,'Production '!$F$4:$F$4407)</f>
        <v>3230621.3283604058</v>
      </c>
      <c r="I187" s="76">
        <f ca="1">SUMIF('Production '!$C$4:$AI$4407,'Tracking Sheet'!B187,'Production '!$V$4:$V$4407)</f>
        <v>-489.86487791182844</v>
      </c>
      <c r="J187" s="76">
        <f ca="1">SUMIF('Production '!$C$4:$AI$4407,'Tracking Sheet'!B187,'Production '!$AG$4:$AG$4407)</f>
        <v>0</v>
      </c>
    </row>
    <row r="188" spans="2:10" x14ac:dyDescent="0.3">
      <c r="B188" s="277" t="str">
        <f>'Production '!C191</f>
        <v>24230 23th</v>
      </c>
      <c r="C188" s="76">
        <f ca="1">SUMIF('Production '!$C$4:$AI$4407,'Tracking Sheet'!B188,'Production '!$M$4:$M$4407)</f>
        <v>5765</v>
      </c>
      <c r="D188" s="76">
        <f ca="1">SUMIF('Production '!$C$4:$AI$4407,'Tracking Sheet'!B188,'Production '!$Q$4:$Q$4407)</f>
        <v>0</v>
      </c>
      <c r="E188" s="76">
        <f ca="1">SUMIF('Production '!$C$4:$AI$4407,'Tracking Sheet'!B188,'Production '!$S$4:$S$4407)</f>
        <v>0</v>
      </c>
      <c r="F188" s="76">
        <f ca="1">SUMIF('Production '!$C$4:$AI$4407,'Tracking Sheet'!B188,'Production '!$U$4:$U$4407)</f>
        <v>10</v>
      </c>
      <c r="G188" s="76">
        <f ca="1">SUMIF('Production '!$C$4:$AI$4407,'Tracking Sheet'!B188,'Production '!$W$4:$W$4407)</f>
        <v>5755</v>
      </c>
      <c r="H188" s="76">
        <f ca="1">SUMIF('Production '!$C$4:$AI$4407,'Tracking Sheet'!B188,'Production '!$F$4:$F$4407)</f>
        <v>5500</v>
      </c>
      <c r="I188" s="76">
        <f ca="1">SUMIF('Production '!$C$4:$AI$4407,'Tracking Sheet'!B188,'Production '!$V$4:$V$4407)</f>
        <v>0</v>
      </c>
      <c r="J188" s="76">
        <f ca="1">SUMIF('Production '!$C$4:$AI$4407,'Tracking Sheet'!B188,'Production '!$AG$4:$AG$4407)</f>
        <v>0</v>
      </c>
    </row>
    <row r="189" spans="2:10" x14ac:dyDescent="0.3">
      <c r="B189" s="277" t="str">
        <f>'Production '!C192</f>
        <v>24230 23th</v>
      </c>
      <c r="C189" s="76">
        <f ca="1">SUMIF('Production '!$C$4:$AI$4407,'Tracking Sheet'!B189,'Production '!$M$4:$M$4407)</f>
        <v>5765</v>
      </c>
      <c r="D189" s="76">
        <f ca="1">SUMIF('Production '!$C$4:$AI$4407,'Tracking Sheet'!B189,'Production '!$Q$4:$Q$4407)</f>
        <v>0</v>
      </c>
      <c r="E189" s="76">
        <f ca="1">SUMIF('Production '!$C$4:$AI$4407,'Tracking Sheet'!B189,'Production '!$S$4:$S$4407)</f>
        <v>0</v>
      </c>
      <c r="F189" s="76">
        <f ca="1">SUMIF('Production '!$C$4:$AI$4407,'Tracking Sheet'!B189,'Production '!$U$4:$U$4407)</f>
        <v>10</v>
      </c>
      <c r="G189" s="76">
        <f ca="1">SUMIF('Production '!$C$4:$AI$4407,'Tracking Sheet'!B189,'Production '!$W$4:$W$4407)</f>
        <v>5755</v>
      </c>
      <c r="H189" s="76">
        <f ca="1">SUMIF('Production '!$C$4:$AI$4407,'Tracking Sheet'!B189,'Production '!$F$4:$F$4407)</f>
        <v>5500</v>
      </c>
      <c r="I189" s="76">
        <f ca="1">SUMIF('Production '!$C$4:$AI$4407,'Tracking Sheet'!B189,'Production '!$V$4:$V$4407)</f>
        <v>0</v>
      </c>
      <c r="J189" s="76">
        <f ca="1">SUMIF('Production '!$C$4:$AI$4407,'Tracking Sheet'!B189,'Production '!$AG$4:$AG$4407)</f>
        <v>0</v>
      </c>
    </row>
    <row r="190" spans="2:10" x14ac:dyDescent="0.3">
      <c r="B190" s="277">
        <f>'Production '!C193</f>
        <v>0</v>
      </c>
      <c r="C190" s="76" t="e">
        <f ca="1">SUMIF('Production '!$C$4:$AI$4407,'Tracking Sheet'!B190,'Production '!$M$4:$M$4407)</f>
        <v>#DIV/0!</v>
      </c>
      <c r="D190" s="76" t="e">
        <f ca="1">SUMIF('Production '!$C$4:$AI$4407,'Tracking Sheet'!B190,'Production '!$Q$4:$Q$4407)</f>
        <v>#DIV/0!</v>
      </c>
      <c r="E190" s="76">
        <f ca="1">SUMIF('Production '!$C$4:$AI$4407,'Tracking Sheet'!B190,'Production '!$S$4:$S$4407)</f>
        <v>-1268218.9828305368</v>
      </c>
      <c r="F190" s="76">
        <f ca="1">SUMIF('Production '!$C$4:$AI$4407,'Tracking Sheet'!B190,'Production '!$U$4:$U$4407)</f>
        <v>-10620.435600016917</v>
      </c>
      <c r="G190" s="76" t="e">
        <f ca="1">SUMIF('Production '!$C$4:$AI$4407,'Tracking Sheet'!B190,'Production '!$W$4:$W$4407)</f>
        <v>#DIV/0!</v>
      </c>
      <c r="H190" s="76">
        <f ca="1">SUMIF('Production '!$C$4:$AI$4407,'Tracking Sheet'!B190,'Production '!$F$4:$F$4407)</f>
        <v>3230621.3283604058</v>
      </c>
      <c r="I190" s="76">
        <f ca="1">SUMIF('Production '!$C$4:$AI$4407,'Tracking Sheet'!B190,'Production '!$V$4:$V$4407)</f>
        <v>-489.86487791182844</v>
      </c>
      <c r="J190" s="76">
        <f ca="1">SUMIF('Production '!$C$4:$AI$4407,'Tracking Sheet'!B190,'Production '!$AG$4:$AG$4407)</f>
        <v>0</v>
      </c>
    </row>
    <row r="191" spans="2:10" x14ac:dyDescent="0.3">
      <c r="B191" s="277" t="str">
        <f>'Production '!C194</f>
        <v>44047 12th</v>
      </c>
      <c r="C191" s="76">
        <f ca="1">SUMIF('Production '!$C$4:$AI$4407,'Tracking Sheet'!B191,'Production '!$M$4:$M$4407)</f>
        <v>15477</v>
      </c>
      <c r="D191" s="76">
        <f ca="1">SUMIF('Production '!$C$4:$AI$4407,'Tracking Sheet'!B191,'Production '!$Q$4:$Q$4407)</f>
        <v>0</v>
      </c>
      <c r="E191" s="76">
        <f ca="1">SUMIF('Production '!$C$4:$AI$4407,'Tracking Sheet'!B191,'Production '!$S$4:$S$4407)</f>
        <v>0</v>
      </c>
      <c r="F191" s="76">
        <f ca="1">SUMIF('Production '!$C$4:$AI$4407,'Tracking Sheet'!B191,'Production '!$U$4:$U$4407)</f>
        <v>1</v>
      </c>
      <c r="G191" s="76">
        <f ca="1">SUMIF('Production '!$C$4:$AI$4407,'Tracking Sheet'!B191,'Production '!$W$4:$W$4407)</f>
        <v>15476</v>
      </c>
      <c r="H191" s="76">
        <f ca="1">SUMIF('Production '!$C$4:$AI$4407,'Tracking Sheet'!B191,'Production '!$F$4:$F$4407)</f>
        <v>15000</v>
      </c>
      <c r="I191" s="76">
        <f ca="1">SUMIF('Production '!$C$4:$AI$4407,'Tracking Sheet'!B191,'Production '!$V$4:$V$4407)</f>
        <v>0</v>
      </c>
      <c r="J191" s="76">
        <f ca="1">SUMIF('Production '!$C$4:$AI$4407,'Tracking Sheet'!B191,'Production '!$AG$4:$AG$4407)</f>
        <v>0</v>
      </c>
    </row>
    <row r="192" spans="2:10" x14ac:dyDescent="0.3">
      <c r="B192" s="277" t="str">
        <f>'Production '!C195</f>
        <v>44047 12th</v>
      </c>
      <c r="C192" s="76">
        <f ca="1">SUMIF('Production '!$C$4:$AI$4407,'Tracking Sheet'!B192,'Production '!$M$4:$M$4407)</f>
        <v>15477</v>
      </c>
      <c r="D192" s="76">
        <f ca="1">SUMIF('Production '!$C$4:$AI$4407,'Tracking Sheet'!B192,'Production '!$Q$4:$Q$4407)</f>
        <v>0</v>
      </c>
      <c r="E192" s="76">
        <f ca="1">SUMIF('Production '!$C$4:$AI$4407,'Tracking Sheet'!B192,'Production '!$S$4:$S$4407)</f>
        <v>0</v>
      </c>
      <c r="F192" s="76">
        <f ca="1">SUMIF('Production '!$C$4:$AI$4407,'Tracking Sheet'!B192,'Production '!$U$4:$U$4407)</f>
        <v>1</v>
      </c>
      <c r="G192" s="76">
        <f ca="1">SUMIF('Production '!$C$4:$AI$4407,'Tracking Sheet'!B192,'Production '!$W$4:$W$4407)</f>
        <v>15476</v>
      </c>
      <c r="H192" s="76">
        <f ca="1">SUMIF('Production '!$C$4:$AI$4407,'Tracking Sheet'!B192,'Production '!$F$4:$F$4407)</f>
        <v>15000</v>
      </c>
      <c r="I192" s="76">
        <f ca="1">SUMIF('Production '!$C$4:$AI$4407,'Tracking Sheet'!B192,'Production '!$V$4:$V$4407)</f>
        <v>0</v>
      </c>
      <c r="J192" s="76">
        <f ca="1">SUMIF('Production '!$C$4:$AI$4407,'Tracking Sheet'!B192,'Production '!$AG$4:$AG$4407)</f>
        <v>0</v>
      </c>
    </row>
    <row r="193" spans="2:10" x14ac:dyDescent="0.3">
      <c r="B193" s="277" t="str">
        <f>'Production '!C196</f>
        <v>44047 12th</v>
      </c>
      <c r="C193" s="76">
        <f ca="1">SUMIF('Production '!$C$4:$AI$4407,'Tracking Sheet'!B193,'Production '!$M$4:$M$4407)</f>
        <v>15477</v>
      </c>
      <c r="D193" s="76">
        <f ca="1">SUMIF('Production '!$C$4:$AI$4407,'Tracking Sheet'!B193,'Production '!$Q$4:$Q$4407)</f>
        <v>0</v>
      </c>
      <c r="E193" s="76">
        <f ca="1">SUMIF('Production '!$C$4:$AI$4407,'Tracking Sheet'!B193,'Production '!$S$4:$S$4407)</f>
        <v>0</v>
      </c>
      <c r="F193" s="76">
        <f ca="1">SUMIF('Production '!$C$4:$AI$4407,'Tracking Sheet'!B193,'Production '!$U$4:$U$4407)</f>
        <v>1</v>
      </c>
      <c r="G193" s="76">
        <f ca="1">SUMIF('Production '!$C$4:$AI$4407,'Tracking Sheet'!B193,'Production '!$W$4:$W$4407)</f>
        <v>15476</v>
      </c>
      <c r="H193" s="76">
        <f ca="1">SUMIF('Production '!$C$4:$AI$4407,'Tracking Sheet'!B193,'Production '!$F$4:$F$4407)</f>
        <v>15000</v>
      </c>
      <c r="I193" s="76">
        <f ca="1">SUMIF('Production '!$C$4:$AI$4407,'Tracking Sheet'!B193,'Production '!$V$4:$V$4407)</f>
        <v>0</v>
      </c>
      <c r="J193" s="76">
        <f ca="1">SUMIF('Production '!$C$4:$AI$4407,'Tracking Sheet'!B193,'Production '!$AG$4:$AG$4407)</f>
        <v>0</v>
      </c>
    </row>
    <row r="194" spans="2:10" x14ac:dyDescent="0.3">
      <c r="B194" s="277" t="str">
        <f>'Production '!C197</f>
        <v>44047 12th</v>
      </c>
      <c r="C194" s="76">
        <f ca="1">SUMIF('Production '!$C$4:$AI$4407,'Tracking Sheet'!B194,'Production '!$M$4:$M$4407)</f>
        <v>15477</v>
      </c>
      <c r="D194" s="76">
        <f ca="1">SUMIF('Production '!$C$4:$AI$4407,'Tracking Sheet'!B194,'Production '!$Q$4:$Q$4407)</f>
        <v>0</v>
      </c>
      <c r="E194" s="76">
        <f ca="1">SUMIF('Production '!$C$4:$AI$4407,'Tracking Sheet'!B194,'Production '!$S$4:$S$4407)</f>
        <v>0</v>
      </c>
      <c r="F194" s="76">
        <f ca="1">SUMIF('Production '!$C$4:$AI$4407,'Tracking Sheet'!B194,'Production '!$U$4:$U$4407)</f>
        <v>1</v>
      </c>
      <c r="G194" s="76">
        <f ca="1">SUMIF('Production '!$C$4:$AI$4407,'Tracking Sheet'!B194,'Production '!$W$4:$W$4407)</f>
        <v>15476</v>
      </c>
      <c r="H194" s="76">
        <f ca="1">SUMIF('Production '!$C$4:$AI$4407,'Tracking Sheet'!B194,'Production '!$F$4:$F$4407)</f>
        <v>15000</v>
      </c>
      <c r="I194" s="76">
        <f ca="1">SUMIF('Production '!$C$4:$AI$4407,'Tracking Sheet'!B194,'Production '!$V$4:$V$4407)</f>
        <v>0</v>
      </c>
      <c r="J194" s="76">
        <f ca="1">SUMIF('Production '!$C$4:$AI$4407,'Tracking Sheet'!B194,'Production '!$AG$4:$AG$4407)</f>
        <v>0</v>
      </c>
    </row>
    <row r="195" spans="2:10" x14ac:dyDescent="0.3">
      <c r="B195" s="277" t="str">
        <f>'Production '!C198</f>
        <v>44047 12th</v>
      </c>
      <c r="C195" s="76">
        <f ca="1">SUMIF('Production '!$C$4:$AI$4407,'Tracking Sheet'!B195,'Production '!$M$4:$M$4407)</f>
        <v>15477</v>
      </c>
      <c r="D195" s="76">
        <f ca="1">SUMIF('Production '!$C$4:$AI$4407,'Tracking Sheet'!B195,'Production '!$Q$4:$Q$4407)</f>
        <v>0</v>
      </c>
      <c r="E195" s="76">
        <f ca="1">SUMIF('Production '!$C$4:$AI$4407,'Tracking Sheet'!B195,'Production '!$S$4:$S$4407)</f>
        <v>0</v>
      </c>
      <c r="F195" s="76">
        <f ca="1">SUMIF('Production '!$C$4:$AI$4407,'Tracking Sheet'!B195,'Production '!$U$4:$U$4407)</f>
        <v>1</v>
      </c>
      <c r="G195" s="76">
        <f ca="1">SUMIF('Production '!$C$4:$AI$4407,'Tracking Sheet'!B195,'Production '!$W$4:$W$4407)</f>
        <v>15476</v>
      </c>
      <c r="H195" s="76">
        <f ca="1">SUMIF('Production '!$C$4:$AI$4407,'Tracking Sheet'!B195,'Production '!$F$4:$F$4407)</f>
        <v>15000</v>
      </c>
      <c r="I195" s="76">
        <f ca="1">SUMIF('Production '!$C$4:$AI$4407,'Tracking Sheet'!B195,'Production '!$V$4:$V$4407)</f>
        <v>0</v>
      </c>
      <c r="J195" s="76">
        <f ca="1">SUMIF('Production '!$C$4:$AI$4407,'Tracking Sheet'!B195,'Production '!$AG$4:$AG$4407)</f>
        <v>0</v>
      </c>
    </row>
    <row r="196" spans="2:10" x14ac:dyDescent="0.3">
      <c r="B196" s="277" t="str">
        <f>'Production '!C199</f>
        <v>44047 12th</v>
      </c>
      <c r="C196" s="76">
        <f ca="1">SUMIF('Production '!$C$4:$AI$4407,'Tracking Sheet'!B196,'Production '!$M$4:$M$4407)</f>
        <v>15477</v>
      </c>
      <c r="D196" s="76">
        <f ca="1">SUMIF('Production '!$C$4:$AI$4407,'Tracking Sheet'!B196,'Production '!$Q$4:$Q$4407)</f>
        <v>0</v>
      </c>
      <c r="E196" s="76">
        <f ca="1">SUMIF('Production '!$C$4:$AI$4407,'Tracking Sheet'!B196,'Production '!$S$4:$S$4407)</f>
        <v>0</v>
      </c>
      <c r="F196" s="76">
        <f ca="1">SUMIF('Production '!$C$4:$AI$4407,'Tracking Sheet'!B196,'Production '!$U$4:$U$4407)</f>
        <v>1</v>
      </c>
      <c r="G196" s="76">
        <f ca="1">SUMIF('Production '!$C$4:$AI$4407,'Tracking Sheet'!B196,'Production '!$W$4:$W$4407)</f>
        <v>15476</v>
      </c>
      <c r="H196" s="76">
        <f ca="1">SUMIF('Production '!$C$4:$AI$4407,'Tracking Sheet'!B196,'Production '!$F$4:$F$4407)</f>
        <v>15000</v>
      </c>
      <c r="I196" s="76">
        <f ca="1">SUMIF('Production '!$C$4:$AI$4407,'Tracking Sheet'!B196,'Production '!$V$4:$V$4407)</f>
        <v>0</v>
      </c>
      <c r="J196" s="76">
        <f ca="1">SUMIF('Production '!$C$4:$AI$4407,'Tracking Sheet'!B196,'Production '!$AG$4:$AG$4407)</f>
        <v>0</v>
      </c>
    </row>
    <row r="197" spans="2:10" x14ac:dyDescent="0.3">
      <c r="B197" s="277">
        <f>'Production '!C200</f>
        <v>0</v>
      </c>
      <c r="C197" s="76" t="e">
        <f ca="1">SUMIF('Production '!$C$4:$AI$4407,'Tracking Sheet'!B197,'Production '!$M$4:$M$4407)</f>
        <v>#DIV/0!</v>
      </c>
      <c r="D197" s="76" t="e">
        <f ca="1">SUMIF('Production '!$C$4:$AI$4407,'Tracking Sheet'!B197,'Production '!$Q$4:$Q$4407)</f>
        <v>#DIV/0!</v>
      </c>
      <c r="E197" s="76">
        <f ca="1">SUMIF('Production '!$C$4:$AI$4407,'Tracking Sheet'!B197,'Production '!$S$4:$S$4407)</f>
        <v>-1268218.9828305368</v>
      </c>
      <c r="F197" s="76">
        <f ca="1">SUMIF('Production '!$C$4:$AI$4407,'Tracking Sheet'!B197,'Production '!$U$4:$U$4407)</f>
        <v>-10620.435600016917</v>
      </c>
      <c r="G197" s="76" t="e">
        <f ca="1">SUMIF('Production '!$C$4:$AI$4407,'Tracking Sheet'!B197,'Production '!$W$4:$W$4407)</f>
        <v>#DIV/0!</v>
      </c>
      <c r="H197" s="76">
        <f ca="1">SUMIF('Production '!$C$4:$AI$4407,'Tracking Sheet'!B197,'Production '!$F$4:$F$4407)</f>
        <v>3230621.3283604058</v>
      </c>
      <c r="I197" s="76">
        <f ca="1">SUMIF('Production '!$C$4:$AI$4407,'Tracking Sheet'!B197,'Production '!$V$4:$V$4407)</f>
        <v>-489.86487791182844</v>
      </c>
      <c r="J197" s="76">
        <f ca="1">SUMIF('Production '!$C$4:$AI$4407,'Tracking Sheet'!B197,'Production '!$AG$4:$AG$4407)</f>
        <v>0</v>
      </c>
    </row>
    <row r="198" spans="2:10" x14ac:dyDescent="0.3">
      <c r="B198" s="277" t="str">
        <f>'Production '!C201</f>
        <v>44047 13th</v>
      </c>
      <c r="C198" s="76">
        <f ca="1">SUMIF('Production '!$C$4:$AI$4407,'Tracking Sheet'!B198,'Production '!$M$4:$M$4407)</f>
        <v>0</v>
      </c>
      <c r="D198" s="76">
        <f ca="1">SUMIF('Production '!$C$4:$AI$4407,'Tracking Sheet'!B198,'Production '!$Q$4:$Q$4407)</f>
        <v>0</v>
      </c>
      <c r="E198" s="76">
        <f ca="1">SUMIF('Production '!$C$4:$AI$4407,'Tracking Sheet'!B198,'Production '!$S$4:$S$4407)</f>
        <v>0</v>
      </c>
      <c r="F198" s="76">
        <f ca="1">SUMIF('Production '!$C$4:$AI$4407,'Tracking Sheet'!B198,'Production '!$U$4:$U$4407)</f>
        <v>0</v>
      </c>
      <c r="G198" s="76">
        <f ca="1">SUMIF('Production '!$C$4:$AI$4407,'Tracking Sheet'!B198,'Production '!$W$4:$W$4407)</f>
        <v>0</v>
      </c>
      <c r="H198" s="76">
        <f ca="1">SUMIF('Production '!$C$4:$AI$4407,'Tracking Sheet'!B198,'Production '!$F$4:$F$4407)</f>
        <v>4000</v>
      </c>
      <c r="I198" s="76">
        <f ca="1">SUMIF('Production '!$C$4:$AI$4407,'Tracking Sheet'!B198,'Production '!$V$4:$V$4407)</f>
        <v>0</v>
      </c>
      <c r="J198" s="76">
        <f ca="1">SUMIF('Production '!$C$4:$AI$4407,'Tracking Sheet'!B198,'Production '!$AG$4:$AG$4407)</f>
        <v>-4000</v>
      </c>
    </row>
    <row r="199" spans="2:10" x14ac:dyDescent="0.3">
      <c r="B199" s="277" t="str">
        <f>'Production '!C202</f>
        <v>44047 13th</v>
      </c>
      <c r="C199" s="76">
        <f ca="1">SUMIF('Production '!$C$4:$AI$4407,'Tracking Sheet'!B199,'Production '!$M$4:$M$4407)</f>
        <v>0</v>
      </c>
      <c r="D199" s="76">
        <f ca="1">SUMIF('Production '!$C$4:$AI$4407,'Tracking Sheet'!B199,'Production '!$Q$4:$Q$4407)</f>
        <v>0</v>
      </c>
      <c r="E199" s="76">
        <f ca="1">SUMIF('Production '!$C$4:$AI$4407,'Tracking Sheet'!B199,'Production '!$S$4:$S$4407)</f>
        <v>0</v>
      </c>
      <c r="F199" s="76">
        <f ca="1">SUMIF('Production '!$C$4:$AI$4407,'Tracking Sheet'!B199,'Production '!$U$4:$U$4407)</f>
        <v>0</v>
      </c>
      <c r="G199" s="76">
        <f ca="1">SUMIF('Production '!$C$4:$AI$4407,'Tracking Sheet'!B199,'Production '!$W$4:$W$4407)</f>
        <v>0</v>
      </c>
      <c r="H199" s="76">
        <f ca="1">SUMIF('Production '!$C$4:$AI$4407,'Tracking Sheet'!B199,'Production '!$F$4:$F$4407)</f>
        <v>4000</v>
      </c>
      <c r="I199" s="76">
        <f ca="1">SUMIF('Production '!$C$4:$AI$4407,'Tracking Sheet'!B199,'Production '!$V$4:$V$4407)</f>
        <v>0</v>
      </c>
      <c r="J199" s="76">
        <f ca="1">SUMIF('Production '!$C$4:$AI$4407,'Tracking Sheet'!B199,'Production '!$AG$4:$AG$4407)</f>
        <v>-4000</v>
      </c>
    </row>
    <row r="200" spans="2:10" x14ac:dyDescent="0.3">
      <c r="B200" s="277" t="str">
        <f>'Production '!C203</f>
        <v>44047 13th</v>
      </c>
      <c r="C200" s="76">
        <f ca="1">SUMIF('Production '!$C$4:$AI$4407,'Tracking Sheet'!B200,'Production '!$M$4:$M$4407)</f>
        <v>0</v>
      </c>
      <c r="D200" s="76">
        <f ca="1">SUMIF('Production '!$C$4:$AI$4407,'Tracking Sheet'!B200,'Production '!$Q$4:$Q$4407)</f>
        <v>0</v>
      </c>
      <c r="E200" s="76">
        <f ca="1">SUMIF('Production '!$C$4:$AI$4407,'Tracking Sheet'!B200,'Production '!$S$4:$S$4407)</f>
        <v>0</v>
      </c>
      <c r="F200" s="76">
        <f ca="1">SUMIF('Production '!$C$4:$AI$4407,'Tracking Sheet'!B200,'Production '!$U$4:$U$4407)</f>
        <v>0</v>
      </c>
      <c r="G200" s="76">
        <f ca="1">SUMIF('Production '!$C$4:$AI$4407,'Tracking Sheet'!B200,'Production '!$W$4:$W$4407)</f>
        <v>0</v>
      </c>
      <c r="H200" s="76">
        <f ca="1">SUMIF('Production '!$C$4:$AI$4407,'Tracking Sheet'!B200,'Production '!$F$4:$F$4407)</f>
        <v>4000</v>
      </c>
      <c r="I200" s="76">
        <f ca="1">SUMIF('Production '!$C$4:$AI$4407,'Tracking Sheet'!B200,'Production '!$V$4:$V$4407)</f>
        <v>0</v>
      </c>
      <c r="J200" s="76">
        <f ca="1">SUMIF('Production '!$C$4:$AI$4407,'Tracking Sheet'!B200,'Production '!$AG$4:$AG$4407)</f>
        <v>-4000</v>
      </c>
    </row>
    <row r="201" spans="2:10" x14ac:dyDescent="0.3">
      <c r="B201" s="277" t="str">
        <f>'Production '!C204</f>
        <v>44047 13th</v>
      </c>
      <c r="C201" s="76">
        <f ca="1">SUMIF('Production '!$C$4:$AI$4407,'Tracking Sheet'!B201,'Production '!$M$4:$M$4407)</f>
        <v>0</v>
      </c>
      <c r="D201" s="76">
        <f ca="1">SUMIF('Production '!$C$4:$AI$4407,'Tracking Sheet'!B201,'Production '!$Q$4:$Q$4407)</f>
        <v>0</v>
      </c>
      <c r="E201" s="76">
        <f ca="1">SUMIF('Production '!$C$4:$AI$4407,'Tracking Sheet'!B201,'Production '!$S$4:$S$4407)</f>
        <v>0</v>
      </c>
      <c r="F201" s="76">
        <f ca="1">SUMIF('Production '!$C$4:$AI$4407,'Tracking Sheet'!B201,'Production '!$U$4:$U$4407)</f>
        <v>0</v>
      </c>
      <c r="G201" s="76">
        <f ca="1">SUMIF('Production '!$C$4:$AI$4407,'Tracking Sheet'!B201,'Production '!$W$4:$W$4407)</f>
        <v>0</v>
      </c>
      <c r="H201" s="76">
        <f ca="1">SUMIF('Production '!$C$4:$AI$4407,'Tracking Sheet'!B201,'Production '!$F$4:$F$4407)</f>
        <v>4000</v>
      </c>
      <c r="I201" s="76">
        <f ca="1">SUMIF('Production '!$C$4:$AI$4407,'Tracking Sheet'!B201,'Production '!$V$4:$V$4407)</f>
        <v>0</v>
      </c>
      <c r="J201" s="76">
        <f ca="1">SUMIF('Production '!$C$4:$AI$4407,'Tracking Sheet'!B201,'Production '!$AG$4:$AG$4407)</f>
        <v>-4000</v>
      </c>
    </row>
    <row r="202" spans="2:10" x14ac:dyDescent="0.3">
      <c r="B202" s="277" t="str">
        <f>'Production '!C205</f>
        <v>44047 13th</v>
      </c>
      <c r="C202" s="76">
        <f ca="1">SUMIF('Production '!$C$4:$AI$4407,'Tracking Sheet'!B202,'Production '!$M$4:$M$4407)</f>
        <v>0</v>
      </c>
      <c r="D202" s="76">
        <f ca="1">SUMIF('Production '!$C$4:$AI$4407,'Tracking Sheet'!B202,'Production '!$Q$4:$Q$4407)</f>
        <v>0</v>
      </c>
      <c r="E202" s="76">
        <f ca="1">SUMIF('Production '!$C$4:$AI$4407,'Tracking Sheet'!B202,'Production '!$S$4:$S$4407)</f>
        <v>0</v>
      </c>
      <c r="F202" s="76">
        <f ca="1">SUMIF('Production '!$C$4:$AI$4407,'Tracking Sheet'!B202,'Production '!$U$4:$U$4407)</f>
        <v>0</v>
      </c>
      <c r="G202" s="76">
        <f ca="1">SUMIF('Production '!$C$4:$AI$4407,'Tracking Sheet'!B202,'Production '!$W$4:$W$4407)</f>
        <v>0</v>
      </c>
      <c r="H202" s="76">
        <f ca="1">SUMIF('Production '!$C$4:$AI$4407,'Tracking Sheet'!B202,'Production '!$F$4:$F$4407)</f>
        <v>4000</v>
      </c>
      <c r="I202" s="76">
        <f ca="1">SUMIF('Production '!$C$4:$AI$4407,'Tracking Sheet'!B202,'Production '!$V$4:$V$4407)</f>
        <v>0</v>
      </c>
      <c r="J202" s="76">
        <f ca="1">SUMIF('Production '!$C$4:$AI$4407,'Tracking Sheet'!B202,'Production '!$AG$4:$AG$4407)</f>
        <v>-4000</v>
      </c>
    </row>
    <row r="203" spans="2:10" x14ac:dyDescent="0.3">
      <c r="B203" s="277">
        <f>'Production '!C206</f>
        <v>0</v>
      </c>
      <c r="C203" s="76" t="e">
        <f ca="1">SUMIF('Production '!$C$4:$AI$4407,'Tracking Sheet'!B203,'Production '!$M$4:$M$4407)</f>
        <v>#DIV/0!</v>
      </c>
      <c r="D203" s="76" t="e">
        <f ca="1">SUMIF('Production '!$C$4:$AI$4407,'Tracking Sheet'!B203,'Production '!$Q$4:$Q$4407)</f>
        <v>#DIV/0!</v>
      </c>
      <c r="E203" s="76">
        <f ca="1">SUMIF('Production '!$C$4:$AI$4407,'Tracking Sheet'!B203,'Production '!$S$4:$S$4407)</f>
        <v>-1268218.9828305368</v>
      </c>
      <c r="F203" s="76">
        <f ca="1">SUMIF('Production '!$C$4:$AI$4407,'Tracking Sheet'!B203,'Production '!$U$4:$U$4407)</f>
        <v>-10620.435600016917</v>
      </c>
      <c r="G203" s="76" t="e">
        <f ca="1">SUMIF('Production '!$C$4:$AI$4407,'Tracking Sheet'!B203,'Production '!$W$4:$W$4407)</f>
        <v>#DIV/0!</v>
      </c>
      <c r="H203" s="76">
        <f ca="1">SUMIF('Production '!$C$4:$AI$4407,'Tracking Sheet'!B203,'Production '!$F$4:$F$4407)</f>
        <v>3230621.3283604058</v>
      </c>
      <c r="I203" s="76">
        <f ca="1">SUMIF('Production '!$C$4:$AI$4407,'Tracking Sheet'!B203,'Production '!$V$4:$V$4407)</f>
        <v>-489.86487791182844</v>
      </c>
      <c r="J203" s="76">
        <f ca="1">SUMIF('Production '!$C$4:$AI$4407,'Tracking Sheet'!B203,'Production '!$AG$4:$AG$4407)</f>
        <v>0</v>
      </c>
    </row>
    <row r="204" spans="2:10" x14ac:dyDescent="0.3">
      <c r="B204" s="277" t="str">
        <f>'Production '!C207</f>
        <v>45294 2nd</v>
      </c>
      <c r="C204" s="76">
        <f ca="1">SUMIF('Production '!$C$4:$AI$4407,'Tracking Sheet'!B204,'Production '!$M$4:$M$4407)</f>
        <v>2482</v>
      </c>
      <c r="D204" s="76">
        <f ca="1">SUMIF('Production '!$C$4:$AI$4407,'Tracking Sheet'!B204,'Production '!$Q$4:$Q$4407)</f>
        <v>0</v>
      </c>
      <c r="E204" s="76">
        <f ca="1">SUMIF('Production '!$C$4:$AI$4407,'Tracking Sheet'!B204,'Production '!$S$4:$S$4407)</f>
        <v>0</v>
      </c>
      <c r="F204" s="76">
        <f ca="1">SUMIF('Production '!$C$4:$AI$4407,'Tracking Sheet'!B204,'Production '!$U$4:$U$4407)</f>
        <v>21</v>
      </c>
      <c r="G204" s="76">
        <f ca="1">SUMIF('Production '!$C$4:$AI$4407,'Tracking Sheet'!B204,'Production '!$W$4:$W$4407)</f>
        <v>2461</v>
      </c>
      <c r="H204" s="76">
        <f ca="1">SUMIF('Production '!$C$4:$AI$4407,'Tracking Sheet'!B204,'Production '!$F$4:$F$4407)</f>
        <v>2400</v>
      </c>
      <c r="I204" s="76">
        <f ca="1">SUMIF('Production '!$C$4:$AI$4407,'Tracking Sheet'!B204,'Production '!$V$4:$V$4407)</f>
        <v>0</v>
      </c>
      <c r="J204" s="76">
        <f ca="1">SUMIF('Production '!$C$4:$AI$4407,'Tracking Sheet'!B204,'Production '!$AG$4:$AG$4407)</f>
        <v>0</v>
      </c>
    </row>
    <row r="205" spans="2:10" x14ac:dyDescent="0.3">
      <c r="B205" s="277" t="str">
        <f>'Production '!C208</f>
        <v>45294 2nd</v>
      </c>
      <c r="C205" s="76">
        <f ca="1">SUMIF('Production '!$C$4:$AI$4407,'Tracking Sheet'!B205,'Production '!$M$4:$M$4407)</f>
        <v>2482</v>
      </c>
      <c r="D205" s="76">
        <f ca="1">SUMIF('Production '!$C$4:$AI$4407,'Tracking Sheet'!B205,'Production '!$Q$4:$Q$4407)</f>
        <v>0</v>
      </c>
      <c r="E205" s="76">
        <f ca="1">SUMIF('Production '!$C$4:$AI$4407,'Tracking Sheet'!B205,'Production '!$S$4:$S$4407)</f>
        <v>0</v>
      </c>
      <c r="F205" s="76">
        <f ca="1">SUMIF('Production '!$C$4:$AI$4407,'Tracking Sheet'!B205,'Production '!$U$4:$U$4407)</f>
        <v>21</v>
      </c>
      <c r="G205" s="76">
        <f ca="1">SUMIF('Production '!$C$4:$AI$4407,'Tracking Sheet'!B205,'Production '!$W$4:$W$4407)</f>
        <v>2461</v>
      </c>
      <c r="H205" s="76">
        <f ca="1">SUMIF('Production '!$C$4:$AI$4407,'Tracking Sheet'!B205,'Production '!$F$4:$F$4407)</f>
        <v>2400</v>
      </c>
      <c r="I205" s="76">
        <f ca="1">SUMIF('Production '!$C$4:$AI$4407,'Tracking Sheet'!B205,'Production '!$V$4:$V$4407)</f>
        <v>0</v>
      </c>
      <c r="J205" s="76">
        <f ca="1">SUMIF('Production '!$C$4:$AI$4407,'Tracking Sheet'!B205,'Production '!$AG$4:$AG$4407)</f>
        <v>0</v>
      </c>
    </row>
    <row r="206" spans="2:10" x14ac:dyDescent="0.3">
      <c r="B206" s="277">
        <f>'Production '!C209</f>
        <v>0</v>
      </c>
      <c r="C206" s="76" t="e">
        <f ca="1">SUMIF('Production '!$C$4:$AI$4407,'Tracking Sheet'!B206,'Production '!$M$4:$M$4407)</f>
        <v>#DIV/0!</v>
      </c>
      <c r="D206" s="76" t="e">
        <f ca="1">SUMIF('Production '!$C$4:$AI$4407,'Tracking Sheet'!B206,'Production '!$Q$4:$Q$4407)</f>
        <v>#DIV/0!</v>
      </c>
      <c r="E206" s="76">
        <f ca="1">SUMIF('Production '!$C$4:$AI$4407,'Tracking Sheet'!B206,'Production '!$S$4:$S$4407)</f>
        <v>-1268218.9828305368</v>
      </c>
      <c r="F206" s="76">
        <f ca="1">SUMIF('Production '!$C$4:$AI$4407,'Tracking Sheet'!B206,'Production '!$U$4:$U$4407)</f>
        <v>-10620.435600016917</v>
      </c>
      <c r="G206" s="76" t="e">
        <f ca="1">SUMIF('Production '!$C$4:$AI$4407,'Tracking Sheet'!B206,'Production '!$W$4:$W$4407)</f>
        <v>#DIV/0!</v>
      </c>
      <c r="H206" s="76">
        <f ca="1">SUMIF('Production '!$C$4:$AI$4407,'Tracking Sheet'!B206,'Production '!$F$4:$F$4407)</f>
        <v>3230621.3283604058</v>
      </c>
      <c r="I206" s="76">
        <f ca="1">SUMIF('Production '!$C$4:$AI$4407,'Tracking Sheet'!B206,'Production '!$V$4:$V$4407)</f>
        <v>-489.86487791182844</v>
      </c>
      <c r="J206" s="76">
        <f ca="1">SUMIF('Production '!$C$4:$AI$4407,'Tracking Sheet'!B206,'Production '!$AG$4:$AG$4407)</f>
        <v>0</v>
      </c>
    </row>
    <row r="207" spans="2:10" x14ac:dyDescent="0.3">
      <c r="B207" s="277">
        <f>'Production '!C210</f>
        <v>47932</v>
      </c>
      <c r="C207" s="76">
        <f ca="1">SUMIF('Production '!$C$4:$AI$4407,'Tracking Sheet'!B207,'Production '!$M$4:$M$4407)</f>
        <v>3070</v>
      </c>
      <c r="D207" s="76">
        <f ca="1">SUMIF('Production '!$C$4:$AI$4407,'Tracking Sheet'!B207,'Production '!$Q$4:$Q$4407)</f>
        <v>0</v>
      </c>
      <c r="E207" s="76">
        <f ca="1">SUMIF('Production '!$C$4:$AI$4407,'Tracking Sheet'!B207,'Production '!$S$4:$S$4407)</f>
        <v>0</v>
      </c>
      <c r="F207" s="76">
        <f ca="1">SUMIF('Production '!$C$4:$AI$4407,'Tracking Sheet'!B207,'Production '!$U$4:$U$4407)</f>
        <v>4</v>
      </c>
      <c r="G207" s="76">
        <f ca="1">SUMIF('Production '!$C$4:$AI$4407,'Tracking Sheet'!B207,'Production '!$W$4:$W$4407)</f>
        <v>3066</v>
      </c>
      <c r="H207" s="76">
        <f ca="1">SUMIF('Production '!$C$4:$AI$4407,'Tracking Sheet'!B207,'Production '!$F$4:$F$4407)</f>
        <v>3000</v>
      </c>
      <c r="I207" s="76">
        <f ca="1">SUMIF('Production '!$C$4:$AI$4407,'Tracking Sheet'!B207,'Production '!$V$4:$V$4407)</f>
        <v>0</v>
      </c>
      <c r="J207" s="76">
        <f ca="1">SUMIF('Production '!$C$4:$AI$4407,'Tracking Sheet'!B207,'Production '!$AG$4:$AG$4407)</f>
        <v>0</v>
      </c>
    </row>
    <row r="208" spans="2:10" x14ac:dyDescent="0.3">
      <c r="B208" s="277">
        <f>'Production '!C211</f>
        <v>47932</v>
      </c>
      <c r="C208" s="76">
        <f ca="1">SUMIF('Production '!$C$4:$AI$4407,'Tracking Sheet'!B208,'Production '!$M$4:$M$4407)</f>
        <v>3070</v>
      </c>
      <c r="D208" s="76">
        <f ca="1">SUMIF('Production '!$C$4:$AI$4407,'Tracking Sheet'!B208,'Production '!$Q$4:$Q$4407)</f>
        <v>0</v>
      </c>
      <c r="E208" s="76">
        <f ca="1">SUMIF('Production '!$C$4:$AI$4407,'Tracking Sheet'!B208,'Production '!$S$4:$S$4407)</f>
        <v>0</v>
      </c>
      <c r="F208" s="76">
        <f ca="1">SUMIF('Production '!$C$4:$AI$4407,'Tracking Sheet'!B208,'Production '!$U$4:$U$4407)</f>
        <v>4</v>
      </c>
      <c r="G208" s="76">
        <f ca="1">SUMIF('Production '!$C$4:$AI$4407,'Tracking Sheet'!B208,'Production '!$W$4:$W$4407)</f>
        <v>3066</v>
      </c>
      <c r="H208" s="76">
        <f ca="1">SUMIF('Production '!$C$4:$AI$4407,'Tracking Sheet'!B208,'Production '!$F$4:$F$4407)</f>
        <v>3000</v>
      </c>
      <c r="I208" s="76">
        <f ca="1">SUMIF('Production '!$C$4:$AI$4407,'Tracking Sheet'!B208,'Production '!$V$4:$V$4407)</f>
        <v>0</v>
      </c>
      <c r="J208" s="76">
        <f ca="1">SUMIF('Production '!$C$4:$AI$4407,'Tracking Sheet'!B208,'Production '!$AG$4:$AG$4407)</f>
        <v>0</v>
      </c>
    </row>
    <row r="209" spans="2:10" x14ac:dyDescent="0.3">
      <c r="B209" s="277">
        <f>'Production '!C212</f>
        <v>47932</v>
      </c>
      <c r="C209" s="76">
        <f ca="1">SUMIF('Production '!$C$4:$AI$4407,'Tracking Sheet'!B209,'Production '!$M$4:$M$4407)</f>
        <v>3070</v>
      </c>
      <c r="D209" s="76">
        <f ca="1">SUMIF('Production '!$C$4:$AI$4407,'Tracking Sheet'!B209,'Production '!$Q$4:$Q$4407)</f>
        <v>0</v>
      </c>
      <c r="E209" s="76">
        <f ca="1">SUMIF('Production '!$C$4:$AI$4407,'Tracking Sheet'!B209,'Production '!$S$4:$S$4407)</f>
        <v>0</v>
      </c>
      <c r="F209" s="76">
        <f ca="1">SUMIF('Production '!$C$4:$AI$4407,'Tracking Sheet'!B209,'Production '!$U$4:$U$4407)</f>
        <v>4</v>
      </c>
      <c r="G209" s="76">
        <f ca="1">SUMIF('Production '!$C$4:$AI$4407,'Tracking Sheet'!B209,'Production '!$W$4:$W$4407)</f>
        <v>3066</v>
      </c>
      <c r="H209" s="76">
        <f ca="1">SUMIF('Production '!$C$4:$AI$4407,'Tracking Sheet'!B209,'Production '!$F$4:$F$4407)</f>
        <v>3000</v>
      </c>
      <c r="I209" s="76">
        <f ca="1">SUMIF('Production '!$C$4:$AI$4407,'Tracking Sheet'!B209,'Production '!$V$4:$V$4407)</f>
        <v>0</v>
      </c>
      <c r="J209" s="76">
        <f ca="1">SUMIF('Production '!$C$4:$AI$4407,'Tracking Sheet'!B209,'Production '!$AG$4:$AG$4407)</f>
        <v>0</v>
      </c>
    </row>
    <row r="210" spans="2:10" x14ac:dyDescent="0.3">
      <c r="B210" s="277">
        <f>'Production '!C213</f>
        <v>0</v>
      </c>
      <c r="C210" s="76" t="e">
        <f ca="1">SUMIF('Production '!$C$4:$AI$4407,'Tracking Sheet'!B210,'Production '!$M$4:$M$4407)</f>
        <v>#DIV/0!</v>
      </c>
      <c r="D210" s="76" t="e">
        <f ca="1">SUMIF('Production '!$C$4:$AI$4407,'Tracking Sheet'!B210,'Production '!$Q$4:$Q$4407)</f>
        <v>#DIV/0!</v>
      </c>
      <c r="E210" s="76">
        <f ca="1">SUMIF('Production '!$C$4:$AI$4407,'Tracking Sheet'!B210,'Production '!$S$4:$S$4407)</f>
        <v>-1268218.9828305368</v>
      </c>
      <c r="F210" s="76">
        <f ca="1">SUMIF('Production '!$C$4:$AI$4407,'Tracking Sheet'!B210,'Production '!$U$4:$U$4407)</f>
        <v>-10620.435600016917</v>
      </c>
      <c r="G210" s="76" t="e">
        <f ca="1">SUMIF('Production '!$C$4:$AI$4407,'Tracking Sheet'!B210,'Production '!$W$4:$W$4407)</f>
        <v>#DIV/0!</v>
      </c>
      <c r="H210" s="76">
        <f ca="1">SUMIF('Production '!$C$4:$AI$4407,'Tracking Sheet'!B210,'Production '!$F$4:$F$4407)</f>
        <v>3230621.3283604058</v>
      </c>
      <c r="I210" s="76">
        <f ca="1">SUMIF('Production '!$C$4:$AI$4407,'Tracking Sheet'!B210,'Production '!$V$4:$V$4407)</f>
        <v>-489.86487791182844</v>
      </c>
      <c r="J210" s="76">
        <f ca="1">SUMIF('Production '!$C$4:$AI$4407,'Tracking Sheet'!B210,'Production '!$AG$4:$AG$4407)</f>
        <v>0</v>
      </c>
    </row>
    <row r="211" spans="2:10" x14ac:dyDescent="0.3">
      <c r="B211" s="277" t="str">
        <f>'Production '!C214</f>
        <v>45150 5th</v>
      </c>
      <c r="C211" s="76">
        <f ca="1">SUMIF('Production '!$C$4:$AI$4407,'Tracking Sheet'!B211,'Production '!$M$4:$M$4407)</f>
        <v>0</v>
      </c>
      <c r="D211" s="76">
        <f ca="1">SUMIF('Production '!$C$4:$AI$4407,'Tracking Sheet'!B211,'Production '!$Q$4:$Q$4407)</f>
        <v>0</v>
      </c>
      <c r="E211" s="76">
        <f ca="1">SUMIF('Production '!$C$4:$AI$4407,'Tracking Sheet'!B211,'Production '!$S$4:$S$4407)</f>
        <v>0</v>
      </c>
      <c r="F211" s="76">
        <f ca="1">SUMIF('Production '!$C$4:$AI$4407,'Tracking Sheet'!B211,'Production '!$U$4:$U$4407)</f>
        <v>0</v>
      </c>
      <c r="G211" s="76">
        <f ca="1">SUMIF('Production '!$C$4:$AI$4407,'Tracking Sheet'!B211,'Production '!$W$4:$W$4407)</f>
        <v>0</v>
      </c>
      <c r="H211" s="76">
        <f ca="1">SUMIF('Production '!$C$4:$AI$4407,'Tracking Sheet'!B211,'Production '!$F$4:$F$4407)</f>
        <v>1400</v>
      </c>
      <c r="I211" s="76">
        <f ca="1">SUMIF('Production '!$C$4:$AI$4407,'Tracking Sheet'!B211,'Production '!$V$4:$V$4407)</f>
        <v>0</v>
      </c>
      <c r="J211" s="76">
        <f ca="1">SUMIF('Production '!$C$4:$AI$4407,'Tracking Sheet'!B211,'Production '!$AG$4:$AG$4407)</f>
        <v>-1400</v>
      </c>
    </row>
    <row r="212" spans="2:10" x14ac:dyDescent="0.3">
      <c r="B212" s="277">
        <f>'Production '!C215</f>
        <v>0</v>
      </c>
      <c r="C212" s="76" t="e">
        <f ca="1">SUMIF('Production '!$C$4:$AI$4407,'Tracking Sheet'!B212,'Production '!$M$4:$M$4407)</f>
        <v>#DIV/0!</v>
      </c>
      <c r="D212" s="76" t="e">
        <f ca="1">SUMIF('Production '!$C$4:$AI$4407,'Tracking Sheet'!B212,'Production '!$Q$4:$Q$4407)</f>
        <v>#DIV/0!</v>
      </c>
      <c r="E212" s="76">
        <f ca="1">SUMIF('Production '!$C$4:$AI$4407,'Tracking Sheet'!B212,'Production '!$S$4:$S$4407)</f>
        <v>-1268218.9828305368</v>
      </c>
      <c r="F212" s="76">
        <f ca="1">SUMIF('Production '!$C$4:$AI$4407,'Tracking Sheet'!B212,'Production '!$U$4:$U$4407)</f>
        <v>-10620.435600016917</v>
      </c>
      <c r="G212" s="76" t="e">
        <f ca="1">SUMIF('Production '!$C$4:$AI$4407,'Tracking Sheet'!B212,'Production '!$W$4:$W$4407)</f>
        <v>#DIV/0!</v>
      </c>
      <c r="H212" s="76">
        <f ca="1">SUMIF('Production '!$C$4:$AI$4407,'Tracking Sheet'!B212,'Production '!$F$4:$F$4407)</f>
        <v>3230621.3283604058</v>
      </c>
      <c r="I212" s="76">
        <f ca="1">SUMIF('Production '!$C$4:$AI$4407,'Tracking Sheet'!B212,'Production '!$V$4:$V$4407)</f>
        <v>-489.86487791182844</v>
      </c>
      <c r="J212" s="76">
        <f ca="1">SUMIF('Production '!$C$4:$AI$4407,'Tracking Sheet'!B212,'Production '!$AG$4:$AG$4407)</f>
        <v>0</v>
      </c>
    </row>
    <row r="213" spans="2:10" x14ac:dyDescent="0.3">
      <c r="B213" s="277" t="str">
        <f>'Production '!C216</f>
        <v>27711 15th</v>
      </c>
      <c r="C213" s="76">
        <f ca="1">SUMIF('Production '!$C$4:$AI$4407,'Tracking Sheet'!B213,'Production '!$M$4:$M$4407)</f>
        <v>0</v>
      </c>
      <c r="D213" s="76">
        <f ca="1">SUMIF('Production '!$C$4:$AI$4407,'Tracking Sheet'!B213,'Production '!$Q$4:$Q$4407)</f>
        <v>0</v>
      </c>
      <c r="E213" s="76">
        <f ca="1">SUMIF('Production '!$C$4:$AI$4407,'Tracking Sheet'!B213,'Production '!$S$4:$S$4407)</f>
        <v>0</v>
      </c>
      <c r="F213" s="76">
        <f ca="1">SUMIF('Production '!$C$4:$AI$4407,'Tracking Sheet'!B213,'Production '!$U$4:$U$4407)</f>
        <v>0</v>
      </c>
      <c r="G213" s="76">
        <f ca="1">SUMIF('Production '!$C$4:$AI$4407,'Tracking Sheet'!B213,'Production '!$W$4:$W$4407)</f>
        <v>0</v>
      </c>
      <c r="H213" s="76">
        <f ca="1">SUMIF('Production '!$C$4:$AI$4407,'Tracking Sheet'!B213,'Production '!$F$4:$F$4407)</f>
        <v>2000</v>
      </c>
      <c r="I213" s="76">
        <f ca="1">SUMIF('Production '!$C$4:$AI$4407,'Tracking Sheet'!B213,'Production '!$V$4:$V$4407)</f>
        <v>0</v>
      </c>
      <c r="J213" s="76">
        <f ca="1">SUMIF('Production '!$C$4:$AI$4407,'Tracking Sheet'!B213,'Production '!$AG$4:$AG$4407)</f>
        <v>-2000</v>
      </c>
    </row>
    <row r="214" spans="2:10" x14ac:dyDescent="0.3">
      <c r="B214" s="277">
        <f>'Production '!C217</f>
        <v>0</v>
      </c>
      <c r="C214" s="76" t="e">
        <f ca="1">SUMIF('Production '!$C$4:$AI$4407,'Tracking Sheet'!B214,'Production '!$M$4:$M$4407)</f>
        <v>#DIV/0!</v>
      </c>
      <c r="D214" s="76" t="e">
        <f ca="1">SUMIF('Production '!$C$4:$AI$4407,'Tracking Sheet'!B214,'Production '!$Q$4:$Q$4407)</f>
        <v>#DIV/0!</v>
      </c>
      <c r="E214" s="76">
        <f ca="1">SUMIF('Production '!$C$4:$AI$4407,'Tracking Sheet'!B214,'Production '!$S$4:$S$4407)</f>
        <v>-1268218.9828305368</v>
      </c>
      <c r="F214" s="76">
        <f ca="1">SUMIF('Production '!$C$4:$AI$4407,'Tracking Sheet'!B214,'Production '!$U$4:$U$4407)</f>
        <v>-10620.435600016917</v>
      </c>
      <c r="G214" s="76" t="e">
        <f ca="1">SUMIF('Production '!$C$4:$AI$4407,'Tracking Sheet'!B214,'Production '!$W$4:$W$4407)</f>
        <v>#DIV/0!</v>
      </c>
      <c r="H214" s="76">
        <f ca="1">SUMIF('Production '!$C$4:$AI$4407,'Tracking Sheet'!B214,'Production '!$F$4:$F$4407)</f>
        <v>3230621.3283604058</v>
      </c>
      <c r="I214" s="76">
        <f ca="1">SUMIF('Production '!$C$4:$AI$4407,'Tracking Sheet'!B214,'Production '!$V$4:$V$4407)</f>
        <v>-489.86487791182844</v>
      </c>
      <c r="J214" s="76">
        <f ca="1">SUMIF('Production '!$C$4:$AI$4407,'Tracking Sheet'!B214,'Production '!$AG$4:$AG$4407)</f>
        <v>0</v>
      </c>
    </row>
    <row r="215" spans="2:10" x14ac:dyDescent="0.3">
      <c r="B215" s="277">
        <f>'Production '!C218</f>
        <v>47933</v>
      </c>
      <c r="C215" s="76">
        <f ca="1">SUMIF('Production '!$C$4:$AI$4407,'Tracking Sheet'!B215,'Production '!$M$4:$M$4407)</f>
        <v>1851</v>
      </c>
      <c r="D215" s="76">
        <f ca="1">SUMIF('Production '!$C$4:$AI$4407,'Tracking Sheet'!B215,'Production '!$Q$4:$Q$4407)</f>
        <v>0</v>
      </c>
      <c r="E215" s="76">
        <f ca="1">SUMIF('Production '!$C$4:$AI$4407,'Tracking Sheet'!B215,'Production '!$S$4:$S$4407)</f>
        <v>0</v>
      </c>
      <c r="F215" s="76">
        <f ca="1">SUMIF('Production '!$C$4:$AI$4407,'Tracking Sheet'!B215,'Production '!$U$4:$U$4407)</f>
        <v>1</v>
      </c>
      <c r="G215" s="76">
        <f ca="1">SUMIF('Production '!$C$4:$AI$4407,'Tracking Sheet'!B215,'Production '!$W$4:$W$4407)</f>
        <v>1850</v>
      </c>
      <c r="H215" s="76">
        <f ca="1">SUMIF('Production '!$C$4:$AI$4407,'Tracking Sheet'!B215,'Production '!$F$4:$F$4407)</f>
        <v>1800</v>
      </c>
      <c r="I215" s="76">
        <f ca="1">SUMIF('Production '!$C$4:$AI$4407,'Tracking Sheet'!B215,'Production '!$V$4:$V$4407)</f>
        <v>0</v>
      </c>
      <c r="J215" s="76">
        <f ca="1">SUMIF('Production '!$C$4:$AI$4407,'Tracking Sheet'!B215,'Production '!$AG$4:$AG$4407)</f>
        <v>0</v>
      </c>
    </row>
    <row r="216" spans="2:10" x14ac:dyDescent="0.3">
      <c r="B216" s="277">
        <f>'Production '!C219</f>
        <v>47933</v>
      </c>
      <c r="C216" s="76">
        <f ca="1">SUMIF('Production '!$C$4:$AI$4407,'Tracking Sheet'!B216,'Production '!$M$4:$M$4407)</f>
        <v>1851</v>
      </c>
      <c r="D216" s="76">
        <f ca="1">SUMIF('Production '!$C$4:$AI$4407,'Tracking Sheet'!B216,'Production '!$Q$4:$Q$4407)</f>
        <v>0</v>
      </c>
      <c r="E216" s="76">
        <f ca="1">SUMIF('Production '!$C$4:$AI$4407,'Tracking Sheet'!B216,'Production '!$S$4:$S$4407)</f>
        <v>0</v>
      </c>
      <c r="F216" s="76">
        <f ca="1">SUMIF('Production '!$C$4:$AI$4407,'Tracking Sheet'!B216,'Production '!$U$4:$U$4407)</f>
        <v>1</v>
      </c>
      <c r="G216" s="76">
        <f ca="1">SUMIF('Production '!$C$4:$AI$4407,'Tracking Sheet'!B216,'Production '!$W$4:$W$4407)</f>
        <v>1850</v>
      </c>
      <c r="H216" s="76">
        <f ca="1">SUMIF('Production '!$C$4:$AI$4407,'Tracking Sheet'!B216,'Production '!$F$4:$F$4407)</f>
        <v>1800</v>
      </c>
      <c r="I216" s="76">
        <f ca="1">SUMIF('Production '!$C$4:$AI$4407,'Tracking Sheet'!B216,'Production '!$V$4:$V$4407)</f>
        <v>0</v>
      </c>
      <c r="J216" s="76">
        <f ca="1">SUMIF('Production '!$C$4:$AI$4407,'Tracking Sheet'!B216,'Production '!$AG$4:$AG$4407)</f>
        <v>0</v>
      </c>
    </row>
    <row r="217" spans="2:10" x14ac:dyDescent="0.3">
      <c r="B217" s="277">
        <f>'Production '!C220</f>
        <v>0</v>
      </c>
      <c r="C217" s="76" t="e">
        <f ca="1">SUMIF('Production '!$C$4:$AI$4407,'Tracking Sheet'!B217,'Production '!$M$4:$M$4407)</f>
        <v>#DIV/0!</v>
      </c>
      <c r="D217" s="76" t="e">
        <f ca="1">SUMIF('Production '!$C$4:$AI$4407,'Tracking Sheet'!B217,'Production '!$Q$4:$Q$4407)</f>
        <v>#DIV/0!</v>
      </c>
      <c r="E217" s="76">
        <f ca="1">SUMIF('Production '!$C$4:$AI$4407,'Tracking Sheet'!B217,'Production '!$S$4:$S$4407)</f>
        <v>-1268218.9828305368</v>
      </c>
      <c r="F217" s="76">
        <f ca="1">SUMIF('Production '!$C$4:$AI$4407,'Tracking Sheet'!B217,'Production '!$U$4:$U$4407)</f>
        <v>-10620.435600016917</v>
      </c>
      <c r="G217" s="76" t="e">
        <f ca="1">SUMIF('Production '!$C$4:$AI$4407,'Tracking Sheet'!B217,'Production '!$W$4:$W$4407)</f>
        <v>#DIV/0!</v>
      </c>
      <c r="H217" s="76">
        <f ca="1">SUMIF('Production '!$C$4:$AI$4407,'Tracking Sheet'!B217,'Production '!$F$4:$F$4407)</f>
        <v>3230621.3283604058</v>
      </c>
      <c r="I217" s="76">
        <f ca="1">SUMIF('Production '!$C$4:$AI$4407,'Tracking Sheet'!B217,'Production '!$V$4:$V$4407)</f>
        <v>-489.86487791182844</v>
      </c>
      <c r="J217" s="76">
        <f ca="1">SUMIF('Production '!$C$4:$AI$4407,'Tracking Sheet'!B217,'Production '!$AG$4:$AG$4407)</f>
        <v>0</v>
      </c>
    </row>
    <row r="218" spans="2:10" x14ac:dyDescent="0.3">
      <c r="B218" s="277" t="str">
        <f>'Production '!C221</f>
        <v>41947 27th</v>
      </c>
      <c r="C218" s="76">
        <f ca="1">SUMIF('Production '!$C$4:$AI$4407,'Tracking Sheet'!B218,'Production '!$M$4:$M$4407)</f>
        <v>0</v>
      </c>
      <c r="D218" s="76">
        <f ca="1">SUMIF('Production '!$C$4:$AI$4407,'Tracking Sheet'!B218,'Production '!$Q$4:$Q$4407)</f>
        <v>0</v>
      </c>
      <c r="E218" s="76">
        <f ca="1">SUMIF('Production '!$C$4:$AI$4407,'Tracking Sheet'!B218,'Production '!$S$4:$S$4407)</f>
        <v>0</v>
      </c>
      <c r="F218" s="76">
        <f ca="1">SUMIF('Production '!$C$4:$AI$4407,'Tracking Sheet'!B218,'Production '!$U$4:$U$4407)</f>
        <v>0</v>
      </c>
      <c r="G218" s="76">
        <f ca="1">SUMIF('Production '!$C$4:$AI$4407,'Tracking Sheet'!B218,'Production '!$W$4:$W$4407)</f>
        <v>0</v>
      </c>
      <c r="H218" s="76">
        <f ca="1">SUMIF('Production '!$C$4:$AI$4407,'Tracking Sheet'!B218,'Production '!$F$4:$F$4407)</f>
        <v>22900</v>
      </c>
      <c r="I218" s="76">
        <f ca="1">SUMIF('Production '!$C$4:$AI$4407,'Tracking Sheet'!B218,'Production '!$V$4:$V$4407)</f>
        <v>0</v>
      </c>
      <c r="J218" s="76">
        <f ca="1">SUMIF('Production '!$C$4:$AI$4407,'Tracking Sheet'!B218,'Production '!$AG$4:$AG$4407)</f>
        <v>-22900</v>
      </c>
    </row>
    <row r="219" spans="2:10" x14ac:dyDescent="0.3">
      <c r="B219" s="277" t="str">
        <f>'Production '!C222</f>
        <v>41947 27th</v>
      </c>
      <c r="C219" s="76">
        <f ca="1">SUMIF('Production '!$C$4:$AI$4407,'Tracking Sheet'!B219,'Production '!$M$4:$M$4407)</f>
        <v>0</v>
      </c>
      <c r="D219" s="76">
        <f ca="1">SUMIF('Production '!$C$4:$AI$4407,'Tracking Sheet'!B219,'Production '!$Q$4:$Q$4407)</f>
        <v>0</v>
      </c>
      <c r="E219" s="76">
        <f ca="1">SUMIF('Production '!$C$4:$AI$4407,'Tracking Sheet'!B219,'Production '!$S$4:$S$4407)</f>
        <v>0</v>
      </c>
      <c r="F219" s="76">
        <f ca="1">SUMIF('Production '!$C$4:$AI$4407,'Tracking Sheet'!B219,'Production '!$U$4:$U$4407)</f>
        <v>0</v>
      </c>
      <c r="G219" s="76">
        <f ca="1">SUMIF('Production '!$C$4:$AI$4407,'Tracking Sheet'!B219,'Production '!$W$4:$W$4407)</f>
        <v>0</v>
      </c>
      <c r="H219" s="76">
        <f ca="1">SUMIF('Production '!$C$4:$AI$4407,'Tracking Sheet'!B219,'Production '!$F$4:$F$4407)</f>
        <v>22900</v>
      </c>
      <c r="I219" s="76">
        <f ca="1">SUMIF('Production '!$C$4:$AI$4407,'Tracking Sheet'!B219,'Production '!$V$4:$V$4407)</f>
        <v>0</v>
      </c>
      <c r="J219" s="76">
        <f ca="1">SUMIF('Production '!$C$4:$AI$4407,'Tracking Sheet'!B219,'Production '!$AG$4:$AG$4407)</f>
        <v>-22900</v>
      </c>
    </row>
    <row r="220" spans="2:10" x14ac:dyDescent="0.3">
      <c r="B220" s="277" t="str">
        <f>'Production '!C223</f>
        <v>41947 27th</v>
      </c>
      <c r="C220" s="76">
        <f ca="1">SUMIF('Production '!$C$4:$AI$4407,'Tracking Sheet'!B220,'Production '!$M$4:$M$4407)</f>
        <v>0</v>
      </c>
      <c r="D220" s="76">
        <f ca="1">SUMIF('Production '!$C$4:$AI$4407,'Tracking Sheet'!B220,'Production '!$Q$4:$Q$4407)</f>
        <v>0</v>
      </c>
      <c r="E220" s="76">
        <f ca="1">SUMIF('Production '!$C$4:$AI$4407,'Tracking Sheet'!B220,'Production '!$S$4:$S$4407)</f>
        <v>0</v>
      </c>
      <c r="F220" s="76">
        <f ca="1">SUMIF('Production '!$C$4:$AI$4407,'Tracking Sheet'!B220,'Production '!$U$4:$U$4407)</f>
        <v>0</v>
      </c>
      <c r="G220" s="76">
        <f ca="1">SUMIF('Production '!$C$4:$AI$4407,'Tracking Sheet'!B220,'Production '!$W$4:$W$4407)</f>
        <v>0</v>
      </c>
      <c r="H220" s="76">
        <f ca="1">SUMIF('Production '!$C$4:$AI$4407,'Tracking Sheet'!B220,'Production '!$F$4:$F$4407)</f>
        <v>22900</v>
      </c>
      <c r="I220" s="76">
        <f ca="1">SUMIF('Production '!$C$4:$AI$4407,'Tracking Sheet'!B220,'Production '!$V$4:$V$4407)</f>
        <v>0</v>
      </c>
      <c r="J220" s="76">
        <f ca="1">SUMIF('Production '!$C$4:$AI$4407,'Tracking Sheet'!B220,'Production '!$AG$4:$AG$4407)</f>
        <v>-22900</v>
      </c>
    </row>
    <row r="221" spans="2:10" x14ac:dyDescent="0.3">
      <c r="B221" s="277" t="str">
        <f>'Production '!C224</f>
        <v>41947 27th</v>
      </c>
      <c r="C221" s="76">
        <f ca="1">SUMIF('Production '!$C$4:$AI$4407,'Tracking Sheet'!B221,'Production '!$M$4:$M$4407)</f>
        <v>0</v>
      </c>
      <c r="D221" s="76">
        <f ca="1">SUMIF('Production '!$C$4:$AI$4407,'Tracking Sheet'!B221,'Production '!$Q$4:$Q$4407)</f>
        <v>0</v>
      </c>
      <c r="E221" s="76">
        <f ca="1">SUMIF('Production '!$C$4:$AI$4407,'Tracking Sheet'!B221,'Production '!$S$4:$S$4407)</f>
        <v>0</v>
      </c>
      <c r="F221" s="76">
        <f ca="1">SUMIF('Production '!$C$4:$AI$4407,'Tracking Sheet'!B221,'Production '!$U$4:$U$4407)</f>
        <v>0</v>
      </c>
      <c r="G221" s="76">
        <f ca="1">SUMIF('Production '!$C$4:$AI$4407,'Tracking Sheet'!B221,'Production '!$W$4:$W$4407)</f>
        <v>0</v>
      </c>
      <c r="H221" s="76">
        <f ca="1">SUMIF('Production '!$C$4:$AI$4407,'Tracking Sheet'!B221,'Production '!$F$4:$F$4407)</f>
        <v>22900</v>
      </c>
      <c r="I221" s="76">
        <f ca="1">SUMIF('Production '!$C$4:$AI$4407,'Tracking Sheet'!B221,'Production '!$V$4:$V$4407)</f>
        <v>0</v>
      </c>
      <c r="J221" s="76">
        <f ca="1">SUMIF('Production '!$C$4:$AI$4407,'Tracking Sheet'!B221,'Production '!$AG$4:$AG$4407)</f>
        <v>-22900</v>
      </c>
    </row>
    <row r="222" spans="2:10" x14ac:dyDescent="0.3">
      <c r="B222" s="277" t="str">
        <f>'Production '!C225</f>
        <v>41947 27th</v>
      </c>
      <c r="C222" s="76">
        <f ca="1">SUMIF('Production '!$C$4:$AI$4407,'Tracking Sheet'!B222,'Production '!$M$4:$M$4407)</f>
        <v>0</v>
      </c>
      <c r="D222" s="76">
        <f ca="1">SUMIF('Production '!$C$4:$AI$4407,'Tracking Sheet'!B222,'Production '!$Q$4:$Q$4407)</f>
        <v>0</v>
      </c>
      <c r="E222" s="76">
        <f ca="1">SUMIF('Production '!$C$4:$AI$4407,'Tracking Sheet'!B222,'Production '!$S$4:$S$4407)</f>
        <v>0</v>
      </c>
      <c r="F222" s="76">
        <f ca="1">SUMIF('Production '!$C$4:$AI$4407,'Tracking Sheet'!B222,'Production '!$U$4:$U$4407)</f>
        <v>0</v>
      </c>
      <c r="G222" s="76">
        <f ca="1">SUMIF('Production '!$C$4:$AI$4407,'Tracking Sheet'!B222,'Production '!$W$4:$W$4407)</f>
        <v>0</v>
      </c>
      <c r="H222" s="76">
        <f ca="1">SUMIF('Production '!$C$4:$AI$4407,'Tracking Sheet'!B222,'Production '!$F$4:$F$4407)</f>
        <v>22900</v>
      </c>
      <c r="I222" s="76">
        <f ca="1">SUMIF('Production '!$C$4:$AI$4407,'Tracking Sheet'!B222,'Production '!$V$4:$V$4407)</f>
        <v>0</v>
      </c>
      <c r="J222" s="76">
        <f ca="1">SUMIF('Production '!$C$4:$AI$4407,'Tracking Sheet'!B222,'Production '!$AG$4:$AG$4407)</f>
        <v>-22900</v>
      </c>
    </row>
    <row r="223" spans="2:10" x14ac:dyDescent="0.3">
      <c r="B223" s="277" t="str">
        <f>'Production '!C226</f>
        <v>41947 27th</v>
      </c>
      <c r="C223" s="76">
        <f ca="1">SUMIF('Production '!$C$4:$AI$4407,'Tracking Sheet'!B223,'Production '!$M$4:$M$4407)</f>
        <v>0</v>
      </c>
      <c r="D223" s="76">
        <f ca="1">SUMIF('Production '!$C$4:$AI$4407,'Tracking Sheet'!B223,'Production '!$Q$4:$Q$4407)</f>
        <v>0</v>
      </c>
      <c r="E223" s="76">
        <f ca="1">SUMIF('Production '!$C$4:$AI$4407,'Tracking Sheet'!B223,'Production '!$S$4:$S$4407)</f>
        <v>0</v>
      </c>
      <c r="F223" s="76">
        <f ca="1">SUMIF('Production '!$C$4:$AI$4407,'Tracking Sheet'!B223,'Production '!$U$4:$U$4407)</f>
        <v>0</v>
      </c>
      <c r="G223" s="76">
        <f ca="1">SUMIF('Production '!$C$4:$AI$4407,'Tracking Sheet'!B223,'Production '!$W$4:$W$4407)</f>
        <v>0</v>
      </c>
      <c r="H223" s="76">
        <f ca="1">SUMIF('Production '!$C$4:$AI$4407,'Tracking Sheet'!B223,'Production '!$F$4:$F$4407)</f>
        <v>22900</v>
      </c>
      <c r="I223" s="76">
        <f ca="1">SUMIF('Production '!$C$4:$AI$4407,'Tracking Sheet'!B223,'Production '!$V$4:$V$4407)</f>
        <v>0</v>
      </c>
      <c r="J223" s="76">
        <f ca="1">SUMIF('Production '!$C$4:$AI$4407,'Tracking Sheet'!B223,'Production '!$AG$4:$AG$4407)</f>
        <v>-22900</v>
      </c>
    </row>
    <row r="224" spans="2:10" x14ac:dyDescent="0.3">
      <c r="B224" s="277" t="str">
        <f>'Production '!C227</f>
        <v>41947 27th</v>
      </c>
      <c r="C224" s="76">
        <f ca="1">SUMIF('Production '!$C$4:$AI$4407,'Tracking Sheet'!B224,'Production '!$M$4:$M$4407)</f>
        <v>0</v>
      </c>
      <c r="D224" s="76">
        <f ca="1">SUMIF('Production '!$C$4:$AI$4407,'Tracking Sheet'!B224,'Production '!$Q$4:$Q$4407)</f>
        <v>0</v>
      </c>
      <c r="E224" s="76">
        <f ca="1">SUMIF('Production '!$C$4:$AI$4407,'Tracking Sheet'!B224,'Production '!$S$4:$S$4407)</f>
        <v>0</v>
      </c>
      <c r="F224" s="76">
        <f ca="1">SUMIF('Production '!$C$4:$AI$4407,'Tracking Sheet'!B224,'Production '!$U$4:$U$4407)</f>
        <v>0</v>
      </c>
      <c r="G224" s="76">
        <f ca="1">SUMIF('Production '!$C$4:$AI$4407,'Tracking Sheet'!B224,'Production '!$W$4:$W$4407)</f>
        <v>0</v>
      </c>
      <c r="H224" s="76">
        <f ca="1">SUMIF('Production '!$C$4:$AI$4407,'Tracking Sheet'!B224,'Production '!$F$4:$F$4407)</f>
        <v>22900</v>
      </c>
      <c r="I224" s="76">
        <f ca="1">SUMIF('Production '!$C$4:$AI$4407,'Tracking Sheet'!B224,'Production '!$V$4:$V$4407)</f>
        <v>0</v>
      </c>
      <c r="J224" s="76">
        <f ca="1">SUMIF('Production '!$C$4:$AI$4407,'Tracking Sheet'!B224,'Production '!$AG$4:$AG$4407)</f>
        <v>-22900</v>
      </c>
    </row>
    <row r="225" spans="2:10" x14ac:dyDescent="0.3">
      <c r="B225" s="277" t="str">
        <f>'Production '!C228</f>
        <v>41947 27th</v>
      </c>
      <c r="C225" s="76">
        <f ca="1">SUMIF('Production '!$C$4:$AI$4407,'Tracking Sheet'!B225,'Production '!$M$4:$M$4407)</f>
        <v>0</v>
      </c>
      <c r="D225" s="76">
        <f ca="1">SUMIF('Production '!$C$4:$AI$4407,'Tracking Sheet'!B225,'Production '!$Q$4:$Q$4407)</f>
        <v>0</v>
      </c>
      <c r="E225" s="76">
        <f ca="1">SUMIF('Production '!$C$4:$AI$4407,'Tracking Sheet'!B225,'Production '!$S$4:$S$4407)</f>
        <v>0</v>
      </c>
      <c r="F225" s="76">
        <f ca="1">SUMIF('Production '!$C$4:$AI$4407,'Tracking Sheet'!B225,'Production '!$U$4:$U$4407)</f>
        <v>0</v>
      </c>
      <c r="G225" s="76">
        <f ca="1">SUMIF('Production '!$C$4:$AI$4407,'Tracking Sheet'!B225,'Production '!$W$4:$W$4407)</f>
        <v>0</v>
      </c>
      <c r="H225" s="76">
        <f ca="1">SUMIF('Production '!$C$4:$AI$4407,'Tracking Sheet'!B225,'Production '!$F$4:$F$4407)</f>
        <v>22900</v>
      </c>
      <c r="I225" s="76">
        <f ca="1">SUMIF('Production '!$C$4:$AI$4407,'Tracking Sheet'!B225,'Production '!$V$4:$V$4407)</f>
        <v>0</v>
      </c>
      <c r="J225" s="76">
        <f ca="1">SUMIF('Production '!$C$4:$AI$4407,'Tracking Sheet'!B225,'Production '!$AG$4:$AG$4407)</f>
        <v>-22900</v>
      </c>
    </row>
    <row r="226" spans="2:10" x14ac:dyDescent="0.3">
      <c r="B226" s="277" t="str">
        <f>'Production '!C229</f>
        <v>41947 27th</v>
      </c>
      <c r="C226" s="76">
        <f ca="1">SUMIF('Production '!$C$4:$AI$4407,'Tracking Sheet'!B226,'Production '!$M$4:$M$4407)</f>
        <v>0</v>
      </c>
      <c r="D226" s="76">
        <f ca="1">SUMIF('Production '!$C$4:$AI$4407,'Tracking Sheet'!B226,'Production '!$Q$4:$Q$4407)</f>
        <v>0</v>
      </c>
      <c r="E226" s="76">
        <f ca="1">SUMIF('Production '!$C$4:$AI$4407,'Tracking Sheet'!B226,'Production '!$S$4:$S$4407)</f>
        <v>0</v>
      </c>
      <c r="F226" s="76">
        <f ca="1">SUMIF('Production '!$C$4:$AI$4407,'Tracking Sheet'!B226,'Production '!$U$4:$U$4407)</f>
        <v>0</v>
      </c>
      <c r="G226" s="76">
        <f ca="1">SUMIF('Production '!$C$4:$AI$4407,'Tracking Sheet'!B226,'Production '!$W$4:$W$4407)</f>
        <v>0</v>
      </c>
      <c r="H226" s="76">
        <f ca="1">SUMIF('Production '!$C$4:$AI$4407,'Tracking Sheet'!B226,'Production '!$F$4:$F$4407)</f>
        <v>22900</v>
      </c>
      <c r="I226" s="76">
        <f ca="1">SUMIF('Production '!$C$4:$AI$4407,'Tracking Sheet'!B226,'Production '!$V$4:$V$4407)</f>
        <v>0</v>
      </c>
      <c r="J226" s="76">
        <f ca="1">SUMIF('Production '!$C$4:$AI$4407,'Tracking Sheet'!B226,'Production '!$AG$4:$AG$4407)</f>
        <v>-22900</v>
      </c>
    </row>
    <row r="227" spans="2:10" x14ac:dyDescent="0.3">
      <c r="B227" s="277" t="str">
        <f>'Production '!C230</f>
        <v>41947 27th</v>
      </c>
      <c r="C227" s="76">
        <f ca="1">SUMIF('Production '!$C$4:$AI$4407,'Tracking Sheet'!B227,'Production '!$M$4:$M$4407)</f>
        <v>0</v>
      </c>
      <c r="D227" s="76">
        <f ca="1">SUMIF('Production '!$C$4:$AI$4407,'Tracking Sheet'!B227,'Production '!$Q$4:$Q$4407)</f>
        <v>0</v>
      </c>
      <c r="E227" s="76">
        <f ca="1">SUMIF('Production '!$C$4:$AI$4407,'Tracking Sheet'!B227,'Production '!$S$4:$S$4407)</f>
        <v>0</v>
      </c>
      <c r="F227" s="76">
        <f ca="1">SUMIF('Production '!$C$4:$AI$4407,'Tracking Sheet'!B227,'Production '!$U$4:$U$4407)</f>
        <v>0</v>
      </c>
      <c r="G227" s="76">
        <f ca="1">SUMIF('Production '!$C$4:$AI$4407,'Tracking Sheet'!B227,'Production '!$W$4:$W$4407)</f>
        <v>0</v>
      </c>
      <c r="H227" s="76">
        <f ca="1">SUMIF('Production '!$C$4:$AI$4407,'Tracking Sheet'!B227,'Production '!$F$4:$F$4407)</f>
        <v>22900</v>
      </c>
      <c r="I227" s="76">
        <f ca="1">SUMIF('Production '!$C$4:$AI$4407,'Tracking Sheet'!B227,'Production '!$V$4:$V$4407)</f>
        <v>0</v>
      </c>
      <c r="J227" s="76">
        <f ca="1">SUMIF('Production '!$C$4:$AI$4407,'Tracking Sheet'!B227,'Production '!$AG$4:$AG$4407)</f>
        <v>-22900</v>
      </c>
    </row>
    <row r="228" spans="2:10" x14ac:dyDescent="0.3">
      <c r="B228" s="277" t="str">
        <f>'Production '!C231</f>
        <v>41947 27th</v>
      </c>
      <c r="C228" s="76">
        <f ca="1">SUMIF('Production '!$C$4:$AI$4407,'Tracking Sheet'!B228,'Production '!$M$4:$M$4407)</f>
        <v>0</v>
      </c>
      <c r="D228" s="76">
        <f ca="1">SUMIF('Production '!$C$4:$AI$4407,'Tracking Sheet'!B228,'Production '!$Q$4:$Q$4407)</f>
        <v>0</v>
      </c>
      <c r="E228" s="76">
        <f ca="1">SUMIF('Production '!$C$4:$AI$4407,'Tracking Sheet'!B228,'Production '!$S$4:$S$4407)</f>
        <v>0</v>
      </c>
      <c r="F228" s="76">
        <f ca="1">SUMIF('Production '!$C$4:$AI$4407,'Tracking Sheet'!B228,'Production '!$U$4:$U$4407)</f>
        <v>0</v>
      </c>
      <c r="G228" s="76">
        <f ca="1">SUMIF('Production '!$C$4:$AI$4407,'Tracking Sheet'!B228,'Production '!$W$4:$W$4407)</f>
        <v>0</v>
      </c>
      <c r="H228" s="76">
        <f ca="1">SUMIF('Production '!$C$4:$AI$4407,'Tracking Sheet'!B228,'Production '!$F$4:$F$4407)</f>
        <v>22900</v>
      </c>
      <c r="I228" s="76">
        <f ca="1">SUMIF('Production '!$C$4:$AI$4407,'Tracking Sheet'!B228,'Production '!$V$4:$V$4407)</f>
        <v>0</v>
      </c>
      <c r="J228" s="76">
        <f ca="1">SUMIF('Production '!$C$4:$AI$4407,'Tracking Sheet'!B228,'Production '!$AG$4:$AG$4407)</f>
        <v>-22900</v>
      </c>
    </row>
    <row r="229" spans="2:10" x14ac:dyDescent="0.3">
      <c r="B229" s="277" t="str">
        <f>'Production '!C232</f>
        <v>41947 27th</v>
      </c>
      <c r="C229" s="76">
        <f ca="1">SUMIF('Production '!$C$4:$AI$4407,'Tracking Sheet'!B229,'Production '!$M$4:$M$4407)</f>
        <v>0</v>
      </c>
      <c r="D229" s="76">
        <f ca="1">SUMIF('Production '!$C$4:$AI$4407,'Tracking Sheet'!B229,'Production '!$Q$4:$Q$4407)</f>
        <v>0</v>
      </c>
      <c r="E229" s="76">
        <f ca="1">SUMIF('Production '!$C$4:$AI$4407,'Tracking Sheet'!B229,'Production '!$S$4:$S$4407)</f>
        <v>0</v>
      </c>
      <c r="F229" s="76">
        <f ca="1">SUMIF('Production '!$C$4:$AI$4407,'Tracking Sheet'!B229,'Production '!$U$4:$U$4407)</f>
        <v>0</v>
      </c>
      <c r="G229" s="76">
        <f ca="1">SUMIF('Production '!$C$4:$AI$4407,'Tracking Sheet'!B229,'Production '!$W$4:$W$4407)</f>
        <v>0</v>
      </c>
      <c r="H229" s="76">
        <f ca="1">SUMIF('Production '!$C$4:$AI$4407,'Tracking Sheet'!B229,'Production '!$F$4:$F$4407)</f>
        <v>22900</v>
      </c>
      <c r="I229" s="76">
        <f ca="1">SUMIF('Production '!$C$4:$AI$4407,'Tracking Sheet'!B229,'Production '!$V$4:$V$4407)</f>
        <v>0</v>
      </c>
      <c r="J229" s="76">
        <f ca="1">SUMIF('Production '!$C$4:$AI$4407,'Tracking Sheet'!B229,'Production '!$AG$4:$AG$4407)</f>
        <v>-22900</v>
      </c>
    </row>
    <row r="230" spans="2:10" x14ac:dyDescent="0.3">
      <c r="B230" s="277">
        <f>'Production '!C233</f>
        <v>0</v>
      </c>
      <c r="C230" s="76" t="e">
        <f ca="1">SUMIF('Production '!$C$4:$AI$4407,'Tracking Sheet'!B230,'Production '!$M$4:$M$4407)</f>
        <v>#DIV/0!</v>
      </c>
      <c r="D230" s="76" t="e">
        <f ca="1">SUMIF('Production '!$C$4:$AI$4407,'Tracking Sheet'!B230,'Production '!$Q$4:$Q$4407)</f>
        <v>#DIV/0!</v>
      </c>
      <c r="E230" s="76">
        <f ca="1">SUMIF('Production '!$C$4:$AI$4407,'Tracking Sheet'!B230,'Production '!$S$4:$S$4407)</f>
        <v>-1268218.9828305368</v>
      </c>
      <c r="F230" s="76">
        <f ca="1">SUMIF('Production '!$C$4:$AI$4407,'Tracking Sheet'!B230,'Production '!$U$4:$U$4407)</f>
        <v>-10620.435600016917</v>
      </c>
      <c r="G230" s="76" t="e">
        <f ca="1">SUMIF('Production '!$C$4:$AI$4407,'Tracking Sheet'!B230,'Production '!$W$4:$W$4407)</f>
        <v>#DIV/0!</v>
      </c>
      <c r="H230" s="76">
        <f ca="1">SUMIF('Production '!$C$4:$AI$4407,'Tracking Sheet'!B230,'Production '!$F$4:$F$4407)</f>
        <v>3230621.3283604058</v>
      </c>
      <c r="I230" s="76">
        <f ca="1">SUMIF('Production '!$C$4:$AI$4407,'Tracking Sheet'!B230,'Production '!$V$4:$V$4407)</f>
        <v>-489.86487791182844</v>
      </c>
      <c r="J230" s="76">
        <f ca="1">SUMIF('Production '!$C$4:$AI$4407,'Tracking Sheet'!B230,'Production '!$AG$4:$AG$4407)</f>
        <v>0</v>
      </c>
    </row>
    <row r="231" spans="2:10" x14ac:dyDescent="0.3">
      <c r="B231" s="277" t="str">
        <f>'Production '!C234</f>
        <v>41948 5th</v>
      </c>
      <c r="C231" s="76">
        <f ca="1">SUMIF('Production '!$C$4:$AI$4407,'Tracking Sheet'!B231,'Production '!$M$4:$M$4407)</f>
        <v>4591</v>
      </c>
      <c r="D231" s="76">
        <f ca="1">SUMIF('Production '!$C$4:$AI$4407,'Tracking Sheet'!B231,'Production '!$Q$4:$Q$4407)</f>
        <v>0</v>
      </c>
      <c r="E231" s="76">
        <f ca="1">SUMIF('Production '!$C$4:$AI$4407,'Tracking Sheet'!B231,'Production '!$S$4:$S$4407)</f>
        <v>0</v>
      </c>
      <c r="F231" s="76">
        <f ca="1">SUMIF('Production '!$C$4:$AI$4407,'Tracking Sheet'!B231,'Production '!$U$4:$U$4407)</f>
        <v>7</v>
      </c>
      <c r="G231" s="76">
        <f ca="1">SUMIF('Production '!$C$4:$AI$4407,'Tracking Sheet'!B231,'Production '!$W$4:$W$4407)</f>
        <v>4584</v>
      </c>
      <c r="H231" s="76">
        <f ca="1">SUMIF('Production '!$C$4:$AI$4407,'Tracking Sheet'!B231,'Production '!$F$4:$F$4407)</f>
        <v>4500</v>
      </c>
      <c r="I231" s="76">
        <f ca="1">SUMIF('Production '!$C$4:$AI$4407,'Tracking Sheet'!B231,'Production '!$V$4:$V$4407)</f>
        <v>0</v>
      </c>
      <c r="J231" s="76">
        <f ca="1">SUMIF('Production '!$C$4:$AI$4407,'Tracking Sheet'!B231,'Production '!$AG$4:$AG$4407)</f>
        <v>0</v>
      </c>
    </row>
    <row r="232" spans="2:10" x14ac:dyDescent="0.3">
      <c r="B232" s="277" t="str">
        <f>'Production '!C235</f>
        <v>41948 5th</v>
      </c>
      <c r="C232" s="76">
        <f ca="1">SUMIF('Production '!$C$4:$AI$4407,'Tracking Sheet'!B232,'Production '!$M$4:$M$4407)</f>
        <v>4591</v>
      </c>
      <c r="D232" s="76">
        <f ca="1">SUMIF('Production '!$C$4:$AI$4407,'Tracking Sheet'!B232,'Production '!$Q$4:$Q$4407)</f>
        <v>0</v>
      </c>
      <c r="E232" s="76">
        <f ca="1">SUMIF('Production '!$C$4:$AI$4407,'Tracking Sheet'!B232,'Production '!$S$4:$S$4407)</f>
        <v>0</v>
      </c>
      <c r="F232" s="76">
        <f ca="1">SUMIF('Production '!$C$4:$AI$4407,'Tracking Sheet'!B232,'Production '!$U$4:$U$4407)</f>
        <v>7</v>
      </c>
      <c r="G232" s="76">
        <f ca="1">SUMIF('Production '!$C$4:$AI$4407,'Tracking Sheet'!B232,'Production '!$W$4:$W$4407)</f>
        <v>4584</v>
      </c>
      <c r="H232" s="76">
        <f ca="1">SUMIF('Production '!$C$4:$AI$4407,'Tracking Sheet'!B232,'Production '!$F$4:$F$4407)</f>
        <v>4500</v>
      </c>
      <c r="I232" s="76">
        <f ca="1">SUMIF('Production '!$C$4:$AI$4407,'Tracking Sheet'!B232,'Production '!$V$4:$V$4407)</f>
        <v>0</v>
      </c>
      <c r="J232" s="76">
        <f ca="1">SUMIF('Production '!$C$4:$AI$4407,'Tracking Sheet'!B232,'Production '!$AG$4:$AG$4407)</f>
        <v>0</v>
      </c>
    </row>
    <row r="233" spans="2:10" x14ac:dyDescent="0.3">
      <c r="B233" s="277" t="str">
        <f>'Production '!C236</f>
        <v>41948 5th</v>
      </c>
      <c r="C233" s="76">
        <f ca="1">SUMIF('Production '!$C$4:$AI$4407,'Tracking Sheet'!B233,'Production '!$M$4:$M$4407)</f>
        <v>4591</v>
      </c>
      <c r="D233" s="76">
        <f ca="1">SUMIF('Production '!$C$4:$AI$4407,'Tracking Sheet'!B233,'Production '!$Q$4:$Q$4407)</f>
        <v>0</v>
      </c>
      <c r="E233" s="76">
        <f ca="1">SUMIF('Production '!$C$4:$AI$4407,'Tracking Sheet'!B233,'Production '!$S$4:$S$4407)</f>
        <v>0</v>
      </c>
      <c r="F233" s="76">
        <f ca="1">SUMIF('Production '!$C$4:$AI$4407,'Tracking Sheet'!B233,'Production '!$U$4:$U$4407)</f>
        <v>7</v>
      </c>
      <c r="G233" s="76">
        <f ca="1">SUMIF('Production '!$C$4:$AI$4407,'Tracking Sheet'!B233,'Production '!$W$4:$W$4407)</f>
        <v>4584</v>
      </c>
      <c r="H233" s="76">
        <f ca="1">SUMIF('Production '!$C$4:$AI$4407,'Tracking Sheet'!B233,'Production '!$F$4:$F$4407)</f>
        <v>4500</v>
      </c>
      <c r="I233" s="76">
        <f ca="1">SUMIF('Production '!$C$4:$AI$4407,'Tracking Sheet'!B233,'Production '!$V$4:$V$4407)</f>
        <v>0</v>
      </c>
      <c r="J233" s="76">
        <f ca="1">SUMIF('Production '!$C$4:$AI$4407,'Tracking Sheet'!B233,'Production '!$AG$4:$AG$4407)</f>
        <v>0</v>
      </c>
    </row>
    <row r="234" spans="2:10" x14ac:dyDescent="0.3">
      <c r="B234" s="277">
        <f>'Production '!C237</f>
        <v>0</v>
      </c>
      <c r="C234" s="76" t="e">
        <f ca="1">SUMIF('Production '!$C$4:$AI$4407,'Tracking Sheet'!B234,'Production '!$M$4:$M$4407)</f>
        <v>#DIV/0!</v>
      </c>
      <c r="D234" s="76" t="e">
        <f ca="1">SUMIF('Production '!$C$4:$AI$4407,'Tracking Sheet'!B234,'Production '!$Q$4:$Q$4407)</f>
        <v>#DIV/0!</v>
      </c>
      <c r="E234" s="76">
        <f ca="1">SUMIF('Production '!$C$4:$AI$4407,'Tracking Sheet'!B234,'Production '!$S$4:$S$4407)</f>
        <v>-1268218.9828305368</v>
      </c>
      <c r="F234" s="76">
        <f ca="1">SUMIF('Production '!$C$4:$AI$4407,'Tracking Sheet'!B234,'Production '!$U$4:$U$4407)</f>
        <v>-10620.435600016917</v>
      </c>
      <c r="G234" s="76" t="e">
        <f ca="1">SUMIF('Production '!$C$4:$AI$4407,'Tracking Sheet'!B234,'Production '!$W$4:$W$4407)</f>
        <v>#DIV/0!</v>
      </c>
      <c r="H234" s="76">
        <f ca="1">SUMIF('Production '!$C$4:$AI$4407,'Tracking Sheet'!B234,'Production '!$F$4:$F$4407)</f>
        <v>3230621.3283604058</v>
      </c>
      <c r="I234" s="76">
        <f ca="1">SUMIF('Production '!$C$4:$AI$4407,'Tracking Sheet'!B234,'Production '!$V$4:$V$4407)</f>
        <v>-489.86487791182844</v>
      </c>
      <c r="J234" s="76">
        <f ca="1">SUMIF('Production '!$C$4:$AI$4407,'Tracking Sheet'!B234,'Production '!$AG$4:$AG$4407)</f>
        <v>0</v>
      </c>
    </row>
    <row r="235" spans="2:10" x14ac:dyDescent="0.3">
      <c r="B235" s="277">
        <f>'Production '!C238</f>
        <v>0</v>
      </c>
      <c r="C235" s="76" t="e">
        <f ca="1">SUMIF('Production '!$C$4:$AI$4407,'Tracking Sheet'!B235,'Production '!$M$4:$M$4407)</f>
        <v>#DIV/0!</v>
      </c>
      <c r="D235" s="76" t="e">
        <f ca="1">SUMIF('Production '!$C$4:$AI$4407,'Tracking Sheet'!B235,'Production '!$Q$4:$Q$4407)</f>
        <v>#DIV/0!</v>
      </c>
      <c r="E235" s="76">
        <f ca="1">SUMIF('Production '!$C$4:$AI$4407,'Tracking Sheet'!B235,'Production '!$S$4:$S$4407)</f>
        <v>-1268218.9828305368</v>
      </c>
      <c r="F235" s="76">
        <f ca="1">SUMIF('Production '!$C$4:$AI$4407,'Tracking Sheet'!B235,'Production '!$U$4:$U$4407)</f>
        <v>-10620.435600016917</v>
      </c>
      <c r="G235" s="76" t="e">
        <f ca="1">SUMIF('Production '!$C$4:$AI$4407,'Tracking Sheet'!B235,'Production '!$W$4:$W$4407)</f>
        <v>#DIV/0!</v>
      </c>
      <c r="H235" s="76">
        <f ca="1">SUMIF('Production '!$C$4:$AI$4407,'Tracking Sheet'!B235,'Production '!$F$4:$F$4407)</f>
        <v>3230621.3283604058</v>
      </c>
      <c r="I235" s="76">
        <f ca="1">SUMIF('Production '!$C$4:$AI$4407,'Tracking Sheet'!B235,'Production '!$V$4:$V$4407)</f>
        <v>-489.86487791182844</v>
      </c>
      <c r="J235" s="76">
        <f ca="1">SUMIF('Production '!$C$4:$AI$4407,'Tracking Sheet'!B235,'Production '!$AG$4:$AG$4407)</f>
        <v>0</v>
      </c>
    </row>
    <row r="236" spans="2:10" x14ac:dyDescent="0.3">
      <c r="B236" s="277">
        <f>'Production '!C239</f>
        <v>47805</v>
      </c>
      <c r="C236" s="76">
        <f ca="1">SUMIF('Production '!$C$4:$AI$4407,'Tracking Sheet'!B236,'Production '!$M$4:$M$4407)</f>
        <v>1952</v>
      </c>
      <c r="D236" s="76">
        <f ca="1">SUMIF('Production '!$C$4:$AI$4407,'Tracking Sheet'!B236,'Production '!$Q$4:$Q$4407)</f>
        <v>0</v>
      </c>
      <c r="E236" s="76">
        <f ca="1">SUMIF('Production '!$C$4:$AI$4407,'Tracking Sheet'!B236,'Production '!$S$4:$S$4407)</f>
        <v>0</v>
      </c>
      <c r="F236" s="76">
        <f ca="1">SUMIF('Production '!$C$4:$AI$4407,'Tracking Sheet'!B236,'Production '!$U$4:$U$4407)</f>
        <v>1952</v>
      </c>
      <c r="G236" s="76">
        <f ca="1">SUMIF('Production '!$C$4:$AI$4407,'Tracking Sheet'!B236,'Production '!$W$4:$W$4407)</f>
        <v>0</v>
      </c>
      <c r="H236" s="76">
        <f ca="1">SUMIF('Production '!$C$4:$AI$4407,'Tracking Sheet'!B236,'Production '!$F$4:$F$4407)</f>
        <v>1930</v>
      </c>
      <c r="I236" s="76">
        <f ca="1">SUMIF('Production '!$C$4:$AI$4407,'Tracking Sheet'!B236,'Production '!$V$4:$V$4407)</f>
        <v>0</v>
      </c>
      <c r="J236" s="76">
        <f ca="1">SUMIF('Production '!$C$4:$AI$4407,'Tracking Sheet'!B236,'Production '!$AG$4:$AG$4407)</f>
        <v>0</v>
      </c>
    </row>
    <row r="237" spans="2:10" x14ac:dyDescent="0.3">
      <c r="B237" s="277">
        <f>'Production '!C240</f>
        <v>0</v>
      </c>
      <c r="C237" s="76" t="e">
        <f ca="1">SUMIF('Production '!$C$4:$AI$4407,'Tracking Sheet'!B237,'Production '!$M$4:$M$4407)</f>
        <v>#DIV/0!</v>
      </c>
      <c r="D237" s="76" t="e">
        <f ca="1">SUMIF('Production '!$C$4:$AI$4407,'Tracking Sheet'!B237,'Production '!$Q$4:$Q$4407)</f>
        <v>#DIV/0!</v>
      </c>
      <c r="E237" s="76">
        <f ca="1">SUMIF('Production '!$C$4:$AI$4407,'Tracking Sheet'!B237,'Production '!$S$4:$S$4407)</f>
        <v>-1268218.9828305368</v>
      </c>
      <c r="F237" s="76">
        <f ca="1">SUMIF('Production '!$C$4:$AI$4407,'Tracking Sheet'!B237,'Production '!$U$4:$U$4407)</f>
        <v>-10620.435600016917</v>
      </c>
      <c r="G237" s="76" t="e">
        <f ca="1">SUMIF('Production '!$C$4:$AI$4407,'Tracking Sheet'!B237,'Production '!$W$4:$W$4407)</f>
        <v>#DIV/0!</v>
      </c>
      <c r="H237" s="76">
        <f ca="1">SUMIF('Production '!$C$4:$AI$4407,'Tracking Sheet'!B237,'Production '!$F$4:$F$4407)</f>
        <v>3230621.3283604058</v>
      </c>
      <c r="I237" s="76">
        <f ca="1">SUMIF('Production '!$C$4:$AI$4407,'Tracking Sheet'!B237,'Production '!$V$4:$V$4407)</f>
        <v>-489.86487791182844</v>
      </c>
      <c r="J237" s="76">
        <f ca="1">SUMIF('Production '!$C$4:$AI$4407,'Tracking Sheet'!B237,'Production '!$AG$4:$AG$4407)</f>
        <v>0</v>
      </c>
    </row>
    <row r="238" spans="2:10" x14ac:dyDescent="0.3">
      <c r="B238" s="277">
        <f>'Production '!C241</f>
        <v>47745</v>
      </c>
      <c r="C238" s="76">
        <f ca="1">SUMIF('Production '!$C$4:$AI$4407,'Tracking Sheet'!B238,'Production '!$M$4:$M$4407)</f>
        <v>9972</v>
      </c>
      <c r="D238" s="76">
        <f ca="1">SUMIF('Production '!$C$4:$AI$4407,'Tracking Sheet'!B238,'Production '!$Q$4:$Q$4407)</f>
        <v>0</v>
      </c>
      <c r="E238" s="76">
        <f ca="1">SUMIF('Production '!$C$4:$AI$4407,'Tracking Sheet'!B238,'Production '!$S$4:$S$4407)</f>
        <v>0</v>
      </c>
      <c r="F238" s="76">
        <f ca="1">SUMIF('Production '!$C$4:$AI$4407,'Tracking Sheet'!B238,'Production '!$U$4:$U$4407)</f>
        <v>15</v>
      </c>
      <c r="G238" s="76">
        <f ca="1">SUMIF('Production '!$C$4:$AI$4407,'Tracking Sheet'!B238,'Production '!$W$4:$W$4407)</f>
        <v>9957</v>
      </c>
      <c r="H238" s="76">
        <f ca="1">SUMIF('Production '!$C$4:$AI$4407,'Tracking Sheet'!B238,'Production '!$F$4:$F$4407)</f>
        <v>9836</v>
      </c>
      <c r="I238" s="76">
        <f ca="1">SUMIF('Production '!$C$4:$AI$4407,'Tracking Sheet'!B238,'Production '!$V$4:$V$4407)</f>
        <v>0</v>
      </c>
      <c r="J238" s="76">
        <f ca="1">SUMIF('Production '!$C$4:$AI$4407,'Tracking Sheet'!B238,'Production '!$AG$4:$AG$4407)</f>
        <v>0</v>
      </c>
    </row>
    <row r="239" spans="2:10" x14ac:dyDescent="0.3">
      <c r="B239" s="277">
        <f>'Production '!C242</f>
        <v>47745</v>
      </c>
      <c r="C239" s="76">
        <f ca="1">SUMIF('Production '!$C$4:$AI$4407,'Tracking Sheet'!B239,'Production '!$M$4:$M$4407)</f>
        <v>9972</v>
      </c>
      <c r="D239" s="76">
        <f ca="1">SUMIF('Production '!$C$4:$AI$4407,'Tracking Sheet'!B239,'Production '!$Q$4:$Q$4407)</f>
        <v>0</v>
      </c>
      <c r="E239" s="76">
        <f ca="1">SUMIF('Production '!$C$4:$AI$4407,'Tracking Sheet'!B239,'Production '!$S$4:$S$4407)</f>
        <v>0</v>
      </c>
      <c r="F239" s="76">
        <f ca="1">SUMIF('Production '!$C$4:$AI$4407,'Tracking Sheet'!B239,'Production '!$U$4:$U$4407)</f>
        <v>15</v>
      </c>
      <c r="G239" s="76">
        <f ca="1">SUMIF('Production '!$C$4:$AI$4407,'Tracking Sheet'!B239,'Production '!$W$4:$W$4407)</f>
        <v>9957</v>
      </c>
      <c r="H239" s="76">
        <f ca="1">SUMIF('Production '!$C$4:$AI$4407,'Tracking Sheet'!B239,'Production '!$F$4:$F$4407)</f>
        <v>9836</v>
      </c>
      <c r="I239" s="76">
        <f ca="1">SUMIF('Production '!$C$4:$AI$4407,'Tracking Sheet'!B239,'Production '!$V$4:$V$4407)</f>
        <v>0</v>
      </c>
      <c r="J239" s="76">
        <f ca="1">SUMIF('Production '!$C$4:$AI$4407,'Tracking Sheet'!B239,'Production '!$AG$4:$AG$4407)</f>
        <v>0</v>
      </c>
    </row>
    <row r="240" spans="2:10" x14ac:dyDescent="0.3">
      <c r="B240" s="277">
        <f>'Production '!C243</f>
        <v>47745</v>
      </c>
      <c r="C240" s="76">
        <f ca="1">SUMIF('Production '!$C$4:$AI$4407,'Tracking Sheet'!B240,'Production '!$M$4:$M$4407)</f>
        <v>9972</v>
      </c>
      <c r="D240" s="76">
        <f ca="1">SUMIF('Production '!$C$4:$AI$4407,'Tracking Sheet'!B240,'Production '!$Q$4:$Q$4407)</f>
        <v>0</v>
      </c>
      <c r="E240" s="76">
        <f ca="1">SUMIF('Production '!$C$4:$AI$4407,'Tracking Sheet'!B240,'Production '!$S$4:$S$4407)</f>
        <v>0</v>
      </c>
      <c r="F240" s="76">
        <f ca="1">SUMIF('Production '!$C$4:$AI$4407,'Tracking Sheet'!B240,'Production '!$U$4:$U$4407)</f>
        <v>15</v>
      </c>
      <c r="G240" s="76">
        <f ca="1">SUMIF('Production '!$C$4:$AI$4407,'Tracking Sheet'!B240,'Production '!$W$4:$W$4407)</f>
        <v>9957</v>
      </c>
      <c r="H240" s="76">
        <f ca="1">SUMIF('Production '!$C$4:$AI$4407,'Tracking Sheet'!B240,'Production '!$F$4:$F$4407)</f>
        <v>9836</v>
      </c>
      <c r="I240" s="76">
        <f ca="1">SUMIF('Production '!$C$4:$AI$4407,'Tracking Sheet'!B240,'Production '!$V$4:$V$4407)</f>
        <v>0</v>
      </c>
      <c r="J240" s="76">
        <f ca="1">SUMIF('Production '!$C$4:$AI$4407,'Tracking Sheet'!B240,'Production '!$AG$4:$AG$4407)</f>
        <v>0</v>
      </c>
    </row>
    <row r="241" spans="2:10" x14ac:dyDescent="0.3">
      <c r="B241" s="277">
        <f>'Production '!C244</f>
        <v>47745</v>
      </c>
      <c r="C241" s="76">
        <f ca="1">SUMIF('Production '!$C$4:$AI$4407,'Tracking Sheet'!B241,'Production '!$M$4:$M$4407)</f>
        <v>9972</v>
      </c>
      <c r="D241" s="76">
        <f ca="1">SUMIF('Production '!$C$4:$AI$4407,'Tracking Sheet'!B241,'Production '!$Q$4:$Q$4407)</f>
        <v>0</v>
      </c>
      <c r="E241" s="76">
        <f ca="1">SUMIF('Production '!$C$4:$AI$4407,'Tracking Sheet'!B241,'Production '!$S$4:$S$4407)</f>
        <v>0</v>
      </c>
      <c r="F241" s="76">
        <f ca="1">SUMIF('Production '!$C$4:$AI$4407,'Tracking Sheet'!B241,'Production '!$U$4:$U$4407)</f>
        <v>15</v>
      </c>
      <c r="G241" s="76">
        <f ca="1">SUMIF('Production '!$C$4:$AI$4407,'Tracking Sheet'!B241,'Production '!$W$4:$W$4407)</f>
        <v>9957</v>
      </c>
      <c r="H241" s="76">
        <f ca="1">SUMIF('Production '!$C$4:$AI$4407,'Tracking Sheet'!B241,'Production '!$F$4:$F$4407)</f>
        <v>9836</v>
      </c>
      <c r="I241" s="76">
        <f ca="1">SUMIF('Production '!$C$4:$AI$4407,'Tracking Sheet'!B241,'Production '!$V$4:$V$4407)</f>
        <v>0</v>
      </c>
      <c r="J241" s="76">
        <f ca="1">SUMIF('Production '!$C$4:$AI$4407,'Tracking Sheet'!B241,'Production '!$AG$4:$AG$4407)</f>
        <v>0</v>
      </c>
    </row>
    <row r="242" spans="2:10" x14ac:dyDescent="0.3">
      <c r="B242" s="277">
        <f>'Production '!C245</f>
        <v>0</v>
      </c>
      <c r="C242" s="76" t="e">
        <f ca="1">SUMIF('Production '!$C$4:$AI$4407,'Tracking Sheet'!B242,'Production '!$M$4:$M$4407)</f>
        <v>#DIV/0!</v>
      </c>
      <c r="D242" s="76" t="e">
        <f ca="1">SUMIF('Production '!$C$4:$AI$4407,'Tracking Sheet'!B242,'Production '!$Q$4:$Q$4407)</f>
        <v>#DIV/0!</v>
      </c>
      <c r="E242" s="76">
        <f ca="1">SUMIF('Production '!$C$4:$AI$4407,'Tracking Sheet'!B242,'Production '!$S$4:$S$4407)</f>
        <v>-1268218.9828305368</v>
      </c>
      <c r="F242" s="76">
        <f ca="1">SUMIF('Production '!$C$4:$AI$4407,'Tracking Sheet'!B242,'Production '!$U$4:$U$4407)</f>
        <v>-10620.435600016917</v>
      </c>
      <c r="G242" s="76" t="e">
        <f ca="1">SUMIF('Production '!$C$4:$AI$4407,'Tracking Sheet'!B242,'Production '!$W$4:$W$4407)</f>
        <v>#DIV/0!</v>
      </c>
      <c r="H242" s="76">
        <f ca="1">SUMIF('Production '!$C$4:$AI$4407,'Tracking Sheet'!B242,'Production '!$F$4:$F$4407)</f>
        <v>3230621.3283604058</v>
      </c>
      <c r="I242" s="76">
        <f ca="1">SUMIF('Production '!$C$4:$AI$4407,'Tracking Sheet'!B242,'Production '!$V$4:$V$4407)</f>
        <v>-489.86487791182844</v>
      </c>
      <c r="J242" s="76">
        <f ca="1">SUMIF('Production '!$C$4:$AI$4407,'Tracking Sheet'!B242,'Production '!$AG$4:$AG$4407)</f>
        <v>0</v>
      </c>
    </row>
    <row r="243" spans="2:10" x14ac:dyDescent="0.3">
      <c r="B243" s="277">
        <f>'Production '!C246</f>
        <v>47746</v>
      </c>
      <c r="C243" s="76">
        <f ca="1">SUMIF('Production '!$C$4:$AI$4407,'Tracking Sheet'!B243,'Production '!$M$4:$M$4407)</f>
        <v>5443</v>
      </c>
      <c r="D243" s="76">
        <f ca="1">SUMIF('Production '!$C$4:$AI$4407,'Tracking Sheet'!B243,'Production '!$Q$4:$Q$4407)</f>
        <v>0</v>
      </c>
      <c r="E243" s="76">
        <f ca="1">SUMIF('Production '!$C$4:$AI$4407,'Tracking Sheet'!B243,'Production '!$S$4:$S$4407)</f>
        <v>0</v>
      </c>
      <c r="F243" s="76">
        <f ca="1">SUMIF('Production '!$C$4:$AI$4407,'Tracking Sheet'!B243,'Production '!$U$4:$U$4407)</f>
        <v>58</v>
      </c>
      <c r="G243" s="76">
        <f ca="1">SUMIF('Production '!$C$4:$AI$4407,'Tracking Sheet'!B243,'Production '!$W$4:$W$4407)</f>
        <v>5385</v>
      </c>
      <c r="H243" s="76">
        <f ca="1">SUMIF('Production '!$C$4:$AI$4407,'Tracking Sheet'!B243,'Production '!$F$4:$F$4407)</f>
        <v>5268</v>
      </c>
      <c r="I243" s="76">
        <f ca="1">SUMIF('Production '!$C$4:$AI$4407,'Tracking Sheet'!B243,'Production '!$V$4:$V$4407)</f>
        <v>0</v>
      </c>
      <c r="J243" s="76">
        <f ca="1">SUMIF('Production '!$C$4:$AI$4407,'Tracking Sheet'!B243,'Production '!$AG$4:$AG$4407)</f>
        <v>0</v>
      </c>
    </row>
    <row r="244" spans="2:10" x14ac:dyDescent="0.3">
      <c r="B244" s="277">
        <f>'Production '!C247</f>
        <v>47746</v>
      </c>
      <c r="C244" s="76">
        <f ca="1">SUMIF('Production '!$C$4:$AI$4407,'Tracking Sheet'!B244,'Production '!$M$4:$M$4407)</f>
        <v>5443</v>
      </c>
      <c r="D244" s="76">
        <f ca="1">SUMIF('Production '!$C$4:$AI$4407,'Tracking Sheet'!B244,'Production '!$Q$4:$Q$4407)</f>
        <v>0</v>
      </c>
      <c r="E244" s="76">
        <f ca="1">SUMIF('Production '!$C$4:$AI$4407,'Tracking Sheet'!B244,'Production '!$S$4:$S$4407)</f>
        <v>0</v>
      </c>
      <c r="F244" s="76">
        <f ca="1">SUMIF('Production '!$C$4:$AI$4407,'Tracking Sheet'!B244,'Production '!$U$4:$U$4407)</f>
        <v>58</v>
      </c>
      <c r="G244" s="76">
        <f ca="1">SUMIF('Production '!$C$4:$AI$4407,'Tracking Sheet'!B244,'Production '!$W$4:$W$4407)</f>
        <v>5385</v>
      </c>
      <c r="H244" s="76">
        <f ca="1">SUMIF('Production '!$C$4:$AI$4407,'Tracking Sheet'!B244,'Production '!$F$4:$F$4407)</f>
        <v>5268</v>
      </c>
      <c r="I244" s="76">
        <f ca="1">SUMIF('Production '!$C$4:$AI$4407,'Tracking Sheet'!B244,'Production '!$V$4:$V$4407)</f>
        <v>0</v>
      </c>
      <c r="J244" s="76">
        <f ca="1">SUMIF('Production '!$C$4:$AI$4407,'Tracking Sheet'!B244,'Production '!$AG$4:$AG$4407)</f>
        <v>0</v>
      </c>
    </row>
    <row r="245" spans="2:10" x14ac:dyDescent="0.3">
      <c r="B245" s="277">
        <f>'Production '!C248</f>
        <v>0</v>
      </c>
      <c r="C245" s="76" t="e">
        <f ca="1">SUMIF('Production '!$C$4:$AI$4407,'Tracking Sheet'!B245,'Production '!$M$4:$M$4407)</f>
        <v>#DIV/0!</v>
      </c>
      <c r="D245" s="76" t="e">
        <f ca="1">SUMIF('Production '!$C$4:$AI$4407,'Tracking Sheet'!B245,'Production '!$Q$4:$Q$4407)</f>
        <v>#DIV/0!</v>
      </c>
      <c r="E245" s="76">
        <f ca="1">SUMIF('Production '!$C$4:$AI$4407,'Tracking Sheet'!B245,'Production '!$S$4:$S$4407)</f>
        <v>-1268218.9828305368</v>
      </c>
      <c r="F245" s="76">
        <f ca="1">SUMIF('Production '!$C$4:$AI$4407,'Tracking Sheet'!B245,'Production '!$U$4:$U$4407)</f>
        <v>-10620.435600016917</v>
      </c>
      <c r="G245" s="76" t="e">
        <f ca="1">SUMIF('Production '!$C$4:$AI$4407,'Tracking Sheet'!B245,'Production '!$W$4:$W$4407)</f>
        <v>#DIV/0!</v>
      </c>
      <c r="H245" s="76">
        <f ca="1">SUMIF('Production '!$C$4:$AI$4407,'Tracking Sheet'!B245,'Production '!$F$4:$F$4407)</f>
        <v>3230621.3283604058</v>
      </c>
      <c r="I245" s="76">
        <f ca="1">SUMIF('Production '!$C$4:$AI$4407,'Tracking Sheet'!B245,'Production '!$V$4:$V$4407)</f>
        <v>-489.86487791182844</v>
      </c>
      <c r="J245" s="76">
        <f ca="1">SUMIF('Production '!$C$4:$AI$4407,'Tracking Sheet'!B245,'Production '!$AG$4:$AG$4407)</f>
        <v>0</v>
      </c>
    </row>
    <row r="246" spans="2:10" x14ac:dyDescent="0.3">
      <c r="B246" s="277">
        <f>'Production '!C249</f>
        <v>47730</v>
      </c>
      <c r="C246" s="76">
        <f ca="1">SUMIF('Production '!$C$4:$AI$4407,'Tracking Sheet'!B246,'Production '!$M$4:$M$4407)</f>
        <v>4242</v>
      </c>
      <c r="D246" s="76">
        <f ca="1">SUMIF('Production '!$C$4:$AI$4407,'Tracking Sheet'!B246,'Production '!$Q$4:$Q$4407)</f>
        <v>0</v>
      </c>
      <c r="E246" s="76">
        <f ca="1">SUMIF('Production '!$C$4:$AI$4407,'Tracking Sheet'!B246,'Production '!$S$4:$S$4407)</f>
        <v>0</v>
      </c>
      <c r="F246" s="76">
        <f ca="1">SUMIF('Production '!$C$4:$AI$4407,'Tracking Sheet'!B246,'Production '!$U$4:$U$4407)</f>
        <v>4242</v>
      </c>
      <c r="G246" s="76">
        <f ca="1">SUMIF('Production '!$C$4:$AI$4407,'Tracking Sheet'!B246,'Production '!$W$4:$W$4407)</f>
        <v>0</v>
      </c>
      <c r="H246" s="76">
        <f ca="1">SUMIF('Production '!$C$4:$AI$4407,'Tracking Sheet'!B246,'Production '!$F$4:$F$4407)</f>
        <v>7539</v>
      </c>
      <c r="I246" s="76">
        <f ca="1">SUMIF('Production '!$C$4:$AI$4407,'Tracking Sheet'!B246,'Production '!$V$4:$V$4407)</f>
        <v>0</v>
      </c>
      <c r="J246" s="76">
        <f ca="1">SUMIF('Production '!$C$4:$AI$4407,'Tracking Sheet'!B246,'Production '!$AG$4:$AG$4407)</f>
        <v>-3297</v>
      </c>
    </row>
    <row r="247" spans="2:10" x14ac:dyDescent="0.3">
      <c r="B247" s="277">
        <f>'Production '!C250</f>
        <v>47730</v>
      </c>
      <c r="C247" s="76">
        <f ca="1">SUMIF('Production '!$C$4:$AI$4407,'Tracking Sheet'!B247,'Production '!$M$4:$M$4407)</f>
        <v>4242</v>
      </c>
      <c r="D247" s="76">
        <f ca="1">SUMIF('Production '!$C$4:$AI$4407,'Tracking Sheet'!B247,'Production '!$Q$4:$Q$4407)</f>
        <v>0</v>
      </c>
      <c r="E247" s="76">
        <f ca="1">SUMIF('Production '!$C$4:$AI$4407,'Tracking Sheet'!B247,'Production '!$S$4:$S$4407)</f>
        <v>0</v>
      </c>
      <c r="F247" s="76">
        <f ca="1">SUMIF('Production '!$C$4:$AI$4407,'Tracking Sheet'!B247,'Production '!$U$4:$U$4407)</f>
        <v>4242</v>
      </c>
      <c r="G247" s="76">
        <f ca="1">SUMIF('Production '!$C$4:$AI$4407,'Tracking Sheet'!B247,'Production '!$W$4:$W$4407)</f>
        <v>0</v>
      </c>
      <c r="H247" s="76">
        <f ca="1">SUMIF('Production '!$C$4:$AI$4407,'Tracking Sheet'!B247,'Production '!$F$4:$F$4407)</f>
        <v>7539</v>
      </c>
      <c r="I247" s="76">
        <f ca="1">SUMIF('Production '!$C$4:$AI$4407,'Tracking Sheet'!B247,'Production '!$V$4:$V$4407)</f>
        <v>0</v>
      </c>
      <c r="J247" s="76">
        <f ca="1">SUMIF('Production '!$C$4:$AI$4407,'Tracking Sheet'!B247,'Production '!$AG$4:$AG$4407)</f>
        <v>-3297</v>
      </c>
    </row>
    <row r="248" spans="2:10" x14ac:dyDescent="0.3">
      <c r="B248" s="277">
        <f>'Production '!C251</f>
        <v>47730</v>
      </c>
      <c r="C248" s="76">
        <f ca="1">SUMIF('Production '!$C$4:$AI$4407,'Tracking Sheet'!B248,'Production '!$M$4:$M$4407)</f>
        <v>4242</v>
      </c>
      <c r="D248" s="76">
        <f ca="1">SUMIF('Production '!$C$4:$AI$4407,'Tracking Sheet'!B248,'Production '!$Q$4:$Q$4407)</f>
        <v>0</v>
      </c>
      <c r="E248" s="76">
        <f ca="1">SUMIF('Production '!$C$4:$AI$4407,'Tracking Sheet'!B248,'Production '!$S$4:$S$4407)</f>
        <v>0</v>
      </c>
      <c r="F248" s="76">
        <f ca="1">SUMIF('Production '!$C$4:$AI$4407,'Tracking Sheet'!B248,'Production '!$U$4:$U$4407)</f>
        <v>4242</v>
      </c>
      <c r="G248" s="76">
        <f ca="1">SUMIF('Production '!$C$4:$AI$4407,'Tracking Sheet'!B248,'Production '!$W$4:$W$4407)</f>
        <v>0</v>
      </c>
      <c r="H248" s="76">
        <f ca="1">SUMIF('Production '!$C$4:$AI$4407,'Tracking Sheet'!B248,'Production '!$F$4:$F$4407)</f>
        <v>7539</v>
      </c>
      <c r="I248" s="76">
        <f ca="1">SUMIF('Production '!$C$4:$AI$4407,'Tracking Sheet'!B248,'Production '!$V$4:$V$4407)</f>
        <v>0</v>
      </c>
      <c r="J248" s="76">
        <f ca="1">SUMIF('Production '!$C$4:$AI$4407,'Tracking Sheet'!B248,'Production '!$AG$4:$AG$4407)</f>
        <v>-3297</v>
      </c>
    </row>
    <row r="249" spans="2:10" x14ac:dyDescent="0.3">
      <c r="B249" s="277">
        <f>'Production '!C252</f>
        <v>0</v>
      </c>
      <c r="C249" s="76" t="e">
        <f ca="1">SUMIF('Production '!$C$4:$AI$4407,'Tracking Sheet'!B249,'Production '!$M$4:$M$4407)</f>
        <v>#DIV/0!</v>
      </c>
      <c r="D249" s="76" t="e">
        <f ca="1">SUMIF('Production '!$C$4:$AI$4407,'Tracking Sheet'!B249,'Production '!$Q$4:$Q$4407)</f>
        <v>#DIV/0!</v>
      </c>
      <c r="E249" s="76">
        <f ca="1">SUMIF('Production '!$C$4:$AI$4407,'Tracking Sheet'!B249,'Production '!$S$4:$S$4407)</f>
        <v>-1268218.9828305368</v>
      </c>
      <c r="F249" s="76">
        <f ca="1">SUMIF('Production '!$C$4:$AI$4407,'Tracking Sheet'!B249,'Production '!$U$4:$U$4407)</f>
        <v>-10620.435600016917</v>
      </c>
      <c r="G249" s="76" t="e">
        <f ca="1">SUMIF('Production '!$C$4:$AI$4407,'Tracking Sheet'!B249,'Production '!$W$4:$W$4407)</f>
        <v>#DIV/0!</v>
      </c>
      <c r="H249" s="76">
        <f ca="1">SUMIF('Production '!$C$4:$AI$4407,'Tracking Sheet'!B249,'Production '!$F$4:$F$4407)</f>
        <v>3230621.3283604058</v>
      </c>
      <c r="I249" s="76">
        <f ca="1">SUMIF('Production '!$C$4:$AI$4407,'Tracking Sheet'!B249,'Production '!$V$4:$V$4407)</f>
        <v>-489.86487791182844</v>
      </c>
      <c r="J249" s="76">
        <f ca="1">SUMIF('Production '!$C$4:$AI$4407,'Tracking Sheet'!B249,'Production '!$AG$4:$AG$4407)</f>
        <v>0</v>
      </c>
    </row>
    <row r="250" spans="2:10" x14ac:dyDescent="0.3">
      <c r="B250" s="277">
        <f>'Production '!C253</f>
        <v>47729</v>
      </c>
      <c r="C250" s="76">
        <f ca="1">SUMIF('Production '!$C$4:$AI$4407,'Tracking Sheet'!B250,'Production '!$M$4:$M$4407)</f>
        <v>7582</v>
      </c>
      <c r="D250" s="76">
        <f ca="1">SUMIF('Production '!$C$4:$AI$4407,'Tracking Sheet'!B250,'Production '!$Q$4:$Q$4407)</f>
        <v>0</v>
      </c>
      <c r="E250" s="76">
        <f ca="1">SUMIF('Production '!$C$4:$AI$4407,'Tracking Sheet'!B250,'Production '!$S$4:$S$4407)</f>
        <v>0</v>
      </c>
      <c r="F250" s="76">
        <f ca="1">SUMIF('Production '!$C$4:$AI$4407,'Tracking Sheet'!B250,'Production '!$U$4:$U$4407)</f>
        <v>7582</v>
      </c>
      <c r="G250" s="76">
        <f ca="1">SUMIF('Production '!$C$4:$AI$4407,'Tracking Sheet'!B250,'Production '!$W$4:$W$4407)</f>
        <v>0</v>
      </c>
      <c r="H250" s="76">
        <f ca="1">SUMIF('Production '!$C$4:$AI$4407,'Tracking Sheet'!B250,'Production '!$F$4:$F$4407)</f>
        <v>7539</v>
      </c>
      <c r="I250" s="76">
        <f ca="1">SUMIF('Production '!$C$4:$AI$4407,'Tracking Sheet'!B250,'Production '!$V$4:$V$4407)</f>
        <v>0</v>
      </c>
      <c r="J250" s="76">
        <f ca="1">SUMIF('Production '!$C$4:$AI$4407,'Tracking Sheet'!B250,'Production '!$AG$4:$AG$4407)</f>
        <v>-23</v>
      </c>
    </row>
    <row r="251" spans="2:10" x14ac:dyDescent="0.3">
      <c r="B251" s="277">
        <f>'Production '!C254</f>
        <v>47729</v>
      </c>
      <c r="C251" s="76">
        <f ca="1">SUMIF('Production '!$C$4:$AI$4407,'Tracking Sheet'!B251,'Production '!$M$4:$M$4407)</f>
        <v>7582</v>
      </c>
      <c r="D251" s="76">
        <f ca="1">SUMIF('Production '!$C$4:$AI$4407,'Tracking Sheet'!B251,'Production '!$Q$4:$Q$4407)</f>
        <v>0</v>
      </c>
      <c r="E251" s="76">
        <f ca="1">SUMIF('Production '!$C$4:$AI$4407,'Tracking Sheet'!B251,'Production '!$S$4:$S$4407)</f>
        <v>0</v>
      </c>
      <c r="F251" s="76">
        <f ca="1">SUMIF('Production '!$C$4:$AI$4407,'Tracking Sheet'!B251,'Production '!$U$4:$U$4407)</f>
        <v>7582</v>
      </c>
      <c r="G251" s="76">
        <f ca="1">SUMIF('Production '!$C$4:$AI$4407,'Tracking Sheet'!B251,'Production '!$W$4:$W$4407)</f>
        <v>0</v>
      </c>
      <c r="H251" s="76">
        <f ca="1">SUMIF('Production '!$C$4:$AI$4407,'Tracking Sheet'!B251,'Production '!$F$4:$F$4407)</f>
        <v>7539</v>
      </c>
      <c r="I251" s="76">
        <f ca="1">SUMIF('Production '!$C$4:$AI$4407,'Tracking Sheet'!B251,'Production '!$V$4:$V$4407)</f>
        <v>0</v>
      </c>
      <c r="J251" s="76">
        <f ca="1">SUMIF('Production '!$C$4:$AI$4407,'Tracking Sheet'!B251,'Production '!$AG$4:$AG$4407)</f>
        <v>-23</v>
      </c>
    </row>
    <row r="252" spans="2:10" x14ac:dyDescent="0.3">
      <c r="B252" s="277">
        <f>'Production '!C255</f>
        <v>47729</v>
      </c>
      <c r="C252" s="76">
        <f ca="1">SUMIF('Production '!$C$4:$AI$4407,'Tracking Sheet'!B252,'Production '!$M$4:$M$4407)</f>
        <v>7582</v>
      </c>
      <c r="D252" s="76">
        <f ca="1">SUMIF('Production '!$C$4:$AI$4407,'Tracking Sheet'!B252,'Production '!$Q$4:$Q$4407)</f>
        <v>0</v>
      </c>
      <c r="E252" s="76">
        <f ca="1">SUMIF('Production '!$C$4:$AI$4407,'Tracking Sheet'!B252,'Production '!$S$4:$S$4407)</f>
        <v>0</v>
      </c>
      <c r="F252" s="76">
        <f ca="1">SUMIF('Production '!$C$4:$AI$4407,'Tracking Sheet'!B252,'Production '!$U$4:$U$4407)</f>
        <v>7582</v>
      </c>
      <c r="G252" s="76">
        <f ca="1">SUMIF('Production '!$C$4:$AI$4407,'Tracking Sheet'!B252,'Production '!$W$4:$W$4407)</f>
        <v>0</v>
      </c>
      <c r="H252" s="76">
        <f ca="1">SUMIF('Production '!$C$4:$AI$4407,'Tracking Sheet'!B252,'Production '!$F$4:$F$4407)</f>
        <v>7539</v>
      </c>
      <c r="I252" s="76">
        <f ca="1">SUMIF('Production '!$C$4:$AI$4407,'Tracking Sheet'!B252,'Production '!$V$4:$V$4407)</f>
        <v>0</v>
      </c>
      <c r="J252" s="76">
        <f ca="1">SUMIF('Production '!$C$4:$AI$4407,'Tracking Sheet'!B252,'Production '!$AG$4:$AG$4407)</f>
        <v>-23</v>
      </c>
    </row>
    <row r="253" spans="2:10" x14ac:dyDescent="0.3">
      <c r="B253" s="277">
        <f>'Production '!C256</f>
        <v>0</v>
      </c>
      <c r="C253" s="76" t="e">
        <f ca="1">SUMIF('Production '!$C$4:$AI$4407,'Tracking Sheet'!B253,'Production '!$M$4:$M$4407)</f>
        <v>#DIV/0!</v>
      </c>
      <c r="D253" s="76" t="e">
        <f ca="1">SUMIF('Production '!$C$4:$AI$4407,'Tracking Sheet'!B253,'Production '!$Q$4:$Q$4407)</f>
        <v>#DIV/0!</v>
      </c>
      <c r="E253" s="76">
        <f ca="1">SUMIF('Production '!$C$4:$AI$4407,'Tracking Sheet'!B253,'Production '!$S$4:$S$4407)</f>
        <v>-1268218.9828305368</v>
      </c>
      <c r="F253" s="76">
        <f ca="1">SUMIF('Production '!$C$4:$AI$4407,'Tracking Sheet'!B253,'Production '!$U$4:$U$4407)</f>
        <v>-10620.435600016917</v>
      </c>
      <c r="G253" s="76" t="e">
        <f ca="1">SUMIF('Production '!$C$4:$AI$4407,'Tracking Sheet'!B253,'Production '!$W$4:$W$4407)</f>
        <v>#DIV/0!</v>
      </c>
      <c r="H253" s="76">
        <f ca="1">SUMIF('Production '!$C$4:$AI$4407,'Tracking Sheet'!B253,'Production '!$F$4:$F$4407)</f>
        <v>3230621.3283604058</v>
      </c>
      <c r="I253" s="76">
        <f ca="1">SUMIF('Production '!$C$4:$AI$4407,'Tracking Sheet'!B253,'Production '!$V$4:$V$4407)</f>
        <v>-489.86487791182844</v>
      </c>
      <c r="J253" s="76">
        <f ca="1">SUMIF('Production '!$C$4:$AI$4407,'Tracking Sheet'!B253,'Production '!$AG$4:$AG$4407)</f>
        <v>0</v>
      </c>
    </row>
    <row r="254" spans="2:10" x14ac:dyDescent="0.3">
      <c r="B254" s="277">
        <f>'Production '!C257</f>
        <v>47779</v>
      </c>
      <c r="C254" s="76">
        <f ca="1">SUMIF('Production '!$C$4:$AI$4407,'Tracking Sheet'!B254,'Production '!$M$4:$M$4407)</f>
        <v>3120</v>
      </c>
      <c r="D254" s="76">
        <f ca="1">SUMIF('Production '!$C$4:$AI$4407,'Tracking Sheet'!B254,'Production '!$Q$4:$Q$4407)</f>
        <v>0</v>
      </c>
      <c r="E254" s="76">
        <f ca="1">SUMIF('Production '!$C$4:$AI$4407,'Tracking Sheet'!B254,'Production '!$S$4:$S$4407)</f>
        <v>0</v>
      </c>
      <c r="F254" s="76">
        <f ca="1">SUMIF('Production '!$C$4:$AI$4407,'Tracking Sheet'!B254,'Production '!$U$4:$U$4407)</f>
        <v>0</v>
      </c>
      <c r="G254" s="76">
        <f ca="1">SUMIF('Production '!$C$4:$AI$4407,'Tracking Sheet'!B254,'Production '!$W$4:$W$4407)</f>
        <v>3120</v>
      </c>
      <c r="H254" s="76">
        <f ca="1">SUMIF('Production '!$C$4:$AI$4407,'Tracking Sheet'!B254,'Production '!$F$4:$F$4407)</f>
        <v>2994</v>
      </c>
      <c r="I254" s="76">
        <f ca="1">SUMIF('Production '!$C$4:$AI$4407,'Tracking Sheet'!B254,'Production '!$V$4:$V$4407)</f>
        <v>0</v>
      </c>
      <c r="J254" s="76">
        <f ca="1">SUMIF('Production '!$C$4:$AI$4407,'Tracking Sheet'!B254,'Production '!$AG$4:$AG$4407)</f>
        <v>0</v>
      </c>
    </row>
    <row r="255" spans="2:10" x14ac:dyDescent="0.3">
      <c r="B255" s="277">
        <f>'Production '!C258</f>
        <v>0</v>
      </c>
      <c r="C255" s="76" t="e">
        <f ca="1">SUMIF('Production '!$C$4:$AI$4407,'Tracking Sheet'!B255,'Production '!$M$4:$M$4407)</f>
        <v>#DIV/0!</v>
      </c>
      <c r="D255" s="76" t="e">
        <f ca="1">SUMIF('Production '!$C$4:$AI$4407,'Tracking Sheet'!B255,'Production '!$Q$4:$Q$4407)</f>
        <v>#DIV/0!</v>
      </c>
      <c r="E255" s="76">
        <f ca="1">SUMIF('Production '!$C$4:$AI$4407,'Tracking Sheet'!B255,'Production '!$S$4:$S$4407)</f>
        <v>-1268218.9828305368</v>
      </c>
      <c r="F255" s="76">
        <f ca="1">SUMIF('Production '!$C$4:$AI$4407,'Tracking Sheet'!B255,'Production '!$U$4:$U$4407)</f>
        <v>-10620.435600016917</v>
      </c>
      <c r="G255" s="76" t="e">
        <f ca="1">SUMIF('Production '!$C$4:$AI$4407,'Tracking Sheet'!B255,'Production '!$W$4:$W$4407)</f>
        <v>#DIV/0!</v>
      </c>
      <c r="H255" s="76">
        <f ca="1">SUMIF('Production '!$C$4:$AI$4407,'Tracking Sheet'!B255,'Production '!$F$4:$F$4407)</f>
        <v>3230621.3283604058</v>
      </c>
      <c r="I255" s="76">
        <f ca="1">SUMIF('Production '!$C$4:$AI$4407,'Tracking Sheet'!B255,'Production '!$V$4:$V$4407)</f>
        <v>-489.86487791182844</v>
      </c>
      <c r="J255" s="76">
        <f ca="1">SUMIF('Production '!$C$4:$AI$4407,'Tracking Sheet'!B255,'Production '!$AG$4:$AG$4407)</f>
        <v>0</v>
      </c>
    </row>
    <row r="256" spans="2:10" x14ac:dyDescent="0.3">
      <c r="B256" s="277">
        <f>'Production '!C259</f>
        <v>47814</v>
      </c>
      <c r="C256" s="76">
        <f ca="1">SUMIF('Production '!$C$4:$AI$4407,'Tracking Sheet'!B256,'Production '!$M$4:$M$4407)</f>
        <v>0</v>
      </c>
      <c r="D256" s="76">
        <f ca="1">SUMIF('Production '!$C$4:$AI$4407,'Tracking Sheet'!B256,'Production '!$Q$4:$Q$4407)</f>
        <v>0</v>
      </c>
      <c r="E256" s="76">
        <f ca="1">SUMIF('Production '!$C$4:$AI$4407,'Tracking Sheet'!B256,'Production '!$S$4:$S$4407)</f>
        <v>0</v>
      </c>
      <c r="F256" s="76">
        <f ca="1">SUMIF('Production '!$C$4:$AI$4407,'Tracking Sheet'!B256,'Production '!$U$4:$U$4407)</f>
        <v>0</v>
      </c>
      <c r="G256" s="76">
        <f ca="1">SUMIF('Production '!$C$4:$AI$4407,'Tracking Sheet'!B256,'Production '!$W$4:$W$4407)</f>
        <v>0</v>
      </c>
      <c r="H256" s="76">
        <f ca="1">SUMIF('Production '!$C$4:$AI$4407,'Tracking Sheet'!B256,'Production '!$F$4:$F$4407)</f>
        <v>11780</v>
      </c>
      <c r="I256" s="76">
        <f ca="1">SUMIF('Production '!$C$4:$AI$4407,'Tracking Sheet'!B256,'Production '!$V$4:$V$4407)</f>
        <v>0</v>
      </c>
      <c r="J256" s="76">
        <f ca="1">SUMIF('Production '!$C$4:$AI$4407,'Tracking Sheet'!B256,'Production '!$AG$4:$AG$4407)</f>
        <v>-11780</v>
      </c>
    </row>
    <row r="257" spans="2:10" x14ac:dyDescent="0.3">
      <c r="B257" s="277">
        <f>'Production '!C260</f>
        <v>47814</v>
      </c>
      <c r="C257" s="76">
        <f ca="1">SUMIF('Production '!$C$4:$AI$4407,'Tracking Sheet'!B257,'Production '!$M$4:$M$4407)</f>
        <v>0</v>
      </c>
      <c r="D257" s="76">
        <f ca="1">SUMIF('Production '!$C$4:$AI$4407,'Tracking Sheet'!B257,'Production '!$Q$4:$Q$4407)</f>
        <v>0</v>
      </c>
      <c r="E257" s="76">
        <f ca="1">SUMIF('Production '!$C$4:$AI$4407,'Tracking Sheet'!B257,'Production '!$S$4:$S$4407)</f>
        <v>0</v>
      </c>
      <c r="F257" s="76">
        <f ca="1">SUMIF('Production '!$C$4:$AI$4407,'Tracking Sheet'!B257,'Production '!$U$4:$U$4407)</f>
        <v>0</v>
      </c>
      <c r="G257" s="76">
        <f ca="1">SUMIF('Production '!$C$4:$AI$4407,'Tracking Sheet'!B257,'Production '!$W$4:$W$4407)</f>
        <v>0</v>
      </c>
      <c r="H257" s="76">
        <f ca="1">SUMIF('Production '!$C$4:$AI$4407,'Tracking Sheet'!B257,'Production '!$F$4:$F$4407)</f>
        <v>11780</v>
      </c>
      <c r="I257" s="76">
        <f ca="1">SUMIF('Production '!$C$4:$AI$4407,'Tracking Sheet'!B257,'Production '!$V$4:$V$4407)</f>
        <v>0</v>
      </c>
      <c r="J257" s="76">
        <f ca="1">SUMIF('Production '!$C$4:$AI$4407,'Tracking Sheet'!B257,'Production '!$AG$4:$AG$4407)</f>
        <v>-11780</v>
      </c>
    </row>
    <row r="258" spans="2:10" x14ac:dyDescent="0.3">
      <c r="B258" s="277">
        <f>'Production '!C261</f>
        <v>47814</v>
      </c>
      <c r="C258" s="76">
        <f ca="1">SUMIF('Production '!$C$4:$AI$4407,'Tracking Sheet'!B258,'Production '!$M$4:$M$4407)</f>
        <v>0</v>
      </c>
      <c r="D258" s="76">
        <f ca="1">SUMIF('Production '!$C$4:$AI$4407,'Tracking Sheet'!B258,'Production '!$Q$4:$Q$4407)</f>
        <v>0</v>
      </c>
      <c r="E258" s="76">
        <f ca="1">SUMIF('Production '!$C$4:$AI$4407,'Tracking Sheet'!B258,'Production '!$S$4:$S$4407)</f>
        <v>0</v>
      </c>
      <c r="F258" s="76">
        <f ca="1">SUMIF('Production '!$C$4:$AI$4407,'Tracking Sheet'!B258,'Production '!$U$4:$U$4407)</f>
        <v>0</v>
      </c>
      <c r="G258" s="76">
        <f ca="1">SUMIF('Production '!$C$4:$AI$4407,'Tracking Sheet'!B258,'Production '!$W$4:$W$4407)</f>
        <v>0</v>
      </c>
      <c r="H258" s="76">
        <f ca="1">SUMIF('Production '!$C$4:$AI$4407,'Tracking Sheet'!B258,'Production '!$F$4:$F$4407)</f>
        <v>11780</v>
      </c>
      <c r="I258" s="76">
        <f ca="1">SUMIF('Production '!$C$4:$AI$4407,'Tracking Sheet'!B258,'Production '!$V$4:$V$4407)</f>
        <v>0</v>
      </c>
      <c r="J258" s="76">
        <f ca="1">SUMIF('Production '!$C$4:$AI$4407,'Tracking Sheet'!B258,'Production '!$AG$4:$AG$4407)</f>
        <v>-11780</v>
      </c>
    </row>
    <row r="259" spans="2:10" x14ac:dyDescent="0.3">
      <c r="B259" s="277">
        <f>'Production '!C262</f>
        <v>0</v>
      </c>
      <c r="C259" s="76" t="e">
        <f ca="1">SUMIF('Production '!$C$4:$AI$4407,'Tracking Sheet'!B259,'Production '!$M$4:$M$4407)</f>
        <v>#DIV/0!</v>
      </c>
      <c r="D259" s="76" t="e">
        <f ca="1">SUMIF('Production '!$C$4:$AI$4407,'Tracking Sheet'!B259,'Production '!$Q$4:$Q$4407)</f>
        <v>#DIV/0!</v>
      </c>
      <c r="E259" s="76">
        <f ca="1">SUMIF('Production '!$C$4:$AI$4407,'Tracking Sheet'!B259,'Production '!$S$4:$S$4407)</f>
        <v>-1268218.9828305368</v>
      </c>
      <c r="F259" s="76">
        <f ca="1">SUMIF('Production '!$C$4:$AI$4407,'Tracking Sheet'!B259,'Production '!$U$4:$U$4407)</f>
        <v>-10620.435600016917</v>
      </c>
      <c r="G259" s="76" t="e">
        <f ca="1">SUMIF('Production '!$C$4:$AI$4407,'Tracking Sheet'!B259,'Production '!$W$4:$W$4407)</f>
        <v>#DIV/0!</v>
      </c>
      <c r="H259" s="76">
        <f ca="1">SUMIF('Production '!$C$4:$AI$4407,'Tracking Sheet'!B259,'Production '!$F$4:$F$4407)</f>
        <v>3230621.3283604058</v>
      </c>
      <c r="I259" s="76">
        <f ca="1">SUMIF('Production '!$C$4:$AI$4407,'Tracking Sheet'!B259,'Production '!$V$4:$V$4407)</f>
        <v>-489.86487791182844</v>
      </c>
      <c r="J259" s="76">
        <f ca="1">SUMIF('Production '!$C$4:$AI$4407,'Tracking Sheet'!B259,'Production '!$AG$4:$AG$4407)</f>
        <v>0</v>
      </c>
    </row>
    <row r="260" spans="2:10" x14ac:dyDescent="0.3">
      <c r="B260" s="277">
        <f>'Production '!C263</f>
        <v>47831</v>
      </c>
      <c r="C260" s="76">
        <f ca="1">SUMIF('Production '!$C$4:$AI$4407,'Tracking Sheet'!B260,'Production '!$M$4:$M$4407)</f>
        <v>0</v>
      </c>
      <c r="D260" s="76">
        <f ca="1">SUMIF('Production '!$C$4:$AI$4407,'Tracking Sheet'!B260,'Production '!$Q$4:$Q$4407)</f>
        <v>0</v>
      </c>
      <c r="E260" s="76">
        <f ca="1">SUMIF('Production '!$C$4:$AI$4407,'Tracking Sheet'!B260,'Production '!$S$4:$S$4407)</f>
        <v>0</v>
      </c>
      <c r="F260" s="76">
        <f ca="1">SUMIF('Production '!$C$4:$AI$4407,'Tracking Sheet'!B260,'Production '!$U$4:$U$4407)</f>
        <v>0</v>
      </c>
      <c r="G260" s="76">
        <f ca="1">SUMIF('Production '!$C$4:$AI$4407,'Tracking Sheet'!B260,'Production '!$W$4:$W$4407)</f>
        <v>0</v>
      </c>
      <c r="H260" s="76">
        <f ca="1">SUMIF('Production '!$C$4:$AI$4407,'Tracking Sheet'!B260,'Production '!$F$4:$F$4407)</f>
        <v>9228</v>
      </c>
      <c r="I260" s="76">
        <f ca="1">SUMIF('Production '!$C$4:$AI$4407,'Tracking Sheet'!B260,'Production '!$V$4:$V$4407)</f>
        <v>0</v>
      </c>
      <c r="J260" s="76">
        <f ca="1">SUMIF('Production '!$C$4:$AI$4407,'Tracking Sheet'!B260,'Production '!$AG$4:$AG$4407)</f>
        <v>-9228</v>
      </c>
    </row>
    <row r="261" spans="2:10" x14ac:dyDescent="0.3">
      <c r="B261" s="277">
        <f>'Production '!C264</f>
        <v>47831</v>
      </c>
      <c r="C261" s="76">
        <f ca="1">SUMIF('Production '!$C$4:$AI$4407,'Tracking Sheet'!B261,'Production '!$M$4:$M$4407)</f>
        <v>0</v>
      </c>
      <c r="D261" s="76">
        <f ca="1">SUMIF('Production '!$C$4:$AI$4407,'Tracking Sheet'!B261,'Production '!$Q$4:$Q$4407)</f>
        <v>0</v>
      </c>
      <c r="E261" s="76">
        <f ca="1">SUMIF('Production '!$C$4:$AI$4407,'Tracking Sheet'!B261,'Production '!$S$4:$S$4407)</f>
        <v>0</v>
      </c>
      <c r="F261" s="76">
        <f ca="1">SUMIF('Production '!$C$4:$AI$4407,'Tracking Sheet'!B261,'Production '!$U$4:$U$4407)</f>
        <v>0</v>
      </c>
      <c r="G261" s="76">
        <f ca="1">SUMIF('Production '!$C$4:$AI$4407,'Tracking Sheet'!B261,'Production '!$W$4:$W$4407)</f>
        <v>0</v>
      </c>
      <c r="H261" s="76">
        <f ca="1">SUMIF('Production '!$C$4:$AI$4407,'Tracking Sheet'!B261,'Production '!$F$4:$F$4407)</f>
        <v>9228</v>
      </c>
      <c r="I261" s="76">
        <f ca="1">SUMIF('Production '!$C$4:$AI$4407,'Tracking Sheet'!B261,'Production '!$V$4:$V$4407)</f>
        <v>0</v>
      </c>
      <c r="J261" s="76">
        <f ca="1">SUMIF('Production '!$C$4:$AI$4407,'Tracking Sheet'!B261,'Production '!$AG$4:$AG$4407)</f>
        <v>-9228</v>
      </c>
    </row>
    <row r="262" spans="2:10" x14ac:dyDescent="0.3">
      <c r="B262" s="277">
        <f>'Production '!C265</f>
        <v>0</v>
      </c>
      <c r="C262" s="76" t="e">
        <f ca="1">SUMIF('Production '!$C$4:$AI$4407,'Tracking Sheet'!B262,'Production '!$M$4:$M$4407)</f>
        <v>#DIV/0!</v>
      </c>
      <c r="D262" s="76" t="e">
        <f ca="1">SUMIF('Production '!$C$4:$AI$4407,'Tracking Sheet'!B262,'Production '!$Q$4:$Q$4407)</f>
        <v>#DIV/0!</v>
      </c>
      <c r="E262" s="76">
        <f ca="1">SUMIF('Production '!$C$4:$AI$4407,'Tracking Sheet'!B262,'Production '!$S$4:$S$4407)</f>
        <v>-1268218.9828305368</v>
      </c>
      <c r="F262" s="76">
        <f ca="1">SUMIF('Production '!$C$4:$AI$4407,'Tracking Sheet'!B262,'Production '!$U$4:$U$4407)</f>
        <v>-10620.435600016917</v>
      </c>
      <c r="G262" s="76" t="e">
        <f ca="1">SUMIF('Production '!$C$4:$AI$4407,'Tracking Sheet'!B262,'Production '!$W$4:$W$4407)</f>
        <v>#DIV/0!</v>
      </c>
      <c r="H262" s="76">
        <f ca="1">SUMIF('Production '!$C$4:$AI$4407,'Tracking Sheet'!B262,'Production '!$F$4:$F$4407)</f>
        <v>3230621.3283604058</v>
      </c>
      <c r="I262" s="76">
        <f ca="1">SUMIF('Production '!$C$4:$AI$4407,'Tracking Sheet'!B262,'Production '!$V$4:$V$4407)</f>
        <v>-489.86487791182844</v>
      </c>
      <c r="J262" s="76">
        <f ca="1">SUMIF('Production '!$C$4:$AI$4407,'Tracking Sheet'!B262,'Production '!$AG$4:$AG$4407)</f>
        <v>0</v>
      </c>
    </row>
    <row r="263" spans="2:10" x14ac:dyDescent="0.3">
      <c r="B263" s="277">
        <f>'Production '!C266</f>
        <v>48138</v>
      </c>
      <c r="C263" s="76">
        <f ca="1">SUMIF('Production '!$C$4:$AI$4407,'Tracking Sheet'!B263,'Production '!$M$4:$M$4407)</f>
        <v>4596</v>
      </c>
      <c r="D263" s="76">
        <f ca="1">SUMIF('Production '!$C$4:$AI$4407,'Tracking Sheet'!B263,'Production '!$Q$4:$Q$4407)</f>
        <v>4626</v>
      </c>
      <c r="E263" s="76">
        <f ca="1">SUMIF('Production '!$C$4:$AI$4407,'Tracking Sheet'!B263,'Production '!$S$4:$S$4407)</f>
        <v>0</v>
      </c>
      <c r="F263" s="76">
        <f ca="1">SUMIF('Production '!$C$4:$AI$4407,'Tracking Sheet'!B263,'Production '!$U$4:$U$4407)</f>
        <v>0</v>
      </c>
      <c r="G263" s="76">
        <f ca="1">SUMIF('Production '!$C$4:$AI$4407,'Tracking Sheet'!B263,'Production '!$W$4:$W$4407)</f>
        <v>0</v>
      </c>
      <c r="H263" s="76">
        <f ca="1">SUMIF('Production '!$C$4:$AI$4407,'Tracking Sheet'!B263,'Production '!$F$4:$F$4407)</f>
        <v>4572</v>
      </c>
      <c r="I263" s="76">
        <f ca="1">SUMIF('Production '!$C$4:$AI$4407,'Tracking Sheet'!B263,'Production '!$V$4:$V$4407)</f>
        <v>0</v>
      </c>
      <c r="J263" s="76">
        <f ca="1">SUMIF('Production '!$C$4:$AI$4407,'Tracking Sheet'!B263,'Production '!$AG$4:$AG$4407)</f>
        <v>0</v>
      </c>
    </row>
    <row r="264" spans="2:10" x14ac:dyDescent="0.3">
      <c r="B264" s="277">
        <f>'Production '!C267</f>
        <v>0</v>
      </c>
      <c r="C264" s="76" t="e">
        <f ca="1">SUMIF('Production '!$C$4:$AI$4407,'Tracking Sheet'!B264,'Production '!$M$4:$M$4407)</f>
        <v>#DIV/0!</v>
      </c>
      <c r="D264" s="76" t="e">
        <f ca="1">SUMIF('Production '!$C$4:$AI$4407,'Tracking Sheet'!B264,'Production '!$Q$4:$Q$4407)</f>
        <v>#DIV/0!</v>
      </c>
      <c r="E264" s="76">
        <f ca="1">SUMIF('Production '!$C$4:$AI$4407,'Tracking Sheet'!B264,'Production '!$S$4:$S$4407)</f>
        <v>-1268218.9828305368</v>
      </c>
      <c r="F264" s="76">
        <f ca="1">SUMIF('Production '!$C$4:$AI$4407,'Tracking Sheet'!B264,'Production '!$U$4:$U$4407)</f>
        <v>-10620.435600016917</v>
      </c>
      <c r="G264" s="76" t="e">
        <f ca="1">SUMIF('Production '!$C$4:$AI$4407,'Tracking Sheet'!B264,'Production '!$W$4:$W$4407)</f>
        <v>#DIV/0!</v>
      </c>
      <c r="H264" s="76">
        <f ca="1">SUMIF('Production '!$C$4:$AI$4407,'Tracking Sheet'!B264,'Production '!$F$4:$F$4407)</f>
        <v>3230621.3283604058</v>
      </c>
      <c r="I264" s="76">
        <f ca="1">SUMIF('Production '!$C$4:$AI$4407,'Tracking Sheet'!B264,'Production '!$V$4:$V$4407)</f>
        <v>-489.86487791182844</v>
      </c>
      <c r="J264" s="76">
        <f ca="1">SUMIF('Production '!$C$4:$AI$4407,'Tracking Sheet'!B264,'Production '!$AG$4:$AG$4407)</f>
        <v>0</v>
      </c>
    </row>
    <row r="265" spans="2:10" x14ac:dyDescent="0.3">
      <c r="B265" s="277">
        <f>'Production '!C268</f>
        <v>48249</v>
      </c>
      <c r="C265" s="76">
        <f ca="1">SUMIF('Production '!$C$4:$AI$4407,'Tracking Sheet'!B265,'Production '!$M$4:$M$4407)</f>
        <v>0</v>
      </c>
      <c r="D265" s="76">
        <f ca="1">SUMIF('Production '!$C$4:$AI$4407,'Tracking Sheet'!B265,'Production '!$Q$4:$Q$4407)</f>
        <v>0</v>
      </c>
      <c r="E265" s="76">
        <f ca="1">SUMIF('Production '!$C$4:$AI$4407,'Tracking Sheet'!B265,'Production '!$S$4:$S$4407)</f>
        <v>0</v>
      </c>
      <c r="F265" s="76">
        <f ca="1">SUMIF('Production '!$C$4:$AI$4407,'Tracking Sheet'!B265,'Production '!$U$4:$U$4407)</f>
        <v>0</v>
      </c>
      <c r="G265" s="76">
        <f ca="1">SUMIF('Production '!$C$4:$AI$4407,'Tracking Sheet'!B265,'Production '!$W$4:$W$4407)</f>
        <v>0</v>
      </c>
      <c r="H265" s="76">
        <f ca="1">SUMIF('Production '!$C$4:$AI$4407,'Tracking Sheet'!B265,'Production '!$F$4:$F$4407)</f>
        <v>8116</v>
      </c>
      <c r="I265" s="76">
        <f ca="1">SUMIF('Production '!$C$4:$AI$4407,'Tracking Sheet'!B265,'Production '!$V$4:$V$4407)</f>
        <v>0</v>
      </c>
      <c r="J265" s="76">
        <f ca="1">SUMIF('Production '!$C$4:$AI$4407,'Tracking Sheet'!B265,'Production '!$AG$4:$AG$4407)</f>
        <v>-8116</v>
      </c>
    </row>
    <row r="266" spans="2:10" x14ac:dyDescent="0.3">
      <c r="B266" s="277">
        <f>'Production '!C269</f>
        <v>48249</v>
      </c>
      <c r="C266" s="76">
        <f ca="1">SUMIF('Production '!$C$4:$AI$4407,'Tracking Sheet'!B266,'Production '!$M$4:$M$4407)</f>
        <v>0</v>
      </c>
      <c r="D266" s="76">
        <f ca="1">SUMIF('Production '!$C$4:$AI$4407,'Tracking Sheet'!B266,'Production '!$Q$4:$Q$4407)</f>
        <v>0</v>
      </c>
      <c r="E266" s="76">
        <f ca="1">SUMIF('Production '!$C$4:$AI$4407,'Tracking Sheet'!B266,'Production '!$S$4:$S$4407)</f>
        <v>0</v>
      </c>
      <c r="F266" s="76">
        <f ca="1">SUMIF('Production '!$C$4:$AI$4407,'Tracking Sheet'!B266,'Production '!$U$4:$U$4407)</f>
        <v>0</v>
      </c>
      <c r="G266" s="76">
        <f ca="1">SUMIF('Production '!$C$4:$AI$4407,'Tracking Sheet'!B266,'Production '!$W$4:$W$4407)</f>
        <v>0</v>
      </c>
      <c r="H266" s="76">
        <f ca="1">SUMIF('Production '!$C$4:$AI$4407,'Tracking Sheet'!B266,'Production '!$F$4:$F$4407)</f>
        <v>8116</v>
      </c>
      <c r="I266" s="76">
        <f ca="1">SUMIF('Production '!$C$4:$AI$4407,'Tracking Sheet'!B266,'Production '!$V$4:$V$4407)</f>
        <v>0</v>
      </c>
      <c r="J266" s="76">
        <f ca="1">SUMIF('Production '!$C$4:$AI$4407,'Tracking Sheet'!B266,'Production '!$AG$4:$AG$4407)</f>
        <v>-8116</v>
      </c>
    </row>
    <row r="267" spans="2:10" x14ac:dyDescent="0.3">
      <c r="B267" s="277">
        <f>'Production '!C270</f>
        <v>0</v>
      </c>
      <c r="C267" s="76" t="e">
        <f ca="1">SUMIF('Production '!$C$4:$AI$4407,'Tracking Sheet'!B267,'Production '!$M$4:$M$4407)</f>
        <v>#DIV/0!</v>
      </c>
      <c r="D267" s="76" t="e">
        <f ca="1">SUMIF('Production '!$C$4:$AI$4407,'Tracking Sheet'!B267,'Production '!$Q$4:$Q$4407)</f>
        <v>#DIV/0!</v>
      </c>
      <c r="E267" s="76">
        <f ca="1">SUMIF('Production '!$C$4:$AI$4407,'Tracking Sheet'!B267,'Production '!$S$4:$S$4407)</f>
        <v>-1268218.9828305368</v>
      </c>
      <c r="F267" s="76">
        <f ca="1">SUMIF('Production '!$C$4:$AI$4407,'Tracking Sheet'!B267,'Production '!$U$4:$U$4407)</f>
        <v>-10620.435600016917</v>
      </c>
      <c r="G267" s="76" t="e">
        <f ca="1">SUMIF('Production '!$C$4:$AI$4407,'Tracking Sheet'!B267,'Production '!$W$4:$W$4407)</f>
        <v>#DIV/0!</v>
      </c>
      <c r="H267" s="76">
        <f ca="1">SUMIF('Production '!$C$4:$AI$4407,'Tracking Sheet'!B267,'Production '!$F$4:$F$4407)</f>
        <v>3230621.3283604058</v>
      </c>
      <c r="I267" s="76">
        <f ca="1">SUMIF('Production '!$C$4:$AI$4407,'Tracking Sheet'!B267,'Production '!$V$4:$V$4407)</f>
        <v>-489.86487791182844</v>
      </c>
      <c r="J267" s="76">
        <f ca="1">SUMIF('Production '!$C$4:$AI$4407,'Tracking Sheet'!B267,'Production '!$AG$4:$AG$4407)</f>
        <v>0</v>
      </c>
    </row>
    <row r="268" spans="2:10" x14ac:dyDescent="0.3">
      <c r="B268" s="277">
        <f>'Production '!C271</f>
        <v>47833</v>
      </c>
      <c r="C268" s="76">
        <f ca="1">SUMIF('Production '!$C$4:$AI$4407,'Tracking Sheet'!B268,'Production '!$M$4:$M$4407)</f>
        <v>0</v>
      </c>
      <c r="D268" s="76">
        <f ca="1">SUMIF('Production '!$C$4:$AI$4407,'Tracking Sheet'!B268,'Production '!$Q$4:$Q$4407)</f>
        <v>0</v>
      </c>
      <c r="E268" s="76">
        <f ca="1">SUMIF('Production '!$C$4:$AI$4407,'Tracking Sheet'!B268,'Production '!$S$4:$S$4407)</f>
        <v>0</v>
      </c>
      <c r="F268" s="76">
        <f ca="1">SUMIF('Production '!$C$4:$AI$4407,'Tracking Sheet'!B268,'Production '!$U$4:$U$4407)</f>
        <v>0</v>
      </c>
      <c r="G268" s="76">
        <f ca="1">SUMIF('Production '!$C$4:$AI$4407,'Tracking Sheet'!B268,'Production '!$W$4:$W$4407)</f>
        <v>0</v>
      </c>
      <c r="H268" s="76">
        <f ca="1">SUMIF('Production '!$C$4:$AI$4407,'Tracking Sheet'!B268,'Production '!$F$4:$F$4407)</f>
        <v>2075</v>
      </c>
      <c r="I268" s="76">
        <f ca="1">SUMIF('Production '!$C$4:$AI$4407,'Tracking Sheet'!B268,'Production '!$V$4:$V$4407)</f>
        <v>0</v>
      </c>
      <c r="J268" s="76">
        <f ca="1">SUMIF('Production '!$C$4:$AI$4407,'Tracking Sheet'!B268,'Production '!$AG$4:$AG$4407)</f>
        <v>-2075</v>
      </c>
    </row>
    <row r="269" spans="2:10" x14ac:dyDescent="0.3">
      <c r="B269" s="277">
        <f>'Production '!C272</f>
        <v>0</v>
      </c>
      <c r="C269" s="76" t="e">
        <f ca="1">SUMIF('Production '!$C$4:$AI$4407,'Tracking Sheet'!B269,'Production '!$M$4:$M$4407)</f>
        <v>#DIV/0!</v>
      </c>
      <c r="D269" s="76" t="e">
        <f ca="1">SUMIF('Production '!$C$4:$AI$4407,'Tracking Sheet'!B269,'Production '!$Q$4:$Q$4407)</f>
        <v>#DIV/0!</v>
      </c>
      <c r="E269" s="76">
        <f ca="1">SUMIF('Production '!$C$4:$AI$4407,'Tracking Sheet'!B269,'Production '!$S$4:$S$4407)</f>
        <v>-1268218.9828305368</v>
      </c>
      <c r="F269" s="76">
        <f ca="1">SUMIF('Production '!$C$4:$AI$4407,'Tracking Sheet'!B269,'Production '!$U$4:$U$4407)</f>
        <v>-10620.435600016917</v>
      </c>
      <c r="G269" s="76" t="e">
        <f ca="1">SUMIF('Production '!$C$4:$AI$4407,'Tracking Sheet'!B269,'Production '!$W$4:$W$4407)</f>
        <v>#DIV/0!</v>
      </c>
      <c r="H269" s="76">
        <f ca="1">SUMIF('Production '!$C$4:$AI$4407,'Tracking Sheet'!B269,'Production '!$F$4:$F$4407)</f>
        <v>3230621.3283604058</v>
      </c>
      <c r="I269" s="76">
        <f ca="1">SUMIF('Production '!$C$4:$AI$4407,'Tracking Sheet'!B269,'Production '!$V$4:$V$4407)</f>
        <v>-489.86487791182844</v>
      </c>
      <c r="J269" s="76">
        <f ca="1">SUMIF('Production '!$C$4:$AI$4407,'Tracking Sheet'!B269,'Production '!$AG$4:$AG$4407)</f>
        <v>0</v>
      </c>
    </row>
    <row r="270" spans="2:10" x14ac:dyDescent="0.3">
      <c r="B270" s="277">
        <f>'Production '!C273</f>
        <v>47731</v>
      </c>
      <c r="C270" s="76">
        <f ca="1">SUMIF('Production '!$C$4:$AI$4407,'Tracking Sheet'!B270,'Production '!$M$4:$M$4407)</f>
        <v>4863</v>
      </c>
      <c r="D270" s="76">
        <f ca="1">SUMIF('Production '!$C$4:$AI$4407,'Tracking Sheet'!B270,'Production '!$Q$4:$Q$4407)</f>
        <v>0</v>
      </c>
      <c r="E270" s="76">
        <f ca="1">SUMIF('Production '!$C$4:$AI$4407,'Tracking Sheet'!B270,'Production '!$S$4:$S$4407)</f>
        <v>0</v>
      </c>
      <c r="F270" s="76">
        <f ca="1">SUMIF('Production '!$C$4:$AI$4407,'Tracking Sheet'!B270,'Production '!$U$4:$U$4407)</f>
        <v>0</v>
      </c>
      <c r="G270" s="76">
        <f ca="1">SUMIF('Production '!$C$4:$AI$4407,'Tracking Sheet'!B270,'Production '!$W$4:$W$4407)</f>
        <v>4863</v>
      </c>
      <c r="H270" s="76">
        <f ca="1">SUMIF('Production '!$C$4:$AI$4407,'Tracking Sheet'!B270,'Production '!$F$4:$F$4407)</f>
        <v>5226</v>
      </c>
      <c r="I270" s="76">
        <f ca="1">SUMIF('Production '!$C$4:$AI$4407,'Tracking Sheet'!B270,'Production '!$V$4:$V$4407)</f>
        <v>1776</v>
      </c>
      <c r="J270" s="76">
        <f ca="1">SUMIF('Production '!$C$4:$AI$4407,'Tracking Sheet'!B270,'Production '!$AG$4:$AG$4407)</f>
        <v>-387</v>
      </c>
    </row>
    <row r="271" spans="2:10" x14ac:dyDescent="0.3">
      <c r="B271" s="277">
        <f>'Production '!C274</f>
        <v>47731</v>
      </c>
      <c r="C271" s="76">
        <f ca="1">SUMIF('Production '!$C$4:$AI$4407,'Tracking Sheet'!B271,'Production '!$M$4:$M$4407)</f>
        <v>4863</v>
      </c>
      <c r="D271" s="76">
        <f ca="1">SUMIF('Production '!$C$4:$AI$4407,'Tracking Sheet'!B271,'Production '!$Q$4:$Q$4407)</f>
        <v>0</v>
      </c>
      <c r="E271" s="76">
        <f ca="1">SUMIF('Production '!$C$4:$AI$4407,'Tracking Sheet'!B271,'Production '!$S$4:$S$4407)</f>
        <v>0</v>
      </c>
      <c r="F271" s="76">
        <f ca="1">SUMIF('Production '!$C$4:$AI$4407,'Tracking Sheet'!B271,'Production '!$U$4:$U$4407)</f>
        <v>0</v>
      </c>
      <c r="G271" s="76">
        <f ca="1">SUMIF('Production '!$C$4:$AI$4407,'Tracking Sheet'!B271,'Production '!$W$4:$W$4407)</f>
        <v>4863</v>
      </c>
      <c r="H271" s="76">
        <f ca="1">SUMIF('Production '!$C$4:$AI$4407,'Tracking Sheet'!B271,'Production '!$F$4:$F$4407)</f>
        <v>5226</v>
      </c>
      <c r="I271" s="76">
        <f ca="1">SUMIF('Production '!$C$4:$AI$4407,'Tracking Sheet'!B271,'Production '!$V$4:$V$4407)</f>
        <v>1776</v>
      </c>
      <c r="J271" s="76">
        <f ca="1">SUMIF('Production '!$C$4:$AI$4407,'Tracking Sheet'!B271,'Production '!$AG$4:$AG$4407)</f>
        <v>-387</v>
      </c>
    </row>
    <row r="272" spans="2:10" x14ac:dyDescent="0.3">
      <c r="B272" s="277">
        <f>'Production '!C275</f>
        <v>0</v>
      </c>
      <c r="C272" s="76" t="e">
        <f ca="1">SUMIF('Production '!$C$4:$AI$4407,'Tracking Sheet'!B272,'Production '!$M$4:$M$4407)</f>
        <v>#DIV/0!</v>
      </c>
      <c r="D272" s="76" t="e">
        <f ca="1">SUMIF('Production '!$C$4:$AI$4407,'Tracking Sheet'!B272,'Production '!$Q$4:$Q$4407)</f>
        <v>#DIV/0!</v>
      </c>
      <c r="E272" s="76">
        <f ca="1">SUMIF('Production '!$C$4:$AI$4407,'Tracking Sheet'!B272,'Production '!$S$4:$S$4407)</f>
        <v>-1268218.9828305368</v>
      </c>
      <c r="F272" s="76">
        <f ca="1">SUMIF('Production '!$C$4:$AI$4407,'Tracking Sheet'!B272,'Production '!$U$4:$U$4407)</f>
        <v>-10620.435600016917</v>
      </c>
      <c r="G272" s="76" t="e">
        <f ca="1">SUMIF('Production '!$C$4:$AI$4407,'Tracking Sheet'!B272,'Production '!$W$4:$W$4407)</f>
        <v>#DIV/0!</v>
      </c>
      <c r="H272" s="76">
        <f ca="1">SUMIF('Production '!$C$4:$AI$4407,'Tracking Sheet'!B272,'Production '!$F$4:$F$4407)</f>
        <v>3230621.3283604058</v>
      </c>
      <c r="I272" s="76">
        <f ca="1">SUMIF('Production '!$C$4:$AI$4407,'Tracking Sheet'!B272,'Production '!$V$4:$V$4407)</f>
        <v>-489.86487791182844</v>
      </c>
      <c r="J272" s="76">
        <f ca="1">SUMIF('Production '!$C$4:$AI$4407,'Tracking Sheet'!B272,'Production '!$AG$4:$AG$4407)</f>
        <v>0</v>
      </c>
    </row>
    <row r="273" spans="2:10" x14ac:dyDescent="0.3">
      <c r="B273" s="277">
        <f>'Production '!C276</f>
        <v>47728</v>
      </c>
      <c r="C273" s="76">
        <f ca="1">SUMIF('Production '!$C$4:$AI$4407,'Tracking Sheet'!B273,'Production '!$M$4:$M$4407)</f>
        <v>2348</v>
      </c>
      <c r="D273" s="76">
        <f ca="1">SUMIF('Production '!$C$4:$AI$4407,'Tracking Sheet'!B273,'Production '!$Q$4:$Q$4407)</f>
        <v>2348</v>
      </c>
      <c r="E273" s="76">
        <f ca="1">SUMIF('Production '!$C$4:$AI$4407,'Tracking Sheet'!B273,'Production '!$S$4:$S$4407)</f>
        <v>2348</v>
      </c>
      <c r="F273" s="76">
        <f ca="1">SUMIF('Production '!$C$4:$AI$4407,'Tracking Sheet'!B273,'Production '!$U$4:$U$4407)</f>
        <v>20</v>
      </c>
      <c r="G273" s="76">
        <f ca="1">SUMIF('Production '!$C$4:$AI$4407,'Tracking Sheet'!B273,'Production '!$W$4:$W$4407)</f>
        <v>2328</v>
      </c>
      <c r="H273" s="76">
        <f ca="1">SUMIF('Production '!$C$4:$AI$4407,'Tracking Sheet'!B273,'Production '!$F$4:$F$4407)</f>
        <v>2275</v>
      </c>
      <c r="I273" s="76">
        <f ca="1">SUMIF('Production '!$C$4:$AI$4407,'Tracking Sheet'!B273,'Production '!$V$4:$V$4407)</f>
        <v>0</v>
      </c>
      <c r="J273" s="76">
        <f ca="1">SUMIF('Production '!$C$4:$AI$4407,'Tracking Sheet'!B273,'Production '!$AG$4:$AG$4407)</f>
        <v>0</v>
      </c>
    </row>
    <row r="274" spans="2:10" x14ac:dyDescent="0.3">
      <c r="B274" s="277">
        <f>'Production '!C277</f>
        <v>0</v>
      </c>
      <c r="C274" s="76" t="e">
        <f ca="1">SUMIF('Production '!$C$4:$AI$4407,'Tracking Sheet'!B274,'Production '!$M$4:$M$4407)</f>
        <v>#DIV/0!</v>
      </c>
      <c r="D274" s="76" t="e">
        <f ca="1">SUMIF('Production '!$C$4:$AI$4407,'Tracking Sheet'!B274,'Production '!$Q$4:$Q$4407)</f>
        <v>#DIV/0!</v>
      </c>
      <c r="E274" s="76">
        <f ca="1">SUMIF('Production '!$C$4:$AI$4407,'Tracking Sheet'!B274,'Production '!$S$4:$S$4407)</f>
        <v>-1268218.9828305368</v>
      </c>
      <c r="F274" s="76">
        <f ca="1">SUMIF('Production '!$C$4:$AI$4407,'Tracking Sheet'!B274,'Production '!$U$4:$U$4407)</f>
        <v>-10620.435600016917</v>
      </c>
      <c r="G274" s="76" t="e">
        <f ca="1">SUMIF('Production '!$C$4:$AI$4407,'Tracking Sheet'!B274,'Production '!$W$4:$W$4407)</f>
        <v>#DIV/0!</v>
      </c>
      <c r="H274" s="76">
        <f ca="1">SUMIF('Production '!$C$4:$AI$4407,'Tracking Sheet'!B274,'Production '!$F$4:$F$4407)</f>
        <v>3230621.3283604058</v>
      </c>
      <c r="I274" s="76">
        <f ca="1">SUMIF('Production '!$C$4:$AI$4407,'Tracking Sheet'!B274,'Production '!$V$4:$V$4407)</f>
        <v>-489.86487791182844</v>
      </c>
      <c r="J274" s="76">
        <f ca="1">SUMIF('Production '!$C$4:$AI$4407,'Tracking Sheet'!B274,'Production '!$AG$4:$AG$4407)</f>
        <v>0</v>
      </c>
    </row>
    <row r="275" spans="2:10" x14ac:dyDescent="0.3">
      <c r="B275" s="277">
        <f>'Production '!C278</f>
        <v>47945</v>
      </c>
      <c r="C275" s="76">
        <f ca="1">SUMIF('Production '!$C$4:$AI$4407,'Tracking Sheet'!B275,'Production '!$M$4:$M$4407)</f>
        <v>0</v>
      </c>
      <c r="D275" s="76">
        <f ca="1">SUMIF('Production '!$C$4:$AI$4407,'Tracking Sheet'!B275,'Production '!$Q$4:$Q$4407)</f>
        <v>0</v>
      </c>
      <c r="E275" s="76">
        <f ca="1">SUMIF('Production '!$C$4:$AI$4407,'Tracking Sheet'!B275,'Production '!$S$4:$S$4407)</f>
        <v>0</v>
      </c>
      <c r="F275" s="76">
        <f ca="1">SUMIF('Production '!$C$4:$AI$4407,'Tracking Sheet'!B275,'Production '!$U$4:$U$4407)</f>
        <v>0</v>
      </c>
      <c r="G275" s="76">
        <f ca="1">SUMIF('Production '!$C$4:$AI$4407,'Tracking Sheet'!B275,'Production '!$W$4:$W$4407)</f>
        <v>0</v>
      </c>
      <c r="H275" s="76">
        <f ca="1">SUMIF('Production '!$C$4:$AI$4407,'Tracking Sheet'!B275,'Production '!$F$4:$F$4407)</f>
        <v>3337</v>
      </c>
      <c r="I275" s="76">
        <f ca="1">SUMIF('Production '!$C$4:$AI$4407,'Tracking Sheet'!B275,'Production '!$V$4:$V$4407)</f>
        <v>0</v>
      </c>
      <c r="J275" s="76">
        <f ca="1">SUMIF('Production '!$C$4:$AI$4407,'Tracking Sheet'!B275,'Production '!$AG$4:$AG$4407)</f>
        <v>-3337</v>
      </c>
    </row>
    <row r="276" spans="2:10" x14ac:dyDescent="0.3">
      <c r="B276" s="277">
        <f>'Production '!C279</f>
        <v>0</v>
      </c>
      <c r="C276" s="76" t="e">
        <f ca="1">SUMIF('Production '!$C$4:$AI$4407,'Tracking Sheet'!B276,'Production '!$M$4:$M$4407)</f>
        <v>#DIV/0!</v>
      </c>
      <c r="D276" s="76" t="e">
        <f ca="1">SUMIF('Production '!$C$4:$AI$4407,'Tracking Sheet'!B276,'Production '!$Q$4:$Q$4407)</f>
        <v>#DIV/0!</v>
      </c>
      <c r="E276" s="76">
        <f ca="1">SUMIF('Production '!$C$4:$AI$4407,'Tracking Sheet'!B276,'Production '!$S$4:$S$4407)</f>
        <v>-1268218.9828305368</v>
      </c>
      <c r="F276" s="76">
        <f ca="1">SUMIF('Production '!$C$4:$AI$4407,'Tracking Sheet'!B276,'Production '!$U$4:$U$4407)</f>
        <v>-10620.435600016917</v>
      </c>
      <c r="G276" s="76" t="e">
        <f ca="1">SUMIF('Production '!$C$4:$AI$4407,'Tracking Sheet'!B276,'Production '!$W$4:$W$4407)</f>
        <v>#DIV/0!</v>
      </c>
      <c r="H276" s="76">
        <f ca="1">SUMIF('Production '!$C$4:$AI$4407,'Tracking Sheet'!B276,'Production '!$F$4:$F$4407)</f>
        <v>3230621.3283604058</v>
      </c>
      <c r="I276" s="76">
        <f ca="1">SUMIF('Production '!$C$4:$AI$4407,'Tracking Sheet'!B276,'Production '!$V$4:$V$4407)</f>
        <v>-489.86487791182844</v>
      </c>
      <c r="J276" s="76">
        <f ca="1">SUMIF('Production '!$C$4:$AI$4407,'Tracking Sheet'!B276,'Production '!$AG$4:$AG$4407)</f>
        <v>0</v>
      </c>
    </row>
    <row r="277" spans="2:10" x14ac:dyDescent="0.3">
      <c r="B277" s="277">
        <f>'Production '!C280</f>
        <v>47820</v>
      </c>
      <c r="C277" s="76">
        <f ca="1">SUMIF('Production '!$C$4:$AI$4407,'Tracking Sheet'!B277,'Production '!$M$4:$M$4407)</f>
        <v>10424</v>
      </c>
      <c r="D277" s="76">
        <f ca="1">SUMIF('Production '!$C$4:$AI$4407,'Tracking Sheet'!B277,'Production '!$Q$4:$Q$4407)</f>
        <v>0</v>
      </c>
      <c r="E277" s="76">
        <f ca="1">SUMIF('Production '!$C$4:$AI$4407,'Tracking Sheet'!B277,'Production '!$S$4:$S$4407)</f>
        <v>0</v>
      </c>
      <c r="F277" s="76">
        <f ca="1">SUMIF('Production '!$C$4:$AI$4407,'Tracking Sheet'!B277,'Production '!$U$4:$U$4407)</f>
        <v>10424</v>
      </c>
      <c r="G277" s="76">
        <f ca="1">SUMIF('Production '!$C$4:$AI$4407,'Tracking Sheet'!B277,'Production '!$W$4:$W$4407)</f>
        <v>0</v>
      </c>
      <c r="H277" s="76">
        <f ca="1">SUMIF('Production '!$C$4:$AI$4407,'Tracking Sheet'!B277,'Production '!$F$4:$F$4407)</f>
        <v>10310</v>
      </c>
      <c r="I277" s="76">
        <f ca="1">SUMIF('Production '!$C$4:$AI$4407,'Tracking Sheet'!B277,'Production '!$V$4:$V$4407)</f>
        <v>0</v>
      </c>
      <c r="J277" s="76">
        <f ca="1">SUMIF('Production '!$C$4:$AI$4407,'Tracking Sheet'!B277,'Production '!$AG$4:$AG$4407)</f>
        <v>0</v>
      </c>
    </row>
    <row r="278" spans="2:10" x14ac:dyDescent="0.3">
      <c r="B278" s="277">
        <f>'Production '!C281</f>
        <v>47820</v>
      </c>
      <c r="C278" s="76">
        <f ca="1">SUMIF('Production '!$C$4:$AI$4407,'Tracking Sheet'!B278,'Production '!$M$4:$M$4407)</f>
        <v>10424</v>
      </c>
      <c r="D278" s="76">
        <f ca="1">SUMIF('Production '!$C$4:$AI$4407,'Tracking Sheet'!B278,'Production '!$Q$4:$Q$4407)</f>
        <v>0</v>
      </c>
      <c r="E278" s="76">
        <f ca="1">SUMIF('Production '!$C$4:$AI$4407,'Tracking Sheet'!B278,'Production '!$S$4:$S$4407)</f>
        <v>0</v>
      </c>
      <c r="F278" s="76">
        <f ca="1">SUMIF('Production '!$C$4:$AI$4407,'Tracking Sheet'!B278,'Production '!$U$4:$U$4407)</f>
        <v>10424</v>
      </c>
      <c r="G278" s="76">
        <f ca="1">SUMIF('Production '!$C$4:$AI$4407,'Tracking Sheet'!B278,'Production '!$W$4:$W$4407)</f>
        <v>0</v>
      </c>
      <c r="H278" s="76">
        <f ca="1">SUMIF('Production '!$C$4:$AI$4407,'Tracking Sheet'!B278,'Production '!$F$4:$F$4407)</f>
        <v>10310</v>
      </c>
      <c r="I278" s="76">
        <f ca="1">SUMIF('Production '!$C$4:$AI$4407,'Tracking Sheet'!B278,'Production '!$V$4:$V$4407)</f>
        <v>0</v>
      </c>
      <c r="J278" s="76">
        <f ca="1">SUMIF('Production '!$C$4:$AI$4407,'Tracking Sheet'!B278,'Production '!$AG$4:$AG$4407)</f>
        <v>0</v>
      </c>
    </row>
    <row r="279" spans="2:10" x14ac:dyDescent="0.3">
      <c r="B279" s="277">
        <f>'Production '!C282</f>
        <v>0</v>
      </c>
      <c r="C279" s="76" t="e">
        <f ca="1">SUMIF('Production '!$C$4:$AI$4407,'Tracking Sheet'!B279,'Production '!$M$4:$M$4407)</f>
        <v>#DIV/0!</v>
      </c>
      <c r="D279" s="76" t="e">
        <f ca="1">SUMIF('Production '!$C$4:$AI$4407,'Tracking Sheet'!B279,'Production '!$Q$4:$Q$4407)</f>
        <v>#DIV/0!</v>
      </c>
      <c r="E279" s="76">
        <f ca="1">SUMIF('Production '!$C$4:$AI$4407,'Tracking Sheet'!B279,'Production '!$S$4:$S$4407)</f>
        <v>-1268218.9828305368</v>
      </c>
      <c r="F279" s="76">
        <f ca="1">SUMIF('Production '!$C$4:$AI$4407,'Tracking Sheet'!B279,'Production '!$U$4:$U$4407)</f>
        <v>-10620.435600016917</v>
      </c>
      <c r="G279" s="76" t="e">
        <f ca="1">SUMIF('Production '!$C$4:$AI$4407,'Tracking Sheet'!B279,'Production '!$W$4:$W$4407)</f>
        <v>#DIV/0!</v>
      </c>
      <c r="H279" s="76">
        <f ca="1">SUMIF('Production '!$C$4:$AI$4407,'Tracking Sheet'!B279,'Production '!$F$4:$F$4407)</f>
        <v>3230621.3283604058</v>
      </c>
      <c r="I279" s="76">
        <f ca="1">SUMIF('Production '!$C$4:$AI$4407,'Tracking Sheet'!B279,'Production '!$V$4:$V$4407)</f>
        <v>-489.86487791182844</v>
      </c>
      <c r="J279" s="76">
        <f ca="1">SUMIF('Production '!$C$4:$AI$4407,'Tracking Sheet'!B279,'Production '!$AG$4:$AG$4407)</f>
        <v>0</v>
      </c>
    </row>
    <row r="280" spans="2:10" x14ac:dyDescent="0.3">
      <c r="B280" s="277">
        <f>'Production '!C283</f>
        <v>47727</v>
      </c>
      <c r="C280" s="76">
        <f ca="1">SUMIF('Production '!$C$4:$AI$4407,'Tracking Sheet'!B280,'Production '!$M$4:$M$4407)</f>
        <v>4518</v>
      </c>
      <c r="D280" s="76">
        <f ca="1">SUMIF('Production '!$C$4:$AI$4407,'Tracking Sheet'!B280,'Production '!$Q$4:$Q$4407)</f>
        <v>4518</v>
      </c>
      <c r="E280" s="76">
        <f ca="1">SUMIF('Production '!$C$4:$AI$4407,'Tracking Sheet'!B280,'Production '!$S$4:$S$4407)</f>
        <v>4518</v>
      </c>
      <c r="F280" s="76">
        <f ca="1">SUMIF('Production '!$C$4:$AI$4407,'Tracking Sheet'!B280,'Production '!$U$4:$U$4407)</f>
        <v>0</v>
      </c>
      <c r="G280" s="76">
        <f ca="1">SUMIF('Production '!$C$4:$AI$4407,'Tracking Sheet'!B280,'Production '!$W$4:$W$4407)</f>
        <v>4518</v>
      </c>
      <c r="H280" s="76">
        <f ca="1">SUMIF('Production '!$C$4:$AI$4407,'Tracking Sheet'!B280,'Production '!$F$4:$F$4407)</f>
        <v>4440</v>
      </c>
      <c r="I280" s="76">
        <f ca="1">SUMIF('Production '!$C$4:$AI$4407,'Tracking Sheet'!B280,'Production '!$V$4:$V$4407)</f>
        <v>0</v>
      </c>
      <c r="J280" s="76">
        <f ca="1">SUMIF('Production '!$C$4:$AI$4407,'Tracking Sheet'!B280,'Production '!$AG$4:$AG$4407)</f>
        <v>0</v>
      </c>
    </row>
    <row r="281" spans="2:10" x14ac:dyDescent="0.3">
      <c r="B281" s="277">
        <f>'Production '!C284</f>
        <v>0</v>
      </c>
      <c r="C281" s="76" t="e">
        <f ca="1">SUMIF('Production '!$C$4:$AI$4407,'Tracking Sheet'!B281,'Production '!$M$4:$M$4407)</f>
        <v>#DIV/0!</v>
      </c>
      <c r="D281" s="76" t="e">
        <f ca="1">SUMIF('Production '!$C$4:$AI$4407,'Tracking Sheet'!B281,'Production '!$Q$4:$Q$4407)</f>
        <v>#DIV/0!</v>
      </c>
      <c r="E281" s="76">
        <f ca="1">SUMIF('Production '!$C$4:$AI$4407,'Tracking Sheet'!B281,'Production '!$S$4:$S$4407)</f>
        <v>-1268218.9828305368</v>
      </c>
      <c r="F281" s="76">
        <f ca="1">SUMIF('Production '!$C$4:$AI$4407,'Tracking Sheet'!B281,'Production '!$U$4:$U$4407)</f>
        <v>-10620.435600016917</v>
      </c>
      <c r="G281" s="76" t="e">
        <f ca="1">SUMIF('Production '!$C$4:$AI$4407,'Tracking Sheet'!B281,'Production '!$W$4:$W$4407)</f>
        <v>#DIV/0!</v>
      </c>
      <c r="H281" s="76">
        <f ca="1">SUMIF('Production '!$C$4:$AI$4407,'Tracking Sheet'!B281,'Production '!$F$4:$F$4407)</f>
        <v>3230621.3283604058</v>
      </c>
      <c r="I281" s="76">
        <f ca="1">SUMIF('Production '!$C$4:$AI$4407,'Tracking Sheet'!B281,'Production '!$V$4:$V$4407)</f>
        <v>-489.86487791182844</v>
      </c>
      <c r="J281" s="76">
        <f ca="1">SUMIF('Production '!$C$4:$AI$4407,'Tracking Sheet'!B281,'Production '!$AG$4:$AG$4407)</f>
        <v>0</v>
      </c>
    </row>
    <row r="282" spans="2:10" x14ac:dyDescent="0.3">
      <c r="B282" s="277">
        <f>'Production '!C285</f>
        <v>47836</v>
      </c>
      <c r="C282" s="76">
        <f ca="1">SUMIF('Production '!$C$4:$AI$4407,'Tracking Sheet'!B282,'Production '!$M$4:$M$4407)</f>
        <v>0</v>
      </c>
      <c r="D282" s="76">
        <f ca="1">SUMIF('Production '!$C$4:$AI$4407,'Tracking Sheet'!B282,'Production '!$Q$4:$Q$4407)</f>
        <v>0</v>
      </c>
      <c r="E282" s="76">
        <f ca="1">SUMIF('Production '!$C$4:$AI$4407,'Tracking Sheet'!B282,'Production '!$S$4:$S$4407)</f>
        <v>0</v>
      </c>
      <c r="F282" s="76">
        <f ca="1">SUMIF('Production '!$C$4:$AI$4407,'Tracking Sheet'!B282,'Production '!$U$4:$U$4407)</f>
        <v>0</v>
      </c>
      <c r="G282" s="76">
        <f ca="1">SUMIF('Production '!$C$4:$AI$4407,'Tracking Sheet'!B282,'Production '!$W$4:$W$4407)</f>
        <v>0</v>
      </c>
      <c r="H282" s="76">
        <f ca="1">SUMIF('Production '!$C$4:$AI$4407,'Tracking Sheet'!B282,'Production '!$F$4:$F$4407)</f>
        <v>3750</v>
      </c>
      <c r="I282" s="76">
        <f ca="1">SUMIF('Production '!$C$4:$AI$4407,'Tracking Sheet'!B282,'Production '!$V$4:$V$4407)</f>
        <v>0</v>
      </c>
      <c r="J282" s="76">
        <f ca="1">SUMIF('Production '!$C$4:$AI$4407,'Tracking Sheet'!B282,'Production '!$AG$4:$AG$4407)</f>
        <v>-3750</v>
      </c>
    </row>
    <row r="283" spans="2:10" x14ac:dyDescent="0.3">
      <c r="B283" s="277">
        <f>'Production '!C286</f>
        <v>0</v>
      </c>
      <c r="C283" s="76" t="e">
        <f ca="1">SUMIF('Production '!$C$4:$AI$4407,'Tracking Sheet'!B283,'Production '!$M$4:$M$4407)</f>
        <v>#DIV/0!</v>
      </c>
      <c r="D283" s="76" t="e">
        <f ca="1">SUMIF('Production '!$C$4:$AI$4407,'Tracking Sheet'!B283,'Production '!$Q$4:$Q$4407)</f>
        <v>#DIV/0!</v>
      </c>
      <c r="E283" s="76">
        <f ca="1">SUMIF('Production '!$C$4:$AI$4407,'Tracking Sheet'!B283,'Production '!$S$4:$S$4407)</f>
        <v>-1268218.9828305368</v>
      </c>
      <c r="F283" s="76">
        <f ca="1">SUMIF('Production '!$C$4:$AI$4407,'Tracking Sheet'!B283,'Production '!$U$4:$U$4407)</f>
        <v>-10620.435600016917</v>
      </c>
      <c r="G283" s="76" t="e">
        <f ca="1">SUMIF('Production '!$C$4:$AI$4407,'Tracking Sheet'!B283,'Production '!$W$4:$W$4407)</f>
        <v>#DIV/0!</v>
      </c>
      <c r="H283" s="76">
        <f ca="1">SUMIF('Production '!$C$4:$AI$4407,'Tracking Sheet'!B283,'Production '!$F$4:$F$4407)</f>
        <v>3230621.3283604058</v>
      </c>
      <c r="I283" s="76">
        <f ca="1">SUMIF('Production '!$C$4:$AI$4407,'Tracking Sheet'!B283,'Production '!$V$4:$V$4407)</f>
        <v>-489.86487791182844</v>
      </c>
      <c r="J283" s="76">
        <f ca="1">SUMIF('Production '!$C$4:$AI$4407,'Tracking Sheet'!B283,'Production '!$AG$4:$AG$4407)</f>
        <v>0</v>
      </c>
    </row>
    <row r="284" spans="2:10" x14ac:dyDescent="0.3">
      <c r="B284" s="277">
        <f>'Production '!C287</f>
        <v>48144</v>
      </c>
      <c r="C284" s="76">
        <f ca="1">SUMIF('Production '!$C$4:$AI$4407,'Tracking Sheet'!B284,'Production '!$M$4:$M$4407)</f>
        <v>0</v>
      </c>
      <c r="D284" s="76">
        <f ca="1">SUMIF('Production '!$C$4:$AI$4407,'Tracking Sheet'!B284,'Production '!$Q$4:$Q$4407)</f>
        <v>0</v>
      </c>
      <c r="E284" s="76">
        <f ca="1">SUMIF('Production '!$C$4:$AI$4407,'Tracking Sheet'!B284,'Production '!$S$4:$S$4407)</f>
        <v>0</v>
      </c>
      <c r="F284" s="76">
        <f ca="1">SUMIF('Production '!$C$4:$AI$4407,'Tracking Sheet'!B284,'Production '!$U$4:$U$4407)</f>
        <v>0</v>
      </c>
      <c r="G284" s="76">
        <f ca="1">SUMIF('Production '!$C$4:$AI$4407,'Tracking Sheet'!B284,'Production '!$W$4:$W$4407)</f>
        <v>0</v>
      </c>
      <c r="H284" s="76">
        <f ca="1">SUMIF('Production '!$C$4:$AI$4407,'Tracking Sheet'!B284,'Production '!$F$4:$F$4407)</f>
        <v>3626</v>
      </c>
      <c r="I284" s="76">
        <f ca="1">SUMIF('Production '!$C$4:$AI$4407,'Tracking Sheet'!B284,'Production '!$V$4:$V$4407)</f>
        <v>0</v>
      </c>
      <c r="J284" s="76">
        <f ca="1">SUMIF('Production '!$C$4:$AI$4407,'Tracking Sheet'!B284,'Production '!$AG$4:$AG$4407)</f>
        <v>-3626</v>
      </c>
    </row>
    <row r="285" spans="2:10" x14ac:dyDescent="0.3">
      <c r="B285" s="277">
        <f>'Production '!C288</f>
        <v>48144</v>
      </c>
      <c r="C285" s="76">
        <f ca="1">SUMIF('Production '!$C$4:$AI$4407,'Tracking Sheet'!B285,'Production '!$M$4:$M$4407)</f>
        <v>0</v>
      </c>
      <c r="D285" s="76">
        <f ca="1">SUMIF('Production '!$C$4:$AI$4407,'Tracking Sheet'!B285,'Production '!$Q$4:$Q$4407)</f>
        <v>0</v>
      </c>
      <c r="E285" s="76">
        <f ca="1">SUMIF('Production '!$C$4:$AI$4407,'Tracking Sheet'!B285,'Production '!$S$4:$S$4407)</f>
        <v>0</v>
      </c>
      <c r="F285" s="76">
        <f ca="1">SUMIF('Production '!$C$4:$AI$4407,'Tracking Sheet'!B285,'Production '!$U$4:$U$4407)</f>
        <v>0</v>
      </c>
      <c r="G285" s="76">
        <f ca="1">SUMIF('Production '!$C$4:$AI$4407,'Tracking Sheet'!B285,'Production '!$W$4:$W$4407)</f>
        <v>0</v>
      </c>
      <c r="H285" s="76">
        <f ca="1">SUMIF('Production '!$C$4:$AI$4407,'Tracking Sheet'!B285,'Production '!$F$4:$F$4407)</f>
        <v>3626</v>
      </c>
      <c r="I285" s="76">
        <f ca="1">SUMIF('Production '!$C$4:$AI$4407,'Tracking Sheet'!B285,'Production '!$V$4:$V$4407)</f>
        <v>0</v>
      </c>
      <c r="J285" s="76">
        <f ca="1">SUMIF('Production '!$C$4:$AI$4407,'Tracking Sheet'!B285,'Production '!$AG$4:$AG$4407)</f>
        <v>-3626</v>
      </c>
    </row>
    <row r="286" spans="2:10" x14ac:dyDescent="0.3">
      <c r="B286" s="277">
        <f>'Production '!C289</f>
        <v>0</v>
      </c>
      <c r="C286" s="76" t="e">
        <f ca="1">SUMIF('Production '!$C$4:$AI$4407,'Tracking Sheet'!B286,'Production '!$M$4:$M$4407)</f>
        <v>#DIV/0!</v>
      </c>
      <c r="D286" s="76" t="e">
        <f ca="1">SUMIF('Production '!$C$4:$AI$4407,'Tracking Sheet'!B286,'Production '!$Q$4:$Q$4407)</f>
        <v>#DIV/0!</v>
      </c>
      <c r="E286" s="76">
        <f ca="1">SUMIF('Production '!$C$4:$AI$4407,'Tracking Sheet'!B286,'Production '!$S$4:$S$4407)</f>
        <v>-1268218.9828305368</v>
      </c>
      <c r="F286" s="76">
        <f ca="1">SUMIF('Production '!$C$4:$AI$4407,'Tracking Sheet'!B286,'Production '!$U$4:$U$4407)</f>
        <v>-10620.435600016917</v>
      </c>
      <c r="G286" s="76" t="e">
        <f ca="1">SUMIF('Production '!$C$4:$AI$4407,'Tracking Sheet'!B286,'Production '!$W$4:$W$4407)</f>
        <v>#DIV/0!</v>
      </c>
      <c r="H286" s="76">
        <f ca="1">SUMIF('Production '!$C$4:$AI$4407,'Tracking Sheet'!B286,'Production '!$F$4:$F$4407)</f>
        <v>3230621.3283604058</v>
      </c>
      <c r="I286" s="76">
        <f ca="1">SUMIF('Production '!$C$4:$AI$4407,'Tracking Sheet'!B286,'Production '!$V$4:$V$4407)</f>
        <v>-489.86487791182844</v>
      </c>
      <c r="J286" s="76">
        <f ca="1">SUMIF('Production '!$C$4:$AI$4407,'Tracking Sheet'!B286,'Production '!$AG$4:$AG$4407)</f>
        <v>0</v>
      </c>
    </row>
    <row r="287" spans="2:10" x14ac:dyDescent="0.3">
      <c r="B287" s="277">
        <f>'Production '!C290</f>
        <v>48130</v>
      </c>
      <c r="C287" s="76">
        <f ca="1">SUMIF('Production '!$C$4:$AI$4407,'Tracking Sheet'!B287,'Production '!$M$4:$M$4407)</f>
        <v>0</v>
      </c>
      <c r="D287" s="76">
        <f ca="1">SUMIF('Production '!$C$4:$AI$4407,'Tracking Sheet'!B287,'Production '!$Q$4:$Q$4407)</f>
        <v>0</v>
      </c>
      <c r="E287" s="76">
        <f ca="1">SUMIF('Production '!$C$4:$AI$4407,'Tracking Sheet'!B287,'Production '!$S$4:$S$4407)</f>
        <v>0</v>
      </c>
      <c r="F287" s="76">
        <f ca="1">SUMIF('Production '!$C$4:$AI$4407,'Tracking Sheet'!B287,'Production '!$U$4:$U$4407)</f>
        <v>0</v>
      </c>
      <c r="G287" s="76">
        <f ca="1">SUMIF('Production '!$C$4:$AI$4407,'Tracking Sheet'!B287,'Production '!$W$4:$W$4407)</f>
        <v>0</v>
      </c>
      <c r="H287" s="76">
        <f ca="1">SUMIF('Production '!$C$4:$AI$4407,'Tracking Sheet'!B287,'Production '!$F$4:$F$4407)</f>
        <v>5832</v>
      </c>
      <c r="I287" s="76">
        <f ca="1">SUMIF('Production '!$C$4:$AI$4407,'Tracking Sheet'!B287,'Production '!$V$4:$V$4407)</f>
        <v>0</v>
      </c>
      <c r="J287" s="76">
        <f ca="1">SUMIF('Production '!$C$4:$AI$4407,'Tracking Sheet'!B287,'Production '!$AG$4:$AG$4407)</f>
        <v>-5832</v>
      </c>
    </row>
    <row r="288" spans="2:10" x14ac:dyDescent="0.3">
      <c r="B288" s="277">
        <f>'Production '!C291</f>
        <v>0</v>
      </c>
      <c r="C288" s="76" t="e">
        <f ca="1">SUMIF('Production '!$C$4:$AI$4407,'Tracking Sheet'!B288,'Production '!$M$4:$M$4407)</f>
        <v>#DIV/0!</v>
      </c>
      <c r="D288" s="76" t="e">
        <f ca="1">SUMIF('Production '!$C$4:$AI$4407,'Tracking Sheet'!B288,'Production '!$Q$4:$Q$4407)</f>
        <v>#DIV/0!</v>
      </c>
      <c r="E288" s="76">
        <f ca="1">SUMIF('Production '!$C$4:$AI$4407,'Tracking Sheet'!B288,'Production '!$S$4:$S$4407)</f>
        <v>-1268218.9828305368</v>
      </c>
      <c r="F288" s="76">
        <f ca="1">SUMIF('Production '!$C$4:$AI$4407,'Tracking Sheet'!B288,'Production '!$U$4:$U$4407)</f>
        <v>-10620.435600016917</v>
      </c>
      <c r="G288" s="76" t="e">
        <f ca="1">SUMIF('Production '!$C$4:$AI$4407,'Tracking Sheet'!B288,'Production '!$W$4:$W$4407)</f>
        <v>#DIV/0!</v>
      </c>
      <c r="H288" s="76">
        <f ca="1">SUMIF('Production '!$C$4:$AI$4407,'Tracking Sheet'!B288,'Production '!$F$4:$F$4407)</f>
        <v>3230621.3283604058</v>
      </c>
      <c r="I288" s="76">
        <f ca="1">SUMIF('Production '!$C$4:$AI$4407,'Tracking Sheet'!B288,'Production '!$V$4:$V$4407)</f>
        <v>-489.86487791182844</v>
      </c>
      <c r="J288" s="76">
        <f ca="1">SUMIF('Production '!$C$4:$AI$4407,'Tracking Sheet'!B288,'Production '!$AG$4:$AG$4407)</f>
        <v>0</v>
      </c>
    </row>
    <row r="289" spans="2:10" x14ac:dyDescent="0.3">
      <c r="B289" s="277">
        <f>'Production '!C292</f>
        <v>47813</v>
      </c>
      <c r="C289" s="76">
        <f ca="1">SUMIF('Production '!$C$4:$AI$4407,'Tracking Sheet'!B289,'Production '!$M$4:$M$4407)</f>
        <v>0</v>
      </c>
      <c r="D289" s="76">
        <f ca="1">SUMIF('Production '!$C$4:$AI$4407,'Tracking Sheet'!B289,'Production '!$Q$4:$Q$4407)</f>
        <v>0</v>
      </c>
      <c r="E289" s="76">
        <f ca="1">SUMIF('Production '!$C$4:$AI$4407,'Tracking Sheet'!B289,'Production '!$S$4:$S$4407)</f>
        <v>0</v>
      </c>
      <c r="F289" s="76">
        <f ca="1">SUMIF('Production '!$C$4:$AI$4407,'Tracking Sheet'!B289,'Production '!$U$4:$U$4407)</f>
        <v>0</v>
      </c>
      <c r="G289" s="76">
        <f ca="1">SUMIF('Production '!$C$4:$AI$4407,'Tracking Sheet'!B289,'Production '!$W$4:$W$4407)</f>
        <v>0</v>
      </c>
      <c r="H289" s="76">
        <f ca="1">SUMIF('Production '!$C$4:$AI$4407,'Tracking Sheet'!B289,'Production '!$F$4:$F$4407)</f>
        <v>12280</v>
      </c>
      <c r="I289" s="76">
        <f ca="1">SUMIF('Production '!$C$4:$AI$4407,'Tracking Sheet'!B289,'Production '!$V$4:$V$4407)</f>
        <v>0</v>
      </c>
      <c r="J289" s="76">
        <f ca="1">SUMIF('Production '!$C$4:$AI$4407,'Tracking Sheet'!B289,'Production '!$AG$4:$AG$4407)</f>
        <v>-12280</v>
      </c>
    </row>
    <row r="290" spans="2:10" x14ac:dyDescent="0.3">
      <c r="B290" s="277">
        <f>'Production '!C293</f>
        <v>47813</v>
      </c>
      <c r="C290" s="76">
        <f ca="1">SUMIF('Production '!$C$4:$AI$4407,'Tracking Sheet'!B290,'Production '!$M$4:$M$4407)</f>
        <v>0</v>
      </c>
      <c r="D290" s="76">
        <f ca="1">SUMIF('Production '!$C$4:$AI$4407,'Tracking Sheet'!B290,'Production '!$Q$4:$Q$4407)</f>
        <v>0</v>
      </c>
      <c r="E290" s="76">
        <f ca="1">SUMIF('Production '!$C$4:$AI$4407,'Tracking Sheet'!B290,'Production '!$S$4:$S$4407)</f>
        <v>0</v>
      </c>
      <c r="F290" s="76">
        <f ca="1">SUMIF('Production '!$C$4:$AI$4407,'Tracking Sheet'!B290,'Production '!$U$4:$U$4407)</f>
        <v>0</v>
      </c>
      <c r="G290" s="76">
        <f ca="1">SUMIF('Production '!$C$4:$AI$4407,'Tracking Sheet'!B290,'Production '!$W$4:$W$4407)</f>
        <v>0</v>
      </c>
      <c r="H290" s="76">
        <f ca="1">SUMIF('Production '!$C$4:$AI$4407,'Tracking Sheet'!B290,'Production '!$F$4:$F$4407)</f>
        <v>12280</v>
      </c>
      <c r="I290" s="76">
        <f ca="1">SUMIF('Production '!$C$4:$AI$4407,'Tracking Sheet'!B290,'Production '!$V$4:$V$4407)</f>
        <v>0</v>
      </c>
      <c r="J290" s="76">
        <f ca="1">SUMIF('Production '!$C$4:$AI$4407,'Tracking Sheet'!B290,'Production '!$AG$4:$AG$4407)</f>
        <v>-12280</v>
      </c>
    </row>
    <row r="291" spans="2:10" x14ac:dyDescent="0.3">
      <c r="B291" s="277">
        <f>'Production '!C294</f>
        <v>47813</v>
      </c>
      <c r="C291" s="76">
        <f ca="1">SUMIF('Production '!$C$4:$AI$4407,'Tracking Sheet'!B291,'Production '!$M$4:$M$4407)</f>
        <v>0</v>
      </c>
      <c r="D291" s="76">
        <f ca="1">SUMIF('Production '!$C$4:$AI$4407,'Tracking Sheet'!B291,'Production '!$Q$4:$Q$4407)</f>
        <v>0</v>
      </c>
      <c r="E291" s="76">
        <f ca="1">SUMIF('Production '!$C$4:$AI$4407,'Tracking Sheet'!B291,'Production '!$S$4:$S$4407)</f>
        <v>0</v>
      </c>
      <c r="F291" s="76">
        <f ca="1">SUMIF('Production '!$C$4:$AI$4407,'Tracking Sheet'!B291,'Production '!$U$4:$U$4407)</f>
        <v>0</v>
      </c>
      <c r="G291" s="76">
        <f ca="1">SUMIF('Production '!$C$4:$AI$4407,'Tracking Sheet'!B291,'Production '!$W$4:$W$4407)</f>
        <v>0</v>
      </c>
      <c r="H291" s="76">
        <f ca="1">SUMIF('Production '!$C$4:$AI$4407,'Tracking Sheet'!B291,'Production '!$F$4:$F$4407)</f>
        <v>12280</v>
      </c>
      <c r="I291" s="76">
        <f ca="1">SUMIF('Production '!$C$4:$AI$4407,'Tracking Sheet'!B291,'Production '!$V$4:$V$4407)</f>
        <v>0</v>
      </c>
      <c r="J291" s="76">
        <f ca="1">SUMIF('Production '!$C$4:$AI$4407,'Tracking Sheet'!B291,'Production '!$AG$4:$AG$4407)</f>
        <v>-12280</v>
      </c>
    </row>
    <row r="292" spans="2:10" x14ac:dyDescent="0.3">
      <c r="B292" s="277">
        <f>'Production '!C295</f>
        <v>0</v>
      </c>
      <c r="C292" s="76" t="e">
        <f ca="1">SUMIF('Production '!$C$4:$AI$4407,'Tracking Sheet'!B292,'Production '!$M$4:$M$4407)</f>
        <v>#DIV/0!</v>
      </c>
      <c r="D292" s="76" t="e">
        <f ca="1">SUMIF('Production '!$C$4:$AI$4407,'Tracking Sheet'!B292,'Production '!$Q$4:$Q$4407)</f>
        <v>#DIV/0!</v>
      </c>
      <c r="E292" s="76">
        <f ca="1">SUMIF('Production '!$C$4:$AI$4407,'Tracking Sheet'!B292,'Production '!$S$4:$S$4407)</f>
        <v>-1268218.9828305368</v>
      </c>
      <c r="F292" s="76">
        <f ca="1">SUMIF('Production '!$C$4:$AI$4407,'Tracking Sheet'!B292,'Production '!$U$4:$U$4407)</f>
        <v>-10620.435600016917</v>
      </c>
      <c r="G292" s="76" t="e">
        <f ca="1">SUMIF('Production '!$C$4:$AI$4407,'Tracking Sheet'!B292,'Production '!$W$4:$W$4407)</f>
        <v>#DIV/0!</v>
      </c>
      <c r="H292" s="76">
        <f ca="1">SUMIF('Production '!$C$4:$AI$4407,'Tracking Sheet'!B292,'Production '!$F$4:$F$4407)</f>
        <v>3230621.3283604058</v>
      </c>
      <c r="I292" s="76">
        <f ca="1">SUMIF('Production '!$C$4:$AI$4407,'Tracking Sheet'!B292,'Production '!$V$4:$V$4407)</f>
        <v>-489.86487791182844</v>
      </c>
      <c r="J292" s="76">
        <f ca="1">SUMIF('Production '!$C$4:$AI$4407,'Tracking Sheet'!B292,'Production '!$AG$4:$AG$4407)</f>
        <v>0</v>
      </c>
    </row>
    <row r="293" spans="2:10" x14ac:dyDescent="0.3">
      <c r="B293" s="277">
        <f>'Production '!C296</f>
        <v>47835</v>
      </c>
      <c r="C293" s="76">
        <f ca="1">SUMIF('Production '!$C$4:$AI$4407,'Tracking Sheet'!B293,'Production '!$M$4:$M$4407)</f>
        <v>0</v>
      </c>
      <c r="D293" s="76">
        <f ca="1">SUMIF('Production '!$C$4:$AI$4407,'Tracking Sheet'!B293,'Production '!$Q$4:$Q$4407)</f>
        <v>0</v>
      </c>
      <c r="E293" s="76">
        <f ca="1">SUMIF('Production '!$C$4:$AI$4407,'Tracking Sheet'!B293,'Production '!$S$4:$S$4407)</f>
        <v>0</v>
      </c>
      <c r="F293" s="76">
        <f ca="1">SUMIF('Production '!$C$4:$AI$4407,'Tracking Sheet'!B293,'Production '!$U$4:$U$4407)</f>
        <v>0</v>
      </c>
      <c r="G293" s="76">
        <f ca="1">SUMIF('Production '!$C$4:$AI$4407,'Tracking Sheet'!B293,'Production '!$W$4:$W$4407)</f>
        <v>0</v>
      </c>
      <c r="H293" s="76">
        <f ca="1">SUMIF('Production '!$C$4:$AI$4407,'Tracking Sheet'!B293,'Production '!$F$4:$F$4407)</f>
        <v>3200</v>
      </c>
      <c r="I293" s="76">
        <f ca="1">SUMIF('Production '!$C$4:$AI$4407,'Tracking Sheet'!B293,'Production '!$V$4:$V$4407)</f>
        <v>0</v>
      </c>
      <c r="J293" s="76">
        <f ca="1">SUMIF('Production '!$C$4:$AI$4407,'Tracking Sheet'!B293,'Production '!$AG$4:$AG$4407)</f>
        <v>-3200</v>
      </c>
    </row>
    <row r="294" spans="2:10" x14ac:dyDescent="0.3">
      <c r="B294" s="277">
        <f>'Production '!C297</f>
        <v>0</v>
      </c>
      <c r="C294" s="76" t="e">
        <f ca="1">SUMIF('Production '!$C$4:$AI$4407,'Tracking Sheet'!B294,'Production '!$M$4:$M$4407)</f>
        <v>#DIV/0!</v>
      </c>
      <c r="D294" s="76" t="e">
        <f ca="1">SUMIF('Production '!$C$4:$AI$4407,'Tracking Sheet'!B294,'Production '!$Q$4:$Q$4407)</f>
        <v>#DIV/0!</v>
      </c>
      <c r="E294" s="76">
        <f ca="1">SUMIF('Production '!$C$4:$AI$4407,'Tracking Sheet'!B294,'Production '!$S$4:$S$4407)</f>
        <v>-1268218.9828305368</v>
      </c>
      <c r="F294" s="76">
        <f ca="1">SUMIF('Production '!$C$4:$AI$4407,'Tracking Sheet'!B294,'Production '!$U$4:$U$4407)</f>
        <v>-10620.435600016917</v>
      </c>
      <c r="G294" s="76" t="e">
        <f ca="1">SUMIF('Production '!$C$4:$AI$4407,'Tracking Sheet'!B294,'Production '!$W$4:$W$4407)</f>
        <v>#DIV/0!</v>
      </c>
      <c r="H294" s="76">
        <f ca="1">SUMIF('Production '!$C$4:$AI$4407,'Tracking Sheet'!B294,'Production '!$F$4:$F$4407)</f>
        <v>3230621.3283604058</v>
      </c>
      <c r="I294" s="76">
        <f ca="1">SUMIF('Production '!$C$4:$AI$4407,'Tracking Sheet'!B294,'Production '!$V$4:$V$4407)</f>
        <v>-489.86487791182844</v>
      </c>
      <c r="J294" s="76">
        <f ca="1">SUMIF('Production '!$C$4:$AI$4407,'Tracking Sheet'!B294,'Production '!$AG$4:$AG$4407)</f>
        <v>0</v>
      </c>
    </row>
    <row r="295" spans="2:10" x14ac:dyDescent="0.3">
      <c r="B295" s="277">
        <f>'Production '!C298</f>
        <v>47866</v>
      </c>
      <c r="C295" s="76">
        <f ca="1">SUMIF('Production '!$C$4:$AI$4407,'Tracking Sheet'!B295,'Production '!$M$4:$M$4407)</f>
        <v>8228</v>
      </c>
      <c r="D295" s="76">
        <f ca="1">SUMIF('Production '!$C$4:$AI$4407,'Tracking Sheet'!B295,'Production '!$Q$4:$Q$4407)</f>
        <v>8228</v>
      </c>
      <c r="E295" s="76">
        <f ca="1">SUMIF('Production '!$C$4:$AI$4407,'Tracking Sheet'!B295,'Production '!$S$4:$S$4407)</f>
        <v>8228</v>
      </c>
      <c r="F295" s="76">
        <f ca="1">SUMIF('Production '!$C$4:$AI$4407,'Tracking Sheet'!B295,'Production '!$U$4:$U$4407)</f>
        <v>8228</v>
      </c>
      <c r="G295" s="76">
        <f ca="1">SUMIF('Production '!$C$4:$AI$4407,'Tracking Sheet'!B295,'Production '!$W$4:$W$4407)</f>
        <v>0</v>
      </c>
      <c r="H295" s="76">
        <f ca="1">SUMIF('Production '!$C$4:$AI$4407,'Tracking Sheet'!B295,'Production '!$F$4:$F$4407)</f>
        <v>8099</v>
      </c>
      <c r="I295" s="76">
        <f ca="1">SUMIF('Production '!$C$4:$AI$4407,'Tracking Sheet'!B295,'Production '!$V$4:$V$4407)</f>
        <v>0</v>
      </c>
      <c r="J295" s="76">
        <f ca="1">SUMIF('Production '!$C$4:$AI$4407,'Tracking Sheet'!B295,'Production '!$AG$4:$AG$4407)</f>
        <v>0</v>
      </c>
    </row>
    <row r="296" spans="2:10" x14ac:dyDescent="0.3">
      <c r="B296" s="277">
        <f>'Production '!C299</f>
        <v>0</v>
      </c>
      <c r="C296" s="76" t="e">
        <f ca="1">SUMIF('Production '!$C$4:$AI$4407,'Tracking Sheet'!B296,'Production '!$M$4:$M$4407)</f>
        <v>#DIV/0!</v>
      </c>
      <c r="D296" s="76" t="e">
        <f ca="1">SUMIF('Production '!$C$4:$AI$4407,'Tracking Sheet'!B296,'Production '!$Q$4:$Q$4407)</f>
        <v>#DIV/0!</v>
      </c>
      <c r="E296" s="76">
        <f ca="1">SUMIF('Production '!$C$4:$AI$4407,'Tracking Sheet'!B296,'Production '!$S$4:$S$4407)</f>
        <v>-1268218.9828305368</v>
      </c>
      <c r="F296" s="76">
        <f ca="1">SUMIF('Production '!$C$4:$AI$4407,'Tracking Sheet'!B296,'Production '!$U$4:$U$4407)</f>
        <v>-10620.435600016917</v>
      </c>
      <c r="G296" s="76" t="e">
        <f ca="1">SUMIF('Production '!$C$4:$AI$4407,'Tracking Sheet'!B296,'Production '!$W$4:$W$4407)</f>
        <v>#DIV/0!</v>
      </c>
      <c r="H296" s="76">
        <f ca="1">SUMIF('Production '!$C$4:$AI$4407,'Tracking Sheet'!B296,'Production '!$F$4:$F$4407)</f>
        <v>3230621.3283604058</v>
      </c>
      <c r="I296" s="76">
        <f ca="1">SUMIF('Production '!$C$4:$AI$4407,'Tracking Sheet'!B296,'Production '!$V$4:$V$4407)</f>
        <v>-489.86487791182844</v>
      </c>
      <c r="J296" s="76">
        <f ca="1">SUMIF('Production '!$C$4:$AI$4407,'Tracking Sheet'!B296,'Production '!$AG$4:$AG$4407)</f>
        <v>0</v>
      </c>
    </row>
    <row r="297" spans="2:10" x14ac:dyDescent="0.3">
      <c r="B297" s="277">
        <f>'Production '!C300</f>
        <v>47832</v>
      </c>
      <c r="C297" s="76">
        <f ca="1">SUMIF('Production '!$C$4:$AI$4407,'Tracking Sheet'!B297,'Production '!$M$4:$M$4407)</f>
        <v>4314</v>
      </c>
      <c r="D297" s="76">
        <f ca="1">SUMIF('Production '!$C$4:$AI$4407,'Tracking Sheet'!B297,'Production '!$Q$4:$Q$4407)</f>
        <v>4314</v>
      </c>
      <c r="E297" s="76">
        <f ca="1">SUMIF('Production '!$C$4:$AI$4407,'Tracking Sheet'!B297,'Production '!$S$4:$S$4407)</f>
        <v>0</v>
      </c>
      <c r="F297" s="76">
        <f ca="1">SUMIF('Production '!$C$4:$AI$4407,'Tracking Sheet'!B297,'Production '!$U$4:$U$4407)</f>
        <v>0</v>
      </c>
      <c r="G297" s="76">
        <f ca="1">SUMIF('Production '!$C$4:$AI$4407,'Tracking Sheet'!B297,'Production '!$W$4:$W$4407)</f>
        <v>0</v>
      </c>
      <c r="H297" s="76">
        <f ca="1">SUMIF('Production '!$C$4:$AI$4407,'Tracking Sheet'!B297,'Production '!$F$4:$F$4407)</f>
        <v>4428</v>
      </c>
      <c r="I297" s="76">
        <f ca="1">SUMIF('Production '!$C$4:$AI$4407,'Tracking Sheet'!B297,'Production '!$V$4:$V$4407)</f>
        <v>0</v>
      </c>
      <c r="J297" s="76">
        <f ca="1">SUMIF('Production '!$C$4:$AI$4407,'Tracking Sheet'!B297,'Production '!$AG$4:$AG$4407)</f>
        <v>-114</v>
      </c>
    </row>
    <row r="298" spans="2:10" x14ac:dyDescent="0.3">
      <c r="B298" s="277">
        <f>'Production '!C301</f>
        <v>0</v>
      </c>
      <c r="C298" s="76" t="e">
        <f ca="1">SUMIF('Production '!$C$4:$AI$4407,'Tracking Sheet'!B298,'Production '!$M$4:$M$4407)</f>
        <v>#DIV/0!</v>
      </c>
      <c r="D298" s="76" t="e">
        <f ca="1">SUMIF('Production '!$C$4:$AI$4407,'Tracking Sheet'!B298,'Production '!$Q$4:$Q$4407)</f>
        <v>#DIV/0!</v>
      </c>
      <c r="E298" s="76">
        <f ca="1">SUMIF('Production '!$C$4:$AI$4407,'Tracking Sheet'!B298,'Production '!$S$4:$S$4407)</f>
        <v>-1268218.9828305368</v>
      </c>
      <c r="F298" s="76">
        <f ca="1">SUMIF('Production '!$C$4:$AI$4407,'Tracking Sheet'!B298,'Production '!$U$4:$U$4407)</f>
        <v>-10620.435600016917</v>
      </c>
      <c r="G298" s="76" t="e">
        <f ca="1">SUMIF('Production '!$C$4:$AI$4407,'Tracking Sheet'!B298,'Production '!$W$4:$W$4407)</f>
        <v>#DIV/0!</v>
      </c>
      <c r="H298" s="76">
        <f ca="1">SUMIF('Production '!$C$4:$AI$4407,'Tracking Sheet'!B298,'Production '!$F$4:$F$4407)</f>
        <v>3230621.3283604058</v>
      </c>
      <c r="I298" s="76">
        <f ca="1">SUMIF('Production '!$C$4:$AI$4407,'Tracking Sheet'!B298,'Production '!$V$4:$V$4407)</f>
        <v>-489.86487791182844</v>
      </c>
      <c r="J298" s="76">
        <f ca="1">SUMIF('Production '!$C$4:$AI$4407,'Tracking Sheet'!B298,'Production '!$AG$4:$AG$4407)</f>
        <v>0</v>
      </c>
    </row>
    <row r="299" spans="2:10" x14ac:dyDescent="0.3">
      <c r="B299" s="277">
        <f>'Production '!C302</f>
        <v>47867</v>
      </c>
      <c r="C299" s="76">
        <f ca="1">SUMIF('Production '!$C$4:$AI$4407,'Tracking Sheet'!B299,'Production '!$M$4:$M$4407)</f>
        <v>6557</v>
      </c>
      <c r="D299" s="76">
        <f ca="1">SUMIF('Production '!$C$4:$AI$4407,'Tracking Sheet'!B299,'Production '!$Q$4:$Q$4407)</f>
        <v>3580</v>
      </c>
      <c r="E299" s="76">
        <f ca="1">SUMIF('Production '!$C$4:$AI$4407,'Tracking Sheet'!B299,'Production '!$S$4:$S$4407)</f>
        <v>0</v>
      </c>
      <c r="F299" s="76">
        <f ca="1">SUMIF('Production '!$C$4:$AI$4407,'Tracking Sheet'!B299,'Production '!$U$4:$U$4407)</f>
        <v>0</v>
      </c>
      <c r="G299" s="76">
        <f ca="1">SUMIF('Production '!$C$4:$AI$4407,'Tracking Sheet'!B299,'Production '!$W$4:$W$4407)</f>
        <v>0</v>
      </c>
      <c r="H299" s="76">
        <f ca="1">SUMIF('Production '!$C$4:$AI$4407,'Tracking Sheet'!B299,'Production '!$F$4:$F$4407)</f>
        <v>6412</v>
      </c>
      <c r="I299" s="76">
        <f ca="1">SUMIF('Production '!$C$4:$AI$4407,'Tracking Sheet'!B299,'Production '!$V$4:$V$4407)</f>
        <v>0</v>
      </c>
      <c r="J299" s="76">
        <f ca="1">SUMIF('Production '!$C$4:$AI$4407,'Tracking Sheet'!B299,'Production '!$AG$4:$AG$4407)</f>
        <v>0</v>
      </c>
    </row>
    <row r="300" spans="2:10" x14ac:dyDescent="0.3">
      <c r="B300" s="277">
        <f>'Production '!C303</f>
        <v>0</v>
      </c>
      <c r="C300" s="76" t="e">
        <f ca="1">SUMIF('Production '!$C$4:$AI$4407,'Tracking Sheet'!B300,'Production '!$M$4:$M$4407)</f>
        <v>#DIV/0!</v>
      </c>
      <c r="D300" s="76" t="e">
        <f ca="1">SUMIF('Production '!$C$4:$AI$4407,'Tracking Sheet'!B300,'Production '!$Q$4:$Q$4407)</f>
        <v>#DIV/0!</v>
      </c>
      <c r="E300" s="76">
        <f ca="1">SUMIF('Production '!$C$4:$AI$4407,'Tracking Sheet'!B300,'Production '!$S$4:$S$4407)</f>
        <v>-1268218.9828305368</v>
      </c>
      <c r="F300" s="76">
        <f ca="1">SUMIF('Production '!$C$4:$AI$4407,'Tracking Sheet'!B300,'Production '!$U$4:$U$4407)</f>
        <v>-10620.435600016917</v>
      </c>
      <c r="G300" s="76" t="e">
        <f ca="1">SUMIF('Production '!$C$4:$AI$4407,'Tracking Sheet'!B300,'Production '!$W$4:$W$4407)</f>
        <v>#DIV/0!</v>
      </c>
      <c r="H300" s="76">
        <f ca="1">SUMIF('Production '!$C$4:$AI$4407,'Tracking Sheet'!B300,'Production '!$F$4:$F$4407)</f>
        <v>3230621.3283604058</v>
      </c>
      <c r="I300" s="76">
        <f ca="1">SUMIF('Production '!$C$4:$AI$4407,'Tracking Sheet'!B300,'Production '!$V$4:$V$4407)</f>
        <v>-489.86487791182844</v>
      </c>
      <c r="J300" s="76">
        <f ca="1">SUMIF('Production '!$C$4:$AI$4407,'Tracking Sheet'!B300,'Production '!$AG$4:$AG$4407)</f>
        <v>0</v>
      </c>
    </row>
    <row r="301" spans="2:10" x14ac:dyDescent="0.3">
      <c r="B301" s="277">
        <f>'Production '!C304</f>
        <v>47821</v>
      </c>
      <c r="C301" s="76">
        <f ca="1">SUMIF('Production '!$C$4:$AI$4407,'Tracking Sheet'!B301,'Production '!$M$4:$M$4407)</f>
        <v>10634</v>
      </c>
      <c r="D301" s="76">
        <f ca="1">SUMIF('Production '!$C$4:$AI$4407,'Tracking Sheet'!B301,'Production '!$Q$4:$Q$4407)</f>
        <v>0</v>
      </c>
      <c r="E301" s="76">
        <f ca="1">SUMIF('Production '!$C$4:$AI$4407,'Tracking Sheet'!B301,'Production '!$S$4:$S$4407)</f>
        <v>0</v>
      </c>
      <c r="F301" s="76">
        <f ca="1">SUMIF('Production '!$C$4:$AI$4407,'Tracking Sheet'!B301,'Production '!$U$4:$U$4407)</f>
        <v>10634</v>
      </c>
      <c r="G301" s="76">
        <f ca="1">SUMIF('Production '!$C$4:$AI$4407,'Tracking Sheet'!B301,'Production '!$W$4:$W$4407)</f>
        <v>0</v>
      </c>
      <c r="H301" s="76">
        <f ca="1">SUMIF('Production '!$C$4:$AI$4407,'Tracking Sheet'!B301,'Production '!$F$4:$F$4407)</f>
        <v>10520</v>
      </c>
      <c r="I301" s="76">
        <f ca="1">SUMIF('Production '!$C$4:$AI$4407,'Tracking Sheet'!B301,'Production '!$V$4:$V$4407)</f>
        <v>0</v>
      </c>
      <c r="J301" s="76">
        <f ca="1">SUMIF('Production '!$C$4:$AI$4407,'Tracking Sheet'!B301,'Production '!$AG$4:$AG$4407)</f>
        <v>0</v>
      </c>
    </row>
    <row r="302" spans="2:10" x14ac:dyDescent="0.3">
      <c r="B302" s="277">
        <f>'Production '!C305</f>
        <v>47821</v>
      </c>
      <c r="C302" s="76">
        <f ca="1">SUMIF('Production '!$C$4:$AI$4407,'Tracking Sheet'!B302,'Production '!$M$4:$M$4407)</f>
        <v>10634</v>
      </c>
      <c r="D302" s="76">
        <f ca="1">SUMIF('Production '!$C$4:$AI$4407,'Tracking Sheet'!B302,'Production '!$Q$4:$Q$4407)</f>
        <v>0</v>
      </c>
      <c r="E302" s="76">
        <f ca="1">SUMIF('Production '!$C$4:$AI$4407,'Tracking Sheet'!B302,'Production '!$S$4:$S$4407)</f>
        <v>0</v>
      </c>
      <c r="F302" s="76">
        <f ca="1">SUMIF('Production '!$C$4:$AI$4407,'Tracking Sheet'!B302,'Production '!$U$4:$U$4407)</f>
        <v>10634</v>
      </c>
      <c r="G302" s="76">
        <f ca="1">SUMIF('Production '!$C$4:$AI$4407,'Tracking Sheet'!B302,'Production '!$W$4:$W$4407)</f>
        <v>0</v>
      </c>
      <c r="H302" s="76">
        <f ca="1">SUMIF('Production '!$C$4:$AI$4407,'Tracking Sheet'!B302,'Production '!$F$4:$F$4407)</f>
        <v>10520</v>
      </c>
      <c r="I302" s="76">
        <f ca="1">SUMIF('Production '!$C$4:$AI$4407,'Tracking Sheet'!B302,'Production '!$V$4:$V$4407)</f>
        <v>0</v>
      </c>
      <c r="J302" s="76">
        <f ca="1">SUMIF('Production '!$C$4:$AI$4407,'Tracking Sheet'!B302,'Production '!$AG$4:$AG$4407)</f>
        <v>0</v>
      </c>
    </row>
    <row r="303" spans="2:10" x14ac:dyDescent="0.3">
      <c r="B303" s="277">
        <f>'Production '!C306</f>
        <v>0</v>
      </c>
      <c r="C303" s="76" t="e">
        <f ca="1">SUMIF('Production '!$C$4:$AI$4407,'Tracking Sheet'!B303,'Production '!$M$4:$M$4407)</f>
        <v>#DIV/0!</v>
      </c>
      <c r="D303" s="76" t="e">
        <f ca="1">SUMIF('Production '!$C$4:$AI$4407,'Tracking Sheet'!B303,'Production '!$Q$4:$Q$4407)</f>
        <v>#DIV/0!</v>
      </c>
      <c r="E303" s="76">
        <f ca="1">SUMIF('Production '!$C$4:$AI$4407,'Tracking Sheet'!B303,'Production '!$S$4:$S$4407)</f>
        <v>-1268218.9828305368</v>
      </c>
      <c r="F303" s="76">
        <f ca="1">SUMIF('Production '!$C$4:$AI$4407,'Tracking Sheet'!B303,'Production '!$U$4:$U$4407)</f>
        <v>-10620.435600016917</v>
      </c>
      <c r="G303" s="76" t="e">
        <f ca="1">SUMIF('Production '!$C$4:$AI$4407,'Tracking Sheet'!B303,'Production '!$W$4:$W$4407)</f>
        <v>#DIV/0!</v>
      </c>
      <c r="H303" s="76">
        <f ca="1">SUMIF('Production '!$C$4:$AI$4407,'Tracking Sheet'!B303,'Production '!$F$4:$F$4407)</f>
        <v>3230621.3283604058</v>
      </c>
      <c r="I303" s="76">
        <f ca="1">SUMIF('Production '!$C$4:$AI$4407,'Tracking Sheet'!B303,'Production '!$V$4:$V$4407)</f>
        <v>-489.86487791182844</v>
      </c>
      <c r="J303" s="76">
        <f ca="1">SUMIF('Production '!$C$4:$AI$4407,'Tracking Sheet'!B303,'Production '!$AG$4:$AG$4407)</f>
        <v>0</v>
      </c>
    </row>
    <row r="304" spans="2:10" x14ac:dyDescent="0.3">
      <c r="B304" s="277">
        <f>'Production '!C307</f>
        <v>48150</v>
      </c>
      <c r="C304" s="76">
        <f ca="1">SUMIF('Production '!$C$4:$AI$4407,'Tracking Sheet'!B304,'Production '!$M$4:$M$4407)</f>
        <v>5148</v>
      </c>
      <c r="D304" s="76">
        <f ca="1">SUMIF('Production '!$C$4:$AI$4407,'Tracking Sheet'!B304,'Production '!$Q$4:$Q$4407)</f>
        <v>0</v>
      </c>
      <c r="E304" s="76">
        <f ca="1">SUMIF('Production '!$C$4:$AI$4407,'Tracking Sheet'!B304,'Production '!$S$4:$S$4407)</f>
        <v>0</v>
      </c>
      <c r="F304" s="76">
        <f ca="1">SUMIF('Production '!$C$4:$AI$4407,'Tracking Sheet'!B304,'Production '!$U$4:$U$4407)</f>
        <v>0</v>
      </c>
      <c r="G304" s="76">
        <f ca="1">SUMIF('Production '!$C$4:$AI$4407,'Tracking Sheet'!B304,'Production '!$W$4:$W$4407)</f>
        <v>5148</v>
      </c>
      <c r="H304" s="76">
        <f ca="1">SUMIF('Production '!$C$4:$AI$4407,'Tracking Sheet'!B304,'Production '!$F$4:$F$4407)</f>
        <v>5094</v>
      </c>
      <c r="I304" s="76">
        <f ca="1">SUMIF('Production '!$C$4:$AI$4407,'Tracking Sheet'!B304,'Production '!$V$4:$V$4407)</f>
        <v>0</v>
      </c>
      <c r="J304" s="76">
        <f ca="1">SUMIF('Production '!$C$4:$AI$4407,'Tracking Sheet'!B304,'Production '!$AG$4:$AG$4407)</f>
        <v>0</v>
      </c>
    </row>
    <row r="305" spans="2:10" x14ac:dyDescent="0.3">
      <c r="B305" s="277">
        <f>'Production '!C308</f>
        <v>0</v>
      </c>
      <c r="C305" s="76" t="e">
        <f ca="1">SUMIF('Production '!$C$4:$AI$4407,'Tracking Sheet'!B305,'Production '!$M$4:$M$4407)</f>
        <v>#DIV/0!</v>
      </c>
      <c r="D305" s="76" t="e">
        <f ca="1">SUMIF('Production '!$C$4:$AI$4407,'Tracking Sheet'!B305,'Production '!$Q$4:$Q$4407)</f>
        <v>#DIV/0!</v>
      </c>
      <c r="E305" s="76">
        <f ca="1">SUMIF('Production '!$C$4:$AI$4407,'Tracking Sheet'!B305,'Production '!$S$4:$S$4407)</f>
        <v>-1268218.9828305368</v>
      </c>
      <c r="F305" s="76">
        <f ca="1">SUMIF('Production '!$C$4:$AI$4407,'Tracking Sheet'!B305,'Production '!$U$4:$U$4407)</f>
        <v>-10620.435600016917</v>
      </c>
      <c r="G305" s="76" t="e">
        <f ca="1">SUMIF('Production '!$C$4:$AI$4407,'Tracking Sheet'!B305,'Production '!$W$4:$W$4407)</f>
        <v>#DIV/0!</v>
      </c>
      <c r="H305" s="76">
        <f ca="1">SUMIF('Production '!$C$4:$AI$4407,'Tracking Sheet'!B305,'Production '!$F$4:$F$4407)</f>
        <v>3230621.3283604058</v>
      </c>
      <c r="I305" s="76">
        <f ca="1">SUMIF('Production '!$C$4:$AI$4407,'Tracking Sheet'!B305,'Production '!$V$4:$V$4407)</f>
        <v>-489.86487791182844</v>
      </c>
      <c r="J305" s="76">
        <f ca="1">SUMIF('Production '!$C$4:$AI$4407,'Tracking Sheet'!B305,'Production '!$AG$4:$AG$4407)</f>
        <v>0</v>
      </c>
    </row>
    <row r="306" spans="2:10" x14ac:dyDescent="0.3">
      <c r="B306" s="277">
        <f>'Production '!C309</f>
        <v>47736</v>
      </c>
      <c r="C306" s="76">
        <f ca="1">SUMIF('Production '!$C$4:$AI$4407,'Tracking Sheet'!B306,'Production '!$M$4:$M$4407)</f>
        <v>16049</v>
      </c>
      <c r="D306" s="76">
        <f ca="1">SUMIF('Production '!$C$4:$AI$4407,'Tracking Sheet'!B306,'Production '!$Q$4:$Q$4407)</f>
        <v>0</v>
      </c>
      <c r="E306" s="76">
        <f ca="1">SUMIF('Production '!$C$4:$AI$4407,'Tracking Sheet'!B306,'Production '!$S$4:$S$4407)</f>
        <v>0</v>
      </c>
      <c r="F306" s="76">
        <f ca="1">SUMIF('Production '!$C$4:$AI$4407,'Tracking Sheet'!B306,'Production '!$U$4:$U$4407)</f>
        <v>3578</v>
      </c>
      <c r="G306" s="76">
        <f ca="1">SUMIF('Production '!$C$4:$AI$4407,'Tracking Sheet'!B306,'Production '!$W$4:$W$4407)</f>
        <v>12471</v>
      </c>
      <c r="H306" s="76">
        <f ca="1">SUMIF('Production '!$C$4:$AI$4407,'Tracking Sheet'!B306,'Production '!$F$4:$F$4407)</f>
        <v>16278</v>
      </c>
      <c r="I306" s="76">
        <f ca="1">SUMIF('Production '!$C$4:$AI$4407,'Tracking Sheet'!B306,'Production '!$V$4:$V$4407)</f>
        <v>3971</v>
      </c>
      <c r="J306" s="76">
        <f ca="1">SUMIF('Production '!$C$4:$AI$4407,'Tracking Sheet'!B306,'Production '!$AG$4:$AG$4407)</f>
        <v>-498</v>
      </c>
    </row>
    <row r="307" spans="2:10" x14ac:dyDescent="0.3">
      <c r="B307" s="277">
        <f>'Production '!C310</f>
        <v>47736</v>
      </c>
      <c r="C307" s="76">
        <f ca="1">SUMIF('Production '!$C$4:$AI$4407,'Tracking Sheet'!B307,'Production '!$M$4:$M$4407)</f>
        <v>16049</v>
      </c>
      <c r="D307" s="76">
        <f ca="1">SUMIF('Production '!$C$4:$AI$4407,'Tracking Sheet'!B307,'Production '!$Q$4:$Q$4407)</f>
        <v>0</v>
      </c>
      <c r="E307" s="76">
        <f ca="1">SUMIF('Production '!$C$4:$AI$4407,'Tracking Sheet'!B307,'Production '!$S$4:$S$4407)</f>
        <v>0</v>
      </c>
      <c r="F307" s="76">
        <f ca="1">SUMIF('Production '!$C$4:$AI$4407,'Tracking Sheet'!B307,'Production '!$U$4:$U$4407)</f>
        <v>3578</v>
      </c>
      <c r="G307" s="76">
        <f ca="1">SUMIF('Production '!$C$4:$AI$4407,'Tracking Sheet'!B307,'Production '!$W$4:$W$4407)</f>
        <v>12471</v>
      </c>
      <c r="H307" s="76">
        <f ca="1">SUMIF('Production '!$C$4:$AI$4407,'Tracking Sheet'!B307,'Production '!$F$4:$F$4407)</f>
        <v>16278</v>
      </c>
      <c r="I307" s="76">
        <f ca="1">SUMIF('Production '!$C$4:$AI$4407,'Tracking Sheet'!B307,'Production '!$V$4:$V$4407)</f>
        <v>3971</v>
      </c>
      <c r="J307" s="76">
        <f ca="1">SUMIF('Production '!$C$4:$AI$4407,'Tracking Sheet'!B307,'Production '!$AG$4:$AG$4407)</f>
        <v>-498</v>
      </c>
    </row>
    <row r="308" spans="2:10" x14ac:dyDescent="0.3">
      <c r="B308" s="277">
        <f>'Production '!C311</f>
        <v>47736</v>
      </c>
      <c r="C308" s="76">
        <f ca="1">SUMIF('Production '!$C$4:$AI$4407,'Tracking Sheet'!B308,'Production '!$M$4:$M$4407)</f>
        <v>16049</v>
      </c>
      <c r="D308" s="76">
        <f ca="1">SUMIF('Production '!$C$4:$AI$4407,'Tracking Sheet'!B308,'Production '!$Q$4:$Q$4407)</f>
        <v>0</v>
      </c>
      <c r="E308" s="76">
        <f ca="1">SUMIF('Production '!$C$4:$AI$4407,'Tracking Sheet'!B308,'Production '!$S$4:$S$4407)</f>
        <v>0</v>
      </c>
      <c r="F308" s="76">
        <f ca="1">SUMIF('Production '!$C$4:$AI$4407,'Tracking Sheet'!B308,'Production '!$U$4:$U$4407)</f>
        <v>3578</v>
      </c>
      <c r="G308" s="76">
        <f ca="1">SUMIF('Production '!$C$4:$AI$4407,'Tracking Sheet'!B308,'Production '!$W$4:$W$4407)</f>
        <v>12471</v>
      </c>
      <c r="H308" s="76">
        <f ca="1">SUMIF('Production '!$C$4:$AI$4407,'Tracking Sheet'!B308,'Production '!$F$4:$F$4407)</f>
        <v>16278</v>
      </c>
      <c r="I308" s="76">
        <f ca="1">SUMIF('Production '!$C$4:$AI$4407,'Tracking Sheet'!B308,'Production '!$V$4:$V$4407)</f>
        <v>3971</v>
      </c>
      <c r="J308" s="76">
        <f ca="1">SUMIF('Production '!$C$4:$AI$4407,'Tracking Sheet'!B308,'Production '!$AG$4:$AG$4407)</f>
        <v>-498</v>
      </c>
    </row>
    <row r="309" spans="2:10" x14ac:dyDescent="0.3">
      <c r="B309" s="277">
        <f>'Production '!C312</f>
        <v>47736</v>
      </c>
      <c r="C309" s="76">
        <f ca="1">SUMIF('Production '!$C$4:$AI$4407,'Tracking Sheet'!B309,'Production '!$M$4:$M$4407)</f>
        <v>16049</v>
      </c>
      <c r="D309" s="76">
        <f ca="1">SUMIF('Production '!$C$4:$AI$4407,'Tracking Sheet'!B309,'Production '!$Q$4:$Q$4407)</f>
        <v>0</v>
      </c>
      <c r="E309" s="76">
        <f ca="1">SUMIF('Production '!$C$4:$AI$4407,'Tracking Sheet'!B309,'Production '!$S$4:$S$4407)</f>
        <v>0</v>
      </c>
      <c r="F309" s="76">
        <f ca="1">SUMIF('Production '!$C$4:$AI$4407,'Tracking Sheet'!B309,'Production '!$U$4:$U$4407)</f>
        <v>3578</v>
      </c>
      <c r="G309" s="76">
        <f ca="1">SUMIF('Production '!$C$4:$AI$4407,'Tracking Sheet'!B309,'Production '!$W$4:$W$4407)</f>
        <v>12471</v>
      </c>
      <c r="H309" s="76">
        <f ca="1">SUMIF('Production '!$C$4:$AI$4407,'Tracking Sheet'!B309,'Production '!$F$4:$F$4407)</f>
        <v>16278</v>
      </c>
      <c r="I309" s="76">
        <f ca="1">SUMIF('Production '!$C$4:$AI$4407,'Tracking Sheet'!B309,'Production '!$V$4:$V$4407)</f>
        <v>3971</v>
      </c>
      <c r="J309" s="76">
        <f ca="1">SUMIF('Production '!$C$4:$AI$4407,'Tracking Sheet'!B309,'Production '!$AG$4:$AG$4407)</f>
        <v>-498</v>
      </c>
    </row>
    <row r="310" spans="2:10" x14ac:dyDescent="0.3">
      <c r="B310" s="277">
        <f>'Production '!C313</f>
        <v>47736</v>
      </c>
      <c r="C310" s="76">
        <f ca="1">SUMIF('Production '!$C$4:$AI$4407,'Tracking Sheet'!B310,'Production '!$M$4:$M$4407)</f>
        <v>16049</v>
      </c>
      <c r="D310" s="76">
        <f ca="1">SUMIF('Production '!$C$4:$AI$4407,'Tracking Sheet'!B310,'Production '!$Q$4:$Q$4407)</f>
        <v>0</v>
      </c>
      <c r="E310" s="76">
        <f ca="1">SUMIF('Production '!$C$4:$AI$4407,'Tracking Sheet'!B310,'Production '!$S$4:$S$4407)</f>
        <v>0</v>
      </c>
      <c r="F310" s="76">
        <f ca="1">SUMIF('Production '!$C$4:$AI$4407,'Tracking Sheet'!B310,'Production '!$U$4:$U$4407)</f>
        <v>3578</v>
      </c>
      <c r="G310" s="76">
        <f ca="1">SUMIF('Production '!$C$4:$AI$4407,'Tracking Sheet'!B310,'Production '!$W$4:$W$4407)</f>
        <v>12471</v>
      </c>
      <c r="H310" s="76">
        <f ca="1">SUMIF('Production '!$C$4:$AI$4407,'Tracking Sheet'!B310,'Production '!$F$4:$F$4407)</f>
        <v>16278</v>
      </c>
      <c r="I310" s="76">
        <f ca="1">SUMIF('Production '!$C$4:$AI$4407,'Tracking Sheet'!B310,'Production '!$V$4:$V$4407)</f>
        <v>3971</v>
      </c>
      <c r="J310" s="76">
        <f ca="1">SUMIF('Production '!$C$4:$AI$4407,'Tracking Sheet'!B310,'Production '!$AG$4:$AG$4407)</f>
        <v>-498</v>
      </c>
    </row>
    <row r="311" spans="2:10" x14ac:dyDescent="0.3">
      <c r="B311" s="277">
        <f>'Production '!C314</f>
        <v>47736</v>
      </c>
      <c r="C311" s="76">
        <f ca="1">SUMIF('Production '!$C$4:$AI$4407,'Tracking Sheet'!B311,'Production '!$M$4:$M$4407)</f>
        <v>16049</v>
      </c>
      <c r="D311" s="76">
        <f ca="1">SUMIF('Production '!$C$4:$AI$4407,'Tracking Sheet'!B311,'Production '!$Q$4:$Q$4407)</f>
        <v>0</v>
      </c>
      <c r="E311" s="76">
        <f ca="1">SUMIF('Production '!$C$4:$AI$4407,'Tracking Sheet'!B311,'Production '!$S$4:$S$4407)</f>
        <v>0</v>
      </c>
      <c r="F311" s="76">
        <f ca="1">SUMIF('Production '!$C$4:$AI$4407,'Tracking Sheet'!B311,'Production '!$U$4:$U$4407)</f>
        <v>3578</v>
      </c>
      <c r="G311" s="76">
        <f ca="1">SUMIF('Production '!$C$4:$AI$4407,'Tracking Sheet'!B311,'Production '!$W$4:$W$4407)</f>
        <v>12471</v>
      </c>
      <c r="H311" s="76">
        <f ca="1">SUMIF('Production '!$C$4:$AI$4407,'Tracking Sheet'!B311,'Production '!$F$4:$F$4407)</f>
        <v>16278</v>
      </c>
      <c r="I311" s="76">
        <f ca="1">SUMIF('Production '!$C$4:$AI$4407,'Tracking Sheet'!B311,'Production '!$V$4:$V$4407)</f>
        <v>3971</v>
      </c>
      <c r="J311" s="76">
        <f ca="1">SUMIF('Production '!$C$4:$AI$4407,'Tracking Sheet'!B311,'Production '!$AG$4:$AG$4407)</f>
        <v>-498</v>
      </c>
    </row>
    <row r="312" spans="2:10" x14ac:dyDescent="0.3">
      <c r="B312" s="277">
        <f>'Production '!C315</f>
        <v>0</v>
      </c>
      <c r="C312" s="76" t="e">
        <f ca="1">SUMIF('Production '!$C$4:$AI$4407,'Tracking Sheet'!B312,'Production '!$M$4:$M$4407)</f>
        <v>#DIV/0!</v>
      </c>
      <c r="D312" s="76" t="e">
        <f ca="1">SUMIF('Production '!$C$4:$AI$4407,'Tracking Sheet'!B312,'Production '!$Q$4:$Q$4407)</f>
        <v>#DIV/0!</v>
      </c>
      <c r="E312" s="76">
        <f ca="1">SUMIF('Production '!$C$4:$AI$4407,'Tracking Sheet'!B312,'Production '!$S$4:$S$4407)</f>
        <v>-1268218.9828305368</v>
      </c>
      <c r="F312" s="76">
        <f ca="1">SUMIF('Production '!$C$4:$AI$4407,'Tracking Sheet'!B312,'Production '!$U$4:$U$4407)</f>
        <v>-10620.435600016917</v>
      </c>
      <c r="G312" s="76" t="e">
        <f ca="1">SUMIF('Production '!$C$4:$AI$4407,'Tracking Sheet'!B312,'Production '!$W$4:$W$4407)</f>
        <v>#DIV/0!</v>
      </c>
      <c r="H312" s="76">
        <f ca="1">SUMIF('Production '!$C$4:$AI$4407,'Tracking Sheet'!B312,'Production '!$F$4:$F$4407)</f>
        <v>3230621.3283604058</v>
      </c>
      <c r="I312" s="76">
        <f ca="1">SUMIF('Production '!$C$4:$AI$4407,'Tracking Sheet'!B312,'Production '!$V$4:$V$4407)</f>
        <v>-489.86487791182844</v>
      </c>
      <c r="J312" s="76">
        <f ca="1">SUMIF('Production '!$C$4:$AI$4407,'Tracking Sheet'!B312,'Production '!$AG$4:$AG$4407)</f>
        <v>0</v>
      </c>
    </row>
    <row r="313" spans="2:10" x14ac:dyDescent="0.3">
      <c r="B313" s="277">
        <f>'Production '!C316</f>
        <v>48241</v>
      </c>
      <c r="C313" s="76">
        <f ca="1">SUMIF('Production '!$C$4:$AI$4407,'Tracking Sheet'!B313,'Production '!$M$4:$M$4407)</f>
        <v>11142</v>
      </c>
      <c r="D313" s="76">
        <f ca="1">SUMIF('Production '!$C$4:$AI$4407,'Tracking Sheet'!B313,'Production '!$Q$4:$Q$4407)</f>
        <v>0</v>
      </c>
      <c r="E313" s="76">
        <f ca="1">SUMIF('Production '!$C$4:$AI$4407,'Tracking Sheet'!B313,'Production '!$S$4:$S$4407)</f>
        <v>0</v>
      </c>
      <c r="F313" s="76">
        <f ca="1">SUMIF('Production '!$C$4:$AI$4407,'Tracking Sheet'!B313,'Production '!$U$4:$U$4407)</f>
        <v>6</v>
      </c>
      <c r="G313" s="76">
        <f ca="1">SUMIF('Production '!$C$4:$AI$4407,'Tracking Sheet'!B313,'Production '!$W$4:$W$4407)</f>
        <v>11136</v>
      </c>
      <c r="H313" s="76">
        <f ca="1">SUMIF('Production '!$C$4:$AI$4407,'Tracking Sheet'!B313,'Production '!$F$4:$F$4407)</f>
        <v>10965</v>
      </c>
      <c r="I313" s="76">
        <f ca="1">SUMIF('Production '!$C$4:$AI$4407,'Tracking Sheet'!B313,'Production '!$V$4:$V$4407)</f>
        <v>0</v>
      </c>
      <c r="J313" s="76">
        <f ca="1">SUMIF('Production '!$C$4:$AI$4407,'Tracking Sheet'!B313,'Production '!$AG$4:$AG$4407)</f>
        <v>0</v>
      </c>
    </row>
    <row r="314" spans="2:10" x14ac:dyDescent="0.3">
      <c r="B314" s="277">
        <f>'Production '!C317</f>
        <v>48241</v>
      </c>
      <c r="C314" s="76">
        <f ca="1">SUMIF('Production '!$C$4:$AI$4407,'Tracking Sheet'!B314,'Production '!$M$4:$M$4407)</f>
        <v>11142</v>
      </c>
      <c r="D314" s="76">
        <f ca="1">SUMIF('Production '!$C$4:$AI$4407,'Tracking Sheet'!B314,'Production '!$Q$4:$Q$4407)</f>
        <v>0</v>
      </c>
      <c r="E314" s="76">
        <f ca="1">SUMIF('Production '!$C$4:$AI$4407,'Tracking Sheet'!B314,'Production '!$S$4:$S$4407)</f>
        <v>0</v>
      </c>
      <c r="F314" s="76">
        <f ca="1">SUMIF('Production '!$C$4:$AI$4407,'Tracking Sheet'!B314,'Production '!$U$4:$U$4407)</f>
        <v>6</v>
      </c>
      <c r="G314" s="76">
        <f ca="1">SUMIF('Production '!$C$4:$AI$4407,'Tracking Sheet'!B314,'Production '!$W$4:$W$4407)</f>
        <v>11136</v>
      </c>
      <c r="H314" s="76">
        <f ca="1">SUMIF('Production '!$C$4:$AI$4407,'Tracking Sheet'!B314,'Production '!$F$4:$F$4407)</f>
        <v>10965</v>
      </c>
      <c r="I314" s="76">
        <f ca="1">SUMIF('Production '!$C$4:$AI$4407,'Tracking Sheet'!B314,'Production '!$V$4:$V$4407)</f>
        <v>0</v>
      </c>
      <c r="J314" s="76">
        <f ca="1">SUMIF('Production '!$C$4:$AI$4407,'Tracking Sheet'!B314,'Production '!$AG$4:$AG$4407)</f>
        <v>0</v>
      </c>
    </row>
    <row r="315" spans="2:10" x14ac:dyDescent="0.3">
      <c r="B315" s="277">
        <f>'Production '!C318</f>
        <v>48241</v>
      </c>
      <c r="C315" s="76">
        <f ca="1">SUMIF('Production '!$C$4:$AI$4407,'Tracking Sheet'!B315,'Production '!$M$4:$M$4407)</f>
        <v>11142</v>
      </c>
      <c r="D315" s="76">
        <f ca="1">SUMIF('Production '!$C$4:$AI$4407,'Tracking Sheet'!B315,'Production '!$Q$4:$Q$4407)</f>
        <v>0</v>
      </c>
      <c r="E315" s="76">
        <f ca="1">SUMIF('Production '!$C$4:$AI$4407,'Tracking Sheet'!B315,'Production '!$S$4:$S$4407)</f>
        <v>0</v>
      </c>
      <c r="F315" s="76">
        <f ca="1">SUMIF('Production '!$C$4:$AI$4407,'Tracking Sheet'!B315,'Production '!$U$4:$U$4407)</f>
        <v>6</v>
      </c>
      <c r="G315" s="76">
        <f ca="1">SUMIF('Production '!$C$4:$AI$4407,'Tracking Sheet'!B315,'Production '!$W$4:$W$4407)</f>
        <v>11136</v>
      </c>
      <c r="H315" s="76">
        <f ca="1">SUMIF('Production '!$C$4:$AI$4407,'Tracking Sheet'!B315,'Production '!$F$4:$F$4407)</f>
        <v>10965</v>
      </c>
      <c r="I315" s="76">
        <f ca="1">SUMIF('Production '!$C$4:$AI$4407,'Tracking Sheet'!B315,'Production '!$V$4:$V$4407)</f>
        <v>0</v>
      </c>
      <c r="J315" s="76">
        <f ca="1">SUMIF('Production '!$C$4:$AI$4407,'Tracking Sheet'!B315,'Production '!$AG$4:$AG$4407)</f>
        <v>0</v>
      </c>
    </row>
    <row r="316" spans="2:10" x14ac:dyDescent="0.3">
      <c r="B316" s="277">
        <f>'Production '!C319</f>
        <v>48241</v>
      </c>
      <c r="C316" s="76">
        <f ca="1">SUMIF('Production '!$C$4:$AI$4407,'Tracking Sheet'!B316,'Production '!$M$4:$M$4407)</f>
        <v>11142</v>
      </c>
      <c r="D316" s="76">
        <f ca="1">SUMIF('Production '!$C$4:$AI$4407,'Tracking Sheet'!B316,'Production '!$Q$4:$Q$4407)</f>
        <v>0</v>
      </c>
      <c r="E316" s="76">
        <f ca="1">SUMIF('Production '!$C$4:$AI$4407,'Tracking Sheet'!B316,'Production '!$S$4:$S$4407)</f>
        <v>0</v>
      </c>
      <c r="F316" s="76">
        <f ca="1">SUMIF('Production '!$C$4:$AI$4407,'Tracking Sheet'!B316,'Production '!$U$4:$U$4407)</f>
        <v>6</v>
      </c>
      <c r="G316" s="76">
        <f ca="1">SUMIF('Production '!$C$4:$AI$4407,'Tracking Sheet'!B316,'Production '!$W$4:$W$4407)</f>
        <v>11136</v>
      </c>
      <c r="H316" s="76">
        <f ca="1">SUMIF('Production '!$C$4:$AI$4407,'Tracking Sheet'!B316,'Production '!$F$4:$F$4407)</f>
        <v>10965</v>
      </c>
      <c r="I316" s="76">
        <f ca="1">SUMIF('Production '!$C$4:$AI$4407,'Tracking Sheet'!B316,'Production '!$V$4:$V$4407)</f>
        <v>0</v>
      </c>
      <c r="J316" s="76">
        <f ca="1">SUMIF('Production '!$C$4:$AI$4407,'Tracking Sheet'!B316,'Production '!$AG$4:$AG$4407)</f>
        <v>0</v>
      </c>
    </row>
    <row r="317" spans="2:10" x14ac:dyDescent="0.3">
      <c r="B317" s="277">
        <f>'Production '!C320</f>
        <v>48241</v>
      </c>
      <c r="C317" s="76">
        <f ca="1">SUMIF('Production '!$C$4:$AI$4407,'Tracking Sheet'!B317,'Production '!$M$4:$M$4407)</f>
        <v>11142</v>
      </c>
      <c r="D317" s="76">
        <f ca="1">SUMIF('Production '!$C$4:$AI$4407,'Tracking Sheet'!B317,'Production '!$Q$4:$Q$4407)</f>
        <v>0</v>
      </c>
      <c r="E317" s="76">
        <f ca="1">SUMIF('Production '!$C$4:$AI$4407,'Tracking Sheet'!B317,'Production '!$S$4:$S$4407)</f>
        <v>0</v>
      </c>
      <c r="F317" s="76">
        <f ca="1">SUMIF('Production '!$C$4:$AI$4407,'Tracking Sheet'!B317,'Production '!$U$4:$U$4407)</f>
        <v>6</v>
      </c>
      <c r="G317" s="76">
        <f ca="1">SUMIF('Production '!$C$4:$AI$4407,'Tracking Sheet'!B317,'Production '!$W$4:$W$4407)</f>
        <v>11136</v>
      </c>
      <c r="H317" s="76">
        <f ca="1">SUMIF('Production '!$C$4:$AI$4407,'Tracking Sheet'!B317,'Production '!$F$4:$F$4407)</f>
        <v>10965</v>
      </c>
      <c r="I317" s="76">
        <f ca="1">SUMIF('Production '!$C$4:$AI$4407,'Tracking Sheet'!B317,'Production '!$V$4:$V$4407)</f>
        <v>0</v>
      </c>
      <c r="J317" s="76">
        <f ca="1">SUMIF('Production '!$C$4:$AI$4407,'Tracking Sheet'!B317,'Production '!$AG$4:$AG$4407)</f>
        <v>0</v>
      </c>
    </row>
    <row r="318" spans="2:10" x14ac:dyDescent="0.3">
      <c r="B318" s="277">
        <f>'Production '!C321</f>
        <v>0</v>
      </c>
      <c r="C318" s="76" t="e">
        <f ca="1">SUMIF('Production '!$C$4:$AI$4407,'Tracking Sheet'!B318,'Production '!$M$4:$M$4407)</f>
        <v>#DIV/0!</v>
      </c>
      <c r="D318" s="76" t="e">
        <f ca="1">SUMIF('Production '!$C$4:$AI$4407,'Tracking Sheet'!B318,'Production '!$Q$4:$Q$4407)</f>
        <v>#DIV/0!</v>
      </c>
      <c r="E318" s="76">
        <f ca="1">SUMIF('Production '!$C$4:$AI$4407,'Tracking Sheet'!B318,'Production '!$S$4:$S$4407)</f>
        <v>-1268218.9828305368</v>
      </c>
      <c r="F318" s="76">
        <f ca="1">SUMIF('Production '!$C$4:$AI$4407,'Tracking Sheet'!B318,'Production '!$U$4:$U$4407)</f>
        <v>-10620.435600016917</v>
      </c>
      <c r="G318" s="76" t="e">
        <f ca="1">SUMIF('Production '!$C$4:$AI$4407,'Tracking Sheet'!B318,'Production '!$W$4:$W$4407)</f>
        <v>#DIV/0!</v>
      </c>
      <c r="H318" s="76">
        <f ca="1">SUMIF('Production '!$C$4:$AI$4407,'Tracking Sheet'!B318,'Production '!$F$4:$F$4407)</f>
        <v>3230621.3283604058</v>
      </c>
      <c r="I318" s="76">
        <f ca="1">SUMIF('Production '!$C$4:$AI$4407,'Tracking Sheet'!B318,'Production '!$V$4:$V$4407)</f>
        <v>-489.86487791182844</v>
      </c>
      <c r="J318" s="76">
        <f ca="1">SUMIF('Production '!$C$4:$AI$4407,'Tracking Sheet'!B318,'Production '!$AG$4:$AG$4407)</f>
        <v>0</v>
      </c>
    </row>
    <row r="319" spans="2:10" x14ac:dyDescent="0.3">
      <c r="B319" s="277">
        <f>'Production '!C322</f>
        <v>47822</v>
      </c>
      <c r="C319" s="76">
        <f ca="1">SUMIF('Production '!$C$4:$AI$4407,'Tracking Sheet'!B319,'Production '!$M$4:$M$4407)</f>
        <v>10344</v>
      </c>
      <c r="D319" s="76">
        <f ca="1">SUMIF('Production '!$C$4:$AI$4407,'Tracking Sheet'!B319,'Production '!$Q$4:$Q$4407)</f>
        <v>0</v>
      </c>
      <c r="E319" s="76">
        <f ca="1">SUMIF('Production '!$C$4:$AI$4407,'Tracking Sheet'!B319,'Production '!$S$4:$S$4407)</f>
        <v>0</v>
      </c>
      <c r="F319" s="76">
        <f ca="1">SUMIF('Production '!$C$4:$AI$4407,'Tracking Sheet'!B319,'Production '!$U$4:$U$4407)</f>
        <v>10344</v>
      </c>
      <c r="G319" s="76">
        <f ca="1">SUMIF('Production '!$C$4:$AI$4407,'Tracking Sheet'!B319,'Production '!$W$4:$W$4407)</f>
        <v>0</v>
      </c>
      <c r="H319" s="76">
        <f ca="1">SUMIF('Production '!$C$4:$AI$4407,'Tracking Sheet'!B319,'Production '!$F$4:$F$4407)</f>
        <v>11696</v>
      </c>
      <c r="I319" s="76">
        <f ca="1">SUMIF('Production '!$C$4:$AI$4407,'Tracking Sheet'!B319,'Production '!$V$4:$V$4407)</f>
        <v>0</v>
      </c>
      <c r="J319" s="76">
        <f ca="1">SUMIF('Production '!$C$4:$AI$4407,'Tracking Sheet'!B319,'Production '!$AG$4:$AG$4407)</f>
        <v>-1352</v>
      </c>
    </row>
    <row r="320" spans="2:10" x14ac:dyDescent="0.3">
      <c r="B320" s="277">
        <f>'Production '!C323</f>
        <v>47822</v>
      </c>
      <c r="C320" s="76">
        <f ca="1">SUMIF('Production '!$C$4:$AI$4407,'Tracking Sheet'!B320,'Production '!$M$4:$M$4407)</f>
        <v>10344</v>
      </c>
      <c r="D320" s="76">
        <f ca="1">SUMIF('Production '!$C$4:$AI$4407,'Tracking Sheet'!B320,'Production '!$Q$4:$Q$4407)</f>
        <v>0</v>
      </c>
      <c r="E320" s="76">
        <f ca="1">SUMIF('Production '!$C$4:$AI$4407,'Tracking Sheet'!B320,'Production '!$S$4:$S$4407)</f>
        <v>0</v>
      </c>
      <c r="F320" s="76">
        <f ca="1">SUMIF('Production '!$C$4:$AI$4407,'Tracking Sheet'!B320,'Production '!$U$4:$U$4407)</f>
        <v>10344</v>
      </c>
      <c r="G320" s="76">
        <f ca="1">SUMIF('Production '!$C$4:$AI$4407,'Tracking Sheet'!B320,'Production '!$W$4:$W$4407)</f>
        <v>0</v>
      </c>
      <c r="H320" s="76">
        <f ca="1">SUMIF('Production '!$C$4:$AI$4407,'Tracking Sheet'!B320,'Production '!$F$4:$F$4407)</f>
        <v>11696</v>
      </c>
      <c r="I320" s="76">
        <f ca="1">SUMIF('Production '!$C$4:$AI$4407,'Tracking Sheet'!B320,'Production '!$V$4:$V$4407)</f>
        <v>0</v>
      </c>
      <c r="J320" s="76">
        <f ca="1">SUMIF('Production '!$C$4:$AI$4407,'Tracking Sheet'!B320,'Production '!$AG$4:$AG$4407)</f>
        <v>-1352</v>
      </c>
    </row>
    <row r="321" spans="2:10" x14ac:dyDescent="0.3">
      <c r="B321" s="277">
        <f>'Production '!C324</f>
        <v>0</v>
      </c>
      <c r="C321" s="76" t="e">
        <f ca="1">SUMIF('Production '!$C$4:$AI$4407,'Tracking Sheet'!B321,'Production '!$M$4:$M$4407)</f>
        <v>#DIV/0!</v>
      </c>
      <c r="D321" s="76" t="e">
        <f ca="1">SUMIF('Production '!$C$4:$AI$4407,'Tracking Sheet'!B321,'Production '!$Q$4:$Q$4407)</f>
        <v>#DIV/0!</v>
      </c>
      <c r="E321" s="76">
        <f ca="1">SUMIF('Production '!$C$4:$AI$4407,'Tracking Sheet'!B321,'Production '!$S$4:$S$4407)</f>
        <v>-1268218.9828305368</v>
      </c>
      <c r="F321" s="76">
        <f ca="1">SUMIF('Production '!$C$4:$AI$4407,'Tracking Sheet'!B321,'Production '!$U$4:$U$4407)</f>
        <v>-10620.435600016917</v>
      </c>
      <c r="G321" s="76" t="e">
        <f ca="1">SUMIF('Production '!$C$4:$AI$4407,'Tracking Sheet'!B321,'Production '!$W$4:$W$4407)</f>
        <v>#DIV/0!</v>
      </c>
      <c r="H321" s="76">
        <f ca="1">SUMIF('Production '!$C$4:$AI$4407,'Tracking Sheet'!B321,'Production '!$F$4:$F$4407)</f>
        <v>3230621.3283604058</v>
      </c>
      <c r="I321" s="76">
        <f ca="1">SUMIF('Production '!$C$4:$AI$4407,'Tracking Sheet'!B321,'Production '!$V$4:$V$4407)</f>
        <v>-489.86487791182844</v>
      </c>
      <c r="J321" s="76">
        <f ca="1">SUMIF('Production '!$C$4:$AI$4407,'Tracking Sheet'!B321,'Production '!$AG$4:$AG$4407)</f>
        <v>0</v>
      </c>
    </row>
    <row r="322" spans="2:10" x14ac:dyDescent="0.3">
      <c r="B322" s="277">
        <f>'Production '!C325</f>
        <v>47941</v>
      </c>
      <c r="C322" s="76">
        <f ca="1">SUMIF('Production '!$C$4:$AI$4407,'Tracking Sheet'!B322,'Production '!$M$4:$M$4407)</f>
        <v>13437</v>
      </c>
      <c r="D322" s="76">
        <f ca="1">SUMIF('Production '!$C$4:$AI$4407,'Tracking Sheet'!B322,'Production '!$Q$4:$Q$4407)</f>
        <v>0</v>
      </c>
      <c r="E322" s="76">
        <f ca="1">SUMIF('Production '!$C$4:$AI$4407,'Tracking Sheet'!B322,'Production '!$S$4:$S$4407)</f>
        <v>0</v>
      </c>
      <c r="F322" s="76">
        <f ca="1">SUMIF('Production '!$C$4:$AI$4407,'Tracking Sheet'!B322,'Production '!$U$4:$U$4407)</f>
        <v>13437</v>
      </c>
      <c r="G322" s="76">
        <f ca="1">SUMIF('Production '!$C$4:$AI$4407,'Tracking Sheet'!B322,'Production '!$W$4:$W$4407)</f>
        <v>0</v>
      </c>
      <c r="H322" s="76">
        <f ca="1">SUMIF('Production '!$C$4:$AI$4407,'Tracking Sheet'!B322,'Production '!$F$4:$F$4407)</f>
        <v>13572</v>
      </c>
      <c r="I322" s="76">
        <f ca="1">SUMIF('Production '!$C$4:$AI$4407,'Tracking Sheet'!B322,'Production '!$V$4:$V$4407)</f>
        <v>0</v>
      </c>
      <c r="J322" s="76">
        <f ca="1">SUMIF('Production '!$C$4:$AI$4407,'Tracking Sheet'!B322,'Production '!$AG$4:$AG$4407)</f>
        <v>-173</v>
      </c>
    </row>
    <row r="323" spans="2:10" x14ac:dyDescent="0.3">
      <c r="B323" s="277">
        <f>'Production '!C326</f>
        <v>47941</v>
      </c>
      <c r="C323" s="76">
        <f ca="1">SUMIF('Production '!$C$4:$AI$4407,'Tracking Sheet'!B323,'Production '!$M$4:$M$4407)</f>
        <v>13437</v>
      </c>
      <c r="D323" s="76">
        <f ca="1">SUMIF('Production '!$C$4:$AI$4407,'Tracking Sheet'!B323,'Production '!$Q$4:$Q$4407)</f>
        <v>0</v>
      </c>
      <c r="E323" s="76">
        <f ca="1">SUMIF('Production '!$C$4:$AI$4407,'Tracking Sheet'!B323,'Production '!$S$4:$S$4407)</f>
        <v>0</v>
      </c>
      <c r="F323" s="76">
        <f ca="1">SUMIF('Production '!$C$4:$AI$4407,'Tracking Sheet'!B323,'Production '!$U$4:$U$4407)</f>
        <v>13437</v>
      </c>
      <c r="G323" s="76">
        <f ca="1">SUMIF('Production '!$C$4:$AI$4407,'Tracking Sheet'!B323,'Production '!$W$4:$W$4407)</f>
        <v>0</v>
      </c>
      <c r="H323" s="76">
        <f ca="1">SUMIF('Production '!$C$4:$AI$4407,'Tracking Sheet'!B323,'Production '!$F$4:$F$4407)</f>
        <v>13572</v>
      </c>
      <c r="I323" s="76">
        <f ca="1">SUMIF('Production '!$C$4:$AI$4407,'Tracking Sheet'!B323,'Production '!$V$4:$V$4407)</f>
        <v>0</v>
      </c>
      <c r="J323" s="76">
        <f ca="1">SUMIF('Production '!$C$4:$AI$4407,'Tracking Sheet'!B323,'Production '!$AG$4:$AG$4407)</f>
        <v>-173</v>
      </c>
    </row>
    <row r="324" spans="2:10" x14ac:dyDescent="0.3">
      <c r="B324" s="277">
        <f>'Production '!C327</f>
        <v>0</v>
      </c>
      <c r="C324" s="76" t="e">
        <f ca="1">SUMIF('Production '!$C$4:$AI$4407,'Tracking Sheet'!B324,'Production '!$M$4:$M$4407)</f>
        <v>#DIV/0!</v>
      </c>
      <c r="D324" s="76" t="e">
        <f ca="1">SUMIF('Production '!$C$4:$AI$4407,'Tracking Sheet'!B324,'Production '!$Q$4:$Q$4407)</f>
        <v>#DIV/0!</v>
      </c>
      <c r="E324" s="76">
        <f ca="1">SUMIF('Production '!$C$4:$AI$4407,'Tracking Sheet'!B324,'Production '!$S$4:$S$4407)</f>
        <v>-1268218.9828305368</v>
      </c>
      <c r="F324" s="76">
        <f ca="1">SUMIF('Production '!$C$4:$AI$4407,'Tracking Sheet'!B324,'Production '!$U$4:$U$4407)</f>
        <v>-10620.435600016917</v>
      </c>
      <c r="G324" s="76" t="e">
        <f ca="1">SUMIF('Production '!$C$4:$AI$4407,'Tracking Sheet'!B324,'Production '!$W$4:$W$4407)</f>
        <v>#DIV/0!</v>
      </c>
      <c r="H324" s="76">
        <f ca="1">SUMIF('Production '!$C$4:$AI$4407,'Tracking Sheet'!B324,'Production '!$F$4:$F$4407)</f>
        <v>3230621.3283604058</v>
      </c>
      <c r="I324" s="76">
        <f ca="1">SUMIF('Production '!$C$4:$AI$4407,'Tracking Sheet'!B324,'Production '!$V$4:$V$4407)</f>
        <v>-489.86487791182844</v>
      </c>
      <c r="J324" s="76">
        <f ca="1">SUMIF('Production '!$C$4:$AI$4407,'Tracking Sheet'!B324,'Production '!$AG$4:$AG$4407)</f>
        <v>0</v>
      </c>
    </row>
    <row r="325" spans="2:10" x14ac:dyDescent="0.3">
      <c r="B325" s="277">
        <f>'Production '!C328</f>
        <v>47863</v>
      </c>
      <c r="C325" s="76">
        <f ca="1">SUMIF('Production '!$C$4:$AI$4407,'Tracking Sheet'!B325,'Production '!$M$4:$M$4407)</f>
        <v>3122</v>
      </c>
      <c r="D325" s="76">
        <f ca="1">SUMIF('Production '!$C$4:$AI$4407,'Tracking Sheet'!B325,'Production '!$Q$4:$Q$4407)</f>
        <v>3115</v>
      </c>
      <c r="E325" s="76">
        <f ca="1">SUMIF('Production '!$C$4:$AI$4407,'Tracking Sheet'!B325,'Production '!$S$4:$S$4407)</f>
        <v>3115</v>
      </c>
      <c r="F325" s="76">
        <f ca="1">SUMIF('Production '!$C$4:$AI$4407,'Tracking Sheet'!B325,'Production '!$U$4:$U$4407)</f>
        <v>38</v>
      </c>
      <c r="G325" s="76">
        <f ca="1">SUMIF('Production '!$C$4:$AI$4407,'Tracking Sheet'!B325,'Production '!$W$4:$W$4407)</f>
        <v>3077</v>
      </c>
      <c r="H325" s="76">
        <f ca="1">SUMIF('Production '!$C$4:$AI$4407,'Tracking Sheet'!B325,'Production '!$F$4:$F$4407)</f>
        <v>3031</v>
      </c>
      <c r="I325" s="76">
        <f ca="1">SUMIF('Production '!$C$4:$AI$4407,'Tracking Sheet'!B325,'Production '!$V$4:$V$4407)</f>
        <v>1665</v>
      </c>
      <c r="J325" s="76">
        <f ca="1">SUMIF('Production '!$C$4:$AI$4407,'Tracking Sheet'!B325,'Production '!$AG$4:$AG$4407)</f>
        <v>0</v>
      </c>
    </row>
    <row r="326" spans="2:10" x14ac:dyDescent="0.3">
      <c r="B326" s="277">
        <f>'Production '!C329</f>
        <v>0</v>
      </c>
      <c r="C326" s="76" t="e">
        <f ca="1">SUMIF('Production '!$C$4:$AI$4407,'Tracking Sheet'!B326,'Production '!$M$4:$M$4407)</f>
        <v>#DIV/0!</v>
      </c>
      <c r="D326" s="76" t="e">
        <f ca="1">SUMIF('Production '!$C$4:$AI$4407,'Tracking Sheet'!B326,'Production '!$Q$4:$Q$4407)</f>
        <v>#DIV/0!</v>
      </c>
      <c r="E326" s="76">
        <f ca="1">SUMIF('Production '!$C$4:$AI$4407,'Tracking Sheet'!B326,'Production '!$S$4:$S$4407)</f>
        <v>-1268218.9828305368</v>
      </c>
      <c r="F326" s="76">
        <f ca="1">SUMIF('Production '!$C$4:$AI$4407,'Tracking Sheet'!B326,'Production '!$U$4:$U$4407)</f>
        <v>-10620.435600016917</v>
      </c>
      <c r="G326" s="76" t="e">
        <f ca="1">SUMIF('Production '!$C$4:$AI$4407,'Tracking Sheet'!B326,'Production '!$W$4:$W$4407)</f>
        <v>#DIV/0!</v>
      </c>
      <c r="H326" s="76">
        <f ca="1">SUMIF('Production '!$C$4:$AI$4407,'Tracking Sheet'!B326,'Production '!$F$4:$F$4407)</f>
        <v>3230621.3283604058</v>
      </c>
      <c r="I326" s="76">
        <f ca="1">SUMIF('Production '!$C$4:$AI$4407,'Tracking Sheet'!B326,'Production '!$V$4:$V$4407)</f>
        <v>-489.86487791182844</v>
      </c>
      <c r="J326" s="76">
        <f ca="1">SUMIF('Production '!$C$4:$AI$4407,'Tracking Sheet'!B326,'Production '!$AG$4:$AG$4407)</f>
        <v>0</v>
      </c>
    </row>
    <row r="327" spans="2:10" x14ac:dyDescent="0.3">
      <c r="B327" s="277">
        <f>'Production '!C330</f>
        <v>47834</v>
      </c>
      <c r="C327" s="76">
        <f ca="1">SUMIF('Production '!$C$4:$AI$4407,'Tracking Sheet'!B327,'Production '!$M$4:$M$4407)</f>
        <v>0</v>
      </c>
      <c r="D327" s="76">
        <f ca="1">SUMIF('Production '!$C$4:$AI$4407,'Tracking Sheet'!B327,'Production '!$Q$4:$Q$4407)</f>
        <v>0</v>
      </c>
      <c r="E327" s="76">
        <f ca="1">SUMIF('Production '!$C$4:$AI$4407,'Tracking Sheet'!B327,'Production '!$S$4:$S$4407)</f>
        <v>0</v>
      </c>
      <c r="F327" s="76">
        <f ca="1">SUMIF('Production '!$C$4:$AI$4407,'Tracking Sheet'!B327,'Production '!$U$4:$U$4407)</f>
        <v>0</v>
      </c>
      <c r="G327" s="76">
        <f ca="1">SUMIF('Production '!$C$4:$AI$4407,'Tracking Sheet'!B327,'Production '!$W$4:$W$4407)</f>
        <v>0</v>
      </c>
      <c r="H327" s="76">
        <f ca="1">SUMIF('Production '!$C$4:$AI$4407,'Tracking Sheet'!B327,'Production '!$F$4:$F$4407)</f>
        <v>3110</v>
      </c>
      <c r="I327" s="76">
        <f ca="1">SUMIF('Production '!$C$4:$AI$4407,'Tracking Sheet'!B327,'Production '!$V$4:$V$4407)</f>
        <v>0</v>
      </c>
      <c r="J327" s="76">
        <f ca="1">SUMIF('Production '!$C$4:$AI$4407,'Tracking Sheet'!B327,'Production '!$AG$4:$AG$4407)</f>
        <v>-3110</v>
      </c>
    </row>
    <row r="328" spans="2:10" x14ac:dyDescent="0.3">
      <c r="B328" s="277">
        <f>'Production '!C331</f>
        <v>0</v>
      </c>
      <c r="C328" s="76" t="e">
        <f ca="1">SUMIF('Production '!$C$4:$AI$4407,'Tracking Sheet'!B328,'Production '!$M$4:$M$4407)</f>
        <v>#DIV/0!</v>
      </c>
      <c r="D328" s="76" t="e">
        <f ca="1">SUMIF('Production '!$C$4:$AI$4407,'Tracking Sheet'!B328,'Production '!$Q$4:$Q$4407)</f>
        <v>#DIV/0!</v>
      </c>
      <c r="E328" s="76">
        <f ca="1">SUMIF('Production '!$C$4:$AI$4407,'Tracking Sheet'!B328,'Production '!$S$4:$S$4407)</f>
        <v>-1268218.9828305368</v>
      </c>
      <c r="F328" s="76">
        <f ca="1">SUMIF('Production '!$C$4:$AI$4407,'Tracking Sheet'!B328,'Production '!$U$4:$U$4407)</f>
        <v>-10620.435600016917</v>
      </c>
      <c r="G328" s="76" t="e">
        <f ca="1">SUMIF('Production '!$C$4:$AI$4407,'Tracking Sheet'!B328,'Production '!$W$4:$W$4407)</f>
        <v>#DIV/0!</v>
      </c>
      <c r="H328" s="76">
        <f ca="1">SUMIF('Production '!$C$4:$AI$4407,'Tracking Sheet'!B328,'Production '!$F$4:$F$4407)</f>
        <v>3230621.3283604058</v>
      </c>
      <c r="I328" s="76">
        <f ca="1">SUMIF('Production '!$C$4:$AI$4407,'Tracking Sheet'!B328,'Production '!$V$4:$V$4407)</f>
        <v>-489.86487791182844</v>
      </c>
      <c r="J328" s="76">
        <f ca="1">SUMIF('Production '!$C$4:$AI$4407,'Tracking Sheet'!B328,'Production '!$AG$4:$AG$4407)</f>
        <v>0</v>
      </c>
    </row>
    <row r="329" spans="2:10" x14ac:dyDescent="0.3">
      <c r="B329" s="277">
        <f>'Production '!C332</f>
        <v>48142</v>
      </c>
      <c r="C329" s="76">
        <f ca="1">SUMIF('Production '!$C$4:$AI$4407,'Tracking Sheet'!B329,'Production '!$M$4:$M$4407)</f>
        <v>0</v>
      </c>
      <c r="D329" s="76">
        <f ca="1">SUMIF('Production '!$C$4:$AI$4407,'Tracking Sheet'!B329,'Production '!$Q$4:$Q$4407)</f>
        <v>0</v>
      </c>
      <c r="E329" s="76">
        <f ca="1">SUMIF('Production '!$C$4:$AI$4407,'Tracking Sheet'!B329,'Production '!$S$4:$S$4407)</f>
        <v>0</v>
      </c>
      <c r="F329" s="76">
        <f ca="1">SUMIF('Production '!$C$4:$AI$4407,'Tracking Sheet'!B329,'Production '!$U$4:$U$4407)</f>
        <v>0</v>
      </c>
      <c r="G329" s="76">
        <f ca="1">SUMIF('Production '!$C$4:$AI$4407,'Tracking Sheet'!B329,'Production '!$W$4:$W$4407)</f>
        <v>0</v>
      </c>
      <c r="H329" s="76">
        <f ca="1">SUMIF('Production '!$C$4:$AI$4407,'Tracking Sheet'!B329,'Production '!$F$4:$F$4407)</f>
        <v>5339</v>
      </c>
      <c r="I329" s="76">
        <f ca="1">SUMIF('Production '!$C$4:$AI$4407,'Tracking Sheet'!B329,'Production '!$V$4:$V$4407)</f>
        <v>0</v>
      </c>
      <c r="J329" s="76">
        <f ca="1">SUMIF('Production '!$C$4:$AI$4407,'Tracking Sheet'!B329,'Production '!$AG$4:$AG$4407)</f>
        <v>-5339</v>
      </c>
    </row>
    <row r="330" spans="2:10" x14ac:dyDescent="0.3">
      <c r="B330" s="277">
        <f>'Production '!C333</f>
        <v>48142</v>
      </c>
      <c r="C330" s="76">
        <f ca="1">SUMIF('Production '!$C$4:$AI$4407,'Tracking Sheet'!B330,'Production '!$M$4:$M$4407)</f>
        <v>0</v>
      </c>
      <c r="D330" s="76">
        <f ca="1">SUMIF('Production '!$C$4:$AI$4407,'Tracking Sheet'!B330,'Production '!$Q$4:$Q$4407)</f>
        <v>0</v>
      </c>
      <c r="E330" s="76">
        <f ca="1">SUMIF('Production '!$C$4:$AI$4407,'Tracking Sheet'!B330,'Production '!$S$4:$S$4407)</f>
        <v>0</v>
      </c>
      <c r="F330" s="76">
        <f ca="1">SUMIF('Production '!$C$4:$AI$4407,'Tracking Sheet'!B330,'Production '!$U$4:$U$4407)</f>
        <v>0</v>
      </c>
      <c r="G330" s="76">
        <f ca="1">SUMIF('Production '!$C$4:$AI$4407,'Tracking Sheet'!B330,'Production '!$W$4:$W$4407)</f>
        <v>0</v>
      </c>
      <c r="H330" s="76">
        <f ca="1">SUMIF('Production '!$C$4:$AI$4407,'Tracking Sheet'!B330,'Production '!$F$4:$F$4407)</f>
        <v>5339</v>
      </c>
      <c r="I330" s="76">
        <f ca="1">SUMIF('Production '!$C$4:$AI$4407,'Tracking Sheet'!B330,'Production '!$V$4:$V$4407)</f>
        <v>0</v>
      </c>
      <c r="J330" s="76">
        <f ca="1">SUMIF('Production '!$C$4:$AI$4407,'Tracking Sheet'!B330,'Production '!$AG$4:$AG$4407)</f>
        <v>-5339</v>
      </c>
    </row>
    <row r="331" spans="2:10" x14ac:dyDescent="0.3">
      <c r="B331" s="277">
        <f>'Production '!C334</f>
        <v>48142</v>
      </c>
      <c r="C331" s="76">
        <f ca="1">SUMIF('Production '!$C$4:$AI$4407,'Tracking Sheet'!B331,'Production '!$M$4:$M$4407)</f>
        <v>0</v>
      </c>
      <c r="D331" s="76">
        <f ca="1">SUMIF('Production '!$C$4:$AI$4407,'Tracking Sheet'!B331,'Production '!$Q$4:$Q$4407)</f>
        <v>0</v>
      </c>
      <c r="E331" s="76">
        <f ca="1">SUMIF('Production '!$C$4:$AI$4407,'Tracking Sheet'!B331,'Production '!$S$4:$S$4407)</f>
        <v>0</v>
      </c>
      <c r="F331" s="76">
        <f ca="1">SUMIF('Production '!$C$4:$AI$4407,'Tracking Sheet'!B331,'Production '!$U$4:$U$4407)</f>
        <v>0</v>
      </c>
      <c r="G331" s="76">
        <f ca="1">SUMIF('Production '!$C$4:$AI$4407,'Tracking Sheet'!B331,'Production '!$W$4:$W$4407)</f>
        <v>0</v>
      </c>
      <c r="H331" s="76">
        <f ca="1">SUMIF('Production '!$C$4:$AI$4407,'Tracking Sheet'!B331,'Production '!$F$4:$F$4407)</f>
        <v>5339</v>
      </c>
      <c r="I331" s="76">
        <f ca="1">SUMIF('Production '!$C$4:$AI$4407,'Tracking Sheet'!B331,'Production '!$V$4:$V$4407)</f>
        <v>0</v>
      </c>
      <c r="J331" s="76">
        <f ca="1">SUMIF('Production '!$C$4:$AI$4407,'Tracking Sheet'!B331,'Production '!$AG$4:$AG$4407)</f>
        <v>-5339</v>
      </c>
    </row>
    <row r="332" spans="2:10" x14ac:dyDescent="0.3">
      <c r="B332" s="277">
        <f>'Production '!C335</f>
        <v>0</v>
      </c>
      <c r="C332" s="76" t="e">
        <f ca="1">SUMIF('Production '!$C$4:$AI$4407,'Tracking Sheet'!B332,'Production '!$M$4:$M$4407)</f>
        <v>#DIV/0!</v>
      </c>
      <c r="D332" s="76" t="e">
        <f ca="1">SUMIF('Production '!$C$4:$AI$4407,'Tracking Sheet'!B332,'Production '!$Q$4:$Q$4407)</f>
        <v>#DIV/0!</v>
      </c>
      <c r="E332" s="76">
        <f ca="1">SUMIF('Production '!$C$4:$AI$4407,'Tracking Sheet'!B332,'Production '!$S$4:$S$4407)</f>
        <v>-1268218.9828305368</v>
      </c>
      <c r="F332" s="76">
        <f ca="1">SUMIF('Production '!$C$4:$AI$4407,'Tracking Sheet'!B332,'Production '!$U$4:$U$4407)</f>
        <v>-10620.435600016917</v>
      </c>
      <c r="G332" s="76" t="e">
        <f ca="1">SUMIF('Production '!$C$4:$AI$4407,'Tracking Sheet'!B332,'Production '!$W$4:$W$4407)</f>
        <v>#DIV/0!</v>
      </c>
      <c r="H332" s="76">
        <f ca="1">SUMIF('Production '!$C$4:$AI$4407,'Tracking Sheet'!B332,'Production '!$F$4:$F$4407)</f>
        <v>3230621.3283604058</v>
      </c>
      <c r="I332" s="76">
        <f ca="1">SUMIF('Production '!$C$4:$AI$4407,'Tracking Sheet'!B332,'Production '!$V$4:$V$4407)</f>
        <v>-489.86487791182844</v>
      </c>
      <c r="J332" s="76">
        <f ca="1">SUMIF('Production '!$C$4:$AI$4407,'Tracking Sheet'!B332,'Production '!$AG$4:$AG$4407)</f>
        <v>0</v>
      </c>
    </row>
    <row r="333" spans="2:10" x14ac:dyDescent="0.3">
      <c r="B333" s="277">
        <f>'Production '!C336</f>
        <v>48143</v>
      </c>
      <c r="C333" s="76">
        <f ca="1">SUMIF('Production '!$C$4:$AI$4407,'Tracking Sheet'!B333,'Production '!$M$4:$M$4407)</f>
        <v>0</v>
      </c>
      <c r="D333" s="76">
        <f ca="1">SUMIF('Production '!$C$4:$AI$4407,'Tracking Sheet'!B333,'Production '!$Q$4:$Q$4407)</f>
        <v>0</v>
      </c>
      <c r="E333" s="76">
        <f ca="1">SUMIF('Production '!$C$4:$AI$4407,'Tracking Sheet'!B333,'Production '!$S$4:$S$4407)</f>
        <v>0</v>
      </c>
      <c r="F333" s="76">
        <f ca="1">SUMIF('Production '!$C$4:$AI$4407,'Tracking Sheet'!B333,'Production '!$U$4:$U$4407)</f>
        <v>0</v>
      </c>
      <c r="G333" s="76">
        <f ca="1">SUMIF('Production '!$C$4:$AI$4407,'Tracking Sheet'!B333,'Production '!$W$4:$W$4407)</f>
        <v>0</v>
      </c>
      <c r="H333" s="76">
        <f ca="1">SUMIF('Production '!$C$4:$AI$4407,'Tracking Sheet'!B333,'Production '!$F$4:$F$4407)</f>
        <v>6939</v>
      </c>
      <c r="I333" s="76">
        <f ca="1">SUMIF('Production '!$C$4:$AI$4407,'Tracking Sheet'!B333,'Production '!$V$4:$V$4407)</f>
        <v>0</v>
      </c>
      <c r="J333" s="76">
        <f ca="1">SUMIF('Production '!$C$4:$AI$4407,'Tracking Sheet'!B333,'Production '!$AG$4:$AG$4407)</f>
        <v>-6939</v>
      </c>
    </row>
    <row r="334" spans="2:10" x14ac:dyDescent="0.3">
      <c r="B334" s="277">
        <f>'Production '!C337</f>
        <v>48143</v>
      </c>
      <c r="C334" s="76">
        <f ca="1">SUMIF('Production '!$C$4:$AI$4407,'Tracking Sheet'!B334,'Production '!$M$4:$M$4407)</f>
        <v>0</v>
      </c>
      <c r="D334" s="76">
        <f ca="1">SUMIF('Production '!$C$4:$AI$4407,'Tracking Sheet'!B334,'Production '!$Q$4:$Q$4407)</f>
        <v>0</v>
      </c>
      <c r="E334" s="76">
        <f ca="1">SUMIF('Production '!$C$4:$AI$4407,'Tracking Sheet'!B334,'Production '!$S$4:$S$4407)</f>
        <v>0</v>
      </c>
      <c r="F334" s="76">
        <f ca="1">SUMIF('Production '!$C$4:$AI$4407,'Tracking Sheet'!B334,'Production '!$U$4:$U$4407)</f>
        <v>0</v>
      </c>
      <c r="G334" s="76">
        <f ca="1">SUMIF('Production '!$C$4:$AI$4407,'Tracking Sheet'!B334,'Production '!$W$4:$W$4407)</f>
        <v>0</v>
      </c>
      <c r="H334" s="76">
        <f ca="1">SUMIF('Production '!$C$4:$AI$4407,'Tracking Sheet'!B334,'Production '!$F$4:$F$4407)</f>
        <v>6939</v>
      </c>
      <c r="I334" s="76">
        <f ca="1">SUMIF('Production '!$C$4:$AI$4407,'Tracking Sheet'!B334,'Production '!$V$4:$V$4407)</f>
        <v>0</v>
      </c>
      <c r="J334" s="76">
        <f ca="1">SUMIF('Production '!$C$4:$AI$4407,'Tracking Sheet'!B334,'Production '!$AG$4:$AG$4407)</f>
        <v>-6939</v>
      </c>
    </row>
    <row r="335" spans="2:10" x14ac:dyDescent="0.3">
      <c r="B335" s="277">
        <f>'Production '!C338</f>
        <v>48143</v>
      </c>
      <c r="C335" s="76">
        <f ca="1">SUMIF('Production '!$C$4:$AI$4407,'Tracking Sheet'!B335,'Production '!$M$4:$M$4407)</f>
        <v>0</v>
      </c>
      <c r="D335" s="76">
        <f ca="1">SUMIF('Production '!$C$4:$AI$4407,'Tracking Sheet'!B335,'Production '!$Q$4:$Q$4407)</f>
        <v>0</v>
      </c>
      <c r="E335" s="76">
        <f ca="1">SUMIF('Production '!$C$4:$AI$4407,'Tracking Sheet'!B335,'Production '!$S$4:$S$4407)</f>
        <v>0</v>
      </c>
      <c r="F335" s="76">
        <f ca="1">SUMIF('Production '!$C$4:$AI$4407,'Tracking Sheet'!B335,'Production '!$U$4:$U$4407)</f>
        <v>0</v>
      </c>
      <c r="G335" s="76">
        <f ca="1">SUMIF('Production '!$C$4:$AI$4407,'Tracking Sheet'!B335,'Production '!$W$4:$W$4407)</f>
        <v>0</v>
      </c>
      <c r="H335" s="76">
        <f ca="1">SUMIF('Production '!$C$4:$AI$4407,'Tracking Sheet'!B335,'Production '!$F$4:$F$4407)</f>
        <v>6939</v>
      </c>
      <c r="I335" s="76">
        <f ca="1">SUMIF('Production '!$C$4:$AI$4407,'Tracking Sheet'!B335,'Production '!$V$4:$V$4407)</f>
        <v>0</v>
      </c>
      <c r="J335" s="76">
        <f ca="1">SUMIF('Production '!$C$4:$AI$4407,'Tracking Sheet'!B335,'Production '!$AG$4:$AG$4407)</f>
        <v>-6939</v>
      </c>
    </row>
    <row r="336" spans="2:10" x14ac:dyDescent="0.3">
      <c r="B336" s="277">
        <f>'Production '!C339</f>
        <v>0</v>
      </c>
      <c r="C336" s="76" t="e">
        <f ca="1">SUMIF('Production '!$C$4:$AI$4407,'Tracking Sheet'!B336,'Production '!$M$4:$M$4407)</f>
        <v>#DIV/0!</v>
      </c>
      <c r="D336" s="76" t="e">
        <f ca="1">SUMIF('Production '!$C$4:$AI$4407,'Tracking Sheet'!B336,'Production '!$Q$4:$Q$4407)</f>
        <v>#DIV/0!</v>
      </c>
      <c r="E336" s="76">
        <f ca="1">SUMIF('Production '!$C$4:$AI$4407,'Tracking Sheet'!B336,'Production '!$S$4:$S$4407)</f>
        <v>-1268218.9828305368</v>
      </c>
      <c r="F336" s="76">
        <f ca="1">SUMIF('Production '!$C$4:$AI$4407,'Tracking Sheet'!B336,'Production '!$U$4:$U$4407)</f>
        <v>-10620.435600016917</v>
      </c>
      <c r="G336" s="76" t="e">
        <f ca="1">SUMIF('Production '!$C$4:$AI$4407,'Tracking Sheet'!B336,'Production '!$W$4:$W$4407)</f>
        <v>#DIV/0!</v>
      </c>
      <c r="H336" s="76">
        <f ca="1">SUMIF('Production '!$C$4:$AI$4407,'Tracking Sheet'!B336,'Production '!$F$4:$F$4407)</f>
        <v>3230621.3283604058</v>
      </c>
      <c r="I336" s="76">
        <f ca="1">SUMIF('Production '!$C$4:$AI$4407,'Tracking Sheet'!B336,'Production '!$V$4:$V$4407)</f>
        <v>-489.86487791182844</v>
      </c>
      <c r="J336" s="76">
        <f ca="1">SUMIF('Production '!$C$4:$AI$4407,'Tracking Sheet'!B336,'Production '!$AG$4:$AG$4407)</f>
        <v>0</v>
      </c>
    </row>
    <row r="337" spans="2:10" x14ac:dyDescent="0.3">
      <c r="B337" s="277">
        <f>'Production '!C340</f>
        <v>48246</v>
      </c>
      <c r="C337" s="76">
        <f ca="1">SUMIF('Production '!$C$4:$AI$4407,'Tracking Sheet'!B337,'Production '!$M$4:$M$4407)</f>
        <v>0</v>
      </c>
      <c r="D337" s="76">
        <f ca="1">SUMIF('Production '!$C$4:$AI$4407,'Tracking Sheet'!B337,'Production '!$Q$4:$Q$4407)</f>
        <v>0</v>
      </c>
      <c r="E337" s="76">
        <f ca="1">SUMIF('Production '!$C$4:$AI$4407,'Tracking Sheet'!B337,'Production '!$S$4:$S$4407)</f>
        <v>0</v>
      </c>
      <c r="F337" s="76">
        <f ca="1">SUMIF('Production '!$C$4:$AI$4407,'Tracking Sheet'!B337,'Production '!$U$4:$U$4407)</f>
        <v>0</v>
      </c>
      <c r="G337" s="76">
        <f ca="1">SUMIF('Production '!$C$4:$AI$4407,'Tracking Sheet'!B337,'Production '!$W$4:$W$4407)</f>
        <v>0</v>
      </c>
      <c r="H337" s="76">
        <f ca="1">SUMIF('Production '!$C$4:$AI$4407,'Tracking Sheet'!B337,'Production '!$F$4:$F$4407)</f>
        <v>3026</v>
      </c>
      <c r="I337" s="76">
        <f ca="1">SUMIF('Production '!$C$4:$AI$4407,'Tracking Sheet'!B337,'Production '!$V$4:$V$4407)</f>
        <v>0</v>
      </c>
      <c r="J337" s="76">
        <f ca="1">SUMIF('Production '!$C$4:$AI$4407,'Tracking Sheet'!B337,'Production '!$AG$4:$AG$4407)</f>
        <v>-3026</v>
      </c>
    </row>
    <row r="338" spans="2:10" x14ac:dyDescent="0.3">
      <c r="B338" s="277">
        <f>'Production '!C341</f>
        <v>48246</v>
      </c>
      <c r="C338" s="76">
        <f ca="1">SUMIF('Production '!$C$4:$AI$4407,'Tracking Sheet'!B338,'Production '!$M$4:$M$4407)</f>
        <v>0</v>
      </c>
      <c r="D338" s="76">
        <f ca="1">SUMIF('Production '!$C$4:$AI$4407,'Tracking Sheet'!B338,'Production '!$Q$4:$Q$4407)</f>
        <v>0</v>
      </c>
      <c r="E338" s="76">
        <f ca="1">SUMIF('Production '!$C$4:$AI$4407,'Tracking Sheet'!B338,'Production '!$S$4:$S$4407)</f>
        <v>0</v>
      </c>
      <c r="F338" s="76">
        <f ca="1">SUMIF('Production '!$C$4:$AI$4407,'Tracking Sheet'!B338,'Production '!$U$4:$U$4407)</f>
        <v>0</v>
      </c>
      <c r="G338" s="76">
        <f ca="1">SUMIF('Production '!$C$4:$AI$4407,'Tracking Sheet'!B338,'Production '!$W$4:$W$4407)</f>
        <v>0</v>
      </c>
      <c r="H338" s="76">
        <f ca="1">SUMIF('Production '!$C$4:$AI$4407,'Tracking Sheet'!B338,'Production '!$F$4:$F$4407)</f>
        <v>3026</v>
      </c>
      <c r="I338" s="76">
        <f ca="1">SUMIF('Production '!$C$4:$AI$4407,'Tracking Sheet'!B338,'Production '!$V$4:$V$4407)</f>
        <v>0</v>
      </c>
      <c r="J338" s="76">
        <f ca="1">SUMIF('Production '!$C$4:$AI$4407,'Tracking Sheet'!B338,'Production '!$AG$4:$AG$4407)</f>
        <v>-3026</v>
      </c>
    </row>
    <row r="339" spans="2:10" x14ac:dyDescent="0.3">
      <c r="B339" s="277">
        <f>'Production '!C342</f>
        <v>0</v>
      </c>
      <c r="C339" s="76" t="e">
        <f ca="1">SUMIF('Production '!$C$4:$AI$4407,'Tracking Sheet'!B339,'Production '!$M$4:$M$4407)</f>
        <v>#DIV/0!</v>
      </c>
      <c r="D339" s="76" t="e">
        <f ca="1">SUMIF('Production '!$C$4:$AI$4407,'Tracking Sheet'!B339,'Production '!$Q$4:$Q$4407)</f>
        <v>#DIV/0!</v>
      </c>
      <c r="E339" s="76">
        <f ca="1">SUMIF('Production '!$C$4:$AI$4407,'Tracking Sheet'!B339,'Production '!$S$4:$S$4407)</f>
        <v>-1268218.9828305368</v>
      </c>
      <c r="F339" s="76">
        <f ca="1">SUMIF('Production '!$C$4:$AI$4407,'Tracking Sheet'!B339,'Production '!$U$4:$U$4407)</f>
        <v>-10620.435600016917</v>
      </c>
      <c r="G339" s="76" t="e">
        <f ca="1">SUMIF('Production '!$C$4:$AI$4407,'Tracking Sheet'!B339,'Production '!$W$4:$W$4407)</f>
        <v>#DIV/0!</v>
      </c>
      <c r="H339" s="76">
        <f ca="1">SUMIF('Production '!$C$4:$AI$4407,'Tracking Sheet'!B339,'Production '!$F$4:$F$4407)</f>
        <v>3230621.3283604058</v>
      </c>
      <c r="I339" s="76">
        <f ca="1">SUMIF('Production '!$C$4:$AI$4407,'Tracking Sheet'!B339,'Production '!$V$4:$V$4407)</f>
        <v>-489.86487791182844</v>
      </c>
      <c r="J339" s="76">
        <f ca="1">SUMIF('Production '!$C$4:$AI$4407,'Tracking Sheet'!B339,'Production '!$AG$4:$AG$4407)</f>
        <v>0</v>
      </c>
    </row>
    <row r="340" spans="2:10" x14ac:dyDescent="0.3">
      <c r="B340" s="277">
        <f>'Production '!C343</f>
        <v>47943</v>
      </c>
      <c r="C340" s="76">
        <f ca="1">SUMIF('Production '!$C$4:$AI$4407,'Tracking Sheet'!B340,'Production '!$M$4:$M$4407)</f>
        <v>0</v>
      </c>
      <c r="D340" s="76">
        <f ca="1">SUMIF('Production '!$C$4:$AI$4407,'Tracking Sheet'!B340,'Production '!$Q$4:$Q$4407)</f>
        <v>0</v>
      </c>
      <c r="E340" s="76">
        <f ca="1">SUMIF('Production '!$C$4:$AI$4407,'Tracking Sheet'!B340,'Production '!$S$4:$S$4407)</f>
        <v>0</v>
      </c>
      <c r="F340" s="76">
        <f ca="1">SUMIF('Production '!$C$4:$AI$4407,'Tracking Sheet'!B340,'Production '!$U$4:$U$4407)</f>
        <v>0</v>
      </c>
      <c r="G340" s="76">
        <f ca="1">SUMIF('Production '!$C$4:$AI$4407,'Tracking Sheet'!B340,'Production '!$W$4:$W$4407)</f>
        <v>0</v>
      </c>
      <c r="H340" s="76">
        <f ca="1">SUMIF('Production '!$C$4:$AI$4407,'Tracking Sheet'!B340,'Production '!$F$4:$F$4407)</f>
        <v>12659</v>
      </c>
      <c r="I340" s="76">
        <f ca="1">SUMIF('Production '!$C$4:$AI$4407,'Tracking Sheet'!B340,'Production '!$V$4:$V$4407)</f>
        <v>0</v>
      </c>
      <c r="J340" s="76">
        <f ca="1">SUMIF('Production '!$C$4:$AI$4407,'Tracking Sheet'!B340,'Production '!$AG$4:$AG$4407)</f>
        <v>-12659</v>
      </c>
    </row>
    <row r="341" spans="2:10" x14ac:dyDescent="0.3">
      <c r="B341" s="277">
        <f>'Production '!C344</f>
        <v>47943</v>
      </c>
      <c r="C341" s="76">
        <f ca="1">SUMIF('Production '!$C$4:$AI$4407,'Tracking Sheet'!B341,'Production '!$M$4:$M$4407)</f>
        <v>0</v>
      </c>
      <c r="D341" s="76">
        <f ca="1">SUMIF('Production '!$C$4:$AI$4407,'Tracking Sheet'!B341,'Production '!$Q$4:$Q$4407)</f>
        <v>0</v>
      </c>
      <c r="E341" s="76">
        <f ca="1">SUMIF('Production '!$C$4:$AI$4407,'Tracking Sheet'!B341,'Production '!$S$4:$S$4407)</f>
        <v>0</v>
      </c>
      <c r="F341" s="76">
        <f ca="1">SUMIF('Production '!$C$4:$AI$4407,'Tracking Sheet'!B341,'Production '!$U$4:$U$4407)</f>
        <v>0</v>
      </c>
      <c r="G341" s="76">
        <f ca="1">SUMIF('Production '!$C$4:$AI$4407,'Tracking Sheet'!B341,'Production '!$W$4:$W$4407)</f>
        <v>0</v>
      </c>
      <c r="H341" s="76">
        <f ca="1">SUMIF('Production '!$C$4:$AI$4407,'Tracking Sheet'!B341,'Production '!$F$4:$F$4407)</f>
        <v>12659</v>
      </c>
      <c r="I341" s="76">
        <f ca="1">SUMIF('Production '!$C$4:$AI$4407,'Tracking Sheet'!B341,'Production '!$V$4:$V$4407)</f>
        <v>0</v>
      </c>
      <c r="J341" s="76">
        <f ca="1">SUMIF('Production '!$C$4:$AI$4407,'Tracking Sheet'!B341,'Production '!$AG$4:$AG$4407)</f>
        <v>-12659</v>
      </c>
    </row>
    <row r="342" spans="2:10" x14ac:dyDescent="0.3">
      <c r="B342" s="277">
        <f>'Production '!C345</f>
        <v>47943</v>
      </c>
      <c r="C342" s="76">
        <f ca="1">SUMIF('Production '!$C$4:$AI$4407,'Tracking Sheet'!B342,'Production '!$M$4:$M$4407)</f>
        <v>0</v>
      </c>
      <c r="D342" s="76">
        <f ca="1">SUMIF('Production '!$C$4:$AI$4407,'Tracking Sheet'!B342,'Production '!$Q$4:$Q$4407)</f>
        <v>0</v>
      </c>
      <c r="E342" s="76">
        <f ca="1">SUMIF('Production '!$C$4:$AI$4407,'Tracking Sheet'!B342,'Production '!$S$4:$S$4407)</f>
        <v>0</v>
      </c>
      <c r="F342" s="76">
        <f ca="1">SUMIF('Production '!$C$4:$AI$4407,'Tracking Sheet'!B342,'Production '!$U$4:$U$4407)</f>
        <v>0</v>
      </c>
      <c r="G342" s="76">
        <f ca="1">SUMIF('Production '!$C$4:$AI$4407,'Tracking Sheet'!B342,'Production '!$W$4:$W$4407)</f>
        <v>0</v>
      </c>
      <c r="H342" s="76">
        <f ca="1">SUMIF('Production '!$C$4:$AI$4407,'Tracking Sheet'!B342,'Production '!$F$4:$F$4407)</f>
        <v>12659</v>
      </c>
      <c r="I342" s="76">
        <f ca="1">SUMIF('Production '!$C$4:$AI$4407,'Tracking Sheet'!B342,'Production '!$V$4:$V$4407)</f>
        <v>0</v>
      </c>
      <c r="J342" s="76">
        <f ca="1">SUMIF('Production '!$C$4:$AI$4407,'Tracking Sheet'!B342,'Production '!$AG$4:$AG$4407)</f>
        <v>-12659</v>
      </c>
    </row>
    <row r="343" spans="2:10" x14ac:dyDescent="0.3">
      <c r="B343" s="277">
        <f>'Production '!C346</f>
        <v>0</v>
      </c>
      <c r="C343" s="76" t="e">
        <f ca="1">SUMIF('Production '!$C$4:$AI$4407,'Tracking Sheet'!B343,'Production '!$M$4:$M$4407)</f>
        <v>#DIV/0!</v>
      </c>
      <c r="D343" s="76" t="e">
        <f ca="1">SUMIF('Production '!$C$4:$AI$4407,'Tracking Sheet'!B343,'Production '!$Q$4:$Q$4407)</f>
        <v>#DIV/0!</v>
      </c>
      <c r="E343" s="76">
        <f ca="1">SUMIF('Production '!$C$4:$AI$4407,'Tracking Sheet'!B343,'Production '!$S$4:$S$4407)</f>
        <v>-1268218.9828305368</v>
      </c>
      <c r="F343" s="76">
        <f ca="1">SUMIF('Production '!$C$4:$AI$4407,'Tracking Sheet'!B343,'Production '!$U$4:$U$4407)</f>
        <v>-10620.435600016917</v>
      </c>
      <c r="G343" s="76" t="e">
        <f ca="1">SUMIF('Production '!$C$4:$AI$4407,'Tracking Sheet'!B343,'Production '!$W$4:$W$4407)</f>
        <v>#DIV/0!</v>
      </c>
      <c r="H343" s="76">
        <f ca="1">SUMIF('Production '!$C$4:$AI$4407,'Tracking Sheet'!B343,'Production '!$F$4:$F$4407)</f>
        <v>3230621.3283604058</v>
      </c>
      <c r="I343" s="76">
        <f ca="1">SUMIF('Production '!$C$4:$AI$4407,'Tracking Sheet'!B343,'Production '!$V$4:$V$4407)</f>
        <v>-489.86487791182844</v>
      </c>
      <c r="J343" s="76">
        <f ca="1">SUMIF('Production '!$C$4:$AI$4407,'Tracking Sheet'!B343,'Production '!$AG$4:$AG$4407)</f>
        <v>0</v>
      </c>
    </row>
    <row r="344" spans="2:10" x14ac:dyDescent="0.3">
      <c r="B344" s="277">
        <f>'Production '!C347</f>
        <v>47735</v>
      </c>
      <c r="C344" s="76">
        <f ca="1">SUMIF('Production '!$C$4:$AI$4407,'Tracking Sheet'!B344,'Production '!$M$4:$M$4407)</f>
        <v>16708</v>
      </c>
      <c r="D344" s="76">
        <f ca="1">SUMIF('Production '!$C$4:$AI$4407,'Tracking Sheet'!B344,'Production '!$Q$4:$Q$4407)</f>
        <v>0</v>
      </c>
      <c r="E344" s="76">
        <f ca="1">SUMIF('Production '!$C$4:$AI$4407,'Tracking Sheet'!B344,'Production '!$S$4:$S$4407)</f>
        <v>0</v>
      </c>
      <c r="F344" s="76">
        <f ca="1">SUMIF('Production '!$C$4:$AI$4407,'Tracking Sheet'!B344,'Production '!$U$4:$U$4407)</f>
        <v>1358</v>
      </c>
      <c r="G344" s="76">
        <f ca="1">SUMIF('Production '!$C$4:$AI$4407,'Tracking Sheet'!B344,'Production '!$W$4:$W$4407)</f>
        <v>15350</v>
      </c>
      <c r="H344" s="76">
        <f ca="1">SUMIF('Production '!$C$4:$AI$4407,'Tracking Sheet'!B344,'Production '!$F$4:$F$4407)</f>
        <v>16690</v>
      </c>
      <c r="I344" s="76">
        <f ca="1">SUMIF('Production '!$C$4:$AI$4407,'Tracking Sheet'!B344,'Production '!$V$4:$V$4407)</f>
        <v>3210</v>
      </c>
      <c r="J344" s="76">
        <f ca="1">SUMIF('Production '!$C$4:$AI$4407,'Tracking Sheet'!B344,'Production '!$AG$4:$AG$4407)</f>
        <v>-96</v>
      </c>
    </row>
    <row r="345" spans="2:10" x14ac:dyDescent="0.3">
      <c r="B345" s="277">
        <f>'Production '!C348</f>
        <v>47735</v>
      </c>
      <c r="C345" s="76">
        <f ca="1">SUMIF('Production '!$C$4:$AI$4407,'Tracking Sheet'!B345,'Production '!$M$4:$M$4407)</f>
        <v>16708</v>
      </c>
      <c r="D345" s="76">
        <f ca="1">SUMIF('Production '!$C$4:$AI$4407,'Tracking Sheet'!B345,'Production '!$Q$4:$Q$4407)</f>
        <v>0</v>
      </c>
      <c r="E345" s="76">
        <f ca="1">SUMIF('Production '!$C$4:$AI$4407,'Tracking Sheet'!B345,'Production '!$S$4:$S$4407)</f>
        <v>0</v>
      </c>
      <c r="F345" s="76">
        <f ca="1">SUMIF('Production '!$C$4:$AI$4407,'Tracking Sheet'!B345,'Production '!$U$4:$U$4407)</f>
        <v>1358</v>
      </c>
      <c r="G345" s="76">
        <f ca="1">SUMIF('Production '!$C$4:$AI$4407,'Tracking Sheet'!B345,'Production '!$W$4:$W$4407)</f>
        <v>15350</v>
      </c>
      <c r="H345" s="76">
        <f ca="1">SUMIF('Production '!$C$4:$AI$4407,'Tracking Sheet'!B345,'Production '!$F$4:$F$4407)</f>
        <v>16690</v>
      </c>
      <c r="I345" s="76">
        <f ca="1">SUMIF('Production '!$C$4:$AI$4407,'Tracking Sheet'!B345,'Production '!$V$4:$V$4407)</f>
        <v>3210</v>
      </c>
      <c r="J345" s="76">
        <f ca="1">SUMIF('Production '!$C$4:$AI$4407,'Tracking Sheet'!B345,'Production '!$AG$4:$AG$4407)</f>
        <v>-96</v>
      </c>
    </row>
    <row r="346" spans="2:10" x14ac:dyDescent="0.3">
      <c r="B346" s="277">
        <f>'Production '!C349</f>
        <v>47735</v>
      </c>
      <c r="C346" s="76">
        <f ca="1">SUMIF('Production '!$C$4:$AI$4407,'Tracking Sheet'!B346,'Production '!$M$4:$M$4407)</f>
        <v>16708</v>
      </c>
      <c r="D346" s="76">
        <f ca="1">SUMIF('Production '!$C$4:$AI$4407,'Tracking Sheet'!B346,'Production '!$Q$4:$Q$4407)</f>
        <v>0</v>
      </c>
      <c r="E346" s="76">
        <f ca="1">SUMIF('Production '!$C$4:$AI$4407,'Tracking Sheet'!B346,'Production '!$S$4:$S$4407)</f>
        <v>0</v>
      </c>
      <c r="F346" s="76">
        <f ca="1">SUMIF('Production '!$C$4:$AI$4407,'Tracking Sheet'!B346,'Production '!$U$4:$U$4407)</f>
        <v>1358</v>
      </c>
      <c r="G346" s="76">
        <f ca="1">SUMIF('Production '!$C$4:$AI$4407,'Tracking Sheet'!B346,'Production '!$W$4:$W$4407)</f>
        <v>15350</v>
      </c>
      <c r="H346" s="76">
        <f ca="1">SUMIF('Production '!$C$4:$AI$4407,'Tracking Sheet'!B346,'Production '!$F$4:$F$4407)</f>
        <v>16690</v>
      </c>
      <c r="I346" s="76">
        <f ca="1">SUMIF('Production '!$C$4:$AI$4407,'Tracking Sheet'!B346,'Production '!$V$4:$V$4407)</f>
        <v>3210</v>
      </c>
      <c r="J346" s="76">
        <f ca="1">SUMIF('Production '!$C$4:$AI$4407,'Tracking Sheet'!B346,'Production '!$AG$4:$AG$4407)</f>
        <v>-96</v>
      </c>
    </row>
    <row r="347" spans="2:10" x14ac:dyDescent="0.3">
      <c r="B347" s="277">
        <f>'Production '!C350</f>
        <v>47735</v>
      </c>
      <c r="C347" s="76">
        <f ca="1">SUMIF('Production '!$C$4:$AI$4407,'Tracking Sheet'!B347,'Production '!$M$4:$M$4407)</f>
        <v>16708</v>
      </c>
      <c r="D347" s="76">
        <f ca="1">SUMIF('Production '!$C$4:$AI$4407,'Tracking Sheet'!B347,'Production '!$Q$4:$Q$4407)</f>
        <v>0</v>
      </c>
      <c r="E347" s="76">
        <f ca="1">SUMIF('Production '!$C$4:$AI$4407,'Tracking Sheet'!B347,'Production '!$S$4:$S$4407)</f>
        <v>0</v>
      </c>
      <c r="F347" s="76">
        <f ca="1">SUMIF('Production '!$C$4:$AI$4407,'Tracking Sheet'!B347,'Production '!$U$4:$U$4407)</f>
        <v>1358</v>
      </c>
      <c r="G347" s="76">
        <f ca="1">SUMIF('Production '!$C$4:$AI$4407,'Tracking Sheet'!B347,'Production '!$W$4:$W$4407)</f>
        <v>15350</v>
      </c>
      <c r="H347" s="76">
        <f ca="1">SUMIF('Production '!$C$4:$AI$4407,'Tracking Sheet'!B347,'Production '!$F$4:$F$4407)</f>
        <v>16690</v>
      </c>
      <c r="I347" s="76">
        <f ca="1">SUMIF('Production '!$C$4:$AI$4407,'Tracking Sheet'!B347,'Production '!$V$4:$V$4407)</f>
        <v>3210</v>
      </c>
      <c r="J347" s="76">
        <f ca="1">SUMIF('Production '!$C$4:$AI$4407,'Tracking Sheet'!B347,'Production '!$AG$4:$AG$4407)</f>
        <v>-96</v>
      </c>
    </row>
    <row r="348" spans="2:10" x14ac:dyDescent="0.3">
      <c r="B348" s="277">
        <f>'Production '!C351</f>
        <v>47735</v>
      </c>
      <c r="C348" s="76">
        <f ca="1">SUMIF('Production '!$C$4:$AI$4407,'Tracking Sheet'!B348,'Production '!$M$4:$M$4407)</f>
        <v>16708</v>
      </c>
      <c r="D348" s="76">
        <f ca="1">SUMIF('Production '!$C$4:$AI$4407,'Tracking Sheet'!B348,'Production '!$Q$4:$Q$4407)</f>
        <v>0</v>
      </c>
      <c r="E348" s="76">
        <f ca="1">SUMIF('Production '!$C$4:$AI$4407,'Tracking Sheet'!B348,'Production '!$S$4:$S$4407)</f>
        <v>0</v>
      </c>
      <c r="F348" s="76">
        <f ca="1">SUMIF('Production '!$C$4:$AI$4407,'Tracking Sheet'!B348,'Production '!$U$4:$U$4407)</f>
        <v>1358</v>
      </c>
      <c r="G348" s="76">
        <f ca="1">SUMIF('Production '!$C$4:$AI$4407,'Tracking Sheet'!B348,'Production '!$W$4:$W$4407)</f>
        <v>15350</v>
      </c>
      <c r="H348" s="76">
        <f ca="1">SUMIF('Production '!$C$4:$AI$4407,'Tracking Sheet'!B348,'Production '!$F$4:$F$4407)</f>
        <v>16690</v>
      </c>
      <c r="I348" s="76">
        <f ca="1">SUMIF('Production '!$C$4:$AI$4407,'Tracking Sheet'!B348,'Production '!$V$4:$V$4407)</f>
        <v>3210</v>
      </c>
      <c r="J348" s="76">
        <f ca="1">SUMIF('Production '!$C$4:$AI$4407,'Tracking Sheet'!B348,'Production '!$AG$4:$AG$4407)</f>
        <v>-96</v>
      </c>
    </row>
    <row r="349" spans="2:10" x14ac:dyDescent="0.3">
      <c r="B349" s="277">
        <f>'Production '!C352</f>
        <v>47735</v>
      </c>
      <c r="C349" s="76">
        <f ca="1">SUMIF('Production '!$C$4:$AI$4407,'Tracking Sheet'!B349,'Production '!$M$4:$M$4407)</f>
        <v>16708</v>
      </c>
      <c r="D349" s="76">
        <f ca="1">SUMIF('Production '!$C$4:$AI$4407,'Tracking Sheet'!B349,'Production '!$Q$4:$Q$4407)</f>
        <v>0</v>
      </c>
      <c r="E349" s="76">
        <f ca="1">SUMIF('Production '!$C$4:$AI$4407,'Tracking Sheet'!B349,'Production '!$S$4:$S$4407)</f>
        <v>0</v>
      </c>
      <c r="F349" s="76">
        <f ca="1">SUMIF('Production '!$C$4:$AI$4407,'Tracking Sheet'!B349,'Production '!$U$4:$U$4407)</f>
        <v>1358</v>
      </c>
      <c r="G349" s="76">
        <f ca="1">SUMIF('Production '!$C$4:$AI$4407,'Tracking Sheet'!B349,'Production '!$W$4:$W$4407)</f>
        <v>15350</v>
      </c>
      <c r="H349" s="76">
        <f ca="1">SUMIF('Production '!$C$4:$AI$4407,'Tracking Sheet'!B349,'Production '!$F$4:$F$4407)</f>
        <v>16690</v>
      </c>
      <c r="I349" s="76">
        <f ca="1">SUMIF('Production '!$C$4:$AI$4407,'Tracking Sheet'!B349,'Production '!$V$4:$V$4407)</f>
        <v>3210</v>
      </c>
      <c r="J349" s="76">
        <f ca="1">SUMIF('Production '!$C$4:$AI$4407,'Tracking Sheet'!B349,'Production '!$AG$4:$AG$4407)</f>
        <v>-96</v>
      </c>
    </row>
    <row r="350" spans="2:10" x14ac:dyDescent="0.3">
      <c r="B350" s="277">
        <f>'Production '!C353</f>
        <v>0</v>
      </c>
      <c r="C350" s="76" t="e">
        <f ca="1">SUMIF('Production '!$C$4:$AI$4407,'Tracking Sheet'!B350,'Production '!$M$4:$M$4407)</f>
        <v>#DIV/0!</v>
      </c>
      <c r="D350" s="76" t="e">
        <f ca="1">SUMIF('Production '!$C$4:$AI$4407,'Tracking Sheet'!B350,'Production '!$Q$4:$Q$4407)</f>
        <v>#DIV/0!</v>
      </c>
      <c r="E350" s="76">
        <f ca="1">SUMIF('Production '!$C$4:$AI$4407,'Tracking Sheet'!B350,'Production '!$S$4:$S$4407)</f>
        <v>-1268218.9828305368</v>
      </c>
      <c r="F350" s="76">
        <f ca="1">SUMIF('Production '!$C$4:$AI$4407,'Tracking Sheet'!B350,'Production '!$U$4:$U$4407)</f>
        <v>-10620.435600016917</v>
      </c>
      <c r="G350" s="76" t="e">
        <f ca="1">SUMIF('Production '!$C$4:$AI$4407,'Tracking Sheet'!B350,'Production '!$W$4:$W$4407)</f>
        <v>#DIV/0!</v>
      </c>
      <c r="H350" s="76">
        <f ca="1">SUMIF('Production '!$C$4:$AI$4407,'Tracking Sheet'!B350,'Production '!$F$4:$F$4407)</f>
        <v>3230621.3283604058</v>
      </c>
      <c r="I350" s="76">
        <f ca="1">SUMIF('Production '!$C$4:$AI$4407,'Tracking Sheet'!B350,'Production '!$V$4:$V$4407)</f>
        <v>-489.86487791182844</v>
      </c>
      <c r="J350" s="76">
        <f ca="1">SUMIF('Production '!$C$4:$AI$4407,'Tracking Sheet'!B350,'Production '!$AG$4:$AG$4407)</f>
        <v>0</v>
      </c>
    </row>
    <row r="351" spans="2:10" x14ac:dyDescent="0.3">
      <c r="B351" s="277">
        <f>'Production '!C354</f>
        <v>47927</v>
      </c>
      <c r="C351" s="76">
        <f ca="1">SUMIF('Production '!$C$4:$AI$4407,'Tracking Sheet'!B351,'Production '!$M$4:$M$4407)</f>
        <v>0</v>
      </c>
      <c r="D351" s="76">
        <f ca="1">SUMIF('Production '!$C$4:$AI$4407,'Tracking Sheet'!B351,'Production '!$Q$4:$Q$4407)</f>
        <v>0</v>
      </c>
      <c r="E351" s="76">
        <f ca="1">SUMIF('Production '!$C$4:$AI$4407,'Tracking Sheet'!B351,'Production '!$S$4:$S$4407)</f>
        <v>0</v>
      </c>
      <c r="F351" s="76">
        <f ca="1">SUMIF('Production '!$C$4:$AI$4407,'Tracking Sheet'!B351,'Production '!$U$4:$U$4407)</f>
        <v>0</v>
      </c>
      <c r="G351" s="76">
        <f ca="1">SUMIF('Production '!$C$4:$AI$4407,'Tracking Sheet'!B351,'Production '!$W$4:$W$4407)</f>
        <v>0</v>
      </c>
      <c r="H351" s="76">
        <f ca="1">SUMIF('Production '!$C$4:$AI$4407,'Tracking Sheet'!B351,'Production '!$F$4:$F$4407)</f>
        <v>7051</v>
      </c>
      <c r="I351" s="76">
        <f ca="1">SUMIF('Production '!$C$4:$AI$4407,'Tracking Sheet'!B351,'Production '!$V$4:$V$4407)</f>
        <v>0</v>
      </c>
      <c r="J351" s="76">
        <f ca="1">SUMIF('Production '!$C$4:$AI$4407,'Tracking Sheet'!B351,'Production '!$AG$4:$AG$4407)</f>
        <v>-7051</v>
      </c>
    </row>
    <row r="352" spans="2:10" x14ac:dyDescent="0.3">
      <c r="B352" s="277">
        <f>'Production '!C355</f>
        <v>0</v>
      </c>
      <c r="C352" s="76" t="e">
        <f ca="1">SUMIF('Production '!$C$4:$AI$4407,'Tracking Sheet'!B352,'Production '!$M$4:$M$4407)</f>
        <v>#DIV/0!</v>
      </c>
      <c r="D352" s="76" t="e">
        <f ca="1">SUMIF('Production '!$C$4:$AI$4407,'Tracking Sheet'!B352,'Production '!$Q$4:$Q$4407)</f>
        <v>#DIV/0!</v>
      </c>
      <c r="E352" s="76">
        <f ca="1">SUMIF('Production '!$C$4:$AI$4407,'Tracking Sheet'!B352,'Production '!$S$4:$S$4407)</f>
        <v>-1268218.9828305368</v>
      </c>
      <c r="F352" s="76">
        <f ca="1">SUMIF('Production '!$C$4:$AI$4407,'Tracking Sheet'!B352,'Production '!$U$4:$U$4407)</f>
        <v>-10620.435600016917</v>
      </c>
      <c r="G352" s="76" t="e">
        <f ca="1">SUMIF('Production '!$C$4:$AI$4407,'Tracking Sheet'!B352,'Production '!$W$4:$W$4407)</f>
        <v>#DIV/0!</v>
      </c>
      <c r="H352" s="76">
        <f ca="1">SUMIF('Production '!$C$4:$AI$4407,'Tracking Sheet'!B352,'Production '!$F$4:$F$4407)</f>
        <v>3230621.3283604058</v>
      </c>
      <c r="I352" s="76">
        <f ca="1">SUMIF('Production '!$C$4:$AI$4407,'Tracking Sheet'!B352,'Production '!$V$4:$V$4407)</f>
        <v>-489.86487791182844</v>
      </c>
      <c r="J352" s="76">
        <f ca="1">SUMIF('Production '!$C$4:$AI$4407,'Tracking Sheet'!B352,'Production '!$AG$4:$AG$4407)</f>
        <v>0</v>
      </c>
    </row>
    <row r="353" spans="2:10" x14ac:dyDescent="0.3">
      <c r="B353" s="277">
        <f>'Production '!C356</f>
        <v>47938</v>
      </c>
      <c r="C353" s="76">
        <f ca="1">SUMIF('Production '!$C$4:$AI$4407,'Tracking Sheet'!B353,'Production '!$M$4:$M$4407)</f>
        <v>7284</v>
      </c>
      <c r="D353" s="76">
        <f ca="1">SUMIF('Production '!$C$4:$AI$4407,'Tracking Sheet'!B353,'Production '!$Q$4:$Q$4407)</f>
        <v>0</v>
      </c>
      <c r="E353" s="76">
        <f ca="1">SUMIF('Production '!$C$4:$AI$4407,'Tracking Sheet'!B353,'Production '!$S$4:$S$4407)</f>
        <v>0</v>
      </c>
      <c r="F353" s="76">
        <f ca="1">SUMIF('Production '!$C$4:$AI$4407,'Tracking Sheet'!B353,'Production '!$U$4:$U$4407)</f>
        <v>7284</v>
      </c>
      <c r="G353" s="76">
        <f ca="1">SUMIF('Production '!$C$4:$AI$4407,'Tracking Sheet'!B353,'Production '!$W$4:$W$4407)</f>
        <v>0</v>
      </c>
      <c r="H353" s="76">
        <f ca="1">SUMIF('Production '!$C$4:$AI$4407,'Tracking Sheet'!B353,'Production '!$F$4:$F$4407)</f>
        <v>7200</v>
      </c>
      <c r="I353" s="76">
        <f ca="1">SUMIF('Production '!$C$4:$AI$4407,'Tracking Sheet'!B353,'Production '!$V$4:$V$4407)</f>
        <v>0</v>
      </c>
      <c r="J353" s="76">
        <f ca="1">SUMIF('Production '!$C$4:$AI$4407,'Tracking Sheet'!B353,'Production '!$AG$4:$AG$4407)</f>
        <v>0</v>
      </c>
    </row>
    <row r="354" spans="2:10" x14ac:dyDescent="0.3">
      <c r="B354" s="277">
        <f>'Production '!C357</f>
        <v>0</v>
      </c>
      <c r="C354" s="76" t="e">
        <f ca="1">SUMIF('Production '!$C$4:$AI$4407,'Tracking Sheet'!B354,'Production '!$M$4:$M$4407)</f>
        <v>#DIV/0!</v>
      </c>
      <c r="D354" s="76" t="e">
        <f ca="1">SUMIF('Production '!$C$4:$AI$4407,'Tracking Sheet'!B354,'Production '!$Q$4:$Q$4407)</f>
        <v>#DIV/0!</v>
      </c>
      <c r="E354" s="76">
        <f ca="1">SUMIF('Production '!$C$4:$AI$4407,'Tracking Sheet'!B354,'Production '!$S$4:$S$4407)</f>
        <v>-1268218.9828305368</v>
      </c>
      <c r="F354" s="76">
        <f ca="1">SUMIF('Production '!$C$4:$AI$4407,'Tracking Sheet'!B354,'Production '!$U$4:$U$4407)</f>
        <v>-10620.435600016917</v>
      </c>
      <c r="G354" s="76" t="e">
        <f ca="1">SUMIF('Production '!$C$4:$AI$4407,'Tracking Sheet'!B354,'Production '!$W$4:$W$4407)</f>
        <v>#DIV/0!</v>
      </c>
      <c r="H354" s="76">
        <f ca="1">SUMIF('Production '!$C$4:$AI$4407,'Tracking Sheet'!B354,'Production '!$F$4:$F$4407)</f>
        <v>3230621.3283604058</v>
      </c>
      <c r="I354" s="76">
        <f ca="1">SUMIF('Production '!$C$4:$AI$4407,'Tracking Sheet'!B354,'Production '!$V$4:$V$4407)</f>
        <v>-489.86487791182844</v>
      </c>
      <c r="J354" s="76">
        <f ca="1">SUMIF('Production '!$C$4:$AI$4407,'Tracking Sheet'!B354,'Production '!$AG$4:$AG$4407)</f>
        <v>0</v>
      </c>
    </row>
    <row r="355" spans="2:10" x14ac:dyDescent="0.3">
      <c r="B355" s="277">
        <f>'Production '!C358</f>
        <v>47939</v>
      </c>
      <c r="C355" s="76">
        <f ca="1">SUMIF('Production '!$C$4:$AI$4407,'Tracking Sheet'!B355,'Production '!$M$4:$M$4407)</f>
        <v>0</v>
      </c>
      <c r="D355" s="76">
        <f ca="1">SUMIF('Production '!$C$4:$AI$4407,'Tracking Sheet'!B355,'Production '!$Q$4:$Q$4407)</f>
        <v>0</v>
      </c>
      <c r="E355" s="76">
        <f ca="1">SUMIF('Production '!$C$4:$AI$4407,'Tracking Sheet'!B355,'Production '!$S$4:$S$4407)</f>
        <v>0</v>
      </c>
      <c r="F355" s="76">
        <f ca="1">SUMIF('Production '!$C$4:$AI$4407,'Tracking Sheet'!B355,'Production '!$U$4:$U$4407)</f>
        <v>0</v>
      </c>
      <c r="G355" s="76">
        <f ca="1">SUMIF('Production '!$C$4:$AI$4407,'Tracking Sheet'!B355,'Production '!$W$4:$W$4407)</f>
        <v>0</v>
      </c>
      <c r="H355" s="76">
        <f ca="1">SUMIF('Production '!$C$4:$AI$4407,'Tracking Sheet'!B355,'Production '!$F$4:$F$4407)</f>
        <v>6005</v>
      </c>
      <c r="I355" s="76">
        <f ca="1">SUMIF('Production '!$C$4:$AI$4407,'Tracking Sheet'!B355,'Production '!$V$4:$V$4407)</f>
        <v>0</v>
      </c>
      <c r="J355" s="76">
        <f ca="1">SUMIF('Production '!$C$4:$AI$4407,'Tracking Sheet'!B355,'Production '!$AG$4:$AG$4407)</f>
        <v>-6005</v>
      </c>
    </row>
    <row r="356" spans="2:10" x14ac:dyDescent="0.3">
      <c r="B356" s="277">
        <f>'Production '!C359</f>
        <v>0</v>
      </c>
      <c r="C356" s="76" t="e">
        <f ca="1">SUMIF('Production '!$C$4:$AI$4407,'Tracking Sheet'!B356,'Production '!$M$4:$M$4407)</f>
        <v>#DIV/0!</v>
      </c>
      <c r="D356" s="76" t="e">
        <f ca="1">SUMIF('Production '!$C$4:$AI$4407,'Tracking Sheet'!B356,'Production '!$Q$4:$Q$4407)</f>
        <v>#DIV/0!</v>
      </c>
      <c r="E356" s="76">
        <f ca="1">SUMIF('Production '!$C$4:$AI$4407,'Tracking Sheet'!B356,'Production '!$S$4:$S$4407)</f>
        <v>-1268218.9828305368</v>
      </c>
      <c r="F356" s="76">
        <f ca="1">SUMIF('Production '!$C$4:$AI$4407,'Tracking Sheet'!B356,'Production '!$U$4:$U$4407)</f>
        <v>-10620.435600016917</v>
      </c>
      <c r="G356" s="76" t="e">
        <f ca="1">SUMIF('Production '!$C$4:$AI$4407,'Tracking Sheet'!B356,'Production '!$W$4:$W$4407)</f>
        <v>#DIV/0!</v>
      </c>
      <c r="H356" s="76">
        <f ca="1">SUMIF('Production '!$C$4:$AI$4407,'Tracking Sheet'!B356,'Production '!$F$4:$F$4407)</f>
        <v>3230621.3283604058</v>
      </c>
      <c r="I356" s="76">
        <f ca="1">SUMIF('Production '!$C$4:$AI$4407,'Tracking Sheet'!B356,'Production '!$V$4:$V$4407)</f>
        <v>-489.86487791182844</v>
      </c>
      <c r="J356" s="76">
        <f ca="1">SUMIF('Production '!$C$4:$AI$4407,'Tracking Sheet'!B356,'Production '!$AG$4:$AG$4407)</f>
        <v>0</v>
      </c>
    </row>
    <row r="357" spans="2:10" x14ac:dyDescent="0.3">
      <c r="B357" s="277">
        <f>'Production '!C360</f>
        <v>47940</v>
      </c>
      <c r="C357" s="76">
        <f ca="1">SUMIF('Production '!$C$4:$AI$4407,'Tracking Sheet'!B357,'Production '!$M$4:$M$4407)</f>
        <v>6030</v>
      </c>
      <c r="D357" s="76">
        <f ca="1">SUMIF('Production '!$C$4:$AI$4407,'Tracking Sheet'!B357,'Production '!$Q$4:$Q$4407)</f>
        <v>3630</v>
      </c>
      <c r="E357" s="76">
        <f ca="1">SUMIF('Production '!$C$4:$AI$4407,'Tracking Sheet'!B357,'Production '!$S$4:$S$4407)</f>
        <v>0</v>
      </c>
      <c r="F357" s="76">
        <f ca="1">SUMIF('Production '!$C$4:$AI$4407,'Tracking Sheet'!B357,'Production '!$U$4:$U$4407)</f>
        <v>0</v>
      </c>
      <c r="G357" s="76">
        <f ca="1">SUMIF('Production '!$C$4:$AI$4407,'Tracking Sheet'!B357,'Production '!$W$4:$W$4407)</f>
        <v>0</v>
      </c>
      <c r="H357" s="76">
        <f ca="1">SUMIF('Production '!$C$4:$AI$4407,'Tracking Sheet'!B357,'Production '!$F$4:$F$4407)</f>
        <v>5955</v>
      </c>
      <c r="I357" s="76">
        <f ca="1">SUMIF('Production '!$C$4:$AI$4407,'Tracking Sheet'!B357,'Production '!$V$4:$V$4407)</f>
        <v>0</v>
      </c>
      <c r="J357" s="76">
        <f ca="1">SUMIF('Production '!$C$4:$AI$4407,'Tracking Sheet'!B357,'Production '!$AG$4:$AG$4407)</f>
        <v>0</v>
      </c>
    </row>
    <row r="358" spans="2:10" x14ac:dyDescent="0.3">
      <c r="B358" s="277">
        <f>'Production '!C361</f>
        <v>0</v>
      </c>
      <c r="C358" s="76" t="e">
        <f ca="1">SUMIF('Production '!$C$4:$AI$4407,'Tracking Sheet'!B358,'Production '!$M$4:$M$4407)</f>
        <v>#DIV/0!</v>
      </c>
      <c r="D358" s="76" t="e">
        <f ca="1">SUMIF('Production '!$C$4:$AI$4407,'Tracking Sheet'!B358,'Production '!$Q$4:$Q$4407)</f>
        <v>#DIV/0!</v>
      </c>
      <c r="E358" s="76">
        <f ca="1">SUMIF('Production '!$C$4:$AI$4407,'Tracking Sheet'!B358,'Production '!$S$4:$S$4407)</f>
        <v>-1268218.9828305368</v>
      </c>
      <c r="F358" s="76">
        <f ca="1">SUMIF('Production '!$C$4:$AI$4407,'Tracking Sheet'!B358,'Production '!$U$4:$U$4407)</f>
        <v>-10620.435600016917</v>
      </c>
      <c r="G358" s="76" t="e">
        <f ca="1">SUMIF('Production '!$C$4:$AI$4407,'Tracking Sheet'!B358,'Production '!$W$4:$W$4407)</f>
        <v>#DIV/0!</v>
      </c>
      <c r="H358" s="76">
        <f ca="1">SUMIF('Production '!$C$4:$AI$4407,'Tracking Sheet'!B358,'Production '!$F$4:$F$4407)</f>
        <v>3230621.3283604058</v>
      </c>
      <c r="I358" s="76">
        <f ca="1">SUMIF('Production '!$C$4:$AI$4407,'Tracking Sheet'!B358,'Production '!$V$4:$V$4407)</f>
        <v>-489.86487791182844</v>
      </c>
      <c r="J358" s="76">
        <f ca="1">SUMIF('Production '!$C$4:$AI$4407,'Tracking Sheet'!B358,'Production '!$AG$4:$AG$4407)</f>
        <v>0</v>
      </c>
    </row>
    <row r="359" spans="2:10" x14ac:dyDescent="0.3">
      <c r="B359" s="277">
        <f>'Production '!C362</f>
        <v>47942</v>
      </c>
      <c r="C359" s="76">
        <f ca="1">SUMIF('Production '!$C$4:$AI$4407,'Tracking Sheet'!B359,'Production '!$M$4:$M$4407)</f>
        <v>0</v>
      </c>
      <c r="D359" s="76">
        <f ca="1">SUMIF('Production '!$C$4:$AI$4407,'Tracking Sheet'!B359,'Production '!$Q$4:$Q$4407)</f>
        <v>0</v>
      </c>
      <c r="E359" s="76">
        <f ca="1">SUMIF('Production '!$C$4:$AI$4407,'Tracking Sheet'!B359,'Production '!$S$4:$S$4407)</f>
        <v>0</v>
      </c>
      <c r="F359" s="76">
        <f ca="1">SUMIF('Production '!$C$4:$AI$4407,'Tracking Sheet'!B359,'Production '!$U$4:$U$4407)</f>
        <v>0</v>
      </c>
      <c r="G359" s="76">
        <f ca="1">SUMIF('Production '!$C$4:$AI$4407,'Tracking Sheet'!B359,'Production '!$W$4:$W$4407)</f>
        <v>0</v>
      </c>
      <c r="H359" s="76">
        <f ca="1">SUMIF('Production '!$C$4:$AI$4407,'Tracking Sheet'!B359,'Production '!$F$4:$F$4407)</f>
        <v>3425</v>
      </c>
      <c r="I359" s="76">
        <f ca="1">SUMIF('Production '!$C$4:$AI$4407,'Tracking Sheet'!B359,'Production '!$V$4:$V$4407)</f>
        <v>0</v>
      </c>
      <c r="J359" s="76">
        <f ca="1">SUMIF('Production '!$C$4:$AI$4407,'Tracking Sheet'!B359,'Production '!$AG$4:$AG$4407)</f>
        <v>-3425</v>
      </c>
    </row>
    <row r="360" spans="2:10" x14ac:dyDescent="0.3">
      <c r="B360" s="277">
        <f>'Production '!C363</f>
        <v>0</v>
      </c>
      <c r="C360" s="76" t="e">
        <f ca="1">SUMIF('Production '!$C$4:$AI$4407,'Tracking Sheet'!B360,'Production '!$M$4:$M$4407)</f>
        <v>#DIV/0!</v>
      </c>
      <c r="D360" s="76" t="e">
        <f ca="1">SUMIF('Production '!$C$4:$AI$4407,'Tracking Sheet'!B360,'Production '!$Q$4:$Q$4407)</f>
        <v>#DIV/0!</v>
      </c>
      <c r="E360" s="76">
        <f ca="1">SUMIF('Production '!$C$4:$AI$4407,'Tracking Sheet'!B360,'Production '!$S$4:$S$4407)</f>
        <v>-1268218.9828305368</v>
      </c>
      <c r="F360" s="76">
        <f ca="1">SUMIF('Production '!$C$4:$AI$4407,'Tracking Sheet'!B360,'Production '!$U$4:$U$4407)</f>
        <v>-10620.435600016917</v>
      </c>
      <c r="G360" s="76" t="e">
        <f ca="1">SUMIF('Production '!$C$4:$AI$4407,'Tracking Sheet'!B360,'Production '!$W$4:$W$4407)</f>
        <v>#DIV/0!</v>
      </c>
      <c r="H360" s="76">
        <f ca="1">SUMIF('Production '!$C$4:$AI$4407,'Tracking Sheet'!B360,'Production '!$F$4:$F$4407)</f>
        <v>3230621.3283604058</v>
      </c>
      <c r="I360" s="76">
        <f ca="1">SUMIF('Production '!$C$4:$AI$4407,'Tracking Sheet'!B360,'Production '!$V$4:$V$4407)</f>
        <v>-489.86487791182844</v>
      </c>
      <c r="J360" s="76">
        <f ca="1">SUMIF('Production '!$C$4:$AI$4407,'Tracking Sheet'!B360,'Production '!$AG$4:$AG$4407)</f>
        <v>0</v>
      </c>
    </row>
    <row r="361" spans="2:10" x14ac:dyDescent="0.3">
      <c r="B361" s="277">
        <f>'Production '!C364</f>
        <v>48284</v>
      </c>
      <c r="C361" s="76">
        <f ca="1">SUMIF('Production '!$C$4:$AI$4407,'Tracking Sheet'!B361,'Production '!$M$4:$M$4407)</f>
        <v>2077</v>
      </c>
      <c r="D361" s="76">
        <f ca="1">SUMIF('Production '!$C$4:$AI$4407,'Tracking Sheet'!B361,'Production '!$Q$4:$Q$4407)</f>
        <v>2077</v>
      </c>
      <c r="E361" s="76">
        <f ca="1">SUMIF('Production '!$C$4:$AI$4407,'Tracking Sheet'!B361,'Production '!$S$4:$S$4407)</f>
        <v>0</v>
      </c>
      <c r="F361" s="76">
        <f ca="1">SUMIF('Production '!$C$4:$AI$4407,'Tracking Sheet'!B361,'Production '!$U$4:$U$4407)</f>
        <v>0</v>
      </c>
      <c r="G361" s="76">
        <f ca="1">SUMIF('Production '!$C$4:$AI$4407,'Tracking Sheet'!B361,'Production '!$W$4:$W$4407)</f>
        <v>0</v>
      </c>
      <c r="H361" s="76">
        <f ca="1">SUMIF('Production '!$C$4:$AI$4407,'Tracking Sheet'!B361,'Production '!$F$4:$F$4407)</f>
        <v>2022</v>
      </c>
      <c r="I361" s="76">
        <f ca="1">SUMIF('Production '!$C$4:$AI$4407,'Tracking Sheet'!B361,'Production '!$V$4:$V$4407)</f>
        <v>0</v>
      </c>
      <c r="J361" s="76">
        <f ca="1">SUMIF('Production '!$C$4:$AI$4407,'Tracking Sheet'!B361,'Production '!$AG$4:$AG$4407)</f>
        <v>0</v>
      </c>
    </row>
    <row r="362" spans="2:10" x14ac:dyDescent="0.3">
      <c r="B362" s="277">
        <f>'Production '!C365</f>
        <v>0</v>
      </c>
      <c r="C362" s="76" t="e">
        <f ca="1">SUMIF('Production '!$C$4:$AI$4407,'Tracking Sheet'!B362,'Production '!$M$4:$M$4407)</f>
        <v>#DIV/0!</v>
      </c>
      <c r="D362" s="76" t="e">
        <f ca="1">SUMIF('Production '!$C$4:$AI$4407,'Tracking Sheet'!B362,'Production '!$Q$4:$Q$4407)</f>
        <v>#DIV/0!</v>
      </c>
      <c r="E362" s="76">
        <f ca="1">SUMIF('Production '!$C$4:$AI$4407,'Tracking Sheet'!B362,'Production '!$S$4:$S$4407)</f>
        <v>-1268218.9828305368</v>
      </c>
      <c r="F362" s="76">
        <f ca="1">SUMIF('Production '!$C$4:$AI$4407,'Tracking Sheet'!B362,'Production '!$U$4:$U$4407)</f>
        <v>-10620.435600016917</v>
      </c>
      <c r="G362" s="76" t="e">
        <f ca="1">SUMIF('Production '!$C$4:$AI$4407,'Tracking Sheet'!B362,'Production '!$W$4:$W$4407)</f>
        <v>#DIV/0!</v>
      </c>
      <c r="H362" s="76">
        <f ca="1">SUMIF('Production '!$C$4:$AI$4407,'Tracking Sheet'!B362,'Production '!$F$4:$F$4407)</f>
        <v>3230621.3283604058</v>
      </c>
      <c r="I362" s="76">
        <f ca="1">SUMIF('Production '!$C$4:$AI$4407,'Tracking Sheet'!B362,'Production '!$V$4:$V$4407)</f>
        <v>-489.86487791182844</v>
      </c>
      <c r="J362" s="76">
        <f ca="1">SUMIF('Production '!$C$4:$AI$4407,'Tracking Sheet'!B362,'Production '!$AG$4:$AG$4407)</f>
        <v>0</v>
      </c>
    </row>
    <row r="363" spans="2:10" x14ac:dyDescent="0.3">
      <c r="B363" s="277">
        <f>'Production '!C366</f>
        <v>47823</v>
      </c>
      <c r="C363" s="76">
        <f ca="1">SUMIF('Production '!$C$4:$AI$4407,'Tracking Sheet'!B363,'Production '!$M$4:$M$4407)</f>
        <v>0</v>
      </c>
      <c r="D363" s="76">
        <f ca="1">SUMIF('Production '!$C$4:$AI$4407,'Tracking Sheet'!B363,'Production '!$Q$4:$Q$4407)</f>
        <v>0</v>
      </c>
      <c r="E363" s="76">
        <f ca="1">SUMIF('Production '!$C$4:$AI$4407,'Tracking Sheet'!B363,'Production '!$S$4:$S$4407)</f>
        <v>0</v>
      </c>
      <c r="F363" s="76">
        <f ca="1">SUMIF('Production '!$C$4:$AI$4407,'Tracking Sheet'!B363,'Production '!$U$4:$U$4407)</f>
        <v>0</v>
      </c>
      <c r="G363" s="76">
        <f ca="1">SUMIF('Production '!$C$4:$AI$4407,'Tracking Sheet'!B363,'Production '!$W$4:$W$4407)</f>
        <v>0</v>
      </c>
      <c r="H363" s="76">
        <f ca="1">SUMIF('Production '!$C$4:$AI$4407,'Tracking Sheet'!B363,'Production '!$F$4:$F$4407)</f>
        <v>3440</v>
      </c>
      <c r="I363" s="76">
        <f ca="1">SUMIF('Production '!$C$4:$AI$4407,'Tracking Sheet'!B363,'Production '!$V$4:$V$4407)</f>
        <v>0</v>
      </c>
      <c r="J363" s="76">
        <f ca="1">SUMIF('Production '!$C$4:$AI$4407,'Tracking Sheet'!B363,'Production '!$AG$4:$AG$4407)</f>
        <v>-3440</v>
      </c>
    </row>
    <row r="364" spans="2:10" x14ac:dyDescent="0.3">
      <c r="B364" s="277">
        <f>'Production '!C367</f>
        <v>0</v>
      </c>
      <c r="C364" s="76" t="e">
        <f ca="1">SUMIF('Production '!$C$4:$AI$4407,'Tracking Sheet'!B364,'Production '!$M$4:$M$4407)</f>
        <v>#DIV/0!</v>
      </c>
      <c r="D364" s="76" t="e">
        <f ca="1">SUMIF('Production '!$C$4:$AI$4407,'Tracking Sheet'!B364,'Production '!$Q$4:$Q$4407)</f>
        <v>#DIV/0!</v>
      </c>
      <c r="E364" s="76">
        <f ca="1">SUMIF('Production '!$C$4:$AI$4407,'Tracking Sheet'!B364,'Production '!$S$4:$S$4407)</f>
        <v>-1268218.9828305368</v>
      </c>
      <c r="F364" s="76">
        <f ca="1">SUMIF('Production '!$C$4:$AI$4407,'Tracking Sheet'!B364,'Production '!$U$4:$U$4407)</f>
        <v>-10620.435600016917</v>
      </c>
      <c r="G364" s="76" t="e">
        <f ca="1">SUMIF('Production '!$C$4:$AI$4407,'Tracking Sheet'!B364,'Production '!$W$4:$W$4407)</f>
        <v>#DIV/0!</v>
      </c>
      <c r="H364" s="76">
        <f ca="1">SUMIF('Production '!$C$4:$AI$4407,'Tracking Sheet'!B364,'Production '!$F$4:$F$4407)</f>
        <v>3230621.3283604058</v>
      </c>
      <c r="I364" s="76">
        <f ca="1">SUMIF('Production '!$C$4:$AI$4407,'Tracking Sheet'!B364,'Production '!$V$4:$V$4407)</f>
        <v>-489.86487791182844</v>
      </c>
      <c r="J364" s="76">
        <f ca="1">SUMIF('Production '!$C$4:$AI$4407,'Tracking Sheet'!B364,'Production '!$AG$4:$AG$4407)</f>
        <v>0</v>
      </c>
    </row>
    <row r="365" spans="2:10" x14ac:dyDescent="0.3">
      <c r="B365" s="277">
        <f>'Production '!C368</f>
        <v>47944</v>
      </c>
      <c r="C365" s="76">
        <f ca="1">SUMIF('Production '!$C$4:$AI$4407,'Tracking Sheet'!B365,'Production '!$M$4:$M$4407)</f>
        <v>0</v>
      </c>
      <c r="D365" s="76">
        <f ca="1">SUMIF('Production '!$C$4:$AI$4407,'Tracking Sheet'!B365,'Production '!$Q$4:$Q$4407)</f>
        <v>0</v>
      </c>
      <c r="E365" s="76">
        <f ca="1">SUMIF('Production '!$C$4:$AI$4407,'Tracking Sheet'!B365,'Production '!$S$4:$S$4407)</f>
        <v>0</v>
      </c>
      <c r="F365" s="76">
        <f ca="1">SUMIF('Production '!$C$4:$AI$4407,'Tracking Sheet'!B365,'Production '!$U$4:$U$4407)</f>
        <v>0</v>
      </c>
      <c r="G365" s="76">
        <f ca="1">SUMIF('Production '!$C$4:$AI$4407,'Tracking Sheet'!B365,'Production '!$W$4:$W$4407)</f>
        <v>0</v>
      </c>
      <c r="H365" s="76">
        <f ca="1">SUMIF('Production '!$C$4:$AI$4407,'Tracking Sheet'!B365,'Production '!$F$4:$F$4407)</f>
        <v>7135</v>
      </c>
      <c r="I365" s="76">
        <f ca="1">SUMIF('Production '!$C$4:$AI$4407,'Tracking Sheet'!B365,'Production '!$V$4:$V$4407)</f>
        <v>0</v>
      </c>
      <c r="J365" s="76">
        <f ca="1">SUMIF('Production '!$C$4:$AI$4407,'Tracking Sheet'!B365,'Production '!$AG$4:$AG$4407)</f>
        <v>-7135</v>
      </c>
    </row>
    <row r="366" spans="2:10" x14ac:dyDescent="0.3">
      <c r="B366" s="277">
        <f>'Production '!C369</f>
        <v>0</v>
      </c>
      <c r="C366" s="76" t="e">
        <f ca="1">SUMIF('Production '!$C$4:$AI$4407,'Tracking Sheet'!B366,'Production '!$M$4:$M$4407)</f>
        <v>#DIV/0!</v>
      </c>
      <c r="D366" s="76" t="e">
        <f ca="1">SUMIF('Production '!$C$4:$AI$4407,'Tracking Sheet'!B366,'Production '!$Q$4:$Q$4407)</f>
        <v>#DIV/0!</v>
      </c>
      <c r="E366" s="76">
        <f ca="1">SUMIF('Production '!$C$4:$AI$4407,'Tracking Sheet'!B366,'Production '!$S$4:$S$4407)</f>
        <v>-1268218.9828305368</v>
      </c>
      <c r="F366" s="76">
        <f ca="1">SUMIF('Production '!$C$4:$AI$4407,'Tracking Sheet'!B366,'Production '!$U$4:$U$4407)</f>
        <v>-10620.435600016917</v>
      </c>
      <c r="G366" s="76" t="e">
        <f ca="1">SUMIF('Production '!$C$4:$AI$4407,'Tracking Sheet'!B366,'Production '!$W$4:$W$4407)</f>
        <v>#DIV/0!</v>
      </c>
      <c r="H366" s="76">
        <f ca="1">SUMIF('Production '!$C$4:$AI$4407,'Tracking Sheet'!B366,'Production '!$F$4:$F$4407)</f>
        <v>3230621.3283604058</v>
      </c>
      <c r="I366" s="76">
        <f ca="1">SUMIF('Production '!$C$4:$AI$4407,'Tracking Sheet'!B366,'Production '!$V$4:$V$4407)</f>
        <v>-489.86487791182844</v>
      </c>
      <c r="J366" s="76">
        <f ca="1">SUMIF('Production '!$C$4:$AI$4407,'Tracking Sheet'!B366,'Production '!$AG$4:$AG$4407)</f>
        <v>0</v>
      </c>
    </row>
    <row r="367" spans="2:10" x14ac:dyDescent="0.3">
      <c r="B367" s="277">
        <f>'Production '!C370</f>
        <v>47791</v>
      </c>
      <c r="C367" s="76">
        <f ca="1">SUMIF('Production '!$C$4:$AI$4407,'Tracking Sheet'!B367,'Production '!$M$4:$M$4407)</f>
        <v>0</v>
      </c>
      <c r="D367" s="76">
        <f ca="1">SUMIF('Production '!$C$4:$AI$4407,'Tracking Sheet'!B367,'Production '!$Q$4:$Q$4407)</f>
        <v>0</v>
      </c>
      <c r="E367" s="76">
        <f ca="1">SUMIF('Production '!$C$4:$AI$4407,'Tracking Sheet'!B367,'Production '!$S$4:$S$4407)</f>
        <v>0</v>
      </c>
      <c r="F367" s="76">
        <f ca="1">SUMIF('Production '!$C$4:$AI$4407,'Tracking Sheet'!B367,'Production '!$U$4:$U$4407)</f>
        <v>0</v>
      </c>
      <c r="G367" s="76">
        <f ca="1">SUMIF('Production '!$C$4:$AI$4407,'Tracking Sheet'!B367,'Production '!$W$4:$W$4407)</f>
        <v>0</v>
      </c>
      <c r="H367" s="76">
        <f ca="1">SUMIF('Production '!$C$4:$AI$4407,'Tracking Sheet'!B367,'Production '!$F$4:$F$4407)</f>
        <v>5420</v>
      </c>
      <c r="I367" s="76">
        <f ca="1">SUMIF('Production '!$C$4:$AI$4407,'Tracking Sheet'!B367,'Production '!$V$4:$V$4407)</f>
        <v>0</v>
      </c>
      <c r="J367" s="76">
        <f ca="1">SUMIF('Production '!$C$4:$AI$4407,'Tracking Sheet'!B367,'Production '!$AG$4:$AG$4407)</f>
        <v>-5420</v>
      </c>
    </row>
    <row r="368" spans="2:10" x14ac:dyDescent="0.3">
      <c r="B368" s="277">
        <f>'Production '!C371</f>
        <v>0</v>
      </c>
      <c r="C368" s="76" t="e">
        <f ca="1">SUMIF('Production '!$C$4:$AI$4407,'Tracking Sheet'!B368,'Production '!$M$4:$M$4407)</f>
        <v>#DIV/0!</v>
      </c>
      <c r="D368" s="76" t="e">
        <f ca="1">SUMIF('Production '!$C$4:$AI$4407,'Tracking Sheet'!B368,'Production '!$Q$4:$Q$4407)</f>
        <v>#DIV/0!</v>
      </c>
      <c r="E368" s="76">
        <f ca="1">SUMIF('Production '!$C$4:$AI$4407,'Tracking Sheet'!B368,'Production '!$S$4:$S$4407)</f>
        <v>-1268218.9828305368</v>
      </c>
      <c r="F368" s="76">
        <f ca="1">SUMIF('Production '!$C$4:$AI$4407,'Tracking Sheet'!B368,'Production '!$U$4:$U$4407)</f>
        <v>-10620.435600016917</v>
      </c>
      <c r="G368" s="76" t="e">
        <f ca="1">SUMIF('Production '!$C$4:$AI$4407,'Tracking Sheet'!B368,'Production '!$W$4:$W$4407)</f>
        <v>#DIV/0!</v>
      </c>
      <c r="H368" s="76">
        <f ca="1">SUMIF('Production '!$C$4:$AI$4407,'Tracking Sheet'!B368,'Production '!$F$4:$F$4407)</f>
        <v>3230621.3283604058</v>
      </c>
      <c r="I368" s="76">
        <f ca="1">SUMIF('Production '!$C$4:$AI$4407,'Tracking Sheet'!B368,'Production '!$V$4:$V$4407)</f>
        <v>-489.86487791182844</v>
      </c>
      <c r="J368" s="76">
        <f ca="1">SUMIF('Production '!$C$4:$AI$4407,'Tracking Sheet'!B368,'Production '!$AG$4:$AG$4407)</f>
        <v>0</v>
      </c>
    </row>
    <row r="369" spans="2:10" x14ac:dyDescent="0.3">
      <c r="B369" s="277">
        <f>'Production '!C372</f>
        <v>48131</v>
      </c>
      <c r="C369" s="76">
        <f ca="1">SUMIF('Production '!$C$4:$AI$4407,'Tracking Sheet'!B369,'Production '!$M$4:$M$4407)</f>
        <v>0</v>
      </c>
      <c r="D369" s="76">
        <f ca="1">SUMIF('Production '!$C$4:$AI$4407,'Tracking Sheet'!B369,'Production '!$Q$4:$Q$4407)</f>
        <v>0</v>
      </c>
      <c r="E369" s="76">
        <f ca="1">SUMIF('Production '!$C$4:$AI$4407,'Tracking Sheet'!B369,'Production '!$S$4:$S$4407)</f>
        <v>0</v>
      </c>
      <c r="F369" s="76">
        <f ca="1">SUMIF('Production '!$C$4:$AI$4407,'Tracking Sheet'!B369,'Production '!$U$4:$U$4407)</f>
        <v>0</v>
      </c>
      <c r="G369" s="76">
        <f ca="1">SUMIF('Production '!$C$4:$AI$4407,'Tracking Sheet'!B369,'Production '!$W$4:$W$4407)</f>
        <v>0</v>
      </c>
      <c r="H369" s="76">
        <f ca="1">SUMIF('Production '!$C$4:$AI$4407,'Tracking Sheet'!B369,'Production '!$F$4:$F$4407)</f>
        <v>4588</v>
      </c>
      <c r="I369" s="76">
        <f ca="1">SUMIF('Production '!$C$4:$AI$4407,'Tracking Sheet'!B369,'Production '!$V$4:$V$4407)</f>
        <v>0</v>
      </c>
      <c r="J369" s="76">
        <f ca="1">SUMIF('Production '!$C$4:$AI$4407,'Tracking Sheet'!B369,'Production '!$AG$4:$AG$4407)</f>
        <v>-4588</v>
      </c>
    </row>
    <row r="370" spans="2:10" x14ac:dyDescent="0.3">
      <c r="B370" s="277">
        <f>'Production '!C373</f>
        <v>0</v>
      </c>
      <c r="C370" s="76" t="e">
        <f ca="1">SUMIF('Production '!$C$4:$AI$4407,'Tracking Sheet'!B370,'Production '!$M$4:$M$4407)</f>
        <v>#DIV/0!</v>
      </c>
      <c r="D370" s="76" t="e">
        <f ca="1">SUMIF('Production '!$C$4:$AI$4407,'Tracking Sheet'!B370,'Production '!$Q$4:$Q$4407)</f>
        <v>#DIV/0!</v>
      </c>
      <c r="E370" s="76">
        <f ca="1">SUMIF('Production '!$C$4:$AI$4407,'Tracking Sheet'!B370,'Production '!$S$4:$S$4407)</f>
        <v>-1268218.9828305368</v>
      </c>
      <c r="F370" s="76">
        <f ca="1">SUMIF('Production '!$C$4:$AI$4407,'Tracking Sheet'!B370,'Production '!$U$4:$U$4407)</f>
        <v>-10620.435600016917</v>
      </c>
      <c r="G370" s="76" t="e">
        <f ca="1">SUMIF('Production '!$C$4:$AI$4407,'Tracking Sheet'!B370,'Production '!$W$4:$W$4407)</f>
        <v>#DIV/0!</v>
      </c>
      <c r="H370" s="76">
        <f ca="1">SUMIF('Production '!$C$4:$AI$4407,'Tracking Sheet'!B370,'Production '!$F$4:$F$4407)</f>
        <v>3230621.3283604058</v>
      </c>
      <c r="I370" s="76">
        <f ca="1">SUMIF('Production '!$C$4:$AI$4407,'Tracking Sheet'!B370,'Production '!$V$4:$V$4407)</f>
        <v>-489.86487791182844</v>
      </c>
      <c r="J370" s="76">
        <f ca="1">SUMIF('Production '!$C$4:$AI$4407,'Tracking Sheet'!B370,'Production '!$AG$4:$AG$4407)</f>
        <v>0</v>
      </c>
    </row>
    <row r="371" spans="2:10" x14ac:dyDescent="0.3">
      <c r="B371" s="277">
        <f>'Production '!C374</f>
        <v>48151</v>
      </c>
      <c r="C371" s="76">
        <f ca="1">SUMIF('Production '!$C$4:$AI$4407,'Tracking Sheet'!B371,'Production '!$M$4:$M$4407)</f>
        <v>0</v>
      </c>
      <c r="D371" s="76">
        <f ca="1">SUMIF('Production '!$C$4:$AI$4407,'Tracking Sheet'!B371,'Production '!$Q$4:$Q$4407)</f>
        <v>0</v>
      </c>
      <c r="E371" s="76">
        <f ca="1">SUMIF('Production '!$C$4:$AI$4407,'Tracking Sheet'!B371,'Production '!$S$4:$S$4407)</f>
        <v>0</v>
      </c>
      <c r="F371" s="76">
        <f ca="1">SUMIF('Production '!$C$4:$AI$4407,'Tracking Sheet'!B371,'Production '!$U$4:$U$4407)</f>
        <v>0</v>
      </c>
      <c r="G371" s="76">
        <f ca="1">SUMIF('Production '!$C$4:$AI$4407,'Tracking Sheet'!B371,'Production '!$W$4:$W$4407)</f>
        <v>0</v>
      </c>
      <c r="H371" s="76">
        <f ca="1">SUMIF('Production '!$C$4:$AI$4407,'Tracking Sheet'!B371,'Production '!$F$4:$F$4407)</f>
        <v>5118</v>
      </c>
      <c r="I371" s="76">
        <f ca="1">SUMIF('Production '!$C$4:$AI$4407,'Tracking Sheet'!B371,'Production '!$V$4:$V$4407)</f>
        <v>0</v>
      </c>
      <c r="J371" s="76">
        <f ca="1">SUMIF('Production '!$C$4:$AI$4407,'Tracking Sheet'!B371,'Production '!$AG$4:$AG$4407)</f>
        <v>-5118</v>
      </c>
    </row>
    <row r="372" spans="2:10" x14ac:dyDescent="0.3">
      <c r="B372" s="277">
        <f>'Production '!C375</f>
        <v>0</v>
      </c>
      <c r="C372" s="76" t="e">
        <f ca="1">SUMIF('Production '!$C$4:$AI$4407,'Tracking Sheet'!B372,'Production '!$M$4:$M$4407)</f>
        <v>#DIV/0!</v>
      </c>
      <c r="D372" s="76" t="e">
        <f ca="1">SUMIF('Production '!$C$4:$AI$4407,'Tracking Sheet'!B372,'Production '!$Q$4:$Q$4407)</f>
        <v>#DIV/0!</v>
      </c>
      <c r="E372" s="76">
        <f ca="1">SUMIF('Production '!$C$4:$AI$4407,'Tracking Sheet'!B372,'Production '!$S$4:$S$4407)</f>
        <v>-1268218.9828305368</v>
      </c>
      <c r="F372" s="76">
        <f ca="1">SUMIF('Production '!$C$4:$AI$4407,'Tracking Sheet'!B372,'Production '!$U$4:$U$4407)</f>
        <v>-10620.435600016917</v>
      </c>
      <c r="G372" s="76" t="e">
        <f ca="1">SUMIF('Production '!$C$4:$AI$4407,'Tracking Sheet'!B372,'Production '!$W$4:$W$4407)</f>
        <v>#DIV/0!</v>
      </c>
      <c r="H372" s="76">
        <f ca="1">SUMIF('Production '!$C$4:$AI$4407,'Tracking Sheet'!B372,'Production '!$F$4:$F$4407)</f>
        <v>3230621.3283604058</v>
      </c>
      <c r="I372" s="76">
        <f ca="1">SUMIF('Production '!$C$4:$AI$4407,'Tracking Sheet'!B372,'Production '!$V$4:$V$4407)</f>
        <v>-489.86487791182844</v>
      </c>
      <c r="J372" s="76">
        <f ca="1">SUMIF('Production '!$C$4:$AI$4407,'Tracking Sheet'!B372,'Production '!$AG$4:$AG$4407)</f>
        <v>0</v>
      </c>
    </row>
    <row r="373" spans="2:10" x14ac:dyDescent="0.3">
      <c r="B373" s="277">
        <f>'Production '!C376</f>
        <v>47868</v>
      </c>
      <c r="C373" s="76">
        <f ca="1">SUMIF('Production '!$C$4:$AI$4407,'Tracking Sheet'!B373,'Production '!$M$4:$M$4407)</f>
        <v>7289</v>
      </c>
      <c r="D373" s="76">
        <f ca="1">SUMIF('Production '!$C$4:$AI$4407,'Tracking Sheet'!B373,'Production '!$Q$4:$Q$4407)</f>
        <v>0</v>
      </c>
      <c r="E373" s="76">
        <f ca="1">SUMIF('Production '!$C$4:$AI$4407,'Tracking Sheet'!B373,'Production '!$S$4:$S$4407)</f>
        <v>0</v>
      </c>
      <c r="F373" s="76">
        <f ca="1">SUMIF('Production '!$C$4:$AI$4407,'Tracking Sheet'!B373,'Production '!$U$4:$U$4407)</f>
        <v>5774</v>
      </c>
      <c r="G373" s="76">
        <f ca="1">SUMIF('Production '!$C$4:$AI$4407,'Tracking Sheet'!B373,'Production '!$W$4:$W$4407)</f>
        <v>1515</v>
      </c>
      <c r="H373" s="76">
        <f ca="1">SUMIF('Production '!$C$4:$AI$4407,'Tracking Sheet'!B373,'Production '!$F$4:$F$4407)</f>
        <v>7232</v>
      </c>
      <c r="I373" s="76">
        <f ca="1">SUMIF('Production '!$C$4:$AI$4407,'Tracking Sheet'!B373,'Production '!$V$4:$V$4407)</f>
        <v>1515</v>
      </c>
      <c r="J373" s="76">
        <f ca="1">SUMIF('Production '!$C$4:$AI$4407,'Tracking Sheet'!B373,'Production '!$AG$4:$AG$4407)</f>
        <v>0</v>
      </c>
    </row>
    <row r="374" spans="2:10" x14ac:dyDescent="0.3">
      <c r="B374" s="277">
        <f>'Production '!C377</f>
        <v>0</v>
      </c>
      <c r="C374" s="76" t="e">
        <f ca="1">SUMIF('Production '!$C$4:$AI$4407,'Tracking Sheet'!B374,'Production '!$M$4:$M$4407)</f>
        <v>#DIV/0!</v>
      </c>
      <c r="D374" s="76" t="e">
        <f ca="1">SUMIF('Production '!$C$4:$AI$4407,'Tracking Sheet'!B374,'Production '!$Q$4:$Q$4407)</f>
        <v>#DIV/0!</v>
      </c>
      <c r="E374" s="76">
        <f ca="1">SUMIF('Production '!$C$4:$AI$4407,'Tracking Sheet'!B374,'Production '!$S$4:$S$4407)</f>
        <v>-1268218.9828305368</v>
      </c>
      <c r="F374" s="76">
        <f ca="1">SUMIF('Production '!$C$4:$AI$4407,'Tracking Sheet'!B374,'Production '!$U$4:$U$4407)</f>
        <v>-10620.435600016917</v>
      </c>
      <c r="G374" s="76" t="e">
        <f ca="1">SUMIF('Production '!$C$4:$AI$4407,'Tracking Sheet'!B374,'Production '!$W$4:$W$4407)</f>
        <v>#DIV/0!</v>
      </c>
      <c r="H374" s="76">
        <f ca="1">SUMIF('Production '!$C$4:$AI$4407,'Tracking Sheet'!B374,'Production '!$F$4:$F$4407)</f>
        <v>3230621.3283604058</v>
      </c>
      <c r="I374" s="76">
        <f ca="1">SUMIF('Production '!$C$4:$AI$4407,'Tracking Sheet'!B374,'Production '!$V$4:$V$4407)</f>
        <v>-489.86487791182844</v>
      </c>
      <c r="J374" s="76">
        <f ca="1">SUMIF('Production '!$C$4:$AI$4407,'Tracking Sheet'!B374,'Production '!$AG$4:$AG$4407)</f>
        <v>0</v>
      </c>
    </row>
    <row r="375" spans="2:10" x14ac:dyDescent="0.3">
      <c r="B375" s="277">
        <f>'Production '!C378</f>
        <v>47780</v>
      </c>
      <c r="C375" s="76">
        <f ca="1">SUMIF('Production '!$C$4:$AI$4407,'Tracking Sheet'!B375,'Production '!$M$4:$M$4407)</f>
        <v>5520</v>
      </c>
      <c r="D375" s="76">
        <f ca="1">SUMIF('Production '!$C$4:$AI$4407,'Tracking Sheet'!B375,'Production '!$Q$4:$Q$4407)</f>
        <v>5516</v>
      </c>
      <c r="E375" s="76">
        <f ca="1">SUMIF('Production '!$C$4:$AI$4407,'Tracking Sheet'!B375,'Production '!$S$4:$S$4407)</f>
        <v>5443</v>
      </c>
      <c r="F375" s="76">
        <f ca="1">SUMIF('Production '!$C$4:$AI$4407,'Tracking Sheet'!B375,'Production '!$U$4:$U$4407)</f>
        <v>11</v>
      </c>
      <c r="G375" s="76">
        <f ca="1">SUMIF('Production '!$C$4:$AI$4407,'Tracking Sheet'!B375,'Production '!$W$4:$W$4407)</f>
        <v>5432</v>
      </c>
      <c r="H375" s="76">
        <f ca="1">SUMIF('Production '!$C$4:$AI$4407,'Tracking Sheet'!B375,'Production '!$F$4:$F$4407)</f>
        <v>5382</v>
      </c>
      <c r="I375" s="76">
        <f ca="1">SUMIF('Production '!$C$4:$AI$4407,'Tracking Sheet'!B375,'Production '!$V$4:$V$4407)</f>
        <v>0</v>
      </c>
      <c r="J375" s="76">
        <f ca="1">SUMIF('Production '!$C$4:$AI$4407,'Tracking Sheet'!B375,'Production '!$AG$4:$AG$4407)</f>
        <v>0</v>
      </c>
    </row>
    <row r="376" spans="2:10" x14ac:dyDescent="0.3">
      <c r="B376" s="277">
        <f>'Production '!C379</f>
        <v>0</v>
      </c>
      <c r="C376" s="76" t="e">
        <f ca="1">SUMIF('Production '!$C$4:$AI$4407,'Tracking Sheet'!B376,'Production '!$M$4:$M$4407)</f>
        <v>#DIV/0!</v>
      </c>
      <c r="D376" s="76" t="e">
        <f ca="1">SUMIF('Production '!$C$4:$AI$4407,'Tracking Sheet'!B376,'Production '!$Q$4:$Q$4407)</f>
        <v>#DIV/0!</v>
      </c>
      <c r="E376" s="76">
        <f ca="1">SUMIF('Production '!$C$4:$AI$4407,'Tracking Sheet'!B376,'Production '!$S$4:$S$4407)</f>
        <v>-1268218.9828305368</v>
      </c>
      <c r="F376" s="76">
        <f ca="1">SUMIF('Production '!$C$4:$AI$4407,'Tracking Sheet'!B376,'Production '!$U$4:$U$4407)</f>
        <v>-10620.435600016917</v>
      </c>
      <c r="G376" s="76" t="e">
        <f ca="1">SUMIF('Production '!$C$4:$AI$4407,'Tracking Sheet'!B376,'Production '!$W$4:$W$4407)</f>
        <v>#DIV/0!</v>
      </c>
      <c r="H376" s="76">
        <f ca="1">SUMIF('Production '!$C$4:$AI$4407,'Tracking Sheet'!B376,'Production '!$F$4:$F$4407)</f>
        <v>3230621.3283604058</v>
      </c>
      <c r="I376" s="76">
        <f ca="1">SUMIF('Production '!$C$4:$AI$4407,'Tracking Sheet'!B376,'Production '!$V$4:$V$4407)</f>
        <v>-489.86487791182844</v>
      </c>
      <c r="J376" s="76">
        <f ca="1">SUMIF('Production '!$C$4:$AI$4407,'Tracking Sheet'!B376,'Production '!$AG$4:$AG$4407)</f>
        <v>0</v>
      </c>
    </row>
    <row r="377" spans="2:10" x14ac:dyDescent="0.3">
      <c r="B377" s="277">
        <f>'Production '!C380</f>
        <v>47796</v>
      </c>
      <c r="C377" s="76">
        <f ca="1">SUMIF('Production '!$C$4:$AI$4407,'Tracking Sheet'!B377,'Production '!$M$4:$M$4407)</f>
        <v>0</v>
      </c>
      <c r="D377" s="76">
        <f ca="1">SUMIF('Production '!$C$4:$AI$4407,'Tracking Sheet'!B377,'Production '!$Q$4:$Q$4407)</f>
        <v>0</v>
      </c>
      <c r="E377" s="76">
        <f ca="1">SUMIF('Production '!$C$4:$AI$4407,'Tracking Sheet'!B377,'Production '!$S$4:$S$4407)</f>
        <v>0</v>
      </c>
      <c r="F377" s="76">
        <f ca="1">SUMIF('Production '!$C$4:$AI$4407,'Tracking Sheet'!B377,'Production '!$U$4:$U$4407)</f>
        <v>0</v>
      </c>
      <c r="G377" s="76">
        <f ca="1">SUMIF('Production '!$C$4:$AI$4407,'Tracking Sheet'!B377,'Production '!$W$4:$W$4407)</f>
        <v>0</v>
      </c>
      <c r="H377" s="76">
        <f ca="1">SUMIF('Production '!$C$4:$AI$4407,'Tracking Sheet'!B377,'Production '!$F$4:$F$4407)</f>
        <v>2674</v>
      </c>
      <c r="I377" s="76">
        <f ca="1">SUMIF('Production '!$C$4:$AI$4407,'Tracking Sheet'!B377,'Production '!$V$4:$V$4407)</f>
        <v>0</v>
      </c>
      <c r="J377" s="76">
        <f ca="1">SUMIF('Production '!$C$4:$AI$4407,'Tracking Sheet'!B377,'Production '!$AG$4:$AG$4407)</f>
        <v>-2674</v>
      </c>
    </row>
    <row r="378" spans="2:10" x14ac:dyDescent="0.3">
      <c r="B378" s="277">
        <f>'Production '!C381</f>
        <v>0</v>
      </c>
      <c r="C378" s="76" t="e">
        <f ca="1">SUMIF('Production '!$C$4:$AI$4407,'Tracking Sheet'!B378,'Production '!$M$4:$M$4407)</f>
        <v>#DIV/0!</v>
      </c>
      <c r="D378" s="76" t="e">
        <f ca="1">SUMIF('Production '!$C$4:$AI$4407,'Tracking Sheet'!B378,'Production '!$Q$4:$Q$4407)</f>
        <v>#DIV/0!</v>
      </c>
      <c r="E378" s="76">
        <f ca="1">SUMIF('Production '!$C$4:$AI$4407,'Tracking Sheet'!B378,'Production '!$S$4:$S$4407)</f>
        <v>-1268218.9828305368</v>
      </c>
      <c r="F378" s="76">
        <f ca="1">SUMIF('Production '!$C$4:$AI$4407,'Tracking Sheet'!B378,'Production '!$U$4:$U$4407)</f>
        <v>-10620.435600016917</v>
      </c>
      <c r="G378" s="76" t="e">
        <f ca="1">SUMIF('Production '!$C$4:$AI$4407,'Tracking Sheet'!B378,'Production '!$W$4:$W$4407)</f>
        <v>#DIV/0!</v>
      </c>
      <c r="H378" s="76">
        <f ca="1">SUMIF('Production '!$C$4:$AI$4407,'Tracking Sheet'!B378,'Production '!$F$4:$F$4407)</f>
        <v>3230621.3283604058</v>
      </c>
      <c r="I378" s="76">
        <f ca="1">SUMIF('Production '!$C$4:$AI$4407,'Tracking Sheet'!B378,'Production '!$V$4:$V$4407)</f>
        <v>-489.86487791182844</v>
      </c>
      <c r="J378" s="76">
        <f ca="1">SUMIF('Production '!$C$4:$AI$4407,'Tracking Sheet'!B378,'Production '!$AG$4:$AG$4407)</f>
        <v>0</v>
      </c>
    </row>
    <row r="379" spans="2:10" x14ac:dyDescent="0.3">
      <c r="B379" s="277">
        <f>'Production '!C382</f>
        <v>47824</v>
      </c>
      <c r="C379" s="76">
        <f ca="1">SUMIF('Production '!$C$4:$AI$4407,'Tracking Sheet'!B379,'Production '!$M$4:$M$4407)</f>
        <v>0</v>
      </c>
      <c r="D379" s="76">
        <f ca="1">SUMIF('Production '!$C$4:$AI$4407,'Tracking Sheet'!B379,'Production '!$Q$4:$Q$4407)</f>
        <v>0</v>
      </c>
      <c r="E379" s="76">
        <f ca="1">SUMIF('Production '!$C$4:$AI$4407,'Tracking Sheet'!B379,'Production '!$S$4:$S$4407)</f>
        <v>0</v>
      </c>
      <c r="F379" s="76">
        <f ca="1">SUMIF('Production '!$C$4:$AI$4407,'Tracking Sheet'!B379,'Production '!$U$4:$U$4407)</f>
        <v>0</v>
      </c>
      <c r="G379" s="76">
        <f ca="1">SUMIF('Production '!$C$4:$AI$4407,'Tracking Sheet'!B379,'Production '!$W$4:$W$4407)</f>
        <v>0</v>
      </c>
      <c r="H379" s="76">
        <f ca="1">SUMIF('Production '!$C$4:$AI$4407,'Tracking Sheet'!B379,'Production '!$F$4:$F$4407)</f>
        <v>2292</v>
      </c>
      <c r="I379" s="76">
        <f ca="1">SUMIF('Production '!$C$4:$AI$4407,'Tracking Sheet'!B379,'Production '!$V$4:$V$4407)</f>
        <v>0</v>
      </c>
      <c r="J379" s="76">
        <f ca="1">SUMIF('Production '!$C$4:$AI$4407,'Tracking Sheet'!B379,'Production '!$AG$4:$AG$4407)</f>
        <v>-2292</v>
      </c>
    </row>
    <row r="380" spans="2:10" x14ac:dyDescent="0.3">
      <c r="B380" s="277">
        <f>'Production '!C383</f>
        <v>0</v>
      </c>
      <c r="C380" s="76" t="e">
        <f ca="1">SUMIF('Production '!$C$4:$AI$4407,'Tracking Sheet'!B380,'Production '!$M$4:$M$4407)</f>
        <v>#DIV/0!</v>
      </c>
      <c r="D380" s="76" t="e">
        <f ca="1">SUMIF('Production '!$C$4:$AI$4407,'Tracking Sheet'!B380,'Production '!$Q$4:$Q$4407)</f>
        <v>#DIV/0!</v>
      </c>
      <c r="E380" s="76">
        <f ca="1">SUMIF('Production '!$C$4:$AI$4407,'Tracking Sheet'!B380,'Production '!$S$4:$S$4407)</f>
        <v>-1268218.9828305368</v>
      </c>
      <c r="F380" s="76">
        <f ca="1">SUMIF('Production '!$C$4:$AI$4407,'Tracking Sheet'!B380,'Production '!$U$4:$U$4407)</f>
        <v>-10620.435600016917</v>
      </c>
      <c r="G380" s="76" t="e">
        <f ca="1">SUMIF('Production '!$C$4:$AI$4407,'Tracking Sheet'!B380,'Production '!$W$4:$W$4407)</f>
        <v>#DIV/0!</v>
      </c>
      <c r="H380" s="76">
        <f ca="1">SUMIF('Production '!$C$4:$AI$4407,'Tracking Sheet'!B380,'Production '!$F$4:$F$4407)</f>
        <v>3230621.3283604058</v>
      </c>
      <c r="I380" s="76">
        <f ca="1">SUMIF('Production '!$C$4:$AI$4407,'Tracking Sheet'!B380,'Production '!$V$4:$V$4407)</f>
        <v>-489.86487791182844</v>
      </c>
      <c r="J380" s="76">
        <f ca="1">SUMIF('Production '!$C$4:$AI$4407,'Tracking Sheet'!B380,'Production '!$AG$4:$AG$4407)</f>
        <v>0</v>
      </c>
    </row>
    <row r="381" spans="2:10" x14ac:dyDescent="0.3">
      <c r="B381" s="277">
        <f>'Production '!C384</f>
        <v>47778</v>
      </c>
      <c r="C381" s="76">
        <f ca="1">SUMIF('Production '!$C$4:$AI$4407,'Tracking Sheet'!B381,'Production '!$M$4:$M$4407)</f>
        <v>5436</v>
      </c>
      <c r="D381" s="76">
        <f ca="1">SUMIF('Production '!$C$4:$AI$4407,'Tracking Sheet'!B381,'Production '!$Q$4:$Q$4407)</f>
        <v>5428</v>
      </c>
      <c r="E381" s="76">
        <f ca="1">SUMIF('Production '!$C$4:$AI$4407,'Tracking Sheet'!B381,'Production '!$S$4:$S$4407)</f>
        <v>5422</v>
      </c>
      <c r="F381" s="76">
        <f ca="1">SUMIF('Production '!$C$4:$AI$4407,'Tracking Sheet'!B381,'Production '!$U$4:$U$4407)</f>
        <v>1</v>
      </c>
      <c r="G381" s="76">
        <f ca="1">SUMIF('Production '!$C$4:$AI$4407,'Tracking Sheet'!B381,'Production '!$W$4:$W$4407)</f>
        <v>5421</v>
      </c>
      <c r="H381" s="76">
        <f ca="1">SUMIF('Production '!$C$4:$AI$4407,'Tracking Sheet'!B381,'Production '!$F$4:$F$4407)</f>
        <v>5382</v>
      </c>
      <c r="I381" s="76">
        <f ca="1">SUMIF('Production '!$C$4:$AI$4407,'Tracking Sheet'!B381,'Production '!$V$4:$V$4407)</f>
        <v>0</v>
      </c>
      <c r="J381" s="76">
        <f ca="1">SUMIF('Production '!$C$4:$AI$4407,'Tracking Sheet'!B381,'Production '!$AG$4:$AG$4407)</f>
        <v>0</v>
      </c>
    </row>
    <row r="382" spans="2:10" x14ac:dyDescent="0.3">
      <c r="B382" s="277">
        <f>'Production '!C385</f>
        <v>0</v>
      </c>
      <c r="C382" s="76" t="e">
        <f ca="1">SUMIF('Production '!$C$4:$AI$4407,'Tracking Sheet'!B382,'Production '!$M$4:$M$4407)</f>
        <v>#DIV/0!</v>
      </c>
      <c r="D382" s="76" t="e">
        <f ca="1">SUMIF('Production '!$C$4:$AI$4407,'Tracking Sheet'!B382,'Production '!$Q$4:$Q$4407)</f>
        <v>#DIV/0!</v>
      </c>
      <c r="E382" s="76">
        <f ca="1">SUMIF('Production '!$C$4:$AI$4407,'Tracking Sheet'!B382,'Production '!$S$4:$S$4407)</f>
        <v>-1268218.9828305368</v>
      </c>
      <c r="F382" s="76">
        <f ca="1">SUMIF('Production '!$C$4:$AI$4407,'Tracking Sheet'!B382,'Production '!$U$4:$U$4407)</f>
        <v>-10620.435600016917</v>
      </c>
      <c r="G382" s="76" t="e">
        <f ca="1">SUMIF('Production '!$C$4:$AI$4407,'Tracking Sheet'!B382,'Production '!$W$4:$W$4407)</f>
        <v>#DIV/0!</v>
      </c>
      <c r="H382" s="76">
        <f ca="1">SUMIF('Production '!$C$4:$AI$4407,'Tracking Sheet'!B382,'Production '!$F$4:$F$4407)</f>
        <v>3230621.3283604058</v>
      </c>
      <c r="I382" s="76">
        <f ca="1">SUMIF('Production '!$C$4:$AI$4407,'Tracking Sheet'!B382,'Production '!$V$4:$V$4407)</f>
        <v>-489.86487791182844</v>
      </c>
      <c r="J382" s="76">
        <f ca="1">SUMIF('Production '!$C$4:$AI$4407,'Tracking Sheet'!B382,'Production '!$AG$4:$AG$4407)</f>
        <v>0</v>
      </c>
    </row>
    <row r="383" spans="2:10" x14ac:dyDescent="0.3">
      <c r="B383" s="277" t="str">
        <f>'Production '!C386</f>
        <v>OVS</v>
      </c>
      <c r="C383" s="76">
        <f ca="1">SUMIF('Production '!$C$4:$AI$4407,'Tracking Sheet'!B383,'Production '!$M$4:$M$4407)</f>
        <v>198379</v>
      </c>
      <c r="D383" s="76">
        <f ca="1">SUMIF('Production '!$C$4:$AI$4407,'Tracking Sheet'!B383,'Production '!$Q$4:$Q$4407)</f>
        <v>47380</v>
      </c>
      <c r="E383" s="76">
        <f ca="1">SUMIF('Production '!$C$4:$AI$4407,'Tracking Sheet'!B383,'Production '!$S$4:$S$4407)</f>
        <v>29074</v>
      </c>
      <c r="F383" s="76">
        <f ca="1">SUMIF('Production '!$C$4:$AI$4407,'Tracking Sheet'!B383,'Production '!$U$4:$U$4407)</f>
        <v>84986</v>
      </c>
      <c r="G383" s="76">
        <f ca="1">SUMIF('Production '!$C$4:$AI$4407,'Tracking Sheet'!B383,'Production '!$W$4:$W$4407)</f>
        <v>89721</v>
      </c>
      <c r="H383" s="76">
        <f ca="1">SUMIF('Production '!$C$4:$AI$4407,'Tracking Sheet'!B383,'Production '!$F$4:$F$4407)</f>
        <v>343332</v>
      </c>
      <c r="I383" s="76">
        <f ca="1">SUMIF('Production '!$C$4:$AI$4407,'Tracking Sheet'!B383,'Production '!$V$4:$V$4407)</f>
        <v>12137</v>
      </c>
      <c r="J383" s="76">
        <f ca="1">SUMIF('Production '!$C$4:$AI$4407,'Tracking Sheet'!B383,'Production '!$AG$4:$AG$4407)</f>
        <v>-144953</v>
      </c>
    </row>
    <row r="384" spans="2:10" x14ac:dyDescent="0.3">
      <c r="B384" s="277">
        <f>'Production '!C387</f>
        <v>47623</v>
      </c>
      <c r="C384" s="76">
        <f ca="1">SUMIF('Production '!$C$4:$AI$4407,'Tracking Sheet'!B384,'Production '!$M$4:$M$4407)</f>
        <v>2164</v>
      </c>
      <c r="D384" s="76">
        <f ca="1">SUMIF('Production '!$C$4:$AI$4407,'Tracking Sheet'!B384,'Production '!$Q$4:$Q$4407)</f>
        <v>2120</v>
      </c>
      <c r="E384" s="76">
        <f ca="1">SUMIF('Production '!$C$4:$AI$4407,'Tracking Sheet'!B384,'Production '!$S$4:$S$4407)</f>
        <v>2119</v>
      </c>
      <c r="F384" s="76">
        <f ca="1">SUMIF('Production '!$C$4:$AI$4407,'Tracking Sheet'!B384,'Production '!$U$4:$U$4407)</f>
        <v>4</v>
      </c>
      <c r="G384" s="76">
        <f ca="1">SUMIF('Production '!$C$4:$AI$4407,'Tracking Sheet'!B384,'Production '!$W$4:$W$4407)</f>
        <v>2115</v>
      </c>
      <c r="H384" s="76">
        <f ca="1">SUMIF('Production '!$C$4:$AI$4407,'Tracking Sheet'!B384,'Production '!$F$4:$F$4407)</f>
        <v>2022</v>
      </c>
      <c r="I384" s="76">
        <f ca="1">SUMIF('Production '!$C$4:$AI$4407,'Tracking Sheet'!B384,'Production '!$V$4:$V$4407)</f>
        <v>0</v>
      </c>
      <c r="J384" s="76">
        <f ca="1">SUMIF('Production '!$C$4:$AI$4407,'Tracking Sheet'!B384,'Production '!$AG$4:$AG$4407)</f>
        <v>0</v>
      </c>
    </row>
    <row r="385" spans="2:10" x14ac:dyDescent="0.3">
      <c r="B385" s="277">
        <f>'Production '!C388</f>
        <v>47623</v>
      </c>
      <c r="C385" s="76">
        <f ca="1">SUMIF('Production '!$C$4:$AI$4407,'Tracking Sheet'!B385,'Production '!$M$4:$M$4407)</f>
        <v>2164</v>
      </c>
      <c r="D385" s="76">
        <f ca="1">SUMIF('Production '!$C$4:$AI$4407,'Tracking Sheet'!B385,'Production '!$Q$4:$Q$4407)</f>
        <v>2120</v>
      </c>
      <c r="E385" s="76">
        <f ca="1">SUMIF('Production '!$C$4:$AI$4407,'Tracking Sheet'!B385,'Production '!$S$4:$S$4407)</f>
        <v>2119</v>
      </c>
      <c r="F385" s="76">
        <f ca="1">SUMIF('Production '!$C$4:$AI$4407,'Tracking Sheet'!B385,'Production '!$U$4:$U$4407)</f>
        <v>4</v>
      </c>
      <c r="G385" s="76">
        <f ca="1">SUMIF('Production '!$C$4:$AI$4407,'Tracking Sheet'!B385,'Production '!$W$4:$W$4407)</f>
        <v>2115</v>
      </c>
      <c r="H385" s="76">
        <f ca="1">SUMIF('Production '!$C$4:$AI$4407,'Tracking Sheet'!B385,'Production '!$F$4:$F$4407)</f>
        <v>2022</v>
      </c>
      <c r="I385" s="76">
        <f ca="1">SUMIF('Production '!$C$4:$AI$4407,'Tracking Sheet'!B385,'Production '!$V$4:$V$4407)</f>
        <v>0</v>
      </c>
      <c r="J385" s="76">
        <f ca="1">SUMIF('Production '!$C$4:$AI$4407,'Tracking Sheet'!B385,'Production '!$AG$4:$AG$4407)</f>
        <v>0</v>
      </c>
    </row>
    <row r="386" spans="2:10" x14ac:dyDescent="0.3">
      <c r="B386" s="277">
        <f>'Production '!C389</f>
        <v>0</v>
      </c>
      <c r="C386" s="76" t="e">
        <f ca="1">SUMIF('Production '!$C$4:$AI$4407,'Tracking Sheet'!B386,'Production '!$M$4:$M$4407)</f>
        <v>#DIV/0!</v>
      </c>
      <c r="D386" s="76" t="e">
        <f ca="1">SUMIF('Production '!$C$4:$AI$4407,'Tracking Sheet'!B386,'Production '!$Q$4:$Q$4407)</f>
        <v>#DIV/0!</v>
      </c>
      <c r="E386" s="76">
        <f ca="1">SUMIF('Production '!$C$4:$AI$4407,'Tracking Sheet'!B386,'Production '!$S$4:$S$4407)</f>
        <v>-1268218.9828305368</v>
      </c>
      <c r="F386" s="76">
        <f ca="1">SUMIF('Production '!$C$4:$AI$4407,'Tracking Sheet'!B386,'Production '!$U$4:$U$4407)</f>
        <v>-10620.435600016917</v>
      </c>
      <c r="G386" s="76" t="e">
        <f ca="1">SUMIF('Production '!$C$4:$AI$4407,'Tracking Sheet'!B386,'Production '!$W$4:$W$4407)</f>
        <v>#DIV/0!</v>
      </c>
      <c r="H386" s="76">
        <f ca="1">SUMIF('Production '!$C$4:$AI$4407,'Tracking Sheet'!B386,'Production '!$F$4:$F$4407)</f>
        <v>3230621.3283604058</v>
      </c>
      <c r="I386" s="76">
        <f ca="1">SUMIF('Production '!$C$4:$AI$4407,'Tracking Sheet'!B386,'Production '!$V$4:$V$4407)</f>
        <v>-489.86487791182844</v>
      </c>
      <c r="J386" s="76">
        <f ca="1">SUMIF('Production '!$C$4:$AI$4407,'Tracking Sheet'!B386,'Production '!$AG$4:$AG$4407)</f>
        <v>0</v>
      </c>
    </row>
    <row r="387" spans="2:10" x14ac:dyDescent="0.3">
      <c r="B387" s="277">
        <f>'Production '!C390</f>
        <v>47912</v>
      </c>
      <c r="C387" s="76">
        <f ca="1">SUMIF('Production '!$C$4:$AI$4407,'Tracking Sheet'!B387,'Production '!$M$4:$M$4407)</f>
        <v>2802</v>
      </c>
      <c r="D387" s="76">
        <f ca="1">SUMIF('Production '!$C$4:$AI$4407,'Tracking Sheet'!B387,'Production '!$Q$4:$Q$4407)</f>
        <v>2802</v>
      </c>
      <c r="E387" s="76">
        <f ca="1">SUMIF('Production '!$C$4:$AI$4407,'Tracking Sheet'!B387,'Production '!$S$4:$S$4407)</f>
        <v>2799</v>
      </c>
      <c r="F387" s="76">
        <f ca="1">SUMIF('Production '!$C$4:$AI$4407,'Tracking Sheet'!B387,'Production '!$U$4:$U$4407)</f>
        <v>2</v>
      </c>
      <c r="G387" s="76">
        <f ca="1">SUMIF('Production '!$C$4:$AI$4407,'Tracking Sheet'!B387,'Production '!$W$4:$W$4407)</f>
        <v>2797</v>
      </c>
      <c r="H387" s="76">
        <f ca="1">SUMIF('Production '!$C$4:$AI$4407,'Tracking Sheet'!B387,'Production '!$F$4:$F$4407)</f>
        <v>2724</v>
      </c>
      <c r="I387" s="76">
        <f ca="1">SUMIF('Production '!$C$4:$AI$4407,'Tracking Sheet'!B387,'Production '!$V$4:$V$4407)</f>
        <v>0</v>
      </c>
      <c r="J387" s="76">
        <f ca="1">SUMIF('Production '!$C$4:$AI$4407,'Tracking Sheet'!B387,'Production '!$AG$4:$AG$4407)</f>
        <v>0</v>
      </c>
    </row>
    <row r="388" spans="2:10" x14ac:dyDescent="0.3">
      <c r="B388" s="277">
        <f>'Production '!C391</f>
        <v>47912</v>
      </c>
      <c r="C388" s="76">
        <f ca="1">SUMIF('Production '!$C$4:$AI$4407,'Tracking Sheet'!B388,'Production '!$M$4:$M$4407)</f>
        <v>2802</v>
      </c>
      <c r="D388" s="76">
        <f ca="1">SUMIF('Production '!$C$4:$AI$4407,'Tracking Sheet'!B388,'Production '!$Q$4:$Q$4407)</f>
        <v>2802</v>
      </c>
      <c r="E388" s="76">
        <f ca="1">SUMIF('Production '!$C$4:$AI$4407,'Tracking Sheet'!B388,'Production '!$S$4:$S$4407)</f>
        <v>2799</v>
      </c>
      <c r="F388" s="76">
        <f ca="1">SUMIF('Production '!$C$4:$AI$4407,'Tracking Sheet'!B388,'Production '!$U$4:$U$4407)</f>
        <v>2</v>
      </c>
      <c r="G388" s="76">
        <f ca="1">SUMIF('Production '!$C$4:$AI$4407,'Tracking Sheet'!B388,'Production '!$W$4:$W$4407)</f>
        <v>2797</v>
      </c>
      <c r="H388" s="76">
        <f ca="1">SUMIF('Production '!$C$4:$AI$4407,'Tracking Sheet'!B388,'Production '!$F$4:$F$4407)</f>
        <v>2724</v>
      </c>
      <c r="I388" s="76">
        <f ca="1">SUMIF('Production '!$C$4:$AI$4407,'Tracking Sheet'!B388,'Production '!$V$4:$V$4407)</f>
        <v>0</v>
      </c>
      <c r="J388" s="76">
        <f ca="1">SUMIF('Production '!$C$4:$AI$4407,'Tracking Sheet'!B388,'Production '!$AG$4:$AG$4407)</f>
        <v>0</v>
      </c>
    </row>
    <row r="389" spans="2:10" x14ac:dyDescent="0.3">
      <c r="B389" s="277">
        <f>'Production '!C392</f>
        <v>47912</v>
      </c>
      <c r="C389" s="76">
        <f ca="1">SUMIF('Production '!$C$4:$AI$4407,'Tracking Sheet'!B389,'Production '!$M$4:$M$4407)</f>
        <v>2802</v>
      </c>
      <c r="D389" s="76">
        <f ca="1">SUMIF('Production '!$C$4:$AI$4407,'Tracking Sheet'!B389,'Production '!$Q$4:$Q$4407)</f>
        <v>2802</v>
      </c>
      <c r="E389" s="76">
        <f ca="1">SUMIF('Production '!$C$4:$AI$4407,'Tracking Sheet'!B389,'Production '!$S$4:$S$4407)</f>
        <v>2799</v>
      </c>
      <c r="F389" s="76">
        <f ca="1">SUMIF('Production '!$C$4:$AI$4407,'Tracking Sheet'!B389,'Production '!$U$4:$U$4407)</f>
        <v>2</v>
      </c>
      <c r="G389" s="76">
        <f ca="1">SUMIF('Production '!$C$4:$AI$4407,'Tracking Sheet'!B389,'Production '!$W$4:$W$4407)</f>
        <v>2797</v>
      </c>
      <c r="H389" s="76">
        <f ca="1">SUMIF('Production '!$C$4:$AI$4407,'Tracking Sheet'!B389,'Production '!$F$4:$F$4407)</f>
        <v>2724</v>
      </c>
      <c r="I389" s="76">
        <f ca="1">SUMIF('Production '!$C$4:$AI$4407,'Tracking Sheet'!B389,'Production '!$V$4:$V$4407)</f>
        <v>0</v>
      </c>
      <c r="J389" s="76">
        <f ca="1">SUMIF('Production '!$C$4:$AI$4407,'Tracking Sheet'!B389,'Production '!$AG$4:$AG$4407)</f>
        <v>0</v>
      </c>
    </row>
    <row r="390" spans="2:10" x14ac:dyDescent="0.3">
      <c r="B390" s="277">
        <f>'Production '!C393</f>
        <v>0</v>
      </c>
      <c r="C390" s="76" t="e">
        <f ca="1">SUMIF('Production '!$C$4:$AI$4407,'Tracking Sheet'!B390,'Production '!$M$4:$M$4407)</f>
        <v>#DIV/0!</v>
      </c>
      <c r="D390" s="76" t="e">
        <f ca="1">SUMIF('Production '!$C$4:$AI$4407,'Tracking Sheet'!B390,'Production '!$Q$4:$Q$4407)</f>
        <v>#DIV/0!</v>
      </c>
      <c r="E390" s="76">
        <f ca="1">SUMIF('Production '!$C$4:$AI$4407,'Tracking Sheet'!B390,'Production '!$S$4:$S$4407)</f>
        <v>-1268218.9828305368</v>
      </c>
      <c r="F390" s="76">
        <f ca="1">SUMIF('Production '!$C$4:$AI$4407,'Tracking Sheet'!B390,'Production '!$U$4:$U$4407)</f>
        <v>-10620.435600016917</v>
      </c>
      <c r="G390" s="76" t="e">
        <f ca="1">SUMIF('Production '!$C$4:$AI$4407,'Tracking Sheet'!B390,'Production '!$W$4:$W$4407)</f>
        <v>#DIV/0!</v>
      </c>
      <c r="H390" s="76">
        <f ca="1">SUMIF('Production '!$C$4:$AI$4407,'Tracking Sheet'!B390,'Production '!$F$4:$F$4407)</f>
        <v>3230621.3283604058</v>
      </c>
      <c r="I390" s="76">
        <f ca="1">SUMIF('Production '!$C$4:$AI$4407,'Tracking Sheet'!B390,'Production '!$V$4:$V$4407)</f>
        <v>-489.86487791182844</v>
      </c>
      <c r="J390" s="76">
        <f ca="1">SUMIF('Production '!$C$4:$AI$4407,'Tracking Sheet'!B390,'Production '!$AG$4:$AG$4407)</f>
        <v>0</v>
      </c>
    </row>
    <row r="391" spans="2:10" x14ac:dyDescent="0.3">
      <c r="B391" s="277" t="str">
        <f>'Production '!C394</f>
        <v>43316 27th</v>
      </c>
      <c r="C391" s="76">
        <f ca="1">SUMIF('Production '!$C$4:$AI$4407,'Tracking Sheet'!B391,'Production '!$M$4:$M$4407)</f>
        <v>5678</v>
      </c>
      <c r="D391" s="76">
        <f ca="1">SUMIF('Production '!$C$4:$AI$4407,'Tracking Sheet'!B391,'Production '!$Q$4:$Q$4407)</f>
        <v>5678</v>
      </c>
      <c r="E391" s="76">
        <f ca="1">SUMIF('Production '!$C$4:$AI$4407,'Tracking Sheet'!B391,'Production '!$S$4:$S$4407)</f>
        <v>5673</v>
      </c>
      <c r="F391" s="76">
        <f ca="1">SUMIF('Production '!$C$4:$AI$4407,'Tracking Sheet'!B391,'Production '!$U$4:$U$4407)</f>
        <v>14</v>
      </c>
      <c r="G391" s="76">
        <f ca="1">SUMIF('Production '!$C$4:$AI$4407,'Tracking Sheet'!B391,'Production '!$W$4:$W$4407)</f>
        <v>5659</v>
      </c>
      <c r="H391" s="76">
        <f ca="1">SUMIF('Production '!$C$4:$AI$4407,'Tracking Sheet'!B391,'Production '!$F$4:$F$4407)</f>
        <v>5520</v>
      </c>
      <c r="I391" s="76">
        <f ca="1">SUMIF('Production '!$C$4:$AI$4407,'Tracking Sheet'!B391,'Production '!$V$4:$V$4407)</f>
        <v>0</v>
      </c>
      <c r="J391" s="76">
        <f ca="1">SUMIF('Production '!$C$4:$AI$4407,'Tracking Sheet'!B391,'Production '!$AG$4:$AG$4407)</f>
        <v>0</v>
      </c>
    </row>
    <row r="392" spans="2:10" x14ac:dyDescent="0.3">
      <c r="B392" s="277" t="str">
        <f>'Production '!C395</f>
        <v>43316 27th</v>
      </c>
      <c r="C392" s="76">
        <f ca="1">SUMIF('Production '!$C$4:$AI$4407,'Tracking Sheet'!B392,'Production '!$M$4:$M$4407)</f>
        <v>5678</v>
      </c>
      <c r="D392" s="76">
        <f ca="1">SUMIF('Production '!$C$4:$AI$4407,'Tracking Sheet'!B392,'Production '!$Q$4:$Q$4407)</f>
        <v>5678</v>
      </c>
      <c r="E392" s="76">
        <f ca="1">SUMIF('Production '!$C$4:$AI$4407,'Tracking Sheet'!B392,'Production '!$S$4:$S$4407)</f>
        <v>5673</v>
      </c>
      <c r="F392" s="76">
        <f ca="1">SUMIF('Production '!$C$4:$AI$4407,'Tracking Sheet'!B392,'Production '!$U$4:$U$4407)</f>
        <v>14</v>
      </c>
      <c r="G392" s="76">
        <f ca="1">SUMIF('Production '!$C$4:$AI$4407,'Tracking Sheet'!B392,'Production '!$W$4:$W$4407)</f>
        <v>5659</v>
      </c>
      <c r="H392" s="76">
        <f ca="1">SUMIF('Production '!$C$4:$AI$4407,'Tracking Sheet'!B392,'Production '!$F$4:$F$4407)</f>
        <v>5520</v>
      </c>
      <c r="I392" s="76">
        <f ca="1">SUMIF('Production '!$C$4:$AI$4407,'Tracking Sheet'!B392,'Production '!$V$4:$V$4407)</f>
        <v>0</v>
      </c>
      <c r="J392" s="76">
        <f ca="1">SUMIF('Production '!$C$4:$AI$4407,'Tracking Sheet'!B392,'Production '!$AG$4:$AG$4407)</f>
        <v>0</v>
      </c>
    </row>
    <row r="393" spans="2:10" x14ac:dyDescent="0.3">
      <c r="B393" s="277" t="str">
        <f>'Production '!C396</f>
        <v>43316 27th</v>
      </c>
      <c r="C393" s="76">
        <f ca="1">SUMIF('Production '!$C$4:$AI$4407,'Tracking Sheet'!B393,'Production '!$M$4:$M$4407)</f>
        <v>5678</v>
      </c>
      <c r="D393" s="76">
        <f ca="1">SUMIF('Production '!$C$4:$AI$4407,'Tracking Sheet'!B393,'Production '!$Q$4:$Q$4407)</f>
        <v>5678</v>
      </c>
      <c r="E393" s="76">
        <f ca="1">SUMIF('Production '!$C$4:$AI$4407,'Tracking Sheet'!B393,'Production '!$S$4:$S$4407)</f>
        <v>5673</v>
      </c>
      <c r="F393" s="76">
        <f ca="1">SUMIF('Production '!$C$4:$AI$4407,'Tracking Sheet'!B393,'Production '!$U$4:$U$4407)</f>
        <v>14</v>
      </c>
      <c r="G393" s="76">
        <f ca="1">SUMIF('Production '!$C$4:$AI$4407,'Tracking Sheet'!B393,'Production '!$W$4:$W$4407)</f>
        <v>5659</v>
      </c>
      <c r="H393" s="76">
        <f ca="1">SUMIF('Production '!$C$4:$AI$4407,'Tracking Sheet'!B393,'Production '!$F$4:$F$4407)</f>
        <v>5520</v>
      </c>
      <c r="I393" s="76">
        <f ca="1">SUMIF('Production '!$C$4:$AI$4407,'Tracking Sheet'!B393,'Production '!$V$4:$V$4407)</f>
        <v>0</v>
      </c>
      <c r="J393" s="76">
        <f ca="1">SUMIF('Production '!$C$4:$AI$4407,'Tracking Sheet'!B393,'Production '!$AG$4:$AG$4407)</f>
        <v>0</v>
      </c>
    </row>
    <row r="394" spans="2:10" x14ac:dyDescent="0.3">
      <c r="B394" s="277" t="str">
        <f>'Production '!C397</f>
        <v>43316 27th</v>
      </c>
      <c r="C394" s="76">
        <f ca="1">SUMIF('Production '!$C$4:$AI$4407,'Tracking Sheet'!B394,'Production '!$M$4:$M$4407)</f>
        <v>5678</v>
      </c>
      <c r="D394" s="76">
        <f ca="1">SUMIF('Production '!$C$4:$AI$4407,'Tracking Sheet'!B394,'Production '!$Q$4:$Q$4407)</f>
        <v>5678</v>
      </c>
      <c r="E394" s="76">
        <f ca="1">SUMIF('Production '!$C$4:$AI$4407,'Tracking Sheet'!B394,'Production '!$S$4:$S$4407)</f>
        <v>5673</v>
      </c>
      <c r="F394" s="76">
        <f ca="1">SUMIF('Production '!$C$4:$AI$4407,'Tracking Sheet'!B394,'Production '!$U$4:$U$4407)</f>
        <v>14</v>
      </c>
      <c r="G394" s="76">
        <f ca="1">SUMIF('Production '!$C$4:$AI$4407,'Tracking Sheet'!B394,'Production '!$W$4:$W$4407)</f>
        <v>5659</v>
      </c>
      <c r="H394" s="76">
        <f ca="1">SUMIF('Production '!$C$4:$AI$4407,'Tracking Sheet'!B394,'Production '!$F$4:$F$4407)</f>
        <v>5520</v>
      </c>
      <c r="I394" s="76">
        <f ca="1">SUMIF('Production '!$C$4:$AI$4407,'Tracking Sheet'!B394,'Production '!$V$4:$V$4407)</f>
        <v>0</v>
      </c>
      <c r="J394" s="76">
        <f ca="1">SUMIF('Production '!$C$4:$AI$4407,'Tracking Sheet'!B394,'Production '!$AG$4:$AG$4407)</f>
        <v>0</v>
      </c>
    </row>
    <row r="395" spans="2:10" x14ac:dyDescent="0.3">
      <c r="B395" s="277">
        <f>'Production '!C398</f>
        <v>0</v>
      </c>
      <c r="C395" s="76" t="e">
        <f ca="1">SUMIF('Production '!$C$4:$AI$4407,'Tracking Sheet'!B395,'Production '!$M$4:$M$4407)</f>
        <v>#DIV/0!</v>
      </c>
      <c r="D395" s="76" t="e">
        <f ca="1">SUMIF('Production '!$C$4:$AI$4407,'Tracking Sheet'!B395,'Production '!$Q$4:$Q$4407)</f>
        <v>#DIV/0!</v>
      </c>
      <c r="E395" s="76">
        <f ca="1">SUMIF('Production '!$C$4:$AI$4407,'Tracking Sheet'!B395,'Production '!$S$4:$S$4407)</f>
        <v>-1268218.9828305368</v>
      </c>
      <c r="F395" s="76">
        <f ca="1">SUMIF('Production '!$C$4:$AI$4407,'Tracking Sheet'!B395,'Production '!$U$4:$U$4407)</f>
        <v>-10620.435600016917</v>
      </c>
      <c r="G395" s="76" t="e">
        <f ca="1">SUMIF('Production '!$C$4:$AI$4407,'Tracking Sheet'!B395,'Production '!$W$4:$W$4407)</f>
        <v>#DIV/0!</v>
      </c>
      <c r="H395" s="76">
        <f ca="1">SUMIF('Production '!$C$4:$AI$4407,'Tracking Sheet'!B395,'Production '!$F$4:$F$4407)</f>
        <v>3230621.3283604058</v>
      </c>
      <c r="I395" s="76">
        <f ca="1">SUMIF('Production '!$C$4:$AI$4407,'Tracking Sheet'!B395,'Production '!$V$4:$V$4407)</f>
        <v>-489.86487791182844</v>
      </c>
      <c r="J395" s="76">
        <f ca="1">SUMIF('Production '!$C$4:$AI$4407,'Tracking Sheet'!B395,'Production '!$AG$4:$AG$4407)</f>
        <v>0</v>
      </c>
    </row>
    <row r="396" spans="2:10" x14ac:dyDescent="0.3">
      <c r="B396" s="277" t="str">
        <f>'Production '!C399</f>
        <v>43316 28th</v>
      </c>
      <c r="C396" s="76">
        <f ca="1">SUMIF('Production '!$C$4:$AI$4407,'Tracking Sheet'!B396,'Production '!$M$4:$M$4407)</f>
        <v>5141</v>
      </c>
      <c r="D396" s="76">
        <f ca="1">SUMIF('Production '!$C$4:$AI$4407,'Tracking Sheet'!B396,'Production '!$Q$4:$Q$4407)</f>
        <v>5141</v>
      </c>
      <c r="E396" s="76">
        <f ca="1">SUMIF('Production '!$C$4:$AI$4407,'Tracking Sheet'!B396,'Production '!$S$4:$S$4407)</f>
        <v>5133</v>
      </c>
      <c r="F396" s="76">
        <f ca="1">SUMIF('Production '!$C$4:$AI$4407,'Tracking Sheet'!B396,'Production '!$U$4:$U$4407)</f>
        <v>1527</v>
      </c>
      <c r="G396" s="76">
        <f ca="1">SUMIF('Production '!$C$4:$AI$4407,'Tracking Sheet'!B396,'Production '!$W$4:$W$4407)</f>
        <v>3606</v>
      </c>
      <c r="H396" s="76">
        <f ca="1">SUMIF('Production '!$C$4:$AI$4407,'Tracking Sheet'!B396,'Production '!$F$4:$F$4407)</f>
        <v>5040</v>
      </c>
      <c r="I396" s="76">
        <f ca="1">SUMIF('Production '!$C$4:$AI$4407,'Tracking Sheet'!B396,'Production '!$V$4:$V$4407)</f>
        <v>3606</v>
      </c>
      <c r="J396" s="76">
        <f ca="1">SUMIF('Production '!$C$4:$AI$4407,'Tracking Sheet'!B396,'Production '!$AG$4:$AG$4407)</f>
        <v>0</v>
      </c>
    </row>
    <row r="397" spans="2:10" x14ac:dyDescent="0.3">
      <c r="B397" s="277" t="str">
        <f>'Production '!C400</f>
        <v>43316 28th</v>
      </c>
      <c r="C397" s="76">
        <f ca="1">SUMIF('Production '!$C$4:$AI$4407,'Tracking Sheet'!B397,'Production '!$M$4:$M$4407)</f>
        <v>5141</v>
      </c>
      <c r="D397" s="76">
        <f ca="1">SUMIF('Production '!$C$4:$AI$4407,'Tracking Sheet'!B397,'Production '!$Q$4:$Q$4407)</f>
        <v>5141</v>
      </c>
      <c r="E397" s="76">
        <f ca="1">SUMIF('Production '!$C$4:$AI$4407,'Tracking Sheet'!B397,'Production '!$S$4:$S$4407)</f>
        <v>5133</v>
      </c>
      <c r="F397" s="76">
        <f ca="1">SUMIF('Production '!$C$4:$AI$4407,'Tracking Sheet'!B397,'Production '!$U$4:$U$4407)</f>
        <v>1527</v>
      </c>
      <c r="G397" s="76">
        <f ca="1">SUMIF('Production '!$C$4:$AI$4407,'Tracking Sheet'!B397,'Production '!$W$4:$W$4407)</f>
        <v>3606</v>
      </c>
      <c r="H397" s="76">
        <f ca="1">SUMIF('Production '!$C$4:$AI$4407,'Tracking Sheet'!B397,'Production '!$F$4:$F$4407)</f>
        <v>5040</v>
      </c>
      <c r="I397" s="76">
        <f ca="1">SUMIF('Production '!$C$4:$AI$4407,'Tracking Sheet'!B397,'Production '!$V$4:$V$4407)</f>
        <v>3606</v>
      </c>
      <c r="J397" s="76">
        <f ca="1">SUMIF('Production '!$C$4:$AI$4407,'Tracking Sheet'!B397,'Production '!$AG$4:$AG$4407)</f>
        <v>0</v>
      </c>
    </row>
    <row r="398" spans="2:10" x14ac:dyDescent="0.3">
      <c r="B398" s="277" t="str">
        <f>'Production '!C401</f>
        <v>43316 28th</v>
      </c>
      <c r="C398" s="76">
        <f ca="1">SUMIF('Production '!$C$4:$AI$4407,'Tracking Sheet'!B398,'Production '!$M$4:$M$4407)</f>
        <v>5141</v>
      </c>
      <c r="D398" s="76">
        <f ca="1">SUMIF('Production '!$C$4:$AI$4407,'Tracking Sheet'!B398,'Production '!$Q$4:$Q$4407)</f>
        <v>5141</v>
      </c>
      <c r="E398" s="76">
        <f ca="1">SUMIF('Production '!$C$4:$AI$4407,'Tracking Sheet'!B398,'Production '!$S$4:$S$4407)</f>
        <v>5133</v>
      </c>
      <c r="F398" s="76">
        <f ca="1">SUMIF('Production '!$C$4:$AI$4407,'Tracking Sheet'!B398,'Production '!$U$4:$U$4407)</f>
        <v>1527</v>
      </c>
      <c r="G398" s="76">
        <f ca="1">SUMIF('Production '!$C$4:$AI$4407,'Tracking Sheet'!B398,'Production '!$W$4:$W$4407)</f>
        <v>3606</v>
      </c>
      <c r="H398" s="76">
        <f ca="1">SUMIF('Production '!$C$4:$AI$4407,'Tracking Sheet'!B398,'Production '!$F$4:$F$4407)</f>
        <v>5040</v>
      </c>
      <c r="I398" s="76">
        <f ca="1">SUMIF('Production '!$C$4:$AI$4407,'Tracking Sheet'!B398,'Production '!$V$4:$V$4407)</f>
        <v>3606</v>
      </c>
      <c r="J398" s="76">
        <f ca="1">SUMIF('Production '!$C$4:$AI$4407,'Tracking Sheet'!B398,'Production '!$AG$4:$AG$4407)</f>
        <v>0</v>
      </c>
    </row>
    <row r="399" spans="2:10" x14ac:dyDescent="0.3">
      <c r="B399" s="277">
        <f>'Production '!C402</f>
        <v>0</v>
      </c>
      <c r="C399" s="76" t="e">
        <f ca="1">SUMIF('Production '!$C$4:$AI$4407,'Tracking Sheet'!B399,'Production '!$M$4:$M$4407)</f>
        <v>#DIV/0!</v>
      </c>
      <c r="D399" s="76" t="e">
        <f ca="1">SUMIF('Production '!$C$4:$AI$4407,'Tracking Sheet'!B399,'Production '!$Q$4:$Q$4407)</f>
        <v>#DIV/0!</v>
      </c>
      <c r="E399" s="76">
        <f ca="1">SUMIF('Production '!$C$4:$AI$4407,'Tracking Sheet'!B399,'Production '!$S$4:$S$4407)</f>
        <v>-1268218.9828305368</v>
      </c>
      <c r="F399" s="76">
        <f ca="1">SUMIF('Production '!$C$4:$AI$4407,'Tracking Sheet'!B399,'Production '!$U$4:$U$4407)</f>
        <v>-10620.435600016917</v>
      </c>
      <c r="G399" s="76" t="e">
        <f ca="1">SUMIF('Production '!$C$4:$AI$4407,'Tracking Sheet'!B399,'Production '!$W$4:$W$4407)</f>
        <v>#DIV/0!</v>
      </c>
      <c r="H399" s="76">
        <f ca="1">SUMIF('Production '!$C$4:$AI$4407,'Tracking Sheet'!B399,'Production '!$F$4:$F$4407)</f>
        <v>3230621.3283604058</v>
      </c>
      <c r="I399" s="76">
        <f ca="1">SUMIF('Production '!$C$4:$AI$4407,'Tracking Sheet'!B399,'Production '!$V$4:$V$4407)</f>
        <v>-489.86487791182844</v>
      </c>
      <c r="J399" s="76">
        <f ca="1">SUMIF('Production '!$C$4:$AI$4407,'Tracking Sheet'!B399,'Production '!$AG$4:$AG$4407)</f>
        <v>0</v>
      </c>
    </row>
    <row r="400" spans="2:10" x14ac:dyDescent="0.3">
      <c r="B400" s="277" t="str">
        <f>'Production '!C403</f>
        <v>43316 29th</v>
      </c>
      <c r="C400" s="76">
        <f ca="1">SUMIF('Production '!$C$4:$AI$4407,'Tracking Sheet'!B400,'Production '!$M$4:$M$4407)</f>
        <v>2091</v>
      </c>
      <c r="D400" s="76">
        <f ca="1">SUMIF('Production '!$C$4:$AI$4407,'Tracking Sheet'!B400,'Production '!$Q$4:$Q$4407)</f>
        <v>2091</v>
      </c>
      <c r="E400" s="76">
        <f ca="1">SUMIF('Production '!$C$4:$AI$4407,'Tracking Sheet'!B400,'Production '!$S$4:$S$4407)</f>
        <v>2091</v>
      </c>
      <c r="F400" s="76">
        <f ca="1">SUMIF('Production '!$C$4:$AI$4407,'Tracking Sheet'!B400,'Production '!$U$4:$U$4407)</f>
        <v>2091</v>
      </c>
      <c r="G400" s="76">
        <f ca="1">SUMIF('Production '!$C$4:$AI$4407,'Tracking Sheet'!B400,'Production '!$W$4:$W$4407)</f>
        <v>0</v>
      </c>
      <c r="H400" s="76">
        <f ca="1">SUMIF('Production '!$C$4:$AI$4407,'Tracking Sheet'!B400,'Production '!$F$4:$F$4407)</f>
        <v>2040</v>
      </c>
      <c r="I400" s="76">
        <f ca="1">SUMIF('Production '!$C$4:$AI$4407,'Tracking Sheet'!B400,'Production '!$V$4:$V$4407)</f>
        <v>0</v>
      </c>
      <c r="J400" s="76">
        <f ca="1">SUMIF('Production '!$C$4:$AI$4407,'Tracking Sheet'!B400,'Production '!$AG$4:$AG$4407)</f>
        <v>0</v>
      </c>
    </row>
    <row r="401" spans="2:10" x14ac:dyDescent="0.3">
      <c r="B401" s="277">
        <f>'Production '!C404</f>
        <v>0</v>
      </c>
      <c r="C401" s="76" t="e">
        <f ca="1">SUMIF('Production '!$C$4:$AI$4407,'Tracking Sheet'!B401,'Production '!$M$4:$M$4407)</f>
        <v>#DIV/0!</v>
      </c>
      <c r="D401" s="76" t="e">
        <f ca="1">SUMIF('Production '!$C$4:$AI$4407,'Tracking Sheet'!B401,'Production '!$Q$4:$Q$4407)</f>
        <v>#DIV/0!</v>
      </c>
      <c r="E401" s="76">
        <f ca="1">SUMIF('Production '!$C$4:$AI$4407,'Tracking Sheet'!B401,'Production '!$S$4:$S$4407)</f>
        <v>-1268218.9828305368</v>
      </c>
      <c r="F401" s="76">
        <f ca="1">SUMIF('Production '!$C$4:$AI$4407,'Tracking Sheet'!B401,'Production '!$U$4:$U$4407)</f>
        <v>-10620.435600016917</v>
      </c>
      <c r="G401" s="76" t="e">
        <f ca="1">SUMIF('Production '!$C$4:$AI$4407,'Tracking Sheet'!B401,'Production '!$W$4:$W$4407)</f>
        <v>#DIV/0!</v>
      </c>
      <c r="H401" s="76">
        <f ca="1">SUMIF('Production '!$C$4:$AI$4407,'Tracking Sheet'!B401,'Production '!$F$4:$F$4407)</f>
        <v>3230621.3283604058</v>
      </c>
      <c r="I401" s="76">
        <f ca="1">SUMIF('Production '!$C$4:$AI$4407,'Tracking Sheet'!B401,'Production '!$V$4:$V$4407)</f>
        <v>-489.86487791182844</v>
      </c>
      <c r="J401" s="76">
        <f ca="1">SUMIF('Production '!$C$4:$AI$4407,'Tracking Sheet'!B401,'Production '!$AG$4:$AG$4407)</f>
        <v>0</v>
      </c>
    </row>
    <row r="402" spans="2:10" x14ac:dyDescent="0.3">
      <c r="B402" s="277">
        <f>'Production '!C405</f>
        <v>48097</v>
      </c>
      <c r="C402" s="76">
        <f ca="1">SUMIF('Production '!$C$4:$AI$4407,'Tracking Sheet'!B402,'Production '!$M$4:$M$4407)</f>
        <v>0</v>
      </c>
      <c r="D402" s="76">
        <f ca="1">SUMIF('Production '!$C$4:$AI$4407,'Tracking Sheet'!B402,'Production '!$Q$4:$Q$4407)</f>
        <v>0</v>
      </c>
      <c r="E402" s="76">
        <f ca="1">SUMIF('Production '!$C$4:$AI$4407,'Tracking Sheet'!B402,'Production '!$S$4:$S$4407)</f>
        <v>0</v>
      </c>
      <c r="F402" s="76">
        <f ca="1">SUMIF('Production '!$C$4:$AI$4407,'Tracking Sheet'!B402,'Production '!$U$4:$U$4407)</f>
        <v>0</v>
      </c>
      <c r="G402" s="76">
        <f ca="1">SUMIF('Production '!$C$4:$AI$4407,'Tracking Sheet'!B402,'Production '!$W$4:$W$4407)</f>
        <v>0</v>
      </c>
      <c r="H402" s="76">
        <f ca="1">SUMIF('Production '!$C$4:$AI$4407,'Tracking Sheet'!B402,'Production '!$F$4:$F$4407)</f>
        <v>6413</v>
      </c>
      <c r="I402" s="76">
        <f ca="1">SUMIF('Production '!$C$4:$AI$4407,'Tracking Sheet'!B402,'Production '!$V$4:$V$4407)</f>
        <v>0</v>
      </c>
      <c r="J402" s="76">
        <f ca="1">SUMIF('Production '!$C$4:$AI$4407,'Tracking Sheet'!B402,'Production '!$AG$4:$AG$4407)</f>
        <v>-6413</v>
      </c>
    </row>
    <row r="403" spans="2:10" x14ac:dyDescent="0.3">
      <c r="B403" s="277">
        <f>'Production '!C406</f>
        <v>48097</v>
      </c>
      <c r="C403" s="76">
        <f ca="1">SUMIF('Production '!$C$4:$AI$4407,'Tracking Sheet'!B403,'Production '!$M$4:$M$4407)</f>
        <v>0</v>
      </c>
      <c r="D403" s="76">
        <f ca="1">SUMIF('Production '!$C$4:$AI$4407,'Tracking Sheet'!B403,'Production '!$Q$4:$Q$4407)</f>
        <v>0</v>
      </c>
      <c r="E403" s="76">
        <f ca="1">SUMIF('Production '!$C$4:$AI$4407,'Tracking Sheet'!B403,'Production '!$S$4:$S$4407)</f>
        <v>0</v>
      </c>
      <c r="F403" s="76">
        <f ca="1">SUMIF('Production '!$C$4:$AI$4407,'Tracking Sheet'!B403,'Production '!$U$4:$U$4407)</f>
        <v>0</v>
      </c>
      <c r="G403" s="76">
        <f ca="1">SUMIF('Production '!$C$4:$AI$4407,'Tracking Sheet'!B403,'Production '!$W$4:$W$4407)</f>
        <v>0</v>
      </c>
      <c r="H403" s="76">
        <f ca="1">SUMIF('Production '!$C$4:$AI$4407,'Tracking Sheet'!B403,'Production '!$F$4:$F$4407)</f>
        <v>6413</v>
      </c>
      <c r="I403" s="76">
        <f ca="1">SUMIF('Production '!$C$4:$AI$4407,'Tracking Sheet'!B403,'Production '!$V$4:$V$4407)</f>
        <v>0</v>
      </c>
      <c r="J403" s="76">
        <f ca="1">SUMIF('Production '!$C$4:$AI$4407,'Tracking Sheet'!B403,'Production '!$AG$4:$AG$4407)</f>
        <v>-6413</v>
      </c>
    </row>
    <row r="404" spans="2:10" x14ac:dyDescent="0.3">
      <c r="B404" s="277">
        <f>'Production '!C407</f>
        <v>48097</v>
      </c>
      <c r="C404" s="76">
        <f ca="1">SUMIF('Production '!$C$4:$AI$4407,'Tracking Sheet'!B404,'Production '!$M$4:$M$4407)</f>
        <v>0</v>
      </c>
      <c r="D404" s="76">
        <f ca="1">SUMIF('Production '!$C$4:$AI$4407,'Tracking Sheet'!B404,'Production '!$Q$4:$Q$4407)</f>
        <v>0</v>
      </c>
      <c r="E404" s="76">
        <f ca="1">SUMIF('Production '!$C$4:$AI$4407,'Tracking Sheet'!B404,'Production '!$S$4:$S$4407)</f>
        <v>0</v>
      </c>
      <c r="F404" s="76">
        <f ca="1">SUMIF('Production '!$C$4:$AI$4407,'Tracking Sheet'!B404,'Production '!$U$4:$U$4407)</f>
        <v>0</v>
      </c>
      <c r="G404" s="76">
        <f ca="1">SUMIF('Production '!$C$4:$AI$4407,'Tracking Sheet'!B404,'Production '!$W$4:$W$4407)</f>
        <v>0</v>
      </c>
      <c r="H404" s="76">
        <f ca="1">SUMIF('Production '!$C$4:$AI$4407,'Tracking Sheet'!B404,'Production '!$F$4:$F$4407)</f>
        <v>6413</v>
      </c>
      <c r="I404" s="76">
        <f ca="1">SUMIF('Production '!$C$4:$AI$4407,'Tracking Sheet'!B404,'Production '!$V$4:$V$4407)</f>
        <v>0</v>
      </c>
      <c r="J404" s="76">
        <f ca="1">SUMIF('Production '!$C$4:$AI$4407,'Tracking Sheet'!B404,'Production '!$AG$4:$AG$4407)</f>
        <v>-6413</v>
      </c>
    </row>
    <row r="405" spans="2:10" x14ac:dyDescent="0.3">
      <c r="B405" s="277">
        <f>'Production '!C408</f>
        <v>0</v>
      </c>
      <c r="C405" s="76" t="e">
        <f ca="1">SUMIF('Production '!$C$4:$AI$4407,'Tracking Sheet'!B405,'Production '!$M$4:$M$4407)</f>
        <v>#DIV/0!</v>
      </c>
      <c r="D405" s="76" t="e">
        <f ca="1">SUMIF('Production '!$C$4:$AI$4407,'Tracking Sheet'!B405,'Production '!$Q$4:$Q$4407)</f>
        <v>#DIV/0!</v>
      </c>
      <c r="E405" s="76">
        <f ca="1">SUMIF('Production '!$C$4:$AI$4407,'Tracking Sheet'!B405,'Production '!$S$4:$S$4407)</f>
        <v>-1268218.9828305368</v>
      </c>
      <c r="F405" s="76">
        <f ca="1">SUMIF('Production '!$C$4:$AI$4407,'Tracking Sheet'!B405,'Production '!$U$4:$U$4407)</f>
        <v>-10620.435600016917</v>
      </c>
      <c r="G405" s="76" t="e">
        <f ca="1">SUMIF('Production '!$C$4:$AI$4407,'Tracking Sheet'!B405,'Production '!$W$4:$W$4407)</f>
        <v>#DIV/0!</v>
      </c>
      <c r="H405" s="76">
        <f ca="1">SUMIF('Production '!$C$4:$AI$4407,'Tracking Sheet'!B405,'Production '!$F$4:$F$4407)</f>
        <v>3230621.3283604058</v>
      </c>
      <c r="I405" s="76">
        <f ca="1">SUMIF('Production '!$C$4:$AI$4407,'Tracking Sheet'!B405,'Production '!$V$4:$V$4407)</f>
        <v>-489.86487791182844</v>
      </c>
      <c r="J405" s="76">
        <f ca="1">SUMIF('Production '!$C$4:$AI$4407,'Tracking Sheet'!B405,'Production '!$AG$4:$AG$4407)</f>
        <v>0</v>
      </c>
    </row>
    <row r="406" spans="2:10" x14ac:dyDescent="0.3">
      <c r="B406" s="277" t="str">
        <f>'Production '!C409</f>
        <v>43316 26th</v>
      </c>
      <c r="C406" s="76">
        <f ca="1">SUMIF('Production '!$C$4:$AI$4407,'Tracking Sheet'!B406,'Production '!$M$4:$M$4407)</f>
        <v>14288</v>
      </c>
      <c r="D406" s="76">
        <f ca="1">SUMIF('Production '!$C$4:$AI$4407,'Tracking Sheet'!B406,'Production '!$Q$4:$Q$4407)</f>
        <v>14288</v>
      </c>
      <c r="E406" s="76">
        <f ca="1">SUMIF('Production '!$C$4:$AI$4407,'Tracking Sheet'!B406,'Production '!$S$4:$S$4407)</f>
        <v>14286</v>
      </c>
      <c r="F406" s="76">
        <f ca="1">SUMIF('Production '!$C$4:$AI$4407,'Tracking Sheet'!B406,'Production '!$U$4:$U$4407)</f>
        <v>25</v>
      </c>
      <c r="G406" s="76">
        <f ca="1">SUMIF('Production '!$C$4:$AI$4407,'Tracking Sheet'!B406,'Production '!$W$4:$W$4407)</f>
        <v>14261</v>
      </c>
      <c r="H406" s="76">
        <f ca="1">SUMIF('Production '!$C$4:$AI$4407,'Tracking Sheet'!B406,'Production '!$F$4:$F$4407)</f>
        <v>14012</v>
      </c>
      <c r="I406" s="76">
        <f ca="1">SUMIF('Production '!$C$4:$AI$4407,'Tracking Sheet'!B406,'Production '!$V$4:$V$4407)</f>
        <v>0</v>
      </c>
      <c r="J406" s="76">
        <f ca="1">SUMIF('Production '!$C$4:$AI$4407,'Tracking Sheet'!B406,'Production '!$AG$4:$AG$4407)</f>
        <v>0</v>
      </c>
    </row>
    <row r="407" spans="2:10" x14ac:dyDescent="0.3">
      <c r="B407" s="277" t="str">
        <f>'Production '!C410</f>
        <v>43316 26th</v>
      </c>
      <c r="C407" s="76">
        <f ca="1">SUMIF('Production '!$C$4:$AI$4407,'Tracking Sheet'!B407,'Production '!$M$4:$M$4407)</f>
        <v>14288</v>
      </c>
      <c r="D407" s="76">
        <f ca="1">SUMIF('Production '!$C$4:$AI$4407,'Tracking Sheet'!B407,'Production '!$Q$4:$Q$4407)</f>
        <v>14288</v>
      </c>
      <c r="E407" s="76">
        <f ca="1">SUMIF('Production '!$C$4:$AI$4407,'Tracking Sheet'!B407,'Production '!$S$4:$S$4407)</f>
        <v>14286</v>
      </c>
      <c r="F407" s="76">
        <f ca="1">SUMIF('Production '!$C$4:$AI$4407,'Tracking Sheet'!B407,'Production '!$U$4:$U$4407)</f>
        <v>25</v>
      </c>
      <c r="G407" s="76">
        <f ca="1">SUMIF('Production '!$C$4:$AI$4407,'Tracking Sheet'!B407,'Production '!$W$4:$W$4407)</f>
        <v>14261</v>
      </c>
      <c r="H407" s="76">
        <f ca="1">SUMIF('Production '!$C$4:$AI$4407,'Tracking Sheet'!B407,'Production '!$F$4:$F$4407)</f>
        <v>14012</v>
      </c>
      <c r="I407" s="76">
        <f ca="1">SUMIF('Production '!$C$4:$AI$4407,'Tracking Sheet'!B407,'Production '!$V$4:$V$4407)</f>
        <v>0</v>
      </c>
      <c r="J407" s="76">
        <f ca="1">SUMIF('Production '!$C$4:$AI$4407,'Tracking Sheet'!B407,'Production '!$AG$4:$AG$4407)</f>
        <v>0</v>
      </c>
    </row>
    <row r="408" spans="2:10" x14ac:dyDescent="0.3">
      <c r="B408" s="277" t="str">
        <f>'Production '!C411</f>
        <v>43316 26th</v>
      </c>
      <c r="C408" s="76">
        <f ca="1">SUMIF('Production '!$C$4:$AI$4407,'Tracking Sheet'!B408,'Production '!$M$4:$M$4407)</f>
        <v>14288</v>
      </c>
      <c r="D408" s="76">
        <f ca="1">SUMIF('Production '!$C$4:$AI$4407,'Tracking Sheet'!B408,'Production '!$Q$4:$Q$4407)</f>
        <v>14288</v>
      </c>
      <c r="E408" s="76">
        <f ca="1">SUMIF('Production '!$C$4:$AI$4407,'Tracking Sheet'!B408,'Production '!$S$4:$S$4407)</f>
        <v>14286</v>
      </c>
      <c r="F408" s="76">
        <f ca="1">SUMIF('Production '!$C$4:$AI$4407,'Tracking Sheet'!B408,'Production '!$U$4:$U$4407)</f>
        <v>25</v>
      </c>
      <c r="G408" s="76">
        <f ca="1">SUMIF('Production '!$C$4:$AI$4407,'Tracking Sheet'!B408,'Production '!$W$4:$W$4407)</f>
        <v>14261</v>
      </c>
      <c r="H408" s="76">
        <f ca="1">SUMIF('Production '!$C$4:$AI$4407,'Tracking Sheet'!B408,'Production '!$F$4:$F$4407)</f>
        <v>14012</v>
      </c>
      <c r="I408" s="76">
        <f ca="1">SUMIF('Production '!$C$4:$AI$4407,'Tracking Sheet'!B408,'Production '!$V$4:$V$4407)</f>
        <v>0</v>
      </c>
      <c r="J408" s="76">
        <f ca="1">SUMIF('Production '!$C$4:$AI$4407,'Tracking Sheet'!B408,'Production '!$AG$4:$AG$4407)</f>
        <v>0</v>
      </c>
    </row>
    <row r="409" spans="2:10" x14ac:dyDescent="0.3">
      <c r="B409" s="277" t="str">
        <f>'Production '!C412</f>
        <v>43316 26th</v>
      </c>
      <c r="C409" s="76">
        <f ca="1">SUMIF('Production '!$C$4:$AI$4407,'Tracking Sheet'!B409,'Production '!$M$4:$M$4407)</f>
        <v>14288</v>
      </c>
      <c r="D409" s="76">
        <f ca="1">SUMIF('Production '!$C$4:$AI$4407,'Tracking Sheet'!B409,'Production '!$Q$4:$Q$4407)</f>
        <v>14288</v>
      </c>
      <c r="E409" s="76">
        <f ca="1">SUMIF('Production '!$C$4:$AI$4407,'Tracking Sheet'!B409,'Production '!$S$4:$S$4407)</f>
        <v>14286</v>
      </c>
      <c r="F409" s="76">
        <f ca="1">SUMIF('Production '!$C$4:$AI$4407,'Tracking Sheet'!B409,'Production '!$U$4:$U$4407)</f>
        <v>25</v>
      </c>
      <c r="G409" s="76">
        <f ca="1">SUMIF('Production '!$C$4:$AI$4407,'Tracking Sheet'!B409,'Production '!$W$4:$W$4407)</f>
        <v>14261</v>
      </c>
      <c r="H409" s="76">
        <f ca="1">SUMIF('Production '!$C$4:$AI$4407,'Tracking Sheet'!B409,'Production '!$F$4:$F$4407)</f>
        <v>14012</v>
      </c>
      <c r="I409" s="76">
        <f ca="1">SUMIF('Production '!$C$4:$AI$4407,'Tracking Sheet'!B409,'Production '!$V$4:$V$4407)</f>
        <v>0</v>
      </c>
      <c r="J409" s="76">
        <f ca="1">SUMIF('Production '!$C$4:$AI$4407,'Tracking Sheet'!B409,'Production '!$AG$4:$AG$4407)</f>
        <v>0</v>
      </c>
    </row>
    <row r="410" spans="2:10" x14ac:dyDescent="0.3">
      <c r="B410" s="277">
        <f>'Production '!C413</f>
        <v>0</v>
      </c>
      <c r="C410" s="76" t="e">
        <f ca="1">SUMIF('Production '!$C$4:$AI$4407,'Tracking Sheet'!B410,'Production '!$M$4:$M$4407)</f>
        <v>#DIV/0!</v>
      </c>
      <c r="D410" s="76" t="e">
        <f ca="1">SUMIF('Production '!$C$4:$AI$4407,'Tracking Sheet'!B410,'Production '!$Q$4:$Q$4407)</f>
        <v>#DIV/0!</v>
      </c>
      <c r="E410" s="76">
        <f ca="1">SUMIF('Production '!$C$4:$AI$4407,'Tracking Sheet'!B410,'Production '!$S$4:$S$4407)</f>
        <v>-1268218.9828305368</v>
      </c>
      <c r="F410" s="76">
        <f ca="1">SUMIF('Production '!$C$4:$AI$4407,'Tracking Sheet'!B410,'Production '!$U$4:$U$4407)</f>
        <v>-10620.435600016917</v>
      </c>
      <c r="G410" s="76" t="e">
        <f ca="1">SUMIF('Production '!$C$4:$AI$4407,'Tracking Sheet'!B410,'Production '!$W$4:$W$4407)</f>
        <v>#DIV/0!</v>
      </c>
      <c r="H410" s="76">
        <f ca="1">SUMIF('Production '!$C$4:$AI$4407,'Tracking Sheet'!B410,'Production '!$F$4:$F$4407)</f>
        <v>3230621.3283604058</v>
      </c>
      <c r="I410" s="76">
        <f ca="1">SUMIF('Production '!$C$4:$AI$4407,'Tracking Sheet'!B410,'Production '!$V$4:$V$4407)</f>
        <v>-489.86487791182844</v>
      </c>
      <c r="J410" s="76">
        <f ca="1">SUMIF('Production '!$C$4:$AI$4407,'Tracking Sheet'!B410,'Production '!$AG$4:$AG$4407)</f>
        <v>0</v>
      </c>
    </row>
    <row r="411" spans="2:10" x14ac:dyDescent="0.3">
      <c r="B411" s="277">
        <f>'Production '!C414</f>
        <v>48008</v>
      </c>
      <c r="C411" s="76">
        <f ca="1">SUMIF('Production '!$C$4:$AI$4407,'Tracking Sheet'!B411,'Production '!$M$4:$M$4407)</f>
        <v>6102</v>
      </c>
      <c r="D411" s="76">
        <f ca="1">SUMIF('Production '!$C$4:$AI$4407,'Tracking Sheet'!B411,'Production '!$Q$4:$Q$4407)</f>
        <v>0</v>
      </c>
      <c r="E411" s="76">
        <f ca="1">SUMIF('Production '!$C$4:$AI$4407,'Tracking Sheet'!B411,'Production '!$S$4:$S$4407)</f>
        <v>0</v>
      </c>
      <c r="F411" s="76">
        <f ca="1">SUMIF('Production '!$C$4:$AI$4407,'Tracking Sheet'!B411,'Production '!$U$4:$U$4407)</f>
        <v>6102</v>
      </c>
      <c r="G411" s="76">
        <f ca="1">SUMIF('Production '!$C$4:$AI$4407,'Tracking Sheet'!B411,'Production '!$W$4:$W$4407)</f>
        <v>0</v>
      </c>
      <c r="H411" s="76">
        <f ca="1">SUMIF('Production '!$C$4:$AI$4407,'Tracking Sheet'!B411,'Production '!$F$4:$F$4407)</f>
        <v>5961</v>
      </c>
      <c r="I411" s="76">
        <f ca="1">SUMIF('Production '!$C$4:$AI$4407,'Tracking Sheet'!B411,'Production '!$V$4:$V$4407)</f>
        <v>0</v>
      </c>
      <c r="J411" s="76">
        <f ca="1">SUMIF('Production '!$C$4:$AI$4407,'Tracking Sheet'!B411,'Production '!$AG$4:$AG$4407)</f>
        <v>0</v>
      </c>
    </row>
    <row r="412" spans="2:10" x14ac:dyDescent="0.3">
      <c r="B412" s="277">
        <f>'Production '!C415</f>
        <v>48008</v>
      </c>
      <c r="C412" s="76">
        <f ca="1">SUMIF('Production '!$C$4:$AI$4407,'Tracking Sheet'!B412,'Production '!$M$4:$M$4407)</f>
        <v>6102</v>
      </c>
      <c r="D412" s="76">
        <f ca="1">SUMIF('Production '!$C$4:$AI$4407,'Tracking Sheet'!B412,'Production '!$Q$4:$Q$4407)</f>
        <v>0</v>
      </c>
      <c r="E412" s="76">
        <f ca="1">SUMIF('Production '!$C$4:$AI$4407,'Tracking Sheet'!B412,'Production '!$S$4:$S$4407)</f>
        <v>0</v>
      </c>
      <c r="F412" s="76">
        <f ca="1">SUMIF('Production '!$C$4:$AI$4407,'Tracking Sheet'!B412,'Production '!$U$4:$U$4407)</f>
        <v>6102</v>
      </c>
      <c r="G412" s="76">
        <f ca="1">SUMIF('Production '!$C$4:$AI$4407,'Tracking Sheet'!B412,'Production '!$W$4:$W$4407)</f>
        <v>0</v>
      </c>
      <c r="H412" s="76">
        <f ca="1">SUMIF('Production '!$C$4:$AI$4407,'Tracking Sheet'!B412,'Production '!$F$4:$F$4407)</f>
        <v>5961</v>
      </c>
      <c r="I412" s="76">
        <f ca="1">SUMIF('Production '!$C$4:$AI$4407,'Tracking Sheet'!B412,'Production '!$V$4:$V$4407)</f>
        <v>0</v>
      </c>
      <c r="J412" s="76">
        <f ca="1">SUMIF('Production '!$C$4:$AI$4407,'Tracking Sheet'!B412,'Production '!$AG$4:$AG$4407)</f>
        <v>0</v>
      </c>
    </row>
    <row r="413" spans="2:10" x14ac:dyDescent="0.3">
      <c r="B413" s="277">
        <f>'Production '!C416</f>
        <v>0</v>
      </c>
      <c r="C413" s="76" t="e">
        <f ca="1">SUMIF('Production '!$C$4:$AI$4407,'Tracking Sheet'!B413,'Production '!$M$4:$M$4407)</f>
        <v>#DIV/0!</v>
      </c>
      <c r="D413" s="76" t="e">
        <f ca="1">SUMIF('Production '!$C$4:$AI$4407,'Tracking Sheet'!B413,'Production '!$Q$4:$Q$4407)</f>
        <v>#DIV/0!</v>
      </c>
      <c r="E413" s="76">
        <f ca="1">SUMIF('Production '!$C$4:$AI$4407,'Tracking Sheet'!B413,'Production '!$S$4:$S$4407)</f>
        <v>-1268218.9828305368</v>
      </c>
      <c r="F413" s="76">
        <f ca="1">SUMIF('Production '!$C$4:$AI$4407,'Tracking Sheet'!B413,'Production '!$U$4:$U$4407)</f>
        <v>-10620.435600016917</v>
      </c>
      <c r="G413" s="76" t="e">
        <f ca="1">SUMIF('Production '!$C$4:$AI$4407,'Tracking Sheet'!B413,'Production '!$W$4:$W$4407)</f>
        <v>#DIV/0!</v>
      </c>
      <c r="H413" s="76">
        <f ca="1">SUMIF('Production '!$C$4:$AI$4407,'Tracking Sheet'!B413,'Production '!$F$4:$F$4407)</f>
        <v>3230621.3283604058</v>
      </c>
      <c r="I413" s="76">
        <f ca="1">SUMIF('Production '!$C$4:$AI$4407,'Tracking Sheet'!B413,'Production '!$V$4:$V$4407)</f>
        <v>-489.86487791182844</v>
      </c>
      <c r="J413" s="76">
        <f ca="1">SUMIF('Production '!$C$4:$AI$4407,'Tracking Sheet'!B413,'Production '!$AG$4:$AG$4407)</f>
        <v>0</v>
      </c>
    </row>
    <row r="414" spans="2:10" x14ac:dyDescent="0.3">
      <c r="B414" s="277">
        <f>'Production '!C417</f>
        <v>48044</v>
      </c>
      <c r="C414" s="76">
        <f ca="1">SUMIF('Production '!$C$4:$AI$4407,'Tracking Sheet'!B414,'Production '!$M$4:$M$4407)</f>
        <v>5288</v>
      </c>
      <c r="D414" s="76">
        <f ca="1">SUMIF('Production '!$C$4:$AI$4407,'Tracking Sheet'!B414,'Production '!$Q$4:$Q$4407)</f>
        <v>5206</v>
      </c>
      <c r="E414" s="76">
        <f ca="1">SUMIF('Production '!$C$4:$AI$4407,'Tracking Sheet'!B414,'Production '!$S$4:$S$4407)</f>
        <v>5190</v>
      </c>
      <c r="F414" s="76">
        <f ca="1">SUMIF('Production '!$C$4:$AI$4407,'Tracking Sheet'!B414,'Production '!$U$4:$U$4407)</f>
        <v>5</v>
      </c>
      <c r="G414" s="76">
        <f ca="1">SUMIF('Production '!$C$4:$AI$4407,'Tracking Sheet'!B414,'Production '!$W$4:$W$4407)</f>
        <v>5185</v>
      </c>
      <c r="H414" s="76">
        <f ca="1">SUMIF('Production '!$C$4:$AI$4407,'Tracking Sheet'!B414,'Production '!$F$4:$F$4407)</f>
        <v>5080</v>
      </c>
      <c r="I414" s="76">
        <f ca="1">SUMIF('Production '!$C$4:$AI$4407,'Tracking Sheet'!B414,'Production '!$V$4:$V$4407)</f>
        <v>2009</v>
      </c>
      <c r="J414" s="76">
        <f ca="1">SUMIF('Production '!$C$4:$AI$4407,'Tracking Sheet'!B414,'Production '!$AG$4:$AG$4407)</f>
        <v>0</v>
      </c>
    </row>
    <row r="415" spans="2:10" x14ac:dyDescent="0.3">
      <c r="B415" s="277">
        <f>'Production '!C418</f>
        <v>48044</v>
      </c>
      <c r="C415" s="76">
        <f ca="1">SUMIF('Production '!$C$4:$AI$4407,'Tracking Sheet'!B415,'Production '!$M$4:$M$4407)</f>
        <v>5288</v>
      </c>
      <c r="D415" s="76">
        <f ca="1">SUMIF('Production '!$C$4:$AI$4407,'Tracking Sheet'!B415,'Production '!$Q$4:$Q$4407)</f>
        <v>5206</v>
      </c>
      <c r="E415" s="76">
        <f ca="1">SUMIF('Production '!$C$4:$AI$4407,'Tracking Sheet'!B415,'Production '!$S$4:$S$4407)</f>
        <v>5190</v>
      </c>
      <c r="F415" s="76">
        <f ca="1">SUMIF('Production '!$C$4:$AI$4407,'Tracking Sheet'!B415,'Production '!$U$4:$U$4407)</f>
        <v>5</v>
      </c>
      <c r="G415" s="76">
        <f ca="1">SUMIF('Production '!$C$4:$AI$4407,'Tracking Sheet'!B415,'Production '!$W$4:$W$4407)</f>
        <v>5185</v>
      </c>
      <c r="H415" s="76">
        <f ca="1">SUMIF('Production '!$C$4:$AI$4407,'Tracking Sheet'!B415,'Production '!$F$4:$F$4407)</f>
        <v>5080</v>
      </c>
      <c r="I415" s="76">
        <f ca="1">SUMIF('Production '!$C$4:$AI$4407,'Tracking Sheet'!B415,'Production '!$V$4:$V$4407)</f>
        <v>2009</v>
      </c>
      <c r="J415" s="76">
        <f ca="1">SUMIF('Production '!$C$4:$AI$4407,'Tracking Sheet'!B415,'Production '!$AG$4:$AG$4407)</f>
        <v>0</v>
      </c>
    </row>
    <row r="416" spans="2:10" x14ac:dyDescent="0.3">
      <c r="B416" s="277">
        <f>'Production '!C419</f>
        <v>48044</v>
      </c>
      <c r="C416" s="76">
        <f ca="1">SUMIF('Production '!$C$4:$AI$4407,'Tracking Sheet'!B416,'Production '!$M$4:$M$4407)</f>
        <v>5288</v>
      </c>
      <c r="D416" s="76">
        <f ca="1">SUMIF('Production '!$C$4:$AI$4407,'Tracking Sheet'!B416,'Production '!$Q$4:$Q$4407)</f>
        <v>5206</v>
      </c>
      <c r="E416" s="76">
        <f ca="1">SUMIF('Production '!$C$4:$AI$4407,'Tracking Sheet'!B416,'Production '!$S$4:$S$4407)</f>
        <v>5190</v>
      </c>
      <c r="F416" s="76">
        <f ca="1">SUMIF('Production '!$C$4:$AI$4407,'Tracking Sheet'!B416,'Production '!$U$4:$U$4407)</f>
        <v>5</v>
      </c>
      <c r="G416" s="76">
        <f ca="1">SUMIF('Production '!$C$4:$AI$4407,'Tracking Sheet'!B416,'Production '!$W$4:$W$4407)</f>
        <v>5185</v>
      </c>
      <c r="H416" s="76">
        <f ca="1">SUMIF('Production '!$C$4:$AI$4407,'Tracking Sheet'!B416,'Production '!$F$4:$F$4407)</f>
        <v>5080</v>
      </c>
      <c r="I416" s="76">
        <f ca="1">SUMIF('Production '!$C$4:$AI$4407,'Tracking Sheet'!B416,'Production '!$V$4:$V$4407)</f>
        <v>2009</v>
      </c>
      <c r="J416" s="76">
        <f ca="1">SUMIF('Production '!$C$4:$AI$4407,'Tracking Sheet'!B416,'Production '!$AG$4:$AG$4407)</f>
        <v>0</v>
      </c>
    </row>
    <row r="417" spans="2:10" x14ac:dyDescent="0.3">
      <c r="B417" s="277">
        <f>'Production '!C420</f>
        <v>0</v>
      </c>
      <c r="C417" s="76" t="e">
        <f ca="1">SUMIF('Production '!$C$4:$AI$4407,'Tracking Sheet'!B417,'Production '!$M$4:$M$4407)</f>
        <v>#DIV/0!</v>
      </c>
      <c r="D417" s="76" t="e">
        <f ca="1">SUMIF('Production '!$C$4:$AI$4407,'Tracking Sheet'!B417,'Production '!$Q$4:$Q$4407)</f>
        <v>#DIV/0!</v>
      </c>
      <c r="E417" s="76">
        <f ca="1">SUMIF('Production '!$C$4:$AI$4407,'Tracking Sheet'!B417,'Production '!$S$4:$S$4407)</f>
        <v>-1268218.9828305368</v>
      </c>
      <c r="F417" s="76">
        <f ca="1">SUMIF('Production '!$C$4:$AI$4407,'Tracking Sheet'!B417,'Production '!$U$4:$U$4407)</f>
        <v>-10620.435600016917</v>
      </c>
      <c r="G417" s="76" t="e">
        <f ca="1">SUMIF('Production '!$C$4:$AI$4407,'Tracking Sheet'!B417,'Production '!$W$4:$W$4407)</f>
        <v>#DIV/0!</v>
      </c>
      <c r="H417" s="76">
        <f ca="1">SUMIF('Production '!$C$4:$AI$4407,'Tracking Sheet'!B417,'Production '!$F$4:$F$4407)</f>
        <v>3230621.3283604058</v>
      </c>
      <c r="I417" s="76">
        <f ca="1">SUMIF('Production '!$C$4:$AI$4407,'Tracking Sheet'!B417,'Production '!$V$4:$V$4407)</f>
        <v>-489.86487791182844</v>
      </c>
      <c r="J417" s="76">
        <f ca="1">SUMIF('Production '!$C$4:$AI$4407,'Tracking Sheet'!B417,'Production '!$AG$4:$AG$4407)</f>
        <v>0</v>
      </c>
    </row>
    <row r="418" spans="2:10" x14ac:dyDescent="0.3">
      <c r="B418" s="277">
        <f>'Production '!C421</f>
        <v>48040</v>
      </c>
      <c r="C418" s="76">
        <f ca="1">SUMIF('Production '!$C$4:$AI$4407,'Tracking Sheet'!B418,'Production '!$M$4:$M$4407)</f>
        <v>2730</v>
      </c>
      <c r="D418" s="76">
        <f ca="1">SUMIF('Production '!$C$4:$AI$4407,'Tracking Sheet'!B418,'Production '!$Q$4:$Q$4407)</f>
        <v>2730</v>
      </c>
      <c r="E418" s="76">
        <f ca="1">SUMIF('Production '!$C$4:$AI$4407,'Tracking Sheet'!B418,'Production '!$S$4:$S$4407)</f>
        <v>2721</v>
      </c>
      <c r="F418" s="76">
        <f ca="1">SUMIF('Production '!$C$4:$AI$4407,'Tracking Sheet'!B418,'Production '!$U$4:$U$4407)</f>
        <v>7</v>
      </c>
      <c r="G418" s="76">
        <f ca="1">SUMIF('Production '!$C$4:$AI$4407,'Tracking Sheet'!B418,'Production '!$W$4:$W$4407)</f>
        <v>2714</v>
      </c>
      <c r="H418" s="76">
        <f ca="1">SUMIF('Production '!$C$4:$AI$4407,'Tracking Sheet'!B418,'Production '!$F$4:$F$4407)</f>
        <v>2634</v>
      </c>
      <c r="I418" s="76">
        <f ca="1">SUMIF('Production '!$C$4:$AI$4407,'Tracking Sheet'!B418,'Production '!$V$4:$V$4407)</f>
        <v>0</v>
      </c>
      <c r="J418" s="76">
        <f ca="1">SUMIF('Production '!$C$4:$AI$4407,'Tracking Sheet'!B418,'Production '!$AG$4:$AG$4407)</f>
        <v>0</v>
      </c>
    </row>
    <row r="419" spans="2:10" x14ac:dyDescent="0.3">
      <c r="B419" s="277">
        <f>'Production '!C422</f>
        <v>48040</v>
      </c>
      <c r="C419" s="76">
        <f ca="1">SUMIF('Production '!$C$4:$AI$4407,'Tracking Sheet'!B419,'Production '!$M$4:$M$4407)</f>
        <v>2730</v>
      </c>
      <c r="D419" s="76">
        <f ca="1">SUMIF('Production '!$C$4:$AI$4407,'Tracking Sheet'!B419,'Production '!$Q$4:$Q$4407)</f>
        <v>2730</v>
      </c>
      <c r="E419" s="76">
        <f ca="1">SUMIF('Production '!$C$4:$AI$4407,'Tracking Sheet'!B419,'Production '!$S$4:$S$4407)</f>
        <v>2721</v>
      </c>
      <c r="F419" s="76">
        <f ca="1">SUMIF('Production '!$C$4:$AI$4407,'Tracking Sheet'!B419,'Production '!$U$4:$U$4407)</f>
        <v>7</v>
      </c>
      <c r="G419" s="76">
        <f ca="1">SUMIF('Production '!$C$4:$AI$4407,'Tracking Sheet'!B419,'Production '!$W$4:$W$4407)</f>
        <v>2714</v>
      </c>
      <c r="H419" s="76">
        <f ca="1">SUMIF('Production '!$C$4:$AI$4407,'Tracking Sheet'!B419,'Production '!$F$4:$F$4407)</f>
        <v>2634</v>
      </c>
      <c r="I419" s="76">
        <f ca="1">SUMIF('Production '!$C$4:$AI$4407,'Tracking Sheet'!B419,'Production '!$V$4:$V$4407)</f>
        <v>0</v>
      </c>
      <c r="J419" s="76">
        <f ca="1">SUMIF('Production '!$C$4:$AI$4407,'Tracking Sheet'!B419,'Production '!$AG$4:$AG$4407)</f>
        <v>0</v>
      </c>
    </row>
    <row r="420" spans="2:10" x14ac:dyDescent="0.3">
      <c r="B420" s="277">
        <f>'Production '!C423</f>
        <v>0</v>
      </c>
      <c r="C420" s="76" t="e">
        <f ca="1">SUMIF('Production '!$C$4:$AI$4407,'Tracking Sheet'!B420,'Production '!$M$4:$M$4407)</f>
        <v>#DIV/0!</v>
      </c>
      <c r="D420" s="76" t="e">
        <f ca="1">SUMIF('Production '!$C$4:$AI$4407,'Tracking Sheet'!B420,'Production '!$Q$4:$Q$4407)</f>
        <v>#DIV/0!</v>
      </c>
      <c r="E420" s="76">
        <f ca="1">SUMIF('Production '!$C$4:$AI$4407,'Tracking Sheet'!B420,'Production '!$S$4:$S$4407)</f>
        <v>-1268218.9828305368</v>
      </c>
      <c r="F420" s="76">
        <f ca="1">SUMIF('Production '!$C$4:$AI$4407,'Tracking Sheet'!B420,'Production '!$U$4:$U$4407)</f>
        <v>-10620.435600016917</v>
      </c>
      <c r="G420" s="76" t="e">
        <f ca="1">SUMIF('Production '!$C$4:$AI$4407,'Tracking Sheet'!B420,'Production '!$W$4:$W$4407)</f>
        <v>#DIV/0!</v>
      </c>
      <c r="H420" s="76">
        <f ca="1">SUMIF('Production '!$C$4:$AI$4407,'Tracking Sheet'!B420,'Production '!$F$4:$F$4407)</f>
        <v>3230621.3283604058</v>
      </c>
      <c r="I420" s="76">
        <f ca="1">SUMIF('Production '!$C$4:$AI$4407,'Tracking Sheet'!B420,'Production '!$V$4:$V$4407)</f>
        <v>-489.86487791182844</v>
      </c>
      <c r="J420" s="76">
        <f ca="1">SUMIF('Production '!$C$4:$AI$4407,'Tracking Sheet'!B420,'Production '!$AG$4:$AG$4407)</f>
        <v>0</v>
      </c>
    </row>
    <row r="421" spans="2:10" x14ac:dyDescent="0.3">
      <c r="B421" s="277">
        <f>'Production '!C424</f>
        <v>47685</v>
      </c>
      <c r="C421" s="76">
        <f ca="1">SUMIF('Production '!$C$4:$AI$4407,'Tracking Sheet'!B421,'Production '!$M$4:$M$4407)</f>
        <v>4707</v>
      </c>
      <c r="D421" s="76">
        <f ca="1">SUMIF('Production '!$C$4:$AI$4407,'Tracking Sheet'!B421,'Production '!$Q$4:$Q$4407)</f>
        <v>4707</v>
      </c>
      <c r="E421" s="76">
        <f ca="1">SUMIF('Production '!$C$4:$AI$4407,'Tracking Sheet'!B421,'Production '!$S$4:$S$4407)</f>
        <v>4707</v>
      </c>
      <c r="F421" s="76">
        <f ca="1">SUMIF('Production '!$C$4:$AI$4407,'Tracking Sheet'!B421,'Production '!$U$4:$U$4407)</f>
        <v>7</v>
      </c>
      <c r="G421" s="76">
        <f ca="1">SUMIF('Production '!$C$4:$AI$4407,'Tracking Sheet'!B421,'Production '!$W$4:$W$4407)</f>
        <v>4700</v>
      </c>
      <c r="H421" s="76">
        <f ca="1">SUMIF('Production '!$C$4:$AI$4407,'Tracking Sheet'!B421,'Production '!$F$4:$F$4407)</f>
        <v>4523</v>
      </c>
      <c r="I421" s="76">
        <f ca="1">SUMIF('Production '!$C$4:$AI$4407,'Tracking Sheet'!B421,'Production '!$V$4:$V$4407)</f>
        <v>0</v>
      </c>
      <c r="J421" s="76">
        <f ca="1">SUMIF('Production '!$C$4:$AI$4407,'Tracking Sheet'!B421,'Production '!$AG$4:$AG$4407)</f>
        <v>0</v>
      </c>
    </row>
    <row r="422" spans="2:10" x14ac:dyDescent="0.3">
      <c r="B422" s="277">
        <f>'Production '!C425</f>
        <v>47685</v>
      </c>
      <c r="C422" s="76">
        <f ca="1">SUMIF('Production '!$C$4:$AI$4407,'Tracking Sheet'!B422,'Production '!$M$4:$M$4407)</f>
        <v>4707</v>
      </c>
      <c r="D422" s="76">
        <f ca="1">SUMIF('Production '!$C$4:$AI$4407,'Tracking Sheet'!B422,'Production '!$Q$4:$Q$4407)</f>
        <v>4707</v>
      </c>
      <c r="E422" s="76">
        <f ca="1">SUMIF('Production '!$C$4:$AI$4407,'Tracking Sheet'!B422,'Production '!$S$4:$S$4407)</f>
        <v>4707</v>
      </c>
      <c r="F422" s="76">
        <f ca="1">SUMIF('Production '!$C$4:$AI$4407,'Tracking Sheet'!B422,'Production '!$U$4:$U$4407)</f>
        <v>7</v>
      </c>
      <c r="G422" s="76">
        <f ca="1">SUMIF('Production '!$C$4:$AI$4407,'Tracking Sheet'!B422,'Production '!$W$4:$W$4407)</f>
        <v>4700</v>
      </c>
      <c r="H422" s="76">
        <f ca="1">SUMIF('Production '!$C$4:$AI$4407,'Tracking Sheet'!B422,'Production '!$F$4:$F$4407)</f>
        <v>4523</v>
      </c>
      <c r="I422" s="76">
        <f ca="1">SUMIF('Production '!$C$4:$AI$4407,'Tracking Sheet'!B422,'Production '!$V$4:$V$4407)</f>
        <v>0</v>
      </c>
      <c r="J422" s="76">
        <f ca="1">SUMIF('Production '!$C$4:$AI$4407,'Tracking Sheet'!B422,'Production '!$AG$4:$AG$4407)</f>
        <v>0</v>
      </c>
    </row>
    <row r="423" spans="2:10" x14ac:dyDescent="0.3">
      <c r="B423" s="277">
        <f>'Production '!C426</f>
        <v>0</v>
      </c>
      <c r="C423" s="76" t="e">
        <f ca="1">SUMIF('Production '!$C$4:$AI$4407,'Tracking Sheet'!B423,'Production '!$M$4:$M$4407)</f>
        <v>#DIV/0!</v>
      </c>
      <c r="D423" s="76" t="e">
        <f ca="1">SUMIF('Production '!$C$4:$AI$4407,'Tracking Sheet'!B423,'Production '!$Q$4:$Q$4407)</f>
        <v>#DIV/0!</v>
      </c>
      <c r="E423" s="76">
        <f ca="1">SUMIF('Production '!$C$4:$AI$4407,'Tracking Sheet'!B423,'Production '!$S$4:$S$4407)</f>
        <v>-1268218.9828305368</v>
      </c>
      <c r="F423" s="76">
        <f ca="1">SUMIF('Production '!$C$4:$AI$4407,'Tracking Sheet'!B423,'Production '!$U$4:$U$4407)</f>
        <v>-10620.435600016917</v>
      </c>
      <c r="G423" s="76" t="e">
        <f ca="1">SUMIF('Production '!$C$4:$AI$4407,'Tracking Sheet'!B423,'Production '!$W$4:$W$4407)</f>
        <v>#DIV/0!</v>
      </c>
      <c r="H423" s="76">
        <f ca="1">SUMIF('Production '!$C$4:$AI$4407,'Tracking Sheet'!B423,'Production '!$F$4:$F$4407)</f>
        <v>3230621.3283604058</v>
      </c>
      <c r="I423" s="76">
        <f ca="1">SUMIF('Production '!$C$4:$AI$4407,'Tracking Sheet'!B423,'Production '!$V$4:$V$4407)</f>
        <v>-489.86487791182844</v>
      </c>
      <c r="J423" s="76">
        <f ca="1">SUMIF('Production '!$C$4:$AI$4407,'Tracking Sheet'!B423,'Production '!$AG$4:$AG$4407)</f>
        <v>0</v>
      </c>
    </row>
    <row r="424" spans="2:10" x14ac:dyDescent="0.3">
      <c r="B424" s="277">
        <f>'Production '!C427</f>
        <v>48049</v>
      </c>
      <c r="C424" s="76">
        <f ca="1">SUMIF('Production '!$C$4:$AI$4407,'Tracking Sheet'!B424,'Production '!$M$4:$M$4407)</f>
        <v>1160</v>
      </c>
      <c r="D424" s="76">
        <f ca="1">SUMIF('Production '!$C$4:$AI$4407,'Tracking Sheet'!B424,'Production '!$Q$4:$Q$4407)</f>
        <v>1160</v>
      </c>
      <c r="E424" s="76">
        <f ca="1">SUMIF('Production '!$C$4:$AI$4407,'Tracking Sheet'!B424,'Production '!$S$4:$S$4407)</f>
        <v>1160</v>
      </c>
      <c r="F424" s="76">
        <f ca="1">SUMIF('Production '!$C$4:$AI$4407,'Tracking Sheet'!B424,'Production '!$U$4:$U$4407)</f>
        <v>15</v>
      </c>
      <c r="G424" s="76">
        <f ca="1">SUMIF('Production '!$C$4:$AI$4407,'Tracking Sheet'!B424,'Production '!$W$4:$W$4407)</f>
        <v>1145</v>
      </c>
      <c r="H424" s="76">
        <f ca="1">SUMIF('Production '!$C$4:$AI$4407,'Tracking Sheet'!B424,'Production '!$F$4:$F$4407)</f>
        <v>1110</v>
      </c>
      <c r="I424" s="76">
        <f ca="1">SUMIF('Production '!$C$4:$AI$4407,'Tracking Sheet'!B424,'Production '!$V$4:$V$4407)</f>
        <v>0</v>
      </c>
      <c r="J424" s="76">
        <f ca="1">SUMIF('Production '!$C$4:$AI$4407,'Tracking Sheet'!B424,'Production '!$AG$4:$AG$4407)</f>
        <v>0</v>
      </c>
    </row>
    <row r="425" spans="2:10" x14ac:dyDescent="0.3">
      <c r="B425" s="277">
        <f>'Production '!C428</f>
        <v>0</v>
      </c>
      <c r="C425" s="76" t="e">
        <f ca="1">SUMIF('Production '!$C$4:$AI$4407,'Tracking Sheet'!B425,'Production '!$M$4:$M$4407)</f>
        <v>#DIV/0!</v>
      </c>
      <c r="D425" s="76" t="e">
        <f ca="1">SUMIF('Production '!$C$4:$AI$4407,'Tracking Sheet'!B425,'Production '!$Q$4:$Q$4407)</f>
        <v>#DIV/0!</v>
      </c>
      <c r="E425" s="76">
        <f ca="1">SUMIF('Production '!$C$4:$AI$4407,'Tracking Sheet'!B425,'Production '!$S$4:$S$4407)</f>
        <v>-1268218.9828305368</v>
      </c>
      <c r="F425" s="76">
        <f ca="1">SUMIF('Production '!$C$4:$AI$4407,'Tracking Sheet'!B425,'Production '!$U$4:$U$4407)</f>
        <v>-10620.435600016917</v>
      </c>
      <c r="G425" s="76" t="e">
        <f ca="1">SUMIF('Production '!$C$4:$AI$4407,'Tracking Sheet'!B425,'Production '!$W$4:$W$4407)</f>
        <v>#DIV/0!</v>
      </c>
      <c r="H425" s="76">
        <f ca="1">SUMIF('Production '!$C$4:$AI$4407,'Tracking Sheet'!B425,'Production '!$F$4:$F$4407)</f>
        <v>3230621.3283604058</v>
      </c>
      <c r="I425" s="76">
        <f ca="1">SUMIF('Production '!$C$4:$AI$4407,'Tracking Sheet'!B425,'Production '!$V$4:$V$4407)</f>
        <v>-489.86487791182844</v>
      </c>
      <c r="J425" s="76">
        <f ca="1">SUMIF('Production '!$C$4:$AI$4407,'Tracking Sheet'!B425,'Production '!$AG$4:$AG$4407)</f>
        <v>0</v>
      </c>
    </row>
    <row r="426" spans="2:10" x14ac:dyDescent="0.3">
      <c r="B426" s="277">
        <f>'Production '!C429</f>
        <v>47997</v>
      </c>
      <c r="C426" s="76">
        <f ca="1">SUMIF('Production '!$C$4:$AI$4407,'Tracking Sheet'!B426,'Production '!$M$4:$M$4407)</f>
        <v>0</v>
      </c>
      <c r="D426" s="76">
        <f ca="1">SUMIF('Production '!$C$4:$AI$4407,'Tracking Sheet'!B426,'Production '!$Q$4:$Q$4407)</f>
        <v>0</v>
      </c>
      <c r="E426" s="76">
        <f ca="1">SUMIF('Production '!$C$4:$AI$4407,'Tracking Sheet'!B426,'Production '!$S$4:$S$4407)</f>
        <v>0</v>
      </c>
      <c r="F426" s="76">
        <f ca="1">SUMIF('Production '!$C$4:$AI$4407,'Tracking Sheet'!B426,'Production '!$U$4:$U$4407)</f>
        <v>0</v>
      </c>
      <c r="G426" s="76">
        <f ca="1">SUMIF('Production '!$C$4:$AI$4407,'Tracking Sheet'!B426,'Production '!$W$4:$W$4407)</f>
        <v>0</v>
      </c>
      <c r="H426" s="76">
        <f ca="1">SUMIF('Production '!$C$4:$AI$4407,'Tracking Sheet'!B426,'Production '!$F$4:$F$4407)</f>
        <v>2970</v>
      </c>
      <c r="I426" s="76">
        <f ca="1">SUMIF('Production '!$C$4:$AI$4407,'Tracking Sheet'!B426,'Production '!$V$4:$V$4407)</f>
        <v>0</v>
      </c>
      <c r="J426" s="76">
        <f ca="1">SUMIF('Production '!$C$4:$AI$4407,'Tracking Sheet'!B426,'Production '!$AG$4:$AG$4407)</f>
        <v>-2970</v>
      </c>
    </row>
    <row r="427" spans="2:10" x14ac:dyDescent="0.3">
      <c r="B427" s="277">
        <f>'Production '!C430</f>
        <v>0</v>
      </c>
      <c r="C427" s="76" t="e">
        <f ca="1">SUMIF('Production '!$C$4:$AI$4407,'Tracking Sheet'!B427,'Production '!$M$4:$M$4407)</f>
        <v>#DIV/0!</v>
      </c>
      <c r="D427" s="76" t="e">
        <f ca="1">SUMIF('Production '!$C$4:$AI$4407,'Tracking Sheet'!B427,'Production '!$Q$4:$Q$4407)</f>
        <v>#DIV/0!</v>
      </c>
      <c r="E427" s="76">
        <f ca="1">SUMIF('Production '!$C$4:$AI$4407,'Tracking Sheet'!B427,'Production '!$S$4:$S$4407)</f>
        <v>-1268218.9828305368</v>
      </c>
      <c r="F427" s="76">
        <f ca="1">SUMIF('Production '!$C$4:$AI$4407,'Tracking Sheet'!B427,'Production '!$U$4:$U$4407)</f>
        <v>-10620.435600016917</v>
      </c>
      <c r="G427" s="76" t="e">
        <f ca="1">SUMIF('Production '!$C$4:$AI$4407,'Tracking Sheet'!B427,'Production '!$W$4:$W$4407)</f>
        <v>#DIV/0!</v>
      </c>
      <c r="H427" s="76">
        <f ca="1">SUMIF('Production '!$C$4:$AI$4407,'Tracking Sheet'!B427,'Production '!$F$4:$F$4407)</f>
        <v>3230621.3283604058</v>
      </c>
      <c r="I427" s="76">
        <f ca="1">SUMIF('Production '!$C$4:$AI$4407,'Tracking Sheet'!B427,'Production '!$V$4:$V$4407)</f>
        <v>-489.86487791182844</v>
      </c>
      <c r="J427" s="76">
        <f ca="1">SUMIF('Production '!$C$4:$AI$4407,'Tracking Sheet'!B427,'Production '!$AG$4:$AG$4407)</f>
        <v>0</v>
      </c>
    </row>
    <row r="428" spans="2:10" x14ac:dyDescent="0.3">
      <c r="B428" s="277" t="str">
        <f>'Production '!C431</f>
        <v>43323 34th</v>
      </c>
      <c r="C428" s="76">
        <f ca="1">SUMIF('Production '!$C$4:$AI$4407,'Tracking Sheet'!B428,'Production '!$M$4:$M$4407)</f>
        <v>7349</v>
      </c>
      <c r="D428" s="76">
        <f ca="1">SUMIF('Production '!$C$4:$AI$4407,'Tracking Sheet'!B428,'Production '!$Q$4:$Q$4407)</f>
        <v>7338</v>
      </c>
      <c r="E428" s="76">
        <f ca="1">SUMIF('Production '!$C$4:$AI$4407,'Tracking Sheet'!B428,'Production '!$S$4:$S$4407)</f>
        <v>7335</v>
      </c>
      <c r="F428" s="76">
        <f ca="1">SUMIF('Production '!$C$4:$AI$4407,'Tracking Sheet'!B428,'Production '!$U$4:$U$4407)</f>
        <v>1124</v>
      </c>
      <c r="G428" s="76">
        <f ca="1">SUMIF('Production '!$C$4:$AI$4407,'Tracking Sheet'!B428,'Production '!$W$4:$W$4407)</f>
        <v>6211</v>
      </c>
      <c r="H428" s="76">
        <f ca="1">SUMIF('Production '!$C$4:$AI$4407,'Tracking Sheet'!B428,'Production '!$F$4:$F$4407)</f>
        <v>7600</v>
      </c>
      <c r="I428" s="76">
        <f ca="1">SUMIF('Production '!$C$4:$AI$4407,'Tracking Sheet'!B428,'Production '!$V$4:$V$4407)</f>
        <v>0</v>
      </c>
      <c r="J428" s="76">
        <f ca="1">SUMIF('Production '!$C$4:$AI$4407,'Tracking Sheet'!B428,'Production '!$AG$4:$AG$4407)</f>
        <v>-399</v>
      </c>
    </row>
    <row r="429" spans="2:10" x14ac:dyDescent="0.3">
      <c r="B429" s="277" t="str">
        <f>'Production '!C432</f>
        <v>43323 34th</v>
      </c>
      <c r="C429" s="76">
        <f ca="1">SUMIF('Production '!$C$4:$AI$4407,'Tracking Sheet'!B429,'Production '!$M$4:$M$4407)</f>
        <v>7349</v>
      </c>
      <c r="D429" s="76">
        <f ca="1">SUMIF('Production '!$C$4:$AI$4407,'Tracking Sheet'!B429,'Production '!$Q$4:$Q$4407)</f>
        <v>7338</v>
      </c>
      <c r="E429" s="76">
        <f ca="1">SUMIF('Production '!$C$4:$AI$4407,'Tracking Sheet'!B429,'Production '!$S$4:$S$4407)</f>
        <v>7335</v>
      </c>
      <c r="F429" s="76">
        <f ca="1">SUMIF('Production '!$C$4:$AI$4407,'Tracking Sheet'!B429,'Production '!$U$4:$U$4407)</f>
        <v>1124</v>
      </c>
      <c r="G429" s="76">
        <f ca="1">SUMIF('Production '!$C$4:$AI$4407,'Tracking Sheet'!B429,'Production '!$W$4:$W$4407)</f>
        <v>6211</v>
      </c>
      <c r="H429" s="76">
        <f ca="1">SUMIF('Production '!$C$4:$AI$4407,'Tracking Sheet'!B429,'Production '!$F$4:$F$4407)</f>
        <v>7600</v>
      </c>
      <c r="I429" s="76">
        <f ca="1">SUMIF('Production '!$C$4:$AI$4407,'Tracking Sheet'!B429,'Production '!$V$4:$V$4407)</f>
        <v>0</v>
      </c>
      <c r="J429" s="76">
        <f ca="1">SUMIF('Production '!$C$4:$AI$4407,'Tracking Sheet'!B429,'Production '!$AG$4:$AG$4407)</f>
        <v>-399</v>
      </c>
    </row>
    <row r="430" spans="2:10" x14ac:dyDescent="0.3">
      <c r="B430" s="277" t="str">
        <f>'Production '!C433</f>
        <v>43323 34th</v>
      </c>
      <c r="C430" s="76">
        <f ca="1">SUMIF('Production '!$C$4:$AI$4407,'Tracking Sheet'!B430,'Production '!$M$4:$M$4407)</f>
        <v>7349</v>
      </c>
      <c r="D430" s="76">
        <f ca="1">SUMIF('Production '!$C$4:$AI$4407,'Tracking Sheet'!B430,'Production '!$Q$4:$Q$4407)</f>
        <v>7338</v>
      </c>
      <c r="E430" s="76">
        <f ca="1">SUMIF('Production '!$C$4:$AI$4407,'Tracking Sheet'!B430,'Production '!$S$4:$S$4407)</f>
        <v>7335</v>
      </c>
      <c r="F430" s="76">
        <f ca="1">SUMIF('Production '!$C$4:$AI$4407,'Tracking Sheet'!B430,'Production '!$U$4:$U$4407)</f>
        <v>1124</v>
      </c>
      <c r="G430" s="76">
        <f ca="1">SUMIF('Production '!$C$4:$AI$4407,'Tracking Sheet'!B430,'Production '!$W$4:$W$4407)</f>
        <v>6211</v>
      </c>
      <c r="H430" s="76">
        <f ca="1">SUMIF('Production '!$C$4:$AI$4407,'Tracking Sheet'!B430,'Production '!$F$4:$F$4407)</f>
        <v>7600</v>
      </c>
      <c r="I430" s="76">
        <f ca="1">SUMIF('Production '!$C$4:$AI$4407,'Tracking Sheet'!B430,'Production '!$V$4:$V$4407)</f>
        <v>0</v>
      </c>
      <c r="J430" s="76">
        <f ca="1">SUMIF('Production '!$C$4:$AI$4407,'Tracking Sheet'!B430,'Production '!$AG$4:$AG$4407)</f>
        <v>-399</v>
      </c>
    </row>
    <row r="431" spans="2:10" x14ac:dyDescent="0.3">
      <c r="B431" s="277">
        <f>'Production '!C434</f>
        <v>0</v>
      </c>
      <c r="C431" s="76" t="e">
        <f ca="1">SUMIF('Production '!$C$4:$AI$4407,'Tracking Sheet'!B431,'Production '!$M$4:$M$4407)</f>
        <v>#DIV/0!</v>
      </c>
      <c r="D431" s="76" t="e">
        <f ca="1">SUMIF('Production '!$C$4:$AI$4407,'Tracking Sheet'!B431,'Production '!$Q$4:$Q$4407)</f>
        <v>#DIV/0!</v>
      </c>
      <c r="E431" s="76">
        <f ca="1">SUMIF('Production '!$C$4:$AI$4407,'Tracking Sheet'!B431,'Production '!$S$4:$S$4407)</f>
        <v>-1268218.9828305368</v>
      </c>
      <c r="F431" s="76">
        <f ca="1">SUMIF('Production '!$C$4:$AI$4407,'Tracking Sheet'!B431,'Production '!$U$4:$U$4407)</f>
        <v>-10620.435600016917</v>
      </c>
      <c r="G431" s="76" t="e">
        <f ca="1">SUMIF('Production '!$C$4:$AI$4407,'Tracking Sheet'!B431,'Production '!$W$4:$W$4407)</f>
        <v>#DIV/0!</v>
      </c>
      <c r="H431" s="76">
        <f ca="1">SUMIF('Production '!$C$4:$AI$4407,'Tracking Sheet'!B431,'Production '!$F$4:$F$4407)</f>
        <v>3230621.3283604058</v>
      </c>
      <c r="I431" s="76">
        <f ca="1">SUMIF('Production '!$C$4:$AI$4407,'Tracking Sheet'!B431,'Production '!$V$4:$V$4407)</f>
        <v>-489.86487791182844</v>
      </c>
      <c r="J431" s="76">
        <f ca="1">SUMIF('Production '!$C$4:$AI$4407,'Tracking Sheet'!B431,'Production '!$AG$4:$AG$4407)</f>
        <v>0</v>
      </c>
    </row>
    <row r="432" spans="2:10" x14ac:dyDescent="0.3">
      <c r="B432" s="277" t="str">
        <f>'Production '!C435</f>
        <v>43323 35th</v>
      </c>
      <c r="C432" s="76">
        <f ca="1">SUMIF('Production '!$C$4:$AI$4407,'Tracking Sheet'!B432,'Production '!$M$4:$M$4407)</f>
        <v>3560</v>
      </c>
      <c r="D432" s="76">
        <f ca="1">SUMIF('Production '!$C$4:$AI$4407,'Tracking Sheet'!B432,'Production '!$Q$4:$Q$4407)</f>
        <v>3517</v>
      </c>
      <c r="E432" s="76">
        <f ca="1">SUMIF('Production '!$C$4:$AI$4407,'Tracking Sheet'!B432,'Production '!$S$4:$S$4407)</f>
        <v>3507</v>
      </c>
      <c r="F432" s="76">
        <f ca="1">SUMIF('Production '!$C$4:$AI$4407,'Tracking Sheet'!B432,'Production '!$U$4:$U$4407)</f>
        <v>3507</v>
      </c>
      <c r="G432" s="76">
        <f ca="1">SUMIF('Production '!$C$4:$AI$4407,'Tracking Sheet'!B432,'Production '!$W$4:$W$4407)</f>
        <v>0</v>
      </c>
      <c r="H432" s="76">
        <f ca="1">SUMIF('Production '!$C$4:$AI$4407,'Tracking Sheet'!B432,'Production '!$F$4:$F$4407)</f>
        <v>3600</v>
      </c>
      <c r="I432" s="76">
        <f ca="1">SUMIF('Production '!$C$4:$AI$4407,'Tracking Sheet'!B432,'Production '!$V$4:$V$4407)</f>
        <v>0</v>
      </c>
      <c r="J432" s="76">
        <f ca="1">SUMIF('Production '!$C$4:$AI$4407,'Tracking Sheet'!B432,'Production '!$AG$4:$AG$4407)</f>
        <v>-130</v>
      </c>
    </row>
    <row r="433" spans="2:10" x14ac:dyDescent="0.3">
      <c r="B433" s="277" t="str">
        <f>'Production '!C436</f>
        <v>43323 35th</v>
      </c>
      <c r="C433" s="76">
        <f ca="1">SUMIF('Production '!$C$4:$AI$4407,'Tracking Sheet'!B433,'Production '!$M$4:$M$4407)</f>
        <v>3560</v>
      </c>
      <c r="D433" s="76">
        <f ca="1">SUMIF('Production '!$C$4:$AI$4407,'Tracking Sheet'!B433,'Production '!$Q$4:$Q$4407)</f>
        <v>3517</v>
      </c>
      <c r="E433" s="76">
        <f ca="1">SUMIF('Production '!$C$4:$AI$4407,'Tracking Sheet'!B433,'Production '!$S$4:$S$4407)</f>
        <v>3507</v>
      </c>
      <c r="F433" s="76">
        <f ca="1">SUMIF('Production '!$C$4:$AI$4407,'Tracking Sheet'!B433,'Production '!$U$4:$U$4407)</f>
        <v>3507</v>
      </c>
      <c r="G433" s="76">
        <f ca="1">SUMIF('Production '!$C$4:$AI$4407,'Tracking Sheet'!B433,'Production '!$W$4:$W$4407)</f>
        <v>0</v>
      </c>
      <c r="H433" s="76">
        <f ca="1">SUMIF('Production '!$C$4:$AI$4407,'Tracking Sheet'!B433,'Production '!$F$4:$F$4407)</f>
        <v>3600</v>
      </c>
      <c r="I433" s="76">
        <f ca="1">SUMIF('Production '!$C$4:$AI$4407,'Tracking Sheet'!B433,'Production '!$V$4:$V$4407)</f>
        <v>0</v>
      </c>
      <c r="J433" s="76">
        <f ca="1">SUMIF('Production '!$C$4:$AI$4407,'Tracking Sheet'!B433,'Production '!$AG$4:$AG$4407)</f>
        <v>-130</v>
      </c>
    </row>
    <row r="434" spans="2:10" x14ac:dyDescent="0.3">
      <c r="B434" s="277" t="str">
        <f>'Production '!C437</f>
        <v>43323 35th</v>
      </c>
      <c r="C434" s="76">
        <f ca="1">SUMIF('Production '!$C$4:$AI$4407,'Tracking Sheet'!B434,'Production '!$M$4:$M$4407)</f>
        <v>3560</v>
      </c>
      <c r="D434" s="76">
        <f ca="1">SUMIF('Production '!$C$4:$AI$4407,'Tracking Sheet'!B434,'Production '!$Q$4:$Q$4407)</f>
        <v>3517</v>
      </c>
      <c r="E434" s="76">
        <f ca="1">SUMIF('Production '!$C$4:$AI$4407,'Tracking Sheet'!B434,'Production '!$S$4:$S$4407)</f>
        <v>3507</v>
      </c>
      <c r="F434" s="76">
        <f ca="1">SUMIF('Production '!$C$4:$AI$4407,'Tracking Sheet'!B434,'Production '!$U$4:$U$4407)</f>
        <v>3507</v>
      </c>
      <c r="G434" s="76">
        <f ca="1">SUMIF('Production '!$C$4:$AI$4407,'Tracking Sheet'!B434,'Production '!$W$4:$W$4407)</f>
        <v>0</v>
      </c>
      <c r="H434" s="76">
        <f ca="1">SUMIF('Production '!$C$4:$AI$4407,'Tracking Sheet'!B434,'Production '!$F$4:$F$4407)</f>
        <v>3600</v>
      </c>
      <c r="I434" s="76">
        <f ca="1">SUMIF('Production '!$C$4:$AI$4407,'Tracking Sheet'!B434,'Production '!$V$4:$V$4407)</f>
        <v>0</v>
      </c>
      <c r="J434" s="76">
        <f ca="1">SUMIF('Production '!$C$4:$AI$4407,'Tracking Sheet'!B434,'Production '!$AG$4:$AG$4407)</f>
        <v>-130</v>
      </c>
    </row>
    <row r="435" spans="2:10" x14ac:dyDescent="0.3">
      <c r="B435" s="277">
        <f>'Production '!C438</f>
        <v>0</v>
      </c>
      <c r="C435" s="76" t="e">
        <f ca="1">SUMIF('Production '!$C$4:$AI$4407,'Tracking Sheet'!B435,'Production '!$M$4:$M$4407)</f>
        <v>#DIV/0!</v>
      </c>
      <c r="D435" s="76" t="e">
        <f ca="1">SUMIF('Production '!$C$4:$AI$4407,'Tracking Sheet'!B435,'Production '!$Q$4:$Q$4407)</f>
        <v>#DIV/0!</v>
      </c>
      <c r="E435" s="76">
        <f ca="1">SUMIF('Production '!$C$4:$AI$4407,'Tracking Sheet'!B435,'Production '!$S$4:$S$4407)</f>
        <v>-1268218.9828305368</v>
      </c>
      <c r="F435" s="76">
        <f ca="1">SUMIF('Production '!$C$4:$AI$4407,'Tracking Sheet'!B435,'Production '!$U$4:$U$4407)</f>
        <v>-10620.435600016917</v>
      </c>
      <c r="G435" s="76" t="e">
        <f ca="1">SUMIF('Production '!$C$4:$AI$4407,'Tracking Sheet'!B435,'Production '!$W$4:$W$4407)</f>
        <v>#DIV/0!</v>
      </c>
      <c r="H435" s="76">
        <f ca="1">SUMIF('Production '!$C$4:$AI$4407,'Tracking Sheet'!B435,'Production '!$F$4:$F$4407)</f>
        <v>3230621.3283604058</v>
      </c>
      <c r="I435" s="76">
        <f ca="1">SUMIF('Production '!$C$4:$AI$4407,'Tracking Sheet'!B435,'Production '!$V$4:$V$4407)</f>
        <v>-489.86487791182844</v>
      </c>
      <c r="J435" s="76">
        <f ca="1">SUMIF('Production '!$C$4:$AI$4407,'Tracking Sheet'!B435,'Production '!$AG$4:$AG$4407)</f>
        <v>0</v>
      </c>
    </row>
    <row r="436" spans="2:10" x14ac:dyDescent="0.3">
      <c r="B436" s="277" t="str">
        <f>'Production '!C439</f>
        <v>43323 31th</v>
      </c>
      <c r="C436" s="76">
        <f ca="1">SUMIF('Production '!$C$4:$AI$4407,'Tracking Sheet'!B436,'Production '!$M$4:$M$4407)</f>
        <v>9000</v>
      </c>
      <c r="D436" s="76">
        <f ca="1">SUMIF('Production '!$C$4:$AI$4407,'Tracking Sheet'!B436,'Production '!$Q$4:$Q$4407)</f>
        <v>8989</v>
      </c>
      <c r="E436" s="76">
        <f ca="1">SUMIF('Production '!$C$4:$AI$4407,'Tracking Sheet'!B436,'Production '!$S$4:$S$4407)</f>
        <v>8938</v>
      </c>
      <c r="F436" s="76">
        <f ca="1">SUMIF('Production '!$C$4:$AI$4407,'Tracking Sheet'!B436,'Production '!$U$4:$U$4407)</f>
        <v>21</v>
      </c>
      <c r="G436" s="76">
        <f ca="1">SUMIF('Production '!$C$4:$AI$4407,'Tracking Sheet'!B436,'Production '!$W$4:$W$4407)</f>
        <v>8917</v>
      </c>
      <c r="H436" s="76">
        <f ca="1">SUMIF('Production '!$C$4:$AI$4407,'Tracking Sheet'!B436,'Production '!$F$4:$F$4407)</f>
        <v>8703</v>
      </c>
      <c r="I436" s="76">
        <f ca="1">SUMIF('Production '!$C$4:$AI$4407,'Tracking Sheet'!B436,'Production '!$V$4:$V$4407)</f>
        <v>0</v>
      </c>
      <c r="J436" s="76">
        <f ca="1">SUMIF('Production '!$C$4:$AI$4407,'Tracking Sheet'!B436,'Production '!$AG$4:$AG$4407)</f>
        <v>0</v>
      </c>
    </row>
    <row r="437" spans="2:10" x14ac:dyDescent="0.3">
      <c r="B437" s="277" t="str">
        <f>'Production '!C440</f>
        <v>43323 31th</v>
      </c>
      <c r="C437" s="76">
        <f ca="1">SUMIF('Production '!$C$4:$AI$4407,'Tracking Sheet'!B437,'Production '!$M$4:$M$4407)</f>
        <v>9000</v>
      </c>
      <c r="D437" s="76">
        <f ca="1">SUMIF('Production '!$C$4:$AI$4407,'Tracking Sheet'!B437,'Production '!$Q$4:$Q$4407)</f>
        <v>8989</v>
      </c>
      <c r="E437" s="76">
        <f ca="1">SUMIF('Production '!$C$4:$AI$4407,'Tracking Sheet'!B437,'Production '!$S$4:$S$4407)</f>
        <v>8938</v>
      </c>
      <c r="F437" s="76">
        <f ca="1">SUMIF('Production '!$C$4:$AI$4407,'Tracking Sheet'!B437,'Production '!$U$4:$U$4407)</f>
        <v>21</v>
      </c>
      <c r="G437" s="76">
        <f ca="1">SUMIF('Production '!$C$4:$AI$4407,'Tracking Sheet'!B437,'Production '!$W$4:$W$4407)</f>
        <v>8917</v>
      </c>
      <c r="H437" s="76">
        <f ca="1">SUMIF('Production '!$C$4:$AI$4407,'Tracking Sheet'!B437,'Production '!$F$4:$F$4407)</f>
        <v>8703</v>
      </c>
      <c r="I437" s="76">
        <f ca="1">SUMIF('Production '!$C$4:$AI$4407,'Tracking Sheet'!B437,'Production '!$V$4:$V$4407)</f>
        <v>0</v>
      </c>
      <c r="J437" s="76">
        <f ca="1">SUMIF('Production '!$C$4:$AI$4407,'Tracking Sheet'!B437,'Production '!$AG$4:$AG$4407)</f>
        <v>0</v>
      </c>
    </row>
    <row r="438" spans="2:10" x14ac:dyDescent="0.3">
      <c r="B438" s="277" t="str">
        <f>'Production '!C441</f>
        <v>43323 31th</v>
      </c>
      <c r="C438" s="76">
        <f ca="1">SUMIF('Production '!$C$4:$AI$4407,'Tracking Sheet'!B438,'Production '!$M$4:$M$4407)</f>
        <v>9000</v>
      </c>
      <c r="D438" s="76">
        <f ca="1">SUMIF('Production '!$C$4:$AI$4407,'Tracking Sheet'!B438,'Production '!$Q$4:$Q$4407)</f>
        <v>8989</v>
      </c>
      <c r="E438" s="76">
        <f ca="1">SUMIF('Production '!$C$4:$AI$4407,'Tracking Sheet'!B438,'Production '!$S$4:$S$4407)</f>
        <v>8938</v>
      </c>
      <c r="F438" s="76">
        <f ca="1">SUMIF('Production '!$C$4:$AI$4407,'Tracking Sheet'!B438,'Production '!$U$4:$U$4407)</f>
        <v>21</v>
      </c>
      <c r="G438" s="76">
        <f ca="1">SUMIF('Production '!$C$4:$AI$4407,'Tracking Sheet'!B438,'Production '!$W$4:$W$4407)</f>
        <v>8917</v>
      </c>
      <c r="H438" s="76">
        <f ca="1">SUMIF('Production '!$C$4:$AI$4407,'Tracking Sheet'!B438,'Production '!$F$4:$F$4407)</f>
        <v>8703</v>
      </c>
      <c r="I438" s="76">
        <f ca="1">SUMIF('Production '!$C$4:$AI$4407,'Tracking Sheet'!B438,'Production '!$V$4:$V$4407)</f>
        <v>0</v>
      </c>
      <c r="J438" s="76">
        <f ca="1">SUMIF('Production '!$C$4:$AI$4407,'Tracking Sheet'!B438,'Production '!$AG$4:$AG$4407)</f>
        <v>0</v>
      </c>
    </row>
    <row r="439" spans="2:10" x14ac:dyDescent="0.3">
      <c r="B439" s="277" t="str">
        <f>'Production '!C442</f>
        <v>43323 31th</v>
      </c>
      <c r="C439" s="76">
        <f ca="1">SUMIF('Production '!$C$4:$AI$4407,'Tracking Sheet'!B439,'Production '!$M$4:$M$4407)</f>
        <v>9000</v>
      </c>
      <c r="D439" s="76">
        <f ca="1">SUMIF('Production '!$C$4:$AI$4407,'Tracking Sheet'!B439,'Production '!$Q$4:$Q$4407)</f>
        <v>8989</v>
      </c>
      <c r="E439" s="76">
        <f ca="1">SUMIF('Production '!$C$4:$AI$4407,'Tracking Sheet'!B439,'Production '!$S$4:$S$4407)</f>
        <v>8938</v>
      </c>
      <c r="F439" s="76">
        <f ca="1">SUMIF('Production '!$C$4:$AI$4407,'Tracking Sheet'!B439,'Production '!$U$4:$U$4407)</f>
        <v>21</v>
      </c>
      <c r="G439" s="76">
        <f ca="1">SUMIF('Production '!$C$4:$AI$4407,'Tracking Sheet'!B439,'Production '!$W$4:$W$4407)</f>
        <v>8917</v>
      </c>
      <c r="H439" s="76">
        <f ca="1">SUMIF('Production '!$C$4:$AI$4407,'Tracking Sheet'!B439,'Production '!$F$4:$F$4407)</f>
        <v>8703</v>
      </c>
      <c r="I439" s="76">
        <f ca="1">SUMIF('Production '!$C$4:$AI$4407,'Tracking Sheet'!B439,'Production '!$V$4:$V$4407)</f>
        <v>0</v>
      </c>
      <c r="J439" s="76">
        <f ca="1">SUMIF('Production '!$C$4:$AI$4407,'Tracking Sheet'!B439,'Production '!$AG$4:$AG$4407)</f>
        <v>0</v>
      </c>
    </row>
    <row r="440" spans="2:10" x14ac:dyDescent="0.3">
      <c r="B440" s="277" t="str">
        <f>'Production '!C443</f>
        <v>43323 31th</v>
      </c>
      <c r="C440" s="76">
        <f ca="1">SUMIF('Production '!$C$4:$AI$4407,'Tracking Sheet'!B440,'Production '!$M$4:$M$4407)</f>
        <v>9000</v>
      </c>
      <c r="D440" s="76">
        <f ca="1">SUMIF('Production '!$C$4:$AI$4407,'Tracking Sheet'!B440,'Production '!$Q$4:$Q$4407)</f>
        <v>8989</v>
      </c>
      <c r="E440" s="76">
        <f ca="1">SUMIF('Production '!$C$4:$AI$4407,'Tracking Sheet'!B440,'Production '!$S$4:$S$4407)</f>
        <v>8938</v>
      </c>
      <c r="F440" s="76">
        <f ca="1">SUMIF('Production '!$C$4:$AI$4407,'Tracking Sheet'!B440,'Production '!$U$4:$U$4407)</f>
        <v>21</v>
      </c>
      <c r="G440" s="76">
        <f ca="1">SUMIF('Production '!$C$4:$AI$4407,'Tracking Sheet'!B440,'Production '!$W$4:$W$4407)</f>
        <v>8917</v>
      </c>
      <c r="H440" s="76">
        <f ca="1">SUMIF('Production '!$C$4:$AI$4407,'Tracking Sheet'!B440,'Production '!$F$4:$F$4407)</f>
        <v>8703</v>
      </c>
      <c r="I440" s="76">
        <f ca="1">SUMIF('Production '!$C$4:$AI$4407,'Tracking Sheet'!B440,'Production '!$V$4:$V$4407)</f>
        <v>0</v>
      </c>
      <c r="J440" s="76">
        <f ca="1">SUMIF('Production '!$C$4:$AI$4407,'Tracking Sheet'!B440,'Production '!$AG$4:$AG$4407)</f>
        <v>0</v>
      </c>
    </row>
    <row r="441" spans="2:10" x14ac:dyDescent="0.3">
      <c r="B441" s="277">
        <f>'Production '!C444</f>
        <v>0</v>
      </c>
      <c r="C441" s="76" t="e">
        <f ca="1">SUMIF('Production '!$C$4:$AI$4407,'Tracking Sheet'!B441,'Production '!$M$4:$M$4407)</f>
        <v>#DIV/0!</v>
      </c>
      <c r="D441" s="76" t="e">
        <f ca="1">SUMIF('Production '!$C$4:$AI$4407,'Tracking Sheet'!B441,'Production '!$Q$4:$Q$4407)</f>
        <v>#DIV/0!</v>
      </c>
      <c r="E441" s="76">
        <f ca="1">SUMIF('Production '!$C$4:$AI$4407,'Tracking Sheet'!B441,'Production '!$S$4:$S$4407)</f>
        <v>-1268218.9828305368</v>
      </c>
      <c r="F441" s="76">
        <f ca="1">SUMIF('Production '!$C$4:$AI$4407,'Tracking Sheet'!B441,'Production '!$U$4:$U$4407)</f>
        <v>-10620.435600016917</v>
      </c>
      <c r="G441" s="76" t="e">
        <f ca="1">SUMIF('Production '!$C$4:$AI$4407,'Tracking Sheet'!B441,'Production '!$W$4:$W$4407)</f>
        <v>#DIV/0!</v>
      </c>
      <c r="H441" s="76">
        <f ca="1">SUMIF('Production '!$C$4:$AI$4407,'Tracking Sheet'!B441,'Production '!$F$4:$F$4407)</f>
        <v>3230621.3283604058</v>
      </c>
      <c r="I441" s="76">
        <f ca="1">SUMIF('Production '!$C$4:$AI$4407,'Tracking Sheet'!B441,'Production '!$V$4:$V$4407)</f>
        <v>-489.86487791182844</v>
      </c>
      <c r="J441" s="76">
        <f ca="1">SUMIF('Production '!$C$4:$AI$4407,'Tracking Sheet'!B441,'Production '!$AG$4:$AG$4407)</f>
        <v>0</v>
      </c>
    </row>
    <row r="442" spans="2:10" x14ac:dyDescent="0.3">
      <c r="B442" s="277">
        <f>'Production '!C445</f>
        <v>47582</v>
      </c>
      <c r="C442" s="76">
        <f ca="1">SUMIF('Production '!$C$4:$AI$4407,'Tracking Sheet'!B442,'Production '!$M$4:$M$4407)</f>
        <v>1250</v>
      </c>
      <c r="D442" s="76">
        <f ca="1">SUMIF('Production '!$C$4:$AI$4407,'Tracking Sheet'!B442,'Production '!$Q$4:$Q$4407)</f>
        <v>1250</v>
      </c>
      <c r="E442" s="76">
        <f ca="1">SUMIF('Production '!$C$4:$AI$4407,'Tracking Sheet'!B442,'Production '!$S$4:$S$4407)</f>
        <v>1246</v>
      </c>
      <c r="F442" s="76">
        <f ca="1">SUMIF('Production '!$C$4:$AI$4407,'Tracking Sheet'!B442,'Production '!$U$4:$U$4407)</f>
        <v>8</v>
      </c>
      <c r="G442" s="76">
        <f ca="1">SUMIF('Production '!$C$4:$AI$4407,'Tracking Sheet'!B442,'Production '!$W$4:$W$4407)</f>
        <v>1238</v>
      </c>
      <c r="H442" s="76">
        <f ca="1">SUMIF('Production '!$C$4:$AI$4407,'Tracking Sheet'!B442,'Production '!$F$4:$F$4407)</f>
        <v>1200</v>
      </c>
      <c r="I442" s="76">
        <f ca="1">SUMIF('Production '!$C$4:$AI$4407,'Tracking Sheet'!B442,'Production '!$V$4:$V$4407)</f>
        <v>0</v>
      </c>
      <c r="J442" s="76">
        <f ca="1">SUMIF('Production '!$C$4:$AI$4407,'Tracking Sheet'!B442,'Production '!$AG$4:$AG$4407)</f>
        <v>0</v>
      </c>
    </row>
    <row r="443" spans="2:10" x14ac:dyDescent="0.3">
      <c r="B443" s="277">
        <f>'Production '!C446</f>
        <v>47582</v>
      </c>
      <c r="C443" s="76">
        <f ca="1">SUMIF('Production '!$C$4:$AI$4407,'Tracking Sheet'!B443,'Production '!$M$4:$M$4407)</f>
        <v>1250</v>
      </c>
      <c r="D443" s="76">
        <f ca="1">SUMIF('Production '!$C$4:$AI$4407,'Tracking Sheet'!B443,'Production '!$Q$4:$Q$4407)</f>
        <v>1250</v>
      </c>
      <c r="E443" s="76">
        <f ca="1">SUMIF('Production '!$C$4:$AI$4407,'Tracking Sheet'!B443,'Production '!$S$4:$S$4407)</f>
        <v>1246</v>
      </c>
      <c r="F443" s="76">
        <f ca="1">SUMIF('Production '!$C$4:$AI$4407,'Tracking Sheet'!B443,'Production '!$U$4:$U$4407)</f>
        <v>8</v>
      </c>
      <c r="G443" s="76">
        <f ca="1">SUMIF('Production '!$C$4:$AI$4407,'Tracking Sheet'!B443,'Production '!$W$4:$W$4407)</f>
        <v>1238</v>
      </c>
      <c r="H443" s="76">
        <f ca="1">SUMIF('Production '!$C$4:$AI$4407,'Tracking Sheet'!B443,'Production '!$F$4:$F$4407)</f>
        <v>1200</v>
      </c>
      <c r="I443" s="76">
        <f ca="1">SUMIF('Production '!$C$4:$AI$4407,'Tracking Sheet'!B443,'Production '!$V$4:$V$4407)</f>
        <v>0</v>
      </c>
      <c r="J443" s="76">
        <f ca="1">SUMIF('Production '!$C$4:$AI$4407,'Tracking Sheet'!B443,'Production '!$AG$4:$AG$4407)</f>
        <v>0</v>
      </c>
    </row>
    <row r="444" spans="2:10" x14ac:dyDescent="0.3">
      <c r="B444" s="277">
        <f>'Production '!C447</f>
        <v>0</v>
      </c>
      <c r="C444" s="76" t="e">
        <f ca="1">SUMIF('Production '!$C$4:$AI$4407,'Tracking Sheet'!B444,'Production '!$M$4:$M$4407)</f>
        <v>#DIV/0!</v>
      </c>
      <c r="D444" s="76" t="e">
        <f ca="1">SUMIF('Production '!$C$4:$AI$4407,'Tracking Sheet'!B444,'Production '!$Q$4:$Q$4407)</f>
        <v>#DIV/0!</v>
      </c>
      <c r="E444" s="76">
        <f ca="1">SUMIF('Production '!$C$4:$AI$4407,'Tracking Sheet'!B444,'Production '!$S$4:$S$4407)</f>
        <v>-1268218.9828305368</v>
      </c>
      <c r="F444" s="76">
        <f ca="1">SUMIF('Production '!$C$4:$AI$4407,'Tracking Sheet'!B444,'Production '!$U$4:$U$4407)</f>
        <v>-10620.435600016917</v>
      </c>
      <c r="G444" s="76" t="e">
        <f ca="1">SUMIF('Production '!$C$4:$AI$4407,'Tracking Sheet'!B444,'Production '!$W$4:$W$4407)</f>
        <v>#DIV/0!</v>
      </c>
      <c r="H444" s="76">
        <f ca="1">SUMIF('Production '!$C$4:$AI$4407,'Tracking Sheet'!B444,'Production '!$F$4:$F$4407)</f>
        <v>3230621.3283604058</v>
      </c>
      <c r="I444" s="76">
        <f ca="1">SUMIF('Production '!$C$4:$AI$4407,'Tracking Sheet'!B444,'Production '!$V$4:$V$4407)</f>
        <v>-489.86487791182844</v>
      </c>
      <c r="J444" s="76">
        <f ca="1">SUMIF('Production '!$C$4:$AI$4407,'Tracking Sheet'!B444,'Production '!$AG$4:$AG$4407)</f>
        <v>0</v>
      </c>
    </row>
    <row r="445" spans="2:10" x14ac:dyDescent="0.3">
      <c r="B445" s="277">
        <f>'Production '!C448</f>
        <v>47621</v>
      </c>
      <c r="C445" s="76">
        <f ca="1">SUMIF('Production '!$C$4:$AI$4407,'Tracking Sheet'!B445,'Production '!$M$4:$M$4407)</f>
        <v>1733</v>
      </c>
      <c r="D445" s="76">
        <f ca="1">SUMIF('Production '!$C$4:$AI$4407,'Tracking Sheet'!B445,'Production '!$Q$4:$Q$4407)</f>
        <v>1733</v>
      </c>
      <c r="E445" s="76">
        <f ca="1">SUMIF('Production '!$C$4:$AI$4407,'Tracking Sheet'!B445,'Production '!$S$4:$S$4407)</f>
        <v>1733</v>
      </c>
      <c r="F445" s="76">
        <f ca="1">SUMIF('Production '!$C$4:$AI$4407,'Tracking Sheet'!B445,'Production '!$U$4:$U$4407)</f>
        <v>3</v>
      </c>
      <c r="G445" s="76">
        <f ca="1">SUMIF('Production '!$C$4:$AI$4407,'Tracking Sheet'!B445,'Production '!$W$4:$W$4407)</f>
        <v>1730</v>
      </c>
      <c r="H445" s="76">
        <f ca="1">SUMIF('Production '!$C$4:$AI$4407,'Tracking Sheet'!B445,'Production '!$F$4:$F$4407)</f>
        <v>1654</v>
      </c>
      <c r="I445" s="76">
        <f ca="1">SUMIF('Production '!$C$4:$AI$4407,'Tracking Sheet'!B445,'Production '!$V$4:$V$4407)</f>
        <v>0</v>
      </c>
      <c r="J445" s="76">
        <f ca="1">SUMIF('Production '!$C$4:$AI$4407,'Tracking Sheet'!B445,'Production '!$AG$4:$AG$4407)</f>
        <v>0</v>
      </c>
    </row>
    <row r="446" spans="2:10" x14ac:dyDescent="0.3">
      <c r="B446" s="277">
        <f>'Production '!C449</f>
        <v>47621</v>
      </c>
      <c r="C446" s="76">
        <f ca="1">SUMIF('Production '!$C$4:$AI$4407,'Tracking Sheet'!B446,'Production '!$M$4:$M$4407)</f>
        <v>1733</v>
      </c>
      <c r="D446" s="76">
        <f ca="1">SUMIF('Production '!$C$4:$AI$4407,'Tracking Sheet'!B446,'Production '!$Q$4:$Q$4407)</f>
        <v>1733</v>
      </c>
      <c r="E446" s="76">
        <f ca="1">SUMIF('Production '!$C$4:$AI$4407,'Tracking Sheet'!B446,'Production '!$S$4:$S$4407)</f>
        <v>1733</v>
      </c>
      <c r="F446" s="76">
        <f ca="1">SUMIF('Production '!$C$4:$AI$4407,'Tracking Sheet'!B446,'Production '!$U$4:$U$4407)</f>
        <v>3</v>
      </c>
      <c r="G446" s="76">
        <f ca="1">SUMIF('Production '!$C$4:$AI$4407,'Tracking Sheet'!B446,'Production '!$W$4:$W$4407)</f>
        <v>1730</v>
      </c>
      <c r="H446" s="76">
        <f ca="1">SUMIF('Production '!$C$4:$AI$4407,'Tracking Sheet'!B446,'Production '!$F$4:$F$4407)</f>
        <v>1654</v>
      </c>
      <c r="I446" s="76">
        <f ca="1">SUMIF('Production '!$C$4:$AI$4407,'Tracking Sheet'!B446,'Production '!$V$4:$V$4407)</f>
        <v>0</v>
      </c>
      <c r="J446" s="76">
        <f ca="1">SUMIF('Production '!$C$4:$AI$4407,'Tracking Sheet'!B446,'Production '!$AG$4:$AG$4407)</f>
        <v>0</v>
      </c>
    </row>
    <row r="447" spans="2:10" x14ac:dyDescent="0.3">
      <c r="B447" s="277">
        <f>'Production '!C450</f>
        <v>0</v>
      </c>
      <c r="C447" s="76" t="e">
        <f ca="1">SUMIF('Production '!$C$4:$AI$4407,'Tracking Sheet'!B447,'Production '!$M$4:$M$4407)</f>
        <v>#DIV/0!</v>
      </c>
      <c r="D447" s="76" t="e">
        <f ca="1">SUMIF('Production '!$C$4:$AI$4407,'Tracking Sheet'!B447,'Production '!$Q$4:$Q$4407)</f>
        <v>#DIV/0!</v>
      </c>
      <c r="E447" s="76">
        <f ca="1">SUMIF('Production '!$C$4:$AI$4407,'Tracking Sheet'!B447,'Production '!$S$4:$S$4407)</f>
        <v>-1268218.9828305368</v>
      </c>
      <c r="F447" s="76">
        <f ca="1">SUMIF('Production '!$C$4:$AI$4407,'Tracking Sheet'!B447,'Production '!$U$4:$U$4407)</f>
        <v>-10620.435600016917</v>
      </c>
      <c r="G447" s="76" t="e">
        <f ca="1">SUMIF('Production '!$C$4:$AI$4407,'Tracking Sheet'!B447,'Production '!$W$4:$W$4407)</f>
        <v>#DIV/0!</v>
      </c>
      <c r="H447" s="76">
        <f ca="1">SUMIF('Production '!$C$4:$AI$4407,'Tracking Sheet'!B447,'Production '!$F$4:$F$4407)</f>
        <v>3230621.3283604058</v>
      </c>
      <c r="I447" s="76">
        <f ca="1">SUMIF('Production '!$C$4:$AI$4407,'Tracking Sheet'!B447,'Production '!$V$4:$V$4407)</f>
        <v>-489.86487791182844</v>
      </c>
      <c r="J447" s="76">
        <f ca="1">SUMIF('Production '!$C$4:$AI$4407,'Tracking Sheet'!B447,'Production '!$AG$4:$AG$4407)</f>
        <v>0</v>
      </c>
    </row>
    <row r="448" spans="2:10" x14ac:dyDescent="0.3">
      <c r="B448" s="277" t="str">
        <f>'Production '!C451</f>
        <v>47950 2nd</v>
      </c>
      <c r="C448" s="76">
        <f ca="1">SUMIF('Production '!$C$4:$AI$4407,'Tracking Sheet'!B448,'Production '!$M$4:$M$4407)</f>
        <v>3507</v>
      </c>
      <c r="D448" s="76">
        <f ca="1">SUMIF('Production '!$C$4:$AI$4407,'Tracking Sheet'!B448,'Production '!$Q$4:$Q$4407)</f>
        <v>0</v>
      </c>
      <c r="E448" s="76">
        <f ca="1">SUMIF('Production '!$C$4:$AI$4407,'Tracking Sheet'!B448,'Production '!$S$4:$S$4407)</f>
        <v>0</v>
      </c>
      <c r="F448" s="76">
        <f ca="1">SUMIF('Production '!$C$4:$AI$4407,'Tracking Sheet'!B448,'Production '!$U$4:$U$4407)</f>
        <v>71</v>
      </c>
      <c r="G448" s="76">
        <f ca="1">SUMIF('Production '!$C$4:$AI$4407,'Tracking Sheet'!B448,'Production '!$W$4:$W$4407)</f>
        <v>3436</v>
      </c>
      <c r="H448" s="76">
        <f ca="1">SUMIF('Production '!$C$4:$AI$4407,'Tracking Sheet'!B448,'Production '!$F$4:$F$4407)</f>
        <v>3330</v>
      </c>
      <c r="I448" s="76">
        <f ca="1">SUMIF('Production '!$C$4:$AI$4407,'Tracking Sheet'!B448,'Production '!$V$4:$V$4407)</f>
        <v>0</v>
      </c>
      <c r="J448" s="76">
        <f ca="1">SUMIF('Production '!$C$4:$AI$4407,'Tracking Sheet'!B448,'Production '!$AG$4:$AG$4407)</f>
        <v>0</v>
      </c>
    </row>
    <row r="449" spans="2:10" x14ac:dyDescent="0.3">
      <c r="B449" s="277" t="str">
        <f>'Production '!C452</f>
        <v>47950 2nd</v>
      </c>
      <c r="C449" s="76">
        <f ca="1">SUMIF('Production '!$C$4:$AI$4407,'Tracking Sheet'!B449,'Production '!$M$4:$M$4407)</f>
        <v>3507</v>
      </c>
      <c r="D449" s="76">
        <f ca="1">SUMIF('Production '!$C$4:$AI$4407,'Tracking Sheet'!B449,'Production '!$Q$4:$Q$4407)</f>
        <v>0</v>
      </c>
      <c r="E449" s="76">
        <f ca="1">SUMIF('Production '!$C$4:$AI$4407,'Tracking Sheet'!B449,'Production '!$S$4:$S$4407)</f>
        <v>0</v>
      </c>
      <c r="F449" s="76">
        <f ca="1">SUMIF('Production '!$C$4:$AI$4407,'Tracking Sheet'!B449,'Production '!$U$4:$U$4407)</f>
        <v>71</v>
      </c>
      <c r="G449" s="76">
        <f ca="1">SUMIF('Production '!$C$4:$AI$4407,'Tracking Sheet'!B449,'Production '!$W$4:$W$4407)</f>
        <v>3436</v>
      </c>
      <c r="H449" s="76">
        <f ca="1">SUMIF('Production '!$C$4:$AI$4407,'Tracking Sheet'!B449,'Production '!$F$4:$F$4407)</f>
        <v>3330</v>
      </c>
      <c r="I449" s="76">
        <f ca="1">SUMIF('Production '!$C$4:$AI$4407,'Tracking Sheet'!B449,'Production '!$V$4:$V$4407)</f>
        <v>0</v>
      </c>
      <c r="J449" s="76">
        <f ca="1">SUMIF('Production '!$C$4:$AI$4407,'Tracking Sheet'!B449,'Production '!$AG$4:$AG$4407)</f>
        <v>0</v>
      </c>
    </row>
    <row r="450" spans="2:10" x14ac:dyDescent="0.3">
      <c r="B450" s="277" t="str">
        <f>'Production '!C453</f>
        <v>47950 2nd</v>
      </c>
      <c r="C450" s="76">
        <f ca="1">SUMIF('Production '!$C$4:$AI$4407,'Tracking Sheet'!B450,'Production '!$M$4:$M$4407)</f>
        <v>3507</v>
      </c>
      <c r="D450" s="76">
        <f ca="1">SUMIF('Production '!$C$4:$AI$4407,'Tracking Sheet'!B450,'Production '!$Q$4:$Q$4407)</f>
        <v>0</v>
      </c>
      <c r="E450" s="76">
        <f ca="1">SUMIF('Production '!$C$4:$AI$4407,'Tracking Sheet'!B450,'Production '!$S$4:$S$4407)</f>
        <v>0</v>
      </c>
      <c r="F450" s="76">
        <f ca="1">SUMIF('Production '!$C$4:$AI$4407,'Tracking Sheet'!B450,'Production '!$U$4:$U$4407)</f>
        <v>71</v>
      </c>
      <c r="G450" s="76">
        <f ca="1">SUMIF('Production '!$C$4:$AI$4407,'Tracking Sheet'!B450,'Production '!$W$4:$W$4407)</f>
        <v>3436</v>
      </c>
      <c r="H450" s="76">
        <f ca="1">SUMIF('Production '!$C$4:$AI$4407,'Tracking Sheet'!B450,'Production '!$F$4:$F$4407)</f>
        <v>3330</v>
      </c>
      <c r="I450" s="76">
        <f ca="1">SUMIF('Production '!$C$4:$AI$4407,'Tracking Sheet'!B450,'Production '!$V$4:$V$4407)</f>
        <v>0</v>
      </c>
      <c r="J450" s="76">
        <f ca="1">SUMIF('Production '!$C$4:$AI$4407,'Tracking Sheet'!B450,'Production '!$AG$4:$AG$4407)</f>
        <v>0</v>
      </c>
    </row>
    <row r="451" spans="2:10" x14ac:dyDescent="0.3">
      <c r="B451" s="277" t="str">
        <f>'Production '!C454</f>
        <v>47950 2nd</v>
      </c>
      <c r="C451" s="76">
        <f ca="1">SUMIF('Production '!$C$4:$AI$4407,'Tracking Sheet'!B451,'Production '!$M$4:$M$4407)</f>
        <v>3507</v>
      </c>
      <c r="D451" s="76">
        <f ca="1">SUMIF('Production '!$C$4:$AI$4407,'Tracking Sheet'!B451,'Production '!$Q$4:$Q$4407)</f>
        <v>0</v>
      </c>
      <c r="E451" s="76">
        <f ca="1">SUMIF('Production '!$C$4:$AI$4407,'Tracking Sheet'!B451,'Production '!$S$4:$S$4407)</f>
        <v>0</v>
      </c>
      <c r="F451" s="76">
        <f ca="1">SUMIF('Production '!$C$4:$AI$4407,'Tracking Sheet'!B451,'Production '!$U$4:$U$4407)</f>
        <v>71</v>
      </c>
      <c r="G451" s="76">
        <f ca="1">SUMIF('Production '!$C$4:$AI$4407,'Tracking Sheet'!B451,'Production '!$W$4:$W$4407)</f>
        <v>3436</v>
      </c>
      <c r="H451" s="76">
        <f ca="1">SUMIF('Production '!$C$4:$AI$4407,'Tracking Sheet'!B451,'Production '!$F$4:$F$4407)</f>
        <v>3330</v>
      </c>
      <c r="I451" s="76">
        <f ca="1">SUMIF('Production '!$C$4:$AI$4407,'Tracking Sheet'!B451,'Production '!$V$4:$V$4407)</f>
        <v>0</v>
      </c>
      <c r="J451" s="76">
        <f ca="1">SUMIF('Production '!$C$4:$AI$4407,'Tracking Sheet'!B451,'Production '!$AG$4:$AG$4407)</f>
        <v>0</v>
      </c>
    </row>
    <row r="452" spans="2:10" x14ac:dyDescent="0.3">
      <c r="B452" s="277">
        <f>'Production '!C455</f>
        <v>0</v>
      </c>
      <c r="C452" s="76" t="e">
        <f ca="1">SUMIF('Production '!$C$4:$AI$4407,'Tracking Sheet'!B452,'Production '!$M$4:$M$4407)</f>
        <v>#DIV/0!</v>
      </c>
      <c r="D452" s="76" t="e">
        <f ca="1">SUMIF('Production '!$C$4:$AI$4407,'Tracking Sheet'!B452,'Production '!$Q$4:$Q$4407)</f>
        <v>#DIV/0!</v>
      </c>
      <c r="E452" s="76">
        <f ca="1">SUMIF('Production '!$C$4:$AI$4407,'Tracking Sheet'!B452,'Production '!$S$4:$S$4407)</f>
        <v>-1268218.9828305368</v>
      </c>
      <c r="F452" s="76">
        <f ca="1">SUMIF('Production '!$C$4:$AI$4407,'Tracking Sheet'!B452,'Production '!$U$4:$U$4407)</f>
        <v>-10620.435600016917</v>
      </c>
      <c r="G452" s="76" t="e">
        <f ca="1">SUMIF('Production '!$C$4:$AI$4407,'Tracking Sheet'!B452,'Production '!$W$4:$W$4407)</f>
        <v>#DIV/0!</v>
      </c>
      <c r="H452" s="76">
        <f ca="1">SUMIF('Production '!$C$4:$AI$4407,'Tracking Sheet'!B452,'Production '!$F$4:$F$4407)</f>
        <v>3230621.3283604058</v>
      </c>
      <c r="I452" s="76">
        <f ca="1">SUMIF('Production '!$C$4:$AI$4407,'Tracking Sheet'!B452,'Production '!$V$4:$V$4407)</f>
        <v>-489.86487791182844</v>
      </c>
      <c r="J452" s="76">
        <f ca="1">SUMIF('Production '!$C$4:$AI$4407,'Tracking Sheet'!B452,'Production '!$AG$4:$AG$4407)</f>
        <v>0</v>
      </c>
    </row>
    <row r="453" spans="2:10" x14ac:dyDescent="0.3">
      <c r="B453" s="277">
        <f>'Production '!C456</f>
        <v>47950</v>
      </c>
      <c r="C453" s="76">
        <f ca="1">SUMIF('Production '!$C$4:$AI$4407,'Tracking Sheet'!B453,'Production '!$M$4:$M$4407)</f>
        <v>3129</v>
      </c>
      <c r="D453" s="76">
        <f ca="1">SUMIF('Production '!$C$4:$AI$4407,'Tracking Sheet'!B453,'Production '!$Q$4:$Q$4407)</f>
        <v>0</v>
      </c>
      <c r="E453" s="76">
        <f ca="1">SUMIF('Production '!$C$4:$AI$4407,'Tracking Sheet'!B453,'Production '!$S$4:$S$4407)</f>
        <v>0</v>
      </c>
      <c r="F453" s="76">
        <f ca="1">SUMIF('Production '!$C$4:$AI$4407,'Tracking Sheet'!B453,'Production '!$U$4:$U$4407)</f>
        <v>39</v>
      </c>
      <c r="G453" s="76">
        <f ca="1">SUMIF('Production '!$C$4:$AI$4407,'Tracking Sheet'!B453,'Production '!$W$4:$W$4407)</f>
        <v>3090</v>
      </c>
      <c r="H453" s="76">
        <f ca="1">SUMIF('Production '!$C$4:$AI$4407,'Tracking Sheet'!B453,'Production '!$F$4:$F$4407)</f>
        <v>2994</v>
      </c>
      <c r="I453" s="76">
        <f ca="1">SUMIF('Production '!$C$4:$AI$4407,'Tracking Sheet'!B453,'Production '!$V$4:$V$4407)</f>
        <v>0</v>
      </c>
      <c r="J453" s="76">
        <f ca="1">SUMIF('Production '!$C$4:$AI$4407,'Tracking Sheet'!B453,'Production '!$AG$4:$AG$4407)</f>
        <v>0</v>
      </c>
    </row>
    <row r="454" spans="2:10" x14ac:dyDescent="0.3">
      <c r="B454" s="277">
        <f>'Production '!C457</f>
        <v>47950</v>
      </c>
      <c r="C454" s="76">
        <f ca="1">SUMIF('Production '!$C$4:$AI$4407,'Tracking Sheet'!B454,'Production '!$M$4:$M$4407)</f>
        <v>3129</v>
      </c>
      <c r="D454" s="76">
        <f ca="1">SUMIF('Production '!$C$4:$AI$4407,'Tracking Sheet'!B454,'Production '!$Q$4:$Q$4407)</f>
        <v>0</v>
      </c>
      <c r="E454" s="76">
        <f ca="1">SUMIF('Production '!$C$4:$AI$4407,'Tracking Sheet'!B454,'Production '!$S$4:$S$4407)</f>
        <v>0</v>
      </c>
      <c r="F454" s="76">
        <f ca="1">SUMIF('Production '!$C$4:$AI$4407,'Tracking Sheet'!B454,'Production '!$U$4:$U$4407)</f>
        <v>39</v>
      </c>
      <c r="G454" s="76">
        <f ca="1">SUMIF('Production '!$C$4:$AI$4407,'Tracking Sheet'!B454,'Production '!$W$4:$W$4407)</f>
        <v>3090</v>
      </c>
      <c r="H454" s="76">
        <f ca="1">SUMIF('Production '!$C$4:$AI$4407,'Tracking Sheet'!B454,'Production '!$F$4:$F$4407)</f>
        <v>2994</v>
      </c>
      <c r="I454" s="76">
        <f ca="1">SUMIF('Production '!$C$4:$AI$4407,'Tracking Sheet'!B454,'Production '!$V$4:$V$4407)</f>
        <v>0</v>
      </c>
      <c r="J454" s="76">
        <f ca="1">SUMIF('Production '!$C$4:$AI$4407,'Tracking Sheet'!B454,'Production '!$AG$4:$AG$4407)</f>
        <v>0</v>
      </c>
    </row>
    <row r="455" spans="2:10" x14ac:dyDescent="0.3">
      <c r="B455" s="277">
        <f>'Production '!C458</f>
        <v>47950</v>
      </c>
      <c r="C455" s="76">
        <f ca="1">SUMIF('Production '!$C$4:$AI$4407,'Tracking Sheet'!B455,'Production '!$M$4:$M$4407)</f>
        <v>3129</v>
      </c>
      <c r="D455" s="76">
        <f ca="1">SUMIF('Production '!$C$4:$AI$4407,'Tracking Sheet'!B455,'Production '!$Q$4:$Q$4407)</f>
        <v>0</v>
      </c>
      <c r="E455" s="76">
        <f ca="1">SUMIF('Production '!$C$4:$AI$4407,'Tracking Sheet'!B455,'Production '!$S$4:$S$4407)</f>
        <v>0</v>
      </c>
      <c r="F455" s="76">
        <f ca="1">SUMIF('Production '!$C$4:$AI$4407,'Tracking Sheet'!B455,'Production '!$U$4:$U$4407)</f>
        <v>39</v>
      </c>
      <c r="G455" s="76">
        <f ca="1">SUMIF('Production '!$C$4:$AI$4407,'Tracking Sheet'!B455,'Production '!$W$4:$W$4407)</f>
        <v>3090</v>
      </c>
      <c r="H455" s="76">
        <f ca="1">SUMIF('Production '!$C$4:$AI$4407,'Tracking Sheet'!B455,'Production '!$F$4:$F$4407)</f>
        <v>2994</v>
      </c>
      <c r="I455" s="76">
        <f ca="1">SUMIF('Production '!$C$4:$AI$4407,'Tracking Sheet'!B455,'Production '!$V$4:$V$4407)</f>
        <v>0</v>
      </c>
      <c r="J455" s="76">
        <f ca="1">SUMIF('Production '!$C$4:$AI$4407,'Tracking Sheet'!B455,'Production '!$AG$4:$AG$4407)</f>
        <v>0</v>
      </c>
    </row>
    <row r="456" spans="2:10" x14ac:dyDescent="0.3">
      <c r="B456" s="277">
        <f>'Production '!C459</f>
        <v>0</v>
      </c>
      <c r="C456" s="76" t="e">
        <f ca="1">SUMIF('Production '!$C$4:$AI$4407,'Tracking Sheet'!B456,'Production '!$M$4:$M$4407)</f>
        <v>#DIV/0!</v>
      </c>
      <c r="D456" s="76" t="e">
        <f ca="1">SUMIF('Production '!$C$4:$AI$4407,'Tracking Sheet'!B456,'Production '!$Q$4:$Q$4407)</f>
        <v>#DIV/0!</v>
      </c>
      <c r="E456" s="76">
        <f ca="1">SUMIF('Production '!$C$4:$AI$4407,'Tracking Sheet'!B456,'Production '!$S$4:$S$4407)</f>
        <v>-1268218.9828305368</v>
      </c>
      <c r="F456" s="76">
        <f ca="1">SUMIF('Production '!$C$4:$AI$4407,'Tracking Sheet'!B456,'Production '!$U$4:$U$4407)</f>
        <v>-10620.435600016917</v>
      </c>
      <c r="G456" s="76" t="e">
        <f ca="1">SUMIF('Production '!$C$4:$AI$4407,'Tracking Sheet'!B456,'Production '!$W$4:$W$4407)</f>
        <v>#DIV/0!</v>
      </c>
      <c r="H456" s="76">
        <f ca="1">SUMIF('Production '!$C$4:$AI$4407,'Tracking Sheet'!B456,'Production '!$F$4:$F$4407)</f>
        <v>3230621.3283604058</v>
      </c>
      <c r="I456" s="76">
        <f ca="1">SUMIF('Production '!$C$4:$AI$4407,'Tracking Sheet'!B456,'Production '!$V$4:$V$4407)</f>
        <v>-489.86487791182844</v>
      </c>
      <c r="J456" s="76">
        <f ca="1">SUMIF('Production '!$C$4:$AI$4407,'Tracking Sheet'!B456,'Production '!$AG$4:$AG$4407)</f>
        <v>0</v>
      </c>
    </row>
    <row r="457" spans="2:10" x14ac:dyDescent="0.3">
      <c r="B457" s="277" t="str">
        <f>'Production '!C460</f>
        <v>43321 25th</v>
      </c>
      <c r="C457" s="76">
        <f ca="1">SUMIF('Production '!$C$4:$AI$4407,'Tracking Sheet'!B457,'Production '!$M$4:$M$4407)</f>
        <v>2096</v>
      </c>
      <c r="D457" s="76">
        <f ca="1">SUMIF('Production '!$C$4:$AI$4407,'Tracking Sheet'!B457,'Production '!$Q$4:$Q$4407)</f>
        <v>2086</v>
      </c>
      <c r="E457" s="76">
        <f ca="1">SUMIF('Production '!$C$4:$AI$4407,'Tracking Sheet'!B457,'Production '!$S$4:$S$4407)</f>
        <v>2080</v>
      </c>
      <c r="F457" s="76">
        <f ca="1">SUMIF('Production '!$C$4:$AI$4407,'Tracking Sheet'!B457,'Production '!$U$4:$U$4407)</f>
        <v>2</v>
      </c>
      <c r="G457" s="76">
        <f ca="1">SUMIF('Production '!$C$4:$AI$4407,'Tracking Sheet'!B457,'Production '!$W$4:$W$4407)</f>
        <v>2078</v>
      </c>
      <c r="H457" s="76">
        <f ca="1">SUMIF('Production '!$C$4:$AI$4407,'Tracking Sheet'!B457,'Production '!$F$4:$F$4407)</f>
        <v>2040</v>
      </c>
      <c r="I457" s="76">
        <f ca="1">SUMIF('Production '!$C$4:$AI$4407,'Tracking Sheet'!B457,'Production '!$V$4:$V$4407)</f>
        <v>0</v>
      </c>
      <c r="J457" s="76">
        <f ca="1">SUMIF('Production '!$C$4:$AI$4407,'Tracking Sheet'!B457,'Production '!$AG$4:$AG$4407)</f>
        <v>0</v>
      </c>
    </row>
    <row r="458" spans="2:10" x14ac:dyDescent="0.3">
      <c r="B458" s="277">
        <f>'Production '!C461</f>
        <v>0</v>
      </c>
      <c r="C458" s="76" t="e">
        <f ca="1">SUMIF('Production '!$C$4:$AI$4407,'Tracking Sheet'!B458,'Production '!$M$4:$M$4407)</f>
        <v>#DIV/0!</v>
      </c>
      <c r="D458" s="76" t="e">
        <f ca="1">SUMIF('Production '!$C$4:$AI$4407,'Tracking Sheet'!B458,'Production '!$Q$4:$Q$4407)</f>
        <v>#DIV/0!</v>
      </c>
      <c r="E458" s="76">
        <f ca="1">SUMIF('Production '!$C$4:$AI$4407,'Tracking Sheet'!B458,'Production '!$S$4:$S$4407)</f>
        <v>-1268218.9828305368</v>
      </c>
      <c r="F458" s="76">
        <f ca="1">SUMIF('Production '!$C$4:$AI$4407,'Tracking Sheet'!B458,'Production '!$U$4:$U$4407)</f>
        <v>-10620.435600016917</v>
      </c>
      <c r="G458" s="76" t="e">
        <f ca="1">SUMIF('Production '!$C$4:$AI$4407,'Tracking Sheet'!B458,'Production '!$W$4:$W$4407)</f>
        <v>#DIV/0!</v>
      </c>
      <c r="H458" s="76">
        <f ca="1">SUMIF('Production '!$C$4:$AI$4407,'Tracking Sheet'!B458,'Production '!$F$4:$F$4407)</f>
        <v>3230621.3283604058</v>
      </c>
      <c r="I458" s="76">
        <f ca="1">SUMIF('Production '!$C$4:$AI$4407,'Tracking Sheet'!B458,'Production '!$V$4:$V$4407)</f>
        <v>-489.86487791182844</v>
      </c>
      <c r="J458" s="76">
        <f ca="1">SUMIF('Production '!$C$4:$AI$4407,'Tracking Sheet'!B458,'Production '!$AG$4:$AG$4407)</f>
        <v>0</v>
      </c>
    </row>
    <row r="459" spans="2:10" x14ac:dyDescent="0.3">
      <c r="B459" s="277" t="str">
        <f>'Production '!C462</f>
        <v>43321 26th</v>
      </c>
      <c r="C459" s="76">
        <f ca="1">SUMIF('Production '!$C$4:$AI$4407,'Tracking Sheet'!B459,'Production '!$M$4:$M$4407)</f>
        <v>11373</v>
      </c>
      <c r="D459" s="76">
        <f ca="1">SUMIF('Production '!$C$4:$AI$4407,'Tracking Sheet'!B459,'Production '!$Q$4:$Q$4407)</f>
        <v>11361</v>
      </c>
      <c r="E459" s="76">
        <f ca="1">SUMIF('Production '!$C$4:$AI$4407,'Tracking Sheet'!B459,'Production '!$S$4:$S$4407)</f>
        <v>11352</v>
      </c>
      <c r="F459" s="76">
        <f ca="1">SUMIF('Production '!$C$4:$AI$4407,'Tracking Sheet'!B459,'Production '!$U$4:$U$4407)</f>
        <v>12</v>
      </c>
      <c r="G459" s="76">
        <f ca="1">SUMIF('Production '!$C$4:$AI$4407,'Tracking Sheet'!B459,'Production '!$W$4:$W$4407)</f>
        <v>11340</v>
      </c>
      <c r="H459" s="76">
        <f ca="1">SUMIF('Production '!$C$4:$AI$4407,'Tracking Sheet'!B459,'Production '!$F$4:$F$4407)</f>
        <v>11160</v>
      </c>
      <c r="I459" s="76">
        <f ca="1">SUMIF('Production '!$C$4:$AI$4407,'Tracking Sheet'!B459,'Production '!$V$4:$V$4407)</f>
        <v>0</v>
      </c>
      <c r="J459" s="76">
        <f ca="1">SUMIF('Production '!$C$4:$AI$4407,'Tracking Sheet'!B459,'Production '!$AG$4:$AG$4407)</f>
        <v>0</v>
      </c>
    </row>
    <row r="460" spans="2:10" x14ac:dyDescent="0.3">
      <c r="B460" s="277" t="str">
        <f>'Production '!C463</f>
        <v>43321 26th</v>
      </c>
      <c r="C460" s="76">
        <f ca="1">SUMIF('Production '!$C$4:$AI$4407,'Tracking Sheet'!B460,'Production '!$M$4:$M$4407)</f>
        <v>11373</v>
      </c>
      <c r="D460" s="76">
        <f ca="1">SUMIF('Production '!$C$4:$AI$4407,'Tracking Sheet'!B460,'Production '!$Q$4:$Q$4407)</f>
        <v>11361</v>
      </c>
      <c r="E460" s="76">
        <f ca="1">SUMIF('Production '!$C$4:$AI$4407,'Tracking Sheet'!B460,'Production '!$S$4:$S$4407)</f>
        <v>11352</v>
      </c>
      <c r="F460" s="76">
        <f ca="1">SUMIF('Production '!$C$4:$AI$4407,'Tracking Sheet'!B460,'Production '!$U$4:$U$4407)</f>
        <v>12</v>
      </c>
      <c r="G460" s="76">
        <f ca="1">SUMIF('Production '!$C$4:$AI$4407,'Tracking Sheet'!B460,'Production '!$W$4:$W$4407)</f>
        <v>11340</v>
      </c>
      <c r="H460" s="76">
        <f ca="1">SUMIF('Production '!$C$4:$AI$4407,'Tracking Sheet'!B460,'Production '!$F$4:$F$4407)</f>
        <v>11160</v>
      </c>
      <c r="I460" s="76">
        <f ca="1">SUMIF('Production '!$C$4:$AI$4407,'Tracking Sheet'!B460,'Production '!$V$4:$V$4407)</f>
        <v>0</v>
      </c>
      <c r="J460" s="76">
        <f ca="1">SUMIF('Production '!$C$4:$AI$4407,'Tracking Sheet'!B460,'Production '!$AG$4:$AG$4407)</f>
        <v>0</v>
      </c>
    </row>
    <row r="461" spans="2:10" x14ac:dyDescent="0.3">
      <c r="B461" s="277" t="str">
        <f>'Production '!C464</f>
        <v>43321 26th</v>
      </c>
      <c r="C461" s="76">
        <f ca="1">SUMIF('Production '!$C$4:$AI$4407,'Tracking Sheet'!B461,'Production '!$M$4:$M$4407)</f>
        <v>11373</v>
      </c>
      <c r="D461" s="76">
        <f ca="1">SUMIF('Production '!$C$4:$AI$4407,'Tracking Sheet'!B461,'Production '!$Q$4:$Q$4407)</f>
        <v>11361</v>
      </c>
      <c r="E461" s="76">
        <f ca="1">SUMIF('Production '!$C$4:$AI$4407,'Tracking Sheet'!B461,'Production '!$S$4:$S$4407)</f>
        <v>11352</v>
      </c>
      <c r="F461" s="76">
        <f ca="1">SUMIF('Production '!$C$4:$AI$4407,'Tracking Sheet'!B461,'Production '!$U$4:$U$4407)</f>
        <v>12</v>
      </c>
      <c r="G461" s="76">
        <f ca="1">SUMIF('Production '!$C$4:$AI$4407,'Tracking Sheet'!B461,'Production '!$W$4:$W$4407)</f>
        <v>11340</v>
      </c>
      <c r="H461" s="76">
        <f ca="1">SUMIF('Production '!$C$4:$AI$4407,'Tracking Sheet'!B461,'Production '!$F$4:$F$4407)</f>
        <v>11160</v>
      </c>
      <c r="I461" s="76">
        <f ca="1">SUMIF('Production '!$C$4:$AI$4407,'Tracking Sheet'!B461,'Production '!$V$4:$V$4407)</f>
        <v>0</v>
      </c>
      <c r="J461" s="76">
        <f ca="1">SUMIF('Production '!$C$4:$AI$4407,'Tracking Sheet'!B461,'Production '!$AG$4:$AG$4407)</f>
        <v>0</v>
      </c>
    </row>
    <row r="462" spans="2:10" x14ac:dyDescent="0.3">
      <c r="B462" s="277">
        <f>'Production '!C465</f>
        <v>0</v>
      </c>
      <c r="C462" s="76" t="e">
        <f ca="1">SUMIF('Production '!$C$4:$AI$4407,'Tracking Sheet'!B462,'Production '!$M$4:$M$4407)</f>
        <v>#DIV/0!</v>
      </c>
      <c r="D462" s="76" t="e">
        <f ca="1">SUMIF('Production '!$C$4:$AI$4407,'Tracking Sheet'!B462,'Production '!$Q$4:$Q$4407)</f>
        <v>#DIV/0!</v>
      </c>
      <c r="E462" s="76">
        <f ca="1">SUMIF('Production '!$C$4:$AI$4407,'Tracking Sheet'!B462,'Production '!$S$4:$S$4407)</f>
        <v>-1268218.9828305368</v>
      </c>
      <c r="F462" s="76">
        <f ca="1">SUMIF('Production '!$C$4:$AI$4407,'Tracking Sheet'!B462,'Production '!$U$4:$U$4407)</f>
        <v>-10620.435600016917</v>
      </c>
      <c r="G462" s="76" t="e">
        <f ca="1">SUMIF('Production '!$C$4:$AI$4407,'Tracking Sheet'!B462,'Production '!$W$4:$W$4407)</f>
        <v>#DIV/0!</v>
      </c>
      <c r="H462" s="76">
        <f ca="1">SUMIF('Production '!$C$4:$AI$4407,'Tracking Sheet'!B462,'Production '!$F$4:$F$4407)</f>
        <v>3230621.3283604058</v>
      </c>
      <c r="I462" s="76">
        <f ca="1">SUMIF('Production '!$C$4:$AI$4407,'Tracking Sheet'!B462,'Production '!$V$4:$V$4407)</f>
        <v>-489.86487791182844</v>
      </c>
      <c r="J462" s="76">
        <f ca="1">SUMIF('Production '!$C$4:$AI$4407,'Tracking Sheet'!B462,'Production '!$AG$4:$AG$4407)</f>
        <v>0</v>
      </c>
    </row>
    <row r="463" spans="2:10" x14ac:dyDescent="0.3">
      <c r="B463" s="277">
        <f>'Production '!C466</f>
        <v>47622</v>
      </c>
      <c r="C463" s="76">
        <f ca="1">SUMIF('Production '!$C$4:$AI$4407,'Tracking Sheet'!B463,'Production '!$M$4:$M$4407)</f>
        <v>2280</v>
      </c>
      <c r="D463" s="76">
        <f ca="1">SUMIF('Production '!$C$4:$AI$4407,'Tracking Sheet'!B463,'Production '!$Q$4:$Q$4407)</f>
        <v>2280</v>
      </c>
      <c r="E463" s="76">
        <f ca="1">SUMIF('Production '!$C$4:$AI$4407,'Tracking Sheet'!B463,'Production '!$S$4:$S$4407)</f>
        <v>2279</v>
      </c>
      <c r="F463" s="76">
        <f ca="1">SUMIF('Production '!$C$4:$AI$4407,'Tracking Sheet'!B463,'Production '!$U$4:$U$4407)</f>
        <v>12</v>
      </c>
      <c r="G463" s="76">
        <f ca="1">SUMIF('Production '!$C$4:$AI$4407,'Tracking Sheet'!B463,'Production '!$W$4:$W$4407)</f>
        <v>2267</v>
      </c>
      <c r="H463" s="76">
        <f ca="1">SUMIF('Production '!$C$4:$AI$4407,'Tracking Sheet'!B463,'Production '!$F$4:$F$4407)</f>
        <v>2193</v>
      </c>
      <c r="I463" s="76">
        <f ca="1">SUMIF('Production '!$C$4:$AI$4407,'Tracking Sheet'!B463,'Production '!$V$4:$V$4407)</f>
        <v>0</v>
      </c>
      <c r="J463" s="76">
        <f ca="1">SUMIF('Production '!$C$4:$AI$4407,'Tracking Sheet'!B463,'Production '!$AG$4:$AG$4407)</f>
        <v>0</v>
      </c>
    </row>
    <row r="464" spans="2:10" x14ac:dyDescent="0.3">
      <c r="B464" s="277">
        <f>'Production '!C467</f>
        <v>47622</v>
      </c>
      <c r="C464" s="76">
        <f ca="1">SUMIF('Production '!$C$4:$AI$4407,'Tracking Sheet'!B464,'Production '!$M$4:$M$4407)</f>
        <v>2280</v>
      </c>
      <c r="D464" s="76">
        <f ca="1">SUMIF('Production '!$C$4:$AI$4407,'Tracking Sheet'!B464,'Production '!$Q$4:$Q$4407)</f>
        <v>2280</v>
      </c>
      <c r="E464" s="76">
        <f ca="1">SUMIF('Production '!$C$4:$AI$4407,'Tracking Sheet'!B464,'Production '!$S$4:$S$4407)</f>
        <v>2279</v>
      </c>
      <c r="F464" s="76">
        <f ca="1">SUMIF('Production '!$C$4:$AI$4407,'Tracking Sheet'!B464,'Production '!$U$4:$U$4407)</f>
        <v>12</v>
      </c>
      <c r="G464" s="76">
        <f ca="1">SUMIF('Production '!$C$4:$AI$4407,'Tracking Sheet'!B464,'Production '!$W$4:$W$4407)</f>
        <v>2267</v>
      </c>
      <c r="H464" s="76">
        <f ca="1">SUMIF('Production '!$C$4:$AI$4407,'Tracking Sheet'!B464,'Production '!$F$4:$F$4407)</f>
        <v>2193</v>
      </c>
      <c r="I464" s="76">
        <f ca="1">SUMIF('Production '!$C$4:$AI$4407,'Tracking Sheet'!B464,'Production '!$V$4:$V$4407)</f>
        <v>0</v>
      </c>
      <c r="J464" s="76">
        <f ca="1">SUMIF('Production '!$C$4:$AI$4407,'Tracking Sheet'!B464,'Production '!$AG$4:$AG$4407)</f>
        <v>0</v>
      </c>
    </row>
    <row r="465" spans="2:10" x14ac:dyDescent="0.3">
      <c r="B465" s="277">
        <f>'Production '!C468</f>
        <v>0</v>
      </c>
      <c r="C465" s="76" t="e">
        <f ca="1">SUMIF('Production '!$C$4:$AI$4407,'Tracking Sheet'!B465,'Production '!$M$4:$M$4407)</f>
        <v>#DIV/0!</v>
      </c>
      <c r="D465" s="76" t="e">
        <f ca="1">SUMIF('Production '!$C$4:$AI$4407,'Tracking Sheet'!B465,'Production '!$Q$4:$Q$4407)</f>
        <v>#DIV/0!</v>
      </c>
      <c r="E465" s="76">
        <f ca="1">SUMIF('Production '!$C$4:$AI$4407,'Tracking Sheet'!B465,'Production '!$S$4:$S$4407)</f>
        <v>-1268218.9828305368</v>
      </c>
      <c r="F465" s="76">
        <f ca="1">SUMIF('Production '!$C$4:$AI$4407,'Tracking Sheet'!B465,'Production '!$U$4:$U$4407)</f>
        <v>-10620.435600016917</v>
      </c>
      <c r="G465" s="76" t="e">
        <f ca="1">SUMIF('Production '!$C$4:$AI$4407,'Tracking Sheet'!B465,'Production '!$W$4:$W$4407)</f>
        <v>#DIV/0!</v>
      </c>
      <c r="H465" s="76">
        <f ca="1">SUMIF('Production '!$C$4:$AI$4407,'Tracking Sheet'!B465,'Production '!$F$4:$F$4407)</f>
        <v>3230621.3283604058</v>
      </c>
      <c r="I465" s="76">
        <f ca="1">SUMIF('Production '!$C$4:$AI$4407,'Tracking Sheet'!B465,'Production '!$V$4:$V$4407)</f>
        <v>-489.86487791182844</v>
      </c>
      <c r="J465" s="76">
        <f ca="1">SUMIF('Production '!$C$4:$AI$4407,'Tracking Sheet'!B465,'Production '!$AG$4:$AG$4407)</f>
        <v>0</v>
      </c>
    </row>
    <row r="466" spans="2:10" x14ac:dyDescent="0.3">
      <c r="B466" s="277">
        <f>'Production '!C469</f>
        <v>47580</v>
      </c>
      <c r="C466" s="76">
        <f ca="1">SUMIF('Production '!$C$4:$AI$4407,'Tracking Sheet'!B466,'Production '!$M$4:$M$4407)</f>
        <v>4628</v>
      </c>
      <c r="D466" s="76">
        <f ca="1">SUMIF('Production '!$C$4:$AI$4407,'Tracking Sheet'!B466,'Production '!$Q$4:$Q$4407)</f>
        <v>4615</v>
      </c>
      <c r="E466" s="76">
        <f ca="1">SUMIF('Production '!$C$4:$AI$4407,'Tracking Sheet'!B466,'Production '!$S$4:$S$4407)</f>
        <v>4615</v>
      </c>
      <c r="F466" s="76">
        <f ca="1">SUMIF('Production '!$C$4:$AI$4407,'Tracking Sheet'!B466,'Production '!$U$4:$U$4407)</f>
        <v>6</v>
      </c>
      <c r="G466" s="76">
        <f ca="1">SUMIF('Production '!$C$4:$AI$4407,'Tracking Sheet'!B466,'Production '!$W$4:$W$4407)</f>
        <v>4609</v>
      </c>
      <c r="H466" s="76">
        <f ca="1">SUMIF('Production '!$C$4:$AI$4407,'Tracking Sheet'!B466,'Production '!$F$4:$F$4407)</f>
        <v>4505</v>
      </c>
      <c r="I466" s="76">
        <f ca="1">SUMIF('Production '!$C$4:$AI$4407,'Tracking Sheet'!B466,'Production '!$V$4:$V$4407)</f>
        <v>0</v>
      </c>
      <c r="J466" s="76">
        <f ca="1">SUMIF('Production '!$C$4:$AI$4407,'Tracking Sheet'!B466,'Production '!$AG$4:$AG$4407)</f>
        <v>0</v>
      </c>
    </row>
    <row r="467" spans="2:10" x14ac:dyDescent="0.3">
      <c r="B467" s="277">
        <f>'Production '!C470</f>
        <v>47580</v>
      </c>
      <c r="C467" s="76">
        <f ca="1">SUMIF('Production '!$C$4:$AI$4407,'Tracking Sheet'!B467,'Production '!$M$4:$M$4407)</f>
        <v>4628</v>
      </c>
      <c r="D467" s="76">
        <f ca="1">SUMIF('Production '!$C$4:$AI$4407,'Tracking Sheet'!B467,'Production '!$Q$4:$Q$4407)</f>
        <v>4615</v>
      </c>
      <c r="E467" s="76">
        <f ca="1">SUMIF('Production '!$C$4:$AI$4407,'Tracking Sheet'!B467,'Production '!$S$4:$S$4407)</f>
        <v>4615</v>
      </c>
      <c r="F467" s="76">
        <f ca="1">SUMIF('Production '!$C$4:$AI$4407,'Tracking Sheet'!B467,'Production '!$U$4:$U$4407)</f>
        <v>6</v>
      </c>
      <c r="G467" s="76">
        <f ca="1">SUMIF('Production '!$C$4:$AI$4407,'Tracking Sheet'!B467,'Production '!$W$4:$W$4407)</f>
        <v>4609</v>
      </c>
      <c r="H467" s="76">
        <f ca="1">SUMIF('Production '!$C$4:$AI$4407,'Tracking Sheet'!B467,'Production '!$F$4:$F$4407)</f>
        <v>4505</v>
      </c>
      <c r="I467" s="76">
        <f ca="1">SUMIF('Production '!$C$4:$AI$4407,'Tracking Sheet'!B467,'Production '!$V$4:$V$4407)</f>
        <v>0</v>
      </c>
      <c r="J467" s="76">
        <f ca="1">SUMIF('Production '!$C$4:$AI$4407,'Tracking Sheet'!B467,'Production '!$AG$4:$AG$4407)</f>
        <v>0</v>
      </c>
    </row>
    <row r="468" spans="2:10" x14ac:dyDescent="0.3">
      <c r="B468" s="277">
        <f>'Production '!C471</f>
        <v>0</v>
      </c>
      <c r="C468" s="76" t="e">
        <f ca="1">SUMIF('Production '!$C$4:$AI$4407,'Tracking Sheet'!B468,'Production '!$M$4:$M$4407)</f>
        <v>#DIV/0!</v>
      </c>
      <c r="D468" s="76" t="e">
        <f ca="1">SUMIF('Production '!$C$4:$AI$4407,'Tracking Sheet'!B468,'Production '!$Q$4:$Q$4407)</f>
        <v>#DIV/0!</v>
      </c>
      <c r="E468" s="76">
        <f ca="1">SUMIF('Production '!$C$4:$AI$4407,'Tracking Sheet'!B468,'Production '!$S$4:$S$4407)</f>
        <v>-1268218.9828305368</v>
      </c>
      <c r="F468" s="76">
        <f ca="1">SUMIF('Production '!$C$4:$AI$4407,'Tracking Sheet'!B468,'Production '!$U$4:$U$4407)</f>
        <v>-10620.435600016917</v>
      </c>
      <c r="G468" s="76" t="e">
        <f ca="1">SUMIF('Production '!$C$4:$AI$4407,'Tracking Sheet'!B468,'Production '!$W$4:$W$4407)</f>
        <v>#DIV/0!</v>
      </c>
      <c r="H468" s="76">
        <f ca="1">SUMIF('Production '!$C$4:$AI$4407,'Tracking Sheet'!B468,'Production '!$F$4:$F$4407)</f>
        <v>3230621.3283604058</v>
      </c>
      <c r="I468" s="76">
        <f ca="1">SUMIF('Production '!$C$4:$AI$4407,'Tracking Sheet'!B468,'Production '!$V$4:$V$4407)</f>
        <v>-489.86487791182844</v>
      </c>
      <c r="J468" s="76">
        <f ca="1">SUMIF('Production '!$C$4:$AI$4407,'Tracking Sheet'!B468,'Production '!$AG$4:$AG$4407)</f>
        <v>0</v>
      </c>
    </row>
    <row r="469" spans="2:10" x14ac:dyDescent="0.3">
      <c r="B469" s="277">
        <f>'Production '!C472</f>
        <v>47987</v>
      </c>
      <c r="C469" s="76">
        <f ca="1">SUMIF('Production '!$C$4:$AI$4407,'Tracking Sheet'!B469,'Production '!$M$4:$M$4407)</f>
        <v>3371</v>
      </c>
      <c r="D469" s="76">
        <f ca="1">SUMIF('Production '!$C$4:$AI$4407,'Tracking Sheet'!B469,'Production '!$Q$4:$Q$4407)</f>
        <v>3329</v>
      </c>
      <c r="E469" s="76">
        <f ca="1">SUMIF('Production '!$C$4:$AI$4407,'Tracking Sheet'!B469,'Production '!$S$4:$S$4407)</f>
        <v>3305</v>
      </c>
      <c r="F469" s="76">
        <f ca="1">SUMIF('Production '!$C$4:$AI$4407,'Tracking Sheet'!B469,'Production '!$U$4:$U$4407)</f>
        <v>3305</v>
      </c>
      <c r="G469" s="76">
        <f ca="1">SUMIF('Production '!$C$4:$AI$4407,'Tracking Sheet'!B469,'Production '!$W$4:$W$4407)</f>
        <v>0</v>
      </c>
      <c r="H469" s="76">
        <f ca="1">SUMIF('Production '!$C$4:$AI$4407,'Tracking Sheet'!B469,'Production '!$F$4:$F$4407)</f>
        <v>3218</v>
      </c>
      <c r="I469" s="76">
        <f ca="1">SUMIF('Production '!$C$4:$AI$4407,'Tracking Sheet'!B469,'Production '!$V$4:$V$4407)</f>
        <v>0</v>
      </c>
      <c r="J469" s="76">
        <f ca="1">SUMIF('Production '!$C$4:$AI$4407,'Tracking Sheet'!B469,'Production '!$AG$4:$AG$4407)</f>
        <v>0</v>
      </c>
    </row>
    <row r="470" spans="2:10" x14ac:dyDescent="0.3">
      <c r="B470" s="277">
        <f>'Production '!C473</f>
        <v>47987</v>
      </c>
      <c r="C470" s="76">
        <f ca="1">SUMIF('Production '!$C$4:$AI$4407,'Tracking Sheet'!B470,'Production '!$M$4:$M$4407)</f>
        <v>3371</v>
      </c>
      <c r="D470" s="76">
        <f ca="1">SUMIF('Production '!$C$4:$AI$4407,'Tracking Sheet'!B470,'Production '!$Q$4:$Q$4407)</f>
        <v>3329</v>
      </c>
      <c r="E470" s="76">
        <f ca="1">SUMIF('Production '!$C$4:$AI$4407,'Tracking Sheet'!B470,'Production '!$S$4:$S$4407)</f>
        <v>3305</v>
      </c>
      <c r="F470" s="76">
        <f ca="1">SUMIF('Production '!$C$4:$AI$4407,'Tracking Sheet'!B470,'Production '!$U$4:$U$4407)</f>
        <v>3305</v>
      </c>
      <c r="G470" s="76">
        <f ca="1">SUMIF('Production '!$C$4:$AI$4407,'Tracking Sheet'!B470,'Production '!$W$4:$W$4407)</f>
        <v>0</v>
      </c>
      <c r="H470" s="76">
        <f ca="1">SUMIF('Production '!$C$4:$AI$4407,'Tracking Sheet'!B470,'Production '!$F$4:$F$4407)</f>
        <v>3218</v>
      </c>
      <c r="I470" s="76">
        <f ca="1">SUMIF('Production '!$C$4:$AI$4407,'Tracking Sheet'!B470,'Production '!$V$4:$V$4407)</f>
        <v>0</v>
      </c>
      <c r="J470" s="76">
        <f ca="1">SUMIF('Production '!$C$4:$AI$4407,'Tracking Sheet'!B470,'Production '!$AG$4:$AG$4407)</f>
        <v>0</v>
      </c>
    </row>
    <row r="471" spans="2:10" x14ac:dyDescent="0.3">
      <c r="B471" s="277">
        <f>'Production '!C474</f>
        <v>0</v>
      </c>
      <c r="C471" s="76" t="e">
        <f ca="1">SUMIF('Production '!$C$4:$AI$4407,'Tracking Sheet'!B471,'Production '!$M$4:$M$4407)</f>
        <v>#DIV/0!</v>
      </c>
      <c r="D471" s="76" t="e">
        <f ca="1">SUMIF('Production '!$C$4:$AI$4407,'Tracking Sheet'!B471,'Production '!$Q$4:$Q$4407)</f>
        <v>#DIV/0!</v>
      </c>
      <c r="E471" s="76">
        <f ca="1">SUMIF('Production '!$C$4:$AI$4407,'Tracking Sheet'!B471,'Production '!$S$4:$S$4407)</f>
        <v>-1268218.9828305368</v>
      </c>
      <c r="F471" s="76">
        <f ca="1">SUMIF('Production '!$C$4:$AI$4407,'Tracking Sheet'!B471,'Production '!$U$4:$U$4407)</f>
        <v>-10620.435600016917</v>
      </c>
      <c r="G471" s="76" t="e">
        <f ca="1">SUMIF('Production '!$C$4:$AI$4407,'Tracking Sheet'!B471,'Production '!$W$4:$W$4407)</f>
        <v>#DIV/0!</v>
      </c>
      <c r="H471" s="76">
        <f ca="1">SUMIF('Production '!$C$4:$AI$4407,'Tracking Sheet'!B471,'Production '!$F$4:$F$4407)</f>
        <v>3230621.3283604058</v>
      </c>
      <c r="I471" s="76">
        <f ca="1">SUMIF('Production '!$C$4:$AI$4407,'Tracking Sheet'!B471,'Production '!$V$4:$V$4407)</f>
        <v>-489.86487791182844</v>
      </c>
      <c r="J471" s="76">
        <f ca="1">SUMIF('Production '!$C$4:$AI$4407,'Tracking Sheet'!B471,'Production '!$AG$4:$AG$4407)</f>
        <v>0</v>
      </c>
    </row>
    <row r="472" spans="2:10" x14ac:dyDescent="0.3">
      <c r="B472" s="277">
        <f>'Production '!C475</f>
        <v>47579</v>
      </c>
      <c r="C472" s="76">
        <f ca="1">SUMIF('Production '!$C$4:$AI$4407,'Tracking Sheet'!B472,'Production '!$M$4:$M$4407)</f>
        <v>4925</v>
      </c>
      <c r="D472" s="76">
        <f ca="1">SUMIF('Production '!$C$4:$AI$4407,'Tracking Sheet'!B472,'Production '!$Q$4:$Q$4407)</f>
        <v>4925</v>
      </c>
      <c r="E472" s="76">
        <f ca="1">SUMIF('Production '!$C$4:$AI$4407,'Tracking Sheet'!B472,'Production '!$S$4:$S$4407)</f>
        <v>4920</v>
      </c>
      <c r="F472" s="76">
        <f ca="1">SUMIF('Production '!$C$4:$AI$4407,'Tracking Sheet'!B472,'Production '!$U$4:$U$4407)</f>
        <v>1</v>
      </c>
      <c r="G472" s="76">
        <f ca="1">SUMIF('Production '!$C$4:$AI$4407,'Tracking Sheet'!B472,'Production '!$W$4:$W$4407)</f>
        <v>4919</v>
      </c>
      <c r="H472" s="76">
        <f ca="1">SUMIF('Production '!$C$4:$AI$4407,'Tracking Sheet'!B472,'Production '!$F$4:$F$4407)</f>
        <v>4834</v>
      </c>
      <c r="I472" s="76">
        <f ca="1">SUMIF('Production '!$C$4:$AI$4407,'Tracking Sheet'!B472,'Production '!$V$4:$V$4407)</f>
        <v>0</v>
      </c>
      <c r="J472" s="76">
        <f ca="1">SUMIF('Production '!$C$4:$AI$4407,'Tracking Sheet'!B472,'Production '!$AG$4:$AG$4407)</f>
        <v>0</v>
      </c>
    </row>
    <row r="473" spans="2:10" x14ac:dyDescent="0.3">
      <c r="B473" s="277">
        <f>'Production '!C476</f>
        <v>47579</v>
      </c>
      <c r="C473" s="76">
        <f ca="1">SUMIF('Production '!$C$4:$AI$4407,'Tracking Sheet'!B473,'Production '!$M$4:$M$4407)</f>
        <v>4925</v>
      </c>
      <c r="D473" s="76">
        <f ca="1">SUMIF('Production '!$C$4:$AI$4407,'Tracking Sheet'!B473,'Production '!$Q$4:$Q$4407)</f>
        <v>4925</v>
      </c>
      <c r="E473" s="76">
        <f ca="1">SUMIF('Production '!$C$4:$AI$4407,'Tracking Sheet'!B473,'Production '!$S$4:$S$4407)</f>
        <v>4920</v>
      </c>
      <c r="F473" s="76">
        <f ca="1">SUMIF('Production '!$C$4:$AI$4407,'Tracking Sheet'!B473,'Production '!$U$4:$U$4407)</f>
        <v>1</v>
      </c>
      <c r="G473" s="76">
        <f ca="1">SUMIF('Production '!$C$4:$AI$4407,'Tracking Sheet'!B473,'Production '!$W$4:$W$4407)</f>
        <v>4919</v>
      </c>
      <c r="H473" s="76">
        <f ca="1">SUMIF('Production '!$C$4:$AI$4407,'Tracking Sheet'!B473,'Production '!$F$4:$F$4407)</f>
        <v>4834</v>
      </c>
      <c r="I473" s="76">
        <f ca="1">SUMIF('Production '!$C$4:$AI$4407,'Tracking Sheet'!B473,'Production '!$V$4:$V$4407)</f>
        <v>0</v>
      </c>
      <c r="J473" s="76">
        <f ca="1">SUMIF('Production '!$C$4:$AI$4407,'Tracking Sheet'!B473,'Production '!$AG$4:$AG$4407)</f>
        <v>0</v>
      </c>
    </row>
    <row r="474" spans="2:10" x14ac:dyDescent="0.3">
      <c r="B474" s="277">
        <f>'Production '!C477</f>
        <v>0</v>
      </c>
      <c r="C474" s="76" t="e">
        <f ca="1">SUMIF('Production '!$C$4:$AI$4407,'Tracking Sheet'!B474,'Production '!$M$4:$M$4407)</f>
        <v>#DIV/0!</v>
      </c>
      <c r="D474" s="76" t="e">
        <f ca="1">SUMIF('Production '!$C$4:$AI$4407,'Tracking Sheet'!B474,'Production '!$Q$4:$Q$4407)</f>
        <v>#DIV/0!</v>
      </c>
      <c r="E474" s="76">
        <f ca="1">SUMIF('Production '!$C$4:$AI$4407,'Tracking Sheet'!B474,'Production '!$S$4:$S$4407)</f>
        <v>-1268218.9828305368</v>
      </c>
      <c r="F474" s="76">
        <f ca="1">SUMIF('Production '!$C$4:$AI$4407,'Tracking Sheet'!B474,'Production '!$U$4:$U$4407)</f>
        <v>-10620.435600016917</v>
      </c>
      <c r="G474" s="76" t="e">
        <f ca="1">SUMIF('Production '!$C$4:$AI$4407,'Tracking Sheet'!B474,'Production '!$W$4:$W$4407)</f>
        <v>#DIV/0!</v>
      </c>
      <c r="H474" s="76">
        <f ca="1">SUMIF('Production '!$C$4:$AI$4407,'Tracking Sheet'!B474,'Production '!$F$4:$F$4407)</f>
        <v>3230621.3283604058</v>
      </c>
      <c r="I474" s="76">
        <f ca="1">SUMIF('Production '!$C$4:$AI$4407,'Tracking Sheet'!B474,'Production '!$V$4:$V$4407)</f>
        <v>-489.86487791182844</v>
      </c>
      <c r="J474" s="76">
        <f ca="1">SUMIF('Production '!$C$4:$AI$4407,'Tracking Sheet'!B474,'Production '!$AG$4:$AG$4407)</f>
        <v>0</v>
      </c>
    </row>
    <row r="475" spans="2:10" x14ac:dyDescent="0.3">
      <c r="B475" s="277">
        <f>'Production '!C478</f>
        <v>47620</v>
      </c>
      <c r="C475" s="76">
        <f ca="1">SUMIF('Production '!$C$4:$AI$4407,'Tracking Sheet'!B475,'Production '!$M$4:$M$4407)</f>
        <v>1895</v>
      </c>
      <c r="D475" s="76">
        <f ca="1">SUMIF('Production '!$C$4:$AI$4407,'Tracking Sheet'!B475,'Production '!$Q$4:$Q$4407)</f>
        <v>0</v>
      </c>
      <c r="E475" s="76">
        <f ca="1">SUMIF('Production '!$C$4:$AI$4407,'Tracking Sheet'!B475,'Production '!$S$4:$S$4407)</f>
        <v>0</v>
      </c>
      <c r="F475" s="76">
        <f ca="1">SUMIF('Production '!$C$4:$AI$4407,'Tracking Sheet'!B475,'Production '!$U$4:$U$4407)</f>
        <v>0</v>
      </c>
      <c r="G475" s="76">
        <f ca="1">SUMIF('Production '!$C$4:$AI$4407,'Tracking Sheet'!B475,'Production '!$W$4:$W$4407)</f>
        <v>1895</v>
      </c>
      <c r="H475" s="76">
        <f ca="1">SUMIF('Production '!$C$4:$AI$4407,'Tracking Sheet'!B475,'Production '!$F$4:$F$4407)</f>
        <v>1815</v>
      </c>
      <c r="I475" s="76">
        <f ca="1">SUMIF('Production '!$C$4:$AI$4407,'Tracking Sheet'!B475,'Production '!$V$4:$V$4407)</f>
        <v>0</v>
      </c>
      <c r="J475" s="76">
        <f ca="1">SUMIF('Production '!$C$4:$AI$4407,'Tracking Sheet'!B475,'Production '!$AG$4:$AG$4407)</f>
        <v>0</v>
      </c>
    </row>
    <row r="476" spans="2:10" x14ac:dyDescent="0.3">
      <c r="B476" s="277">
        <f>'Production '!C479</f>
        <v>47620</v>
      </c>
      <c r="C476" s="76">
        <f ca="1">SUMIF('Production '!$C$4:$AI$4407,'Tracking Sheet'!B476,'Production '!$M$4:$M$4407)</f>
        <v>1895</v>
      </c>
      <c r="D476" s="76">
        <f ca="1">SUMIF('Production '!$C$4:$AI$4407,'Tracking Sheet'!B476,'Production '!$Q$4:$Q$4407)</f>
        <v>0</v>
      </c>
      <c r="E476" s="76">
        <f ca="1">SUMIF('Production '!$C$4:$AI$4407,'Tracking Sheet'!B476,'Production '!$S$4:$S$4407)</f>
        <v>0</v>
      </c>
      <c r="F476" s="76">
        <f ca="1">SUMIF('Production '!$C$4:$AI$4407,'Tracking Sheet'!B476,'Production '!$U$4:$U$4407)</f>
        <v>0</v>
      </c>
      <c r="G476" s="76">
        <f ca="1">SUMIF('Production '!$C$4:$AI$4407,'Tracking Sheet'!B476,'Production '!$W$4:$W$4407)</f>
        <v>1895</v>
      </c>
      <c r="H476" s="76">
        <f ca="1">SUMIF('Production '!$C$4:$AI$4407,'Tracking Sheet'!B476,'Production '!$F$4:$F$4407)</f>
        <v>1815</v>
      </c>
      <c r="I476" s="76">
        <f ca="1">SUMIF('Production '!$C$4:$AI$4407,'Tracking Sheet'!B476,'Production '!$V$4:$V$4407)</f>
        <v>0</v>
      </c>
      <c r="J476" s="76">
        <f ca="1">SUMIF('Production '!$C$4:$AI$4407,'Tracking Sheet'!B476,'Production '!$AG$4:$AG$4407)</f>
        <v>0</v>
      </c>
    </row>
    <row r="477" spans="2:10" x14ac:dyDescent="0.3">
      <c r="B477" s="277">
        <f>'Production '!C480</f>
        <v>0</v>
      </c>
      <c r="C477" s="76" t="e">
        <f ca="1">SUMIF('Production '!$C$4:$AI$4407,'Tracking Sheet'!B477,'Production '!$M$4:$M$4407)</f>
        <v>#DIV/0!</v>
      </c>
      <c r="D477" s="76" t="e">
        <f ca="1">SUMIF('Production '!$C$4:$AI$4407,'Tracking Sheet'!B477,'Production '!$Q$4:$Q$4407)</f>
        <v>#DIV/0!</v>
      </c>
      <c r="E477" s="76">
        <f ca="1">SUMIF('Production '!$C$4:$AI$4407,'Tracking Sheet'!B477,'Production '!$S$4:$S$4407)</f>
        <v>-1268218.9828305368</v>
      </c>
      <c r="F477" s="76">
        <f ca="1">SUMIF('Production '!$C$4:$AI$4407,'Tracking Sheet'!B477,'Production '!$U$4:$U$4407)</f>
        <v>-10620.435600016917</v>
      </c>
      <c r="G477" s="76" t="e">
        <f ca="1">SUMIF('Production '!$C$4:$AI$4407,'Tracking Sheet'!B477,'Production '!$W$4:$W$4407)</f>
        <v>#DIV/0!</v>
      </c>
      <c r="H477" s="76">
        <f ca="1">SUMIF('Production '!$C$4:$AI$4407,'Tracking Sheet'!B477,'Production '!$F$4:$F$4407)</f>
        <v>3230621.3283604058</v>
      </c>
      <c r="I477" s="76">
        <f ca="1">SUMIF('Production '!$C$4:$AI$4407,'Tracking Sheet'!B477,'Production '!$V$4:$V$4407)</f>
        <v>-489.86487791182844</v>
      </c>
      <c r="J477" s="76">
        <f ca="1">SUMIF('Production '!$C$4:$AI$4407,'Tracking Sheet'!B477,'Production '!$AG$4:$AG$4407)</f>
        <v>0</v>
      </c>
    </row>
    <row r="478" spans="2:10" x14ac:dyDescent="0.3">
      <c r="B478" s="277">
        <f>'Production '!C481</f>
        <v>47992</v>
      </c>
      <c r="C478" s="76">
        <f ca="1">SUMIF('Production '!$C$4:$AI$4407,'Tracking Sheet'!B478,'Production '!$M$4:$M$4407)</f>
        <v>2503</v>
      </c>
      <c r="D478" s="76">
        <f ca="1">SUMIF('Production '!$C$4:$AI$4407,'Tracking Sheet'!B478,'Production '!$Q$4:$Q$4407)</f>
        <v>2503</v>
      </c>
      <c r="E478" s="76">
        <f ca="1">SUMIF('Production '!$C$4:$AI$4407,'Tracking Sheet'!B478,'Production '!$S$4:$S$4407)</f>
        <v>2502</v>
      </c>
      <c r="F478" s="76">
        <f ca="1">SUMIF('Production '!$C$4:$AI$4407,'Tracking Sheet'!B478,'Production '!$U$4:$U$4407)</f>
        <v>1</v>
      </c>
      <c r="G478" s="76">
        <f ca="1">SUMIF('Production '!$C$4:$AI$4407,'Tracking Sheet'!B478,'Production '!$W$4:$W$4407)</f>
        <v>2501</v>
      </c>
      <c r="H478" s="76">
        <f ca="1">SUMIF('Production '!$C$4:$AI$4407,'Tracking Sheet'!B478,'Production '!$F$4:$F$4407)</f>
        <v>2330</v>
      </c>
      <c r="I478" s="76">
        <f ca="1">SUMIF('Production '!$C$4:$AI$4407,'Tracking Sheet'!B478,'Production '!$V$4:$V$4407)</f>
        <v>0</v>
      </c>
      <c r="J478" s="76">
        <f ca="1">SUMIF('Production '!$C$4:$AI$4407,'Tracking Sheet'!B478,'Production '!$AG$4:$AG$4407)</f>
        <v>0</v>
      </c>
    </row>
    <row r="479" spans="2:10" x14ac:dyDescent="0.3">
      <c r="B479" s="277">
        <f>'Production '!C482</f>
        <v>47992</v>
      </c>
      <c r="C479" s="76">
        <f ca="1">SUMIF('Production '!$C$4:$AI$4407,'Tracking Sheet'!B479,'Production '!$M$4:$M$4407)</f>
        <v>2503</v>
      </c>
      <c r="D479" s="76">
        <f ca="1">SUMIF('Production '!$C$4:$AI$4407,'Tracking Sheet'!B479,'Production '!$Q$4:$Q$4407)</f>
        <v>2503</v>
      </c>
      <c r="E479" s="76">
        <f ca="1">SUMIF('Production '!$C$4:$AI$4407,'Tracking Sheet'!B479,'Production '!$S$4:$S$4407)</f>
        <v>2502</v>
      </c>
      <c r="F479" s="76">
        <f ca="1">SUMIF('Production '!$C$4:$AI$4407,'Tracking Sheet'!B479,'Production '!$U$4:$U$4407)</f>
        <v>1</v>
      </c>
      <c r="G479" s="76">
        <f ca="1">SUMIF('Production '!$C$4:$AI$4407,'Tracking Sheet'!B479,'Production '!$W$4:$W$4407)</f>
        <v>2501</v>
      </c>
      <c r="H479" s="76">
        <f ca="1">SUMIF('Production '!$C$4:$AI$4407,'Tracking Sheet'!B479,'Production '!$F$4:$F$4407)</f>
        <v>2330</v>
      </c>
      <c r="I479" s="76">
        <f ca="1">SUMIF('Production '!$C$4:$AI$4407,'Tracking Sheet'!B479,'Production '!$V$4:$V$4407)</f>
        <v>0</v>
      </c>
      <c r="J479" s="76">
        <f ca="1">SUMIF('Production '!$C$4:$AI$4407,'Tracking Sheet'!B479,'Production '!$AG$4:$AG$4407)</f>
        <v>0</v>
      </c>
    </row>
    <row r="480" spans="2:10" x14ac:dyDescent="0.3">
      <c r="B480" s="277">
        <f>'Production '!C483</f>
        <v>0</v>
      </c>
      <c r="C480" s="76" t="e">
        <f ca="1">SUMIF('Production '!$C$4:$AI$4407,'Tracking Sheet'!B480,'Production '!$M$4:$M$4407)</f>
        <v>#DIV/0!</v>
      </c>
      <c r="D480" s="76" t="e">
        <f ca="1">SUMIF('Production '!$C$4:$AI$4407,'Tracking Sheet'!B480,'Production '!$Q$4:$Q$4407)</f>
        <v>#DIV/0!</v>
      </c>
      <c r="E480" s="76">
        <f ca="1">SUMIF('Production '!$C$4:$AI$4407,'Tracking Sheet'!B480,'Production '!$S$4:$S$4407)</f>
        <v>-1268218.9828305368</v>
      </c>
      <c r="F480" s="76">
        <f ca="1">SUMIF('Production '!$C$4:$AI$4407,'Tracking Sheet'!B480,'Production '!$U$4:$U$4407)</f>
        <v>-10620.435600016917</v>
      </c>
      <c r="G480" s="76" t="e">
        <f ca="1">SUMIF('Production '!$C$4:$AI$4407,'Tracking Sheet'!B480,'Production '!$W$4:$W$4407)</f>
        <v>#DIV/0!</v>
      </c>
      <c r="H480" s="76">
        <f ca="1">SUMIF('Production '!$C$4:$AI$4407,'Tracking Sheet'!B480,'Production '!$F$4:$F$4407)</f>
        <v>3230621.3283604058</v>
      </c>
      <c r="I480" s="76">
        <f ca="1">SUMIF('Production '!$C$4:$AI$4407,'Tracking Sheet'!B480,'Production '!$V$4:$V$4407)</f>
        <v>-489.86487791182844</v>
      </c>
      <c r="J480" s="76">
        <f ca="1">SUMIF('Production '!$C$4:$AI$4407,'Tracking Sheet'!B480,'Production '!$AG$4:$AG$4407)</f>
        <v>0</v>
      </c>
    </row>
    <row r="481" spans="2:10" x14ac:dyDescent="0.3">
      <c r="B481" s="277">
        <f>'Production '!C484</f>
        <v>47954</v>
      </c>
      <c r="C481" s="76">
        <f ca="1">SUMIF('Production '!$C$4:$AI$4407,'Tracking Sheet'!B481,'Production '!$M$4:$M$4407)</f>
        <v>4924</v>
      </c>
      <c r="D481" s="76">
        <f ca="1">SUMIF('Production '!$C$4:$AI$4407,'Tracking Sheet'!B481,'Production '!$Q$4:$Q$4407)</f>
        <v>4900</v>
      </c>
      <c r="E481" s="76">
        <f ca="1">SUMIF('Production '!$C$4:$AI$4407,'Tracking Sheet'!B481,'Production '!$S$4:$S$4407)</f>
        <v>4892</v>
      </c>
      <c r="F481" s="76">
        <f ca="1">SUMIF('Production '!$C$4:$AI$4407,'Tracking Sheet'!B481,'Production '!$U$4:$U$4407)</f>
        <v>72</v>
      </c>
      <c r="G481" s="76">
        <f ca="1">SUMIF('Production '!$C$4:$AI$4407,'Tracking Sheet'!B481,'Production '!$W$4:$W$4407)</f>
        <v>4820</v>
      </c>
      <c r="H481" s="76">
        <f ca="1">SUMIF('Production '!$C$4:$AI$4407,'Tracking Sheet'!B481,'Production '!$F$4:$F$4407)</f>
        <v>4712</v>
      </c>
      <c r="I481" s="76">
        <f ca="1">SUMIF('Production '!$C$4:$AI$4407,'Tracking Sheet'!B481,'Production '!$V$4:$V$4407)</f>
        <v>0</v>
      </c>
      <c r="J481" s="76">
        <f ca="1">SUMIF('Production '!$C$4:$AI$4407,'Tracking Sheet'!B481,'Production '!$AG$4:$AG$4407)</f>
        <v>0</v>
      </c>
    </row>
    <row r="482" spans="2:10" x14ac:dyDescent="0.3">
      <c r="B482" s="277">
        <f>'Production '!C485</f>
        <v>47954</v>
      </c>
      <c r="C482" s="76">
        <f ca="1">SUMIF('Production '!$C$4:$AI$4407,'Tracking Sheet'!B482,'Production '!$M$4:$M$4407)</f>
        <v>4924</v>
      </c>
      <c r="D482" s="76">
        <f ca="1">SUMIF('Production '!$C$4:$AI$4407,'Tracking Sheet'!B482,'Production '!$Q$4:$Q$4407)</f>
        <v>4900</v>
      </c>
      <c r="E482" s="76">
        <f ca="1">SUMIF('Production '!$C$4:$AI$4407,'Tracking Sheet'!B482,'Production '!$S$4:$S$4407)</f>
        <v>4892</v>
      </c>
      <c r="F482" s="76">
        <f ca="1">SUMIF('Production '!$C$4:$AI$4407,'Tracking Sheet'!B482,'Production '!$U$4:$U$4407)</f>
        <v>72</v>
      </c>
      <c r="G482" s="76">
        <f ca="1">SUMIF('Production '!$C$4:$AI$4407,'Tracking Sheet'!B482,'Production '!$W$4:$W$4407)</f>
        <v>4820</v>
      </c>
      <c r="H482" s="76">
        <f ca="1">SUMIF('Production '!$C$4:$AI$4407,'Tracking Sheet'!B482,'Production '!$F$4:$F$4407)</f>
        <v>4712</v>
      </c>
      <c r="I482" s="76">
        <f ca="1">SUMIF('Production '!$C$4:$AI$4407,'Tracking Sheet'!B482,'Production '!$V$4:$V$4407)</f>
        <v>0</v>
      </c>
      <c r="J482" s="76">
        <f ca="1">SUMIF('Production '!$C$4:$AI$4407,'Tracking Sheet'!B482,'Production '!$AG$4:$AG$4407)</f>
        <v>0</v>
      </c>
    </row>
    <row r="483" spans="2:10" x14ac:dyDescent="0.3">
      <c r="B483" s="277">
        <f>'Production '!C486</f>
        <v>0</v>
      </c>
      <c r="C483" s="76" t="e">
        <f ca="1">SUMIF('Production '!$C$4:$AI$4407,'Tracking Sheet'!B483,'Production '!$M$4:$M$4407)</f>
        <v>#DIV/0!</v>
      </c>
      <c r="D483" s="76" t="e">
        <f ca="1">SUMIF('Production '!$C$4:$AI$4407,'Tracking Sheet'!B483,'Production '!$Q$4:$Q$4407)</f>
        <v>#DIV/0!</v>
      </c>
      <c r="E483" s="76">
        <f ca="1">SUMIF('Production '!$C$4:$AI$4407,'Tracking Sheet'!B483,'Production '!$S$4:$S$4407)</f>
        <v>-1268218.9828305368</v>
      </c>
      <c r="F483" s="76">
        <f ca="1">SUMIF('Production '!$C$4:$AI$4407,'Tracking Sheet'!B483,'Production '!$U$4:$U$4407)</f>
        <v>-10620.435600016917</v>
      </c>
      <c r="G483" s="76" t="e">
        <f ca="1">SUMIF('Production '!$C$4:$AI$4407,'Tracking Sheet'!B483,'Production '!$W$4:$W$4407)</f>
        <v>#DIV/0!</v>
      </c>
      <c r="H483" s="76">
        <f ca="1">SUMIF('Production '!$C$4:$AI$4407,'Tracking Sheet'!B483,'Production '!$F$4:$F$4407)</f>
        <v>3230621.3283604058</v>
      </c>
      <c r="I483" s="76">
        <f ca="1">SUMIF('Production '!$C$4:$AI$4407,'Tracking Sheet'!B483,'Production '!$V$4:$V$4407)</f>
        <v>-489.86487791182844</v>
      </c>
      <c r="J483" s="76">
        <f ca="1">SUMIF('Production '!$C$4:$AI$4407,'Tracking Sheet'!B483,'Production '!$AG$4:$AG$4407)</f>
        <v>0</v>
      </c>
    </row>
    <row r="484" spans="2:10" x14ac:dyDescent="0.3">
      <c r="B484" s="277">
        <f>'Production '!C487</f>
        <v>47913</v>
      </c>
      <c r="C484" s="76">
        <f ca="1">SUMIF('Production '!$C$4:$AI$4407,'Tracking Sheet'!B484,'Production '!$M$4:$M$4407)</f>
        <v>3984</v>
      </c>
      <c r="D484" s="76">
        <f ca="1">SUMIF('Production '!$C$4:$AI$4407,'Tracking Sheet'!B484,'Production '!$Q$4:$Q$4407)</f>
        <v>3984</v>
      </c>
      <c r="E484" s="76">
        <f ca="1">SUMIF('Production '!$C$4:$AI$4407,'Tracking Sheet'!B484,'Production '!$S$4:$S$4407)</f>
        <v>3982</v>
      </c>
      <c r="F484" s="76">
        <f ca="1">SUMIF('Production '!$C$4:$AI$4407,'Tracking Sheet'!B484,'Production '!$U$4:$U$4407)</f>
        <v>11</v>
      </c>
      <c r="G484" s="76">
        <f ca="1">SUMIF('Production '!$C$4:$AI$4407,'Tracking Sheet'!B484,'Production '!$W$4:$W$4407)</f>
        <v>3971</v>
      </c>
      <c r="H484" s="76">
        <f ca="1">SUMIF('Production '!$C$4:$AI$4407,'Tracking Sheet'!B484,'Production '!$F$4:$F$4407)</f>
        <v>3863</v>
      </c>
      <c r="I484" s="76">
        <f ca="1">SUMIF('Production '!$C$4:$AI$4407,'Tracking Sheet'!B484,'Production '!$V$4:$V$4407)</f>
        <v>0</v>
      </c>
      <c r="J484" s="76">
        <f ca="1">SUMIF('Production '!$C$4:$AI$4407,'Tracking Sheet'!B484,'Production '!$AG$4:$AG$4407)</f>
        <v>0</v>
      </c>
    </row>
    <row r="485" spans="2:10" x14ac:dyDescent="0.3">
      <c r="B485" s="277">
        <f>'Production '!C488</f>
        <v>47913</v>
      </c>
      <c r="C485" s="76">
        <f ca="1">SUMIF('Production '!$C$4:$AI$4407,'Tracking Sheet'!B485,'Production '!$M$4:$M$4407)</f>
        <v>3984</v>
      </c>
      <c r="D485" s="76">
        <f ca="1">SUMIF('Production '!$C$4:$AI$4407,'Tracking Sheet'!B485,'Production '!$Q$4:$Q$4407)</f>
        <v>3984</v>
      </c>
      <c r="E485" s="76">
        <f ca="1">SUMIF('Production '!$C$4:$AI$4407,'Tracking Sheet'!B485,'Production '!$S$4:$S$4407)</f>
        <v>3982</v>
      </c>
      <c r="F485" s="76">
        <f ca="1">SUMIF('Production '!$C$4:$AI$4407,'Tracking Sheet'!B485,'Production '!$U$4:$U$4407)</f>
        <v>11</v>
      </c>
      <c r="G485" s="76">
        <f ca="1">SUMIF('Production '!$C$4:$AI$4407,'Tracking Sheet'!B485,'Production '!$W$4:$W$4407)</f>
        <v>3971</v>
      </c>
      <c r="H485" s="76">
        <f ca="1">SUMIF('Production '!$C$4:$AI$4407,'Tracking Sheet'!B485,'Production '!$F$4:$F$4407)</f>
        <v>3863</v>
      </c>
      <c r="I485" s="76">
        <f ca="1">SUMIF('Production '!$C$4:$AI$4407,'Tracking Sheet'!B485,'Production '!$V$4:$V$4407)</f>
        <v>0</v>
      </c>
      <c r="J485" s="76">
        <f ca="1">SUMIF('Production '!$C$4:$AI$4407,'Tracking Sheet'!B485,'Production '!$AG$4:$AG$4407)</f>
        <v>0</v>
      </c>
    </row>
    <row r="486" spans="2:10" x14ac:dyDescent="0.3">
      <c r="B486" s="277">
        <f>'Production '!C489</f>
        <v>47913</v>
      </c>
      <c r="C486" s="76">
        <f ca="1">SUMIF('Production '!$C$4:$AI$4407,'Tracking Sheet'!B486,'Production '!$M$4:$M$4407)</f>
        <v>3984</v>
      </c>
      <c r="D486" s="76">
        <f ca="1">SUMIF('Production '!$C$4:$AI$4407,'Tracking Sheet'!B486,'Production '!$Q$4:$Q$4407)</f>
        <v>3984</v>
      </c>
      <c r="E486" s="76">
        <f ca="1">SUMIF('Production '!$C$4:$AI$4407,'Tracking Sheet'!B486,'Production '!$S$4:$S$4407)</f>
        <v>3982</v>
      </c>
      <c r="F486" s="76">
        <f ca="1">SUMIF('Production '!$C$4:$AI$4407,'Tracking Sheet'!B486,'Production '!$U$4:$U$4407)</f>
        <v>11</v>
      </c>
      <c r="G486" s="76">
        <f ca="1">SUMIF('Production '!$C$4:$AI$4407,'Tracking Sheet'!B486,'Production '!$W$4:$W$4407)</f>
        <v>3971</v>
      </c>
      <c r="H486" s="76">
        <f ca="1">SUMIF('Production '!$C$4:$AI$4407,'Tracking Sheet'!B486,'Production '!$F$4:$F$4407)</f>
        <v>3863</v>
      </c>
      <c r="I486" s="76">
        <f ca="1">SUMIF('Production '!$C$4:$AI$4407,'Tracking Sheet'!B486,'Production '!$V$4:$V$4407)</f>
        <v>0</v>
      </c>
      <c r="J486" s="76">
        <f ca="1">SUMIF('Production '!$C$4:$AI$4407,'Tracking Sheet'!B486,'Production '!$AG$4:$AG$4407)</f>
        <v>0</v>
      </c>
    </row>
    <row r="487" spans="2:10" x14ac:dyDescent="0.3">
      <c r="B487" s="277">
        <f>'Production '!C490</f>
        <v>0</v>
      </c>
      <c r="C487" s="76" t="e">
        <f ca="1">SUMIF('Production '!$C$4:$AI$4407,'Tracking Sheet'!B487,'Production '!$M$4:$M$4407)</f>
        <v>#DIV/0!</v>
      </c>
      <c r="D487" s="76" t="e">
        <f ca="1">SUMIF('Production '!$C$4:$AI$4407,'Tracking Sheet'!B487,'Production '!$Q$4:$Q$4407)</f>
        <v>#DIV/0!</v>
      </c>
      <c r="E487" s="76">
        <f ca="1">SUMIF('Production '!$C$4:$AI$4407,'Tracking Sheet'!B487,'Production '!$S$4:$S$4407)</f>
        <v>-1268218.9828305368</v>
      </c>
      <c r="F487" s="76">
        <f ca="1">SUMIF('Production '!$C$4:$AI$4407,'Tracking Sheet'!B487,'Production '!$U$4:$U$4407)</f>
        <v>-10620.435600016917</v>
      </c>
      <c r="G487" s="76" t="e">
        <f ca="1">SUMIF('Production '!$C$4:$AI$4407,'Tracking Sheet'!B487,'Production '!$W$4:$W$4407)</f>
        <v>#DIV/0!</v>
      </c>
      <c r="H487" s="76">
        <f ca="1">SUMIF('Production '!$C$4:$AI$4407,'Tracking Sheet'!B487,'Production '!$F$4:$F$4407)</f>
        <v>3230621.3283604058</v>
      </c>
      <c r="I487" s="76">
        <f ca="1">SUMIF('Production '!$C$4:$AI$4407,'Tracking Sheet'!B487,'Production '!$V$4:$V$4407)</f>
        <v>-489.86487791182844</v>
      </c>
      <c r="J487" s="76">
        <f ca="1">SUMIF('Production '!$C$4:$AI$4407,'Tracking Sheet'!B487,'Production '!$AG$4:$AG$4407)</f>
        <v>0</v>
      </c>
    </row>
    <row r="488" spans="2:10" x14ac:dyDescent="0.3">
      <c r="B488" s="277" t="str">
        <f>'Production '!C491</f>
        <v>44023 12th</v>
      </c>
      <c r="C488" s="76">
        <f ca="1">SUMIF('Production '!$C$4:$AI$4407,'Tracking Sheet'!B488,'Production '!$M$4:$M$4407)</f>
        <v>8625</v>
      </c>
      <c r="D488" s="76">
        <f ca="1">SUMIF('Production '!$C$4:$AI$4407,'Tracking Sheet'!B488,'Production '!$Q$4:$Q$4407)</f>
        <v>8625</v>
      </c>
      <c r="E488" s="76">
        <f ca="1">SUMIF('Production '!$C$4:$AI$4407,'Tracking Sheet'!B488,'Production '!$S$4:$S$4407)</f>
        <v>8611</v>
      </c>
      <c r="F488" s="76">
        <f ca="1">SUMIF('Production '!$C$4:$AI$4407,'Tracking Sheet'!B488,'Production '!$U$4:$U$4407)</f>
        <v>11</v>
      </c>
      <c r="G488" s="76">
        <f ca="1">SUMIF('Production '!$C$4:$AI$4407,'Tracking Sheet'!B488,'Production '!$W$4:$W$4407)</f>
        <v>8600</v>
      </c>
      <c r="H488" s="76">
        <f ca="1">SUMIF('Production '!$C$4:$AI$4407,'Tracking Sheet'!B488,'Production '!$F$4:$F$4407)</f>
        <v>8434</v>
      </c>
      <c r="I488" s="76">
        <f ca="1">SUMIF('Production '!$C$4:$AI$4407,'Tracking Sheet'!B488,'Production '!$V$4:$V$4407)</f>
        <v>0</v>
      </c>
      <c r="J488" s="76">
        <f ca="1">SUMIF('Production '!$C$4:$AI$4407,'Tracking Sheet'!B488,'Production '!$AG$4:$AG$4407)</f>
        <v>0</v>
      </c>
    </row>
    <row r="489" spans="2:10" x14ac:dyDescent="0.3">
      <c r="B489" s="277" t="str">
        <f>'Production '!C492</f>
        <v>44023 12th</v>
      </c>
      <c r="C489" s="76">
        <f ca="1">SUMIF('Production '!$C$4:$AI$4407,'Tracking Sheet'!B489,'Production '!$M$4:$M$4407)</f>
        <v>8625</v>
      </c>
      <c r="D489" s="76">
        <f ca="1">SUMIF('Production '!$C$4:$AI$4407,'Tracking Sheet'!B489,'Production '!$Q$4:$Q$4407)</f>
        <v>8625</v>
      </c>
      <c r="E489" s="76">
        <f ca="1">SUMIF('Production '!$C$4:$AI$4407,'Tracking Sheet'!B489,'Production '!$S$4:$S$4407)</f>
        <v>8611</v>
      </c>
      <c r="F489" s="76">
        <f ca="1">SUMIF('Production '!$C$4:$AI$4407,'Tracking Sheet'!B489,'Production '!$U$4:$U$4407)</f>
        <v>11</v>
      </c>
      <c r="G489" s="76">
        <f ca="1">SUMIF('Production '!$C$4:$AI$4407,'Tracking Sheet'!B489,'Production '!$W$4:$W$4407)</f>
        <v>8600</v>
      </c>
      <c r="H489" s="76">
        <f ca="1">SUMIF('Production '!$C$4:$AI$4407,'Tracking Sheet'!B489,'Production '!$F$4:$F$4407)</f>
        <v>8434</v>
      </c>
      <c r="I489" s="76">
        <f ca="1">SUMIF('Production '!$C$4:$AI$4407,'Tracking Sheet'!B489,'Production '!$V$4:$V$4407)</f>
        <v>0</v>
      </c>
      <c r="J489" s="76">
        <f ca="1">SUMIF('Production '!$C$4:$AI$4407,'Tracking Sheet'!B489,'Production '!$AG$4:$AG$4407)</f>
        <v>0</v>
      </c>
    </row>
    <row r="490" spans="2:10" x14ac:dyDescent="0.3">
      <c r="B490" s="277" t="str">
        <f>'Production '!C493</f>
        <v>44023 12th</v>
      </c>
      <c r="C490" s="76">
        <f ca="1">SUMIF('Production '!$C$4:$AI$4407,'Tracking Sheet'!B490,'Production '!$M$4:$M$4407)</f>
        <v>8625</v>
      </c>
      <c r="D490" s="76">
        <f ca="1">SUMIF('Production '!$C$4:$AI$4407,'Tracking Sheet'!B490,'Production '!$Q$4:$Q$4407)</f>
        <v>8625</v>
      </c>
      <c r="E490" s="76">
        <f ca="1">SUMIF('Production '!$C$4:$AI$4407,'Tracking Sheet'!B490,'Production '!$S$4:$S$4407)</f>
        <v>8611</v>
      </c>
      <c r="F490" s="76">
        <f ca="1">SUMIF('Production '!$C$4:$AI$4407,'Tracking Sheet'!B490,'Production '!$U$4:$U$4407)</f>
        <v>11</v>
      </c>
      <c r="G490" s="76">
        <f ca="1">SUMIF('Production '!$C$4:$AI$4407,'Tracking Sheet'!B490,'Production '!$W$4:$W$4407)</f>
        <v>8600</v>
      </c>
      <c r="H490" s="76">
        <f ca="1">SUMIF('Production '!$C$4:$AI$4407,'Tracking Sheet'!B490,'Production '!$F$4:$F$4407)</f>
        <v>8434</v>
      </c>
      <c r="I490" s="76">
        <f ca="1">SUMIF('Production '!$C$4:$AI$4407,'Tracking Sheet'!B490,'Production '!$V$4:$V$4407)</f>
        <v>0</v>
      </c>
      <c r="J490" s="76">
        <f ca="1">SUMIF('Production '!$C$4:$AI$4407,'Tracking Sheet'!B490,'Production '!$AG$4:$AG$4407)</f>
        <v>0</v>
      </c>
    </row>
    <row r="491" spans="2:10" x14ac:dyDescent="0.3">
      <c r="B491" s="277">
        <f>'Production '!C494</f>
        <v>0</v>
      </c>
      <c r="C491" s="76" t="e">
        <f ca="1">SUMIF('Production '!$C$4:$AI$4407,'Tracking Sheet'!B491,'Production '!$M$4:$M$4407)</f>
        <v>#DIV/0!</v>
      </c>
      <c r="D491" s="76" t="e">
        <f ca="1">SUMIF('Production '!$C$4:$AI$4407,'Tracking Sheet'!B491,'Production '!$Q$4:$Q$4407)</f>
        <v>#DIV/0!</v>
      </c>
      <c r="E491" s="76">
        <f ca="1">SUMIF('Production '!$C$4:$AI$4407,'Tracking Sheet'!B491,'Production '!$S$4:$S$4407)</f>
        <v>-1268218.9828305368</v>
      </c>
      <c r="F491" s="76">
        <f ca="1">SUMIF('Production '!$C$4:$AI$4407,'Tracking Sheet'!B491,'Production '!$U$4:$U$4407)</f>
        <v>-10620.435600016917</v>
      </c>
      <c r="G491" s="76" t="e">
        <f ca="1">SUMIF('Production '!$C$4:$AI$4407,'Tracking Sheet'!B491,'Production '!$W$4:$W$4407)</f>
        <v>#DIV/0!</v>
      </c>
      <c r="H491" s="76">
        <f ca="1">SUMIF('Production '!$C$4:$AI$4407,'Tracking Sheet'!B491,'Production '!$F$4:$F$4407)</f>
        <v>3230621.3283604058</v>
      </c>
      <c r="I491" s="76">
        <f ca="1">SUMIF('Production '!$C$4:$AI$4407,'Tracking Sheet'!B491,'Production '!$V$4:$V$4407)</f>
        <v>-489.86487791182844</v>
      </c>
      <c r="J491" s="76">
        <f ca="1">SUMIF('Production '!$C$4:$AI$4407,'Tracking Sheet'!B491,'Production '!$AG$4:$AG$4407)</f>
        <v>0</v>
      </c>
    </row>
    <row r="492" spans="2:10" x14ac:dyDescent="0.3">
      <c r="B492" s="277" t="str">
        <f>'Production '!C495</f>
        <v>44023 13th</v>
      </c>
      <c r="C492" s="76">
        <f ca="1">SUMIF('Production '!$C$4:$AI$4407,'Tracking Sheet'!B492,'Production '!$M$4:$M$4407)</f>
        <v>0</v>
      </c>
      <c r="D492" s="76">
        <f ca="1">SUMIF('Production '!$C$4:$AI$4407,'Tracking Sheet'!B492,'Production '!$Q$4:$Q$4407)</f>
        <v>0</v>
      </c>
      <c r="E492" s="76">
        <f ca="1">SUMIF('Production '!$C$4:$AI$4407,'Tracking Sheet'!B492,'Production '!$S$4:$S$4407)</f>
        <v>0</v>
      </c>
      <c r="F492" s="76">
        <f ca="1">SUMIF('Production '!$C$4:$AI$4407,'Tracking Sheet'!B492,'Production '!$U$4:$U$4407)</f>
        <v>0</v>
      </c>
      <c r="G492" s="76">
        <f ca="1">SUMIF('Production '!$C$4:$AI$4407,'Tracking Sheet'!B492,'Production '!$W$4:$W$4407)</f>
        <v>0</v>
      </c>
      <c r="H492" s="76">
        <f ca="1">SUMIF('Production '!$C$4:$AI$4407,'Tracking Sheet'!B492,'Production '!$F$4:$F$4407)</f>
        <v>2080</v>
      </c>
      <c r="I492" s="76">
        <f ca="1">SUMIF('Production '!$C$4:$AI$4407,'Tracking Sheet'!B492,'Production '!$V$4:$V$4407)</f>
        <v>0</v>
      </c>
      <c r="J492" s="76">
        <f ca="1">SUMIF('Production '!$C$4:$AI$4407,'Tracking Sheet'!B492,'Production '!$AG$4:$AG$4407)</f>
        <v>-2080</v>
      </c>
    </row>
    <row r="493" spans="2:10" x14ac:dyDescent="0.3">
      <c r="B493" s="277" t="str">
        <f>'Production '!C496</f>
        <v>44023 13th</v>
      </c>
      <c r="C493" s="76">
        <f ca="1">SUMIF('Production '!$C$4:$AI$4407,'Tracking Sheet'!B493,'Production '!$M$4:$M$4407)</f>
        <v>0</v>
      </c>
      <c r="D493" s="76">
        <f ca="1">SUMIF('Production '!$C$4:$AI$4407,'Tracking Sheet'!B493,'Production '!$Q$4:$Q$4407)</f>
        <v>0</v>
      </c>
      <c r="E493" s="76">
        <f ca="1">SUMIF('Production '!$C$4:$AI$4407,'Tracking Sheet'!B493,'Production '!$S$4:$S$4407)</f>
        <v>0</v>
      </c>
      <c r="F493" s="76">
        <f ca="1">SUMIF('Production '!$C$4:$AI$4407,'Tracking Sheet'!B493,'Production '!$U$4:$U$4407)</f>
        <v>0</v>
      </c>
      <c r="G493" s="76">
        <f ca="1">SUMIF('Production '!$C$4:$AI$4407,'Tracking Sheet'!B493,'Production '!$W$4:$W$4407)</f>
        <v>0</v>
      </c>
      <c r="H493" s="76">
        <f ca="1">SUMIF('Production '!$C$4:$AI$4407,'Tracking Sheet'!B493,'Production '!$F$4:$F$4407)</f>
        <v>2080</v>
      </c>
      <c r="I493" s="76">
        <f ca="1">SUMIF('Production '!$C$4:$AI$4407,'Tracking Sheet'!B493,'Production '!$V$4:$V$4407)</f>
        <v>0</v>
      </c>
      <c r="J493" s="76">
        <f ca="1">SUMIF('Production '!$C$4:$AI$4407,'Tracking Sheet'!B493,'Production '!$AG$4:$AG$4407)</f>
        <v>-2080</v>
      </c>
    </row>
    <row r="494" spans="2:10" x14ac:dyDescent="0.3">
      <c r="B494" s="277">
        <f>'Production '!C497</f>
        <v>0</v>
      </c>
      <c r="C494" s="76" t="e">
        <f ca="1">SUMIF('Production '!$C$4:$AI$4407,'Tracking Sheet'!B494,'Production '!$M$4:$M$4407)</f>
        <v>#DIV/0!</v>
      </c>
      <c r="D494" s="76" t="e">
        <f ca="1">SUMIF('Production '!$C$4:$AI$4407,'Tracking Sheet'!B494,'Production '!$Q$4:$Q$4407)</f>
        <v>#DIV/0!</v>
      </c>
      <c r="E494" s="76">
        <f ca="1">SUMIF('Production '!$C$4:$AI$4407,'Tracking Sheet'!B494,'Production '!$S$4:$S$4407)</f>
        <v>-1268218.9828305368</v>
      </c>
      <c r="F494" s="76">
        <f ca="1">SUMIF('Production '!$C$4:$AI$4407,'Tracking Sheet'!B494,'Production '!$U$4:$U$4407)</f>
        <v>-10620.435600016917</v>
      </c>
      <c r="G494" s="76" t="e">
        <f ca="1">SUMIF('Production '!$C$4:$AI$4407,'Tracking Sheet'!B494,'Production '!$W$4:$W$4407)</f>
        <v>#DIV/0!</v>
      </c>
      <c r="H494" s="76">
        <f ca="1">SUMIF('Production '!$C$4:$AI$4407,'Tracking Sheet'!B494,'Production '!$F$4:$F$4407)</f>
        <v>3230621.3283604058</v>
      </c>
      <c r="I494" s="76">
        <f ca="1">SUMIF('Production '!$C$4:$AI$4407,'Tracking Sheet'!B494,'Production '!$V$4:$V$4407)</f>
        <v>-489.86487791182844</v>
      </c>
      <c r="J494" s="76">
        <f ca="1">SUMIF('Production '!$C$4:$AI$4407,'Tracking Sheet'!B494,'Production '!$AG$4:$AG$4407)</f>
        <v>0</v>
      </c>
    </row>
    <row r="495" spans="2:10" x14ac:dyDescent="0.3">
      <c r="B495" s="277">
        <f>'Production '!C498</f>
        <v>47948</v>
      </c>
      <c r="C495" s="76">
        <f ca="1">SUMIF('Production '!$C$4:$AI$4407,'Tracking Sheet'!B495,'Production '!$M$4:$M$4407)</f>
        <v>2281</v>
      </c>
      <c r="D495" s="76">
        <f ca="1">SUMIF('Production '!$C$4:$AI$4407,'Tracking Sheet'!B495,'Production '!$Q$4:$Q$4407)</f>
        <v>2281</v>
      </c>
      <c r="E495" s="76">
        <f ca="1">SUMIF('Production '!$C$4:$AI$4407,'Tracking Sheet'!B495,'Production '!$S$4:$S$4407)</f>
        <v>2272</v>
      </c>
      <c r="F495" s="76">
        <f ca="1">SUMIF('Production '!$C$4:$AI$4407,'Tracking Sheet'!B495,'Production '!$U$4:$U$4407)</f>
        <v>918</v>
      </c>
      <c r="G495" s="76">
        <f ca="1">SUMIF('Production '!$C$4:$AI$4407,'Tracking Sheet'!B495,'Production '!$W$4:$W$4407)</f>
        <v>1354</v>
      </c>
      <c r="H495" s="76">
        <f ca="1">SUMIF('Production '!$C$4:$AI$4407,'Tracking Sheet'!B495,'Production '!$F$4:$F$4407)</f>
        <v>2230</v>
      </c>
      <c r="I495" s="76">
        <f ca="1">SUMIF('Production '!$C$4:$AI$4407,'Tracking Sheet'!B495,'Production '!$V$4:$V$4407)</f>
        <v>1354</v>
      </c>
      <c r="J495" s="76">
        <f ca="1">SUMIF('Production '!$C$4:$AI$4407,'Tracking Sheet'!B495,'Production '!$AG$4:$AG$4407)</f>
        <v>0</v>
      </c>
    </row>
    <row r="496" spans="2:10" x14ac:dyDescent="0.3">
      <c r="B496" s="277">
        <f>'Production '!C499</f>
        <v>47948</v>
      </c>
      <c r="C496" s="76">
        <f ca="1">SUMIF('Production '!$C$4:$AI$4407,'Tracking Sheet'!B496,'Production '!$M$4:$M$4407)</f>
        <v>2281</v>
      </c>
      <c r="D496" s="76">
        <f ca="1">SUMIF('Production '!$C$4:$AI$4407,'Tracking Sheet'!B496,'Production '!$Q$4:$Q$4407)</f>
        <v>2281</v>
      </c>
      <c r="E496" s="76">
        <f ca="1">SUMIF('Production '!$C$4:$AI$4407,'Tracking Sheet'!B496,'Production '!$S$4:$S$4407)</f>
        <v>2272</v>
      </c>
      <c r="F496" s="76">
        <f ca="1">SUMIF('Production '!$C$4:$AI$4407,'Tracking Sheet'!B496,'Production '!$U$4:$U$4407)</f>
        <v>918</v>
      </c>
      <c r="G496" s="76">
        <f ca="1">SUMIF('Production '!$C$4:$AI$4407,'Tracking Sheet'!B496,'Production '!$W$4:$W$4407)</f>
        <v>1354</v>
      </c>
      <c r="H496" s="76">
        <f ca="1">SUMIF('Production '!$C$4:$AI$4407,'Tracking Sheet'!B496,'Production '!$F$4:$F$4407)</f>
        <v>2230</v>
      </c>
      <c r="I496" s="76">
        <f ca="1">SUMIF('Production '!$C$4:$AI$4407,'Tracking Sheet'!B496,'Production '!$V$4:$V$4407)</f>
        <v>1354</v>
      </c>
      <c r="J496" s="76">
        <f ca="1">SUMIF('Production '!$C$4:$AI$4407,'Tracking Sheet'!B496,'Production '!$AG$4:$AG$4407)</f>
        <v>0</v>
      </c>
    </row>
    <row r="497" spans="2:10" x14ac:dyDescent="0.3">
      <c r="B497" s="277">
        <f>'Production '!C500</f>
        <v>0</v>
      </c>
      <c r="C497" s="76" t="e">
        <f ca="1">SUMIF('Production '!$C$4:$AI$4407,'Tracking Sheet'!B497,'Production '!$M$4:$M$4407)</f>
        <v>#DIV/0!</v>
      </c>
      <c r="D497" s="76" t="e">
        <f ca="1">SUMIF('Production '!$C$4:$AI$4407,'Tracking Sheet'!B497,'Production '!$Q$4:$Q$4407)</f>
        <v>#DIV/0!</v>
      </c>
      <c r="E497" s="76">
        <f ca="1">SUMIF('Production '!$C$4:$AI$4407,'Tracking Sheet'!B497,'Production '!$S$4:$S$4407)</f>
        <v>-1268218.9828305368</v>
      </c>
      <c r="F497" s="76">
        <f ca="1">SUMIF('Production '!$C$4:$AI$4407,'Tracking Sheet'!B497,'Production '!$U$4:$U$4407)</f>
        <v>-10620.435600016917</v>
      </c>
      <c r="G497" s="76" t="e">
        <f ca="1">SUMIF('Production '!$C$4:$AI$4407,'Tracking Sheet'!B497,'Production '!$W$4:$W$4407)</f>
        <v>#DIV/0!</v>
      </c>
      <c r="H497" s="76">
        <f ca="1">SUMIF('Production '!$C$4:$AI$4407,'Tracking Sheet'!B497,'Production '!$F$4:$F$4407)</f>
        <v>3230621.3283604058</v>
      </c>
      <c r="I497" s="76">
        <f ca="1">SUMIF('Production '!$C$4:$AI$4407,'Tracking Sheet'!B497,'Production '!$V$4:$V$4407)</f>
        <v>-489.86487791182844</v>
      </c>
      <c r="J497" s="76">
        <f ca="1">SUMIF('Production '!$C$4:$AI$4407,'Tracking Sheet'!B497,'Production '!$AG$4:$AG$4407)</f>
        <v>0</v>
      </c>
    </row>
    <row r="498" spans="2:10" x14ac:dyDescent="0.3">
      <c r="B498" s="277">
        <f>'Production '!C501</f>
        <v>47917</v>
      </c>
      <c r="C498" s="76">
        <f ca="1">SUMIF('Production '!$C$4:$AI$4407,'Tracking Sheet'!B498,'Production '!$M$4:$M$4407)</f>
        <v>1674</v>
      </c>
      <c r="D498" s="76">
        <f ca="1">SUMIF('Production '!$C$4:$AI$4407,'Tracking Sheet'!B498,'Production '!$Q$4:$Q$4407)</f>
        <v>1674</v>
      </c>
      <c r="E498" s="76">
        <f ca="1">SUMIF('Production '!$C$4:$AI$4407,'Tracking Sheet'!B498,'Production '!$S$4:$S$4407)</f>
        <v>1659</v>
      </c>
      <c r="F498" s="76">
        <f ca="1">SUMIF('Production '!$C$4:$AI$4407,'Tracking Sheet'!B498,'Production '!$U$4:$U$4407)</f>
        <v>2</v>
      </c>
      <c r="G498" s="76">
        <f ca="1">SUMIF('Production '!$C$4:$AI$4407,'Tracking Sheet'!B498,'Production '!$W$4:$W$4407)</f>
        <v>1657</v>
      </c>
      <c r="H498" s="76">
        <f ca="1">SUMIF('Production '!$C$4:$AI$4407,'Tracking Sheet'!B498,'Production '!$F$4:$F$4407)</f>
        <v>1608</v>
      </c>
      <c r="I498" s="76">
        <f ca="1">SUMIF('Production '!$C$4:$AI$4407,'Tracking Sheet'!B498,'Production '!$V$4:$V$4407)</f>
        <v>0</v>
      </c>
      <c r="J498" s="76">
        <f ca="1">SUMIF('Production '!$C$4:$AI$4407,'Tracking Sheet'!B498,'Production '!$AG$4:$AG$4407)</f>
        <v>0</v>
      </c>
    </row>
    <row r="499" spans="2:10" x14ac:dyDescent="0.3">
      <c r="B499" s="277">
        <f>'Production '!C502</f>
        <v>47917</v>
      </c>
      <c r="C499" s="76">
        <f ca="1">SUMIF('Production '!$C$4:$AI$4407,'Tracking Sheet'!B499,'Production '!$M$4:$M$4407)</f>
        <v>1674</v>
      </c>
      <c r="D499" s="76">
        <f ca="1">SUMIF('Production '!$C$4:$AI$4407,'Tracking Sheet'!B499,'Production '!$Q$4:$Q$4407)</f>
        <v>1674</v>
      </c>
      <c r="E499" s="76">
        <f ca="1">SUMIF('Production '!$C$4:$AI$4407,'Tracking Sheet'!B499,'Production '!$S$4:$S$4407)</f>
        <v>1659</v>
      </c>
      <c r="F499" s="76">
        <f ca="1">SUMIF('Production '!$C$4:$AI$4407,'Tracking Sheet'!B499,'Production '!$U$4:$U$4407)</f>
        <v>2</v>
      </c>
      <c r="G499" s="76">
        <f ca="1">SUMIF('Production '!$C$4:$AI$4407,'Tracking Sheet'!B499,'Production '!$W$4:$W$4407)</f>
        <v>1657</v>
      </c>
      <c r="H499" s="76">
        <f ca="1">SUMIF('Production '!$C$4:$AI$4407,'Tracking Sheet'!B499,'Production '!$F$4:$F$4407)</f>
        <v>1608</v>
      </c>
      <c r="I499" s="76">
        <f ca="1">SUMIF('Production '!$C$4:$AI$4407,'Tracking Sheet'!B499,'Production '!$V$4:$V$4407)</f>
        <v>0</v>
      </c>
      <c r="J499" s="76">
        <f ca="1">SUMIF('Production '!$C$4:$AI$4407,'Tracking Sheet'!B499,'Production '!$AG$4:$AG$4407)</f>
        <v>0</v>
      </c>
    </row>
    <row r="500" spans="2:10" x14ac:dyDescent="0.3">
      <c r="B500" s="277">
        <f>'Production '!C503</f>
        <v>0</v>
      </c>
      <c r="C500" s="76" t="e">
        <f ca="1">SUMIF('Production '!$C$4:$AI$4407,'Tracking Sheet'!B500,'Production '!$M$4:$M$4407)</f>
        <v>#DIV/0!</v>
      </c>
      <c r="D500" s="76" t="e">
        <f ca="1">SUMIF('Production '!$C$4:$AI$4407,'Tracking Sheet'!B500,'Production '!$Q$4:$Q$4407)</f>
        <v>#DIV/0!</v>
      </c>
      <c r="E500" s="76">
        <f ca="1">SUMIF('Production '!$C$4:$AI$4407,'Tracking Sheet'!B500,'Production '!$S$4:$S$4407)</f>
        <v>-1268218.9828305368</v>
      </c>
      <c r="F500" s="76">
        <f ca="1">SUMIF('Production '!$C$4:$AI$4407,'Tracking Sheet'!B500,'Production '!$U$4:$U$4407)</f>
        <v>-10620.435600016917</v>
      </c>
      <c r="G500" s="76" t="e">
        <f ca="1">SUMIF('Production '!$C$4:$AI$4407,'Tracking Sheet'!B500,'Production '!$W$4:$W$4407)</f>
        <v>#DIV/0!</v>
      </c>
      <c r="H500" s="76">
        <f ca="1">SUMIF('Production '!$C$4:$AI$4407,'Tracking Sheet'!B500,'Production '!$F$4:$F$4407)</f>
        <v>3230621.3283604058</v>
      </c>
      <c r="I500" s="76">
        <f ca="1">SUMIF('Production '!$C$4:$AI$4407,'Tracking Sheet'!B500,'Production '!$V$4:$V$4407)</f>
        <v>-489.86487791182844</v>
      </c>
      <c r="J500" s="76">
        <f ca="1">SUMIF('Production '!$C$4:$AI$4407,'Tracking Sheet'!B500,'Production '!$AG$4:$AG$4407)</f>
        <v>0</v>
      </c>
    </row>
    <row r="501" spans="2:10" x14ac:dyDescent="0.3">
      <c r="B501" s="277">
        <f>'Production '!C504</f>
        <v>47619</v>
      </c>
      <c r="C501" s="76">
        <f ca="1">SUMIF('Production '!$C$4:$AI$4407,'Tracking Sheet'!B501,'Production '!$M$4:$M$4407)</f>
        <v>2933</v>
      </c>
      <c r="D501" s="76">
        <f ca="1">SUMIF('Production '!$C$4:$AI$4407,'Tracking Sheet'!B501,'Production '!$Q$4:$Q$4407)</f>
        <v>2932</v>
      </c>
      <c r="E501" s="76">
        <f ca="1">SUMIF('Production '!$C$4:$AI$4407,'Tracking Sheet'!B501,'Production '!$S$4:$S$4407)</f>
        <v>2932</v>
      </c>
      <c r="F501" s="76">
        <f ca="1">SUMIF('Production '!$C$4:$AI$4407,'Tracking Sheet'!B501,'Production '!$U$4:$U$4407)</f>
        <v>12</v>
      </c>
      <c r="G501" s="76">
        <f ca="1">SUMIF('Production '!$C$4:$AI$4407,'Tracking Sheet'!B501,'Production '!$W$4:$W$4407)</f>
        <v>2920</v>
      </c>
      <c r="H501" s="76">
        <f ca="1">SUMIF('Production '!$C$4:$AI$4407,'Tracking Sheet'!B501,'Production '!$F$4:$F$4407)</f>
        <v>2851</v>
      </c>
      <c r="I501" s="76">
        <f ca="1">SUMIF('Production '!$C$4:$AI$4407,'Tracking Sheet'!B501,'Production '!$V$4:$V$4407)</f>
        <v>0</v>
      </c>
      <c r="J501" s="76">
        <f ca="1">SUMIF('Production '!$C$4:$AI$4407,'Tracking Sheet'!B501,'Production '!$AG$4:$AG$4407)</f>
        <v>0</v>
      </c>
    </row>
    <row r="502" spans="2:10" x14ac:dyDescent="0.3">
      <c r="B502" s="277">
        <f>'Production '!C505</f>
        <v>47619</v>
      </c>
      <c r="C502" s="76">
        <f ca="1">SUMIF('Production '!$C$4:$AI$4407,'Tracking Sheet'!B502,'Production '!$M$4:$M$4407)</f>
        <v>2933</v>
      </c>
      <c r="D502" s="76">
        <f ca="1">SUMIF('Production '!$C$4:$AI$4407,'Tracking Sheet'!B502,'Production '!$Q$4:$Q$4407)</f>
        <v>2932</v>
      </c>
      <c r="E502" s="76">
        <f ca="1">SUMIF('Production '!$C$4:$AI$4407,'Tracking Sheet'!B502,'Production '!$S$4:$S$4407)</f>
        <v>2932</v>
      </c>
      <c r="F502" s="76">
        <f ca="1">SUMIF('Production '!$C$4:$AI$4407,'Tracking Sheet'!B502,'Production '!$U$4:$U$4407)</f>
        <v>12</v>
      </c>
      <c r="G502" s="76">
        <f ca="1">SUMIF('Production '!$C$4:$AI$4407,'Tracking Sheet'!B502,'Production '!$W$4:$W$4407)</f>
        <v>2920</v>
      </c>
      <c r="H502" s="76">
        <f ca="1">SUMIF('Production '!$C$4:$AI$4407,'Tracking Sheet'!B502,'Production '!$F$4:$F$4407)</f>
        <v>2851</v>
      </c>
      <c r="I502" s="76">
        <f ca="1">SUMIF('Production '!$C$4:$AI$4407,'Tracking Sheet'!B502,'Production '!$V$4:$V$4407)</f>
        <v>0</v>
      </c>
      <c r="J502" s="76">
        <f ca="1">SUMIF('Production '!$C$4:$AI$4407,'Tracking Sheet'!B502,'Production '!$AG$4:$AG$4407)</f>
        <v>0</v>
      </c>
    </row>
    <row r="503" spans="2:10" x14ac:dyDescent="0.3">
      <c r="B503" s="277">
        <f>'Production '!C506</f>
        <v>0</v>
      </c>
      <c r="C503" s="76" t="e">
        <f ca="1">SUMIF('Production '!$C$4:$AI$4407,'Tracking Sheet'!B503,'Production '!$M$4:$M$4407)</f>
        <v>#DIV/0!</v>
      </c>
      <c r="D503" s="76" t="e">
        <f ca="1">SUMIF('Production '!$C$4:$AI$4407,'Tracking Sheet'!B503,'Production '!$Q$4:$Q$4407)</f>
        <v>#DIV/0!</v>
      </c>
      <c r="E503" s="76">
        <f ca="1">SUMIF('Production '!$C$4:$AI$4407,'Tracking Sheet'!B503,'Production '!$S$4:$S$4407)</f>
        <v>-1268218.9828305368</v>
      </c>
      <c r="F503" s="76">
        <f ca="1">SUMIF('Production '!$C$4:$AI$4407,'Tracking Sheet'!B503,'Production '!$U$4:$U$4407)</f>
        <v>-10620.435600016917</v>
      </c>
      <c r="G503" s="76" t="e">
        <f ca="1">SUMIF('Production '!$C$4:$AI$4407,'Tracking Sheet'!B503,'Production '!$W$4:$W$4407)</f>
        <v>#DIV/0!</v>
      </c>
      <c r="H503" s="76">
        <f ca="1">SUMIF('Production '!$C$4:$AI$4407,'Tracking Sheet'!B503,'Production '!$F$4:$F$4407)</f>
        <v>3230621.3283604058</v>
      </c>
      <c r="I503" s="76">
        <f ca="1">SUMIF('Production '!$C$4:$AI$4407,'Tracking Sheet'!B503,'Production '!$V$4:$V$4407)</f>
        <v>-489.86487791182844</v>
      </c>
      <c r="J503" s="76">
        <f ca="1">SUMIF('Production '!$C$4:$AI$4407,'Tracking Sheet'!B503,'Production '!$AG$4:$AG$4407)</f>
        <v>0</v>
      </c>
    </row>
    <row r="504" spans="2:10" x14ac:dyDescent="0.3">
      <c r="B504" s="277">
        <f>'Production '!C507</f>
        <v>47618</v>
      </c>
      <c r="C504" s="76">
        <f ca="1">SUMIF('Production '!$C$4:$AI$4407,'Tracking Sheet'!B504,'Production '!$M$4:$M$4407)</f>
        <v>2731</v>
      </c>
      <c r="D504" s="76">
        <f ca="1">SUMIF('Production '!$C$4:$AI$4407,'Tracking Sheet'!B504,'Production '!$Q$4:$Q$4407)</f>
        <v>2731</v>
      </c>
      <c r="E504" s="76">
        <f ca="1">SUMIF('Production '!$C$4:$AI$4407,'Tracking Sheet'!B504,'Production '!$S$4:$S$4407)</f>
        <v>2731</v>
      </c>
      <c r="F504" s="76">
        <f ca="1">SUMIF('Production '!$C$4:$AI$4407,'Tracking Sheet'!B504,'Production '!$U$4:$U$4407)</f>
        <v>7</v>
      </c>
      <c r="G504" s="76">
        <f ca="1">SUMIF('Production '!$C$4:$AI$4407,'Tracking Sheet'!B504,'Production '!$W$4:$W$4407)</f>
        <v>2724</v>
      </c>
      <c r="H504" s="76">
        <f ca="1">SUMIF('Production '!$C$4:$AI$4407,'Tracking Sheet'!B504,'Production '!$F$4:$F$4407)</f>
        <v>2634</v>
      </c>
      <c r="I504" s="76">
        <f ca="1">SUMIF('Production '!$C$4:$AI$4407,'Tracking Sheet'!B504,'Production '!$V$4:$V$4407)</f>
        <v>0</v>
      </c>
      <c r="J504" s="76">
        <f ca="1">SUMIF('Production '!$C$4:$AI$4407,'Tracking Sheet'!B504,'Production '!$AG$4:$AG$4407)</f>
        <v>0</v>
      </c>
    </row>
    <row r="505" spans="2:10" x14ac:dyDescent="0.3">
      <c r="B505" s="277">
        <f>'Production '!C508</f>
        <v>47618</v>
      </c>
      <c r="C505" s="76">
        <f ca="1">SUMIF('Production '!$C$4:$AI$4407,'Tracking Sheet'!B505,'Production '!$M$4:$M$4407)</f>
        <v>2731</v>
      </c>
      <c r="D505" s="76">
        <f ca="1">SUMIF('Production '!$C$4:$AI$4407,'Tracking Sheet'!B505,'Production '!$Q$4:$Q$4407)</f>
        <v>2731</v>
      </c>
      <c r="E505" s="76">
        <f ca="1">SUMIF('Production '!$C$4:$AI$4407,'Tracking Sheet'!B505,'Production '!$S$4:$S$4407)</f>
        <v>2731</v>
      </c>
      <c r="F505" s="76">
        <f ca="1">SUMIF('Production '!$C$4:$AI$4407,'Tracking Sheet'!B505,'Production '!$U$4:$U$4407)</f>
        <v>7</v>
      </c>
      <c r="G505" s="76">
        <f ca="1">SUMIF('Production '!$C$4:$AI$4407,'Tracking Sheet'!B505,'Production '!$W$4:$W$4407)</f>
        <v>2724</v>
      </c>
      <c r="H505" s="76">
        <f ca="1">SUMIF('Production '!$C$4:$AI$4407,'Tracking Sheet'!B505,'Production '!$F$4:$F$4407)</f>
        <v>2634</v>
      </c>
      <c r="I505" s="76">
        <f ca="1">SUMIF('Production '!$C$4:$AI$4407,'Tracking Sheet'!B505,'Production '!$V$4:$V$4407)</f>
        <v>0</v>
      </c>
      <c r="J505" s="76">
        <f ca="1">SUMIF('Production '!$C$4:$AI$4407,'Tracking Sheet'!B505,'Production '!$AG$4:$AG$4407)</f>
        <v>0</v>
      </c>
    </row>
    <row r="506" spans="2:10" x14ac:dyDescent="0.3">
      <c r="B506" s="277">
        <f>'Production '!C509</f>
        <v>0</v>
      </c>
      <c r="C506" s="76" t="e">
        <f ca="1">SUMIF('Production '!$C$4:$AI$4407,'Tracking Sheet'!B506,'Production '!$M$4:$M$4407)</f>
        <v>#DIV/0!</v>
      </c>
      <c r="D506" s="76" t="e">
        <f ca="1">SUMIF('Production '!$C$4:$AI$4407,'Tracking Sheet'!B506,'Production '!$Q$4:$Q$4407)</f>
        <v>#DIV/0!</v>
      </c>
      <c r="E506" s="76">
        <f ca="1">SUMIF('Production '!$C$4:$AI$4407,'Tracking Sheet'!B506,'Production '!$S$4:$S$4407)</f>
        <v>-1268218.9828305368</v>
      </c>
      <c r="F506" s="76">
        <f ca="1">SUMIF('Production '!$C$4:$AI$4407,'Tracking Sheet'!B506,'Production '!$U$4:$U$4407)</f>
        <v>-10620.435600016917</v>
      </c>
      <c r="G506" s="76" t="e">
        <f ca="1">SUMIF('Production '!$C$4:$AI$4407,'Tracking Sheet'!B506,'Production '!$W$4:$W$4407)</f>
        <v>#DIV/0!</v>
      </c>
      <c r="H506" s="76">
        <f ca="1">SUMIF('Production '!$C$4:$AI$4407,'Tracking Sheet'!B506,'Production '!$F$4:$F$4407)</f>
        <v>3230621.3283604058</v>
      </c>
      <c r="I506" s="76">
        <f ca="1">SUMIF('Production '!$C$4:$AI$4407,'Tracking Sheet'!B506,'Production '!$V$4:$V$4407)</f>
        <v>-489.86487791182844</v>
      </c>
      <c r="J506" s="76">
        <f ca="1">SUMIF('Production '!$C$4:$AI$4407,'Tracking Sheet'!B506,'Production '!$AG$4:$AG$4407)</f>
        <v>0</v>
      </c>
    </row>
    <row r="507" spans="2:10" x14ac:dyDescent="0.3">
      <c r="B507" s="277">
        <f>'Production '!C510</f>
        <v>47963</v>
      </c>
      <c r="C507" s="76">
        <f ca="1">SUMIF('Production '!$C$4:$AI$4407,'Tracking Sheet'!B507,'Production '!$M$4:$M$4407)</f>
        <v>6241</v>
      </c>
      <c r="D507" s="76">
        <f ca="1">SUMIF('Production '!$C$4:$AI$4407,'Tracking Sheet'!B507,'Production '!$Q$4:$Q$4407)</f>
        <v>6241</v>
      </c>
      <c r="E507" s="76">
        <f ca="1">SUMIF('Production '!$C$4:$AI$4407,'Tracking Sheet'!B507,'Production '!$S$4:$S$4407)</f>
        <v>6206</v>
      </c>
      <c r="F507" s="76">
        <f ca="1">SUMIF('Production '!$C$4:$AI$4407,'Tracking Sheet'!B507,'Production '!$U$4:$U$4407)</f>
        <v>914</v>
      </c>
      <c r="G507" s="76">
        <f ca="1">SUMIF('Production '!$C$4:$AI$4407,'Tracking Sheet'!B507,'Production '!$W$4:$W$4407)</f>
        <v>5292</v>
      </c>
      <c r="H507" s="76">
        <f ca="1">SUMIF('Production '!$C$4:$AI$4407,'Tracking Sheet'!B507,'Production '!$F$4:$F$4407)</f>
        <v>6084</v>
      </c>
      <c r="I507" s="76">
        <f ca="1">SUMIF('Production '!$C$4:$AI$4407,'Tracking Sheet'!B507,'Production '!$V$4:$V$4407)</f>
        <v>0</v>
      </c>
      <c r="J507" s="76">
        <f ca="1">SUMIF('Production '!$C$4:$AI$4407,'Tracking Sheet'!B507,'Production '!$AG$4:$AG$4407)</f>
        <v>0</v>
      </c>
    </row>
    <row r="508" spans="2:10" x14ac:dyDescent="0.3">
      <c r="B508" s="277">
        <f>'Production '!C511</f>
        <v>47963</v>
      </c>
      <c r="C508" s="76">
        <f ca="1">SUMIF('Production '!$C$4:$AI$4407,'Tracking Sheet'!B508,'Production '!$M$4:$M$4407)</f>
        <v>6241</v>
      </c>
      <c r="D508" s="76">
        <f ca="1">SUMIF('Production '!$C$4:$AI$4407,'Tracking Sheet'!B508,'Production '!$Q$4:$Q$4407)</f>
        <v>6241</v>
      </c>
      <c r="E508" s="76">
        <f ca="1">SUMIF('Production '!$C$4:$AI$4407,'Tracking Sheet'!B508,'Production '!$S$4:$S$4407)</f>
        <v>6206</v>
      </c>
      <c r="F508" s="76">
        <f ca="1">SUMIF('Production '!$C$4:$AI$4407,'Tracking Sheet'!B508,'Production '!$U$4:$U$4407)</f>
        <v>914</v>
      </c>
      <c r="G508" s="76">
        <f ca="1">SUMIF('Production '!$C$4:$AI$4407,'Tracking Sheet'!B508,'Production '!$W$4:$W$4407)</f>
        <v>5292</v>
      </c>
      <c r="H508" s="76">
        <f ca="1">SUMIF('Production '!$C$4:$AI$4407,'Tracking Sheet'!B508,'Production '!$F$4:$F$4407)</f>
        <v>6084</v>
      </c>
      <c r="I508" s="76">
        <f ca="1">SUMIF('Production '!$C$4:$AI$4407,'Tracking Sheet'!B508,'Production '!$V$4:$V$4407)</f>
        <v>0</v>
      </c>
      <c r="J508" s="76">
        <f ca="1">SUMIF('Production '!$C$4:$AI$4407,'Tracking Sheet'!B508,'Production '!$AG$4:$AG$4407)</f>
        <v>0</v>
      </c>
    </row>
    <row r="509" spans="2:10" x14ac:dyDescent="0.3">
      <c r="B509" s="277">
        <f>'Production '!C512</f>
        <v>0</v>
      </c>
      <c r="C509" s="76" t="e">
        <f ca="1">SUMIF('Production '!$C$4:$AI$4407,'Tracking Sheet'!B509,'Production '!$M$4:$M$4407)</f>
        <v>#DIV/0!</v>
      </c>
      <c r="D509" s="76" t="e">
        <f ca="1">SUMIF('Production '!$C$4:$AI$4407,'Tracking Sheet'!B509,'Production '!$Q$4:$Q$4407)</f>
        <v>#DIV/0!</v>
      </c>
      <c r="E509" s="76">
        <f ca="1">SUMIF('Production '!$C$4:$AI$4407,'Tracking Sheet'!B509,'Production '!$S$4:$S$4407)</f>
        <v>-1268218.9828305368</v>
      </c>
      <c r="F509" s="76">
        <f ca="1">SUMIF('Production '!$C$4:$AI$4407,'Tracking Sheet'!B509,'Production '!$U$4:$U$4407)</f>
        <v>-10620.435600016917</v>
      </c>
      <c r="G509" s="76" t="e">
        <f ca="1">SUMIF('Production '!$C$4:$AI$4407,'Tracking Sheet'!B509,'Production '!$W$4:$W$4407)</f>
        <v>#DIV/0!</v>
      </c>
      <c r="H509" s="76">
        <f ca="1">SUMIF('Production '!$C$4:$AI$4407,'Tracking Sheet'!B509,'Production '!$F$4:$F$4407)</f>
        <v>3230621.3283604058</v>
      </c>
      <c r="I509" s="76">
        <f ca="1">SUMIF('Production '!$C$4:$AI$4407,'Tracking Sheet'!B509,'Production '!$V$4:$V$4407)</f>
        <v>-489.86487791182844</v>
      </c>
      <c r="J509" s="76">
        <f ca="1">SUMIF('Production '!$C$4:$AI$4407,'Tracking Sheet'!B509,'Production '!$AG$4:$AG$4407)</f>
        <v>0</v>
      </c>
    </row>
    <row r="510" spans="2:10" x14ac:dyDescent="0.3">
      <c r="B510" s="277" t="str">
        <f>'Production '!C513</f>
        <v>43326 13th</v>
      </c>
      <c r="C510" s="76">
        <f ca="1">SUMIF('Production '!$C$4:$AI$4407,'Tracking Sheet'!B510,'Production '!$M$4:$M$4407)</f>
        <v>2367</v>
      </c>
      <c r="D510" s="76">
        <f ca="1">SUMIF('Production '!$C$4:$AI$4407,'Tracking Sheet'!B510,'Production '!$Q$4:$Q$4407)</f>
        <v>0</v>
      </c>
      <c r="E510" s="76">
        <f ca="1">SUMIF('Production '!$C$4:$AI$4407,'Tracking Sheet'!B510,'Production '!$S$4:$S$4407)</f>
        <v>0</v>
      </c>
      <c r="F510" s="76">
        <f ca="1">SUMIF('Production '!$C$4:$AI$4407,'Tracking Sheet'!B510,'Production '!$U$4:$U$4407)</f>
        <v>0</v>
      </c>
      <c r="G510" s="76">
        <f ca="1">SUMIF('Production '!$C$4:$AI$4407,'Tracking Sheet'!B510,'Production '!$W$4:$W$4407)</f>
        <v>2367</v>
      </c>
      <c r="H510" s="76">
        <f ca="1">SUMIF('Production '!$C$4:$AI$4407,'Tracking Sheet'!B510,'Production '!$F$4:$F$4407)</f>
        <v>2278</v>
      </c>
      <c r="I510" s="76">
        <f ca="1">SUMIF('Production '!$C$4:$AI$4407,'Tracking Sheet'!B510,'Production '!$V$4:$V$4407)</f>
        <v>0</v>
      </c>
      <c r="J510" s="76">
        <f ca="1">SUMIF('Production '!$C$4:$AI$4407,'Tracking Sheet'!B510,'Production '!$AG$4:$AG$4407)</f>
        <v>0</v>
      </c>
    </row>
    <row r="511" spans="2:10" x14ac:dyDescent="0.3">
      <c r="B511" s="277" t="str">
        <f>'Production '!C514</f>
        <v>43326 13th</v>
      </c>
      <c r="C511" s="76">
        <f ca="1">SUMIF('Production '!$C$4:$AI$4407,'Tracking Sheet'!B511,'Production '!$M$4:$M$4407)</f>
        <v>2367</v>
      </c>
      <c r="D511" s="76">
        <f ca="1">SUMIF('Production '!$C$4:$AI$4407,'Tracking Sheet'!B511,'Production '!$Q$4:$Q$4407)</f>
        <v>0</v>
      </c>
      <c r="E511" s="76">
        <f ca="1">SUMIF('Production '!$C$4:$AI$4407,'Tracking Sheet'!B511,'Production '!$S$4:$S$4407)</f>
        <v>0</v>
      </c>
      <c r="F511" s="76">
        <f ca="1">SUMIF('Production '!$C$4:$AI$4407,'Tracking Sheet'!B511,'Production '!$U$4:$U$4407)</f>
        <v>0</v>
      </c>
      <c r="G511" s="76">
        <f ca="1">SUMIF('Production '!$C$4:$AI$4407,'Tracking Sheet'!B511,'Production '!$W$4:$W$4407)</f>
        <v>2367</v>
      </c>
      <c r="H511" s="76">
        <f ca="1">SUMIF('Production '!$C$4:$AI$4407,'Tracking Sheet'!B511,'Production '!$F$4:$F$4407)</f>
        <v>2278</v>
      </c>
      <c r="I511" s="76">
        <f ca="1">SUMIF('Production '!$C$4:$AI$4407,'Tracking Sheet'!B511,'Production '!$V$4:$V$4407)</f>
        <v>0</v>
      </c>
      <c r="J511" s="76">
        <f ca="1">SUMIF('Production '!$C$4:$AI$4407,'Tracking Sheet'!B511,'Production '!$AG$4:$AG$4407)</f>
        <v>0</v>
      </c>
    </row>
    <row r="512" spans="2:10" x14ac:dyDescent="0.3">
      <c r="B512" s="277">
        <f>'Production '!C515</f>
        <v>0</v>
      </c>
      <c r="C512" s="76" t="e">
        <f ca="1">SUMIF('Production '!$C$4:$AI$4407,'Tracking Sheet'!B512,'Production '!$M$4:$M$4407)</f>
        <v>#DIV/0!</v>
      </c>
      <c r="D512" s="76" t="e">
        <f ca="1">SUMIF('Production '!$C$4:$AI$4407,'Tracking Sheet'!B512,'Production '!$Q$4:$Q$4407)</f>
        <v>#DIV/0!</v>
      </c>
      <c r="E512" s="76">
        <f ca="1">SUMIF('Production '!$C$4:$AI$4407,'Tracking Sheet'!B512,'Production '!$S$4:$S$4407)</f>
        <v>-1268218.9828305368</v>
      </c>
      <c r="F512" s="76">
        <f ca="1">SUMIF('Production '!$C$4:$AI$4407,'Tracking Sheet'!B512,'Production '!$U$4:$U$4407)</f>
        <v>-10620.435600016917</v>
      </c>
      <c r="G512" s="76" t="e">
        <f ca="1">SUMIF('Production '!$C$4:$AI$4407,'Tracking Sheet'!B512,'Production '!$W$4:$W$4407)</f>
        <v>#DIV/0!</v>
      </c>
      <c r="H512" s="76">
        <f ca="1">SUMIF('Production '!$C$4:$AI$4407,'Tracking Sheet'!B512,'Production '!$F$4:$F$4407)</f>
        <v>3230621.3283604058</v>
      </c>
      <c r="I512" s="76">
        <f ca="1">SUMIF('Production '!$C$4:$AI$4407,'Tracking Sheet'!B512,'Production '!$V$4:$V$4407)</f>
        <v>-489.86487791182844</v>
      </c>
      <c r="J512" s="76">
        <f ca="1">SUMIF('Production '!$C$4:$AI$4407,'Tracking Sheet'!B512,'Production '!$AG$4:$AG$4407)</f>
        <v>0</v>
      </c>
    </row>
    <row r="513" spans="2:10" x14ac:dyDescent="0.3">
      <c r="B513" s="277">
        <f>'Production '!C516</f>
        <v>47957</v>
      </c>
      <c r="C513" s="76">
        <f ca="1">SUMIF('Production '!$C$4:$AI$4407,'Tracking Sheet'!B513,'Production '!$M$4:$M$4407)</f>
        <v>2328</v>
      </c>
      <c r="D513" s="76">
        <f ca="1">SUMIF('Production '!$C$4:$AI$4407,'Tracking Sheet'!B513,'Production '!$Q$4:$Q$4407)</f>
        <v>2328</v>
      </c>
      <c r="E513" s="76">
        <f ca="1">SUMIF('Production '!$C$4:$AI$4407,'Tracking Sheet'!B513,'Production '!$S$4:$S$4407)</f>
        <v>2317</v>
      </c>
      <c r="F513" s="76">
        <f ca="1">SUMIF('Production '!$C$4:$AI$4407,'Tracking Sheet'!B513,'Production '!$U$4:$U$4407)</f>
        <v>18</v>
      </c>
      <c r="G513" s="76">
        <f ca="1">SUMIF('Production '!$C$4:$AI$4407,'Tracking Sheet'!B513,'Production '!$W$4:$W$4407)</f>
        <v>2299</v>
      </c>
      <c r="H513" s="76">
        <f ca="1">SUMIF('Production '!$C$4:$AI$4407,'Tracking Sheet'!B513,'Production '!$F$4:$F$4407)</f>
        <v>2252</v>
      </c>
      <c r="I513" s="76">
        <f ca="1">SUMIF('Production '!$C$4:$AI$4407,'Tracking Sheet'!B513,'Production '!$V$4:$V$4407)</f>
        <v>0</v>
      </c>
      <c r="J513" s="76">
        <f ca="1">SUMIF('Production '!$C$4:$AI$4407,'Tracking Sheet'!B513,'Production '!$AG$4:$AG$4407)</f>
        <v>0</v>
      </c>
    </row>
    <row r="514" spans="2:10" x14ac:dyDescent="0.3">
      <c r="B514" s="277">
        <f>'Production '!C517</f>
        <v>47957</v>
      </c>
      <c r="C514" s="76">
        <f ca="1">SUMIF('Production '!$C$4:$AI$4407,'Tracking Sheet'!B514,'Production '!$M$4:$M$4407)</f>
        <v>2328</v>
      </c>
      <c r="D514" s="76">
        <f ca="1">SUMIF('Production '!$C$4:$AI$4407,'Tracking Sheet'!B514,'Production '!$Q$4:$Q$4407)</f>
        <v>2328</v>
      </c>
      <c r="E514" s="76">
        <f ca="1">SUMIF('Production '!$C$4:$AI$4407,'Tracking Sheet'!B514,'Production '!$S$4:$S$4407)</f>
        <v>2317</v>
      </c>
      <c r="F514" s="76">
        <f ca="1">SUMIF('Production '!$C$4:$AI$4407,'Tracking Sheet'!B514,'Production '!$U$4:$U$4407)</f>
        <v>18</v>
      </c>
      <c r="G514" s="76">
        <f ca="1">SUMIF('Production '!$C$4:$AI$4407,'Tracking Sheet'!B514,'Production '!$W$4:$W$4407)</f>
        <v>2299</v>
      </c>
      <c r="H514" s="76">
        <f ca="1">SUMIF('Production '!$C$4:$AI$4407,'Tracking Sheet'!B514,'Production '!$F$4:$F$4407)</f>
        <v>2252</v>
      </c>
      <c r="I514" s="76">
        <f ca="1">SUMIF('Production '!$C$4:$AI$4407,'Tracking Sheet'!B514,'Production '!$V$4:$V$4407)</f>
        <v>0</v>
      </c>
      <c r="J514" s="76">
        <f ca="1">SUMIF('Production '!$C$4:$AI$4407,'Tracking Sheet'!B514,'Production '!$AG$4:$AG$4407)</f>
        <v>0</v>
      </c>
    </row>
    <row r="515" spans="2:10" x14ac:dyDescent="0.3">
      <c r="B515" s="277">
        <f>'Production '!C518</f>
        <v>0</v>
      </c>
      <c r="C515" s="76" t="e">
        <f ca="1">SUMIF('Production '!$C$4:$AI$4407,'Tracking Sheet'!B515,'Production '!$M$4:$M$4407)</f>
        <v>#DIV/0!</v>
      </c>
      <c r="D515" s="76" t="e">
        <f ca="1">SUMIF('Production '!$C$4:$AI$4407,'Tracking Sheet'!B515,'Production '!$Q$4:$Q$4407)</f>
        <v>#DIV/0!</v>
      </c>
      <c r="E515" s="76">
        <f ca="1">SUMIF('Production '!$C$4:$AI$4407,'Tracking Sheet'!B515,'Production '!$S$4:$S$4407)</f>
        <v>-1268218.9828305368</v>
      </c>
      <c r="F515" s="76">
        <f ca="1">SUMIF('Production '!$C$4:$AI$4407,'Tracking Sheet'!B515,'Production '!$U$4:$U$4407)</f>
        <v>-10620.435600016917</v>
      </c>
      <c r="G515" s="76" t="e">
        <f ca="1">SUMIF('Production '!$C$4:$AI$4407,'Tracking Sheet'!B515,'Production '!$W$4:$W$4407)</f>
        <v>#DIV/0!</v>
      </c>
      <c r="H515" s="76">
        <f ca="1">SUMIF('Production '!$C$4:$AI$4407,'Tracking Sheet'!B515,'Production '!$F$4:$F$4407)</f>
        <v>3230621.3283604058</v>
      </c>
      <c r="I515" s="76">
        <f ca="1">SUMIF('Production '!$C$4:$AI$4407,'Tracking Sheet'!B515,'Production '!$V$4:$V$4407)</f>
        <v>-489.86487791182844</v>
      </c>
      <c r="J515" s="76">
        <f ca="1">SUMIF('Production '!$C$4:$AI$4407,'Tracking Sheet'!B515,'Production '!$AG$4:$AG$4407)</f>
        <v>0</v>
      </c>
    </row>
    <row r="516" spans="2:10" x14ac:dyDescent="0.3">
      <c r="B516" s="277">
        <f>'Production '!C519</f>
        <v>47960</v>
      </c>
      <c r="C516" s="76">
        <f ca="1">SUMIF('Production '!$C$4:$AI$4407,'Tracking Sheet'!B516,'Production '!$M$4:$M$4407)</f>
        <v>5700</v>
      </c>
      <c r="D516" s="76">
        <f ca="1">SUMIF('Production '!$C$4:$AI$4407,'Tracking Sheet'!B516,'Production '!$Q$4:$Q$4407)</f>
        <v>0</v>
      </c>
      <c r="E516" s="76">
        <f ca="1">SUMIF('Production '!$C$4:$AI$4407,'Tracking Sheet'!B516,'Production '!$S$4:$S$4407)</f>
        <v>0</v>
      </c>
      <c r="F516" s="76">
        <f ca="1">SUMIF('Production '!$C$4:$AI$4407,'Tracking Sheet'!B516,'Production '!$U$4:$U$4407)</f>
        <v>42</v>
      </c>
      <c r="G516" s="76">
        <f ca="1">SUMIF('Production '!$C$4:$AI$4407,'Tracking Sheet'!B516,'Production '!$W$4:$W$4407)</f>
        <v>5658</v>
      </c>
      <c r="H516" s="76">
        <f ca="1">SUMIF('Production '!$C$4:$AI$4407,'Tracking Sheet'!B516,'Production '!$F$4:$F$4407)</f>
        <v>6021</v>
      </c>
      <c r="I516" s="76">
        <f ca="1">SUMIF('Production '!$C$4:$AI$4407,'Tracking Sheet'!B516,'Production '!$V$4:$V$4407)</f>
        <v>2476</v>
      </c>
      <c r="J516" s="76">
        <f ca="1">SUMIF('Production '!$C$4:$AI$4407,'Tracking Sheet'!B516,'Production '!$AG$4:$AG$4407)</f>
        <v>-378</v>
      </c>
    </row>
    <row r="517" spans="2:10" x14ac:dyDescent="0.3">
      <c r="B517" s="277">
        <f>'Production '!C520</f>
        <v>47960</v>
      </c>
      <c r="C517" s="76">
        <f ca="1">SUMIF('Production '!$C$4:$AI$4407,'Tracking Sheet'!B517,'Production '!$M$4:$M$4407)</f>
        <v>5700</v>
      </c>
      <c r="D517" s="76">
        <f ca="1">SUMIF('Production '!$C$4:$AI$4407,'Tracking Sheet'!B517,'Production '!$Q$4:$Q$4407)</f>
        <v>0</v>
      </c>
      <c r="E517" s="76">
        <f ca="1">SUMIF('Production '!$C$4:$AI$4407,'Tracking Sheet'!B517,'Production '!$S$4:$S$4407)</f>
        <v>0</v>
      </c>
      <c r="F517" s="76">
        <f ca="1">SUMIF('Production '!$C$4:$AI$4407,'Tracking Sheet'!B517,'Production '!$U$4:$U$4407)</f>
        <v>42</v>
      </c>
      <c r="G517" s="76">
        <f ca="1">SUMIF('Production '!$C$4:$AI$4407,'Tracking Sheet'!B517,'Production '!$W$4:$W$4407)</f>
        <v>5658</v>
      </c>
      <c r="H517" s="76">
        <f ca="1">SUMIF('Production '!$C$4:$AI$4407,'Tracking Sheet'!B517,'Production '!$F$4:$F$4407)</f>
        <v>6021</v>
      </c>
      <c r="I517" s="76">
        <f ca="1">SUMIF('Production '!$C$4:$AI$4407,'Tracking Sheet'!B517,'Production '!$V$4:$V$4407)</f>
        <v>2476</v>
      </c>
      <c r="J517" s="76">
        <f ca="1">SUMIF('Production '!$C$4:$AI$4407,'Tracking Sheet'!B517,'Production '!$AG$4:$AG$4407)</f>
        <v>-378</v>
      </c>
    </row>
    <row r="518" spans="2:10" x14ac:dyDescent="0.3">
      <c r="B518" s="277">
        <f>'Production '!C521</f>
        <v>47960</v>
      </c>
      <c r="C518" s="76">
        <f ca="1">SUMIF('Production '!$C$4:$AI$4407,'Tracking Sheet'!B518,'Production '!$M$4:$M$4407)</f>
        <v>5700</v>
      </c>
      <c r="D518" s="76">
        <f ca="1">SUMIF('Production '!$C$4:$AI$4407,'Tracking Sheet'!B518,'Production '!$Q$4:$Q$4407)</f>
        <v>0</v>
      </c>
      <c r="E518" s="76">
        <f ca="1">SUMIF('Production '!$C$4:$AI$4407,'Tracking Sheet'!B518,'Production '!$S$4:$S$4407)</f>
        <v>0</v>
      </c>
      <c r="F518" s="76">
        <f ca="1">SUMIF('Production '!$C$4:$AI$4407,'Tracking Sheet'!B518,'Production '!$U$4:$U$4407)</f>
        <v>42</v>
      </c>
      <c r="G518" s="76">
        <f ca="1">SUMIF('Production '!$C$4:$AI$4407,'Tracking Sheet'!B518,'Production '!$W$4:$W$4407)</f>
        <v>5658</v>
      </c>
      <c r="H518" s="76">
        <f ca="1">SUMIF('Production '!$C$4:$AI$4407,'Tracking Sheet'!B518,'Production '!$F$4:$F$4407)</f>
        <v>6021</v>
      </c>
      <c r="I518" s="76">
        <f ca="1">SUMIF('Production '!$C$4:$AI$4407,'Tracking Sheet'!B518,'Production '!$V$4:$V$4407)</f>
        <v>2476</v>
      </c>
      <c r="J518" s="76">
        <f ca="1">SUMIF('Production '!$C$4:$AI$4407,'Tracking Sheet'!B518,'Production '!$AG$4:$AG$4407)</f>
        <v>-378</v>
      </c>
    </row>
    <row r="519" spans="2:10" x14ac:dyDescent="0.3">
      <c r="B519" s="277">
        <f>'Production '!C522</f>
        <v>0</v>
      </c>
      <c r="C519" s="76" t="e">
        <f ca="1">SUMIF('Production '!$C$4:$AI$4407,'Tracking Sheet'!B519,'Production '!$M$4:$M$4407)</f>
        <v>#DIV/0!</v>
      </c>
      <c r="D519" s="76" t="e">
        <f ca="1">SUMIF('Production '!$C$4:$AI$4407,'Tracking Sheet'!B519,'Production '!$Q$4:$Q$4407)</f>
        <v>#DIV/0!</v>
      </c>
      <c r="E519" s="76">
        <f ca="1">SUMIF('Production '!$C$4:$AI$4407,'Tracking Sheet'!B519,'Production '!$S$4:$S$4407)</f>
        <v>-1268218.9828305368</v>
      </c>
      <c r="F519" s="76">
        <f ca="1">SUMIF('Production '!$C$4:$AI$4407,'Tracking Sheet'!B519,'Production '!$U$4:$U$4407)</f>
        <v>-10620.435600016917</v>
      </c>
      <c r="G519" s="76" t="e">
        <f ca="1">SUMIF('Production '!$C$4:$AI$4407,'Tracking Sheet'!B519,'Production '!$W$4:$W$4407)</f>
        <v>#DIV/0!</v>
      </c>
      <c r="H519" s="76">
        <f ca="1">SUMIF('Production '!$C$4:$AI$4407,'Tracking Sheet'!B519,'Production '!$F$4:$F$4407)</f>
        <v>3230621.3283604058</v>
      </c>
      <c r="I519" s="76">
        <f ca="1">SUMIF('Production '!$C$4:$AI$4407,'Tracking Sheet'!B519,'Production '!$V$4:$V$4407)</f>
        <v>-489.86487791182844</v>
      </c>
      <c r="J519" s="76">
        <f ca="1">SUMIF('Production '!$C$4:$AI$4407,'Tracking Sheet'!B519,'Production '!$AG$4:$AG$4407)</f>
        <v>0</v>
      </c>
    </row>
    <row r="520" spans="2:10" x14ac:dyDescent="0.3">
      <c r="B520" s="277" t="str">
        <f>'Production '!C523</f>
        <v>43319 21th</v>
      </c>
      <c r="C520" s="76">
        <f ca="1">SUMIF('Production '!$C$4:$AI$4407,'Tracking Sheet'!B520,'Production '!$M$4:$M$4407)</f>
        <v>12899</v>
      </c>
      <c r="D520" s="76">
        <f ca="1">SUMIF('Production '!$C$4:$AI$4407,'Tracking Sheet'!B520,'Production '!$Q$4:$Q$4407)</f>
        <v>4105</v>
      </c>
      <c r="E520" s="76">
        <f ca="1">SUMIF('Production '!$C$4:$AI$4407,'Tracking Sheet'!B520,'Production '!$S$4:$S$4407)</f>
        <v>4085</v>
      </c>
      <c r="F520" s="76">
        <f ca="1">SUMIF('Production '!$C$4:$AI$4407,'Tracking Sheet'!B520,'Production '!$U$4:$U$4407)</f>
        <v>619</v>
      </c>
      <c r="G520" s="76">
        <f ca="1">SUMIF('Production '!$C$4:$AI$4407,'Tracking Sheet'!B520,'Production '!$W$4:$W$4407)</f>
        <v>12247</v>
      </c>
      <c r="H520" s="76">
        <f ca="1">SUMIF('Production '!$C$4:$AI$4407,'Tracking Sheet'!B520,'Production '!$F$4:$F$4407)</f>
        <v>12682</v>
      </c>
      <c r="I520" s="76">
        <f ca="1">SUMIF('Production '!$C$4:$AI$4407,'Tracking Sheet'!B520,'Production '!$V$4:$V$4407)</f>
        <v>0</v>
      </c>
      <c r="J520" s="76">
        <f ca="1">SUMIF('Production '!$C$4:$AI$4407,'Tracking Sheet'!B520,'Production '!$AG$4:$AG$4407)</f>
        <v>0</v>
      </c>
    </row>
    <row r="521" spans="2:10" x14ac:dyDescent="0.3">
      <c r="B521" s="277" t="str">
        <f>'Production '!C524</f>
        <v>43319 21th</v>
      </c>
      <c r="C521" s="76">
        <f ca="1">SUMIF('Production '!$C$4:$AI$4407,'Tracking Sheet'!B521,'Production '!$M$4:$M$4407)</f>
        <v>12899</v>
      </c>
      <c r="D521" s="76">
        <f ca="1">SUMIF('Production '!$C$4:$AI$4407,'Tracking Sheet'!B521,'Production '!$Q$4:$Q$4407)</f>
        <v>4105</v>
      </c>
      <c r="E521" s="76">
        <f ca="1">SUMIF('Production '!$C$4:$AI$4407,'Tracking Sheet'!B521,'Production '!$S$4:$S$4407)</f>
        <v>4085</v>
      </c>
      <c r="F521" s="76">
        <f ca="1">SUMIF('Production '!$C$4:$AI$4407,'Tracking Sheet'!B521,'Production '!$U$4:$U$4407)</f>
        <v>619</v>
      </c>
      <c r="G521" s="76">
        <f ca="1">SUMIF('Production '!$C$4:$AI$4407,'Tracking Sheet'!B521,'Production '!$W$4:$W$4407)</f>
        <v>12247</v>
      </c>
      <c r="H521" s="76">
        <f ca="1">SUMIF('Production '!$C$4:$AI$4407,'Tracking Sheet'!B521,'Production '!$F$4:$F$4407)</f>
        <v>12682</v>
      </c>
      <c r="I521" s="76">
        <f ca="1">SUMIF('Production '!$C$4:$AI$4407,'Tracking Sheet'!B521,'Production '!$V$4:$V$4407)</f>
        <v>0</v>
      </c>
      <c r="J521" s="76">
        <f ca="1">SUMIF('Production '!$C$4:$AI$4407,'Tracking Sheet'!B521,'Production '!$AG$4:$AG$4407)</f>
        <v>0</v>
      </c>
    </row>
    <row r="522" spans="2:10" x14ac:dyDescent="0.3">
      <c r="B522" s="277">
        <f>'Production '!C525</f>
        <v>0</v>
      </c>
      <c r="C522" s="76" t="e">
        <f ca="1">SUMIF('Production '!$C$4:$AI$4407,'Tracking Sheet'!B522,'Production '!$M$4:$M$4407)</f>
        <v>#DIV/0!</v>
      </c>
      <c r="D522" s="76" t="e">
        <f ca="1">SUMIF('Production '!$C$4:$AI$4407,'Tracking Sheet'!B522,'Production '!$Q$4:$Q$4407)</f>
        <v>#DIV/0!</v>
      </c>
      <c r="E522" s="76">
        <f ca="1">SUMIF('Production '!$C$4:$AI$4407,'Tracking Sheet'!B522,'Production '!$S$4:$S$4407)</f>
        <v>-1268218.9828305368</v>
      </c>
      <c r="F522" s="76">
        <f ca="1">SUMIF('Production '!$C$4:$AI$4407,'Tracking Sheet'!B522,'Production '!$U$4:$U$4407)</f>
        <v>-10620.435600016917</v>
      </c>
      <c r="G522" s="76" t="e">
        <f ca="1">SUMIF('Production '!$C$4:$AI$4407,'Tracking Sheet'!B522,'Production '!$W$4:$W$4407)</f>
        <v>#DIV/0!</v>
      </c>
      <c r="H522" s="76">
        <f ca="1">SUMIF('Production '!$C$4:$AI$4407,'Tracking Sheet'!B522,'Production '!$F$4:$F$4407)</f>
        <v>3230621.3283604058</v>
      </c>
      <c r="I522" s="76">
        <f ca="1">SUMIF('Production '!$C$4:$AI$4407,'Tracking Sheet'!B522,'Production '!$V$4:$V$4407)</f>
        <v>-489.86487791182844</v>
      </c>
      <c r="J522" s="76">
        <f ca="1">SUMIF('Production '!$C$4:$AI$4407,'Tracking Sheet'!B522,'Production '!$AG$4:$AG$4407)</f>
        <v>0</v>
      </c>
    </row>
    <row r="523" spans="2:10" x14ac:dyDescent="0.3">
      <c r="B523" s="277">
        <f>'Production '!C526</f>
        <v>47900</v>
      </c>
      <c r="C523" s="76">
        <f ca="1">SUMIF('Production '!$C$4:$AI$4407,'Tracking Sheet'!B523,'Production '!$M$4:$M$4407)</f>
        <v>2809</v>
      </c>
      <c r="D523" s="76">
        <f ca="1">SUMIF('Production '!$C$4:$AI$4407,'Tracking Sheet'!B523,'Production '!$Q$4:$Q$4407)</f>
        <v>2809</v>
      </c>
      <c r="E523" s="76">
        <f ca="1">SUMIF('Production '!$C$4:$AI$4407,'Tracking Sheet'!B523,'Production '!$S$4:$S$4407)</f>
        <v>2809</v>
      </c>
      <c r="F523" s="76">
        <f ca="1">SUMIF('Production '!$C$4:$AI$4407,'Tracking Sheet'!B523,'Production '!$U$4:$U$4407)</f>
        <v>0</v>
      </c>
      <c r="G523" s="76">
        <f ca="1">SUMIF('Production '!$C$4:$AI$4407,'Tracking Sheet'!B523,'Production '!$W$4:$W$4407)</f>
        <v>2809</v>
      </c>
      <c r="H523" s="76">
        <f ca="1">SUMIF('Production '!$C$4:$AI$4407,'Tracking Sheet'!B523,'Production '!$F$4:$F$4407)</f>
        <v>2723</v>
      </c>
      <c r="I523" s="76">
        <f ca="1">SUMIF('Production '!$C$4:$AI$4407,'Tracking Sheet'!B523,'Production '!$V$4:$V$4407)</f>
        <v>0</v>
      </c>
      <c r="J523" s="76">
        <f ca="1">SUMIF('Production '!$C$4:$AI$4407,'Tracking Sheet'!B523,'Production '!$AG$4:$AG$4407)</f>
        <v>0</v>
      </c>
    </row>
    <row r="524" spans="2:10" x14ac:dyDescent="0.3">
      <c r="B524" s="277">
        <f>'Production '!C527</f>
        <v>47900</v>
      </c>
      <c r="C524" s="76">
        <f ca="1">SUMIF('Production '!$C$4:$AI$4407,'Tracking Sheet'!B524,'Production '!$M$4:$M$4407)</f>
        <v>2809</v>
      </c>
      <c r="D524" s="76">
        <f ca="1">SUMIF('Production '!$C$4:$AI$4407,'Tracking Sheet'!B524,'Production '!$Q$4:$Q$4407)</f>
        <v>2809</v>
      </c>
      <c r="E524" s="76">
        <f ca="1">SUMIF('Production '!$C$4:$AI$4407,'Tracking Sheet'!B524,'Production '!$S$4:$S$4407)</f>
        <v>2809</v>
      </c>
      <c r="F524" s="76">
        <f ca="1">SUMIF('Production '!$C$4:$AI$4407,'Tracking Sheet'!B524,'Production '!$U$4:$U$4407)</f>
        <v>0</v>
      </c>
      <c r="G524" s="76">
        <f ca="1">SUMIF('Production '!$C$4:$AI$4407,'Tracking Sheet'!B524,'Production '!$W$4:$W$4407)</f>
        <v>2809</v>
      </c>
      <c r="H524" s="76">
        <f ca="1">SUMIF('Production '!$C$4:$AI$4407,'Tracking Sheet'!B524,'Production '!$F$4:$F$4407)</f>
        <v>2723</v>
      </c>
      <c r="I524" s="76">
        <f ca="1">SUMIF('Production '!$C$4:$AI$4407,'Tracking Sheet'!B524,'Production '!$V$4:$V$4407)</f>
        <v>0</v>
      </c>
      <c r="J524" s="76">
        <f ca="1">SUMIF('Production '!$C$4:$AI$4407,'Tracking Sheet'!B524,'Production '!$AG$4:$AG$4407)</f>
        <v>0</v>
      </c>
    </row>
    <row r="525" spans="2:10" x14ac:dyDescent="0.3">
      <c r="B525" s="277">
        <f>'Production '!C528</f>
        <v>0</v>
      </c>
      <c r="C525" s="76" t="e">
        <f ca="1">SUMIF('Production '!$C$4:$AI$4407,'Tracking Sheet'!B525,'Production '!$M$4:$M$4407)</f>
        <v>#DIV/0!</v>
      </c>
      <c r="D525" s="76" t="e">
        <f ca="1">SUMIF('Production '!$C$4:$AI$4407,'Tracking Sheet'!B525,'Production '!$Q$4:$Q$4407)</f>
        <v>#DIV/0!</v>
      </c>
      <c r="E525" s="76">
        <f ca="1">SUMIF('Production '!$C$4:$AI$4407,'Tracking Sheet'!B525,'Production '!$S$4:$S$4407)</f>
        <v>-1268218.9828305368</v>
      </c>
      <c r="F525" s="76">
        <f ca="1">SUMIF('Production '!$C$4:$AI$4407,'Tracking Sheet'!B525,'Production '!$U$4:$U$4407)</f>
        <v>-10620.435600016917</v>
      </c>
      <c r="G525" s="76" t="e">
        <f ca="1">SUMIF('Production '!$C$4:$AI$4407,'Tracking Sheet'!B525,'Production '!$W$4:$W$4407)</f>
        <v>#DIV/0!</v>
      </c>
      <c r="H525" s="76">
        <f ca="1">SUMIF('Production '!$C$4:$AI$4407,'Tracking Sheet'!B525,'Production '!$F$4:$F$4407)</f>
        <v>3230621.3283604058</v>
      </c>
      <c r="I525" s="76">
        <f ca="1">SUMIF('Production '!$C$4:$AI$4407,'Tracking Sheet'!B525,'Production '!$V$4:$V$4407)</f>
        <v>-489.86487791182844</v>
      </c>
      <c r="J525" s="76">
        <f ca="1">SUMIF('Production '!$C$4:$AI$4407,'Tracking Sheet'!B525,'Production '!$AG$4:$AG$4407)</f>
        <v>0</v>
      </c>
    </row>
    <row r="526" spans="2:10" x14ac:dyDescent="0.3">
      <c r="B526" s="277">
        <f>'Production '!C529</f>
        <v>47951</v>
      </c>
      <c r="C526" s="76">
        <f ca="1">SUMIF('Production '!$C$4:$AI$4407,'Tracking Sheet'!B526,'Production '!$M$4:$M$4407)</f>
        <v>3030</v>
      </c>
      <c r="D526" s="76">
        <f ca="1">SUMIF('Production '!$C$4:$AI$4407,'Tracking Sheet'!B526,'Production '!$Q$4:$Q$4407)</f>
        <v>3036</v>
      </c>
      <c r="E526" s="76">
        <f ca="1">SUMIF('Production '!$C$4:$AI$4407,'Tracking Sheet'!B526,'Production '!$S$4:$S$4407)</f>
        <v>3036</v>
      </c>
      <c r="F526" s="76">
        <f ca="1">SUMIF('Production '!$C$4:$AI$4407,'Tracking Sheet'!B526,'Production '!$U$4:$U$4407)</f>
        <v>37</v>
      </c>
      <c r="G526" s="76">
        <f ca="1">SUMIF('Production '!$C$4:$AI$4407,'Tracking Sheet'!B526,'Production '!$W$4:$W$4407)</f>
        <v>2999</v>
      </c>
      <c r="H526" s="76">
        <f ca="1">SUMIF('Production '!$C$4:$AI$4407,'Tracking Sheet'!B526,'Production '!$F$4:$F$4407)</f>
        <v>2922</v>
      </c>
      <c r="I526" s="76">
        <f ca="1">SUMIF('Production '!$C$4:$AI$4407,'Tracking Sheet'!B526,'Production '!$V$4:$V$4407)</f>
        <v>0</v>
      </c>
      <c r="J526" s="76">
        <f ca="1">SUMIF('Production '!$C$4:$AI$4407,'Tracking Sheet'!B526,'Production '!$AG$4:$AG$4407)</f>
        <v>0</v>
      </c>
    </row>
    <row r="527" spans="2:10" x14ac:dyDescent="0.3">
      <c r="B527" s="277">
        <f>'Production '!C530</f>
        <v>47951</v>
      </c>
      <c r="C527" s="76">
        <f ca="1">SUMIF('Production '!$C$4:$AI$4407,'Tracking Sheet'!B527,'Production '!$M$4:$M$4407)</f>
        <v>3030</v>
      </c>
      <c r="D527" s="76">
        <f ca="1">SUMIF('Production '!$C$4:$AI$4407,'Tracking Sheet'!B527,'Production '!$Q$4:$Q$4407)</f>
        <v>3036</v>
      </c>
      <c r="E527" s="76">
        <f ca="1">SUMIF('Production '!$C$4:$AI$4407,'Tracking Sheet'!B527,'Production '!$S$4:$S$4407)</f>
        <v>3036</v>
      </c>
      <c r="F527" s="76">
        <f ca="1">SUMIF('Production '!$C$4:$AI$4407,'Tracking Sheet'!B527,'Production '!$U$4:$U$4407)</f>
        <v>37</v>
      </c>
      <c r="G527" s="76">
        <f ca="1">SUMIF('Production '!$C$4:$AI$4407,'Tracking Sheet'!B527,'Production '!$W$4:$W$4407)</f>
        <v>2999</v>
      </c>
      <c r="H527" s="76">
        <f ca="1">SUMIF('Production '!$C$4:$AI$4407,'Tracking Sheet'!B527,'Production '!$F$4:$F$4407)</f>
        <v>2922</v>
      </c>
      <c r="I527" s="76">
        <f ca="1">SUMIF('Production '!$C$4:$AI$4407,'Tracking Sheet'!B527,'Production '!$V$4:$V$4407)</f>
        <v>0</v>
      </c>
      <c r="J527" s="76">
        <f ca="1">SUMIF('Production '!$C$4:$AI$4407,'Tracking Sheet'!B527,'Production '!$AG$4:$AG$4407)</f>
        <v>0</v>
      </c>
    </row>
    <row r="528" spans="2:10" x14ac:dyDescent="0.3">
      <c r="B528" s="277">
        <f>'Production '!C531</f>
        <v>0</v>
      </c>
      <c r="C528" s="76" t="e">
        <f ca="1">SUMIF('Production '!$C$4:$AI$4407,'Tracking Sheet'!B528,'Production '!$M$4:$M$4407)</f>
        <v>#DIV/0!</v>
      </c>
      <c r="D528" s="76" t="e">
        <f ca="1">SUMIF('Production '!$C$4:$AI$4407,'Tracking Sheet'!B528,'Production '!$Q$4:$Q$4407)</f>
        <v>#DIV/0!</v>
      </c>
      <c r="E528" s="76">
        <f ca="1">SUMIF('Production '!$C$4:$AI$4407,'Tracking Sheet'!B528,'Production '!$S$4:$S$4407)</f>
        <v>-1268218.9828305368</v>
      </c>
      <c r="F528" s="76">
        <f ca="1">SUMIF('Production '!$C$4:$AI$4407,'Tracking Sheet'!B528,'Production '!$U$4:$U$4407)</f>
        <v>-10620.435600016917</v>
      </c>
      <c r="G528" s="76" t="e">
        <f ca="1">SUMIF('Production '!$C$4:$AI$4407,'Tracking Sheet'!B528,'Production '!$W$4:$W$4407)</f>
        <v>#DIV/0!</v>
      </c>
      <c r="H528" s="76">
        <f ca="1">SUMIF('Production '!$C$4:$AI$4407,'Tracking Sheet'!B528,'Production '!$F$4:$F$4407)</f>
        <v>3230621.3283604058</v>
      </c>
      <c r="I528" s="76">
        <f ca="1">SUMIF('Production '!$C$4:$AI$4407,'Tracking Sheet'!B528,'Production '!$V$4:$V$4407)</f>
        <v>-489.86487791182844</v>
      </c>
      <c r="J528" s="76">
        <f ca="1">SUMIF('Production '!$C$4:$AI$4407,'Tracking Sheet'!B528,'Production '!$AG$4:$AG$4407)</f>
        <v>0</v>
      </c>
    </row>
    <row r="529" spans="2:10" x14ac:dyDescent="0.3">
      <c r="B529" s="277">
        <f>'Production '!C532</f>
        <v>47970</v>
      </c>
      <c r="C529" s="76">
        <f ca="1">SUMIF('Production '!$C$4:$AI$4407,'Tracking Sheet'!B529,'Production '!$M$4:$M$4407)</f>
        <v>5160</v>
      </c>
      <c r="D529" s="76">
        <f ca="1">SUMIF('Production '!$C$4:$AI$4407,'Tracking Sheet'!B529,'Production '!$Q$4:$Q$4407)</f>
        <v>5160</v>
      </c>
      <c r="E529" s="76">
        <f ca="1">SUMIF('Production '!$C$4:$AI$4407,'Tracking Sheet'!B529,'Production '!$S$4:$S$4407)</f>
        <v>0</v>
      </c>
      <c r="F529" s="76">
        <f ca="1">SUMIF('Production '!$C$4:$AI$4407,'Tracking Sheet'!B529,'Production '!$U$4:$U$4407)</f>
        <v>0</v>
      </c>
      <c r="G529" s="76">
        <f ca="1">SUMIF('Production '!$C$4:$AI$4407,'Tracking Sheet'!B529,'Production '!$W$4:$W$4407)</f>
        <v>0</v>
      </c>
      <c r="H529" s="76">
        <f ca="1">SUMIF('Production '!$C$4:$AI$4407,'Tracking Sheet'!B529,'Production '!$F$4:$F$4407)</f>
        <v>4977</v>
      </c>
      <c r="I529" s="76">
        <f ca="1">SUMIF('Production '!$C$4:$AI$4407,'Tracking Sheet'!B529,'Production '!$V$4:$V$4407)</f>
        <v>0</v>
      </c>
      <c r="J529" s="76">
        <f ca="1">SUMIF('Production '!$C$4:$AI$4407,'Tracking Sheet'!B529,'Production '!$AG$4:$AG$4407)</f>
        <v>0</v>
      </c>
    </row>
    <row r="530" spans="2:10" x14ac:dyDescent="0.3">
      <c r="B530" s="277">
        <f>'Production '!C533</f>
        <v>47970</v>
      </c>
      <c r="C530" s="76">
        <f ca="1">SUMIF('Production '!$C$4:$AI$4407,'Tracking Sheet'!B530,'Production '!$M$4:$M$4407)</f>
        <v>5160</v>
      </c>
      <c r="D530" s="76">
        <f ca="1">SUMIF('Production '!$C$4:$AI$4407,'Tracking Sheet'!B530,'Production '!$Q$4:$Q$4407)</f>
        <v>5160</v>
      </c>
      <c r="E530" s="76">
        <f ca="1">SUMIF('Production '!$C$4:$AI$4407,'Tracking Sheet'!B530,'Production '!$S$4:$S$4407)</f>
        <v>0</v>
      </c>
      <c r="F530" s="76">
        <f ca="1">SUMIF('Production '!$C$4:$AI$4407,'Tracking Sheet'!B530,'Production '!$U$4:$U$4407)</f>
        <v>0</v>
      </c>
      <c r="G530" s="76">
        <f ca="1">SUMIF('Production '!$C$4:$AI$4407,'Tracking Sheet'!B530,'Production '!$W$4:$W$4407)</f>
        <v>0</v>
      </c>
      <c r="H530" s="76">
        <f ca="1">SUMIF('Production '!$C$4:$AI$4407,'Tracking Sheet'!B530,'Production '!$F$4:$F$4407)</f>
        <v>4977</v>
      </c>
      <c r="I530" s="76">
        <f ca="1">SUMIF('Production '!$C$4:$AI$4407,'Tracking Sheet'!B530,'Production '!$V$4:$V$4407)</f>
        <v>0</v>
      </c>
      <c r="J530" s="76">
        <f ca="1">SUMIF('Production '!$C$4:$AI$4407,'Tracking Sheet'!B530,'Production '!$AG$4:$AG$4407)</f>
        <v>0</v>
      </c>
    </row>
    <row r="531" spans="2:10" x14ac:dyDescent="0.3">
      <c r="B531" s="277">
        <f>'Production '!C534</f>
        <v>0</v>
      </c>
      <c r="C531" s="76" t="e">
        <f ca="1">SUMIF('Production '!$C$4:$AI$4407,'Tracking Sheet'!B531,'Production '!$M$4:$M$4407)</f>
        <v>#DIV/0!</v>
      </c>
      <c r="D531" s="76" t="e">
        <f ca="1">SUMIF('Production '!$C$4:$AI$4407,'Tracking Sheet'!B531,'Production '!$Q$4:$Q$4407)</f>
        <v>#DIV/0!</v>
      </c>
      <c r="E531" s="76">
        <f ca="1">SUMIF('Production '!$C$4:$AI$4407,'Tracking Sheet'!B531,'Production '!$S$4:$S$4407)</f>
        <v>-1268218.9828305368</v>
      </c>
      <c r="F531" s="76">
        <f ca="1">SUMIF('Production '!$C$4:$AI$4407,'Tracking Sheet'!B531,'Production '!$U$4:$U$4407)</f>
        <v>-10620.435600016917</v>
      </c>
      <c r="G531" s="76" t="e">
        <f ca="1">SUMIF('Production '!$C$4:$AI$4407,'Tracking Sheet'!B531,'Production '!$W$4:$W$4407)</f>
        <v>#DIV/0!</v>
      </c>
      <c r="H531" s="76">
        <f ca="1">SUMIF('Production '!$C$4:$AI$4407,'Tracking Sheet'!B531,'Production '!$F$4:$F$4407)</f>
        <v>3230621.3283604058</v>
      </c>
      <c r="I531" s="76">
        <f ca="1">SUMIF('Production '!$C$4:$AI$4407,'Tracking Sheet'!B531,'Production '!$V$4:$V$4407)</f>
        <v>-489.86487791182844</v>
      </c>
      <c r="J531" s="76">
        <f ca="1">SUMIF('Production '!$C$4:$AI$4407,'Tracking Sheet'!B531,'Production '!$AG$4:$AG$4407)</f>
        <v>0</v>
      </c>
    </row>
    <row r="532" spans="2:10" x14ac:dyDescent="0.3">
      <c r="B532" s="277">
        <f>'Production '!C535</f>
        <v>47586</v>
      </c>
      <c r="C532" s="76">
        <f ca="1">SUMIF('Production '!$C$4:$AI$4407,'Tracking Sheet'!B532,'Production '!$M$4:$M$4407)</f>
        <v>2312</v>
      </c>
      <c r="D532" s="76">
        <f ca="1">SUMIF('Production '!$C$4:$AI$4407,'Tracking Sheet'!B532,'Production '!$Q$4:$Q$4407)</f>
        <v>0</v>
      </c>
      <c r="E532" s="76">
        <f ca="1">SUMIF('Production '!$C$4:$AI$4407,'Tracking Sheet'!B532,'Production '!$S$4:$S$4407)</f>
        <v>0</v>
      </c>
      <c r="F532" s="76">
        <f ca="1">SUMIF('Production '!$C$4:$AI$4407,'Tracking Sheet'!B532,'Production '!$U$4:$U$4407)</f>
        <v>61</v>
      </c>
      <c r="G532" s="76">
        <f ca="1">SUMIF('Production '!$C$4:$AI$4407,'Tracking Sheet'!B532,'Production '!$W$4:$W$4407)</f>
        <v>2251</v>
      </c>
      <c r="H532" s="76">
        <f ca="1">SUMIF('Production '!$C$4:$AI$4407,'Tracking Sheet'!B532,'Production '!$F$4:$F$4407)</f>
        <v>2191</v>
      </c>
      <c r="I532" s="76">
        <f ca="1">SUMIF('Production '!$C$4:$AI$4407,'Tracking Sheet'!B532,'Production '!$V$4:$V$4407)</f>
        <v>0</v>
      </c>
      <c r="J532" s="76">
        <f ca="1">SUMIF('Production '!$C$4:$AI$4407,'Tracking Sheet'!B532,'Production '!$AG$4:$AG$4407)</f>
        <v>0</v>
      </c>
    </row>
    <row r="533" spans="2:10" x14ac:dyDescent="0.3">
      <c r="B533" s="277">
        <f>'Production '!C536</f>
        <v>47586</v>
      </c>
      <c r="C533" s="76">
        <f ca="1">SUMIF('Production '!$C$4:$AI$4407,'Tracking Sheet'!B533,'Production '!$M$4:$M$4407)</f>
        <v>2312</v>
      </c>
      <c r="D533" s="76">
        <f ca="1">SUMIF('Production '!$C$4:$AI$4407,'Tracking Sheet'!B533,'Production '!$Q$4:$Q$4407)</f>
        <v>0</v>
      </c>
      <c r="E533" s="76">
        <f ca="1">SUMIF('Production '!$C$4:$AI$4407,'Tracking Sheet'!B533,'Production '!$S$4:$S$4407)</f>
        <v>0</v>
      </c>
      <c r="F533" s="76">
        <f ca="1">SUMIF('Production '!$C$4:$AI$4407,'Tracking Sheet'!B533,'Production '!$U$4:$U$4407)</f>
        <v>61</v>
      </c>
      <c r="G533" s="76">
        <f ca="1">SUMIF('Production '!$C$4:$AI$4407,'Tracking Sheet'!B533,'Production '!$W$4:$W$4407)</f>
        <v>2251</v>
      </c>
      <c r="H533" s="76">
        <f ca="1">SUMIF('Production '!$C$4:$AI$4407,'Tracking Sheet'!B533,'Production '!$F$4:$F$4407)</f>
        <v>2191</v>
      </c>
      <c r="I533" s="76">
        <f ca="1">SUMIF('Production '!$C$4:$AI$4407,'Tracking Sheet'!B533,'Production '!$V$4:$V$4407)</f>
        <v>0</v>
      </c>
      <c r="J533" s="76">
        <f ca="1">SUMIF('Production '!$C$4:$AI$4407,'Tracking Sheet'!B533,'Production '!$AG$4:$AG$4407)</f>
        <v>0</v>
      </c>
    </row>
    <row r="534" spans="2:10" x14ac:dyDescent="0.3">
      <c r="B534" s="277">
        <f>'Production '!C537</f>
        <v>0</v>
      </c>
      <c r="C534" s="76" t="e">
        <f ca="1">SUMIF('Production '!$C$4:$AI$4407,'Tracking Sheet'!B534,'Production '!$M$4:$M$4407)</f>
        <v>#DIV/0!</v>
      </c>
      <c r="D534" s="76" t="e">
        <f ca="1">SUMIF('Production '!$C$4:$AI$4407,'Tracking Sheet'!B534,'Production '!$Q$4:$Q$4407)</f>
        <v>#DIV/0!</v>
      </c>
      <c r="E534" s="76">
        <f ca="1">SUMIF('Production '!$C$4:$AI$4407,'Tracking Sheet'!B534,'Production '!$S$4:$S$4407)</f>
        <v>-1268218.9828305368</v>
      </c>
      <c r="F534" s="76">
        <f ca="1">SUMIF('Production '!$C$4:$AI$4407,'Tracking Sheet'!B534,'Production '!$U$4:$U$4407)</f>
        <v>-10620.435600016917</v>
      </c>
      <c r="G534" s="76" t="e">
        <f ca="1">SUMIF('Production '!$C$4:$AI$4407,'Tracking Sheet'!B534,'Production '!$W$4:$W$4407)</f>
        <v>#DIV/0!</v>
      </c>
      <c r="H534" s="76">
        <f ca="1">SUMIF('Production '!$C$4:$AI$4407,'Tracking Sheet'!B534,'Production '!$F$4:$F$4407)</f>
        <v>3230621.3283604058</v>
      </c>
      <c r="I534" s="76">
        <f ca="1">SUMIF('Production '!$C$4:$AI$4407,'Tracking Sheet'!B534,'Production '!$V$4:$V$4407)</f>
        <v>-489.86487791182844</v>
      </c>
      <c r="J534" s="76">
        <f ca="1">SUMIF('Production '!$C$4:$AI$4407,'Tracking Sheet'!B534,'Production '!$AG$4:$AG$4407)</f>
        <v>0</v>
      </c>
    </row>
    <row r="535" spans="2:10" x14ac:dyDescent="0.3">
      <c r="B535" s="277">
        <f>'Production '!C538</f>
        <v>47923</v>
      </c>
      <c r="C535" s="76">
        <f ca="1">SUMIF('Production '!$C$4:$AI$4407,'Tracking Sheet'!B535,'Production '!$M$4:$M$4407)</f>
        <v>6645</v>
      </c>
      <c r="D535" s="76">
        <f ca="1">SUMIF('Production '!$C$4:$AI$4407,'Tracking Sheet'!B535,'Production '!$Q$4:$Q$4407)</f>
        <v>6580</v>
      </c>
      <c r="E535" s="76">
        <f ca="1">SUMIF('Production '!$C$4:$AI$4407,'Tracking Sheet'!B535,'Production '!$S$4:$S$4407)</f>
        <v>6552</v>
      </c>
      <c r="F535" s="76">
        <f ca="1">SUMIF('Production '!$C$4:$AI$4407,'Tracking Sheet'!B535,'Production '!$U$4:$U$4407)</f>
        <v>0</v>
      </c>
      <c r="G535" s="76">
        <f ca="1">SUMIF('Production '!$C$4:$AI$4407,'Tracking Sheet'!B535,'Production '!$W$4:$W$4407)</f>
        <v>6552</v>
      </c>
      <c r="H535" s="76">
        <f ca="1">SUMIF('Production '!$C$4:$AI$4407,'Tracking Sheet'!B535,'Production '!$F$4:$F$4407)</f>
        <v>6432</v>
      </c>
      <c r="I535" s="76">
        <f ca="1">SUMIF('Production '!$C$4:$AI$4407,'Tracking Sheet'!B535,'Production '!$V$4:$V$4407)</f>
        <v>0</v>
      </c>
      <c r="J535" s="76">
        <f ca="1">SUMIF('Production '!$C$4:$AI$4407,'Tracking Sheet'!B535,'Production '!$AG$4:$AG$4407)</f>
        <v>0</v>
      </c>
    </row>
    <row r="536" spans="2:10" x14ac:dyDescent="0.3">
      <c r="B536" s="277">
        <f>'Production '!C539</f>
        <v>47923</v>
      </c>
      <c r="C536" s="76">
        <f ca="1">SUMIF('Production '!$C$4:$AI$4407,'Tracking Sheet'!B536,'Production '!$M$4:$M$4407)</f>
        <v>6645</v>
      </c>
      <c r="D536" s="76">
        <f ca="1">SUMIF('Production '!$C$4:$AI$4407,'Tracking Sheet'!B536,'Production '!$Q$4:$Q$4407)</f>
        <v>6580</v>
      </c>
      <c r="E536" s="76">
        <f ca="1">SUMIF('Production '!$C$4:$AI$4407,'Tracking Sheet'!B536,'Production '!$S$4:$S$4407)</f>
        <v>6552</v>
      </c>
      <c r="F536" s="76">
        <f ca="1">SUMIF('Production '!$C$4:$AI$4407,'Tracking Sheet'!B536,'Production '!$U$4:$U$4407)</f>
        <v>0</v>
      </c>
      <c r="G536" s="76">
        <f ca="1">SUMIF('Production '!$C$4:$AI$4407,'Tracking Sheet'!B536,'Production '!$W$4:$W$4407)</f>
        <v>6552</v>
      </c>
      <c r="H536" s="76">
        <f ca="1">SUMIF('Production '!$C$4:$AI$4407,'Tracking Sheet'!B536,'Production '!$F$4:$F$4407)</f>
        <v>6432</v>
      </c>
      <c r="I536" s="76">
        <f ca="1">SUMIF('Production '!$C$4:$AI$4407,'Tracking Sheet'!B536,'Production '!$V$4:$V$4407)</f>
        <v>0</v>
      </c>
      <c r="J536" s="76">
        <f ca="1">SUMIF('Production '!$C$4:$AI$4407,'Tracking Sheet'!B536,'Production '!$AG$4:$AG$4407)</f>
        <v>0</v>
      </c>
    </row>
    <row r="537" spans="2:10" x14ac:dyDescent="0.3">
      <c r="B537" s="277">
        <f>'Production '!C540</f>
        <v>0</v>
      </c>
      <c r="C537" s="76" t="e">
        <f ca="1">SUMIF('Production '!$C$4:$AI$4407,'Tracking Sheet'!B537,'Production '!$M$4:$M$4407)</f>
        <v>#DIV/0!</v>
      </c>
      <c r="D537" s="76" t="e">
        <f ca="1">SUMIF('Production '!$C$4:$AI$4407,'Tracking Sheet'!B537,'Production '!$Q$4:$Q$4407)</f>
        <v>#DIV/0!</v>
      </c>
      <c r="E537" s="76">
        <f ca="1">SUMIF('Production '!$C$4:$AI$4407,'Tracking Sheet'!B537,'Production '!$S$4:$S$4407)</f>
        <v>-1268218.9828305368</v>
      </c>
      <c r="F537" s="76">
        <f ca="1">SUMIF('Production '!$C$4:$AI$4407,'Tracking Sheet'!B537,'Production '!$U$4:$U$4407)</f>
        <v>-10620.435600016917</v>
      </c>
      <c r="G537" s="76" t="e">
        <f ca="1">SUMIF('Production '!$C$4:$AI$4407,'Tracking Sheet'!B537,'Production '!$W$4:$W$4407)</f>
        <v>#DIV/0!</v>
      </c>
      <c r="H537" s="76">
        <f ca="1">SUMIF('Production '!$C$4:$AI$4407,'Tracking Sheet'!B537,'Production '!$F$4:$F$4407)</f>
        <v>3230621.3283604058</v>
      </c>
      <c r="I537" s="76">
        <f ca="1">SUMIF('Production '!$C$4:$AI$4407,'Tracking Sheet'!B537,'Production '!$V$4:$V$4407)</f>
        <v>-489.86487791182844</v>
      </c>
      <c r="J537" s="76">
        <f ca="1">SUMIF('Production '!$C$4:$AI$4407,'Tracking Sheet'!B537,'Production '!$AG$4:$AG$4407)</f>
        <v>0</v>
      </c>
    </row>
    <row r="538" spans="2:10" x14ac:dyDescent="0.3">
      <c r="B538" s="277">
        <f>'Production '!C541</f>
        <v>47989</v>
      </c>
      <c r="C538" s="76">
        <f ca="1">SUMIF('Production '!$C$4:$AI$4407,'Tracking Sheet'!B538,'Production '!$M$4:$M$4407)</f>
        <v>4605</v>
      </c>
      <c r="D538" s="76">
        <f ca="1">SUMIF('Production '!$C$4:$AI$4407,'Tracking Sheet'!B538,'Production '!$Q$4:$Q$4407)</f>
        <v>4605</v>
      </c>
      <c r="E538" s="76">
        <f ca="1">SUMIF('Production '!$C$4:$AI$4407,'Tracking Sheet'!B538,'Production '!$S$4:$S$4407)</f>
        <v>4593</v>
      </c>
      <c r="F538" s="76">
        <f ca="1">SUMIF('Production '!$C$4:$AI$4407,'Tracking Sheet'!B538,'Production '!$U$4:$U$4407)</f>
        <v>45</v>
      </c>
      <c r="G538" s="76">
        <f ca="1">SUMIF('Production '!$C$4:$AI$4407,'Tracking Sheet'!B538,'Production '!$W$4:$W$4407)</f>
        <v>4548</v>
      </c>
      <c r="H538" s="76">
        <f ca="1">SUMIF('Production '!$C$4:$AI$4407,'Tracking Sheet'!B538,'Production '!$F$4:$F$4407)</f>
        <v>4466</v>
      </c>
      <c r="I538" s="76">
        <f ca="1">SUMIF('Production '!$C$4:$AI$4407,'Tracking Sheet'!B538,'Production '!$V$4:$V$4407)</f>
        <v>0</v>
      </c>
      <c r="J538" s="76">
        <f ca="1">SUMIF('Production '!$C$4:$AI$4407,'Tracking Sheet'!B538,'Production '!$AG$4:$AG$4407)</f>
        <v>0</v>
      </c>
    </row>
    <row r="539" spans="2:10" x14ac:dyDescent="0.3">
      <c r="B539" s="277">
        <f>'Production '!C542</f>
        <v>47989</v>
      </c>
      <c r="C539" s="76">
        <f ca="1">SUMIF('Production '!$C$4:$AI$4407,'Tracking Sheet'!B539,'Production '!$M$4:$M$4407)</f>
        <v>4605</v>
      </c>
      <c r="D539" s="76">
        <f ca="1">SUMIF('Production '!$C$4:$AI$4407,'Tracking Sheet'!B539,'Production '!$Q$4:$Q$4407)</f>
        <v>4605</v>
      </c>
      <c r="E539" s="76">
        <f ca="1">SUMIF('Production '!$C$4:$AI$4407,'Tracking Sheet'!B539,'Production '!$S$4:$S$4407)</f>
        <v>4593</v>
      </c>
      <c r="F539" s="76">
        <f ca="1">SUMIF('Production '!$C$4:$AI$4407,'Tracking Sheet'!B539,'Production '!$U$4:$U$4407)</f>
        <v>45</v>
      </c>
      <c r="G539" s="76">
        <f ca="1">SUMIF('Production '!$C$4:$AI$4407,'Tracking Sheet'!B539,'Production '!$W$4:$W$4407)</f>
        <v>4548</v>
      </c>
      <c r="H539" s="76">
        <f ca="1">SUMIF('Production '!$C$4:$AI$4407,'Tracking Sheet'!B539,'Production '!$F$4:$F$4407)</f>
        <v>4466</v>
      </c>
      <c r="I539" s="76">
        <f ca="1">SUMIF('Production '!$C$4:$AI$4407,'Tracking Sheet'!B539,'Production '!$V$4:$V$4407)</f>
        <v>0</v>
      </c>
      <c r="J539" s="76">
        <f ca="1">SUMIF('Production '!$C$4:$AI$4407,'Tracking Sheet'!B539,'Production '!$AG$4:$AG$4407)</f>
        <v>0</v>
      </c>
    </row>
    <row r="540" spans="2:10" x14ac:dyDescent="0.3">
      <c r="B540" s="277">
        <f>'Production '!C543</f>
        <v>0</v>
      </c>
      <c r="C540" s="76" t="e">
        <f ca="1">SUMIF('Production '!$C$4:$AI$4407,'Tracking Sheet'!B540,'Production '!$M$4:$M$4407)</f>
        <v>#DIV/0!</v>
      </c>
      <c r="D540" s="76" t="e">
        <f ca="1">SUMIF('Production '!$C$4:$AI$4407,'Tracking Sheet'!B540,'Production '!$Q$4:$Q$4407)</f>
        <v>#DIV/0!</v>
      </c>
      <c r="E540" s="76">
        <f ca="1">SUMIF('Production '!$C$4:$AI$4407,'Tracking Sheet'!B540,'Production '!$S$4:$S$4407)</f>
        <v>-1268218.9828305368</v>
      </c>
      <c r="F540" s="76">
        <f ca="1">SUMIF('Production '!$C$4:$AI$4407,'Tracking Sheet'!B540,'Production '!$U$4:$U$4407)</f>
        <v>-10620.435600016917</v>
      </c>
      <c r="G540" s="76" t="e">
        <f ca="1">SUMIF('Production '!$C$4:$AI$4407,'Tracking Sheet'!B540,'Production '!$W$4:$W$4407)</f>
        <v>#DIV/0!</v>
      </c>
      <c r="H540" s="76">
        <f ca="1">SUMIF('Production '!$C$4:$AI$4407,'Tracking Sheet'!B540,'Production '!$F$4:$F$4407)</f>
        <v>3230621.3283604058</v>
      </c>
      <c r="I540" s="76">
        <f ca="1">SUMIF('Production '!$C$4:$AI$4407,'Tracking Sheet'!B540,'Production '!$V$4:$V$4407)</f>
        <v>-489.86487791182844</v>
      </c>
      <c r="J540" s="76">
        <f ca="1">SUMIF('Production '!$C$4:$AI$4407,'Tracking Sheet'!B540,'Production '!$AG$4:$AG$4407)</f>
        <v>0</v>
      </c>
    </row>
    <row r="541" spans="2:10" x14ac:dyDescent="0.3">
      <c r="B541" s="277">
        <f>'Production '!C544</f>
        <v>47983</v>
      </c>
      <c r="C541" s="76">
        <f ca="1">SUMIF('Production '!$C$4:$AI$4407,'Tracking Sheet'!B541,'Production '!$M$4:$M$4407)</f>
        <v>2106</v>
      </c>
      <c r="D541" s="76">
        <f ca="1">SUMIF('Production '!$C$4:$AI$4407,'Tracking Sheet'!B541,'Production '!$Q$4:$Q$4407)</f>
        <v>0</v>
      </c>
      <c r="E541" s="76">
        <f ca="1">SUMIF('Production '!$C$4:$AI$4407,'Tracking Sheet'!B541,'Production '!$S$4:$S$4407)</f>
        <v>0</v>
      </c>
      <c r="F541" s="76">
        <f ca="1">SUMIF('Production '!$C$4:$AI$4407,'Tracking Sheet'!B541,'Production '!$U$4:$U$4407)</f>
        <v>36</v>
      </c>
      <c r="G541" s="76">
        <f ca="1">SUMIF('Production '!$C$4:$AI$4407,'Tracking Sheet'!B541,'Production '!$W$4:$W$4407)</f>
        <v>2070</v>
      </c>
      <c r="H541" s="76">
        <f ca="1">SUMIF('Production '!$C$4:$AI$4407,'Tracking Sheet'!B541,'Production '!$F$4:$F$4407)</f>
        <v>2019</v>
      </c>
      <c r="I541" s="76">
        <f ca="1">SUMIF('Production '!$C$4:$AI$4407,'Tracking Sheet'!B541,'Production '!$V$4:$V$4407)</f>
        <v>0</v>
      </c>
      <c r="J541" s="76">
        <f ca="1">SUMIF('Production '!$C$4:$AI$4407,'Tracking Sheet'!B541,'Production '!$AG$4:$AG$4407)</f>
        <v>0</v>
      </c>
    </row>
    <row r="542" spans="2:10" x14ac:dyDescent="0.3">
      <c r="B542" s="277">
        <f>'Production '!C545</f>
        <v>47983</v>
      </c>
      <c r="C542" s="76">
        <f ca="1">SUMIF('Production '!$C$4:$AI$4407,'Tracking Sheet'!B542,'Production '!$M$4:$M$4407)</f>
        <v>2106</v>
      </c>
      <c r="D542" s="76">
        <f ca="1">SUMIF('Production '!$C$4:$AI$4407,'Tracking Sheet'!B542,'Production '!$Q$4:$Q$4407)</f>
        <v>0</v>
      </c>
      <c r="E542" s="76">
        <f ca="1">SUMIF('Production '!$C$4:$AI$4407,'Tracking Sheet'!B542,'Production '!$S$4:$S$4407)</f>
        <v>0</v>
      </c>
      <c r="F542" s="76">
        <f ca="1">SUMIF('Production '!$C$4:$AI$4407,'Tracking Sheet'!B542,'Production '!$U$4:$U$4407)</f>
        <v>36</v>
      </c>
      <c r="G542" s="76">
        <f ca="1">SUMIF('Production '!$C$4:$AI$4407,'Tracking Sheet'!B542,'Production '!$W$4:$W$4407)</f>
        <v>2070</v>
      </c>
      <c r="H542" s="76">
        <f ca="1">SUMIF('Production '!$C$4:$AI$4407,'Tracking Sheet'!B542,'Production '!$F$4:$F$4407)</f>
        <v>2019</v>
      </c>
      <c r="I542" s="76">
        <f ca="1">SUMIF('Production '!$C$4:$AI$4407,'Tracking Sheet'!B542,'Production '!$V$4:$V$4407)</f>
        <v>0</v>
      </c>
      <c r="J542" s="76">
        <f ca="1">SUMIF('Production '!$C$4:$AI$4407,'Tracking Sheet'!B542,'Production '!$AG$4:$AG$4407)</f>
        <v>0</v>
      </c>
    </row>
    <row r="543" spans="2:10" x14ac:dyDescent="0.3">
      <c r="B543" s="277">
        <f>'Production '!C546</f>
        <v>0</v>
      </c>
      <c r="C543" s="76" t="e">
        <f ca="1">SUMIF('Production '!$C$4:$AI$4407,'Tracking Sheet'!B543,'Production '!$M$4:$M$4407)</f>
        <v>#DIV/0!</v>
      </c>
      <c r="D543" s="76" t="e">
        <f ca="1">SUMIF('Production '!$C$4:$AI$4407,'Tracking Sheet'!B543,'Production '!$Q$4:$Q$4407)</f>
        <v>#DIV/0!</v>
      </c>
      <c r="E543" s="76">
        <f ca="1">SUMIF('Production '!$C$4:$AI$4407,'Tracking Sheet'!B543,'Production '!$S$4:$S$4407)</f>
        <v>-1268218.9828305368</v>
      </c>
      <c r="F543" s="76">
        <f ca="1">SUMIF('Production '!$C$4:$AI$4407,'Tracking Sheet'!B543,'Production '!$U$4:$U$4407)</f>
        <v>-10620.435600016917</v>
      </c>
      <c r="G543" s="76" t="e">
        <f ca="1">SUMIF('Production '!$C$4:$AI$4407,'Tracking Sheet'!B543,'Production '!$W$4:$W$4407)</f>
        <v>#DIV/0!</v>
      </c>
      <c r="H543" s="76">
        <f ca="1">SUMIF('Production '!$C$4:$AI$4407,'Tracking Sheet'!B543,'Production '!$F$4:$F$4407)</f>
        <v>3230621.3283604058</v>
      </c>
      <c r="I543" s="76">
        <f ca="1">SUMIF('Production '!$C$4:$AI$4407,'Tracking Sheet'!B543,'Production '!$V$4:$V$4407)</f>
        <v>-489.86487791182844</v>
      </c>
      <c r="J543" s="76">
        <f ca="1">SUMIF('Production '!$C$4:$AI$4407,'Tracking Sheet'!B543,'Production '!$AG$4:$AG$4407)</f>
        <v>0</v>
      </c>
    </row>
    <row r="544" spans="2:10" x14ac:dyDescent="0.3">
      <c r="B544" s="277">
        <f>'Production '!C547</f>
        <v>47585</v>
      </c>
      <c r="C544" s="76">
        <f ca="1">SUMIF('Production '!$C$4:$AI$4407,'Tracking Sheet'!B544,'Production '!$M$4:$M$4407)</f>
        <v>1381</v>
      </c>
      <c r="D544" s="76">
        <f ca="1">SUMIF('Production '!$C$4:$AI$4407,'Tracking Sheet'!B544,'Production '!$Q$4:$Q$4407)</f>
        <v>1381</v>
      </c>
      <c r="E544" s="76">
        <f ca="1">SUMIF('Production '!$C$4:$AI$4407,'Tracking Sheet'!B544,'Production '!$S$4:$S$4407)</f>
        <v>1381</v>
      </c>
      <c r="F544" s="76">
        <f ca="1">SUMIF('Production '!$C$4:$AI$4407,'Tracking Sheet'!B544,'Production '!$U$4:$U$4407)</f>
        <v>9</v>
      </c>
      <c r="G544" s="76">
        <f ca="1">SUMIF('Production '!$C$4:$AI$4407,'Tracking Sheet'!B544,'Production '!$W$4:$W$4407)</f>
        <v>1372</v>
      </c>
      <c r="H544" s="76">
        <f ca="1">SUMIF('Production '!$C$4:$AI$4407,'Tracking Sheet'!B544,'Production '!$F$4:$F$4407)</f>
        <v>1335</v>
      </c>
      <c r="I544" s="76">
        <f ca="1">SUMIF('Production '!$C$4:$AI$4407,'Tracking Sheet'!B544,'Production '!$V$4:$V$4407)</f>
        <v>0</v>
      </c>
      <c r="J544" s="76">
        <f ca="1">SUMIF('Production '!$C$4:$AI$4407,'Tracking Sheet'!B544,'Production '!$AG$4:$AG$4407)</f>
        <v>0</v>
      </c>
    </row>
    <row r="545" spans="2:10" x14ac:dyDescent="0.3">
      <c r="B545" s="277">
        <f>'Production '!C548</f>
        <v>0</v>
      </c>
      <c r="C545" s="76" t="e">
        <f ca="1">SUMIF('Production '!$C$4:$AI$4407,'Tracking Sheet'!B545,'Production '!$M$4:$M$4407)</f>
        <v>#DIV/0!</v>
      </c>
      <c r="D545" s="76" t="e">
        <f ca="1">SUMIF('Production '!$C$4:$AI$4407,'Tracking Sheet'!B545,'Production '!$Q$4:$Q$4407)</f>
        <v>#DIV/0!</v>
      </c>
      <c r="E545" s="76">
        <f ca="1">SUMIF('Production '!$C$4:$AI$4407,'Tracking Sheet'!B545,'Production '!$S$4:$S$4407)</f>
        <v>-1268218.9828305368</v>
      </c>
      <c r="F545" s="76">
        <f ca="1">SUMIF('Production '!$C$4:$AI$4407,'Tracking Sheet'!B545,'Production '!$U$4:$U$4407)</f>
        <v>-10620.435600016917</v>
      </c>
      <c r="G545" s="76" t="e">
        <f ca="1">SUMIF('Production '!$C$4:$AI$4407,'Tracking Sheet'!B545,'Production '!$W$4:$W$4407)</f>
        <v>#DIV/0!</v>
      </c>
      <c r="H545" s="76">
        <f ca="1">SUMIF('Production '!$C$4:$AI$4407,'Tracking Sheet'!B545,'Production '!$F$4:$F$4407)</f>
        <v>3230621.3283604058</v>
      </c>
      <c r="I545" s="76">
        <f ca="1">SUMIF('Production '!$C$4:$AI$4407,'Tracking Sheet'!B545,'Production '!$V$4:$V$4407)</f>
        <v>-489.86487791182844</v>
      </c>
      <c r="J545" s="76">
        <f ca="1">SUMIF('Production '!$C$4:$AI$4407,'Tracking Sheet'!B545,'Production '!$AG$4:$AG$4407)</f>
        <v>0</v>
      </c>
    </row>
    <row r="546" spans="2:10" x14ac:dyDescent="0.3">
      <c r="B546" s="277">
        <f>'Production '!C549</f>
        <v>47972</v>
      </c>
      <c r="C546" s="76">
        <f ca="1">SUMIF('Production '!$C$4:$AI$4407,'Tracking Sheet'!B546,'Production '!$M$4:$M$4407)</f>
        <v>0</v>
      </c>
      <c r="D546" s="76">
        <f ca="1">SUMIF('Production '!$C$4:$AI$4407,'Tracking Sheet'!B546,'Production '!$Q$4:$Q$4407)</f>
        <v>0</v>
      </c>
      <c r="E546" s="76">
        <f ca="1">SUMIF('Production '!$C$4:$AI$4407,'Tracking Sheet'!B546,'Production '!$S$4:$S$4407)</f>
        <v>0</v>
      </c>
      <c r="F546" s="76">
        <f ca="1">SUMIF('Production '!$C$4:$AI$4407,'Tracking Sheet'!B546,'Production '!$U$4:$U$4407)</f>
        <v>0</v>
      </c>
      <c r="G546" s="76">
        <f ca="1">SUMIF('Production '!$C$4:$AI$4407,'Tracking Sheet'!B546,'Production '!$W$4:$W$4407)</f>
        <v>0</v>
      </c>
      <c r="H546" s="76">
        <f ca="1">SUMIF('Production '!$C$4:$AI$4407,'Tracking Sheet'!B546,'Production '!$F$4:$F$4407)</f>
        <v>2640</v>
      </c>
      <c r="I546" s="76">
        <f ca="1">SUMIF('Production '!$C$4:$AI$4407,'Tracking Sheet'!B546,'Production '!$V$4:$V$4407)</f>
        <v>0</v>
      </c>
      <c r="J546" s="76">
        <f ca="1">SUMIF('Production '!$C$4:$AI$4407,'Tracking Sheet'!B546,'Production '!$AG$4:$AG$4407)</f>
        <v>-2640</v>
      </c>
    </row>
    <row r="547" spans="2:10" x14ac:dyDescent="0.3">
      <c r="B547" s="277">
        <f>'Production '!C550</f>
        <v>47972</v>
      </c>
      <c r="C547" s="76">
        <f ca="1">SUMIF('Production '!$C$4:$AI$4407,'Tracking Sheet'!B547,'Production '!$M$4:$M$4407)</f>
        <v>0</v>
      </c>
      <c r="D547" s="76">
        <f ca="1">SUMIF('Production '!$C$4:$AI$4407,'Tracking Sheet'!B547,'Production '!$Q$4:$Q$4407)</f>
        <v>0</v>
      </c>
      <c r="E547" s="76">
        <f ca="1">SUMIF('Production '!$C$4:$AI$4407,'Tracking Sheet'!B547,'Production '!$S$4:$S$4407)</f>
        <v>0</v>
      </c>
      <c r="F547" s="76">
        <f ca="1">SUMIF('Production '!$C$4:$AI$4407,'Tracking Sheet'!B547,'Production '!$U$4:$U$4407)</f>
        <v>0</v>
      </c>
      <c r="G547" s="76">
        <f ca="1">SUMIF('Production '!$C$4:$AI$4407,'Tracking Sheet'!B547,'Production '!$W$4:$W$4407)</f>
        <v>0</v>
      </c>
      <c r="H547" s="76">
        <f ca="1">SUMIF('Production '!$C$4:$AI$4407,'Tracking Sheet'!B547,'Production '!$F$4:$F$4407)</f>
        <v>2640</v>
      </c>
      <c r="I547" s="76">
        <f ca="1">SUMIF('Production '!$C$4:$AI$4407,'Tracking Sheet'!B547,'Production '!$V$4:$V$4407)</f>
        <v>0</v>
      </c>
      <c r="J547" s="76">
        <f ca="1">SUMIF('Production '!$C$4:$AI$4407,'Tracking Sheet'!B547,'Production '!$AG$4:$AG$4407)</f>
        <v>-2640</v>
      </c>
    </row>
    <row r="548" spans="2:10" x14ac:dyDescent="0.3">
      <c r="B548" s="277">
        <f>'Production '!C551</f>
        <v>0</v>
      </c>
      <c r="C548" s="76" t="e">
        <f ca="1">SUMIF('Production '!$C$4:$AI$4407,'Tracking Sheet'!B548,'Production '!$M$4:$M$4407)</f>
        <v>#DIV/0!</v>
      </c>
      <c r="D548" s="76" t="e">
        <f ca="1">SUMIF('Production '!$C$4:$AI$4407,'Tracking Sheet'!B548,'Production '!$Q$4:$Q$4407)</f>
        <v>#DIV/0!</v>
      </c>
      <c r="E548" s="76">
        <f ca="1">SUMIF('Production '!$C$4:$AI$4407,'Tracking Sheet'!B548,'Production '!$S$4:$S$4407)</f>
        <v>-1268218.9828305368</v>
      </c>
      <c r="F548" s="76">
        <f ca="1">SUMIF('Production '!$C$4:$AI$4407,'Tracking Sheet'!B548,'Production '!$U$4:$U$4407)</f>
        <v>-10620.435600016917</v>
      </c>
      <c r="G548" s="76" t="e">
        <f ca="1">SUMIF('Production '!$C$4:$AI$4407,'Tracking Sheet'!B548,'Production '!$W$4:$W$4407)</f>
        <v>#DIV/0!</v>
      </c>
      <c r="H548" s="76">
        <f ca="1">SUMIF('Production '!$C$4:$AI$4407,'Tracking Sheet'!B548,'Production '!$F$4:$F$4407)</f>
        <v>3230621.3283604058</v>
      </c>
      <c r="I548" s="76">
        <f ca="1">SUMIF('Production '!$C$4:$AI$4407,'Tracking Sheet'!B548,'Production '!$V$4:$V$4407)</f>
        <v>-489.86487791182844</v>
      </c>
      <c r="J548" s="76">
        <f ca="1">SUMIF('Production '!$C$4:$AI$4407,'Tracking Sheet'!B548,'Production '!$AG$4:$AG$4407)</f>
        <v>0</v>
      </c>
    </row>
    <row r="549" spans="2:10" x14ac:dyDescent="0.3">
      <c r="B549" s="277" t="str">
        <f>'Production '!C552</f>
        <v>46491 4th</v>
      </c>
      <c r="C549" s="76">
        <f ca="1">SUMIF('Production '!$C$4:$AI$4407,'Tracking Sheet'!B549,'Production '!$M$4:$M$4407)</f>
        <v>13669</v>
      </c>
      <c r="D549" s="76">
        <f ca="1">SUMIF('Production '!$C$4:$AI$4407,'Tracking Sheet'!B549,'Production '!$Q$4:$Q$4407)</f>
        <v>13467</v>
      </c>
      <c r="E549" s="76">
        <f ca="1">SUMIF('Production '!$C$4:$AI$4407,'Tracking Sheet'!B549,'Production '!$S$4:$S$4407)</f>
        <v>13361</v>
      </c>
      <c r="F549" s="76">
        <f ca="1">SUMIF('Production '!$C$4:$AI$4407,'Tracking Sheet'!B549,'Production '!$U$4:$U$4407)</f>
        <v>4</v>
      </c>
      <c r="G549" s="76">
        <f ca="1">SUMIF('Production '!$C$4:$AI$4407,'Tracking Sheet'!B549,'Production '!$W$4:$W$4407)</f>
        <v>13357</v>
      </c>
      <c r="H549" s="76">
        <f ca="1">SUMIF('Production '!$C$4:$AI$4407,'Tracking Sheet'!B549,'Production '!$F$4:$F$4407)</f>
        <v>13334</v>
      </c>
      <c r="I549" s="76">
        <f ca="1">SUMIF('Production '!$C$4:$AI$4407,'Tracking Sheet'!B549,'Production '!$V$4:$V$4407)</f>
        <v>0</v>
      </c>
      <c r="J549" s="76">
        <f ca="1">SUMIF('Production '!$C$4:$AI$4407,'Tracking Sheet'!B549,'Production '!$AG$4:$AG$4407)</f>
        <v>0</v>
      </c>
    </row>
    <row r="550" spans="2:10" x14ac:dyDescent="0.3">
      <c r="B550" s="277" t="str">
        <f>'Production '!C553</f>
        <v>46491 4th</v>
      </c>
      <c r="C550" s="76">
        <f ca="1">SUMIF('Production '!$C$4:$AI$4407,'Tracking Sheet'!B550,'Production '!$M$4:$M$4407)</f>
        <v>13669</v>
      </c>
      <c r="D550" s="76">
        <f ca="1">SUMIF('Production '!$C$4:$AI$4407,'Tracking Sheet'!B550,'Production '!$Q$4:$Q$4407)</f>
        <v>13467</v>
      </c>
      <c r="E550" s="76">
        <f ca="1">SUMIF('Production '!$C$4:$AI$4407,'Tracking Sheet'!B550,'Production '!$S$4:$S$4407)</f>
        <v>13361</v>
      </c>
      <c r="F550" s="76">
        <f ca="1">SUMIF('Production '!$C$4:$AI$4407,'Tracking Sheet'!B550,'Production '!$U$4:$U$4407)</f>
        <v>4</v>
      </c>
      <c r="G550" s="76">
        <f ca="1">SUMIF('Production '!$C$4:$AI$4407,'Tracking Sheet'!B550,'Production '!$W$4:$W$4407)</f>
        <v>13357</v>
      </c>
      <c r="H550" s="76">
        <f ca="1">SUMIF('Production '!$C$4:$AI$4407,'Tracking Sheet'!B550,'Production '!$F$4:$F$4407)</f>
        <v>13334</v>
      </c>
      <c r="I550" s="76">
        <f ca="1">SUMIF('Production '!$C$4:$AI$4407,'Tracking Sheet'!B550,'Production '!$V$4:$V$4407)</f>
        <v>0</v>
      </c>
      <c r="J550" s="76">
        <f ca="1">SUMIF('Production '!$C$4:$AI$4407,'Tracking Sheet'!B550,'Production '!$AG$4:$AG$4407)</f>
        <v>0</v>
      </c>
    </row>
    <row r="551" spans="2:10" x14ac:dyDescent="0.3">
      <c r="B551" s="277" t="str">
        <f>'Production '!C554</f>
        <v>46491 4th</v>
      </c>
      <c r="C551" s="76">
        <f ca="1">SUMIF('Production '!$C$4:$AI$4407,'Tracking Sheet'!B551,'Production '!$M$4:$M$4407)</f>
        <v>13669</v>
      </c>
      <c r="D551" s="76">
        <f ca="1">SUMIF('Production '!$C$4:$AI$4407,'Tracking Sheet'!B551,'Production '!$Q$4:$Q$4407)</f>
        <v>13467</v>
      </c>
      <c r="E551" s="76">
        <f ca="1">SUMIF('Production '!$C$4:$AI$4407,'Tracking Sheet'!B551,'Production '!$S$4:$S$4407)</f>
        <v>13361</v>
      </c>
      <c r="F551" s="76">
        <f ca="1">SUMIF('Production '!$C$4:$AI$4407,'Tracking Sheet'!B551,'Production '!$U$4:$U$4407)</f>
        <v>4</v>
      </c>
      <c r="G551" s="76">
        <f ca="1">SUMIF('Production '!$C$4:$AI$4407,'Tracking Sheet'!B551,'Production '!$W$4:$W$4407)</f>
        <v>13357</v>
      </c>
      <c r="H551" s="76">
        <f ca="1">SUMIF('Production '!$C$4:$AI$4407,'Tracking Sheet'!B551,'Production '!$F$4:$F$4407)</f>
        <v>13334</v>
      </c>
      <c r="I551" s="76">
        <f ca="1">SUMIF('Production '!$C$4:$AI$4407,'Tracking Sheet'!B551,'Production '!$V$4:$V$4407)</f>
        <v>0</v>
      </c>
      <c r="J551" s="76">
        <f ca="1">SUMIF('Production '!$C$4:$AI$4407,'Tracking Sheet'!B551,'Production '!$AG$4:$AG$4407)</f>
        <v>0</v>
      </c>
    </row>
    <row r="552" spans="2:10" x14ac:dyDescent="0.3">
      <c r="B552" s="277">
        <f>'Production '!C555</f>
        <v>0</v>
      </c>
      <c r="C552" s="76" t="e">
        <f ca="1">SUMIF('Production '!$C$4:$AI$4407,'Tracking Sheet'!B552,'Production '!$M$4:$M$4407)</f>
        <v>#DIV/0!</v>
      </c>
      <c r="D552" s="76" t="e">
        <f ca="1">SUMIF('Production '!$C$4:$AI$4407,'Tracking Sheet'!B552,'Production '!$Q$4:$Q$4407)</f>
        <v>#DIV/0!</v>
      </c>
      <c r="E552" s="76">
        <f ca="1">SUMIF('Production '!$C$4:$AI$4407,'Tracking Sheet'!B552,'Production '!$S$4:$S$4407)</f>
        <v>-1268218.9828305368</v>
      </c>
      <c r="F552" s="76">
        <f ca="1">SUMIF('Production '!$C$4:$AI$4407,'Tracking Sheet'!B552,'Production '!$U$4:$U$4407)</f>
        <v>-10620.435600016917</v>
      </c>
      <c r="G552" s="76" t="e">
        <f ca="1">SUMIF('Production '!$C$4:$AI$4407,'Tracking Sheet'!B552,'Production '!$W$4:$W$4407)</f>
        <v>#DIV/0!</v>
      </c>
      <c r="H552" s="76">
        <f ca="1">SUMIF('Production '!$C$4:$AI$4407,'Tracking Sheet'!B552,'Production '!$F$4:$F$4407)</f>
        <v>3230621.3283604058</v>
      </c>
      <c r="I552" s="76">
        <f ca="1">SUMIF('Production '!$C$4:$AI$4407,'Tracking Sheet'!B552,'Production '!$V$4:$V$4407)</f>
        <v>-489.86487791182844</v>
      </c>
      <c r="J552" s="76">
        <f ca="1">SUMIF('Production '!$C$4:$AI$4407,'Tracking Sheet'!B552,'Production '!$AG$4:$AG$4407)</f>
        <v>0</v>
      </c>
    </row>
    <row r="553" spans="2:10" x14ac:dyDescent="0.3">
      <c r="B553" s="277" t="str">
        <f>'Production '!C556</f>
        <v>46491 6th</v>
      </c>
      <c r="C553" s="76">
        <f ca="1">SUMIF('Production '!$C$4:$AI$4407,'Tracking Sheet'!B553,'Production '!$M$4:$M$4407)</f>
        <v>1587</v>
      </c>
      <c r="D553" s="76">
        <f ca="1">SUMIF('Production '!$C$4:$AI$4407,'Tracking Sheet'!B553,'Production '!$Q$4:$Q$4407)</f>
        <v>1572</v>
      </c>
      <c r="E553" s="76">
        <f ca="1">SUMIF('Production '!$C$4:$AI$4407,'Tracking Sheet'!B553,'Production '!$S$4:$S$4407)</f>
        <v>1568</v>
      </c>
      <c r="F553" s="76">
        <f ca="1">SUMIF('Production '!$C$4:$AI$4407,'Tracking Sheet'!B553,'Production '!$U$4:$U$4407)</f>
        <v>14</v>
      </c>
      <c r="G553" s="76">
        <f ca="1">SUMIF('Production '!$C$4:$AI$4407,'Tracking Sheet'!B553,'Production '!$W$4:$W$4407)</f>
        <v>1554</v>
      </c>
      <c r="H553" s="76">
        <f ca="1">SUMIF('Production '!$C$4:$AI$4407,'Tracking Sheet'!B553,'Production '!$F$4:$F$4407)</f>
        <v>1520</v>
      </c>
      <c r="I553" s="76">
        <f ca="1">SUMIF('Production '!$C$4:$AI$4407,'Tracking Sheet'!B553,'Production '!$V$4:$V$4407)</f>
        <v>0</v>
      </c>
      <c r="J553" s="76">
        <f ca="1">SUMIF('Production '!$C$4:$AI$4407,'Tracking Sheet'!B553,'Production '!$AG$4:$AG$4407)</f>
        <v>0</v>
      </c>
    </row>
    <row r="554" spans="2:10" x14ac:dyDescent="0.3">
      <c r="B554" s="277">
        <f>'Production '!C557</f>
        <v>0</v>
      </c>
      <c r="C554" s="76" t="e">
        <f ca="1">SUMIF('Production '!$C$4:$AI$4407,'Tracking Sheet'!B554,'Production '!$M$4:$M$4407)</f>
        <v>#DIV/0!</v>
      </c>
      <c r="D554" s="76" t="e">
        <f ca="1">SUMIF('Production '!$C$4:$AI$4407,'Tracking Sheet'!B554,'Production '!$Q$4:$Q$4407)</f>
        <v>#DIV/0!</v>
      </c>
      <c r="E554" s="76">
        <f ca="1">SUMIF('Production '!$C$4:$AI$4407,'Tracking Sheet'!B554,'Production '!$S$4:$S$4407)</f>
        <v>-1268218.9828305368</v>
      </c>
      <c r="F554" s="76">
        <f ca="1">SUMIF('Production '!$C$4:$AI$4407,'Tracking Sheet'!B554,'Production '!$U$4:$U$4407)</f>
        <v>-10620.435600016917</v>
      </c>
      <c r="G554" s="76" t="e">
        <f ca="1">SUMIF('Production '!$C$4:$AI$4407,'Tracking Sheet'!B554,'Production '!$W$4:$W$4407)</f>
        <v>#DIV/0!</v>
      </c>
      <c r="H554" s="76">
        <f ca="1">SUMIF('Production '!$C$4:$AI$4407,'Tracking Sheet'!B554,'Production '!$F$4:$F$4407)</f>
        <v>3230621.3283604058</v>
      </c>
      <c r="I554" s="76">
        <f ca="1">SUMIF('Production '!$C$4:$AI$4407,'Tracking Sheet'!B554,'Production '!$V$4:$V$4407)</f>
        <v>-489.86487791182844</v>
      </c>
      <c r="J554" s="76">
        <f ca="1">SUMIF('Production '!$C$4:$AI$4407,'Tracking Sheet'!B554,'Production '!$AG$4:$AG$4407)</f>
        <v>0</v>
      </c>
    </row>
    <row r="555" spans="2:10" x14ac:dyDescent="0.3">
      <c r="B555" s="277" t="str">
        <f>'Production '!C558</f>
        <v>46491 7th</v>
      </c>
      <c r="C555" s="76">
        <f ca="1">SUMIF('Production '!$C$4:$AI$4407,'Tracking Sheet'!B555,'Production '!$M$4:$M$4407)</f>
        <v>0</v>
      </c>
      <c r="D555" s="76">
        <f ca="1">SUMIF('Production '!$C$4:$AI$4407,'Tracking Sheet'!B555,'Production '!$Q$4:$Q$4407)</f>
        <v>0</v>
      </c>
      <c r="E555" s="76">
        <f ca="1">SUMIF('Production '!$C$4:$AI$4407,'Tracking Sheet'!B555,'Production '!$S$4:$S$4407)</f>
        <v>0</v>
      </c>
      <c r="F555" s="76">
        <f ca="1">SUMIF('Production '!$C$4:$AI$4407,'Tracking Sheet'!B555,'Production '!$U$4:$U$4407)</f>
        <v>0</v>
      </c>
      <c r="G555" s="76">
        <f ca="1">SUMIF('Production '!$C$4:$AI$4407,'Tracking Sheet'!B555,'Production '!$W$4:$W$4407)</f>
        <v>0</v>
      </c>
      <c r="H555" s="76">
        <f ca="1">SUMIF('Production '!$C$4:$AI$4407,'Tracking Sheet'!B555,'Production '!$F$4:$F$4407)</f>
        <v>4080</v>
      </c>
      <c r="I555" s="76">
        <f ca="1">SUMIF('Production '!$C$4:$AI$4407,'Tracking Sheet'!B555,'Production '!$V$4:$V$4407)</f>
        <v>0</v>
      </c>
      <c r="J555" s="76">
        <f ca="1">SUMIF('Production '!$C$4:$AI$4407,'Tracking Sheet'!B555,'Production '!$AG$4:$AG$4407)</f>
        <v>-4080</v>
      </c>
    </row>
    <row r="556" spans="2:10" x14ac:dyDescent="0.3">
      <c r="B556" s="277" t="str">
        <f>'Production '!C559</f>
        <v>46491 7th</v>
      </c>
      <c r="C556" s="76">
        <f ca="1">SUMIF('Production '!$C$4:$AI$4407,'Tracking Sheet'!B556,'Production '!$M$4:$M$4407)</f>
        <v>0</v>
      </c>
      <c r="D556" s="76">
        <f ca="1">SUMIF('Production '!$C$4:$AI$4407,'Tracking Sheet'!B556,'Production '!$Q$4:$Q$4407)</f>
        <v>0</v>
      </c>
      <c r="E556" s="76">
        <f ca="1">SUMIF('Production '!$C$4:$AI$4407,'Tracking Sheet'!B556,'Production '!$S$4:$S$4407)</f>
        <v>0</v>
      </c>
      <c r="F556" s="76">
        <f ca="1">SUMIF('Production '!$C$4:$AI$4407,'Tracking Sheet'!B556,'Production '!$U$4:$U$4407)</f>
        <v>0</v>
      </c>
      <c r="G556" s="76">
        <f ca="1">SUMIF('Production '!$C$4:$AI$4407,'Tracking Sheet'!B556,'Production '!$W$4:$W$4407)</f>
        <v>0</v>
      </c>
      <c r="H556" s="76">
        <f ca="1">SUMIF('Production '!$C$4:$AI$4407,'Tracking Sheet'!B556,'Production '!$F$4:$F$4407)</f>
        <v>4080</v>
      </c>
      <c r="I556" s="76">
        <f ca="1">SUMIF('Production '!$C$4:$AI$4407,'Tracking Sheet'!B556,'Production '!$V$4:$V$4407)</f>
        <v>0</v>
      </c>
      <c r="J556" s="76">
        <f ca="1">SUMIF('Production '!$C$4:$AI$4407,'Tracking Sheet'!B556,'Production '!$AG$4:$AG$4407)</f>
        <v>-4080</v>
      </c>
    </row>
    <row r="557" spans="2:10" x14ac:dyDescent="0.3">
      <c r="B557" s="277">
        <f>'Production '!C560</f>
        <v>0</v>
      </c>
      <c r="C557" s="76" t="e">
        <f ca="1">SUMIF('Production '!$C$4:$AI$4407,'Tracking Sheet'!B557,'Production '!$M$4:$M$4407)</f>
        <v>#DIV/0!</v>
      </c>
      <c r="D557" s="76" t="e">
        <f ca="1">SUMIF('Production '!$C$4:$AI$4407,'Tracking Sheet'!B557,'Production '!$Q$4:$Q$4407)</f>
        <v>#DIV/0!</v>
      </c>
      <c r="E557" s="76">
        <f ca="1">SUMIF('Production '!$C$4:$AI$4407,'Tracking Sheet'!B557,'Production '!$S$4:$S$4407)</f>
        <v>-1268218.9828305368</v>
      </c>
      <c r="F557" s="76">
        <f ca="1">SUMIF('Production '!$C$4:$AI$4407,'Tracking Sheet'!B557,'Production '!$U$4:$U$4407)</f>
        <v>-10620.435600016917</v>
      </c>
      <c r="G557" s="76" t="e">
        <f ca="1">SUMIF('Production '!$C$4:$AI$4407,'Tracking Sheet'!B557,'Production '!$W$4:$W$4407)</f>
        <v>#DIV/0!</v>
      </c>
      <c r="H557" s="76">
        <f ca="1">SUMIF('Production '!$C$4:$AI$4407,'Tracking Sheet'!B557,'Production '!$F$4:$F$4407)</f>
        <v>3230621.3283604058</v>
      </c>
      <c r="I557" s="76">
        <f ca="1">SUMIF('Production '!$C$4:$AI$4407,'Tracking Sheet'!B557,'Production '!$V$4:$V$4407)</f>
        <v>-489.86487791182844</v>
      </c>
      <c r="J557" s="76">
        <f ca="1">SUMIF('Production '!$C$4:$AI$4407,'Tracking Sheet'!B557,'Production '!$AG$4:$AG$4407)</f>
        <v>0</v>
      </c>
    </row>
    <row r="558" spans="2:10" x14ac:dyDescent="0.3">
      <c r="B558" s="277" t="str">
        <f>'Production '!C561</f>
        <v>46491 8th</v>
      </c>
      <c r="C558" s="76">
        <f ca="1">SUMIF('Production '!$C$4:$AI$4407,'Tracking Sheet'!B558,'Production '!$M$4:$M$4407)</f>
        <v>0</v>
      </c>
      <c r="D558" s="76">
        <f ca="1">SUMIF('Production '!$C$4:$AI$4407,'Tracking Sheet'!B558,'Production '!$Q$4:$Q$4407)</f>
        <v>0</v>
      </c>
      <c r="E558" s="76">
        <f ca="1">SUMIF('Production '!$C$4:$AI$4407,'Tracking Sheet'!B558,'Production '!$S$4:$S$4407)</f>
        <v>0</v>
      </c>
      <c r="F558" s="76">
        <f ca="1">SUMIF('Production '!$C$4:$AI$4407,'Tracking Sheet'!B558,'Production '!$U$4:$U$4407)</f>
        <v>0</v>
      </c>
      <c r="G558" s="76">
        <f ca="1">SUMIF('Production '!$C$4:$AI$4407,'Tracking Sheet'!B558,'Production '!$W$4:$W$4407)</f>
        <v>0</v>
      </c>
      <c r="H558" s="76">
        <f ca="1">SUMIF('Production '!$C$4:$AI$4407,'Tracking Sheet'!B558,'Production '!$F$4:$F$4407)</f>
        <v>2560</v>
      </c>
      <c r="I558" s="76">
        <f ca="1">SUMIF('Production '!$C$4:$AI$4407,'Tracking Sheet'!B558,'Production '!$V$4:$V$4407)</f>
        <v>0</v>
      </c>
      <c r="J558" s="76">
        <f ca="1">SUMIF('Production '!$C$4:$AI$4407,'Tracking Sheet'!B558,'Production '!$AG$4:$AG$4407)</f>
        <v>-2560</v>
      </c>
    </row>
    <row r="559" spans="2:10" x14ac:dyDescent="0.3">
      <c r="B559" s="277">
        <f>'Production '!C562</f>
        <v>0</v>
      </c>
      <c r="C559" s="76" t="e">
        <f ca="1">SUMIF('Production '!$C$4:$AI$4407,'Tracking Sheet'!B559,'Production '!$M$4:$M$4407)</f>
        <v>#DIV/0!</v>
      </c>
      <c r="D559" s="76" t="e">
        <f ca="1">SUMIF('Production '!$C$4:$AI$4407,'Tracking Sheet'!B559,'Production '!$Q$4:$Q$4407)</f>
        <v>#DIV/0!</v>
      </c>
      <c r="E559" s="76">
        <f ca="1">SUMIF('Production '!$C$4:$AI$4407,'Tracking Sheet'!B559,'Production '!$S$4:$S$4407)</f>
        <v>-1268218.9828305368</v>
      </c>
      <c r="F559" s="76">
        <f ca="1">SUMIF('Production '!$C$4:$AI$4407,'Tracking Sheet'!B559,'Production '!$U$4:$U$4407)</f>
        <v>-10620.435600016917</v>
      </c>
      <c r="G559" s="76" t="e">
        <f ca="1">SUMIF('Production '!$C$4:$AI$4407,'Tracking Sheet'!B559,'Production '!$W$4:$W$4407)</f>
        <v>#DIV/0!</v>
      </c>
      <c r="H559" s="76">
        <f ca="1">SUMIF('Production '!$C$4:$AI$4407,'Tracking Sheet'!B559,'Production '!$F$4:$F$4407)</f>
        <v>3230621.3283604058</v>
      </c>
      <c r="I559" s="76">
        <f ca="1">SUMIF('Production '!$C$4:$AI$4407,'Tracking Sheet'!B559,'Production '!$V$4:$V$4407)</f>
        <v>-489.86487791182844</v>
      </c>
      <c r="J559" s="76">
        <f ca="1">SUMIF('Production '!$C$4:$AI$4407,'Tracking Sheet'!B559,'Production '!$AG$4:$AG$4407)</f>
        <v>0</v>
      </c>
    </row>
    <row r="560" spans="2:10" x14ac:dyDescent="0.3">
      <c r="B560" s="277">
        <f>'Production '!C563</f>
        <v>47979</v>
      </c>
      <c r="C560" s="76">
        <f ca="1">SUMIF('Production '!$C$4:$AI$4407,'Tracking Sheet'!B560,'Production '!$M$4:$M$4407)</f>
        <v>2637</v>
      </c>
      <c r="D560" s="76">
        <f ca="1">SUMIF('Production '!$C$4:$AI$4407,'Tracking Sheet'!B560,'Production '!$Q$4:$Q$4407)</f>
        <v>2637</v>
      </c>
      <c r="E560" s="76">
        <f ca="1">SUMIF('Production '!$C$4:$AI$4407,'Tracking Sheet'!B560,'Production '!$S$4:$S$4407)</f>
        <v>2590</v>
      </c>
      <c r="F560" s="76">
        <f ca="1">SUMIF('Production '!$C$4:$AI$4407,'Tracking Sheet'!B560,'Production '!$U$4:$U$4407)</f>
        <v>39</v>
      </c>
      <c r="G560" s="76">
        <f ca="1">SUMIF('Production '!$C$4:$AI$4407,'Tracking Sheet'!B560,'Production '!$W$4:$W$4407)</f>
        <v>2551</v>
      </c>
      <c r="H560" s="76">
        <f ca="1">SUMIF('Production '!$C$4:$AI$4407,'Tracking Sheet'!B560,'Production '!$F$4:$F$4407)</f>
        <v>2518</v>
      </c>
      <c r="I560" s="76">
        <f ca="1">SUMIF('Production '!$C$4:$AI$4407,'Tracking Sheet'!B560,'Production '!$V$4:$V$4407)</f>
        <v>0</v>
      </c>
      <c r="J560" s="76">
        <f ca="1">SUMIF('Production '!$C$4:$AI$4407,'Tracking Sheet'!B560,'Production '!$AG$4:$AG$4407)</f>
        <v>0</v>
      </c>
    </row>
    <row r="561" spans="2:10" x14ac:dyDescent="0.3">
      <c r="B561" s="277">
        <f>'Production '!C564</f>
        <v>47979</v>
      </c>
      <c r="C561" s="76">
        <f ca="1">SUMIF('Production '!$C$4:$AI$4407,'Tracking Sheet'!B561,'Production '!$M$4:$M$4407)</f>
        <v>2637</v>
      </c>
      <c r="D561" s="76">
        <f ca="1">SUMIF('Production '!$C$4:$AI$4407,'Tracking Sheet'!B561,'Production '!$Q$4:$Q$4407)</f>
        <v>2637</v>
      </c>
      <c r="E561" s="76">
        <f ca="1">SUMIF('Production '!$C$4:$AI$4407,'Tracking Sheet'!B561,'Production '!$S$4:$S$4407)</f>
        <v>2590</v>
      </c>
      <c r="F561" s="76">
        <f ca="1">SUMIF('Production '!$C$4:$AI$4407,'Tracking Sheet'!B561,'Production '!$U$4:$U$4407)</f>
        <v>39</v>
      </c>
      <c r="G561" s="76">
        <f ca="1">SUMIF('Production '!$C$4:$AI$4407,'Tracking Sheet'!B561,'Production '!$W$4:$W$4407)</f>
        <v>2551</v>
      </c>
      <c r="H561" s="76">
        <f ca="1">SUMIF('Production '!$C$4:$AI$4407,'Tracking Sheet'!B561,'Production '!$F$4:$F$4407)</f>
        <v>2518</v>
      </c>
      <c r="I561" s="76">
        <f ca="1">SUMIF('Production '!$C$4:$AI$4407,'Tracking Sheet'!B561,'Production '!$V$4:$V$4407)</f>
        <v>0</v>
      </c>
      <c r="J561" s="76">
        <f ca="1">SUMIF('Production '!$C$4:$AI$4407,'Tracking Sheet'!B561,'Production '!$AG$4:$AG$4407)</f>
        <v>0</v>
      </c>
    </row>
    <row r="562" spans="2:10" x14ac:dyDescent="0.3">
      <c r="B562" s="277">
        <f>'Production '!C565</f>
        <v>0</v>
      </c>
      <c r="C562" s="76" t="e">
        <f ca="1">SUMIF('Production '!$C$4:$AI$4407,'Tracking Sheet'!B562,'Production '!$M$4:$M$4407)</f>
        <v>#DIV/0!</v>
      </c>
      <c r="D562" s="76" t="e">
        <f ca="1">SUMIF('Production '!$C$4:$AI$4407,'Tracking Sheet'!B562,'Production '!$Q$4:$Q$4407)</f>
        <v>#DIV/0!</v>
      </c>
      <c r="E562" s="76">
        <f ca="1">SUMIF('Production '!$C$4:$AI$4407,'Tracking Sheet'!B562,'Production '!$S$4:$S$4407)</f>
        <v>-1268218.9828305368</v>
      </c>
      <c r="F562" s="76">
        <f ca="1">SUMIF('Production '!$C$4:$AI$4407,'Tracking Sheet'!B562,'Production '!$U$4:$U$4407)</f>
        <v>-10620.435600016917</v>
      </c>
      <c r="G562" s="76" t="e">
        <f ca="1">SUMIF('Production '!$C$4:$AI$4407,'Tracking Sheet'!B562,'Production '!$W$4:$W$4407)</f>
        <v>#DIV/0!</v>
      </c>
      <c r="H562" s="76">
        <f ca="1">SUMIF('Production '!$C$4:$AI$4407,'Tracking Sheet'!B562,'Production '!$F$4:$F$4407)</f>
        <v>3230621.3283604058</v>
      </c>
      <c r="I562" s="76">
        <f ca="1">SUMIF('Production '!$C$4:$AI$4407,'Tracking Sheet'!B562,'Production '!$V$4:$V$4407)</f>
        <v>-489.86487791182844</v>
      </c>
      <c r="J562" s="76">
        <f ca="1">SUMIF('Production '!$C$4:$AI$4407,'Tracking Sheet'!B562,'Production '!$AG$4:$AG$4407)</f>
        <v>0</v>
      </c>
    </row>
    <row r="563" spans="2:10" x14ac:dyDescent="0.3">
      <c r="B563" s="277">
        <f>'Production '!C566</f>
        <v>47971</v>
      </c>
      <c r="C563" s="76">
        <f ca="1">SUMIF('Production '!$C$4:$AI$4407,'Tracking Sheet'!B563,'Production '!$M$4:$M$4407)</f>
        <v>1975</v>
      </c>
      <c r="D563" s="76">
        <f ca="1">SUMIF('Production '!$C$4:$AI$4407,'Tracking Sheet'!B563,'Production '!$Q$4:$Q$4407)</f>
        <v>1959</v>
      </c>
      <c r="E563" s="76">
        <f ca="1">SUMIF('Production '!$C$4:$AI$4407,'Tracking Sheet'!B563,'Production '!$S$4:$S$4407)</f>
        <v>0</v>
      </c>
      <c r="F563" s="76">
        <f ca="1">SUMIF('Production '!$C$4:$AI$4407,'Tracking Sheet'!B563,'Production '!$U$4:$U$4407)</f>
        <v>0</v>
      </c>
      <c r="G563" s="76">
        <f ca="1">SUMIF('Production '!$C$4:$AI$4407,'Tracking Sheet'!B563,'Production '!$W$4:$W$4407)</f>
        <v>0</v>
      </c>
      <c r="H563" s="76">
        <f ca="1">SUMIF('Production '!$C$4:$AI$4407,'Tracking Sheet'!B563,'Production '!$F$4:$F$4407)</f>
        <v>1905</v>
      </c>
      <c r="I563" s="76">
        <f ca="1">SUMIF('Production '!$C$4:$AI$4407,'Tracking Sheet'!B563,'Production '!$V$4:$V$4407)</f>
        <v>0</v>
      </c>
      <c r="J563" s="76">
        <f ca="1">SUMIF('Production '!$C$4:$AI$4407,'Tracking Sheet'!B563,'Production '!$AG$4:$AG$4407)</f>
        <v>0</v>
      </c>
    </row>
    <row r="564" spans="2:10" x14ac:dyDescent="0.3">
      <c r="B564" s="277">
        <f>'Production '!C567</f>
        <v>47971</v>
      </c>
      <c r="C564" s="76">
        <f ca="1">SUMIF('Production '!$C$4:$AI$4407,'Tracking Sheet'!B564,'Production '!$M$4:$M$4407)</f>
        <v>1975</v>
      </c>
      <c r="D564" s="76">
        <f ca="1">SUMIF('Production '!$C$4:$AI$4407,'Tracking Sheet'!B564,'Production '!$Q$4:$Q$4407)</f>
        <v>1959</v>
      </c>
      <c r="E564" s="76">
        <f ca="1">SUMIF('Production '!$C$4:$AI$4407,'Tracking Sheet'!B564,'Production '!$S$4:$S$4407)</f>
        <v>0</v>
      </c>
      <c r="F564" s="76">
        <f ca="1">SUMIF('Production '!$C$4:$AI$4407,'Tracking Sheet'!B564,'Production '!$U$4:$U$4407)</f>
        <v>0</v>
      </c>
      <c r="G564" s="76">
        <f ca="1">SUMIF('Production '!$C$4:$AI$4407,'Tracking Sheet'!B564,'Production '!$W$4:$W$4407)</f>
        <v>0</v>
      </c>
      <c r="H564" s="76">
        <f ca="1">SUMIF('Production '!$C$4:$AI$4407,'Tracking Sheet'!B564,'Production '!$F$4:$F$4407)</f>
        <v>1905</v>
      </c>
      <c r="I564" s="76">
        <f ca="1">SUMIF('Production '!$C$4:$AI$4407,'Tracking Sheet'!B564,'Production '!$V$4:$V$4407)</f>
        <v>0</v>
      </c>
      <c r="J564" s="76">
        <f ca="1">SUMIF('Production '!$C$4:$AI$4407,'Tracking Sheet'!B564,'Production '!$AG$4:$AG$4407)</f>
        <v>0</v>
      </c>
    </row>
    <row r="565" spans="2:10" x14ac:dyDescent="0.3">
      <c r="B565" s="277">
        <f>'Production '!C568</f>
        <v>0</v>
      </c>
      <c r="C565" s="76" t="e">
        <f ca="1">SUMIF('Production '!$C$4:$AI$4407,'Tracking Sheet'!B565,'Production '!$M$4:$M$4407)</f>
        <v>#DIV/0!</v>
      </c>
      <c r="D565" s="76" t="e">
        <f ca="1">SUMIF('Production '!$C$4:$AI$4407,'Tracking Sheet'!B565,'Production '!$Q$4:$Q$4407)</f>
        <v>#DIV/0!</v>
      </c>
      <c r="E565" s="76">
        <f ca="1">SUMIF('Production '!$C$4:$AI$4407,'Tracking Sheet'!B565,'Production '!$S$4:$S$4407)</f>
        <v>-1268218.9828305368</v>
      </c>
      <c r="F565" s="76">
        <f ca="1">SUMIF('Production '!$C$4:$AI$4407,'Tracking Sheet'!B565,'Production '!$U$4:$U$4407)</f>
        <v>-10620.435600016917</v>
      </c>
      <c r="G565" s="76" t="e">
        <f ca="1">SUMIF('Production '!$C$4:$AI$4407,'Tracking Sheet'!B565,'Production '!$W$4:$W$4407)</f>
        <v>#DIV/0!</v>
      </c>
      <c r="H565" s="76">
        <f ca="1">SUMIF('Production '!$C$4:$AI$4407,'Tracking Sheet'!B565,'Production '!$F$4:$F$4407)</f>
        <v>3230621.3283604058</v>
      </c>
      <c r="I565" s="76">
        <f ca="1">SUMIF('Production '!$C$4:$AI$4407,'Tracking Sheet'!B565,'Production '!$V$4:$V$4407)</f>
        <v>-489.86487791182844</v>
      </c>
      <c r="J565" s="76">
        <f ca="1">SUMIF('Production '!$C$4:$AI$4407,'Tracking Sheet'!B565,'Production '!$AG$4:$AG$4407)</f>
        <v>0</v>
      </c>
    </row>
    <row r="566" spans="2:10" x14ac:dyDescent="0.3">
      <c r="B566" s="277">
        <f>'Production '!C569</f>
        <v>47617</v>
      </c>
      <c r="C566" s="76">
        <f ca="1">SUMIF('Production '!$C$4:$AI$4407,'Tracking Sheet'!B566,'Production '!$M$4:$M$4407)</f>
        <v>2465</v>
      </c>
      <c r="D566" s="76">
        <f ca="1">SUMIF('Production '!$C$4:$AI$4407,'Tracking Sheet'!B566,'Production '!$Q$4:$Q$4407)</f>
        <v>2465</v>
      </c>
      <c r="E566" s="76">
        <f ca="1">SUMIF('Production '!$C$4:$AI$4407,'Tracking Sheet'!B566,'Production '!$S$4:$S$4407)</f>
        <v>2465</v>
      </c>
      <c r="F566" s="76">
        <f ca="1">SUMIF('Production '!$C$4:$AI$4407,'Tracking Sheet'!B566,'Production '!$U$4:$U$4407)</f>
        <v>4</v>
      </c>
      <c r="G566" s="76">
        <f ca="1">SUMIF('Production '!$C$4:$AI$4407,'Tracking Sheet'!B566,'Production '!$W$4:$W$4407)</f>
        <v>2461</v>
      </c>
      <c r="H566" s="76">
        <f ca="1">SUMIF('Production '!$C$4:$AI$4407,'Tracking Sheet'!B566,'Production '!$F$4:$F$4407)</f>
        <v>2395</v>
      </c>
      <c r="I566" s="76">
        <f ca="1">SUMIF('Production '!$C$4:$AI$4407,'Tracking Sheet'!B566,'Production '!$V$4:$V$4407)</f>
        <v>0</v>
      </c>
      <c r="J566" s="76">
        <f ca="1">SUMIF('Production '!$C$4:$AI$4407,'Tracking Sheet'!B566,'Production '!$AG$4:$AG$4407)</f>
        <v>0</v>
      </c>
    </row>
    <row r="567" spans="2:10" x14ac:dyDescent="0.3">
      <c r="B567" s="277">
        <f>'Production '!C570</f>
        <v>47617</v>
      </c>
      <c r="C567" s="76">
        <f ca="1">SUMIF('Production '!$C$4:$AI$4407,'Tracking Sheet'!B567,'Production '!$M$4:$M$4407)</f>
        <v>2465</v>
      </c>
      <c r="D567" s="76">
        <f ca="1">SUMIF('Production '!$C$4:$AI$4407,'Tracking Sheet'!B567,'Production '!$Q$4:$Q$4407)</f>
        <v>2465</v>
      </c>
      <c r="E567" s="76">
        <f ca="1">SUMIF('Production '!$C$4:$AI$4407,'Tracking Sheet'!B567,'Production '!$S$4:$S$4407)</f>
        <v>2465</v>
      </c>
      <c r="F567" s="76">
        <f ca="1">SUMIF('Production '!$C$4:$AI$4407,'Tracking Sheet'!B567,'Production '!$U$4:$U$4407)</f>
        <v>4</v>
      </c>
      <c r="G567" s="76">
        <f ca="1">SUMIF('Production '!$C$4:$AI$4407,'Tracking Sheet'!B567,'Production '!$W$4:$W$4407)</f>
        <v>2461</v>
      </c>
      <c r="H567" s="76">
        <f ca="1">SUMIF('Production '!$C$4:$AI$4407,'Tracking Sheet'!B567,'Production '!$F$4:$F$4407)</f>
        <v>2395</v>
      </c>
      <c r="I567" s="76">
        <f ca="1">SUMIF('Production '!$C$4:$AI$4407,'Tracking Sheet'!B567,'Production '!$V$4:$V$4407)</f>
        <v>0</v>
      </c>
      <c r="J567" s="76">
        <f ca="1">SUMIF('Production '!$C$4:$AI$4407,'Tracking Sheet'!B567,'Production '!$AG$4:$AG$4407)</f>
        <v>0</v>
      </c>
    </row>
    <row r="568" spans="2:10" x14ac:dyDescent="0.3">
      <c r="B568" s="277">
        <f>'Production '!C571</f>
        <v>0</v>
      </c>
      <c r="C568" s="76" t="e">
        <f ca="1">SUMIF('Production '!$C$4:$AI$4407,'Tracking Sheet'!B568,'Production '!$M$4:$M$4407)</f>
        <v>#DIV/0!</v>
      </c>
      <c r="D568" s="76" t="e">
        <f ca="1">SUMIF('Production '!$C$4:$AI$4407,'Tracking Sheet'!B568,'Production '!$Q$4:$Q$4407)</f>
        <v>#DIV/0!</v>
      </c>
      <c r="E568" s="76">
        <f ca="1">SUMIF('Production '!$C$4:$AI$4407,'Tracking Sheet'!B568,'Production '!$S$4:$S$4407)</f>
        <v>-1268218.9828305368</v>
      </c>
      <c r="F568" s="76">
        <f ca="1">SUMIF('Production '!$C$4:$AI$4407,'Tracking Sheet'!B568,'Production '!$U$4:$U$4407)</f>
        <v>-10620.435600016917</v>
      </c>
      <c r="G568" s="76" t="e">
        <f ca="1">SUMIF('Production '!$C$4:$AI$4407,'Tracking Sheet'!B568,'Production '!$W$4:$W$4407)</f>
        <v>#DIV/0!</v>
      </c>
      <c r="H568" s="76">
        <f ca="1">SUMIF('Production '!$C$4:$AI$4407,'Tracking Sheet'!B568,'Production '!$F$4:$F$4407)</f>
        <v>3230621.3283604058</v>
      </c>
      <c r="I568" s="76">
        <f ca="1">SUMIF('Production '!$C$4:$AI$4407,'Tracking Sheet'!B568,'Production '!$V$4:$V$4407)</f>
        <v>-489.86487791182844</v>
      </c>
      <c r="J568" s="76">
        <f ca="1">SUMIF('Production '!$C$4:$AI$4407,'Tracking Sheet'!B568,'Production '!$AG$4:$AG$4407)</f>
        <v>0</v>
      </c>
    </row>
    <row r="569" spans="2:10" x14ac:dyDescent="0.3">
      <c r="B569" s="277">
        <f>'Production '!C572</f>
        <v>48007</v>
      </c>
      <c r="C569" s="76">
        <f ca="1">SUMIF('Production '!$C$4:$AI$4407,'Tracking Sheet'!B569,'Production '!$M$4:$M$4407)</f>
        <v>2003</v>
      </c>
      <c r="D569" s="76">
        <f ca="1">SUMIF('Production '!$C$4:$AI$4407,'Tracking Sheet'!B569,'Production '!$Q$4:$Q$4407)</f>
        <v>0</v>
      </c>
      <c r="E569" s="76">
        <f ca="1">SUMIF('Production '!$C$4:$AI$4407,'Tracking Sheet'!B569,'Production '!$S$4:$S$4407)</f>
        <v>0</v>
      </c>
      <c r="F569" s="76">
        <f ca="1">SUMIF('Production '!$C$4:$AI$4407,'Tracking Sheet'!B569,'Production '!$U$4:$U$4407)</f>
        <v>2003</v>
      </c>
      <c r="G569" s="76">
        <f ca="1">SUMIF('Production '!$C$4:$AI$4407,'Tracking Sheet'!B569,'Production '!$W$4:$W$4407)</f>
        <v>0</v>
      </c>
      <c r="H569" s="76">
        <f ca="1">SUMIF('Production '!$C$4:$AI$4407,'Tracking Sheet'!B569,'Production '!$F$4:$F$4407)</f>
        <v>6752</v>
      </c>
      <c r="I569" s="76">
        <f ca="1">SUMIF('Production '!$C$4:$AI$4407,'Tracking Sheet'!B569,'Production '!$V$4:$V$4407)</f>
        <v>0</v>
      </c>
      <c r="J569" s="76">
        <f ca="1">SUMIF('Production '!$C$4:$AI$4407,'Tracking Sheet'!B569,'Production '!$AG$4:$AG$4407)</f>
        <v>-4749</v>
      </c>
    </row>
    <row r="570" spans="2:10" x14ac:dyDescent="0.3">
      <c r="B570" s="277">
        <f>'Production '!C573</f>
        <v>48007</v>
      </c>
      <c r="C570" s="76">
        <f ca="1">SUMIF('Production '!$C$4:$AI$4407,'Tracking Sheet'!B570,'Production '!$M$4:$M$4407)</f>
        <v>2003</v>
      </c>
      <c r="D570" s="76">
        <f ca="1">SUMIF('Production '!$C$4:$AI$4407,'Tracking Sheet'!B570,'Production '!$Q$4:$Q$4407)</f>
        <v>0</v>
      </c>
      <c r="E570" s="76">
        <f ca="1">SUMIF('Production '!$C$4:$AI$4407,'Tracking Sheet'!B570,'Production '!$S$4:$S$4407)</f>
        <v>0</v>
      </c>
      <c r="F570" s="76">
        <f ca="1">SUMIF('Production '!$C$4:$AI$4407,'Tracking Sheet'!B570,'Production '!$U$4:$U$4407)</f>
        <v>2003</v>
      </c>
      <c r="G570" s="76">
        <f ca="1">SUMIF('Production '!$C$4:$AI$4407,'Tracking Sheet'!B570,'Production '!$W$4:$W$4407)</f>
        <v>0</v>
      </c>
      <c r="H570" s="76">
        <f ca="1">SUMIF('Production '!$C$4:$AI$4407,'Tracking Sheet'!B570,'Production '!$F$4:$F$4407)</f>
        <v>6752</v>
      </c>
      <c r="I570" s="76">
        <f ca="1">SUMIF('Production '!$C$4:$AI$4407,'Tracking Sheet'!B570,'Production '!$V$4:$V$4407)</f>
        <v>0</v>
      </c>
      <c r="J570" s="76">
        <f ca="1">SUMIF('Production '!$C$4:$AI$4407,'Tracking Sheet'!B570,'Production '!$AG$4:$AG$4407)</f>
        <v>-4749</v>
      </c>
    </row>
    <row r="571" spans="2:10" x14ac:dyDescent="0.3">
      <c r="B571" s="277">
        <f>'Production '!C574</f>
        <v>0</v>
      </c>
      <c r="C571" s="76" t="e">
        <f ca="1">SUMIF('Production '!$C$4:$AI$4407,'Tracking Sheet'!B571,'Production '!$M$4:$M$4407)</f>
        <v>#DIV/0!</v>
      </c>
      <c r="D571" s="76" t="e">
        <f ca="1">SUMIF('Production '!$C$4:$AI$4407,'Tracking Sheet'!B571,'Production '!$Q$4:$Q$4407)</f>
        <v>#DIV/0!</v>
      </c>
      <c r="E571" s="76">
        <f ca="1">SUMIF('Production '!$C$4:$AI$4407,'Tracking Sheet'!B571,'Production '!$S$4:$S$4407)</f>
        <v>-1268218.9828305368</v>
      </c>
      <c r="F571" s="76">
        <f ca="1">SUMIF('Production '!$C$4:$AI$4407,'Tracking Sheet'!B571,'Production '!$U$4:$U$4407)</f>
        <v>-10620.435600016917</v>
      </c>
      <c r="G571" s="76" t="e">
        <f ca="1">SUMIF('Production '!$C$4:$AI$4407,'Tracking Sheet'!B571,'Production '!$W$4:$W$4407)</f>
        <v>#DIV/0!</v>
      </c>
      <c r="H571" s="76">
        <f ca="1">SUMIF('Production '!$C$4:$AI$4407,'Tracking Sheet'!B571,'Production '!$F$4:$F$4407)</f>
        <v>3230621.3283604058</v>
      </c>
      <c r="I571" s="76">
        <f ca="1">SUMIF('Production '!$C$4:$AI$4407,'Tracking Sheet'!B571,'Production '!$V$4:$V$4407)</f>
        <v>-489.86487791182844</v>
      </c>
      <c r="J571" s="76">
        <f ca="1">SUMIF('Production '!$C$4:$AI$4407,'Tracking Sheet'!B571,'Production '!$AG$4:$AG$4407)</f>
        <v>0</v>
      </c>
    </row>
    <row r="572" spans="2:10" x14ac:dyDescent="0.3">
      <c r="B572" s="277">
        <f>'Production '!C575</f>
        <v>48004</v>
      </c>
      <c r="C572" s="76">
        <f ca="1">SUMIF('Production '!$C$4:$AI$4407,'Tracking Sheet'!B572,'Production '!$M$4:$M$4407)</f>
        <v>2616</v>
      </c>
      <c r="D572" s="76">
        <f ca="1">SUMIF('Production '!$C$4:$AI$4407,'Tracking Sheet'!B572,'Production '!$Q$4:$Q$4407)</f>
        <v>2616</v>
      </c>
      <c r="E572" s="76">
        <f ca="1">SUMIF('Production '!$C$4:$AI$4407,'Tracking Sheet'!B572,'Production '!$S$4:$S$4407)</f>
        <v>2610</v>
      </c>
      <c r="F572" s="76">
        <f ca="1">SUMIF('Production '!$C$4:$AI$4407,'Tracking Sheet'!B572,'Production '!$U$4:$U$4407)</f>
        <v>2610</v>
      </c>
      <c r="G572" s="76">
        <f ca="1">SUMIF('Production '!$C$4:$AI$4407,'Tracking Sheet'!B572,'Production '!$W$4:$W$4407)</f>
        <v>0</v>
      </c>
      <c r="H572" s="76">
        <f ca="1">SUMIF('Production '!$C$4:$AI$4407,'Tracking Sheet'!B572,'Production '!$F$4:$F$4407)</f>
        <v>5148</v>
      </c>
      <c r="I572" s="76">
        <f ca="1">SUMIF('Production '!$C$4:$AI$4407,'Tracking Sheet'!B572,'Production '!$V$4:$V$4407)</f>
        <v>0</v>
      </c>
      <c r="J572" s="76">
        <f ca="1">SUMIF('Production '!$C$4:$AI$4407,'Tracking Sheet'!B572,'Production '!$AG$4:$AG$4407)</f>
        <v>-2589</v>
      </c>
    </row>
    <row r="573" spans="2:10" x14ac:dyDescent="0.3">
      <c r="B573" s="277">
        <f>'Production '!C576</f>
        <v>48004</v>
      </c>
      <c r="C573" s="76">
        <f ca="1">SUMIF('Production '!$C$4:$AI$4407,'Tracking Sheet'!B573,'Production '!$M$4:$M$4407)</f>
        <v>2616</v>
      </c>
      <c r="D573" s="76">
        <f ca="1">SUMIF('Production '!$C$4:$AI$4407,'Tracking Sheet'!B573,'Production '!$Q$4:$Q$4407)</f>
        <v>2616</v>
      </c>
      <c r="E573" s="76">
        <f ca="1">SUMIF('Production '!$C$4:$AI$4407,'Tracking Sheet'!B573,'Production '!$S$4:$S$4407)</f>
        <v>2610</v>
      </c>
      <c r="F573" s="76">
        <f ca="1">SUMIF('Production '!$C$4:$AI$4407,'Tracking Sheet'!B573,'Production '!$U$4:$U$4407)</f>
        <v>2610</v>
      </c>
      <c r="G573" s="76">
        <f ca="1">SUMIF('Production '!$C$4:$AI$4407,'Tracking Sheet'!B573,'Production '!$W$4:$W$4407)</f>
        <v>0</v>
      </c>
      <c r="H573" s="76">
        <f ca="1">SUMIF('Production '!$C$4:$AI$4407,'Tracking Sheet'!B573,'Production '!$F$4:$F$4407)</f>
        <v>5148</v>
      </c>
      <c r="I573" s="76">
        <f ca="1">SUMIF('Production '!$C$4:$AI$4407,'Tracking Sheet'!B573,'Production '!$V$4:$V$4407)</f>
        <v>0</v>
      </c>
      <c r="J573" s="76">
        <f ca="1">SUMIF('Production '!$C$4:$AI$4407,'Tracking Sheet'!B573,'Production '!$AG$4:$AG$4407)</f>
        <v>-2589</v>
      </c>
    </row>
    <row r="574" spans="2:10" x14ac:dyDescent="0.3">
      <c r="B574" s="277">
        <f>'Production '!C577</f>
        <v>0</v>
      </c>
      <c r="C574" s="76" t="e">
        <f ca="1">SUMIF('Production '!$C$4:$AI$4407,'Tracking Sheet'!B574,'Production '!$M$4:$M$4407)</f>
        <v>#DIV/0!</v>
      </c>
      <c r="D574" s="76" t="e">
        <f ca="1">SUMIF('Production '!$C$4:$AI$4407,'Tracking Sheet'!B574,'Production '!$Q$4:$Q$4407)</f>
        <v>#DIV/0!</v>
      </c>
      <c r="E574" s="76">
        <f ca="1">SUMIF('Production '!$C$4:$AI$4407,'Tracking Sheet'!B574,'Production '!$S$4:$S$4407)</f>
        <v>-1268218.9828305368</v>
      </c>
      <c r="F574" s="76">
        <f ca="1">SUMIF('Production '!$C$4:$AI$4407,'Tracking Sheet'!B574,'Production '!$U$4:$U$4407)</f>
        <v>-10620.435600016917</v>
      </c>
      <c r="G574" s="76" t="e">
        <f ca="1">SUMIF('Production '!$C$4:$AI$4407,'Tracking Sheet'!B574,'Production '!$W$4:$W$4407)</f>
        <v>#DIV/0!</v>
      </c>
      <c r="H574" s="76">
        <f ca="1">SUMIF('Production '!$C$4:$AI$4407,'Tracking Sheet'!B574,'Production '!$F$4:$F$4407)</f>
        <v>3230621.3283604058</v>
      </c>
      <c r="I574" s="76">
        <f ca="1">SUMIF('Production '!$C$4:$AI$4407,'Tracking Sheet'!B574,'Production '!$V$4:$V$4407)</f>
        <v>-489.86487791182844</v>
      </c>
      <c r="J574" s="76">
        <f ca="1">SUMIF('Production '!$C$4:$AI$4407,'Tracking Sheet'!B574,'Production '!$AG$4:$AG$4407)</f>
        <v>0</v>
      </c>
    </row>
    <row r="575" spans="2:10" x14ac:dyDescent="0.3">
      <c r="B575" s="277">
        <f>'Production '!C578</f>
        <v>47537</v>
      </c>
      <c r="C575" s="76">
        <f ca="1">SUMIF('Production '!$C$4:$AI$4407,'Tracking Sheet'!B575,'Production '!$M$4:$M$4407)</f>
        <v>3155</v>
      </c>
      <c r="D575" s="76">
        <f ca="1">SUMIF('Production '!$C$4:$AI$4407,'Tracking Sheet'!B575,'Production '!$Q$4:$Q$4407)</f>
        <v>3145</v>
      </c>
      <c r="E575" s="76">
        <f ca="1">SUMIF('Production '!$C$4:$AI$4407,'Tracking Sheet'!B575,'Production '!$S$4:$S$4407)</f>
        <v>3139</v>
      </c>
      <c r="F575" s="76">
        <f ca="1">SUMIF('Production '!$C$4:$AI$4407,'Tracking Sheet'!B575,'Production '!$U$4:$U$4407)</f>
        <v>16</v>
      </c>
      <c r="G575" s="76">
        <f ca="1">SUMIF('Production '!$C$4:$AI$4407,'Tracking Sheet'!B575,'Production '!$W$4:$W$4407)</f>
        <v>3123</v>
      </c>
      <c r="H575" s="76">
        <f ca="1">SUMIF('Production '!$C$4:$AI$4407,'Tracking Sheet'!B575,'Production '!$F$4:$F$4407)</f>
        <v>3018</v>
      </c>
      <c r="I575" s="76">
        <f ca="1">SUMIF('Production '!$C$4:$AI$4407,'Tracking Sheet'!B575,'Production '!$V$4:$V$4407)</f>
        <v>0</v>
      </c>
      <c r="J575" s="76">
        <f ca="1">SUMIF('Production '!$C$4:$AI$4407,'Tracking Sheet'!B575,'Production '!$AG$4:$AG$4407)</f>
        <v>0</v>
      </c>
    </row>
    <row r="576" spans="2:10" x14ac:dyDescent="0.3">
      <c r="B576" s="277">
        <f>'Production '!C579</f>
        <v>47537</v>
      </c>
      <c r="C576" s="76">
        <f ca="1">SUMIF('Production '!$C$4:$AI$4407,'Tracking Sheet'!B576,'Production '!$M$4:$M$4407)</f>
        <v>3155</v>
      </c>
      <c r="D576" s="76">
        <f ca="1">SUMIF('Production '!$C$4:$AI$4407,'Tracking Sheet'!B576,'Production '!$Q$4:$Q$4407)</f>
        <v>3145</v>
      </c>
      <c r="E576" s="76">
        <f ca="1">SUMIF('Production '!$C$4:$AI$4407,'Tracking Sheet'!B576,'Production '!$S$4:$S$4407)</f>
        <v>3139</v>
      </c>
      <c r="F576" s="76">
        <f ca="1">SUMIF('Production '!$C$4:$AI$4407,'Tracking Sheet'!B576,'Production '!$U$4:$U$4407)</f>
        <v>16</v>
      </c>
      <c r="G576" s="76">
        <f ca="1">SUMIF('Production '!$C$4:$AI$4407,'Tracking Sheet'!B576,'Production '!$W$4:$W$4407)</f>
        <v>3123</v>
      </c>
      <c r="H576" s="76">
        <f ca="1">SUMIF('Production '!$C$4:$AI$4407,'Tracking Sheet'!B576,'Production '!$F$4:$F$4407)</f>
        <v>3018</v>
      </c>
      <c r="I576" s="76">
        <f ca="1">SUMIF('Production '!$C$4:$AI$4407,'Tracking Sheet'!B576,'Production '!$V$4:$V$4407)</f>
        <v>0</v>
      </c>
      <c r="J576" s="76">
        <f ca="1">SUMIF('Production '!$C$4:$AI$4407,'Tracking Sheet'!B576,'Production '!$AG$4:$AG$4407)</f>
        <v>0</v>
      </c>
    </row>
    <row r="577" spans="2:10" x14ac:dyDescent="0.3">
      <c r="B577" s="277">
        <f>'Production '!C580</f>
        <v>47537</v>
      </c>
      <c r="C577" s="76">
        <f ca="1">SUMIF('Production '!$C$4:$AI$4407,'Tracking Sheet'!B577,'Production '!$M$4:$M$4407)</f>
        <v>3155</v>
      </c>
      <c r="D577" s="76">
        <f ca="1">SUMIF('Production '!$C$4:$AI$4407,'Tracking Sheet'!B577,'Production '!$Q$4:$Q$4407)</f>
        <v>3145</v>
      </c>
      <c r="E577" s="76">
        <f ca="1">SUMIF('Production '!$C$4:$AI$4407,'Tracking Sheet'!B577,'Production '!$S$4:$S$4407)</f>
        <v>3139</v>
      </c>
      <c r="F577" s="76">
        <f ca="1">SUMIF('Production '!$C$4:$AI$4407,'Tracking Sheet'!B577,'Production '!$U$4:$U$4407)</f>
        <v>16</v>
      </c>
      <c r="G577" s="76">
        <f ca="1">SUMIF('Production '!$C$4:$AI$4407,'Tracking Sheet'!B577,'Production '!$W$4:$W$4407)</f>
        <v>3123</v>
      </c>
      <c r="H577" s="76">
        <f ca="1">SUMIF('Production '!$C$4:$AI$4407,'Tracking Sheet'!B577,'Production '!$F$4:$F$4407)</f>
        <v>3018</v>
      </c>
      <c r="I577" s="76">
        <f ca="1">SUMIF('Production '!$C$4:$AI$4407,'Tracking Sheet'!B577,'Production '!$V$4:$V$4407)</f>
        <v>0</v>
      </c>
      <c r="J577" s="76">
        <f ca="1">SUMIF('Production '!$C$4:$AI$4407,'Tracking Sheet'!B577,'Production '!$AG$4:$AG$4407)</f>
        <v>0</v>
      </c>
    </row>
    <row r="578" spans="2:10" x14ac:dyDescent="0.3">
      <c r="B578" s="277">
        <f>'Production '!C581</f>
        <v>0</v>
      </c>
      <c r="C578" s="76" t="e">
        <f ca="1">SUMIF('Production '!$C$4:$AI$4407,'Tracking Sheet'!B578,'Production '!$M$4:$M$4407)</f>
        <v>#DIV/0!</v>
      </c>
      <c r="D578" s="76" t="e">
        <f ca="1">SUMIF('Production '!$C$4:$AI$4407,'Tracking Sheet'!B578,'Production '!$Q$4:$Q$4407)</f>
        <v>#DIV/0!</v>
      </c>
      <c r="E578" s="76">
        <f ca="1">SUMIF('Production '!$C$4:$AI$4407,'Tracking Sheet'!B578,'Production '!$S$4:$S$4407)</f>
        <v>-1268218.9828305368</v>
      </c>
      <c r="F578" s="76">
        <f ca="1">SUMIF('Production '!$C$4:$AI$4407,'Tracking Sheet'!B578,'Production '!$U$4:$U$4407)</f>
        <v>-10620.435600016917</v>
      </c>
      <c r="G578" s="76" t="e">
        <f ca="1">SUMIF('Production '!$C$4:$AI$4407,'Tracking Sheet'!B578,'Production '!$W$4:$W$4407)</f>
        <v>#DIV/0!</v>
      </c>
      <c r="H578" s="76">
        <f ca="1">SUMIF('Production '!$C$4:$AI$4407,'Tracking Sheet'!B578,'Production '!$F$4:$F$4407)</f>
        <v>3230621.3283604058</v>
      </c>
      <c r="I578" s="76">
        <f ca="1">SUMIF('Production '!$C$4:$AI$4407,'Tracking Sheet'!B578,'Production '!$V$4:$V$4407)</f>
        <v>-489.86487791182844</v>
      </c>
      <c r="J578" s="76">
        <f ca="1">SUMIF('Production '!$C$4:$AI$4407,'Tracking Sheet'!B578,'Production '!$AG$4:$AG$4407)</f>
        <v>0</v>
      </c>
    </row>
    <row r="579" spans="2:10" x14ac:dyDescent="0.3">
      <c r="B579" s="277">
        <f>'Production '!C582</f>
        <v>47536</v>
      </c>
      <c r="C579" s="76">
        <f ca="1">SUMIF('Production '!$C$4:$AI$4407,'Tracking Sheet'!B579,'Production '!$M$4:$M$4407)</f>
        <v>1680</v>
      </c>
      <c r="D579" s="76">
        <f ca="1">SUMIF('Production '!$C$4:$AI$4407,'Tracking Sheet'!B579,'Production '!$Q$4:$Q$4407)</f>
        <v>0</v>
      </c>
      <c r="E579" s="76">
        <f ca="1">SUMIF('Production '!$C$4:$AI$4407,'Tracking Sheet'!B579,'Production '!$S$4:$S$4407)</f>
        <v>0</v>
      </c>
      <c r="F579" s="76">
        <f ca="1">SUMIF('Production '!$C$4:$AI$4407,'Tracking Sheet'!B579,'Production '!$U$4:$U$4407)</f>
        <v>0</v>
      </c>
      <c r="G579" s="76">
        <f ca="1">SUMIF('Production '!$C$4:$AI$4407,'Tracking Sheet'!B579,'Production '!$W$4:$W$4407)</f>
        <v>1680</v>
      </c>
      <c r="H579" s="76">
        <f ca="1">SUMIF('Production '!$C$4:$AI$4407,'Tracking Sheet'!B579,'Production '!$F$4:$F$4407)</f>
        <v>1600</v>
      </c>
      <c r="I579" s="76">
        <f ca="1">SUMIF('Production '!$C$4:$AI$4407,'Tracking Sheet'!B579,'Production '!$V$4:$V$4407)</f>
        <v>0</v>
      </c>
      <c r="J579" s="76">
        <f ca="1">SUMIF('Production '!$C$4:$AI$4407,'Tracking Sheet'!B579,'Production '!$AG$4:$AG$4407)</f>
        <v>0</v>
      </c>
    </row>
    <row r="580" spans="2:10" x14ac:dyDescent="0.3">
      <c r="B580" s="277">
        <f>'Production '!C583</f>
        <v>47536</v>
      </c>
      <c r="C580" s="76">
        <f ca="1">SUMIF('Production '!$C$4:$AI$4407,'Tracking Sheet'!B580,'Production '!$M$4:$M$4407)</f>
        <v>1680</v>
      </c>
      <c r="D580" s="76">
        <f ca="1">SUMIF('Production '!$C$4:$AI$4407,'Tracking Sheet'!B580,'Production '!$Q$4:$Q$4407)</f>
        <v>0</v>
      </c>
      <c r="E580" s="76">
        <f ca="1">SUMIF('Production '!$C$4:$AI$4407,'Tracking Sheet'!B580,'Production '!$S$4:$S$4407)</f>
        <v>0</v>
      </c>
      <c r="F580" s="76">
        <f ca="1">SUMIF('Production '!$C$4:$AI$4407,'Tracking Sheet'!B580,'Production '!$U$4:$U$4407)</f>
        <v>0</v>
      </c>
      <c r="G580" s="76">
        <f ca="1">SUMIF('Production '!$C$4:$AI$4407,'Tracking Sheet'!B580,'Production '!$W$4:$W$4407)</f>
        <v>1680</v>
      </c>
      <c r="H580" s="76">
        <f ca="1">SUMIF('Production '!$C$4:$AI$4407,'Tracking Sheet'!B580,'Production '!$F$4:$F$4407)</f>
        <v>1600</v>
      </c>
      <c r="I580" s="76">
        <f ca="1">SUMIF('Production '!$C$4:$AI$4407,'Tracking Sheet'!B580,'Production '!$V$4:$V$4407)</f>
        <v>0</v>
      </c>
      <c r="J580" s="76">
        <f ca="1">SUMIF('Production '!$C$4:$AI$4407,'Tracking Sheet'!B580,'Production '!$AG$4:$AG$4407)</f>
        <v>0</v>
      </c>
    </row>
    <row r="581" spans="2:10" x14ac:dyDescent="0.3">
      <c r="B581" s="277">
        <f>'Production '!C584</f>
        <v>0</v>
      </c>
      <c r="C581" s="76" t="e">
        <f ca="1">SUMIF('Production '!$C$4:$AI$4407,'Tracking Sheet'!B581,'Production '!$M$4:$M$4407)</f>
        <v>#DIV/0!</v>
      </c>
      <c r="D581" s="76" t="e">
        <f ca="1">SUMIF('Production '!$C$4:$AI$4407,'Tracking Sheet'!B581,'Production '!$Q$4:$Q$4407)</f>
        <v>#DIV/0!</v>
      </c>
      <c r="E581" s="76">
        <f ca="1">SUMIF('Production '!$C$4:$AI$4407,'Tracking Sheet'!B581,'Production '!$S$4:$S$4407)</f>
        <v>-1268218.9828305368</v>
      </c>
      <c r="F581" s="76">
        <f ca="1">SUMIF('Production '!$C$4:$AI$4407,'Tracking Sheet'!B581,'Production '!$U$4:$U$4407)</f>
        <v>-10620.435600016917</v>
      </c>
      <c r="G581" s="76" t="e">
        <f ca="1">SUMIF('Production '!$C$4:$AI$4407,'Tracking Sheet'!B581,'Production '!$W$4:$W$4407)</f>
        <v>#DIV/0!</v>
      </c>
      <c r="H581" s="76">
        <f ca="1">SUMIF('Production '!$C$4:$AI$4407,'Tracking Sheet'!B581,'Production '!$F$4:$F$4407)</f>
        <v>3230621.3283604058</v>
      </c>
      <c r="I581" s="76">
        <f ca="1">SUMIF('Production '!$C$4:$AI$4407,'Tracking Sheet'!B581,'Production '!$V$4:$V$4407)</f>
        <v>-489.86487791182844</v>
      </c>
      <c r="J581" s="76">
        <f ca="1">SUMIF('Production '!$C$4:$AI$4407,'Tracking Sheet'!B581,'Production '!$AG$4:$AG$4407)</f>
        <v>0</v>
      </c>
    </row>
    <row r="582" spans="2:10" x14ac:dyDescent="0.3">
      <c r="B582" s="277">
        <f>'Production '!C585</f>
        <v>47616</v>
      </c>
      <c r="C582" s="76">
        <f ca="1">SUMIF('Production '!$C$4:$AI$4407,'Tracking Sheet'!B582,'Production '!$M$4:$M$4407)</f>
        <v>1806</v>
      </c>
      <c r="D582" s="76">
        <f ca="1">SUMIF('Production '!$C$4:$AI$4407,'Tracking Sheet'!B582,'Production '!$Q$4:$Q$4407)</f>
        <v>1806</v>
      </c>
      <c r="E582" s="76">
        <f ca="1">SUMIF('Production '!$C$4:$AI$4407,'Tracking Sheet'!B582,'Production '!$S$4:$S$4407)</f>
        <v>1806</v>
      </c>
      <c r="F582" s="76">
        <f ca="1">SUMIF('Production '!$C$4:$AI$4407,'Tracking Sheet'!B582,'Production '!$U$4:$U$4407)</f>
        <v>14</v>
      </c>
      <c r="G582" s="76">
        <f ca="1">SUMIF('Production '!$C$4:$AI$4407,'Tracking Sheet'!B582,'Production '!$W$4:$W$4407)</f>
        <v>1792</v>
      </c>
      <c r="H582" s="76">
        <f ca="1">SUMIF('Production '!$C$4:$AI$4407,'Tracking Sheet'!B582,'Production '!$F$4:$F$4407)</f>
        <v>1737</v>
      </c>
      <c r="I582" s="76">
        <f ca="1">SUMIF('Production '!$C$4:$AI$4407,'Tracking Sheet'!B582,'Production '!$V$4:$V$4407)</f>
        <v>0</v>
      </c>
      <c r="J582" s="76">
        <f ca="1">SUMIF('Production '!$C$4:$AI$4407,'Tracking Sheet'!B582,'Production '!$AG$4:$AG$4407)</f>
        <v>0</v>
      </c>
    </row>
    <row r="583" spans="2:10" x14ac:dyDescent="0.3">
      <c r="B583" s="277">
        <f>'Production '!C586</f>
        <v>47616</v>
      </c>
      <c r="C583" s="76">
        <f ca="1">SUMIF('Production '!$C$4:$AI$4407,'Tracking Sheet'!B583,'Production '!$M$4:$M$4407)</f>
        <v>1806</v>
      </c>
      <c r="D583" s="76">
        <f ca="1">SUMIF('Production '!$C$4:$AI$4407,'Tracking Sheet'!B583,'Production '!$Q$4:$Q$4407)</f>
        <v>1806</v>
      </c>
      <c r="E583" s="76">
        <f ca="1">SUMIF('Production '!$C$4:$AI$4407,'Tracking Sheet'!B583,'Production '!$S$4:$S$4407)</f>
        <v>1806</v>
      </c>
      <c r="F583" s="76">
        <f ca="1">SUMIF('Production '!$C$4:$AI$4407,'Tracking Sheet'!B583,'Production '!$U$4:$U$4407)</f>
        <v>14</v>
      </c>
      <c r="G583" s="76">
        <f ca="1">SUMIF('Production '!$C$4:$AI$4407,'Tracking Sheet'!B583,'Production '!$W$4:$W$4407)</f>
        <v>1792</v>
      </c>
      <c r="H583" s="76">
        <f ca="1">SUMIF('Production '!$C$4:$AI$4407,'Tracking Sheet'!B583,'Production '!$F$4:$F$4407)</f>
        <v>1737</v>
      </c>
      <c r="I583" s="76">
        <f ca="1">SUMIF('Production '!$C$4:$AI$4407,'Tracking Sheet'!B583,'Production '!$V$4:$V$4407)</f>
        <v>0</v>
      </c>
      <c r="J583" s="76">
        <f ca="1">SUMIF('Production '!$C$4:$AI$4407,'Tracking Sheet'!B583,'Production '!$AG$4:$AG$4407)</f>
        <v>0</v>
      </c>
    </row>
    <row r="584" spans="2:10" x14ac:dyDescent="0.3">
      <c r="B584" s="277">
        <f>'Production '!C587</f>
        <v>0</v>
      </c>
      <c r="C584" s="76" t="e">
        <f ca="1">SUMIF('Production '!$C$4:$AI$4407,'Tracking Sheet'!B584,'Production '!$M$4:$M$4407)</f>
        <v>#DIV/0!</v>
      </c>
      <c r="D584" s="76" t="e">
        <f ca="1">SUMIF('Production '!$C$4:$AI$4407,'Tracking Sheet'!B584,'Production '!$Q$4:$Q$4407)</f>
        <v>#DIV/0!</v>
      </c>
      <c r="E584" s="76">
        <f ca="1">SUMIF('Production '!$C$4:$AI$4407,'Tracking Sheet'!B584,'Production '!$S$4:$S$4407)</f>
        <v>-1268218.9828305368</v>
      </c>
      <c r="F584" s="76">
        <f ca="1">SUMIF('Production '!$C$4:$AI$4407,'Tracking Sheet'!B584,'Production '!$U$4:$U$4407)</f>
        <v>-10620.435600016917</v>
      </c>
      <c r="G584" s="76" t="e">
        <f ca="1">SUMIF('Production '!$C$4:$AI$4407,'Tracking Sheet'!B584,'Production '!$W$4:$W$4407)</f>
        <v>#DIV/0!</v>
      </c>
      <c r="H584" s="76">
        <f ca="1">SUMIF('Production '!$C$4:$AI$4407,'Tracking Sheet'!B584,'Production '!$F$4:$F$4407)</f>
        <v>3230621.3283604058</v>
      </c>
      <c r="I584" s="76">
        <f ca="1">SUMIF('Production '!$C$4:$AI$4407,'Tracking Sheet'!B584,'Production '!$V$4:$V$4407)</f>
        <v>-489.86487791182844</v>
      </c>
      <c r="J584" s="76">
        <f ca="1">SUMIF('Production '!$C$4:$AI$4407,'Tracking Sheet'!B584,'Production '!$AG$4:$AG$4407)</f>
        <v>0</v>
      </c>
    </row>
    <row r="585" spans="2:10" x14ac:dyDescent="0.3">
      <c r="B585" s="277">
        <f>'Production '!C588</f>
        <v>48022</v>
      </c>
      <c r="C585" s="76">
        <f ca="1">SUMIF('Production '!$C$4:$AI$4407,'Tracking Sheet'!B585,'Production '!$M$4:$M$4407)</f>
        <v>2587</v>
      </c>
      <c r="D585" s="76">
        <f ca="1">SUMIF('Production '!$C$4:$AI$4407,'Tracking Sheet'!B585,'Production '!$Q$4:$Q$4407)</f>
        <v>851</v>
      </c>
      <c r="E585" s="76">
        <f ca="1">SUMIF('Production '!$C$4:$AI$4407,'Tracking Sheet'!B585,'Production '!$S$4:$S$4407)</f>
        <v>837</v>
      </c>
      <c r="F585" s="76">
        <f ca="1">SUMIF('Production '!$C$4:$AI$4407,'Tracking Sheet'!B585,'Production '!$U$4:$U$4407)</f>
        <v>2573</v>
      </c>
      <c r="G585" s="76">
        <f ca="1">SUMIF('Production '!$C$4:$AI$4407,'Tracking Sheet'!B585,'Production '!$W$4:$W$4407)</f>
        <v>0</v>
      </c>
      <c r="H585" s="76">
        <f ca="1">SUMIF('Production '!$C$4:$AI$4407,'Tracking Sheet'!B585,'Production '!$F$4:$F$4407)</f>
        <v>2480</v>
      </c>
      <c r="I585" s="76">
        <f ca="1">SUMIF('Production '!$C$4:$AI$4407,'Tracking Sheet'!B585,'Production '!$V$4:$V$4407)</f>
        <v>0</v>
      </c>
      <c r="J585" s="76">
        <f ca="1">SUMIF('Production '!$C$4:$AI$4407,'Tracking Sheet'!B585,'Production '!$AG$4:$AG$4407)</f>
        <v>0</v>
      </c>
    </row>
    <row r="586" spans="2:10" x14ac:dyDescent="0.3">
      <c r="B586" s="277">
        <f>'Production '!C589</f>
        <v>48022</v>
      </c>
      <c r="C586" s="76">
        <f ca="1">SUMIF('Production '!$C$4:$AI$4407,'Tracking Sheet'!B586,'Production '!$M$4:$M$4407)</f>
        <v>2587</v>
      </c>
      <c r="D586" s="76">
        <f ca="1">SUMIF('Production '!$C$4:$AI$4407,'Tracking Sheet'!B586,'Production '!$Q$4:$Q$4407)</f>
        <v>851</v>
      </c>
      <c r="E586" s="76">
        <f ca="1">SUMIF('Production '!$C$4:$AI$4407,'Tracking Sheet'!B586,'Production '!$S$4:$S$4407)</f>
        <v>837</v>
      </c>
      <c r="F586" s="76">
        <f ca="1">SUMIF('Production '!$C$4:$AI$4407,'Tracking Sheet'!B586,'Production '!$U$4:$U$4407)</f>
        <v>2573</v>
      </c>
      <c r="G586" s="76">
        <f ca="1">SUMIF('Production '!$C$4:$AI$4407,'Tracking Sheet'!B586,'Production '!$W$4:$W$4407)</f>
        <v>0</v>
      </c>
      <c r="H586" s="76">
        <f ca="1">SUMIF('Production '!$C$4:$AI$4407,'Tracking Sheet'!B586,'Production '!$F$4:$F$4407)</f>
        <v>2480</v>
      </c>
      <c r="I586" s="76">
        <f ca="1">SUMIF('Production '!$C$4:$AI$4407,'Tracking Sheet'!B586,'Production '!$V$4:$V$4407)</f>
        <v>0</v>
      </c>
      <c r="J586" s="76">
        <f ca="1">SUMIF('Production '!$C$4:$AI$4407,'Tracking Sheet'!B586,'Production '!$AG$4:$AG$4407)</f>
        <v>0</v>
      </c>
    </row>
    <row r="587" spans="2:10" x14ac:dyDescent="0.3">
      <c r="B587" s="277">
        <f>'Production '!C590</f>
        <v>48022</v>
      </c>
      <c r="C587" s="76">
        <f ca="1">SUMIF('Production '!$C$4:$AI$4407,'Tracking Sheet'!B587,'Production '!$M$4:$M$4407)</f>
        <v>2587</v>
      </c>
      <c r="D587" s="76">
        <f ca="1">SUMIF('Production '!$C$4:$AI$4407,'Tracking Sheet'!B587,'Production '!$Q$4:$Q$4407)</f>
        <v>851</v>
      </c>
      <c r="E587" s="76">
        <f ca="1">SUMIF('Production '!$C$4:$AI$4407,'Tracking Sheet'!B587,'Production '!$S$4:$S$4407)</f>
        <v>837</v>
      </c>
      <c r="F587" s="76">
        <f ca="1">SUMIF('Production '!$C$4:$AI$4407,'Tracking Sheet'!B587,'Production '!$U$4:$U$4407)</f>
        <v>2573</v>
      </c>
      <c r="G587" s="76">
        <f ca="1">SUMIF('Production '!$C$4:$AI$4407,'Tracking Sheet'!B587,'Production '!$W$4:$W$4407)</f>
        <v>0</v>
      </c>
      <c r="H587" s="76">
        <f ca="1">SUMIF('Production '!$C$4:$AI$4407,'Tracking Sheet'!B587,'Production '!$F$4:$F$4407)</f>
        <v>2480</v>
      </c>
      <c r="I587" s="76">
        <f ca="1">SUMIF('Production '!$C$4:$AI$4407,'Tracking Sheet'!B587,'Production '!$V$4:$V$4407)</f>
        <v>0</v>
      </c>
      <c r="J587" s="76">
        <f ca="1">SUMIF('Production '!$C$4:$AI$4407,'Tracking Sheet'!B587,'Production '!$AG$4:$AG$4407)</f>
        <v>0</v>
      </c>
    </row>
    <row r="588" spans="2:10" x14ac:dyDescent="0.3">
      <c r="B588" s="277">
        <f>'Production '!C591</f>
        <v>0</v>
      </c>
      <c r="C588" s="76" t="e">
        <f ca="1">SUMIF('Production '!$C$4:$AI$4407,'Tracking Sheet'!B588,'Production '!$M$4:$M$4407)</f>
        <v>#DIV/0!</v>
      </c>
      <c r="D588" s="76" t="e">
        <f ca="1">SUMIF('Production '!$C$4:$AI$4407,'Tracking Sheet'!B588,'Production '!$Q$4:$Q$4407)</f>
        <v>#DIV/0!</v>
      </c>
      <c r="E588" s="76">
        <f ca="1">SUMIF('Production '!$C$4:$AI$4407,'Tracking Sheet'!B588,'Production '!$S$4:$S$4407)</f>
        <v>-1268218.9828305368</v>
      </c>
      <c r="F588" s="76">
        <f ca="1">SUMIF('Production '!$C$4:$AI$4407,'Tracking Sheet'!B588,'Production '!$U$4:$U$4407)</f>
        <v>-10620.435600016917</v>
      </c>
      <c r="G588" s="76" t="e">
        <f ca="1">SUMIF('Production '!$C$4:$AI$4407,'Tracking Sheet'!B588,'Production '!$W$4:$W$4407)</f>
        <v>#DIV/0!</v>
      </c>
      <c r="H588" s="76">
        <f ca="1">SUMIF('Production '!$C$4:$AI$4407,'Tracking Sheet'!B588,'Production '!$F$4:$F$4407)</f>
        <v>3230621.3283604058</v>
      </c>
      <c r="I588" s="76">
        <f ca="1">SUMIF('Production '!$C$4:$AI$4407,'Tracking Sheet'!B588,'Production '!$V$4:$V$4407)</f>
        <v>-489.86487791182844</v>
      </c>
      <c r="J588" s="76">
        <f ca="1">SUMIF('Production '!$C$4:$AI$4407,'Tracking Sheet'!B588,'Production '!$AG$4:$AG$4407)</f>
        <v>0</v>
      </c>
    </row>
    <row r="589" spans="2:10" x14ac:dyDescent="0.3">
      <c r="B589" s="277">
        <f>'Production '!C592</f>
        <v>48023</v>
      </c>
      <c r="C589" s="76">
        <f ca="1">SUMIF('Production '!$C$4:$AI$4407,'Tracking Sheet'!B589,'Production '!$M$4:$M$4407)</f>
        <v>3129</v>
      </c>
      <c r="D589" s="76">
        <f ca="1">SUMIF('Production '!$C$4:$AI$4407,'Tracking Sheet'!B589,'Production '!$Q$4:$Q$4407)</f>
        <v>3129</v>
      </c>
      <c r="E589" s="76">
        <f ca="1">SUMIF('Production '!$C$4:$AI$4407,'Tracking Sheet'!B589,'Production '!$S$4:$S$4407)</f>
        <v>3124</v>
      </c>
      <c r="F589" s="76">
        <f ca="1">SUMIF('Production '!$C$4:$AI$4407,'Tracking Sheet'!B589,'Production '!$U$4:$U$4407)</f>
        <v>0</v>
      </c>
      <c r="G589" s="76">
        <f ca="1">SUMIF('Production '!$C$4:$AI$4407,'Tracking Sheet'!B589,'Production '!$W$4:$W$4407)</f>
        <v>3124</v>
      </c>
      <c r="H589" s="76">
        <f ca="1">SUMIF('Production '!$C$4:$AI$4407,'Tracking Sheet'!B589,'Production '!$F$4:$F$4407)</f>
        <v>3015</v>
      </c>
      <c r="I589" s="76">
        <f ca="1">SUMIF('Production '!$C$4:$AI$4407,'Tracking Sheet'!B589,'Production '!$V$4:$V$4407)</f>
        <v>0</v>
      </c>
      <c r="J589" s="76">
        <f ca="1">SUMIF('Production '!$C$4:$AI$4407,'Tracking Sheet'!B589,'Production '!$AG$4:$AG$4407)</f>
        <v>0</v>
      </c>
    </row>
    <row r="590" spans="2:10" x14ac:dyDescent="0.3">
      <c r="B590" s="277">
        <f>'Production '!C593</f>
        <v>48023</v>
      </c>
      <c r="C590" s="76">
        <f ca="1">SUMIF('Production '!$C$4:$AI$4407,'Tracking Sheet'!B590,'Production '!$M$4:$M$4407)</f>
        <v>3129</v>
      </c>
      <c r="D590" s="76">
        <f ca="1">SUMIF('Production '!$C$4:$AI$4407,'Tracking Sheet'!B590,'Production '!$Q$4:$Q$4407)</f>
        <v>3129</v>
      </c>
      <c r="E590" s="76">
        <f ca="1">SUMIF('Production '!$C$4:$AI$4407,'Tracking Sheet'!B590,'Production '!$S$4:$S$4407)</f>
        <v>3124</v>
      </c>
      <c r="F590" s="76">
        <f ca="1">SUMIF('Production '!$C$4:$AI$4407,'Tracking Sheet'!B590,'Production '!$U$4:$U$4407)</f>
        <v>0</v>
      </c>
      <c r="G590" s="76">
        <f ca="1">SUMIF('Production '!$C$4:$AI$4407,'Tracking Sheet'!B590,'Production '!$W$4:$W$4407)</f>
        <v>3124</v>
      </c>
      <c r="H590" s="76">
        <f ca="1">SUMIF('Production '!$C$4:$AI$4407,'Tracking Sheet'!B590,'Production '!$F$4:$F$4407)</f>
        <v>3015</v>
      </c>
      <c r="I590" s="76">
        <f ca="1">SUMIF('Production '!$C$4:$AI$4407,'Tracking Sheet'!B590,'Production '!$V$4:$V$4407)</f>
        <v>0</v>
      </c>
      <c r="J590" s="76">
        <f ca="1">SUMIF('Production '!$C$4:$AI$4407,'Tracking Sheet'!B590,'Production '!$AG$4:$AG$4407)</f>
        <v>0</v>
      </c>
    </row>
    <row r="591" spans="2:10" x14ac:dyDescent="0.3">
      <c r="B591" s="277">
        <f>'Production '!C594</f>
        <v>48023</v>
      </c>
      <c r="C591" s="76">
        <f ca="1">SUMIF('Production '!$C$4:$AI$4407,'Tracking Sheet'!B591,'Production '!$M$4:$M$4407)</f>
        <v>3129</v>
      </c>
      <c r="D591" s="76">
        <f ca="1">SUMIF('Production '!$C$4:$AI$4407,'Tracking Sheet'!B591,'Production '!$Q$4:$Q$4407)</f>
        <v>3129</v>
      </c>
      <c r="E591" s="76">
        <f ca="1">SUMIF('Production '!$C$4:$AI$4407,'Tracking Sheet'!B591,'Production '!$S$4:$S$4407)</f>
        <v>3124</v>
      </c>
      <c r="F591" s="76">
        <f ca="1">SUMIF('Production '!$C$4:$AI$4407,'Tracking Sheet'!B591,'Production '!$U$4:$U$4407)</f>
        <v>0</v>
      </c>
      <c r="G591" s="76">
        <f ca="1">SUMIF('Production '!$C$4:$AI$4407,'Tracking Sheet'!B591,'Production '!$W$4:$W$4407)</f>
        <v>3124</v>
      </c>
      <c r="H591" s="76">
        <f ca="1">SUMIF('Production '!$C$4:$AI$4407,'Tracking Sheet'!B591,'Production '!$F$4:$F$4407)</f>
        <v>3015</v>
      </c>
      <c r="I591" s="76">
        <f ca="1">SUMIF('Production '!$C$4:$AI$4407,'Tracking Sheet'!B591,'Production '!$V$4:$V$4407)</f>
        <v>0</v>
      </c>
      <c r="J591" s="76">
        <f ca="1">SUMIF('Production '!$C$4:$AI$4407,'Tracking Sheet'!B591,'Production '!$AG$4:$AG$4407)</f>
        <v>0</v>
      </c>
    </row>
    <row r="592" spans="2:10" x14ac:dyDescent="0.3">
      <c r="B592" s="277">
        <f>'Production '!C595</f>
        <v>0</v>
      </c>
      <c r="C592" s="76" t="e">
        <f ca="1">SUMIF('Production '!$C$4:$AI$4407,'Tracking Sheet'!B592,'Production '!$M$4:$M$4407)</f>
        <v>#DIV/0!</v>
      </c>
      <c r="D592" s="76" t="e">
        <f ca="1">SUMIF('Production '!$C$4:$AI$4407,'Tracking Sheet'!B592,'Production '!$Q$4:$Q$4407)</f>
        <v>#DIV/0!</v>
      </c>
      <c r="E592" s="76">
        <f ca="1">SUMIF('Production '!$C$4:$AI$4407,'Tracking Sheet'!B592,'Production '!$S$4:$S$4407)</f>
        <v>-1268218.9828305368</v>
      </c>
      <c r="F592" s="76">
        <f ca="1">SUMIF('Production '!$C$4:$AI$4407,'Tracking Sheet'!B592,'Production '!$U$4:$U$4407)</f>
        <v>-10620.435600016917</v>
      </c>
      <c r="G592" s="76" t="e">
        <f ca="1">SUMIF('Production '!$C$4:$AI$4407,'Tracking Sheet'!B592,'Production '!$W$4:$W$4407)</f>
        <v>#DIV/0!</v>
      </c>
      <c r="H592" s="76">
        <f ca="1">SUMIF('Production '!$C$4:$AI$4407,'Tracking Sheet'!B592,'Production '!$F$4:$F$4407)</f>
        <v>3230621.3283604058</v>
      </c>
      <c r="I592" s="76">
        <f ca="1">SUMIF('Production '!$C$4:$AI$4407,'Tracking Sheet'!B592,'Production '!$V$4:$V$4407)</f>
        <v>-489.86487791182844</v>
      </c>
      <c r="J592" s="76">
        <f ca="1">SUMIF('Production '!$C$4:$AI$4407,'Tracking Sheet'!B592,'Production '!$AG$4:$AG$4407)</f>
        <v>0</v>
      </c>
    </row>
    <row r="593" spans="2:10" x14ac:dyDescent="0.3">
      <c r="B593" s="277">
        <f>'Production '!C596</f>
        <v>47583</v>
      </c>
      <c r="C593" s="76">
        <f ca="1">SUMIF('Production '!$C$4:$AI$4407,'Tracking Sheet'!B593,'Production '!$M$4:$M$4407)</f>
        <v>2622</v>
      </c>
      <c r="D593" s="76">
        <f ca="1">SUMIF('Production '!$C$4:$AI$4407,'Tracking Sheet'!B593,'Production '!$Q$4:$Q$4407)</f>
        <v>2610</v>
      </c>
      <c r="E593" s="76">
        <f ca="1">SUMIF('Production '!$C$4:$AI$4407,'Tracking Sheet'!B593,'Production '!$S$4:$S$4407)</f>
        <v>2610</v>
      </c>
      <c r="F593" s="76">
        <f ca="1">SUMIF('Production '!$C$4:$AI$4407,'Tracking Sheet'!B593,'Production '!$U$4:$U$4407)</f>
        <v>34</v>
      </c>
      <c r="G593" s="76">
        <f ca="1">SUMIF('Production '!$C$4:$AI$4407,'Tracking Sheet'!B593,'Production '!$W$4:$W$4407)</f>
        <v>2576</v>
      </c>
      <c r="H593" s="76">
        <f ca="1">SUMIF('Production '!$C$4:$AI$4407,'Tracking Sheet'!B593,'Production '!$F$4:$F$4407)</f>
        <v>2493</v>
      </c>
      <c r="I593" s="76">
        <f ca="1">SUMIF('Production '!$C$4:$AI$4407,'Tracking Sheet'!B593,'Production '!$V$4:$V$4407)</f>
        <v>0</v>
      </c>
      <c r="J593" s="76">
        <f ca="1">SUMIF('Production '!$C$4:$AI$4407,'Tracking Sheet'!B593,'Production '!$AG$4:$AG$4407)</f>
        <v>0</v>
      </c>
    </row>
    <row r="594" spans="2:10" x14ac:dyDescent="0.3">
      <c r="B594" s="277">
        <f>'Production '!C597</f>
        <v>47583</v>
      </c>
      <c r="C594" s="76">
        <f ca="1">SUMIF('Production '!$C$4:$AI$4407,'Tracking Sheet'!B594,'Production '!$M$4:$M$4407)</f>
        <v>2622</v>
      </c>
      <c r="D594" s="76">
        <f ca="1">SUMIF('Production '!$C$4:$AI$4407,'Tracking Sheet'!B594,'Production '!$Q$4:$Q$4407)</f>
        <v>2610</v>
      </c>
      <c r="E594" s="76">
        <f ca="1">SUMIF('Production '!$C$4:$AI$4407,'Tracking Sheet'!B594,'Production '!$S$4:$S$4407)</f>
        <v>2610</v>
      </c>
      <c r="F594" s="76">
        <f ca="1">SUMIF('Production '!$C$4:$AI$4407,'Tracking Sheet'!B594,'Production '!$U$4:$U$4407)</f>
        <v>34</v>
      </c>
      <c r="G594" s="76">
        <f ca="1">SUMIF('Production '!$C$4:$AI$4407,'Tracking Sheet'!B594,'Production '!$W$4:$W$4407)</f>
        <v>2576</v>
      </c>
      <c r="H594" s="76">
        <f ca="1">SUMIF('Production '!$C$4:$AI$4407,'Tracking Sheet'!B594,'Production '!$F$4:$F$4407)</f>
        <v>2493</v>
      </c>
      <c r="I594" s="76">
        <f ca="1">SUMIF('Production '!$C$4:$AI$4407,'Tracking Sheet'!B594,'Production '!$V$4:$V$4407)</f>
        <v>0</v>
      </c>
      <c r="J594" s="76">
        <f ca="1">SUMIF('Production '!$C$4:$AI$4407,'Tracking Sheet'!B594,'Production '!$AG$4:$AG$4407)</f>
        <v>0</v>
      </c>
    </row>
    <row r="595" spans="2:10" x14ac:dyDescent="0.3">
      <c r="B595" s="277">
        <f>'Production '!C598</f>
        <v>0</v>
      </c>
      <c r="C595" s="76" t="e">
        <f ca="1">SUMIF('Production '!$C$4:$AI$4407,'Tracking Sheet'!B595,'Production '!$M$4:$M$4407)</f>
        <v>#DIV/0!</v>
      </c>
      <c r="D595" s="76" t="e">
        <f ca="1">SUMIF('Production '!$C$4:$AI$4407,'Tracking Sheet'!B595,'Production '!$Q$4:$Q$4407)</f>
        <v>#DIV/0!</v>
      </c>
      <c r="E595" s="76">
        <f ca="1">SUMIF('Production '!$C$4:$AI$4407,'Tracking Sheet'!B595,'Production '!$S$4:$S$4407)</f>
        <v>-1268218.9828305368</v>
      </c>
      <c r="F595" s="76">
        <f ca="1">SUMIF('Production '!$C$4:$AI$4407,'Tracking Sheet'!B595,'Production '!$U$4:$U$4407)</f>
        <v>-10620.435600016917</v>
      </c>
      <c r="G595" s="76" t="e">
        <f ca="1">SUMIF('Production '!$C$4:$AI$4407,'Tracking Sheet'!B595,'Production '!$W$4:$W$4407)</f>
        <v>#DIV/0!</v>
      </c>
      <c r="H595" s="76">
        <f ca="1">SUMIF('Production '!$C$4:$AI$4407,'Tracking Sheet'!B595,'Production '!$F$4:$F$4407)</f>
        <v>3230621.3283604058</v>
      </c>
      <c r="I595" s="76">
        <f ca="1">SUMIF('Production '!$C$4:$AI$4407,'Tracking Sheet'!B595,'Production '!$V$4:$V$4407)</f>
        <v>-489.86487791182844</v>
      </c>
      <c r="J595" s="76">
        <f ca="1">SUMIF('Production '!$C$4:$AI$4407,'Tracking Sheet'!B595,'Production '!$AG$4:$AG$4407)</f>
        <v>0</v>
      </c>
    </row>
    <row r="596" spans="2:10" x14ac:dyDescent="0.3">
      <c r="B596" s="277" t="str">
        <f>'Production '!C599</f>
        <v>46494 3rd</v>
      </c>
      <c r="C596" s="76">
        <f ca="1">SUMIF('Production '!$C$4:$AI$4407,'Tracking Sheet'!B596,'Production '!$M$4:$M$4407)</f>
        <v>8494</v>
      </c>
      <c r="D596" s="76">
        <f ca="1">SUMIF('Production '!$C$4:$AI$4407,'Tracking Sheet'!B596,'Production '!$Q$4:$Q$4407)</f>
        <v>8446</v>
      </c>
      <c r="E596" s="76">
        <f ca="1">SUMIF('Production '!$C$4:$AI$4407,'Tracking Sheet'!B596,'Production '!$S$4:$S$4407)</f>
        <v>8411</v>
      </c>
      <c r="F596" s="76">
        <f ca="1">SUMIF('Production '!$C$4:$AI$4407,'Tracking Sheet'!B596,'Production '!$U$4:$U$4407)</f>
        <v>16</v>
      </c>
      <c r="G596" s="76">
        <f ca="1">SUMIF('Production '!$C$4:$AI$4407,'Tracking Sheet'!B596,'Production '!$W$4:$W$4407)</f>
        <v>8395</v>
      </c>
      <c r="H596" s="76">
        <f ca="1">SUMIF('Production '!$C$4:$AI$4407,'Tracking Sheet'!B596,'Production '!$F$4:$F$4407)</f>
        <v>8208</v>
      </c>
      <c r="I596" s="76">
        <f ca="1">SUMIF('Production '!$C$4:$AI$4407,'Tracking Sheet'!B596,'Production '!$V$4:$V$4407)</f>
        <v>0</v>
      </c>
      <c r="J596" s="76">
        <f ca="1">SUMIF('Production '!$C$4:$AI$4407,'Tracking Sheet'!B596,'Production '!$AG$4:$AG$4407)</f>
        <v>0</v>
      </c>
    </row>
    <row r="597" spans="2:10" x14ac:dyDescent="0.3">
      <c r="B597" s="277" t="str">
        <f>'Production '!C600</f>
        <v>46494 3rd</v>
      </c>
      <c r="C597" s="76">
        <f ca="1">SUMIF('Production '!$C$4:$AI$4407,'Tracking Sheet'!B597,'Production '!$M$4:$M$4407)</f>
        <v>8494</v>
      </c>
      <c r="D597" s="76">
        <f ca="1">SUMIF('Production '!$C$4:$AI$4407,'Tracking Sheet'!B597,'Production '!$Q$4:$Q$4407)</f>
        <v>8446</v>
      </c>
      <c r="E597" s="76">
        <f ca="1">SUMIF('Production '!$C$4:$AI$4407,'Tracking Sheet'!B597,'Production '!$S$4:$S$4407)</f>
        <v>8411</v>
      </c>
      <c r="F597" s="76">
        <f ca="1">SUMIF('Production '!$C$4:$AI$4407,'Tracking Sheet'!B597,'Production '!$U$4:$U$4407)</f>
        <v>16</v>
      </c>
      <c r="G597" s="76">
        <f ca="1">SUMIF('Production '!$C$4:$AI$4407,'Tracking Sheet'!B597,'Production '!$W$4:$W$4407)</f>
        <v>8395</v>
      </c>
      <c r="H597" s="76">
        <f ca="1">SUMIF('Production '!$C$4:$AI$4407,'Tracking Sheet'!B597,'Production '!$F$4:$F$4407)</f>
        <v>8208</v>
      </c>
      <c r="I597" s="76">
        <f ca="1">SUMIF('Production '!$C$4:$AI$4407,'Tracking Sheet'!B597,'Production '!$V$4:$V$4407)</f>
        <v>0</v>
      </c>
      <c r="J597" s="76">
        <f ca="1">SUMIF('Production '!$C$4:$AI$4407,'Tracking Sheet'!B597,'Production '!$AG$4:$AG$4407)</f>
        <v>0</v>
      </c>
    </row>
    <row r="598" spans="2:10" x14ac:dyDescent="0.3">
      <c r="B598" s="277" t="str">
        <f>'Production '!C601</f>
        <v>46494 3rd</v>
      </c>
      <c r="C598" s="76">
        <f ca="1">SUMIF('Production '!$C$4:$AI$4407,'Tracking Sheet'!B598,'Production '!$M$4:$M$4407)</f>
        <v>8494</v>
      </c>
      <c r="D598" s="76">
        <f ca="1">SUMIF('Production '!$C$4:$AI$4407,'Tracking Sheet'!B598,'Production '!$Q$4:$Q$4407)</f>
        <v>8446</v>
      </c>
      <c r="E598" s="76">
        <f ca="1">SUMIF('Production '!$C$4:$AI$4407,'Tracking Sheet'!B598,'Production '!$S$4:$S$4407)</f>
        <v>8411</v>
      </c>
      <c r="F598" s="76">
        <f ca="1">SUMIF('Production '!$C$4:$AI$4407,'Tracking Sheet'!B598,'Production '!$U$4:$U$4407)</f>
        <v>16</v>
      </c>
      <c r="G598" s="76">
        <f ca="1">SUMIF('Production '!$C$4:$AI$4407,'Tracking Sheet'!B598,'Production '!$W$4:$W$4407)</f>
        <v>8395</v>
      </c>
      <c r="H598" s="76">
        <f ca="1">SUMIF('Production '!$C$4:$AI$4407,'Tracking Sheet'!B598,'Production '!$F$4:$F$4407)</f>
        <v>8208</v>
      </c>
      <c r="I598" s="76">
        <f ca="1">SUMIF('Production '!$C$4:$AI$4407,'Tracking Sheet'!B598,'Production '!$V$4:$V$4407)</f>
        <v>0</v>
      </c>
      <c r="J598" s="76">
        <f ca="1">SUMIF('Production '!$C$4:$AI$4407,'Tracking Sheet'!B598,'Production '!$AG$4:$AG$4407)</f>
        <v>0</v>
      </c>
    </row>
    <row r="599" spans="2:10" x14ac:dyDescent="0.3">
      <c r="B599" s="277" t="str">
        <f>'Production '!C602</f>
        <v>46494 3rd</v>
      </c>
      <c r="C599" s="76">
        <f ca="1">SUMIF('Production '!$C$4:$AI$4407,'Tracking Sheet'!B599,'Production '!$M$4:$M$4407)</f>
        <v>8494</v>
      </c>
      <c r="D599" s="76">
        <f ca="1">SUMIF('Production '!$C$4:$AI$4407,'Tracking Sheet'!B599,'Production '!$Q$4:$Q$4407)</f>
        <v>8446</v>
      </c>
      <c r="E599" s="76">
        <f ca="1">SUMIF('Production '!$C$4:$AI$4407,'Tracking Sheet'!B599,'Production '!$S$4:$S$4407)</f>
        <v>8411</v>
      </c>
      <c r="F599" s="76">
        <f ca="1">SUMIF('Production '!$C$4:$AI$4407,'Tracking Sheet'!B599,'Production '!$U$4:$U$4407)</f>
        <v>16</v>
      </c>
      <c r="G599" s="76">
        <f ca="1">SUMIF('Production '!$C$4:$AI$4407,'Tracking Sheet'!B599,'Production '!$W$4:$W$4407)</f>
        <v>8395</v>
      </c>
      <c r="H599" s="76">
        <f ca="1">SUMIF('Production '!$C$4:$AI$4407,'Tracking Sheet'!B599,'Production '!$F$4:$F$4407)</f>
        <v>8208</v>
      </c>
      <c r="I599" s="76">
        <f ca="1">SUMIF('Production '!$C$4:$AI$4407,'Tracking Sheet'!B599,'Production '!$V$4:$V$4407)</f>
        <v>0</v>
      </c>
      <c r="J599" s="76">
        <f ca="1">SUMIF('Production '!$C$4:$AI$4407,'Tracking Sheet'!B599,'Production '!$AG$4:$AG$4407)</f>
        <v>0</v>
      </c>
    </row>
    <row r="600" spans="2:10" x14ac:dyDescent="0.3">
      <c r="B600" s="277">
        <f>'Production '!C603</f>
        <v>0</v>
      </c>
      <c r="C600" s="76" t="e">
        <f ca="1">SUMIF('Production '!$C$4:$AI$4407,'Tracking Sheet'!B600,'Production '!$M$4:$M$4407)</f>
        <v>#DIV/0!</v>
      </c>
      <c r="D600" s="76" t="e">
        <f ca="1">SUMIF('Production '!$C$4:$AI$4407,'Tracking Sheet'!B600,'Production '!$Q$4:$Q$4407)</f>
        <v>#DIV/0!</v>
      </c>
      <c r="E600" s="76">
        <f ca="1">SUMIF('Production '!$C$4:$AI$4407,'Tracking Sheet'!B600,'Production '!$S$4:$S$4407)</f>
        <v>-1268218.9828305368</v>
      </c>
      <c r="F600" s="76">
        <f ca="1">SUMIF('Production '!$C$4:$AI$4407,'Tracking Sheet'!B600,'Production '!$U$4:$U$4407)</f>
        <v>-10620.435600016917</v>
      </c>
      <c r="G600" s="76" t="e">
        <f ca="1">SUMIF('Production '!$C$4:$AI$4407,'Tracking Sheet'!B600,'Production '!$W$4:$W$4407)</f>
        <v>#DIV/0!</v>
      </c>
      <c r="H600" s="76">
        <f ca="1">SUMIF('Production '!$C$4:$AI$4407,'Tracking Sheet'!B600,'Production '!$F$4:$F$4407)</f>
        <v>3230621.3283604058</v>
      </c>
      <c r="I600" s="76">
        <f ca="1">SUMIF('Production '!$C$4:$AI$4407,'Tracking Sheet'!B600,'Production '!$V$4:$V$4407)</f>
        <v>-489.86487791182844</v>
      </c>
      <c r="J600" s="76">
        <f ca="1">SUMIF('Production '!$C$4:$AI$4407,'Tracking Sheet'!B600,'Production '!$AG$4:$AG$4407)</f>
        <v>0</v>
      </c>
    </row>
    <row r="601" spans="2:10" x14ac:dyDescent="0.3">
      <c r="B601" s="277">
        <f>'Production '!C604</f>
        <v>48002</v>
      </c>
      <c r="C601" s="76">
        <f ca="1">SUMIF('Production '!$C$4:$AI$4407,'Tracking Sheet'!B601,'Production '!$M$4:$M$4407)</f>
        <v>3410</v>
      </c>
      <c r="D601" s="76">
        <f ca="1">SUMIF('Production '!$C$4:$AI$4407,'Tracking Sheet'!B601,'Production '!$Q$4:$Q$4407)</f>
        <v>3410</v>
      </c>
      <c r="E601" s="76">
        <f ca="1">SUMIF('Production '!$C$4:$AI$4407,'Tracking Sheet'!B601,'Production '!$S$4:$S$4407)</f>
        <v>3377</v>
      </c>
      <c r="F601" s="76">
        <f ca="1">SUMIF('Production '!$C$4:$AI$4407,'Tracking Sheet'!B601,'Production '!$U$4:$U$4407)</f>
        <v>3377</v>
      </c>
      <c r="G601" s="76">
        <f ca="1">SUMIF('Production '!$C$4:$AI$4407,'Tracking Sheet'!B601,'Production '!$W$4:$W$4407)</f>
        <v>0</v>
      </c>
      <c r="H601" s="76">
        <f ca="1">SUMIF('Production '!$C$4:$AI$4407,'Tracking Sheet'!B601,'Production '!$F$4:$F$4407)</f>
        <v>6314</v>
      </c>
      <c r="I601" s="76">
        <f ca="1">SUMIF('Production '!$C$4:$AI$4407,'Tracking Sheet'!B601,'Production '!$V$4:$V$4407)</f>
        <v>0</v>
      </c>
      <c r="J601" s="76">
        <f ca="1">SUMIF('Production '!$C$4:$AI$4407,'Tracking Sheet'!B601,'Production '!$AG$4:$AG$4407)</f>
        <v>-3007</v>
      </c>
    </row>
    <row r="602" spans="2:10" x14ac:dyDescent="0.3">
      <c r="B602" s="277">
        <f>'Production '!C605</f>
        <v>48002</v>
      </c>
      <c r="C602" s="76">
        <f ca="1">SUMIF('Production '!$C$4:$AI$4407,'Tracking Sheet'!B602,'Production '!$M$4:$M$4407)</f>
        <v>3410</v>
      </c>
      <c r="D602" s="76">
        <f ca="1">SUMIF('Production '!$C$4:$AI$4407,'Tracking Sheet'!B602,'Production '!$Q$4:$Q$4407)</f>
        <v>3410</v>
      </c>
      <c r="E602" s="76">
        <f ca="1">SUMIF('Production '!$C$4:$AI$4407,'Tracking Sheet'!B602,'Production '!$S$4:$S$4407)</f>
        <v>3377</v>
      </c>
      <c r="F602" s="76">
        <f ca="1">SUMIF('Production '!$C$4:$AI$4407,'Tracking Sheet'!B602,'Production '!$U$4:$U$4407)</f>
        <v>3377</v>
      </c>
      <c r="G602" s="76">
        <f ca="1">SUMIF('Production '!$C$4:$AI$4407,'Tracking Sheet'!B602,'Production '!$W$4:$W$4407)</f>
        <v>0</v>
      </c>
      <c r="H602" s="76">
        <f ca="1">SUMIF('Production '!$C$4:$AI$4407,'Tracking Sheet'!B602,'Production '!$F$4:$F$4407)</f>
        <v>6314</v>
      </c>
      <c r="I602" s="76">
        <f ca="1">SUMIF('Production '!$C$4:$AI$4407,'Tracking Sheet'!B602,'Production '!$V$4:$V$4407)</f>
        <v>0</v>
      </c>
      <c r="J602" s="76">
        <f ca="1">SUMIF('Production '!$C$4:$AI$4407,'Tracking Sheet'!B602,'Production '!$AG$4:$AG$4407)</f>
        <v>-3007</v>
      </c>
    </row>
    <row r="603" spans="2:10" x14ac:dyDescent="0.3">
      <c r="B603" s="277">
        <f>'Production '!C606</f>
        <v>0</v>
      </c>
      <c r="C603" s="76" t="e">
        <f ca="1">SUMIF('Production '!$C$4:$AI$4407,'Tracking Sheet'!B603,'Production '!$M$4:$M$4407)</f>
        <v>#DIV/0!</v>
      </c>
      <c r="D603" s="76" t="e">
        <f ca="1">SUMIF('Production '!$C$4:$AI$4407,'Tracking Sheet'!B603,'Production '!$Q$4:$Q$4407)</f>
        <v>#DIV/0!</v>
      </c>
      <c r="E603" s="76">
        <f ca="1">SUMIF('Production '!$C$4:$AI$4407,'Tracking Sheet'!B603,'Production '!$S$4:$S$4407)</f>
        <v>-1268218.9828305368</v>
      </c>
      <c r="F603" s="76">
        <f ca="1">SUMIF('Production '!$C$4:$AI$4407,'Tracking Sheet'!B603,'Production '!$U$4:$U$4407)</f>
        <v>-10620.435600016917</v>
      </c>
      <c r="G603" s="76" t="e">
        <f ca="1">SUMIF('Production '!$C$4:$AI$4407,'Tracking Sheet'!B603,'Production '!$W$4:$W$4407)</f>
        <v>#DIV/0!</v>
      </c>
      <c r="H603" s="76">
        <f ca="1">SUMIF('Production '!$C$4:$AI$4407,'Tracking Sheet'!B603,'Production '!$F$4:$F$4407)</f>
        <v>3230621.3283604058</v>
      </c>
      <c r="I603" s="76">
        <f ca="1">SUMIF('Production '!$C$4:$AI$4407,'Tracking Sheet'!B603,'Production '!$V$4:$V$4407)</f>
        <v>-489.86487791182844</v>
      </c>
      <c r="J603" s="76">
        <f ca="1">SUMIF('Production '!$C$4:$AI$4407,'Tracking Sheet'!B603,'Production '!$AG$4:$AG$4407)</f>
        <v>0</v>
      </c>
    </row>
    <row r="604" spans="2:10" x14ac:dyDescent="0.3">
      <c r="B604" s="277" t="str">
        <f>'Production '!C607</f>
        <v>41831 8th</v>
      </c>
      <c r="C604" s="76">
        <f ca="1">SUMIF('Production '!$C$4:$AI$4407,'Tracking Sheet'!B604,'Production '!$M$4:$M$4407)</f>
        <v>21921</v>
      </c>
      <c r="D604" s="76">
        <f ca="1">SUMIF('Production '!$C$4:$AI$4407,'Tracking Sheet'!B604,'Production '!$Q$4:$Q$4407)</f>
        <v>13940</v>
      </c>
      <c r="E604" s="76">
        <f ca="1">SUMIF('Production '!$C$4:$AI$4407,'Tracking Sheet'!B604,'Production '!$S$4:$S$4407)</f>
        <v>13895</v>
      </c>
      <c r="F604" s="76">
        <f ca="1">SUMIF('Production '!$C$4:$AI$4407,'Tracking Sheet'!B604,'Production '!$U$4:$U$4407)</f>
        <v>6257</v>
      </c>
      <c r="G604" s="76">
        <f ca="1">SUMIF('Production '!$C$4:$AI$4407,'Tracking Sheet'!B604,'Production '!$W$4:$W$4407)</f>
        <v>14925</v>
      </c>
      <c r="H604" s="76">
        <f ca="1">SUMIF('Production '!$C$4:$AI$4407,'Tracking Sheet'!B604,'Production '!$F$4:$F$4407)</f>
        <v>21714</v>
      </c>
      <c r="I604" s="76">
        <f ca="1">SUMIF('Production '!$C$4:$AI$4407,'Tracking Sheet'!B604,'Production '!$V$4:$V$4407)</f>
        <v>0</v>
      </c>
      <c r="J604" s="76">
        <f ca="1">SUMIF('Production '!$C$4:$AI$4407,'Tracking Sheet'!B604,'Production '!$AG$4:$AG$4407)</f>
        <v>0</v>
      </c>
    </row>
    <row r="605" spans="2:10" x14ac:dyDescent="0.3">
      <c r="B605" s="277" t="str">
        <f>'Production '!C608</f>
        <v>41831 8th</v>
      </c>
      <c r="C605" s="76">
        <f ca="1">SUMIF('Production '!$C$4:$AI$4407,'Tracking Sheet'!B605,'Production '!$M$4:$M$4407)</f>
        <v>21921</v>
      </c>
      <c r="D605" s="76">
        <f ca="1">SUMIF('Production '!$C$4:$AI$4407,'Tracking Sheet'!B605,'Production '!$Q$4:$Q$4407)</f>
        <v>13940</v>
      </c>
      <c r="E605" s="76">
        <f ca="1">SUMIF('Production '!$C$4:$AI$4407,'Tracking Sheet'!B605,'Production '!$S$4:$S$4407)</f>
        <v>13895</v>
      </c>
      <c r="F605" s="76">
        <f ca="1">SUMIF('Production '!$C$4:$AI$4407,'Tracking Sheet'!B605,'Production '!$U$4:$U$4407)</f>
        <v>6257</v>
      </c>
      <c r="G605" s="76">
        <f ca="1">SUMIF('Production '!$C$4:$AI$4407,'Tracking Sheet'!B605,'Production '!$W$4:$W$4407)</f>
        <v>14925</v>
      </c>
      <c r="H605" s="76">
        <f ca="1">SUMIF('Production '!$C$4:$AI$4407,'Tracking Sheet'!B605,'Production '!$F$4:$F$4407)</f>
        <v>21714</v>
      </c>
      <c r="I605" s="76">
        <f ca="1">SUMIF('Production '!$C$4:$AI$4407,'Tracking Sheet'!B605,'Production '!$V$4:$V$4407)</f>
        <v>0</v>
      </c>
      <c r="J605" s="76">
        <f ca="1">SUMIF('Production '!$C$4:$AI$4407,'Tracking Sheet'!B605,'Production '!$AG$4:$AG$4407)</f>
        <v>0</v>
      </c>
    </row>
    <row r="606" spans="2:10" x14ac:dyDescent="0.3">
      <c r="B606" s="277" t="str">
        <f>'Production '!C609</f>
        <v>41831 8th</v>
      </c>
      <c r="C606" s="76">
        <f ca="1">SUMIF('Production '!$C$4:$AI$4407,'Tracking Sheet'!B606,'Production '!$M$4:$M$4407)</f>
        <v>21921</v>
      </c>
      <c r="D606" s="76">
        <f ca="1">SUMIF('Production '!$C$4:$AI$4407,'Tracking Sheet'!B606,'Production '!$Q$4:$Q$4407)</f>
        <v>13940</v>
      </c>
      <c r="E606" s="76">
        <f ca="1">SUMIF('Production '!$C$4:$AI$4407,'Tracking Sheet'!B606,'Production '!$S$4:$S$4407)</f>
        <v>13895</v>
      </c>
      <c r="F606" s="76">
        <f ca="1">SUMIF('Production '!$C$4:$AI$4407,'Tracking Sheet'!B606,'Production '!$U$4:$U$4407)</f>
        <v>6257</v>
      </c>
      <c r="G606" s="76">
        <f ca="1">SUMIF('Production '!$C$4:$AI$4407,'Tracking Sheet'!B606,'Production '!$W$4:$W$4407)</f>
        <v>14925</v>
      </c>
      <c r="H606" s="76">
        <f ca="1">SUMIF('Production '!$C$4:$AI$4407,'Tracking Sheet'!B606,'Production '!$F$4:$F$4407)</f>
        <v>21714</v>
      </c>
      <c r="I606" s="76">
        <f ca="1">SUMIF('Production '!$C$4:$AI$4407,'Tracking Sheet'!B606,'Production '!$V$4:$V$4407)</f>
        <v>0</v>
      </c>
      <c r="J606" s="76">
        <f ca="1">SUMIF('Production '!$C$4:$AI$4407,'Tracking Sheet'!B606,'Production '!$AG$4:$AG$4407)</f>
        <v>0</v>
      </c>
    </row>
    <row r="607" spans="2:10" x14ac:dyDescent="0.3">
      <c r="B607" s="277" t="str">
        <f>'Production '!C610</f>
        <v>41831 8th</v>
      </c>
      <c r="C607" s="76">
        <f ca="1">SUMIF('Production '!$C$4:$AI$4407,'Tracking Sheet'!B607,'Production '!$M$4:$M$4407)</f>
        <v>21921</v>
      </c>
      <c r="D607" s="76">
        <f ca="1">SUMIF('Production '!$C$4:$AI$4407,'Tracking Sheet'!B607,'Production '!$Q$4:$Q$4407)</f>
        <v>13940</v>
      </c>
      <c r="E607" s="76">
        <f ca="1">SUMIF('Production '!$C$4:$AI$4407,'Tracking Sheet'!B607,'Production '!$S$4:$S$4407)</f>
        <v>13895</v>
      </c>
      <c r="F607" s="76">
        <f ca="1">SUMIF('Production '!$C$4:$AI$4407,'Tracking Sheet'!B607,'Production '!$U$4:$U$4407)</f>
        <v>6257</v>
      </c>
      <c r="G607" s="76">
        <f ca="1">SUMIF('Production '!$C$4:$AI$4407,'Tracking Sheet'!B607,'Production '!$W$4:$W$4407)</f>
        <v>14925</v>
      </c>
      <c r="H607" s="76">
        <f ca="1">SUMIF('Production '!$C$4:$AI$4407,'Tracking Sheet'!B607,'Production '!$F$4:$F$4407)</f>
        <v>21714</v>
      </c>
      <c r="I607" s="76">
        <f ca="1">SUMIF('Production '!$C$4:$AI$4407,'Tracking Sheet'!B607,'Production '!$V$4:$V$4407)</f>
        <v>0</v>
      </c>
      <c r="J607" s="76">
        <f ca="1">SUMIF('Production '!$C$4:$AI$4407,'Tracking Sheet'!B607,'Production '!$AG$4:$AG$4407)</f>
        <v>0</v>
      </c>
    </row>
    <row r="608" spans="2:10" x14ac:dyDescent="0.3">
      <c r="B608" s="277">
        <f>'Production '!C611</f>
        <v>0</v>
      </c>
      <c r="C608" s="76" t="e">
        <f ca="1">SUMIF('Production '!$C$4:$AI$4407,'Tracking Sheet'!B608,'Production '!$M$4:$M$4407)</f>
        <v>#DIV/0!</v>
      </c>
      <c r="D608" s="76" t="e">
        <f ca="1">SUMIF('Production '!$C$4:$AI$4407,'Tracking Sheet'!B608,'Production '!$Q$4:$Q$4407)</f>
        <v>#DIV/0!</v>
      </c>
      <c r="E608" s="76">
        <f ca="1">SUMIF('Production '!$C$4:$AI$4407,'Tracking Sheet'!B608,'Production '!$S$4:$S$4407)</f>
        <v>-1268218.9828305368</v>
      </c>
      <c r="F608" s="76">
        <f ca="1">SUMIF('Production '!$C$4:$AI$4407,'Tracking Sheet'!B608,'Production '!$U$4:$U$4407)</f>
        <v>-10620.435600016917</v>
      </c>
      <c r="G608" s="76" t="e">
        <f ca="1">SUMIF('Production '!$C$4:$AI$4407,'Tracking Sheet'!B608,'Production '!$W$4:$W$4407)</f>
        <v>#DIV/0!</v>
      </c>
      <c r="H608" s="76">
        <f ca="1">SUMIF('Production '!$C$4:$AI$4407,'Tracking Sheet'!B608,'Production '!$F$4:$F$4407)</f>
        <v>3230621.3283604058</v>
      </c>
      <c r="I608" s="76">
        <f ca="1">SUMIF('Production '!$C$4:$AI$4407,'Tracking Sheet'!B608,'Production '!$V$4:$V$4407)</f>
        <v>-489.86487791182844</v>
      </c>
      <c r="J608" s="76">
        <f ca="1">SUMIF('Production '!$C$4:$AI$4407,'Tracking Sheet'!B608,'Production '!$AG$4:$AG$4407)</f>
        <v>0</v>
      </c>
    </row>
    <row r="609" spans="2:10" x14ac:dyDescent="0.3">
      <c r="B609" s="277" t="str">
        <f>'Production '!C612</f>
        <v>44019 17th</v>
      </c>
      <c r="C609" s="76">
        <f ca="1">SUMIF('Production '!$C$4:$AI$4407,'Tracking Sheet'!B609,'Production '!$M$4:$M$4407)</f>
        <v>3018</v>
      </c>
      <c r="D609" s="76">
        <f ca="1">SUMIF('Production '!$C$4:$AI$4407,'Tracking Sheet'!B609,'Production '!$Q$4:$Q$4407)</f>
        <v>3018</v>
      </c>
      <c r="E609" s="76">
        <f ca="1">SUMIF('Production '!$C$4:$AI$4407,'Tracking Sheet'!B609,'Production '!$S$4:$S$4407)</f>
        <v>3006</v>
      </c>
      <c r="F609" s="76">
        <f ca="1">SUMIF('Production '!$C$4:$AI$4407,'Tracking Sheet'!B609,'Production '!$U$4:$U$4407)</f>
        <v>13</v>
      </c>
      <c r="G609" s="76">
        <f ca="1">SUMIF('Production '!$C$4:$AI$4407,'Tracking Sheet'!B609,'Production '!$W$4:$W$4407)</f>
        <v>2993</v>
      </c>
      <c r="H609" s="76">
        <f ca="1">SUMIF('Production '!$C$4:$AI$4407,'Tracking Sheet'!B609,'Production '!$F$4:$F$4407)</f>
        <v>2925</v>
      </c>
      <c r="I609" s="76">
        <f ca="1">SUMIF('Production '!$C$4:$AI$4407,'Tracking Sheet'!B609,'Production '!$V$4:$V$4407)</f>
        <v>0</v>
      </c>
      <c r="J609" s="76">
        <f ca="1">SUMIF('Production '!$C$4:$AI$4407,'Tracking Sheet'!B609,'Production '!$AG$4:$AG$4407)</f>
        <v>0</v>
      </c>
    </row>
    <row r="610" spans="2:10" x14ac:dyDescent="0.3">
      <c r="B610" s="277" t="str">
        <f>'Production '!C613</f>
        <v>44019 17th</v>
      </c>
      <c r="C610" s="76">
        <f ca="1">SUMIF('Production '!$C$4:$AI$4407,'Tracking Sheet'!B610,'Production '!$M$4:$M$4407)</f>
        <v>3018</v>
      </c>
      <c r="D610" s="76">
        <f ca="1">SUMIF('Production '!$C$4:$AI$4407,'Tracking Sheet'!B610,'Production '!$Q$4:$Q$4407)</f>
        <v>3018</v>
      </c>
      <c r="E610" s="76">
        <f ca="1">SUMIF('Production '!$C$4:$AI$4407,'Tracking Sheet'!B610,'Production '!$S$4:$S$4407)</f>
        <v>3006</v>
      </c>
      <c r="F610" s="76">
        <f ca="1">SUMIF('Production '!$C$4:$AI$4407,'Tracking Sheet'!B610,'Production '!$U$4:$U$4407)</f>
        <v>13</v>
      </c>
      <c r="G610" s="76">
        <f ca="1">SUMIF('Production '!$C$4:$AI$4407,'Tracking Sheet'!B610,'Production '!$W$4:$W$4407)</f>
        <v>2993</v>
      </c>
      <c r="H610" s="76">
        <f ca="1">SUMIF('Production '!$C$4:$AI$4407,'Tracking Sheet'!B610,'Production '!$F$4:$F$4407)</f>
        <v>2925</v>
      </c>
      <c r="I610" s="76">
        <f ca="1">SUMIF('Production '!$C$4:$AI$4407,'Tracking Sheet'!B610,'Production '!$V$4:$V$4407)</f>
        <v>0</v>
      </c>
      <c r="J610" s="76">
        <f ca="1">SUMIF('Production '!$C$4:$AI$4407,'Tracking Sheet'!B610,'Production '!$AG$4:$AG$4407)</f>
        <v>0</v>
      </c>
    </row>
    <row r="611" spans="2:10" x14ac:dyDescent="0.3">
      <c r="B611" s="277">
        <f>'Production '!C614</f>
        <v>0</v>
      </c>
      <c r="C611" s="76" t="e">
        <f ca="1">SUMIF('Production '!$C$4:$AI$4407,'Tracking Sheet'!B611,'Production '!$M$4:$M$4407)</f>
        <v>#DIV/0!</v>
      </c>
      <c r="D611" s="76" t="e">
        <f ca="1">SUMIF('Production '!$C$4:$AI$4407,'Tracking Sheet'!B611,'Production '!$Q$4:$Q$4407)</f>
        <v>#DIV/0!</v>
      </c>
      <c r="E611" s="76">
        <f ca="1">SUMIF('Production '!$C$4:$AI$4407,'Tracking Sheet'!B611,'Production '!$S$4:$S$4407)</f>
        <v>-1268218.9828305368</v>
      </c>
      <c r="F611" s="76">
        <f ca="1">SUMIF('Production '!$C$4:$AI$4407,'Tracking Sheet'!B611,'Production '!$U$4:$U$4407)</f>
        <v>-10620.435600016917</v>
      </c>
      <c r="G611" s="76" t="e">
        <f ca="1">SUMIF('Production '!$C$4:$AI$4407,'Tracking Sheet'!B611,'Production '!$W$4:$W$4407)</f>
        <v>#DIV/0!</v>
      </c>
      <c r="H611" s="76">
        <f ca="1">SUMIF('Production '!$C$4:$AI$4407,'Tracking Sheet'!B611,'Production '!$F$4:$F$4407)</f>
        <v>3230621.3283604058</v>
      </c>
      <c r="I611" s="76">
        <f ca="1">SUMIF('Production '!$C$4:$AI$4407,'Tracking Sheet'!B611,'Production '!$V$4:$V$4407)</f>
        <v>-489.86487791182844</v>
      </c>
      <c r="J611" s="76">
        <f ca="1">SUMIF('Production '!$C$4:$AI$4407,'Tracking Sheet'!B611,'Production '!$AG$4:$AG$4407)</f>
        <v>0</v>
      </c>
    </row>
    <row r="612" spans="2:10" x14ac:dyDescent="0.3">
      <c r="B612" s="277" t="str">
        <f>'Production '!C615</f>
        <v>46493 3rd</v>
      </c>
      <c r="C612" s="76">
        <f ca="1">SUMIF('Production '!$C$4:$AI$4407,'Tracking Sheet'!B612,'Production '!$M$4:$M$4407)</f>
        <v>10310</v>
      </c>
      <c r="D612" s="76">
        <f ca="1">SUMIF('Production '!$C$4:$AI$4407,'Tracking Sheet'!B612,'Production '!$Q$4:$Q$4407)</f>
        <v>10266</v>
      </c>
      <c r="E612" s="76">
        <f ca="1">SUMIF('Production '!$C$4:$AI$4407,'Tracking Sheet'!B612,'Production '!$S$4:$S$4407)</f>
        <v>10251</v>
      </c>
      <c r="F612" s="76">
        <f ca="1">SUMIF('Production '!$C$4:$AI$4407,'Tracking Sheet'!B612,'Production '!$U$4:$U$4407)</f>
        <v>5</v>
      </c>
      <c r="G612" s="76">
        <f ca="1">SUMIF('Production '!$C$4:$AI$4407,'Tracking Sheet'!B612,'Production '!$W$4:$W$4407)</f>
        <v>10246</v>
      </c>
      <c r="H612" s="76">
        <f ca="1">SUMIF('Production '!$C$4:$AI$4407,'Tracking Sheet'!B612,'Production '!$F$4:$F$4407)</f>
        <v>9940</v>
      </c>
      <c r="I612" s="76">
        <f ca="1">SUMIF('Production '!$C$4:$AI$4407,'Tracking Sheet'!B612,'Production '!$V$4:$V$4407)</f>
        <v>0</v>
      </c>
      <c r="J612" s="76">
        <f ca="1">SUMIF('Production '!$C$4:$AI$4407,'Tracking Sheet'!B612,'Production '!$AG$4:$AG$4407)</f>
        <v>0</v>
      </c>
    </row>
    <row r="613" spans="2:10" x14ac:dyDescent="0.3">
      <c r="B613" s="277" t="str">
        <f>'Production '!C616</f>
        <v>46493 3rd</v>
      </c>
      <c r="C613" s="76">
        <f ca="1">SUMIF('Production '!$C$4:$AI$4407,'Tracking Sheet'!B613,'Production '!$M$4:$M$4407)</f>
        <v>10310</v>
      </c>
      <c r="D613" s="76">
        <f ca="1">SUMIF('Production '!$C$4:$AI$4407,'Tracking Sheet'!B613,'Production '!$Q$4:$Q$4407)</f>
        <v>10266</v>
      </c>
      <c r="E613" s="76">
        <f ca="1">SUMIF('Production '!$C$4:$AI$4407,'Tracking Sheet'!B613,'Production '!$S$4:$S$4407)</f>
        <v>10251</v>
      </c>
      <c r="F613" s="76">
        <f ca="1">SUMIF('Production '!$C$4:$AI$4407,'Tracking Sheet'!B613,'Production '!$U$4:$U$4407)</f>
        <v>5</v>
      </c>
      <c r="G613" s="76">
        <f ca="1">SUMIF('Production '!$C$4:$AI$4407,'Tracking Sheet'!B613,'Production '!$W$4:$W$4407)</f>
        <v>10246</v>
      </c>
      <c r="H613" s="76">
        <f ca="1">SUMIF('Production '!$C$4:$AI$4407,'Tracking Sheet'!B613,'Production '!$F$4:$F$4407)</f>
        <v>9940</v>
      </c>
      <c r="I613" s="76">
        <f ca="1">SUMIF('Production '!$C$4:$AI$4407,'Tracking Sheet'!B613,'Production '!$V$4:$V$4407)</f>
        <v>0</v>
      </c>
      <c r="J613" s="76">
        <f ca="1">SUMIF('Production '!$C$4:$AI$4407,'Tracking Sheet'!B613,'Production '!$AG$4:$AG$4407)</f>
        <v>0</v>
      </c>
    </row>
    <row r="614" spans="2:10" x14ac:dyDescent="0.3">
      <c r="B614" s="277" t="str">
        <f>'Production '!C617</f>
        <v>46493 3rd</v>
      </c>
      <c r="C614" s="76">
        <f ca="1">SUMIF('Production '!$C$4:$AI$4407,'Tracking Sheet'!B614,'Production '!$M$4:$M$4407)</f>
        <v>10310</v>
      </c>
      <c r="D614" s="76">
        <f ca="1">SUMIF('Production '!$C$4:$AI$4407,'Tracking Sheet'!B614,'Production '!$Q$4:$Q$4407)</f>
        <v>10266</v>
      </c>
      <c r="E614" s="76">
        <f ca="1">SUMIF('Production '!$C$4:$AI$4407,'Tracking Sheet'!B614,'Production '!$S$4:$S$4407)</f>
        <v>10251</v>
      </c>
      <c r="F614" s="76">
        <f ca="1">SUMIF('Production '!$C$4:$AI$4407,'Tracking Sheet'!B614,'Production '!$U$4:$U$4407)</f>
        <v>5</v>
      </c>
      <c r="G614" s="76">
        <f ca="1">SUMIF('Production '!$C$4:$AI$4407,'Tracking Sheet'!B614,'Production '!$W$4:$W$4407)</f>
        <v>10246</v>
      </c>
      <c r="H614" s="76">
        <f ca="1">SUMIF('Production '!$C$4:$AI$4407,'Tracking Sheet'!B614,'Production '!$F$4:$F$4407)</f>
        <v>9940</v>
      </c>
      <c r="I614" s="76">
        <f ca="1">SUMIF('Production '!$C$4:$AI$4407,'Tracking Sheet'!B614,'Production '!$V$4:$V$4407)</f>
        <v>0</v>
      </c>
      <c r="J614" s="76">
        <f ca="1">SUMIF('Production '!$C$4:$AI$4407,'Tracking Sheet'!B614,'Production '!$AG$4:$AG$4407)</f>
        <v>0</v>
      </c>
    </row>
    <row r="615" spans="2:10" x14ac:dyDescent="0.3">
      <c r="B615" s="277" t="str">
        <f>'Production '!C618</f>
        <v>46493 3rd</v>
      </c>
      <c r="C615" s="76">
        <f ca="1">SUMIF('Production '!$C$4:$AI$4407,'Tracking Sheet'!B615,'Production '!$M$4:$M$4407)</f>
        <v>10310</v>
      </c>
      <c r="D615" s="76">
        <f ca="1">SUMIF('Production '!$C$4:$AI$4407,'Tracking Sheet'!B615,'Production '!$Q$4:$Q$4407)</f>
        <v>10266</v>
      </c>
      <c r="E615" s="76">
        <f ca="1">SUMIF('Production '!$C$4:$AI$4407,'Tracking Sheet'!B615,'Production '!$S$4:$S$4407)</f>
        <v>10251</v>
      </c>
      <c r="F615" s="76">
        <f ca="1">SUMIF('Production '!$C$4:$AI$4407,'Tracking Sheet'!B615,'Production '!$U$4:$U$4407)</f>
        <v>5</v>
      </c>
      <c r="G615" s="76">
        <f ca="1">SUMIF('Production '!$C$4:$AI$4407,'Tracking Sheet'!B615,'Production '!$W$4:$W$4407)</f>
        <v>10246</v>
      </c>
      <c r="H615" s="76">
        <f ca="1">SUMIF('Production '!$C$4:$AI$4407,'Tracking Sheet'!B615,'Production '!$F$4:$F$4407)</f>
        <v>9940</v>
      </c>
      <c r="I615" s="76">
        <f ca="1">SUMIF('Production '!$C$4:$AI$4407,'Tracking Sheet'!B615,'Production '!$V$4:$V$4407)</f>
        <v>0</v>
      </c>
      <c r="J615" s="76">
        <f ca="1">SUMIF('Production '!$C$4:$AI$4407,'Tracking Sheet'!B615,'Production '!$AG$4:$AG$4407)</f>
        <v>0</v>
      </c>
    </row>
    <row r="616" spans="2:10" x14ac:dyDescent="0.3">
      <c r="B616" s="277">
        <f>'Production '!C619</f>
        <v>0</v>
      </c>
      <c r="C616" s="76" t="e">
        <f ca="1">SUMIF('Production '!$C$4:$AI$4407,'Tracking Sheet'!B616,'Production '!$M$4:$M$4407)</f>
        <v>#DIV/0!</v>
      </c>
      <c r="D616" s="76" t="e">
        <f ca="1">SUMIF('Production '!$C$4:$AI$4407,'Tracking Sheet'!B616,'Production '!$Q$4:$Q$4407)</f>
        <v>#DIV/0!</v>
      </c>
      <c r="E616" s="76">
        <f ca="1">SUMIF('Production '!$C$4:$AI$4407,'Tracking Sheet'!B616,'Production '!$S$4:$S$4407)</f>
        <v>-1268218.9828305368</v>
      </c>
      <c r="F616" s="76">
        <f ca="1">SUMIF('Production '!$C$4:$AI$4407,'Tracking Sheet'!B616,'Production '!$U$4:$U$4407)</f>
        <v>-10620.435600016917</v>
      </c>
      <c r="G616" s="76" t="e">
        <f ca="1">SUMIF('Production '!$C$4:$AI$4407,'Tracking Sheet'!B616,'Production '!$W$4:$W$4407)</f>
        <v>#DIV/0!</v>
      </c>
      <c r="H616" s="76">
        <f ca="1">SUMIF('Production '!$C$4:$AI$4407,'Tracking Sheet'!B616,'Production '!$F$4:$F$4407)</f>
        <v>3230621.3283604058</v>
      </c>
      <c r="I616" s="76">
        <f ca="1">SUMIF('Production '!$C$4:$AI$4407,'Tracking Sheet'!B616,'Production '!$V$4:$V$4407)</f>
        <v>-489.86487791182844</v>
      </c>
      <c r="J616" s="76">
        <f ca="1">SUMIF('Production '!$C$4:$AI$4407,'Tracking Sheet'!B616,'Production '!$AG$4:$AG$4407)</f>
        <v>0</v>
      </c>
    </row>
    <row r="617" spans="2:10" x14ac:dyDescent="0.3">
      <c r="B617" s="277">
        <f>'Production '!C620</f>
        <v>48045</v>
      </c>
      <c r="C617" s="76">
        <f ca="1">SUMIF('Production '!$C$4:$AI$4407,'Tracking Sheet'!B617,'Production '!$M$4:$M$4407)</f>
        <v>5835</v>
      </c>
      <c r="D617" s="76">
        <f ca="1">SUMIF('Production '!$C$4:$AI$4407,'Tracking Sheet'!B617,'Production '!$Q$4:$Q$4407)</f>
        <v>0</v>
      </c>
      <c r="E617" s="76">
        <f ca="1">SUMIF('Production '!$C$4:$AI$4407,'Tracking Sheet'!B617,'Production '!$S$4:$S$4407)</f>
        <v>0</v>
      </c>
      <c r="F617" s="76">
        <f ca="1">SUMIF('Production '!$C$4:$AI$4407,'Tracking Sheet'!B617,'Production '!$U$4:$U$4407)</f>
        <v>15</v>
      </c>
      <c r="G617" s="76">
        <f ca="1">SUMIF('Production '!$C$4:$AI$4407,'Tracking Sheet'!B617,'Production '!$W$4:$W$4407)</f>
        <v>5820</v>
      </c>
      <c r="H617" s="76">
        <f ca="1">SUMIF('Production '!$C$4:$AI$4407,'Tracking Sheet'!B617,'Production '!$F$4:$F$4407)</f>
        <v>5633</v>
      </c>
      <c r="I617" s="76">
        <f ca="1">SUMIF('Production '!$C$4:$AI$4407,'Tracking Sheet'!B617,'Production '!$V$4:$V$4407)</f>
        <v>0</v>
      </c>
      <c r="J617" s="76">
        <f ca="1">SUMIF('Production '!$C$4:$AI$4407,'Tracking Sheet'!B617,'Production '!$AG$4:$AG$4407)</f>
        <v>0</v>
      </c>
    </row>
    <row r="618" spans="2:10" x14ac:dyDescent="0.3">
      <c r="B618" s="277">
        <f>'Production '!C621</f>
        <v>48045</v>
      </c>
      <c r="C618" s="76">
        <f ca="1">SUMIF('Production '!$C$4:$AI$4407,'Tracking Sheet'!B618,'Production '!$M$4:$M$4407)</f>
        <v>5835</v>
      </c>
      <c r="D618" s="76">
        <f ca="1">SUMIF('Production '!$C$4:$AI$4407,'Tracking Sheet'!B618,'Production '!$Q$4:$Q$4407)</f>
        <v>0</v>
      </c>
      <c r="E618" s="76">
        <f ca="1">SUMIF('Production '!$C$4:$AI$4407,'Tracking Sheet'!B618,'Production '!$S$4:$S$4407)</f>
        <v>0</v>
      </c>
      <c r="F618" s="76">
        <f ca="1">SUMIF('Production '!$C$4:$AI$4407,'Tracking Sheet'!B618,'Production '!$U$4:$U$4407)</f>
        <v>15</v>
      </c>
      <c r="G618" s="76">
        <f ca="1">SUMIF('Production '!$C$4:$AI$4407,'Tracking Sheet'!B618,'Production '!$W$4:$W$4407)</f>
        <v>5820</v>
      </c>
      <c r="H618" s="76">
        <f ca="1">SUMIF('Production '!$C$4:$AI$4407,'Tracking Sheet'!B618,'Production '!$F$4:$F$4407)</f>
        <v>5633</v>
      </c>
      <c r="I618" s="76">
        <f ca="1">SUMIF('Production '!$C$4:$AI$4407,'Tracking Sheet'!B618,'Production '!$V$4:$V$4407)</f>
        <v>0</v>
      </c>
      <c r="J618" s="76">
        <f ca="1">SUMIF('Production '!$C$4:$AI$4407,'Tracking Sheet'!B618,'Production '!$AG$4:$AG$4407)</f>
        <v>0</v>
      </c>
    </row>
    <row r="619" spans="2:10" x14ac:dyDescent="0.3">
      <c r="B619" s="277">
        <f>'Production '!C622</f>
        <v>48045</v>
      </c>
      <c r="C619" s="76">
        <f ca="1">SUMIF('Production '!$C$4:$AI$4407,'Tracking Sheet'!B619,'Production '!$M$4:$M$4407)</f>
        <v>5835</v>
      </c>
      <c r="D619" s="76">
        <f ca="1">SUMIF('Production '!$C$4:$AI$4407,'Tracking Sheet'!B619,'Production '!$Q$4:$Q$4407)</f>
        <v>0</v>
      </c>
      <c r="E619" s="76">
        <f ca="1">SUMIF('Production '!$C$4:$AI$4407,'Tracking Sheet'!B619,'Production '!$S$4:$S$4407)</f>
        <v>0</v>
      </c>
      <c r="F619" s="76">
        <f ca="1">SUMIF('Production '!$C$4:$AI$4407,'Tracking Sheet'!B619,'Production '!$U$4:$U$4407)</f>
        <v>15</v>
      </c>
      <c r="G619" s="76">
        <f ca="1">SUMIF('Production '!$C$4:$AI$4407,'Tracking Sheet'!B619,'Production '!$W$4:$W$4407)</f>
        <v>5820</v>
      </c>
      <c r="H619" s="76">
        <f ca="1">SUMIF('Production '!$C$4:$AI$4407,'Tracking Sheet'!B619,'Production '!$F$4:$F$4407)</f>
        <v>5633</v>
      </c>
      <c r="I619" s="76">
        <f ca="1">SUMIF('Production '!$C$4:$AI$4407,'Tracking Sheet'!B619,'Production '!$V$4:$V$4407)</f>
        <v>0</v>
      </c>
      <c r="J619" s="76">
        <f ca="1">SUMIF('Production '!$C$4:$AI$4407,'Tracking Sheet'!B619,'Production '!$AG$4:$AG$4407)</f>
        <v>0</v>
      </c>
    </row>
    <row r="620" spans="2:10" x14ac:dyDescent="0.3">
      <c r="B620" s="277">
        <f>'Production '!C623</f>
        <v>48045</v>
      </c>
      <c r="C620" s="76">
        <f ca="1">SUMIF('Production '!$C$4:$AI$4407,'Tracking Sheet'!B620,'Production '!$M$4:$M$4407)</f>
        <v>5835</v>
      </c>
      <c r="D620" s="76">
        <f ca="1">SUMIF('Production '!$C$4:$AI$4407,'Tracking Sheet'!B620,'Production '!$Q$4:$Q$4407)</f>
        <v>0</v>
      </c>
      <c r="E620" s="76">
        <f ca="1">SUMIF('Production '!$C$4:$AI$4407,'Tracking Sheet'!B620,'Production '!$S$4:$S$4407)</f>
        <v>0</v>
      </c>
      <c r="F620" s="76">
        <f ca="1">SUMIF('Production '!$C$4:$AI$4407,'Tracking Sheet'!B620,'Production '!$U$4:$U$4407)</f>
        <v>15</v>
      </c>
      <c r="G620" s="76">
        <f ca="1">SUMIF('Production '!$C$4:$AI$4407,'Tracking Sheet'!B620,'Production '!$W$4:$W$4407)</f>
        <v>5820</v>
      </c>
      <c r="H620" s="76">
        <f ca="1">SUMIF('Production '!$C$4:$AI$4407,'Tracking Sheet'!B620,'Production '!$F$4:$F$4407)</f>
        <v>5633</v>
      </c>
      <c r="I620" s="76">
        <f ca="1">SUMIF('Production '!$C$4:$AI$4407,'Tracking Sheet'!B620,'Production '!$V$4:$V$4407)</f>
        <v>0</v>
      </c>
      <c r="J620" s="76">
        <f ca="1">SUMIF('Production '!$C$4:$AI$4407,'Tracking Sheet'!B620,'Production '!$AG$4:$AG$4407)</f>
        <v>0</v>
      </c>
    </row>
    <row r="621" spans="2:10" x14ac:dyDescent="0.3">
      <c r="B621" s="277">
        <f>'Production '!C624</f>
        <v>0</v>
      </c>
      <c r="C621" s="76" t="e">
        <f ca="1">SUMIF('Production '!$C$4:$AI$4407,'Tracking Sheet'!B621,'Production '!$M$4:$M$4407)</f>
        <v>#DIV/0!</v>
      </c>
      <c r="D621" s="76" t="e">
        <f ca="1">SUMIF('Production '!$C$4:$AI$4407,'Tracking Sheet'!B621,'Production '!$Q$4:$Q$4407)</f>
        <v>#DIV/0!</v>
      </c>
      <c r="E621" s="76">
        <f ca="1">SUMIF('Production '!$C$4:$AI$4407,'Tracking Sheet'!B621,'Production '!$S$4:$S$4407)</f>
        <v>-1268218.9828305368</v>
      </c>
      <c r="F621" s="76">
        <f ca="1">SUMIF('Production '!$C$4:$AI$4407,'Tracking Sheet'!B621,'Production '!$U$4:$U$4407)</f>
        <v>-10620.435600016917</v>
      </c>
      <c r="G621" s="76" t="e">
        <f ca="1">SUMIF('Production '!$C$4:$AI$4407,'Tracking Sheet'!B621,'Production '!$W$4:$W$4407)</f>
        <v>#DIV/0!</v>
      </c>
      <c r="H621" s="76">
        <f ca="1">SUMIF('Production '!$C$4:$AI$4407,'Tracking Sheet'!B621,'Production '!$F$4:$F$4407)</f>
        <v>3230621.3283604058</v>
      </c>
      <c r="I621" s="76">
        <f ca="1">SUMIF('Production '!$C$4:$AI$4407,'Tracking Sheet'!B621,'Production '!$V$4:$V$4407)</f>
        <v>-489.86487791182844</v>
      </c>
      <c r="J621" s="76">
        <f ca="1">SUMIF('Production '!$C$4:$AI$4407,'Tracking Sheet'!B621,'Production '!$AG$4:$AG$4407)</f>
        <v>0</v>
      </c>
    </row>
    <row r="622" spans="2:10" x14ac:dyDescent="0.3">
      <c r="B622" s="277">
        <f>'Production '!C625</f>
        <v>48092</v>
      </c>
      <c r="C622" s="76">
        <f ca="1">SUMIF('Production '!$C$4:$AI$4407,'Tracking Sheet'!B622,'Production '!$M$4:$M$4407)</f>
        <v>0</v>
      </c>
      <c r="D622" s="76">
        <f ca="1">SUMIF('Production '!$C$4:$AI$4407,'Tracking Sheet'!B622,'Production '!$Q$4:$Q$4407)</f>
        <v>0</v>
      </c>
      <c r="E622" s="76">
        <f ca="1">SUMIF('Production '!$C$4:$AI$4407,'Tracking Sheet'!B622,'Production '!$S$4:$S$4407)</f>
        <v>0</v>
      </c>
      <c r="F622" s="76">
        <f ca="1">SUMIF('Production '!$C$4:$AI$4407,'Tracking Sheet'!B622,'Production '!$U$4:$U$4407)</f>
        <v>0</v>
      </c>
      <c r="G622" s="76">
        <f ca="1">SUMIF('Production '!$C$4:$AI$4407,'Tracking Sheet'!B622,'Production '!$W$4:$W$4407)</f>
        <v>0</v>
      </c>
      <c r="H622" s="76">
        <f ca="1">SUMIF('Production '!$C$4:$AI$4407,'Tracking Sheet'!B622,'Production '!$F$4:$F$4407)</f>
        <v>2550</v>
      </c>
      <c r="I622" s="76">
        <f ca="1">SUMIF('Production '!$C$4:$AI$4407,'Tracking Sheet'!B622,'Production '!$V$4:$V$4407)</f>
        <v>0</v>
      </c>
      <c r="J622" s="76">
        <f ca="1">SUMIF('Production '!$C$4:$AI$4407,'Tracking Sheet'!B622,'Production '!$AG$4:$AG$4407)</f>
        <v>-2550</v>
      </c>
    </row>
    <row r="623" spans="2:10" x14ac:dyDescent="0.3">
      <c r="B623" s="277">
        <f>'Production '!C626</f>
        <v>48092</v>
      </c>
      <c r="C623" s="76">
        <f ca="1">SUMIF('Production '!$C$4:$AI$4407,'Tracking Sheet'!B623,'Production '!$M$4:$M$4407)</f>
        <v>0</v>
      </c>
      <c r="D623" s="76">
        <f ca="1">SUMIF('Production '!$C$4:$AI$4407,'Tracking Sheet'!B623,'Production '!$Q$4:$Q$4407)</f>
        <v>0</v>
      </c>
      <c r="E623" s="76">
        <f ca="1">SUMIF('Production '!$C$4:$AI$4407,'Tracking Sheet'!B623,'Production '!$S$4:$S$4407)</f>
        <v>0</v>
      </c>
      <c r="F623" s="76">
        <f ca="1">SUMIF('Production '!$C$4:$AI$4407,'Tracking Sheet'!B623,'Production '!$U$4:$U$4407)</f>
        <v>0</v>
      </c>
      <c r="G623" s="76">
        <f ca="1">SUMIF('Production '!$C$4:$AI$4407,'Tracking Sheet'!B623,'Production '!$W$4:$W$4407)</f>
        <v>0</v>
      </c>
      <c r="H623" s="76">
        <f ca="1">SUMIF('Production '!$C$4:$AI$4407,'Tracking Sheet'!B623,'Production '!$F$4:$F$4407)</f>
        <v>2550</v>
      </c>
      <c r="I623" s="76">
        <f ca="1">SUMIF('Production '!$C$4:$AI$4407,'Tracking Sheet'!B623,'Production '!$V$4:$V$4407)</f>
        <v>0</v>
      </c>
      <c r="J623" s="76">
        <f ca="1">SUMIF('Production '!$C$4:$AI$4407,'Tracking Sheet'!B623,'Production '!$AG$4:$AG$4407)</f>
        <v>-2550</v>
      </c>
    </row>
    <row r="624" spans="2:10" x14ac:dyDescent="0.3">
      <c r="B624" s="277">
        <f>'Production '!C627</f>
        <v>0</v>
      </c>
      <c r="C624" s="76" t="e">
        <f ca="1">SUMIF('Production '!$C$4:$AI$4407,'Tracking Sheet'!B624,'Production '!$M$4:$M$4407)</f>
        <v>#DIV/0!</v>
      </c>
      <c r="D624" s="76" t="e">
        <f ca="1">SUMIF('Production '!$C$4:$AI$4407,'Tracking Sheet'!B624,'Production '!$Q$4:$Q$4407)</f>
        <v>#DIV/0!</v>
      </c>
      <c r="E624" s="76">
        <f ca="1">SUMIF('Production '!$C$4:$AI$4407,'Tracking Sheet'!B624,'Production '!$S$4:$S$4407)</f>
        <v>-1268218.9828305368</v>
      </c>
      <c r="F624" s="76">
        <f ca="1">SUMIF('Production '!$C$4:$AI$4407,'Tracking Sheet'!B624,'Production '!$U$4:$U$4407)</f>
        <v>-10620.435600016917</v>
      </c>
      <c r="G624" s="76" t="e">
        <f ca="1">SUMIF('Production '!$C$4:$AI$4407,'Tracking Sheet'!B624,'Production '!$W$4:$W$4407)</f>
        <v>#DIV/0!</v>
      </c>
      <c r="H624" s="76">
        <f ca="1">SUMIF('Production '!$C$4:$AI$4407,'Tracking Sheet'!B624,'Production '!$F$4:$F$4407)</f>
        <v>3230621.3283604058</v>
      </c>
      <c r="I624" s="76">
        <f ca="1">SUMIF('Production '!$C$4:$AI$4407,'Tracking Sheet'!B624,'Production '!$V$4:$V$4407)</f>
        <v>-489.86487791182844</v>
      </c>
      <c r="J624" s="76">
        <f ca="1">SUMIF('Production '!$C$4:$AI$4407,'Tracking Sheet'!B624,'Production '!$AG$4:$AG$4407)</f>
        <v>0</v>
      </c>
    </row>
    <row r="625" spans="2:10" x14ac:dyDescent="0.3">
      <c r="B625" s="277">
        <f>'Production '!C628</f>
        <v>47605</v>
      </c>
      <c r="C625" s="76">
        <f ca="1">SUMIF('Production '!$C$4:$AI$4407,'Tracking Sheet'!B625,'Production '!$M$4:$M$4407)</f>
        <v>2910</v>
      </c>
      <c r="D625" s="76">
        <f ca="1">SUMIF('Production '!$C$4:$AI$4407,'Tracking Sheet'!B625,'Production '!$Q$4:$Q$4407)</f>
        <v>2910</v>
      </c>
      <c r="E625" s="76">
        <f ca="1">SUMIF('Production '!$C$4:$AI$4407,'Tracking Sheet'!B625,'Production '!$S$4:$S$4407)</f>
        <v>2909</v>
      </c>
      <c r="F625" s="76">
        <f ca="1">SUMIF('Production '!$C$4:$AI$4407,'Tracking Sheet'!B625,'Production '!$U$4:$U$4407)</f>
        <v>7</v>
      </c>
      <c r="G625" s="76">
        <f ca="1">SUMIF('Production '!$C$4:$AI$4407,'Tracking Sheet'!B625,'Production '!$W$4:$W$4407)</f>
        <v>2902</v>
      </c>
      <c r="H625" s="76">
        <f ca="1">SUMIF('Production '!$C$4:$AI$4407,'Tracking Sheet'!B625,'Production '!$F$4:$F$4407)</f>
        <v>2817</v>
      </c>
      <c r="I625" s="76">
        <f ca="1">SUMIF('Production '!$C$4:$AI$4407,'Tracking Sheet'!B625,'Production '!$V$4:$V$4407)</f>
        <v>0</v>
      </c>
      <c r="J625" s="76">
        <f ca="1">SUMIF('Production '!$C$4:$AI$4407,'Tracking Sheet'!B625,'Production '!$AG$4:$AG$4407)</f>
        <v>0</v>
      </c>
    </row>
    <row r="626" spans="2:10" x14ac:dyDescent="0.3">
      <c r="B626" s="277">
        <f>'Production '!C629</f>
        <v>47605</v>
      </c>
      <c r="C626" s="76">
        <f ca="1">SUMIF('Production '!$C$4:$AI$4407,'Tracking Sheet'!B626,'Production '!$M$4:$M$4407)</f>
        <v>2910</v>
      </c>
      <c r="D626" s="76">
        <f ca="1">SUMIF('Production '!$C$4:$AI$4407,'Tracking Sheet'!B626,'Production '!$Q$4:$Q$4407)</f>
        <v>2910</v>
      </c>
      <c r="E626" s="76">
        <f ca="1">SUMIF('Production '!$C$4:$AI$4407,'Tracking Sheet'!B626,'Production '!$S$4:$S$4407)</f>
        <v>2909</v>
      </c>
      <c r="F626" s="76">
        <f ca="1">SUMIF('Production '!$C$4:$AI$4407,'Tracking Sheet'!B626,'Production '!$U$4:$U$4407)</f>
        <v>7</v>
      </c>
      <c r="G626" s="76">
        <f ca="1">SUMIF('Production '!$C$4:$AI$4407,'Tracking Sheet'!B626,'Production '!$W$4:$W$4407)</f>
        <v>2902</v>
      </c>
      <c r="H626" s="76">
        <f ca="1">SUMIF('Production '!$C$4:$AI$4407,'Tracking Sheet'!B626,'Production '!$F$4:$F$4407)</f>
        <v>2817</v>
      </c>
      <c r="I626" s="76">
        <f ca="1">SUMIF('Production '!$C$4:$AI$4407,'Tracking Sheet'!B626,'Production '!$V$4:$V$4407)</f>
        <v>0</v>
      </c>
      <c r="J626" s="76">
        <f ca="1">SUMIF('Production '!$C$4:$AI$4407,'Tracking Sheet'!B626,'Production '!$AG$4:$AG$4407)</f>
        <v>0</v>
      </c>
    </row>
    <row r="627" spans="2:10" x14ac:dyDescent="0.3">
      <c r="B627" s="277">
        <f>'Production '!C630</f>
        <v>0</v>
      </c>
      <c r="C627" s="76" t="e">
        <f ca="1">SUMIF('Production '!$C$4:$AI$4407,'Tracking Sheet'!B627,'Production '!$M$4:$M$4407)</f>
        <v>#DIV/0!</v>
      </c>
      <c r="D627" s="76" t="e">
        <f ca="1">SUMIF('Production '!$C$4:$AI$4407,'Tracking Sheet'!B627,'Production '!$Q$4:$Q$4407)</f>
        <v>#DIV/0!</v>
      </c>
      <c r="E627" s="76">
        <f ca="1">SUMIF('Production '!$C$4:$AI$4407,'Tracking Sheet'!B627,'Production '!$S$4:$S$4407)</f>
        <v>-1268218.9828305368</v>
      </c>
      <c r="F627" s="76">
        <f ca="1">SUMIF('Production '!$C$4:$AI$4407,'Tracking Sheet'!B627,'Production '!$U$4:$U$4407)</f>
        <v>-10620.435600016917</v>
      </c>
      <c r="G627" s="76" t="e">
        <f ca="1">SUMIF('Production '!$C$4:$AI$4407,'Tracking Sheet'!B627,'Production '!$W$4:$W$4407)</f>
        <v>#DIV/0!</v>
      </c>
      <c r="H627" s="76">
        <f ca="1">SUMIF('Production '!$C$4:$AI$4407,'Tracking Sheet'!B627,'Production '!$F$4:$F$4407)</f>
        <v>3230621.3283604058</v>
      </c>
      <c r="I627" s="76">
        <f ca="1">SUMIF('Production '!$C$4:$AI$4407,'Tracking Sheet'!B627,'Production '!$V$4:$V$4407)</f>
        <v>-489.86487791182844</v>
      </c>
      <c r="J627" s="76">
        <f ca="1">SUMIF('Production '!$C$4:$AI$4407,'Tracking Sheet'!B627,'Production '!$AG$4:$AG$4407)</f>
        <v>0</v>
      </c>
    </row>
    <row r="628" spans="2:10" x14ac:dyDescent="0.3">
      <c r="B628" s="277">
        <f>'Production '!C631</f>
        <v>48041</v>
      </c>
      <c r="C628" s="76">
        <f ca="1">SUMIF('Production '!$C$4:$AI$4407,'Tracking Sheet'!B628,'Production '!$M$4:$M$4407)</f>
        <v>5008</v>
      </c>
      <c r="D628" s="76">
        <f ca="1">SUMIF('Production '!$C$4:$AI$4407,'Tracking Sheet'!B628,'Production '!$Q$4:$Q$4407)</f>
        <v>5008</v>
      </c>
      <c r="E628" s="76">
        <f ca="1">SUMIF('Production '!$C$4:$AI$4407,'Tracking Sheet'!B628,'Production '!$S$4:$S$4407)</f>
        <v>5000</v>
      </c>
      <c r="F628" s="76">
        <f ca="1">SUMIF('Production '!$C$4:$AI$4407,'Tracking Sheet'!B628,'Production '!$U$4:$U$4407)</f>
        <v>1</v>
      </c>
      <c r="G628" s="76">
        <f ca="1">SUMIF('Production '!$C$4:$AI$4407,'Tracking Sheet'!B628,'Production '!$W$4:$W$4407)</f>
        <v>4999</v>
      </c>
      <c r="H628" s="76">
        <f ca="1">SUMIF('Production '!$C$4:$AI$4407,'Tracking Sheet'!B628,'Production '!$F$4:$F$4407)</f>
        <v>4881</v>
      </c>
      <c r="I628" s="76">
        <f ca="1">SUMIF('Production '!$C$4:$AI$4407,'Tracking Sheet'!B628,'Production '!$V$4:$V$4407)</f>
        <v>0</v>
      </c>
      <c r="J628" s="76">
        <f ca="1">SUMIF('Production '!$C$4:$AI$4407,'Tracking Sheet'!B628,'Production '!$AG$4:$AG$4407)</f>
        <v>0</v>
      </c>
    </row>
    <row r="629" spans="2:10" x14ac:dyDescent="0.3">
      <c r="B629" s="277">
        <f>'Production '!C632</f>
        <v>48041</v>
      </c>
      <c r="C629" s="76">
        <f ca="1">SUMIF('Production '!$C$4:$AI$4407,'Tracking Sheet'!B629,'Production '!$M$4:$M$4407)</f>
        <v>5008</v>
      </c>
      <c r="D629" s="76">
        <f ca="1">SUMIF('Production '!$C$4:$AI$4407,'Tracking Sheet'!B629,'Production '!$Q$4:$Q$4407)</f>
        <v>5008</v>
      </c>
      <c r="E629" s="76">
        <f ca="1">SUMIF('Production '!$C$4:$AI$4407,'Tracking Sheet'!B629,'Production '!$S$4:$S$4407)</f>
        <v>5000</v>
      </c>
      <c r="F629" s="76">
        <f ca="1">SUMIF('Production '!$C$4:$AI$4407,'Tracking Sheet'!B629,'Production '!$U$4:$U$4407)</f>
        <v>1</v>
      </c>
      <c r="G629" s="76">
        <f ca="1">SUMIF('Production '!$C$4:$AI$4407,'Tracking Sheet'!B629,'Production '!$W$4:$W$4407)</f>
        <v>4999</v>
      </c>
      <c r="H629" s="76">
        <f ca="1">SUMIF('Production '!$C$4:$AI$4407,'Tracking Sheet'!B629,'Production '!$F$4:$F$4407)</f>
        <v>4881</v>
      </c>
      <c r="I629" s="76">
        <f ca="1">SUMIF('Production '!$C$4:$AI$4407,'Tracking Sheet'!B629,'Production '!$V$4:$V$4407)</f>
        <v>0</v>
      </c>
      <c r="J629" s="76">
        <f ca="1">SUMIF('Production '!$C$4:$AI$4407,'Tracking Sheet'!B629,'Production '!$AG$4:$AG$4407)</f>
        <v>0</v>
      </c>
    </row>
    <row r="630" spans="2:10" x14ac:dyDescent="0.3">
      <c r="B630" s="277">
        <f>'Production '!C633</f>
        <v>48041</v>
      </c>
      <c r="C630" s="76">
        <f ca="1">SUMIF('Production '!$C$4:$AI$4407,'Tracking Sheet'!B630,'Production '!$M$4:$M$4407)</f>
        <v>5008</v>
      </c>
      <c r="D630" s="76">
        <f ca="1">SUMIF('Production '!$C$4:$AI$4407,'Tracking Sheet'!B630,'Production '!$Q$4:$Q$4407)</f>
        <v>5008</v>
      </c>
      <c r="E630" s="76">
        <f ca="1">SUMIF('Production '!$C$4:$AI$4407,'Tracking Sheet'!B630,'Production '!$S$4:$S$4407)</f>
        <v>5000</v>
      </c>
      <c r="F630" s="76">
        <f ca="1">SUMIF('Production '!$C$4:$AI$4407,'Tracking Sheet'!B630,'Production '!$U$4:$U$4407)</f>
        <v>1</v>
      </c>
      <c r="G630" s="76">
        <f ca="1">SUMIF('Production '!$C$4:$AI$4407,'Tracking Sheet'!B630,'Production '!$W$4:$W$4407)</f>
        <v>4999</v>
      </c>
      <c r="H630" s="76">
        <f ca="1">SUMIF('Production '!$C$4:$AI$4407,'Tracking Sheet'!B630,'Production '!$F$4:$F$4407)</f>
        <v>4881</v>
      </c>
      <c r="I630" s="76">
        <f ca="1">SUMIF('Production '!$C$4:$AI$4407,'Tracking Sheet'!B630,'Production '!$V$4:$V$4407)</f>
        <v>0</v>
      </c>
      <c r="J630" s="76">
        <f ca="1">SUMIF('Production '!$C$4:$AI$4407,'Tracking Sheet'!B630,'Production '!$AG$4:$AG$4407)</f>
        <v>0</v>
      </c>
    </row>
    <row r="631" spans="2:10" x14ac:dyDescent="0.3">
      <c r="B631" s="277">
        <f>'Production '!C634</f>
        <v>48041</v>
      </c>
      <c r="C631" s="76">
        <f ca="1">SUMIF('Production '!$C$4:$AI$4407,'Tracking Sheet'!B631,'Production '!$M$4:$M$4407)</f>
        <v>5008</v>
      </c>
      <c r="D631" s="76">
        <f ca="1">SUMIF('Production '!$C$4:$AI$4407,'Tracking Sheet'!B631,'Production '!$Q$4:$Q$4407)</f>
        <v>5008</v>
      </c>
      <c r="E631" s="76">
        <f ca="1">SUMIF('Production '!$C$4:$AI$4407,'Tracking Sheet'!B631,'Production '!$S$4:$S$4407)</f>
        <v>5000</v>
      </c>
      <c r="F631" s="76">
        <f ca="1">SUMIF('Production '!$C$4:$AI$4407,'Tracking Sheet'!B631,'Production '!$U$4:$U$4407)</f>
        <v>1</v>
      </c>
      <c r="G631" s="76">
        <f ca="1">SUMIF('Production '!$C$4:$AI$4407,'Tracking Sheet'!B631,'Production '!$W$4:$W$4407)</f>
        <v>4999</v>
      </c>
      <c r="H631" s="76">
        <f ca="1">SUMIF('Production '!$C$4:$AI$4407,'Tracking Sheet'!B631,'Production '!$F$4:$F$4407)</f>
        <v>4881</v>
      </c>
      <c r="I631" s="76">
        <f ca="1">SUMIF('Production '!$C$4:$AI$4407,'Tracking Sheet'!B631,'Production '!$V$4:$V$4407)</f>
        <v>0</v>
      </c>
      <c r="J631" s="76">
        <f ca="1">SUMIF('Production '!$C$4:$AI$4407,'Tracking Sheet'!B631,'Production '!$AG$4:$AG$4407)</f>
        <v>0</v>
      </c>
    </row>
    <row r="632" spans="2:10" x14ac:dyDescent="0.3">
      <c r="B632" s="277">
        <f>'Production '!C635</f>
        <v>0</v>
      </c>
      <c r="C632" s="76" t="e">
        <f ca="1">SUMIF('Production '!$C$4:$AI$4407,'Tracking Sheet'!B632,'Production '!$M$4:$M$4407)</f>
        <v>#DIV/0!</v>
      </c>
      <c r="D632" s="76" t="e">
        <f ca="1">SUMIF('Production '!$C$4:$AI$4407,'Tracking Sheet'!B632,'Production '!$Q$4:$Q$4407)</f>
        <v>#DIV/0!</v>
      </c>
      <c r="E632" s="76">
        <f ca="1">SUMIF('Production '!$C$4:$AI$4407,'Tracking Sheet'!B632,'Production '!$S$4:$S$4407)</f>
        <v>-1268218.9828305368</v>
      </c>
      <c r="F632" s="76">
        <f ca="1">SUMIF('Production '!$C$4:$AI$4407,'Tracking Sheet'!B632,'Production '!$U$4:$U$4407)</f>
        <v>-10620.435600016917</v>
      </c>
      <c r="G632" s="76" t="e">
        <f ca="1">SUMIF('Production '!$C$4:$AI$4407,'Tracking Sheet'!B632,'Production '!$W$4:$W$4407)</f>
        <v>#DIV/0!</v>
      </c>
      <c r="H632" s="76">
        <f ca="1">SUMIF('Production '!$C$4:$AI$4407,'Tracking Sheet'!B632,'Production '!$F$4:$F$4407)</f>
        <v>3230621.3283604058</v>
      </c>
      <c r="I632" s="76">
        <f ca="1">SUMIF('Production '!$C$4:$AI$4407,'Tracking Sheet'!B632,'Production '!$V$4:$V$4407)</f>
        <v>-489.86487791182844</v>
      </c>
      <c r="J632" s="76">
        <f ca="1">SUMIF('Production '!$C$4:$AI$4407,'Tracking Sheet'!B632,'Production '!$AG$4:$AG$4407)</f>
        <v>0</v>
      </c>
    </row>
    <row r="633" spans="2:10" x14ac:dyDescent="0.3">
      <c r="B633" s="277">
        <f>'Production '!C636</f>
        <v>48047</v>
      </c>
      <c r="C633" s="76">
        <f ca="1">SUMIF('Production '!$C$4:$AI$4407,'Tracking Sheet'!B633,'Production '!$M$4:$M$4407)</f>
        <v>4039</v>
      </c>
      <c r="D633" s="76">
        <f ca="1">SUMIF('Production '!$C$4:$AI$4407,'Tracking Sheet'!B633,'Production '!$Q$4:$Q$4407)</f>
        <v>4039</v>
      </c>
      <c r="E633" s="76">
        <f ca="1">SUMIF('Production '!$C$4:$AI$4407,'Tracking Sheet'!B633,'Production '!$S$4:$S$4407)</f>
        <v>4030</v>
      </c>
      <c r="F633" s="76">
        <f ca="1">SUMIF('Production '!$C$4:$AI$4407,'Tracking Sheet'!B633,'Production '!$U$4:$U$4407)</f>
        <v>6</v>
      </c>
      <c r="G633" s="76">
        <f ca="1">SUMIF('Production '!$C$4:$AI$4407,'Tracking Sheet'!B633,'Production '!$W$4:$W$4407)</f>
        <v>4024</v>
      </c>
      <c r="H633" s="76">
        <f ca="1">SUMIF('Production '!$C$4:$AI$4407,'Tracking Sheet'!B633,'Production '!$F$4:$F$4407)</f>
        <v>3956</v>
      </c>
      <c r="I633" s="76">
        <f ca="1">SUMIF('Production '!$C$4:$AI$4407,'Tracking Sheet'!B633,'Production '!$V$4:$V$4407)</f>
        <v>0</v>
      </c>
      <c r="J633" s="76">
        <f ca="1">SUMIF('Production '!$C$4:$AI$4407,'Tracking Sheet'!B633,'Production '!$AG$4:$AG$4407)</f>
        <v>0</v>
      </c>
    </row>
    <row r="634" spans="2:10" x14ac:dyDescent="0.3">
      <c r="B634" s="277">
        <f>'Production '!C637</f>
        <v>48047</v>
      </c>
      <c r="C634" s="76">
        <f ca="1">SUMIF('Production '!$C$4:$AI$4407,'Tracking Sheet'!B634,'Production '!$M$4:$M$4407)</f>
        <v>4039</v>
      </c>
      <c r="D634" s="76">
        <f ca="1">SUMIF('Production '!$C$4:$AI$4407,'Tracking Sheet'!B634,'Production '!$Q$4:$Q$4407)</f>
        <v>4039</v>
      </c>
      <c r="E634" s="76">
        <f ca="1">SUMIF('Production '!$C$4:$AI$4407,'Tracking Sheet'!B634,'Production '!$S$4:$S$4407)</f>
        <v>4030</v>
      </c>
      <c r="F634" s="76">
        <f ca="1">SUMIF('Production '!$C$4:$AI$4407,'Tracking Sheet'!B634,'Production '!$U$4:$U$4407)</f>
        <v>6</v>
      </c>
      <c r="G634" s="76">
        <f ca="1">SUMIF('Production '!$C$4:$AI$4407,'Tracking Sheet'!B634,'Production '!$W$4:$W$4407)</f>
        <v>4024</v>
      </c>
      <c r="H634" s="76">
        <f ca="1">SUMIF('Production '!$C$4:$AI$4407,'Tracking Sheet'!B634,'Production '!$F$4:$F$4407)</f>
        <v>3956</v>
      </c>
      <c r="I634" s="76">
        <f ca="1">SUMIF('Production '!$C$4:$AI$4407,'Tracking Sheet'!B634,'Production '!$V$4:$V$4407)</f>
        <v>0</v>
      </c>
      <c r="J634" s="76">
        <f ca="1">SUMIF('Production '!$C$4:$AI$4407,'Tracking Sheet'!B634,'Production '!$AG$4:$AG$4407)</f>
        <v>0</v>
      </c>
    </row>
    <row r="635" spans="2:10" x14ac:dyDescent="0.3">
      <c r="B635" s="277">
        <f>'Production '!C638</f>
        <v>0</v>
      </c>
      <c r="C635" s="76" t="e">
        <f ca="1">SUMIF('Production '!$C$4:$AI$4407,'Tracking Sheet'!B635,'Production '!$M$4:$M$4407)</f>
        <v>#DIV/0!</v>
      </c>
      <c r="D635" s="76" t="e">
        <f ca="1">SUMIF('Production '!$C$4:$AI$4407,'Tracking Sheet'!B635,'Production '!$Q$4:$Q$4407)</f>
        <v>#DIV/0!</v>
      </c>
      <c r="E635" s="76">
        <f ca="1">SUMIF('Production '!$C$4:$AI$4407,'Tracking Sheet'!B635,'Production '!$S$4:$S$4407)</f>
        <v>-1268218.9828305368</v>
      </c>
      <c r="F635" s="76">
        <f ca="1">SUMIF('Production '!$C$4:$AI$4407,'Tracking Sheet'!B635,'Production '!$U$4:$U$4407)</f>
        <v>-10620.435600016917</v>
      </c>
      <c r="G635" s="76" t="e">
        <f ca="1">SUMIF('Production '!$C$4:$AI$4407,'Tracking Sheet'!B635,'Production '!$W$4:$W$4407)</f>
        <v>#DIV/0!</v>
      </c>
      <c r="H635" s="76">
        <f ca="1">SUMIF('Production '!$C$4:$AI$4407,'Tracking Sheet'!B635,'Production '!$F$4:$F$4407)</f>
        <v>3230621.3283604058</v>
      </c>
      <c r="I635" s="76">
        <f ca="1">SUMIF('Production '!$C$4:$AI$4407,'Tracking Sheet'!B635,'Production '!$V$4:$V$4407)</f>
        <v>-489.86487791182844</v>
      </c>
      <c r="J635" s="76">
        <f ca="1">SUMIF('Production '!$C$4:$AI$4407,'Tracking Sheet'!B635,'Production '!$AG$4:$AG$4407)</f>
        <v>0</v>
      </c>
    </row>
    <row r="636" spans="2:10" x14ac:dyDescent="0.3">
      <c r="B636" s="277">
        <f>'Production '!C639</f>
        <v>48098</v>
      </c>
      <c r="C636" s="76">
        <f ca="1">SUMIF('Production '!$C$4:$AI$4407,'Tracking Sheet'!B636,'Production '!$M$4:$M$4407)</f>
        <v>0</v>
      </c>
      <c r="D636" s="76">
        <f ca="1">SUMIF('Production '!$C$4:$AI$4407,'Tracking Sheet'!B636,'Production '!$Q$4:$Q$4407)</f>
        <v>0</v>
      </c>
      <c r="E636" s="76">
        <f ca="1">SUMIF('Production '!$C$4:$AI$4407,'Tracking Sheet'!B636,'Production '!$S$4:$S$4407)</f>
        <v>0</v>
      </c>
      <c r="F636" s="76">
        <f ca="1">SUMIF('Production '!$C$4:$AI$4407,'Tracking Sheet'!B636,'Production '!$U$4:$U$4407)</f>
        <v>0</v>
      </c>
      <c r="G636" s="76">
        <f ca="1">SUMIF('Production '!$C$4:$AI$4407,'Tracking Sheet'!B636,'Production '!$W$4:$W$4407)</f>
        <v>0</v>
      </c>
      <c r="H636" s="76">
        <f ca="1">SUMIF('Production '!$C$4:$AI$4407,'Tracking Sheet'!B636,'Production '!$F$4:$F$4407)</f>
        <v>4428</v>
      </c>
      <c r="I636" s="76">
        <f ca="1">SUMIF('Production '!$C$4:$AI$4407,'Tracking Sheet'!B636,'Production '!$V$4:$V$4407)</f>
        <v>0</v>
      </c>
      <c r="J636" s="76">
        <f ca="1">SUMIF('Production '!$C$4:$AI$4407,'Tracking Sheet'!B636,'Production '!$AG$4:$AG$4407)</f>
        <v>-4428</v>
      </c>
    </row>
    <row r="637" spans="2:10" x14ac:dyDescent="0.3">
      <c r="B637" s="277">
        <f>'Production '!C640</f>
        <v>48098</v>
      </c>
      <c r="C637" s="76">
        <f ca="1">SUMIF('Production '!$C$4:$AI$4407,'Tracking Sheet'!B637,'Production '!$M$4:$M$4407)</f>
        <v>0</v>
      </c>
      <c r="D637" s="76">
        <f ca="1">SUMIF('Production '!$C$4:$AI$4407,'Tracking Sheet'!B637,'Production '!$Q$4:$Q$4407)</f>
        <v>0</v>
      </c>
      <c r="E637" s="76">
        <f ca="1">SUMIF('Production '!$C$4:$AI$4407,'Tracking Sheet'!B637,'Production '!$S$4:$S$4407)</f>
        <v>0</v>
      </c>
      <c r="F637" s="76">
        <f ca="1">SUMIF('Production '!$C$4:$AI$4407,'Tracking Sheet'!B637,'Production '!$U$4:$U$4407)</f>
        <v>0</v>
      </c>
      <c r="G637" s="76">
        <f ca="1">SUMIF('Production '!$C$4:$AI$4407,'Tracking Sheet'!B637,'Production '!$W$4:$W$4407)</f>
        <v>0</v>
      </c>
      <c r="H637" s="76">
        <f ca="1">SUMIF('Production '!$C$4:$AI$4407,'Tracking Sheet'!B637,'Production '!$F$4:$F$4407)</f>
        <v>4428</v>
      </c>
      <c r="I637" s="76">
        <f ca="1">SUMIF('Production '!$C$4:$AI$4407,'Tracking Sheet'!B637,'Production '!$V$4:$V$4407)</f>
        <v>0</v>
      </c>
      <c r="J637" s="76">
        <f ca="1">SUMIF('Production '!$C$4:$AI$4407,'Tracking Sheet'!B637,'Production '!$AG$4:$AG$4407)</f>
        <v>-4428</v>
      </c>
    </row>
    <row r="638" spans="2:10" x14ac:dyDescent="0.3">
      <c r="B638" s="277">
        <f>'Production '!C641</f>
        <v>0</v>
      </c>
      <c r="C638" s="76" t="e">
        <f ca="1">SUMIF('Production '!$C$4:$AI$4407,'Tracking Sheet'!B638,'Production '!$M$4:$M$4407)</f>
        <v>#DIV/0!</v>
      </c>
      <c r="D638" s="76" t="e">
        <f ca="1">SUMIF('Production '!$C$4:$AI$4407,'Tracking Sheet'!B638,'Production '!$Q$4:$Q$4407)</f>
        <v>#DIV/0!</v>
      </c>
      <c r="E638" s="76">
        <f ca="1">SUMIF('Production '!$C$4:$AI$4407,'Tracking Sheet'!B638,'Production '!$S$4:$S$4407)</f>
        <v>-1268218.9828305368</v>
      </c>
      <c r="F638" s="76">
        <f ca="1">SUMIF('Production '!$C$4:$AI$4407,'Tracking Sheet'!B638,'Production '!$U$4:$U$4407)</f>
        <v>-10620.435600016917</v>
      </c>
      <c r="G638" s="76" t="e">
        <f ca="1">SUMIF('Production '!$C$4:$AI$4407,'Tracking Sheet'!B638,'Production '!$W$4:$W$4407)</f>
        <v>#DIV/0!</v>
      </c>
      <c r="H638" s="76">
        <f ca="1">SUMIF('Production '!$C$4:$AI$4407,'Tracking Sheet'!B638,'Production '!$F$4:$F$4407)</f>
        <v>3230621.3283604058</v>
      </c>
      <c r="I638" s="76">
        <f ca="1">SUMIF('Production '!$C$4:$AI$4407,'Tracking Sheet'!B638,'Production '!$V$4:$V$4407)</f>
        <v>-489.86487791182844</v>
      </c>
      <c r="J638" s="76">
        <f ca="1">SUMIF('Production '!$C$4:$AI$4407,'Tracking Sheet'!B638,'Production '!$AG$4:$AG$4407)</f>
        <v>0</v>
      </c>
    </row>
    <row r="639" spans="2:10" x14ac:dyDescent="0.3">
      <c r="B639" s="277">
        <f>'Production '!C642</f>
        <v>48095</v>
      </c>
      <c r="C639" s="76">
        <f ca="1">SUMIF('Production '!$C$4:$AI$4407,'Tracking Sheet'!B639,'Production '!$M$4:$M$4407)</f>
        <v>0</v>
      </c>
      <c r="D639" s="76">
        <f ca="1">SUMIF('Production '!$C$4:$AI$4407,'Tracking Sheet'!B639,'Production '!$Q$4:$Q$4407)</f>
        <v>0</v>
      </c>
      <c r="E639" s="76">
        <f ca="1">SUMIF('Production '!$C$4:$AI$4407,'Tracking Sheet'!B639,'Production '!$S$4:$S$4407)</f>
        <v>0</v>
      </c>
      <c r="F639" s="76">
        <f ca="1">SUMIF('Production '!$C$4:$AI$4407,'Tracking Sheet'!B639,'Production '!$U$4:$U$4407)</f>
        <v>0</v>
      </c>
      <c r="G639" s="76">
        <f ca="1">SUMIF('Production '!$C$4:$AI$4407,'Tracking Sheet'!B639,'Production '!$W$4:$W$4407)</f>
        <v>0</v>
      </c>
      <c r="H639" s="76">
        <f ca="1">SUMIF('Production '!$C$4:$AI$4407,'Tracking Sheet'!B639,'Production '!$F$4:$F$4407)</f>
        <v>2952</v>
      </c>
      <c r="I639" s="76">
        <f ca="1">SUMIF('Production '!$C$4:$AI$4407,'Tracking Sheet'!B639,'Production '!$V$4:$V$4407)</f>
        <v>0</v>
      </c>
      <c r="J639" s="76">
        <f ca="1">SUMIF('Production '!$C$4:$AI$4407,'Tracking Sheet'!B639,'Production '!$AG$4:$AG$4407)</f>
        <v>-2952</v>
      </c>
    </row>
    <row r="640" spans="2:10" x14ac:dyDescent="0.3">
      <c r="B640" s="277">
        <f>'Production '!C643</f>
        <v>48095</v>
      </c>
      <c r="C640" s="76">
        <f ca="1">SUMIF('Production '!$C$4:$AI$4407,'Tracking Sheet'!B640,'Production '!$M$4:$M$4407)</f>
        <v>0</v>
      </c>
      <c r="D640" s="76">
        <f ca="1">SUMIF('Production '!$C$4:$AI$4407,'Tracking Sheet'!B640,'Production '!$Q$4:$Q$4407)</f>
        <v>0</v>
      </c>
      <c r="E640" s="76">
        <f ca="1">SUMIF('Production '!$C$4:$AI$4407,'Tracking Sheet'!B640,'Production '!$S$4:$S$4407)</f>
        <v>0</v>
      </c>
      <c r="F640" s="76">
        <f ca="1">SUMIF('Production '!$C$4:$AI$4407,'Tracking Sheet'!B640,'Production '!$U$4:$U$4407)</f>
        <v>0</v>
      </c>
      <c r="G640" s="76">
        <f ca="1">SUMIF('Production '!$C$4:$AI$4407,'Tracking Sheet'!B640,'Production '!$W$4:$W$4407)</f>
        <v>0</v>
      </c>
      <c r="H640" s="76">
        <f ca="1">SUMIF('Production '!$C$4:$AI$4407,'Tracking Sheet'!B640,'Production '!$F$4:$F$4407)</f>
        <v>2952</v>
      </c>
      <c r="I640" s="76">
        <f ca="1">SUMIF('Production '!$C$4:$AI$4407,'Tracking Sheet'!B640,'Production '!$V$4:$V$4407)</f>
        <v>0</v>
      </c>
      <c r="J640" s="76">
        <f ca="1">SUMIF('Production '!$C$4:$AI$4407,'Tracking Sheet'!B640,'Production '!$AG$4:$AG$4407)</f>
        <v>-2952</v>
      </c>
    </row>
    <row r="641" spans="2:10" x14ac:dyDescent="0.3">
      <c r="B641" s="277">
        <f>'Production '!C644</f>
        <v>0</v>
      </c>
      <c r="C641" s="76" t="e">
        <f ca="1">SUMIF('Production '!$C$4:$AI$4407,'Tracking Sheet'!B641,'Production '!$M$4:$M$4407)</f>
        <v>#DIV/0!</v>
      </c>
      <c r="D641" s="76" t="e">
        <f ca="1">SUMIF('Production '!$C$4:$AI$4407,'Tracking Sheet'!B641,'Production '!$Q$4:$Q$4407)</f>
        <v>#DIV/0!</v>
      </c>
      <c r="E641" s="76">
        <f ca="1">SUMIF('Production '!$C$4:$AI$4407,'Tracking Sheet'!B641,'Production '!$S$4:$S$4407)</f>
        <v>-1268218.9828305368</v>
      </c>
      <c r="F641" s="76">
        <f ca="1">SUMIF('Production '!$C$4:$AI$4407,'Tracking Sheet'!B641,'Production '!$U$4:$U$4407)</f>
        <v>-10620.435600016917</v>
      </c>
      <c r="G641" s="76" t="e">
        <f ca="1">SUMIF('Production '!$C$4:$AI$4407,'Tracking Sheet'!B641,'Production '!$W$4:$W$4407)</f>
        <v>#DIV/0!</v>
      </c>
      <c r="H641" s="76">
        <f ca="1">SUMIF('Production '!$C$4:$AI$4407,'Tracking Sheet'!B641,'Production '!$F$4:$F$4407)</f>
        <v>3230621.3283604058</v>
      </c>
      <c r="I641" s="76">
        <f ca="1">SUMIF('Production '!$C$4:$AI$4407,'Tracking Sheet'!B641,'Production '!$V$4:$V$4407)</f>
        <v>-489.86487791182844</v>
      </c>
      <c r="J641" s="76">
        <f ca="1">SUMIF('Production '!$C$4:$AI$4407,'Tracking Sheet'!B641,'Production '!$AG$4:$AG$4407)</f>
        <v>0</v>
      </c>
    </row>
    <row r="642" spans="2:10" x14ac:dyDescent="0.3">
      <c r="B642" s="277">
        <f>'Production '!C645</f>
        <v>48094</v>
      </c>
      <c r="C642" s="76">
        <f ca="1">SUMIF('Production '!$C$4:$AI$4407,'Tracking Sheet'!B642,'Production '!$M$4:$M$4407)</f>
        <v>0</v>
      </c>
      <c r="D642" s="76">
        <f ca="1">SUMIF('Production '!$C$4:$AI$4407,'Tracking Sheet'!B642,'Production '!$Q$4:$Q$4407)</f>
        <v>0</v>
      </c>
      <c r="E642" s="76">
        <f ca="1">SUMIF('Production '!$C$4:$AI$4407,'Tracking Sheet'!B642,'Production '!$S$4:$S$4407)</f>
        <v>0</v>
      </c>
      <c r="F642" s="76">
        <f ca="1">SUMIF('Production '!$C$4:$AI$4407,'Tracking Sheet'!B642,'Production '!$U$4:$U$4407)</f>
        <v>0</v>
      </c>
      <c r="G642" s="76">
        <f ca="1">SUMIF('Production '!$C$4:$AI$4407,'Tracking Sheet'!B642,'Production '!$W$4:$W$4407)</f>
        <v>0</v>
      </c>
      <c r="H642" s="76">
        <f ca="1">SUMIF('Production '!$C$4:$AI$4407,'Tracking Sheet'!B642,'Production '!$F$4:$F$4407)</f>
        <v>6158</v>
      </c>
      <c r="I642" s="76">
        <f ca="1">SUMIF('Production '!$C$4:$AI$4407,'Tracking Sheet'!B642,'Production '!$V$4:$V$4407)</f>
        <v>0</v>
      </c>
      <c r="J642" s="76">
        <f ca="1">SUMIF('Production '!$C$4:$AI$4407,'Tracking Sheet'!B642,'Production '!$AG$4:$AG$4407)</f>
        <v>-6158</v>
      </c>
    </row>
    <row r="643" spans="2:10" x14ac:dyDescent="0.3">
      <c r="B643" s="277">
        <f>'Production '!C646</f>
        <v>48094</v>
      </c>
      <c r="C643" s="76">
        <f ca="1">SUMIF('Production '!$C$4:$AI$4407,'Tracking Sheet'!B643,'Production '!$M$4:$M$4407)</f>
        <v>0</v>
      </c>
      <c r="D643" s="76">
        <f ca="1">SUMIF('Production '!$C$4:$AI$4407,'Tracking Sheet'!B643,'Production '!$Q$4:$Q$4407)</f>
        <v>0</v>
      </c>
      <c r="E643" s="76">
        <f ca="1">SUMIF('Production '!$C$4:$AI$4407,'Tracking Sheet'!B643,'Production '!$S$4:$S$4407)</f>
        <v>0</v>
      </c>
      <c r="F643" s="76">
        <f ca="1">SUMIF('Production '!$C$4:$AI$4407,'Tracking Sheet'!B643,'Production '!$U$4:$U$4407)</f>
        <v>0</v>
      </c>
      <c r="G643" s="76">
        <f ca="1">SUMIF('Production '!$C$4:$AI$4407,'Tracking Sheet'!B643,'Production '!$W$4:$W$4407)</f>
        <v>0</v>
      </c>
      <c r="H643" s="76">
        <f ca="1">SUMIF('Production '!$C$4:$AI$4407,'Tracking Sheet'!B643,'Production '!$F$4:$F$4407)</f>
        <v>6158</v>
      </c>
      <c r="I643" s="76">
        <f ca="1">SUMIF('Production '!$C$4:$AI$4407,'Tracking Sheet'!B643,'Production '!$V$4:$V$4407)</f>
        <v>0</v>
      </c>
      <c r="J643" s="76">
        <f ca="1">SUMIF('Production '!$C$4:$AI$4407,'Tracking Sheet'!B643,'Production '!$AG$4:$AG$4407)</f>
        <v>-6158</v>
      </c>
    </row>
    <row r="644" spans="2:10" x14ac:dyDescent="0.3">
      <c r="B644" s="277">
        <f>'Production '!C647</f>
        <v>48094</v>
      </c>
      <c r="C644" s="76">
        <f ca="1">SUMIF('Production '!$C$4:$AI$4407,'Tracking Sheet'!B644,'Production '!$M$4:$M$4407)</f>
        <v>0</v>
      </c>
      <c r="D644" s="76">
        <f ca="1">SUMIF('Production '!$C$4:$AI$4407,'Tracking Sheet'!B644,'Production '!$Q$4:$Q$4407)</f>
        <v>0</v>
      </c>
      <c r="E644" s="76">
        <f ca="1">SUMIF('Production '!$C$4:$AI$4407,'Tracking Sheet'!B644,'Production '!$S$4:$S$4407)</f>
        <v>0</v>
      </c>
      <c r="F644" s="76">
        <f ca="1">SUMIF('Production '!$C$4:$AI$4407,'Tracking Sheet'!B644,'Production '!$U$4:$U$4407)</f>
        <v>0</v>
      </c>
      <c r="G644" s="76">
        <f ca="1">SUMIF('Production '!$C$4:$AI$4407,'Tracking Sheet'!B644,'Production '!$W$4:$W$4407)</f>
        <v>0</v>
      </c>
      <c r="H644" s="76">
        <f ca="1">SUMIF('Production '!$C$4:$AI$4407,'Tracking Sheet'!B644,'Production '!$F$4:$F$4407)</f>
        <v>6158</v>
      </c>
      <c r="I644" s="76">
        <f ca="1">SUMIF('Production '!$C$4:$AI$4407,'Tracking Sheet'!B644,'Production '!$V$4:$V$4407)</f>
        <v>0</v>
      </c>
      <c r="J644" s="76">
        <f ca="1">SUMIF('Production '!$C$4:$AI$4407,'Tracking Sheet'!B644,'Production '!$AG$4:$AG$4407)</f>
        <v>-6158</v>
      </c>
    </row>
    <row r="645" spans="2:10" x14ac:dyDescent="0.3">
      <c r="B645" s="277">
        <f>'Production '!C648</f>
        <v>0</v>
      </c>
      <c r="C645" s="76" t="e">
        <f ca="1">SUMIF('Production '!$C$4:$AI$4407,'Tracking Sheet'!B645,'Production '!$M$4:$M$4407)</f>
        <v>#DIV/0!</v>
      </c>
      <c r="D645" s="76" t="e">
        <f ca="1">SUMIF('Production '!$C$4:$AI$4407,'Tracking Sheet'!B645,'Production '!$Q$4:$Q$4407)</f>
        <v>#DIV/0!</v>
      </c>
      <c r="E645" s="76">
        <f ca="1">SUMIF('Production '!$C$4:$AI$4407,'Tracking Sheet'!B645,'Production '!$S$4:$S$4407)</f>
        <v>-1268218.9828305368</v>
      </c>
      <c r="F645" s="76">
        <f ca="1">SUMIF('Production '!$C$4:$AI$4407,'Tracking Sheet'!B645,'Production '!$U$4:$U$4407)</f>
        <v>-10620.435600016917</v>
      </c>
      <c r="G645" s="76" t="e">
        <f ca="1">SUMIF('Production '!$C$4:$AI$4407,'Tracking Sheet'!B645,'Production '!$W$4:$W$4407)</f>
        <v>#DIV/0!</v>
      </c>
      <c r="H645" s="76">
        <f ca="1">SUMIF('Production '!$C$4:$AI$4407,'Tracking Sheet'!B645,'Production '!$F$4:$F$4407)</f>
        <v>3230621.3283604058</v>
      </c>
      <c r="I645" s="76">
        <f ca="1">SUMIF('Production '!$C$4:$AI$4407,'Tracking Sheet'!B645,'Production '!$V$4:$V$4407)</f>
        <v>-489.86487791182844</v>
      </c>
      <c r="J645" s="76">
        <f ca="1">SUMIF('Production '!$C$4:$AI$4407,'Tracking Sheet'!B645,'Production '!$AG$4:$AG$4407)</f>
        <v>0</v>
      </c>
    </row>
    <row r="646" spans="2:10" x14ac:dyDescent="0.3">
      <c r="B646" s="277">
        <f>'Production '!C649</f>
        <v>48091</v>
      </c>
      <c r="C646" s="76">
        <f ca="1">SUMIF('Production '!$C$4:$AI$4407,'Tracking Sheet'!B646,'Production '!$M$4:$M$4407)</f>
        <v>0</v>
      </c>
      <c r="D646" s="76">
        <f ca="1">SUMIF('Production '!$C$4:$AI$4407,'Tracking Sheet'!B646,'Production '!$Q$4:$Q$4407)</f>
        <v>0</v>
      </c>
      <c r="E646" s="76">
        <f ca="1">SUMIF('Production '!$C$4:$AI$4407,'Tracking Sheet'!B646,'Production '!$S$4:$S$4407)</f>
        <v>0</v>
      </c>
      <c r="F646" s="76">
        <f ca="1">SUMIF('Production '!$C$4:$AI$4407,'Tracking Sheet'!B646,'Production '!$U$4:$U$4407)</f>
        <v>0</v>
      </c>
      <c r="G646" s="76">
        <f ca="1">SUMIF('Production '!$C$4:$AI$4407,'Tracking Sheet'!B646,'Production '!$W$4:$W$4407)</f>
        <v>0</v>
      </c>
      <c r="H646" s="76">
        <f ca="1">SUMIF('Production '!$C$4:$AI$4407,'Tracking Sheet'!B646,'Production '!$F$4:$F$4407)</f>
        <v>2272</v>
      </c>
      <c r="I646" s="76">
        <f ca="1">SUMIF('Production '!$C$4:$AI$4407,'Tracking Sheet'!B646,'Production '!$V$4:$V$4407)</f>
        <v>0</v>
      </c>
      <c r="J646" s="76">
        <f ca="1">SUMIF('Production '!$C$4:$AI$4407,'Tracking Sheet'!B646,'Production '!$AG$4:$AG$4407)</f>
        <v>-2272</v>
      </c>
    </row>
    <row r="647" spans="2:10" x14ac:dyDescent="0.3">
      <c r="B647" s="277">
        <f>'Production '!C650</f>
        <v>48091</v>
      </c>
      <c r="C647" s="76">
        <f ca="1">SUMIF('Production '!$C$4:$AI$4407,'Tracking Sheet'!B647,'Production '!$M$4:$M$4407)</f>
        <v>0</v>
      </c>
      <c r="D647" s="76">
        <f ca="1">SUMIF('Production '!$C$4:$AI$4407,'Tracking Sheet'!B647,'Production '!$Q$4:$Q$4407)</f>
        <v>0</v>
      </c>
      <c r="E647" s="76">
        <f ca="1">SUMIF('Production '!$C$4:$AI$4407,'Tracking Sheet'!B647,'Production '!$S$4:$S$4407)</f>
        <v>0</v>
      </c>
      <c r="F647" s="76">
        <f ca="1">SUMIF('Production '!$C$4:$AI$4407,'Tracking Sheet'!B647,'Production '!$U$4:$U$4407)</f>
        <v>0</v>
      </c>
      <c r="G647" s="76">
        <f ca="1">SUMIF('Production '!$C$4:$AI$4407,'Tracking Sheet'!B647,'Production '!$W$4:$W$4407)</f>
        <v>0</v>
      </c>
      <c r="H647" s="76">
        <f ca="1">SUMIF('Production '!$C$4:$AI$4407,'Tracking Sheet'!B647,'Production '!$F$4:$F$4407)</f>
        <v>2272</v>
      </c>
      <c r="I647" s="76">
        <f ca="1">SUMIF('Production '!$C$4:$AI$4407,'Tracking Sheet'!B647,'Production '!$V$4:$V$4407)</f>
        <v>0</v>
      </c>
      <c r="J647" s="76">
        <f ca="1">SUMIF('Production '!$C$4:$AI$4407,'Tracking Sheet'!B647,'Production '!$AG$4:$AG$4407)</f>
        <v>-2272</v>
      </c>
    </row>
    <row r="648" spans="2:10" x14ac:dyDescent="0.3">
      <c r="B648" s="277">
        <f>'Production '!C651</f>
        <v>0</v>
      </c>
      <c r="C648" s="76" t="e">
        <f ca="1">SUMIF('Production '!$C$4:$AI$4407,'Tracking Sheet'!B648,'Production '!$M$4:$M$4407)</f>
        <v>#DIV/0!</v>
      </c>
      <c r="D648" s="76" t="e">
        <f ca="1">SUMIF('Production '!$C$4:$AI$4407,'Tracking Sheet'!B648,'Production '!$Q$4:$Q$4407)</f>
        <v>#DIV/0!</v>
      </c>
      <c r="E648" s="76">
        <f ca="1">SUMIF('Production '!$C$4:$AI$4407,'Tracking Sheet'!B648,'Production '!$S$4:$S$4407)</f>
        <v>-1268218.9828305368</v>
      </c>
      <c r="F648" s="76">
        <f ca="1">SUMIF('Production '!$C$4:$AI$4407,'Tracking Sheet'!B648,'Production '!$U$4:$U$4407)</f>
        <v>-10620.435600016917</v>
      </c>
      <c r="G648" s="76" t="e">
        <f ca="1">SUMIF('Production '!$C$4:$AI$4407,'Tracking Sheet'!B648,'Production '!$W$4:$W$4407)</f>
        <v>#DIV/0!</v>
      </c>
      <c r="H648" s="76">
        <f ca="1">SUMIF('Production '!$C$4:$AI$4407,'Tracking Sheet'!B648,'Production '!$F$4:$F$4407)</f>
        <v>3230621.3283604058</v>
      </c>
      <c r="I648" s="76">
        <f ca="1">SUMIF('Production '!$C$4:$AI$4407,'Tracking Sheet'!B648,'Production '!$V$4:$V$4407)</f>
        <v>-489.86487791182844</v>
      </c>
      <c r="J648" s="76">
        <f ca="1">SUMIF('Production '!$C$4:$AI$4407,'Tracking Sheet'!B648,'Production '!$AG$4:$AG$4407)</f>
        <v>0</v>
      </c>
    </row>
    <row r="649" spans="2:10" x14ac:dyDescent="0.3">
      <c r="B649" s="277">
        <f>'Production '!C652</f>
        <v>47675</v>
      </c>
      <c r="C649" s="76">
        <f ca="1">SUMIF('Production '!$C$4:$AI$4407,'Tracking Sheet'!B649,'Production '!$M$4:$M$4407)</f>
        <v>3660</v>
      </c>
      <c r="D649" s="76">
        <f ca="1">SUMIF('Production '!$C$4:$AI$4407,'Tracking Sheet'!B649,'Production '!$Q$4:$Q$4407)</f>
        <v>0</v>
      </c>
      <c r="E649" s="76">
        <f ca="1">SUMIF('Production '!$C$4:$AI$4407,'Tracking Sheet'!B649,'Production '!$S$4:$S$4407)</f>
        <v>0</v>
      </c>
      <c r="F649" s="76">
        <f ca="1">SUMIF('Production '!$C$4:$AI$4407,'Tracking Sheet'!B649,'Production '!$U$4:$U$4407)</f>
        <v>0</v>
      </c>
      <c r="G649" s="76">
        <f ca="1">SUMIF('Production '!$C$4:$AI$4407,'Tracking Sheet'!B649,'Production '!$W$4:$W$4407)</f>
        <v>3660</v>
      </c>
      <c r="H649" s="76">
        <f ca="1">SUMIF('Production '!$C$4:$AI$4407,'Tracking Sheet'!B649,'Production '!$F$4:$F$4407)</f>
        <v>3597</v>
      </c>
      <c r="I649" s="76">
        <f ca="1">SUMIF('Production '!$C$4:$AI$4407,'Tracking Sheet'!B649,'Production '!$V$4:$V$4407)</f>
        <v>0</v>
      </c>
      <c r="J649" s="76">
        <f ca="1">SUMIF('Production '!$C$4:$AI$4407,'Tracking Sheet'!B649,'Production '!$AG$4:$AG$4407)</f>
        <v>0</v>
      </c>
    </row>
    <row r="650" spans="2:10" x14ac:dyDescent="0.3">
      <c r="B650" s="277">
        <f>'Production '!C653</f>
        <v>47675</v>
      </c>
      <c r="C650" s="76">
        <f ca="1">SUMIF('Production '!$C$4:$AI$4407,'Tracking Sheet'!B650,'Production '!$M$4:$M$4407)</f>
        <v>3660</v>
      </c>
      <c r="D650" s="76">
        <f ca="1">SUMIF('Production '!$C$4:$AI$4407,'Tracking Sheet'!B650,'Production '!$Q$4:$Q$4407)</f>
        <v>0</v>
      </c>
      <c r="E650" s="76">
        <f ca="1">SUMIF('Production '!$C$4:$AI$4407,'Tracking Sheet'!B650,'Production '!$S$4:$S$4407)</f>
        <v>0</v>
      </c>
      <c r="F650" s="76">
        <f ca="1">SUMIF('Production '!$C$4:$AI$4407,'Tracking Sheet'!B650,'Production '!$U$4:$U$4407)</f>
        <v>0</v>
      </c>
      <c r="G650" s="76">
        <f ca="1">SUMIF('Production '!$C$4:$AI$4407,'Tracking Sheet'!B650,'Production '!$W$4:$W$4407)</f>
        <v>3660</v>
      </c>
      <c r="H650" s="76">
        <f ca="1">SUMIF('Production '!$C$4:$AI$4407,'Tracking Sheet'!B650,'Production '!$F$4:$F$4407)</f>
        <v>3597</v>
      </c>
      <c r="I650" s="76">
        <f ca="1">SUMIF('Production '!$C$4:$AI$4407,'Tracking Sheet'!B650,'Production '!$V$4:$V$4407)</f>
        <v>0</v>
      </c>
      <c r="J650" s="76">
        <f ca="1">SUMIF('Production '!$C$4:$AI$4407,'Tracking Sheet'!B650,'Production '!$AG$4:$AG$4407)</f>
        <v>0</v>
      </c>
    </row>
    <row r="651" spans="2:10" x14ac:dyDescent="0.3">
      <c r="B651" s="277">
        <f>'Production '!C654</f>
        <v>0</v>
      </c>
      <c r="C651" s="76" t="e">
        <f ca="1">SUMIF('Production '!$C$4:$AI$4407,'Tracking Sheet'!B651,'Production '!$M$4:$M$4407)</f>
        <v>#DIV/0!</v>
      </c>
      <c r="D651" s="76" t="e">
        <f ca="1">SUMIF('Production '!$C$4:$AI$4407,'Tracking Sheet'!B651,'Production '!$Q$4:$Q$4407)</f>
        <v>#DIV/0!</v>
      </c>
      <c r="E651" s="76">
        <f ca="1">SUMIF('Production '!$C$4:$AI$4407,'Tracking Sheet'!B651,'Production '!$S$4:$S$4407)</f>
        <v>-1268218.9828305368</v>
      </c>
      <c r="F651" s="76">
        <f ca="1">SUMIF('Production '!$C$4:$AI$4407,'Tracking Sheet'!B651,'Production '!$U$4:$U$4407)</f>
        <v>-10620.435600016917</v>
      </c>
      <c r="G651" s="76" t="e">
        <f ca="1">SUMIF('Production '!$C$4:$AI$4407,'Tracking Sheet'!B651,'Production '!$W$4:$W$4407)</f>
        <v>#DIV/0!</v>
      </c>
      <c r="H651" s="76">
        <f ca="1">SUMIF('Production '!$C$4:$AI$4407,'Tracking Sheet'!B651,'Production '!$F$4:$F$4407)</f>
        <v>3230621.3283604058</v>
      </c>
      <c r="I651" s="76">
        <f ca="1">SUMIF('Production '!$C$4:$AI$4407,'Tracking Sheet'!B651,'Production '!$V$4:$V$4407)</f>
        <v>-489.86487791182844</v>
      </c>
      <c r="J651" s="76">
        <f ca="1">SUMIF('Production '!$C$4:$AI$4407,'Tracking Sheet'!B651,'Production '!$AG$4:$AG$4407)</f>
        <v>0</v>
      </c>
    </row>
    <row r="652" spans="2:10" x14ac:dyDescent="0.3">
      <c r="B652" s="277">
        <f>'Production '!C655</f>
        <v>48084</v>
      </c>
      <c r="C652" s="76">
        <f ca="1">SUMIF('Production '!$C$4:$AI$4407,'Tracking Sheet'!B652,'Production '!$M$4:$M$4407)</f>
        <v>0</v>
      </c>
      <c r="D652" s="76">
        <f ca="1">SUMIF('Production '!$C$4:$AI$4407,'Tracking Sheet'!B652,'Production '!$Q$4:$Q$4407)</f>
        <v>0</v>
      </c>
      <c r="E652" s="76">
        <f ca="1">SUMIF('Production '!$C$4:$AI$4407,'Tracking Sheet'!B652,'Production '!$S$4:$S$4407)</f>
        <v>0</v>
      </c>
      <c r="F652" s="76">
        <f ca="1">SUMIF('Production '!$C$4:$AI$4407,'Tracking Sheet'!B652,'Production '!$U$4:$U$4407)</f>
        <v>0</v>
      </c>
      <c r="G652" s="76">
        <f ca="1">SUMIF('Production '!$C$4:$AI$4407,'Tracking Sheet'!B652,'Production '!$W$4:$W$4407)</f>
        <v>0</v>
      </c>
      <c r="H652" s="76">
        <f ca="1">SUMIF('Production '!$C$4:$AI$4407,'Tracking Sheet'!B652,'Production '!$F$4:$F$4407)</f>
        <v>1808</v>
      </c>
      <c r="I652" s="76">
        <f ca="1">SUMIF('Production '!$C$4:$AI$4407,'Tracking Sheet'!B652,'Production '!$V$4:$V$4407)</f>
        <v>0</v>
      </c>
      <c r="J652" s="76">
        <f ca="1">SUMIF('Production '!$C$4:$AI$4407,'Tracking Sheet'!B652,'Production '!$AG$4:$AG$4407)</f>
        <v>-1808</v>
      </c>
    </row>
    <row r="653" spans="2:10" x14ac:dyDescent="0.3">
      <c r="B653" s="277">
        <f>'Production '!C656</f>
        <v>48084</v>
      </c>
      <c r="C653" s="76">
        <f ca="1">SUMIF('Production '!$C$4:$AI$4407,'Tracking Sheet'!B653,'Production '!$M$4:$M$4407)</f>
        <v>0</v>
      </c>
      <c r="D653" s="76">
        <f ca="1">SUMIF('Production '!$C$4:$AI$4407,'Tracking Sheet'!B653,'Production '!$Q$4:$Q$4407)</f>
        <v>0</v>
      </c>
      <c r="E653" s="76">
        <f ca="1">SUMIF('Production '!$C$4:$AI$4407,'Tracking Sheet'!B653,'Production '!$S$4:$S$4407)</f>
        <v>0</v>
      </c>
      <c r="F653" s="76">
        <f ca="1">SUMIF('Production '!$C$4:$AI$4407,'Tracking Sheet'!B653,'Production '!$U$4:$U$4407)</f>
        <v>0</v>
      </c>
      <c r="G653" s="76">
        <f ca="1">SUMIF('Production '!$C$4:$AI$4407,'Tracking Sheet'!B653,'Production '!$W$4:$W$4407)</f>
        <v>0</v>
      </c>
      <c r="H653" s="76">
        <f ca="1">SUMIF('Production '!$C$4:$AI$4407,'Tracking Sheet'!B653,'Production '!$F$4:$F$4407)</f>
        <v>1808</v>
      </c>
      <c r="I653" s="76">
        <f ca="1">SUMIF('Production '!$C$4:$AI$4407,'Tracking Sheet'!B653,'Production '!$V$4:$V$4407)</f>
        <v>0</v>
      </c>
      <c r="J653" s="76">
        <f ca="1">SUMIF('Production '!$C$4:$AI$4407,'Tracking Sheet'!B653,'Production '!$AG$4:$AG$4407)</f>
        <v>-1808</v>
      </c>
    </row>
    <row r="654" spans="2:10" x14ac:dyDescent="0.3">
      <c r="B654" s="277">
        <f>'Production '!C657</f>
        <v>0</v>
      </c>
      <c r="C654" s="76" t="e">
        <f ca="1">SUMIF('Production '!$C$4:$AI$4407,'Tracking Sheet'!B654,'Production '!$M$4:$M$4407)</f>
        <v>#DIV/0!</v>
      </c>
      <c r="D654" s="76" t="e">
        <f ca="1">SUMIF('Production '!$C$4:$AI$4407,'Tracking Sheet'!B654,'Production '!$Q$4:$Q$4407)</f>
        <v>#DIV/0!</v>
      </c>
      <c r="E654" s="76">
        <f ca="1">SUMIF('Production '!$C$4:$AI$4407,'Tracking Sheet'!B654,'Production '!$S$4:$S$4407)</f>
        <v>-1268218.9828305368</v>
      </c>
      <c r="F654" s="76">
        <f ca="1">SUMIF('Production '!$C$4:$AI$4407,'Tracking Sheet'!B654,'Production '!$U$4:$U$4407)</f>
        <v>-10620.435600016917</v>
      </c>
      <c r="G654" s="76" t="e">
        <f ca="1">SUMIF('Production '!$C$4:$AI$4407,'Tracking Sheet'!B654,'Production '!$W$4:$W$4407)</f>
        <v>#DIV/0!</v>
      </c>
      <c r="H654" s="76">
        <f ca="1">SUMIF('Production '!$C$4:$AI$4407,'Tracking Sheet'!B654,'Production '!$F$4:$F$4407)</f>
        <v>3230621.3283604058</v>
      </c>
      <c r="I654" s="76">
        <f ca="1">SUMIF('Production '!$C$4:$AI$4407,'Tracking Sheet'!B654,'Production '!$V$4:$V$4407)</f>
        <v>-489.86487791182844</v>
      </c>
      <c r="J654" s="76">
        <f ca="1">SUMIF('Production '!$C$4:$AI$4407,'Tracking Sheet'!B654,'Production '!$AG$4:$AG$4407)</f>
        <v>0</v>
      </c>
    </row>
    <row r="655" spans="2:10" x14ac:dyDescent="0.3">
      <c r="B655" s="277">
        <f>'Production '!C658</f>
        <v>48060</v>
      </c>
      <c r="C655" s="76">
        <f ca="1">SUMIF('Production '!$C$4:$AI$4407,'Tracking Sheet'!B655,'Production '!$M$4:$M$4407)</f>
        <v>4569</v>
      </c>
      <c r="D655" s="76">
        <f ca="1">SUMIF('Production '!$C$4:$AI$4407,'Tracking Sheet'!B655,'Production '!$Q$4:$Q$4407)</f>
        <v>4554</v>
      </c>
      <c r="E655" s="76">
        <f ca="1">SUMIF('Production '!$C$4:$AI$4407,'Tracking Sheet'!B655,'Production '!$S$4:$S$4407)</f>
        <v>0</v>
      </c>
      <c r="F655" s="76">
        <f ca="1">SUMIF('Production '!$C$4:$AI$4407,'Tracking Sheet'!B655,'Production '!$U$4:$U$4407)</f>
        <v>0</v>
      </c>
      <c r="G655" s="76">
        <f ca="1">SUMIF('Production '!$C$4:$AI$4407,'Tracking Sheet'!B655,'Production '!$W$4:$W$4407)</f>
        <v>0</v>
      </c>
      <c r="H655" s="76">
        <f ca="1">SUMIF('Production '!$C$4:$AI$4407,'Tracking Sheet'!B655,'Production '!$F$4:$F$4407)</f>
        <v>4387</v>
      </c>
      <c r="I655" s="76">
        <f ca="1">SUMIF('Production '!$C$4:$AI$4407,'Tracking Sheet'!B655,'Production '!$V$4:$V$4407)</f>
        <v>0</v>
      </c>
      <c r="J655" s="76">
        <f ca="1">SUMIF('Production '!$C$4:$AI$4407,'Tracking Sheet'!B655,'Production '!$AG$4:$AG$4407)</f>
        <v>0</v>
      </c>
    </row>
    <row r="656" spans="2:10" x14ac:dyDescent="0.3">
      <c r="B656" s="277">
        <f>'Production '!C659</f>
        <v>48060</v>
      </c>
      <c r="C656" s="76">
        <f ca="1">SUMIF('Production '!$C$4:$AI$4407,'Tracking Sheet'!B656,'Production '!$M$4:$M$4407)</f>
        <v>4569</v>
      </c>
      <c r="D656" s="76">
        <f ca="1">SUMIF('Production '!$C$4:$AI$4407,'Tracking Sheet'!B656,'Production '!$Q$4:$Q$4407)</f>
        <v>4554</v>
      </c>
      <c r="E656" s="76">
        <f ca="1">SUMIF('Production '!$C$4:$AI$4407,'Tracking Sheet'!B656,'Production '!$S$4:$S$4407)</f>
        <v>0</v>
      </c>
      <c r="F656" s="76">
        <f ca="1">SUMIF('Production '!$C$4:$AI$4407,'Tracking Sheet'!B656,'Production '!$U$4:$U$4407)</f>
        <v>0</v>
      </c>
      <c r="G656" s="76">
        <f ca="1">SUMIF('Production '!$C$4:$AI$4407,'Tracking Sheet'!B656,'Production '!$W$4:$W$4407)</f>
        <v>0</v>
      </c>
      <c r="H656" s="76">
        <f ca="1">SUMIF('Production '!$C$4:$AI$4407,'Tracking Sheet'!B656,'Production '!$F$4:$F$4407)</f>
        <v>4387</v>
      </c>
      <c r="I656" s="76">
        <f ca="1">SUMIF('Production '!$C$4:$AI$4407,'Tracking Sheet'!B656,'Production '!$V$4:$V$4407)</f>
        <v>0</v>
      </c>
      <c r="J656" s="76">
        <f ca="1">SUMIF('Production '!$C$4:$AI$4407,'Tracking Sheet'!B656,'Production '!$AG$4:$AG$4407)</f>
        <v>0</v>
      </c>
    </row>
    <row r="657" spans="2:10" x14ac:dyDescent="0.3">
      <c r="B657" s="277">
        <f>'Production '!C660</f>
        <v>48060</v>
      </c>
      <c r="C657" s="76">
        <f ca="1">SUMIF('Production '!$C$4:$AI$4407,'Tracking Sheet'!B657,'Production '!$M$4:$M$4407)</f>
        <v>4569</v>
      </c>
      <c r="D657" s="76">
        <f ca="1">SUMIF('Production '!$C$4:$AI$4407,'Tracking Sheet'!B657,'Production '!$Q$4:$Q$4407)</f>
        <v>4554</v>
      </c>
      <c r="E657" s="76">
        <f ca="1">SUMIF('Production '!$C$4:$AI$4407,'Tracking Sheet'!B657,'Production '!$S$4:$S$4407)</f>
        <v>0</v>
      </c>
      <c r="F657" s="76">
        <f ca="1">SUMIF('Production '!$C$4:$AI$4407,'Tracking Sheet'!B657,'Production '!$U$4:$U$4407)</f>
        <v>0</v>
      </c>
      <c r="G657" s="76">
        <f ca="1">SUMIF('Production '!$C$4:$AI$4407,'Tracking Sheet'!B657,'Production '!$W$4:$W$4407)</f>
        <v>0</v>
      </c>
      <c r="H657" s="76">
        <f ca="1">SUMIF('Production '!$C$4:$AI$4407,'Tracking Sheet'!B657,'Production '!$F$4:$F$4407)</f>
        <v>4387</v>
      </c>
      <c r="I657" s="76">
        <f ca="1">SUMIF('Production '!$C$4:$AI$4407,'Tracking Sheet'!B657,'Production '!$V$4:$V$4407)</f>
        <v>0</v>
      </c>
      <c r="J657" s="76">
        <f ca="1">SUMIF('Production '!$C$4:$AI$4407,'Tracking Sheet'!B657,'Production '!$AG$4:$AG$4407)</f>
        <v>0</v>
      </c>
    </row>
    <row r="658" spans="2:10" x14ac:dyDescent="0.3">
      <c r="B658" s="277">
        <f>'Production '!C661</f>
        <v>48060</v>
      </c>
      <c r="C658" s="76">
        <f ca="1">SUMIF('Production '!$C$4:$AI$4407,'Tracking Sheet'!B658,'Production '!$M$4:$M$4407)</f>
        <v>4569</v>
      </c>
      <c r="D658" s="76">
        <f ca="1">SUMIF('Production '!$C$4:$AI$4407,'Tracking Sheet'!B658,'Production '!$Q$4:$Q$4407)</f>
        <v>4554</v>
      </c>
      <c r="E658" s="76">
        <f ca="1">SUMIF('Production '!$C$4:$AI$4407,'Tracking Sheet'!B658,'Production '!$S$4:$S$4407)</f>
        <v>0</v>
      </c>
      <c r="F658" s="76">
        <f ca="1">SUMIF('Production '!$C$4:$AI$4407,'Tracking Sheet'!B658,'Production '!$U$4:$U$4407)</f>
        <v>0</v>
      </c>
      <c r="G658" s="76">
        <f ca="1">SUMIF('Production '!$C$4:$AI$4407,'Tracking Sheet'!B658,'Production '!$W$4:$W$4407)</f>
        <v>0</v>
      </c>
      <c r="H658" s="76">
        <f ca="1">SUMIF('Production '!$C$4:$AI$4407,'Tracking Sheet'!B658,'Production '!$F$4:$F$4407)</f>
        <v>4387</v>
      </c>
      <c r="I658" s="76">
        <f ca="1">SUMIF('Production '!$C$4:$AI$4407,'Tracking Sheet'!B658,'Production '!$V$4:$V$4407)</f>
        <v>0</v>
      </c>
      <c r="J658" s="76">
        <f ca="1">SUMIF('Production '!$C$4:$AI$4407,'Tracking Sheet'!B658,'Production '!$AG$4:$AG$4407)</f>
        <v>0</v>
      </c>
    </row>
    <row r="659" spans="2:10" x14ac:dyDescent="0.3">
      <c r="B659" s="277">
        <f>'Production '!C662</f>
        <v>0</v>
      </c>
      <c r="C659" s="76" t="e">
        <f ca="1">SUMIF('Production '!$C$4:$AI$4407,'Tracking Sheet'!B659,'Production '!$M$4:$M$4407)</f>
        <v>#DIV/0!</v>
      </c>
      <c r="D659" s="76" t="e">
        <f ca="1">SUMIF('Production '!$C$4:$AI$4407,'Tracking Sheet'!B659,'Production '!$Q$4:$Q$4407)</f>
        <v>#DIV/0!</v>
      </c>
      <c r="E659" s="76">
        <f ca="1">SUMIF('Production '!$C$4:$AI$4407,'Tracking Sheet'!B659,'Production '!$S$4:$S$4407)</f>
        <v>-1268218.9828305368</v>
      </c>
      <c r="F659" s="76">
        <f ca="1">SUMIF('Production '!$C$4:$AI$4407,'Tracking Sheet'!B659,'Production '!$U$4:$U$4407)</f>
        <v>-10620.435600016917</v>
      </c>
      <c r="G659" s="76" t="e">
        <f ca="1">SUMIF('Production '!$C$4:$AI$4407,'Tracking Sheet'!B659,'Production '!$W$4:$W$4407)</f>
        <v>#DIV/0!</v>
      </c>
      <c r="H659" s="76">
        <f ca="1">SUMIF('Production '!$C$4:$AI$4407,'Tracking Sheet'!B659,'Production '!$F$4:$F$4407)</f>
        <v>3230621.3283604058</v>
      </c>
      <c r="I659" s="76">
        <f ca="1">SUMIF('Production '!$C$4:$AI$4407,'Tracking Sheet'!B659,'Production '!$V$4:$V$4407)</f>
        <v>-489.86487791182844</v>
      </c>
      <c r="J659" s="76">
        <f ca="1">SUMIF('Production '!$C$4:$AI$4407,'Tracking Sheet'!B659,'Production '!$AG$4:$AG$4407)</f>
        <v>0</v>
      </c>
    </row>
    <row r="660" spans="2:10" x14ac:dyDescent="0.3">
      <c r="B660" s="277">
        <f>'Production '!C663</f>
        <v>48019</v>
      </c>
      <c r="C660" s="76">
        <f ca="1">SUMIF('Production '!$C$4:$AI$4407,'Tracking Sheet'!B660,'Production '!$M$4:$M$4407)</f>
        <v>2128</v>
      </c>
      <c r="D660" s="76">
        <f ca="1">SUMIF('Production '!$C$4:$AI$4407,'Tracking Sheet'!B660,'Production '!$Q$4:$Q$4407)</f>
        <v>2128</v>
      </c>
      <c r="E660" s="76">
        <f ca="1">SUMIF('Production '!$C$4:$AI$4407,'Tracking Sheet'!B660,'Production '!$S$4:$S$4407)</f>
        <v>2119</v>
      </c>
      <c r="F660" s="76">
        <f ca="1">SUMIF('Production '!$C$4:$AI$4407,'Tracking Sheet'!B660,'Production '!$U$4:$U$4407)</f>
        <v>57</v>
      </c>
      <c r="G660" s="76">
        <f ca="1">SUMIF('Production '!$C$4:$AI$4407,'Tracking Sheet'!B660,'Production '!$W$4:$W$4407)</f>
        <v>2062</v>
      </c>
      <c r="H660" s="76">
        <f ca="1">SUMIF('Production '!$C$4:$AI$4407,'Tracking Sheet'!B660,'Production '!$F$4:$F$4407)</f>
        <v>1993</v>
      </c>
      <c r="I660" s="76">
        <f ca="1">SUMIF('Production '!$C$4:$AI$4407,'Tracking Sheet'!B660,'Production '!$V$4:$V$4407)</f>
        <v>0</v>
      </c>
      <c r="J660" s="76">
        <f ca="1">SUMIF('Production '!$C$4:$AI$4407,'Tracking Sheet'!B660,'Production '!$AG$4:$AG$4407)</f>
        <v>0</v>
      </c>
    </row>
    <row r="661" spans="2:10" x14ac:dyDescent="0.3">
      <c r="B661" s="277">
        <f>'Production '!C664</f>
        <v>48019</v>
      </c>
      <c r="C661" s="76">
        <f ca="1">SUMIF('Production '!$C$4:$AI$4407,'Tracking Sheet'!B661,'Production '!$M$4:$M$4407)</f>
        <v>2128</v>
      </c>
      <c r="D661" s="76">
        <f ca="1">SUMIF('Production '!$C$4:$AI$4407,'Tracking Sheet'!B661,'Production '!$Q$4:$Q$4407)</f>
        <v>2128</v>
      </c>
      <c r="E661" s="76">
        <f ca="1">SUMIF('Production '!$C$4:$AI$4407,'Tracking Sheet'!B661,'Production '!$S$4:$S$4407)</f>
        <v>2119</v>
      </c>
      <c r="F661" s="76">
        <f ca="1">SUMIF('Production '!$C$4:$AI$4407,'Tracking Sheet'!B661,'Production '!$U$4:$U$4407)</f>
        <v>57</v>
      </c>
      <c r="G661" s="76">
        <f ca="1">SUMIF('Production '!$C$4:$AI$4407,'Tracking Sheet'!B661,'Production '!$W$4:$W$4407)</f>
        <v>2062</v>
      </c>
      <c r="H661" s="76">
        <f ca="1">SUMIF('Production '!$C$4:$AI$4407,'Tracking Sheet'!B661,'Production '!$F$4:$F$4407)</f>
        <v>1993</v>
      </c>
      <c r="I661" s="76">
        <f ca="1">SUMIF('Production '!$C$4:$AI$4407,'Tracking Sheet'!B661,'Production '!$V$4:$V$4407)</f>
        <v>0</v>
      </c>
      <c r="J661" s="76">
        <f ca="1">SUMIF('Production '!$C$4:$AI$4407,'Tracking Sheet'!B661,'Production '!$AG$4:$AG$4407)</f>
        <v>0</v>
      </c>
    </row>
    <row r="662" spans="2:10" x14ac:dyDescent="0.3">
      <c r="B662" s="277">
        <f>'Production '!C665</f>
        <v>48019</v>
      </c>
      <c r="C662" s="76">
        <f ca="1">SUMIF('Production '!$C$4:$AI$4407,'Tracking Sheet'!B662,'Production '!$M$4:$M$4407)</f>
        <v>2128</v>
      </c>
      <c r="D662" s="76">
        <f ca="1">SUMIF('Production '!$C$4:$AI$4407,'Tracking Sheet'!B662,'Production '!$Q$4:$Q$4407)</f>
        <v>2128</v>
      </c>
      <c r="E662" s="76">
        <f ca="1">SUMIF('Production '!$C$4:$AI$4407,'Tracking Sheet'!B662,'Production '!$S$4:$S$4407)</f>
        <v>2119</v>
      </c>
      <c r="F662" s="76">
        <f ca="1">SUMIF('Production '!$C$4:$AI$4407,'Tracking Sheet'!B662,'Production '!$U$4:$U$4407)</f>
        <v>57</v>
      </c>
      <c r="G662" s="76">
        <f ca="1">SUMIF('Production '!$C$4:$AI$4407,'Tracking Sheet'!B662,'Production '!$W$4:$W$4407)</f>
        <v>2062</v>
      </c>
      <c r="H662" s="76">
        <f ca="1">SUMIF('Production '!$C$4:$AI$4407,'Tracking Sheet'!B662,'Production '!$F$4:$F$4407)</f>
        <v>1993</v>
      </c>
      <c r="I662" s="76">
        <f ca="1">SUMIF('Production '!$C$4:$AI$4407,'Tracking Sheet'!B662,'Production '!$V$4:$V$4407)</f>
        <v>0</v>
      </c>
      <c r="J662" s="76">
        <f ca="1">SUMIF('Production '!$C$4:$AI$4407,'Tracking Sheet'!B662,'Production '!$AG$4:$AG$4407)</f>
        <v>0</v>
      </c>
    </row>
    <row r="663" spans="2:10" x14ac:dyDescent="0.3">
      <c r="B663" s="277">
        <f>'Production '!C666</f>
        <v>0</v>
      </c>
      <c r="C663" s="76" t="e">
        <f ca="1">SUMIF('Production '!$C$4:$AI$4407,'Tracking Sheet'!B663,'Production '!$M$4:$M$4407)</f>
        <v>#DIV/0!</v>
      </c>
      <c r="D663" s="76" t="e">
        <f ca="1">SUMIF('Production '!$C$4:$AI$4407,'Tracking Sheet'!B663,'Production '!$Q$4:$Q$4407)</f>
        <v>#DIV/0!</v>
      </c>
      <c r="E663" s="76">
        <f ca="1">SUMIF('Production '!$C$4:$AI$4407,'Tracking Sheet'!B663,'Production '!$S$4:$S$4407)</f>
        <v>-1268218.9828305368</v>
      </c>
      <c r="F663" s="76">
        <f ca="1">SUMIF('Production '!$C$4:$AI$4407,'Tracking Sheet'!B663,'Production '!$U$4:$U$4407)</f>
        <v>-10620.435600016917</v>
      </c>
      <c r="G663" s="76" t="e">
        <f ca="1">SUMIF('Production '!$C$4:$AI$4407,'Tracking Sheet'!B663,'Production '!$W$4:$W$4407)</f>
        <v>#DIV/0!</v>
      </c>
      <c r="H663" s="76">
        <f ca="1">SUMIF('Production '!$C$4:$AI$4407,'Tracking Sheet'!B663,'Production '!$F$4:$F$4407)</f>
        <v>3230621.3283604058</v>
      </c>
      <c r="I663" s="76">
        <f ca="1">SUMIF('Production '!$C$4:$AI$4407,'Tracking Sheet'!B663,'Production '!$V$4:$V$4407)</f>
        <v>-489.86487791182844</v>
      </c>
      <c r="J663" s="76">
        <f ca="1">SUMIF('Production '!$C$4:$AI$4407,'Tracking Sheet'!B663,'Production '!$AG$4:$AG$4407)</f>
        <v>0</v>
      </c>
    </row>
    <row r="664" spans="2:10" x14ac:dyDescent="0.3">
      <c r="B664" s="277">
        <f>'Production '!C667</f>
        <v>48020</v>
      </c>
      <c r="C664" s="76">
        <f ca="1">SUMIF('Production '!$C$4:$AI$4407,'Tracking Sheet'!B664,'Production '!$M$4:$M$4407)</f>
        <v>1301</v>
      </c>
      <c r="D664" s="76">
        <f ca="1">SUMIF('Production '!$C$4:$AI$4407,'Tracking Sheet'!B664,'Production '!$Q$4:$Q$4407)</f>
        <v>0</v>
      </c>
      <c r="E664" s="76">
        <f ca="1">SUMIF('Production '!$C$4:$AI$4407,'Tracking Sheet'!B664,'Production '!$S$4:$S$4407)</f>
        <v>0</v>
      </c>
      <c r="F664" s="76">
        <f ca="1">SUMIF('Production '!$C$4:$AI$4407,'Tracking Sheet'!B664,'Production '!$U$4:$U$4407)</f>
        <v>70</v>
      </c>
      <c r="G664" s="76">
        <f ca="1">SUMIF('Production '!$C$4:$AI$4407,'Tracking Sheet'!B664,'Production '!$W$4:$W$4407)</f>
        <v>1231</v>
      </c>
      <c r="H664" s="76">
        <f ca="1">SUMIF('Production '!$C$4:$AI$4407,'Tracking Sheet'!B664,'Production '!$F$4:$F$4407)</f>
        <v>1348</v>
      </c>
      <c r="I664" s="76">
        <f ca="1">SUMIF('Production '!$C$4:$AI$4407,'Tracking Sheet'!B664,'Production '!$V$4:$V$4407)</f>
        <v>0</v>
      </c>
      <c r="J664" s="76">
        <f ca="1">SUMIF('Production '!$C$4:$AI$4407,'Tracking Sheet'!B664,'Production '!$AG$4:$AG$4407)</f>
        <v>-65</v>
      </c>
    </row>
    <row r="665" spans="2:10" x14ac:dyDescent="0.3">
      <c r="B665" s="277">
        <f>'Production '!C668</f>
        <v>48020</v>
      </c>
      <c r="C665" s="76">
        <f ca="1">SUMIF('Production '!$C$4:$AI$4407,'Tracking Sheet'!B665,'Production '!$M$4:$M$4407)</f>
        <v>1301</v>
      </c>
      <c r="D665" s="76">
        <f ca="1">SUMIF('Production '!$C$4:$AI$4407,'Tracking Sheet'!B665,'Production '!$Q$4:$Q$4407)</f>
        <v>0</v>
      </c>
      <c r="E665" s="76">
        <f ca="1">SUMIF('Production '!$C$4:$AI$4407,'Tracking Sheet'!B665,'Production '!$S$4:$S$4407)</f>
        <v>0</v>
      </c>
      <c r="F665" s="76">
        <f ca="1">SUMIF('Production '!$C$4:$AI$4407,'Tracking Sheet'!B665,'Production '!$U$4:$U$4407)</f>
        <v>70</v>
      </c>
      <c r="G665" s="76">
        <f ca="1">SUMIF('Production '!$C$4:$AI$4407,'Tracking Sheet'!B665,'Production '!$W$4:$W$4407)</f>
        <v>1231</v>
      </c>
      <c r="H665" s="76">
        <f ca="1">SUMIF('Production '!$C$4:$AI$4407,'Tracking Sheet'!B665,'Production '!$F$4:$F$4407)</f>
        <v>1348</v>
      </c>
      <c r="I665" s="76">
        <f ca="1">SUMIF('Production '!$C$4:$AI$4407,'Tracking Sheet'!B665,'Production '!$V$4:$V$4407)</f>
        <v>0</v>
      </c>
      <c r="J665" s="76">
        <f ca="1">SUMIF('Production '!$C$4:$AI$4407,'Tracking Sheet'!B665,'Production '!$AG$4:$AG$4407)</f>
        <v>-65</v>
      </c>
    </row>
    <row r="666" spans="2:10" x14ac:dyDescent="0.3">
      <c r="B666" s="277">
        <f>'Production '!C669</f>
        <v>0</v>
      </c>
      <c r="C666" s="76" t="e">
        <f ca="1">SUMIF('Production '!$C$4:$AI$4407,'Tracking Sheet'!B666,'Production '!$M$4:$M$4407)</f>
        <v>#DIV/0!</v>
      </c>
      <c r="D666" s="76" t="e">
        <f ca="1">SUMIF('Production '!$C$4:$AI$4407,'Tracking Sheet'!B666,'Production '!$Q$4:$Q$4407)</f>
        <v>#DIV/0!</v>
      </c>
      <c r="E666" s="76">
        <f ca="1">SUMIF('Production '!$C$4:$AI$4407,'Tracking Sheet'!B666,'Production '!$S$4:$S$4407)</f>
        <v>-1268218.9828305368</v>
      </c>
      <c r="F666" s="76">
        <f ca="1">SUMIF('Production '!$C$4:$AI$4407,'Tracking Sheet'!B666,'Production '!$U$4:$U$4407)</f>
        <v>-10620.435600016917</v>
      </c>
      <c r="G666" s="76" t="e">
        <f ca="1">SUMIF('Production '!$C$4:$AI$4407,'Tracking Sheet'!B666,'Production '!$W$4:$W$4407)</f>
        <v>#DIV/0!</v>
      </c>
      <c r="H666" s="76">
        <f ca="1">SUMIF('Production '!$C$4:$AI$4407,'Tracking Sheet'!B666,'Production '!$F$4:$F$4407)</f>
        <v>3230621.3283604058</v>
      </c>
      <c r="I666" s="76">
        <f ca="1">SUMIF('Production '!$C$4:$AI$4407,'Tracking Sheet'!B666,'Production '!$V$4:$V$4407)</f>
        <v>-489.86487791182844</v>
      </c>
      <c r="J666" s="76">
        <f ca="1">SUMIF('Production '!$C$4:$AI$4407,'Tracking Sheet'!B666,'Production '!$AG$4:$AG$4407)</f>
        <v>0</v>
      </c>
    </row>
    <row r="667" spans="2:10" x14ac:dyDescent="0.3">
      <c r="B667" s="277">
        <f>'Production '!C670</f>
        <v>47955</v>
      </c>
      <c r="C667" s="76">
        <f ca="1">SUMIF('Production '!$C$4:$AI$4407,'Tracking Sheet'!B667,'Production '!$M$4:$M$4407)</f>
        <v>2311</v>
      </c>
      <c r="D667" s="76">
        <f ca="1">SUMIF('Production '!$C$4:$AI$4407,'Tracking Sheet'!B667,'Production '!$Q$4:$Q$4407)</f>
        <v>2350</v>
      </c>
      <c r="E667" s="76">
        <f ca="1">SUMIF('Production '!$C$4:$AI$4407,'Tracking Sheet'!B667,'Production '!$S$4:$S$4407)</f>
        <v>678</v>
      </c>
      <c r="F667" s="76">
        <f ca="1">SUMIF('Production '!$C$4:$AI$4407,'Tracking Sheet'!B667,'Production '!$U$4:$U$4407)</f>
        <v>678</v>
      </c>
      <c r="G667" s="76">
        <f ca="1">SUMIF('Production '!$C$4:$AI$4407,'Tracking Sheet'!B667,'Production '!$W$4:$W$4407)</f>
        <v>0</v>
      </c>
      <c r="H667" s="76">
        <f ca="1">SUMIF('Production '!$C$4:$AI$4407,'Tracking Sheet'!B667,'Production '!$F$4:$F$4407)</f>
        <v>2240</v>
      </c>
      <c r="I667" s="76">
        <f ca="1">SUMIF('Production '!$C$4:$AI$4407,'Tracking Sheet'!B667,'Production '!$V$4:$V$4407)</f>
        <v>0</v>
      </c>
      <c r="J667" s="76">
        <f ca="1">SUMIF('Production '!$C$4:$AI$4407,'Tracking Sheet'!B667,'Production '!$AG$4:$AG$4407)</f>
        <v>0</v>
      </c>
    </row>
    <row r="668" spans="2:10" x14ac:dyDescent="0.3">
      <c r="B668" s="277">
        <f>'Production '!C671</f>
        <v>47955</v>
      </c>
      <c r="C668" s="76">
        <f ca="1">SUMIF('Production '!$C$4:$AI$4407,'Tracking Sheet'!B668,'Production '!$M$4:$M$4407)</f>
        <v>2311</v>
      </c>
      <c r="D668" s="76">
        <f ca="1">SUMIF('Production '!$C$4:$AI$4407,'Tracking Sheet'!B668,'Production '!$Q$4:$Q$4407)</f>
        <v>2350</v>
      </c>
      <c r="E668" s="76">
        <f ca="1">SUMIF('Production '!$C$4:$AI$4407,'Tracking Sheet'!B668,'Production '!$S$4:$S$4407)</f>
        <v>678</v>
      </c>
      <c r="F668" s="76">
        <f ca="1">SUMIF('Production '!$C$4:$AI$4407,'Tracking Sheet'!B668,'Production '!$U$4:$U$4407)</f>
        <v>678</v>
      </c>
      <c r="G668" s="76">
        <f ca="1">SUMIF('Production '!$C$4:$AI$4407,'Tracking Sheet'!B668,'Production '!$W$4:$W$4407)</f>
        <v>0</v>
      </c>
      <c r="H668" s="76">
        <f ca="1">SUMIF('Production '!$C$4:$AI$4407,'Tracking Sheet'!B668,'Production '!$F$4:$F$4407)</f>
        <v>2240</v>
      </c>
      <c r="I668" s="76">
        <f ca="1">SUMIF('Production '!$C$4:$AI$4407,'Tracking Sheet'!B668,'Production '!$V$4:$V$4407)</f>
        <v>0</v>
      </c>
      <c r="J668" s="76">
        <f ca="1">SUMIF('Production '!$C$4:$AI$4407,'Tracking Sheet'!B668,'Production '!$AG$4:$AG$4407)</f>
        <v>0</v>
      </c>
    </row>
    <row r="669" spans="2:10" x14ac:dyDescent="0.3">
      <c r="B669" s="277">
        <f>'Production '!C672</f>
        <v>0</v>
      </c>
      <c r="C669" s="76" t="e">
        <f ca="1">SUMIF('Production '!$C$4:$AI$4407,'Tracking Sheet'!B669,'Production '!$M$4:$M$4407)</f>
        <v>#DIV/0!</v>
      </c>
      <c r="D669" s="76" t="e">
        <f ca="1">SUMIF('Production '!$C$4:$AI$4407,'Tracking Sheet'!B669,'Production '!$Q$4:$Q$4407)</f>
        <v>#DIV/0!</v>
      </c>
      <c r="E669" s="76">
        <f ca="1">SUMIF('Production '!$C$4:$AI$4407,'Tracking Sheet'!B669,'Production '!$S$4:$S$4407)</f>
        <v>-1268218.9828305368</v>
      </c>
      <c r="F669" s="76">
        <f ca="1">SUMIF('Production '!$C$4:$AI$4407,'Tracking Sheet'!B669,'Production '!$U$4:$U$4407)</f>
        <v>-10620.435600016917</v>
      </c>
      <c r="G669" s="76" t="e">
        <f ca="1">SUMIF('Production '!$C$4:$AI$4407,'Tracking Sheet'!B669,'Production '!$W$4:$W$4407)</f>
        <v>#DIV/0!</v>
      </c>
      <c r="H669" s="76">
        <f ca="1">SUMIF('Production '!$C$4:$AI$4407,'Tracking Sheet'!B669,'Production '!$F$4:$F$4407)</f>
        <v>3230621.3283604058</v>
      </c>
      <c r="I669" s="76">
        <f ca="1">SUMIF('Production '!$C$4:$AI$4407,'Tracking Sheet'!B669,'Production '!$V$4:$V$4407)</f>
        <v>-489.86487791182844</v>
      </c>
      <c r="J669" s="76">
        <f ca="1">SUMIF('Production '!$C$4:$AI$4407,'Tracking Sheet'!B669,'Production '!$AG$4:$AG$4407)</f>
        <v>0</v>
      </c>
    </row>
    <row r="670" spans="2:10" x14ac:dyDescent="0.3">
      <c r="B670" s="277">
        <f>'Production '!C673</f>
        <v>48014</v>
      </c>
      <c r="C670" s="76">
        <f ca="1">SUMIF('Production '!$C$4:$AI$4407,'Tracking Sheet'!B670,'Production '!$M$4:$M$4407)</f>
        <v>1655</v>
      </c>
      <c r="D670" s="76">
        <f ca="1">SUMIF('Production '!$C$4:$AI$4407,'Tracking Sheet'!B670,'Production '!$Q$4:$Q$4407)</f>
        <v>1655</v>
      </c>
      <c r="E670" s="76">
        <f ca="1">SUMIF('Production '!$C$4:$AI$4407,'Tracking Sheet'!B670,'Production '!$S$4:$S$4407)</f>
        <v>1650</v>
      </c>
      <c r="F670" s="76">
        <f ca="1">SUMIF('Production '!$C$4:$AI$4407,'Tracking Sheet'!B670,'Production '!$U$4:$U$4407)</f>
        <v>5</v>
      </c>
      <c r="G670" s="76">
        <f ca="1">SUMIF('Production '!$C$4:$AI$4407,'Tracking Sheet'!B670,'Production '!$W$4:$W$4407)</f>
        <v>1645</v>
      </c>
      <c r="H670" s="76">
        <f ca="1">SUMIF('Production '!$C$4:$AI$4407,'Tracking Sheet'!B670,'Production '!$F$4:$F$4407)</f>
        <v>1606</v>
      </c>
      <c r="I670" s="76">
        <f ca="1">SUMIF('Production '!$C$4:$AI$4407,'Tracking Sheet'!B670,'Production '!$V$4:$V$4407)</f>
        <v>0</v>
      </c>
      <c r="J670" s="76">
        <f ca="1">SUMIF('Production '!$C$4:$AI$4407,'Tracking Sheet'!B670,'Production '!$AG$4:$AG$4407)</f>
        <v>0</v>
      </c>
    </row>
    <row r="671" spans="2:10" x14ac:dyDescent="0.3">
      <c r="B671" s="277">
        <f>'Production '!C674</f>
        <v>48014</v>
      </c>
      <c r="C671" s="76">
        <f ca="1">SUMIF('Production '!$C$4:$AI$4407,'Tracking Sheet'!B671,'Production '!$M$4:$M$4407)</f>
        <v>1655</v>
      </c>
      <c r="D671" s="76">
        <f ca="1">SUMIF('Production '!$C$4:$AI$4407,'Tracking Sheet'!B671,'Production '!$Q$4:$Q$4407)</f>
        <v>1655</v>
      </c>
      <c r="E671" s="76">
        <f ca="1">SUMIF('Production '!$C$4:$AI$4407,'Tracking Sheet'!B671,'Production '!$S$4:$S$4407)</f>
        <v>1650</v>
      </c>
      <c r="F671" s="76">
        <f ca="1">SUMIF('Production '!$C$4:$AI$4407,'Tracking Sheet'!B671,'Production '!$U$4:$U$4407)</f>
        <v>5</v>
      </c>
      <c r="G671" s="76">
        <f ca="1">SUMIF('Production '!$C$4:$AI$4407,'Tracking Sheet'!B671,'Production '!$W$4:$W$4407)</f>
        <v>1645</v>
      </c>
      <c r="H671" s="76">
        <f ca="1">SUMIF('Production '!$C$4:$AI$4407,'Tracking Sheet'!B671,'Production '!$F$4:$F$4407)</f>
        <v>1606</v>
      </c>
      <c r="I671" s="76">
        <f ca="1">SUMIF('Production '!$C$4:$AI$4407,'Tracking Sheet'!B671,'Production '!$V$4:$V$4407)</f>
        <v>0</v>
      </c>
      <c r="J671" s="76">
        <f ca="1">SUMIF('Production '!$C$4:$AI$4407,'Tracking Sheet'!B671,'Production '!$AG$4:$AG$4407)</f>
        <v>0</v>
      </c>
    </row>
    <row r="672" spans="2:10" x14ac:dyDescent="0.3">
      <c r="B672" s="277">
        <f>'Production '!C675</f>
        <v>0</v>
      </c>
      <c r="C672" s="76" t="e">
        <f ca="1">SUMIF('Production '!$C$4:$AI$4407,'Tracking Sheet'!B672,'Production '!$M$4:$M$4407)</f>
        <v>#DIV/0!</v>
      </c>
      <c r="D672" s="76" t="e">
        <f ca="1">SUMIF('Production '!$C$4:$AI$4407,'Tracking Sheet'!B672,'Production '!$Q$4:$Q$4407)</f>
        <v>#DIV/0!</v>
      </c>
      <c r="E672" s="76">
        <f ca="1">SUMIF('Production '!$C$4:$AI$4407,'Tracking Sheet'!B672,'Production '!$S$4:$S$4407)</f>
        <v>-1268218.9828305368</v>
      </c>
      <c r="F672" s="76">
        <f ca="1">SUMIF('Production '!$C$4:$AI$4407,'Tracking Sheet'!B672,'Production '!$U$4:$U$4407)</f>
        <v>-10620.435600016917</v>
      </c>
      <c r="G672" s="76" t="e">
        <f ca="1">SUMIF('Production '!$C$4:$AI$4407,'Tracking Sheet'!B672,'Production '!$W$4:$W$4407)</f>
        <v>#DIV/0!</v>
      </c>
      <c r="H672" s="76">
        <f ca="1">SUMIF('Production '!$C$4:$AI$4407,'Tracking Sheet'!B672,'Production '!$F$4:$F$4407)</f>
        <v>3230621.3283604058</v>
      </c>
      <c r="I672" s="76">
        <f ca="1">SUMIF('Production '!$C$4:$AI$4407,'Tracking Sheet'!B672,'Production '!$V$4:$V$4407)</f>
        <v>-489.86487791182844</v>
      </c>
      <c r="J672" s="76">
        <f ca="1">SUMIF('Production '!$C$4:$AI$4407,'Tracking Sheet'!B672,'Production '!$AG$4:$AG$4407)</f>
        <v>0</v>
      </c>
    </row>
    <row r="673" spans="2:10" x14ac:dyDescent="0.3">
      <c r="B673" s="277">
        <f>'Production '!C676</f>
        <v>48017</v>
      </c>
      <c r="C673" s="76">
        <f ca="1">SUMIF('Production '!$C$4:$AI$4407,'Tracking Sheet'!B673,'Production '!$M$4:$M$4407)</f>
        <v>1858</v>
      </c>
      <c r="D673" s="76">
        <f ca="1">SUMIF('Production '!$C$4:$AI$4407,'Tracking Sheet'!B673,'Production '!$Q$4:$Q$4407)</f>
        <v>1813</v>
      </c>
      <c r="E673" s="76">
        <f ca="1">SUMIF('Production '!$C$4:$AI$4407,'Tracking Sheet'!B673,'Production '!$S$4:$S$4407)</f>
        <v>1808</v>
      </c>
      <c r="F673" s="76">
        <f ca="1">SUMIF('Production '!$C$4:$AI$4407,'Tracking Sheet'!B673,'Production '!$U$4:$U$4407)</f>
        <v>20</v>
      </c>
      <c r="G673" s="76">
        <f ca="1">SUMIF('Production '!$C$4:$AI$4407,'Tracking Sheet'!B673,'Production '!$W$4:$W$4407)</f>
        <v>1788</v>
      </c>
      <c r="H673" s="76">
        <f ca="1">SUMIF('Production '!$C$4:$AI$4407,'Tracking Sheet'!B673,'Production '!$F$4:$F$4407)</f>
        <v>1590</v>
      </c>
      <c r="I673" s="76">
        <f ca="1">SUMIF('Production '!$C$4:$AI$4407,'Tracking Sheet'!B673,'Production '!$V$4:$V$4407)</f>
        <v>0</v>
      </c>
      <c r="J673" s="76">
        <f ca="1">SUMIF('Production '!$C$4:$AI$4407,'Tracking Sheet'!B673,'Production '!$AG$4:$AG$4407)</f>
        <v>0</v>
      </c>
    </row>
    <row r="674" spans="2:10" x14ac:dyDescent="0.3">
      <c r="B674" s="277">
        <f>'Production '!C677</f>
        <v>48017</v>
      </c>
      <c r="C674" s="76">
        <f ca="1">SUMIF('Production '!$C$4:$AI$4407,'Tracking Sheet'!B674,'Production '!$M$4:$M$4407)</f>
        <v>1858</v>
      </c>
      <c r="D674" s="76">
        <f ca="1">SUMIF('Production '!$C$4:$AI$4407,'Tracking Sheet'!B674,'Production '!$Q$4:$Q$4407)</f>
        <v>1813</v>
      </c>
      <c r="E674" s="76">
        <f ca="1">SUMIF('Production '!$C$4:$AI$4407,'Tracking Sheet'!B674,'Production '!$S$4:$S$4407)</f>
        <v>1808</v>
      </c>
      <c r="F674" s="76">
        <f ca="1">SUMIF('Production '!$C$4:$AI$4407,'Tracking Sheet'!B674,'Production '!$U$4:$U$4407)</f>
        <v>20</v>
      </c>
      <c r="G674" s="76">
        <f ca="1">SUMIF('Production '!$C$4:$AI$4407,'Tracking Sheet'!B674,'Production '!$W$4:$W$4407)</f>
        <v>1788</v>
      </c>
      <c r="H674" s="76">
        <f ca="1">SUMIF('Production '!$C$4:$AI$4407,'Tracking Sheet'!B674,'Production '!$F$4:$F$4407)</f>
        <v>1590</v>
      </c>
      <c r="I674" s="76">
        <f ca="1">SUMIF('Production '!$C$4:$AI$4407,'Tracking Sheet'!B674,'Production '!$V$4:$V$4407)</f>
        <v>0</v>
      </c>
      <c r="J674" s="76">
        <f ca="1">SUMIF('Production '!$C$4:$AI$4407,'Tracking Sheet'!B674,'Production '!$AG$4:$AG$4407)</f>
        <v>0</v>
      </c>
    </row>
    <row r="675" spans="2:10" x14ac:dyDescent="0.3">
      <c r="B675" s="277">
        <f>'Production '!C678</f>
        <v>0</v>
      </c>
      <c r="C675" s="76" t="e">
        <f ca="1">SUMIF('Production '!$C$4:$AI$4407,'Tracking Sheet'!B675,'Production '!$M$4:$M$4407)</f>
        <v>#DIV/0!</v>
      </c>
      <c r="D675" s="76" t="e">
        <f ca="1">SUMIF('Production '!$C$4:$AI$4407,'Tracking Sheet'!B675,'Production '!$Q$4:$Q$4407)</f>
        <v>#DIV/0!</v>
      </c>
      <c r="E675" s="76">
        <f ca="1">SUMIF('Production '!$C$4:$AI$4407,'Tracking Sheet'!B675,'Production '!$S$4:$S$4407)</f>
        <v>-1268218.9828305368</v>
      </c>
      <c r="F675" s="76">
        <f ca="1">SUMIF('Production '!$C$4:$AI$4407,'Tracking Sheet'!B675,'Production '!$U$4:$U$4407)</f>
        <v>-10620.435600016917</v>
      </c>
      <c r="G675" s="76" t="e">
        <f ca="1">SUMIF('Production '!$C$4:$AI$4407,'Tracking Sheet'!B675,'Production '!$W$4:$W$4407)</f>
        <v>#DIV/0!</v>
      </c>
      <c r="H675" s="76">
        <f ca="1">SUMIF('Production '!$C$4:$AI$4407,'Tracking Sheet'!B675,'Production '!$F$4:$F$4407)</f>
        <v>3230621.3283604058</v>
      </c>
      <c r="I675" s="76">
        <f ca="1">SUMIF('Production '!$C$4:$AI$4407,'Tracking Sheet'!B675,'Production '!$V$4:$V$4407)</f>
        <v>-489.86487791182844</v>
      </c>
      <c r="J675" s="76">
        <f ca="1">SUMIF('Production '!$C$4:$AI$4407,'Tracking Sheet'!B675,'Production '!$AG$4:$AG$4407)</f>
        <v>0</v>
      </c>
    </row>
    <row r="676" spans="2:10" x14ac:dyDescent="0.3">
      <c r="B676" s="277">
        <f>'Production '!C679</f>
        <v>48024</v>
      </c>
      <c r="C676" s="76">
        <f ca="1">SUMIF('Production '!$C$4:$AI$4407,'Tracking Sheet'!B676,'Production '!$M$4:$M$4407)</f>
        <v>2796</v>
      </c>
      <c r="D676" s="76">
        <f ca="1">SUMIF('Production '!$C$4:$AI$4407,'Tracking Sheet'!B676,'Production '!$Q$4:$Q$4407)</f>
        <v>864</v>
      </c>
      <c r="E676" s="76">
        <f ca="1">SUMIF('Production '!$C$4:$AI$4407,'Tracking Sheet'!B676,'Production '!$S$4:$S$4407)</f>
        <v>864</v>
      </c>
      <c r="F676" s="76">
        <f ca="1">SUMIF('Production '!$C$4:$AI$4407,'Tracking Sheet'!B676,'Production '!$U$4:$U$4407)</f>
        <v>8</v>
      </c>
      <c r="G676" s="76">
        <f ca="1">SUMIF('Production '!$C$4:$AI$4407,'Tracking Sheet'!B676,'Production '!$W$4:$W$4407)</f>
        <v>2788</v>
      </c>
      <c r="H676" s="76">
        <f ca="1">SUMIF('Production '!$C$4:$AI$4407,'Tracking Sheet'!B676,'Production '!$F$4:$F$4407)</f>
        <v>2670</v>
      </c>
      <c r="I676" s="76">
        <f ca="1">SUMIF('Production '!$C$4:$AI$4407,'Tracking Sheet'!B676,'Production '!$V$4:$V$4407)</f>
        <v>0</v>
      </c>
      <c r="J676" s="76">
        <f ca="1">SUMIF('Production '!$C$4:$AI$4407,'Tracking Sheet'!B676,'Production '!$AG$4:$AG$4407)</f>
        <v>0</v>
      </c>
    </row>
    <row r="677" spans="2:10" x14ac:dyDescent="0.3">
      <c r="B677" s="277">
        <f>'Production '!C680</f>
        <v>48024</v>
      </c>
      <c r="C677" s="76">
        <f ca="1">SUMIF('Production '!$C$4:$AI$4407,'Tracking Sheet'!B677,'Production '!$M$4:$M$4407)</f>
        <v>2796</v>
      </c>
      <c r="D677" s="76">
        <f ca="1">SUMIF('Production '!$C$4:$AI$4407,'Tracking Sheet'!B677,'Production '!$Q$4:$Q$4407)</f>
        <v>864</v>
      </c>
      <c r="E677" s="76">
        <f ca="1">SUMIF('Production '!$C$4:$AI$4407,'Tracking Sheet'!B677,'Production '!$S$4:$S$4407)</f>
        <v>864</v>
      </c>
      <c r="F677" s="76">
        <f ca="1">SUMIF('Production '!$C$4:$AI$4407,'Tracking Sheet'!B677,'Production '!$U$4:$U$4407)</f>
        <v>8</v>
      </c>
      <c r="G677" s="76">
        <f ca="1">SUMIF('Production '!$C$4:$AI$4407,'Tracking Sheet'!B677,'Production '!$W$4:$W$4407)</f>
        <v>2788</v>
      </c>
      <c r="H677" s="76">
        <f ca="1">SUMIF('Production '!$C$4:$AI$4407,'Tracking Sheet'!B677,'Production '!$F$4:$F$4407)</f>
        <v>2670</v>
      </c>
      <c r="I677" s="76">
        <f ca="1">SUMIF('Production '!$C$4:$AI$4407,'Tracking Sheet'!B677,'Production '!$V$4:$V$4407)</f>
        <v>0</v>
      </c>
      <c r="J677" s="76">
        <f ca="1">SUMIF('Production '!$C$4:$AI$4407,'Tracking Sheet'!B677,'Production '!$AG$4:$AG$4407)</f>
        <v>0</v>
      </c>
    </row>
    <row r="678" spans="2:10" x14ac:dyDescent="0.3">
      <c r="B678" s="277">
        <f>'Production '!C681</f>
        <v>48024</v>
      </c>
      <c r="C678" s="76">
        <f ca="1">SUMIF('Production '!$C$4:$AI$4407,'Tracking Sheet'!B678,'Production '!$M$4:$M$4407)</f>
        <v>2796</v>
      </c>
      <c r="D678" s="76">
        <f ca="1">SUMIF('Production '!$C$4:$AI$4407,'Tracking Sheet'!B678,'Production '!$Q$4:$Q$4407)</f>
        <v>864</v>
      </c>
      <c r="E678" s="76">
        <f ca="1">SUMIF('Production '!$C$4:$AI$4407,'Tracking Sheet'!B678,'Production '!$S$4:$S$4407)</f>
        <v>864</v>
      </c>
      <c r="F678" s="76">
        <f ca="1">SUMIF('Production '!$C$4:$AI$4407,'Tracking Sheet'!B678,'Production '!$U$4:$U$4407)</f>
        <v>8</v>
      </c>
      <c r="G678" s="76">
        <f ca="1">SUMIF('Production '!$C$4:$AI$4407,'Tracking Sheet'!B678,'Production '!$W$4:$W$4407)</f>
        <v>2788</v>
      </c>
      <c r="H678" s="76">
        <f ca="1">SUMIF('Production '!$C$4:$AI$4407,'Tracking Sheet'!B678,'Production '!$F$4:$F$4407)</f>
        <v>2670</v>
      </c>
      <c r="I678" s="76">
        <f ca="1">SUMIF('Production '!$C$4:$AI$4407,'Tracking Sheet'!B678,'Production '!$V$4:$V$4407)</f>
        <v>0</v>
      </c>
      <c r="J678" s="76">
        <f ca="1">SUMIF('Production '!$C$4:$AI$4407,'Tracking Sheet'!B678,'Production '!$AG$4:$AG$4407)</f>
        <v>0</v>
      </c>
    </row>
    <row r="679" spans="2:10" x14ac:dyDescent="0.3">
      <c r="B679" s="277">
        <f>'Production '!C682</f>
        <v>48024</v>
      </c>
      <c r="C679" s="76">
        <f ca="1">SUMIF('Production '!$C$4:$AI$4407,'Tracking Sheet'!B679,'Production '!$M$4:$M$4407)</f>
        <v>2796</v>
      </c>
      <c r="D679" s="76">
        <f ca="1">SUMIF('Production '!$C$4:$AI$4407,'Tracking Sheet'!B679,'Production '!$Q$4:$Q$4407)</f>
        <v>864</v>
      </c>
      <c r="E679" s="76">
        <f ca="1">SUMIF('Production '!$C$4:$AI$4407,'Tracking Sheet'!B679,'Production '!$S$4:$S$4407)</f>
        <v>864</v>
      </c>
      <c r="F679" s="76">
        <f ca="1">SUMIF('Production '!$C$4:$AI$4407,'Tracking Sheet'!B679,'Production '!$U$4:$U$4407)</f>
        <v>8</v>
      </c>
      <c r="G679" s="76">
        <f ca="1">SUMIF('Production '!$C$4:$AI$4407,'Tracking Sheet'!B679,'Production '!$W$4:$W$4407)</f>
        <v>2788</v>
      </c>
      <c r="H679" s="76">
        <f ca="1">SUMIF('Production '!$C$4:$AI$4407,'Tracking Sheet'!B679,'Production '!$F$4:$F$4407)</f>
        <v>2670</v>
      </c>
      <c r="I679" s="76">
        <f ca="1">SUMIF('Production '!$C$4:$AI$4407,'Tracking Sheet'!B679,'Production '!$V$4:$V$4407)</f>
        <v>0</v>
      </c>
      <c r="J679" s="76">
        <f ca="1">SUMIF('Production '!$C$4:$AI$4407,'Tracking Sheet'!B679,'Production '!$AG$4:$AG$4407)</f>
        <v>0</v>
      </c>
    </row>
    <row r="680" spans="2:10" x14ac:dyDescent="0.3">
      <c r="B680" s="277">
        <f>'Production '!C683</f>
        <v>0</v>
      </c>
      <c r="C680" s="76" t="e">
        <f ca="1">SUMIF('Production '!$C$4:$AI$4407,'Tracking Sheet'!B680,'Production '!$M$4:$M$4407)</f>
        <v>#DIV/0!</v>
      </c>
      <c r="D680" s="76" t="e">
        <f ca="1">SUMIF('Production '!$C$4:$AI$4407,'Tracking Sheet'!B680,'Production '!$Q$4:$Q$4407)</f>
        <v>#DIV/0!</v>
      </c>
      <c r="E680" s="76">
        <f ca="1">SUMIF('Production '!$C$4:$AI$4407,'Tracking Sheet'!B680,'Production '!$S$4:$S$4407)</f>
        <v>-1268218.9828305368</v>
      </c>
      <c r="F680" s="76">
        <f ca="1">SUMIF('Production '!$C$4:$AI$4407,'Tracking Sheet'!B680,'Production '!$U$4:$U$4407)</f>
        <v>-10620.435600016917</v>
      </c>
      <c r="G680" s="76" t="e">
        <f ca="1">SUMIF('Production '!$C$4:$AI$4407,'Tracking Sheet'!B680,'Production '!$W$4:$W$4407)</f>
        <v>#DIV/0!</v>
      </c>
      <c r="H680" s="76">
        <f ca="1">SUMIF('Production '!$C$4:$AI$4407,'Tracking Sheet'!B680,'Production '!$F$4:$F$4407)</f>
        <v>3230621.3283604058</v>
      </c>
      <c r="I680" s="76">
        <f ca="1">SUMIF('Production '!$C$4:$AI$4407,'Tracking Sheet'!B680,'Production '!$V$4:$V$4407)</f>
        <v>-489.86487791182844</v>
      </c>
      <c r="J680" s="76">
        <f ca="1">SUMIF('Production '!$C$4:$AI$4407,'Tracking Sheet'!B680,'Production '!$AG$4:$AG$4407)</f>
        <v>0</v>
      </c>
    </row>
    <row r="681" spans="2:10" x14ac:dyDescent="0.3">
      <c r="B681" s="277">
        <f>'Production '!C684</f>
        <v>48021</v>
      </c>
      <c r="C681" s="76">
        <f ca="1">SUMIF('Production '!$C$4:$AI$4407,'Tracking Sheet'!B681,'Production '!$M$4:$M$4407)</f>
        <v>2720</v>
      </c>
      <c r="D681" s="76">
        <f ca="1">SUMIF('Production '!$C$4:$AI$4407,'Tracking Sheet'!B681,'Production '!$Q$4:$Q$4407)</f>
        <v>923</v>
      </c>
      <c r="E681" s="76">
        <f ca="1">SUMIF('Production '!$C$4:$AI$4407,'Tracking Sheet'!B681,'Production '!$S$4:$S$4407)</f>
        <v>923</v>
      </c>
      <c r="F681" s="76">
        <f ca="1">SUMIF('Production '!$C$4:$AI$4407,'Tracking Sheet'!B681,'Production '!$U$4:$U$4407)</f>
        <v>1667</v>
      </c>
      <c r="G681" s="76">
        <f ca="1">SUMIF('Production '!$C$4:$AI$4407,'Tracking Sheet'!B681,'Production '!$W$4:$W$4407)</f>
        <v>1053</v>
      </c>
      <c r="H681" s="76">
        <f ca="1">SUMIF('Production '!$C$4:$AI$4407,'Tracking Sheet'!B681,'Production '!$F$4:$F$4407)</f>
        <v>2595</v>
      </c>
      <c r="I681" s="76">
        <f ca="1">SUMIF('Production '!$C$4:$AI$4407,'Tracking Sheet'!B681,'Production '!$V$4:$V$4407)</f>
        <v>1053</v>
      </c>
      <c r="J681" s="76">
        <f ca="1">SUMIF('Production '!$C$4:$AI$4407,'Tracking Sheet'!B681,'Production '!$AG$4:$AG$4407)</f>
        <v>0</v>
      </c>
    </row>
    <row r="682" spans="2:10" x14ac:dyDescent="0.3">
      <c r="B682" s="277">
        <f>'Production '!C685</f>
        <v>48021</v>
      </c>
      <c r="C682" s="76">
        <f ca="1">SUMIF('Production '!$C$4:$AI$4407,'Tracking Sheet'!B682,'Production '!$M$4:$M$4407)</f>
        <v>2720</v>
      </c>
      <c r="D682" s="76">
        <f ca="1">SUMIF('Production '!$C$4:$AI$4407,'Tracking Sheet'!B682,'Production '!$Q$4:$Q$4407)</f>
        <v>923</v>
      </c>
      <c r="E682" s="76">
        <f ca="1">SUMIF('Production '!$C$4:$AI$4407,'Tracking Sheet'!B682,'Production '!$S$4:$S$4407)</f>
        <v>923</v>
      </c>
      <c r="F682" s="76">
        <f ca="1">SUMIF('Production '!$C$4:$AI$4407,'Tracking Sheet'!B682,'Production '!$U$4:$U$4407)</f>
        <v>1667</v>
      </c>
      <c r="G682" s="76">
        <f ca="1">SUMIF('Production '!$C$4:$AI$4407,'Tracking Sheet'!B682,'Production '!$W$4:$W$4407)</f>
        <v>1053</v>
      </c>
      <c r="H682" s="76">
        <f ca="1">SUMIF('Production '!$C$4:$AI$4407,'Tracking Sheet'!B682,'Production '!$F$4:$F$4407)</f>
        <v>2595</v>
      </c>
      <c r="I682" s="76">
        <f ca="1">SUMIF('Production '!$C$4:$AI$4407,'Tracking Sheet'!B682,'Production '!$V$4:$V$4407)</f>
        <v>1053</v>
      </c>
      <c r="J682" s="76">
        <f ca="1">SUMIF('Production '!$C$4:$AI$4407,'Tracking Sheet'!B682,'Production '!$AG$4:$AG$4407)</f>
        <v>0</v>
      </c>
    </row>
    <row r="683" spans="2:10" x14ac:dyDescent="0.3">
      <c r="B683" s="277">
        <f>'Production '!C686</f>
        <v>48021</v>
      </c>
      <c r="C683" s="76">
        <f ca="1">SUMIF('Production '!$C$4:$AI$4407,'Tracking Sheet'!B683,'Production '!$M$4:$M$4407)</f>
        <v>2720</v>
      </c>
      <c r="D683" s="76">
        <f ca="1">SUMIF('Production '!$C$4:$AI$4407,'Tracking Sheet'!B683,'Production '!$Q$4:$Q$4407)</f>
        <v>923</v>
      </c>
      <c r="E683" s="76">
        <f ca="1">SUMIF('Production '!$C$4:$AI$4407,'Tracking Sheet'!B683,'Production '!$S$4:$S$4407)</f>
        <v>923</v>
      </c>
      <c r="F683" s="76">
        <f ca="1">SUMIF('Production '!$C$4:$AI$4407,'Tracking Sheet'!B683,'Production '!$U$4:$U$4407)</f>
        <v>1667</v>
      </c>
      <c r="G683" s="76">
        <f ca="1">SUMIF('Production '!$C$4:$AI$4407,'Tracking Sheet'!B683,'Production '!$W$4:$W$4407)</f>
        <v>1053</v>
      </c>
      <c r="H683" s="76">
        <f ca="1">SUMIF('Production '!$C$4:$AI$4407,'Tracking Sheet'!B683,'Production '!$F$4:$F$4407)</f>
        <v>2595</v>
      </c>
      <c r="I683" s="76">
        <f ca="1">SUMIF('Production '!$C$4:$AI$4407,'Tracking Sheet'!B683,'Production '!$V$4:$V$4407)</f>
        <v>1053</v>
      </c>
      <c r="J683" s="76">
        <f ca="1">SUMIF('Production '!$C$4:$AI$4407,'Tracking Sheet'!B683,'Production '!$AG$4:$AG$4407)</f>
        <v>0</v>
      </c>
    </row>
    <row r="684" spans="2:10" x14ac:dyDescent="0.3">
      <c r="B684" s="277">
        <f>'Production '!C687</f>
        <v>0</v>
      </c>
      <c r="C684" s="76" t="e">
        <f ca="1">SUMIF('Production '!$C$4:$AI$4407,'Tracking Sheet'!B684,'Production '!$M$4:$M$4407)</f>
        <v>#DIV/0!</v>
      </c>
      <c r="D684" s="76" t="e">
        <f ca="1">SUMIF('Production '!$C$4:$AI$4407,'Tracking Sheet'!B684,'Production '!$Q$4:$Q$4407)</f>
        <v>#DIV/0!</v>
      </c>
      <c r="E684" s="76">
        <f ca="1">SUMIF('Production '!$C$4:$AI$4407,'Tracking Sheet'!B684,'Production '!$S$4:$S$4407)</f>
        <v>-1268218.9828305368</v>
      </c>
      <c r="F684" s="76">
        <f ca="1">SUMIF('Production '!$C$4:$AI$4407,'Tracking Sheet'!B684,'Production '!$U$4:$U$4407)</f>
        <v>-10620.435600016917</v>
      </c>
      <c r="G684" s="76" t="e">
        <f ca="1">SUMIF('Production '!$C$4:$AI$4407,'Tracking Sheet'!B684,'Production '!$W$4:$W$4407)</f>
        <v>#DIV/0!</v>
      </c>
      <c r="H684" s="76">
        <f ca="1">SUMIF('Production '!$C$4:$AI$4407,'Tracking Sheet'!B684,'Production '!$F$4:$F$4407)</f>
        <v>3230621.3283604058</v>
      </c>
      <c r="I684" s="76">
        <f ca="1">SUMIF('Production '!$C$4:$AI$4407,'Tracking Sheet'!B684,'Production '!$V$4:$V$4407)</f>
        <v>-489.86487791182844</v>
      </c>
      <c r="J684" s="76">
        <f ca="1">SUMIF('Production '!$C$4:$AI$4407,'Tracking Sheet'!B684,'Production '!$AG$4:$AG$4407)</f>
        <v>0</v>
      </c>
    </row>
    <row r="685" spans="2:10" x14ac:dyDescent="0.3">
      <c r="B685" s="277">
        <f>'Production '!C688</f>
        <v>48018</v>
      </c>
      <c r="C685" s="76">
        <f ca="1">SUMIF('Production '!$C$4:$AI$4407,'Tracking Sheet'!B685,'Production '!$M$4:$M$4407)</f>
        <v>852</v>
      </c>
      <c r="D685" s="76">
        <f ca="1">SUMIF('Production '!$C$4:$AI$4407,'Tracking Sheet'!B685,'Production '!$Q$4:$Q$4407)</f>
        <v>852</v>
      </c>
      <c r="E685" s="76">
        <f ca="1">SUMIF('Production '!$C$4:$AI$4407,'Tracking Sheet'!B685,'Production '!$S$4:$S$4407)</f>
        <v>852</v>
      </c>
      <c r="F685" s="76">
        <f ca="1">SUMIF('Production '!$C$4:$AI$4407,'Tracking Sheet'!B685,'Production '!$U$4:$U$4407)</f>
        <v>2</v>
      </c>
      <c r="G685" s="76">
        <f ca="1">SUMIF('Production '!$C$4:$AI$4407,'Tracking Sheet'!B685,'Production '!$W$4:$W$4407)</f>
        <v>850</v>
      </c>
      <c r="H685" s="76">
        <f ca="1">SUMIF('Production '!$C$4:$AI$4407,'Tracking Sheet'!B685,'Production '!$F$4:$F$4407)</f>
        <v>810</v>
      </c>
      <c r="I685" s="76">
        <f ca="1">SUMIF('Production '!$C$4:$AI$4407,'Tracking Sheet'!B685,'Production '!$V$4:$V$4407)</f>
        <v>0</v>
      </c>
      <c r="J685" s="76">
        <f ca="1">SUMIF('Production '!$C$4:$AI$4407,'Tracking Sheet'!B685,'Production '!$AG$4:$AG$4407)</f>
        <v>0</v>
      </c>
    </row>
    <row r="686" spans="2:10" x14ac:dyDescent="0.3">
      <c r="B686" s="277">
        <f>'Production '!C689</f>
        <v>48018</v>
      </c>
      <c r="C686" s="76">
        <f ca="1">SUMIF('Production '!$C$4:$AI$4407,'Tracking Sheet'!B686,'Production '!$M$4:$M$4407)</f>
        <v>852</v>
      </c>
      <c r="D686" s="76">
        <f ca="1">SUMIF('Production '!$C$4:$AI$4407,'Tracking Sheet'!B686,'Production '!$Q$4:$Q$4407)</f>
        <v>852</v>
      </c>
      <c r="E686" s="76">
        <f ca="1">SUMIF('Production '!$C$4:$AI$4407,'Tracking Sheet'!B686,'Production '!$S$4:$S$4407)</f>
        <v>852</v>
      </c>
      <c r="F686" s="76">
        <f ca="1">SUMIF('Production '!$C$4:$AI$4407,'Tracking Sheet'!B686,'Production '!$U$4:$U$4407)</f>
        <v>2</v>
      </c>
      <c r="G686" s="76">
        <f ca="1">SUMIF('Production '!$C$4:$AI$4407,'Tracking Sheet'!B686,'Production '!$W$4:$W$4407)</f>
        <v>850</v>
      </c>
      <c r="H686" s="76">
        <f ca="1">SUMIF('Production '!$C$4:$AI$4407,'Tracking Sheet'!B686,'Production '!$F$4:$F$4407)</f>
        <v>810</v>
      </c>
      <c r="I686" s="76">
        <f ca="1">SUMIF('Production '!$C$4:$AI$4407,'Tracking Sheet'!B686,'Production '!$V$4:$V$4407)</f>
        <v>0</v>
      </c>
      <c r="J686" s="76">
        <f ca="1">SUMIF('Production '!$C$4:$AI$4407,'Tracking Sheet'!B686,'Production '!$AG$4:$AG$4407)</f>
        <v>0</v>
      </c>
    </row>
    <row r="687" spans="2:10" x14ac:dyDescent="0.3">
      <c r="B687" s="277">
        <f>'Production '!C690</f>
        <v>0</v>
      </c>
      <c r="C687" s="76" t="e">
        <f ca="1">SUMIF('Production '!$C$4:$AI$4407,'Tracking Sheet'!B687,'Production '!$M$4:$M$4407)</f>
        <v>#DIV/0!</v>
      </c>
      <c r="D687" s="76" t="e">
        <f ca="1">SUMIF('Production '!$C$4:$AI$4407,'Tracking Sheet'!B687,'Production '!$Q$4:$Q$4407)</f>
        <v>#DIV/0!</v>
      </c>
      <c r="E687" s="76">
        <f ca="1">SUMIF('Production '!$C$4:$AI$4407,'Tracking Sheet'!B687,'Production '!$S$4:$S$4407)</f>
        <v>-1268218.9828305368</v>
      </c>
      <c r="F687" s="76">
        <f ca="1">SUMIF('Production '!$C$4:$AI$4407,'Tracking Sheet'!B687,'Production '!$U$4:$U$4407)</f>
        <v>-10620.435600016917</v>
      </c>
      <c r="G687" s="76" t="e">
        <f ca="1">SUMIF('Production '!$C$4:$AI$4407,'Tracking Sheet'!B687,'Production '!$W$4:$W$4407)</f>
        <v>#DIV/0!</v>
      </c>
      <c r="H687" s="76">
        <f ca="1">SUMIF('Production '!$C$4:$AI$4407,'Tracking Sheet'!B687,'Production '!$F$4:$F$4407)</f>
        <v>3230621.3283604058</v>
      </c>
      <c r="I687" s="76">
        <f ca="1">SUMIF('Production '!$C$4:$AI$4407,'Tracking Sheet'!B687,'Production '!$V$4:$V$4407)</f>
        <v>-489.86487791182844</v>
      </c>
      <c r="J687" s="76">
        <f ca="1">SUMIF('Production '!$C$4:$AI$4407,'Tracking Sheet'!B687,'Production '!$AG$4:$AG$4407)</f>
        <v>0</v>
      </c>
    </row>
    <row r="688" spans="2:10" x14ac:dyDescent="0.3">
      <c r="B688" s="277">
        <f>'Production '!C691</f>
        <v>48016</v>
      </c>
      <c r="C688" s="76">
        <f ca="1">SUMIF('Production '!$C$4:$AI$4407,'Tracking Sheet'!B688,'Production '!$M$4:$M$4407)</f>
        <v>1088</v>
      </c>
      <c r="D688" s="76">
        <f ca="1">SUMIF('Production '!$C$4:$AI$4407,'Tracking Sheet'!B688,'Production '!$Q$4:$Q$4407)</f>
        <v>1088</v>
      </c>
      <c r="E688" s="76">
        <f ca="1">SUMIF('Production '!$C$4:$AI$4407,'Tracking Sheet'!B688,'Production '!$S$4:$S$4407)</f>
        <v>1080</v>
      </c>
      <c r="F688" s="76">
        <f ca="1">SUMIF('Production '!$C$4:$AI$4407,'Tracking Sheet'!B688,'Production '!$U$4:$U$4407)</f>
        <v>1</v>
      </c>
      <c r="G688" s="76">
        <f ca="1">SUMIF('Production '!$C$4:$AI$4407,'Tracking Sheet'!B688,'Production '!$W$4:$W$4407)</f>
        <v>1079</v>
      </c>
      <c r="H688" s="76">
        <f ca="1">SUMIF('Production '!$C$4:$AI$4407,'Tracking Sheet'!B688,'Production '!$F$4:$F$4407)</f>
        <v>1020</v>
      </c>
      <c r="I688" s="76">
        <f ca="1">SUMIF('Production '!$C$4:$AI$4407,'Tracking Sheet'!B688,'Production '!$V$4:$V$4407)</f>
        <v>0</v>
      </c>
      <c r="J688" s="76">
        <f ca="1">SUMIF('Production '!$C$4:$AI$4407,'Tracking Sheet'!B688,'Production '!$AG$4:$AG$4407)</f>
        <v>0</v>
      </c>
    </row>
    <row r="689" spans="2:10" x14ac:dyDescent="0.3">
      <c r="B689" s="277">
        <f>'Production '!C692</f>
        <v>48016</v>
      </c>
      <c r="C689" s="76">
        <f ca="1">SUMIF('Production '!$C$4:$AI$4407,'Tracking Sheet'!B689,'Production '!$M$4:$M$4407)</f>
        <v>1088</v>
      </c>
      <c r="D689" s="76">
        <f ca="1">SUMIF('Production '!$C$4:$AI$4407,'Tracking Sheet'!B689,'Production '!$Q$4:$Q$4407)</f>
        <v>1088</v>
      </c>
      <c r="E689" s="76">
        <f ca="1">SUMIF('Production '!$C$4:$AI$4407,'Tracking Sheet'!B689,'Production '!$S$4:$S$4407)</f>
        <v>1080</v>
      </c>
      <c r="F689" s="76">
        <f ca="1">SUMIF('Production '!$C$4:$AI$4407,'Tracking Sheet'!B689,'Production '!$U$4:$U$4407)</f>
        <v>1</v>
      </c>
      <c r="G689" s="76">
        <f ca="1">SUMIF('Production '!$C$4:$AI$4407,'Tracking Sheet'!B689,'Production '!$W$4:$W$4407)</f>
        <v>1079</v>
      </c>
      <c r="H689" s="76">
        <f ca="1">SUMIF('Production '!$C$4:$AI$4407,'Tracking Sheet'!B689,'Production '!$F$4:$F$4407)</f>
        <v>1020</v>
      </c>
      <c r="I689" s="76">
        <f ca="1">SUMIF('Production '!$C$4:$AI$4407,'Tracking Sheet'!B689,'Production '!$V$4:$V$4407)</f>
        <v>0</v>
      </c>
      <c r="J689" s="76">
        <f ca="1">SUMIF('Production '!$C$4:$AI$4407,'Tracking Sheet'!B689,'Production '!$AG$4:$AG$4407)</f>
        <v>0</v>
      </c>
    </row>
    <row r="690" spans="2:10" x14ac:dyDescent="0.3">
      <c r="B690" s="277">
        <f>'Production '!C693</f>
        <v>0</v>
      </c>
      <c r="C690" s="76" t="e">
        <f ca="1">SUMIF('Production '!$C$4:$AI$4407,'Tracking Sheet'!B690,'Production '!$M$4:$M$4407)</f>
        <v>#DIV/0!</v>
      </c>
      <c r="D690" s="76" t="e">
        <f ca="1">SUMIF('Production '!$C$4:$AI$4407,'Tracking Sheet'!B690,'Production '!$Q$4:$Q$4407)</f>
        <v>#DIV/0!</v>
      </c>
      <c r="E690" s="76">
        <f ca="1">SUMIF('Production '!$C$4:$AI$4407,'Tracking Sheet'!B690,'Production '!$S$4:$S$4407)</f>
        <v>-1268218.9828305368</v>
      </c>
      <c r="F690" s="76">
        <f ca="1">SUMIF('Production '!$C$4:$AI$4407,'Tracking Sheet'!B690,'Production '!$U$4:$U$4407)</f>
        <v>-10620.435600016917</v>
      </c>
      <c r="G690" s="76" t="e">
        <f ca="1">SUMIF('Production '!$C$4:$AI$4407,'Tracking Sheet'!B690,'Production '!$W$4:$W$4407)</f>
        <v>#DIV/0!</v>
      </c>
      <c r="H690" s="76">
        <f ca="1">SUMIF('Production '!$C$4:$AI$4407,'Tracking Sheet'!B690,'Production '!$F$4:$F$4407)</f>
        <v>3230621.3283604058</v>
      </c>
      <c r="I690" s="76">
        <f ca="1">SUMIF('Production '!$C$4:$AI$4407,'Tracking Sheet'!B690,'Production '!$V$4:$V$4407)</f>
        <v>-489.86487791182844</v>
      </c>
      <c r="J690" s="76">
        <f ca="1">SUMIF('Production '!$C$4:$AI$4407,'Tracking Sheet'!B690,'Production '!$AG$4:$AG$4407)</f>
        <v>0</v>
      </c>
    </row>
    <row r="691" spans="2:10" x14ac:dyDescent="0.3">
      <c r="B691" s="277">
        <f>'Production '!C694</f>
        <v>48057</v>
      </c>
      <c r="C691" s="76">
        <f ca="1">SUMIF('Production '!$C$4:$AI$4407,'Tracking Sheet'!B691,'Production '!$M$4:$M$4407)</f>
        <v>5793</v>
      </c>
      <c r="D691" s="76">
        <f ca="1">SUMIF('Production '!$C$4:$AI$4407,'Tracking Sheet'!B691,'Production '!$Q$4:$Q$4407)</f>
        <v>5753</v>
      </c>
      <c r="E691" s="76">
        <f ca="1">SUMIF('Production '!$C$4:$AI$4407,'Tracking Sheet'!B691,'Production '!$S$4:$S$4407)</f>
        <v>4520</v>
      </c>
      <c r="F691" s="76">
        <f ca="1">SUMIF('Production '!$C$4:$AI$4407,'Tracking Sheet'!B691,'Production '!$U$4:$U$4407)</f>
        <v>4520</v>
      </c>
      <c r="G691" s="76">
        <f ca="1">SUMIF('Production '!$C$4:$AI$4407,'Tracking Sheet'!B691,'Production '!$W$4:$W$4407)</f>
        <v>0</v>
      </c>
      <c r="H691" s="76">
        <f ca="1">SUMIF('Production '!$C$4:$AI$4407,'Tracking Sheet'!B691,'Production '!$F$4:$F$4407)</f>
        <v>5608</v>
      </c>
      <c r="I691" s="76">
        <f ca="1">SUMIF('Production '!$C$4:$AI$4407,'Tracking Sheet'!B691,'Production '!$V$4:$V$4407)</f>
        <v>0</v>
      </c>
      <c r="J691" s="76">
        <f ca="1">SUMIF('Production '!$C$4:$AI$4407,'Tracking Sheet'!B691,'Production '!$AG$4:$AG$4407)</f>
        <v>0</v>
      </c>
    </row>
    <row r="692" spans="2:10" x14ac:dyDescent="0.3">
      <c r="B692" s="277">
        <f>'Production '!C695</f>
        <v>48057</v>
      </c>
      <c r="C692" s="76">
        <f ca="1">SUMIF('Production '!$C$4:$AI$4407,'Tracking Sheet'!B692,'Production '!$M$4:$M$4407)</f>
        <v>5793</v>
      </c>
      <c r="D692" s="76">
        <f ca="1">SUMIF('Production '!$C$4:$AI$4407,'Tracking Sheet'!B692,'Production '!$Q$4:$Q$4407)</f>
        <v>5753</v>
      </c>
      <c r="E692" s="76">
        <f ca="1">SUMIF('Production '!$C$4:$AI$4407,'Tracking Sheet'!B692,'Production '!$S$4:$S$4407)</f>
        <v>4520</v>
      </c>
      <c r="F692" s="76">
        <f ca="1">SUMIF('Production '!$C$4:$AI$4407,'Tracking Sheet'!B692,'Production '!$U$4:$U$4407)</f>
        <v>4520</v>
      </c>
      <c r="G692" s="76">
        <f ca="1">SUMIF('Production '!$C$4:$AI$4407,'Tracking Sheet'!B692,'Production '!$W$4:$W$4407)</f>
        <v>0</v>
      </c>
      <c r="H692" s="76">
        <f ca="1">SUMIF('Production '!$C$4:$AI$4407,'Tracking Sheet'!B692,'Production '!$F$4:$F$4407)</f>
        <v>5608</v>
      </c>
      <c r="I692" s="76">
        <f ca="1">SUMIF('Production '!$C$4:$AI$4407,'Tracking Sheet'!B692,'Production '!$V$4:$V$4407)</f>
        <v>0</v>
      </c>
      <c r="J692" s="76">
        <f ca="1">SUMIF('Production '!$C$4:$AI$4407,'Tracking Sheet'!B692,'Production '!$AG$4:$AG$4407)</f>
        <v>0</v>
      </c>
    </row>
    <row r="693" spans="2:10" x14ac:dyDescent="0.3">
      <c r="B693" s="277">
        <f>'Production '!C696</f>
        <v>0</v>
      </c>
      <c r="C693" s="76" t="e">
        <f ca="1">SUMIF('Production '!$C$4:$AI$4407,'Tracking Sheet'!B693,'Production '!$M$4:$M$4407)</f>
        <v>#DIV/0!</v>
      </c>
      <c r="D693" s="76" t="e">
        <f ca="1">SUMIF('Production '!$C$4:$AI$4407,'Tracking Sheet'!B693,'Production '!$Q$4:$Q$4407)</f>
        <v>#DIV/0!</v>
      </c>
      <c r="E693" s="76">
        <f ca="1">SUMIF('Production '!$C$4:$AI$4407,'Tracking Sheet'!B693,'Production '!$S$4:$S$4407)</f>
        <v>-1268218.9828305368</v>
      </c>
      <c r="F693" s="76">
        <f ca="1">SUMIF('Production '!$C$4:$AI$4407,'Tracking Sheet'!B693,'Production '!$U$4:$U$4407)</f>
        <v>-10620.435600016917</v>
      </c>
      <c r="G693" s="76" t="e">
        <f ca="1">SUMIF('Production '!$C$4:$AI$4407,'Tracking Sheet'!B693,'Production '!$W$4:$W$4407)</f>
        <v>#DIV/0!</v>
      </c>
      <c r="H693" s="76">
        <f ca="1">SUMIF('Production '!$C$4:$AI$4407,'Tracking Sheet'!B693,'Production '!$F$4:$F$4407)</f>
        <v>3230621.3283604058</v>
      </c>
      <c r="I693" s="76">
        <f ca="1">SUMIF('Production '!$C$4:$AI$4407,'Tracking Sheet'!B693,'Production '!$V$4:$V$4407)</f>
        <v>-489.86487791182844</v>
      </c>
      <c r="J693" s="76">
        <f ca="1">SUMIF('Production '!$C$4:$AI$4407,'Tracking Sheet'!B693,'Production '!$AG$4:$AG$4407)</f>
        <v>0</v>
      </c>
    </row>
    <row r="694" spans="2:10" x14ac:dyDescent="0.3">
      <c r="B694" s="277">
        <f>'Production '!C697</f>
        <v>48063</v>
      </c>
      <c r="C694" s="76">
        <f ca="1">SUMIF('Production '!$C$4:$AI$4407,'Tracking Sheet'!B694,'Production '!$M$4:$M$4407)</f>
        <v>0</v>
      </c>
      <c r="D694" s="76">
        <f ca="1">SUMIF('Production '!$C$4:$AI$4407,'Tracking Sheet'!B694,'Production '!$Q$4:$Q$4407)</f>
        <v>0</v>
      </c>
      <c r="E694" s="76">
        <f ca="1">SUMIF('Production '!$C$4:$AI$4407,'Tracking Sheet'!B694,'Production '!$S$4:$S$4407)</f>
        <v>0</v>
      </c>
      <c r="F694" s="76">
        <f ca="1">SUMIF('Production '!$C$4:$AI$4407,'Tracking Sheet'!B694,'Production '!$U$4:$U$4407)</f>
        <v>0</v>
      </c>
      <c r="G694" s="76">
        <f ca="1">SUMIF('Production '!$C$4:$AI$4407,'Tracking Sheet'!B694,'Production '!$W$4:$W$4407)</f>
        <v>0</v>
      </c>
      <c r="H694" s="76">
        <f ca="1">SUMIF('Production '!$C$4:$AI$4407,'Tracking Sheet'!B694,'Production '!$F$4:$F$4407)</f>
        <v>4708</v>
      </c>
      <c r="I694" s="76">
        <f ca="1">SUMIF('Production '!$C$4:$AI$4407,'Tracking Sheet'!B694,'Production '!$V$4:$V$4407)</f>
        <v>0</v>
      </c>
      <c r="J694" s="76">
        <f ca="1">SUMIF('Production '!$C$4:$AI$4407,'Tracking Sheet'!B694,'Production '!$AG$4:$AG$4407)</f>
        <v>-4708</v>
      </c>
    </row>
    <row r="695" spans="2:10" x14ac:dyDescent="0.3">
      <c r="B695" s="277">
        <f>'Production '!C698</f>
        <v>48063</v>
      </c>
      <c r="C695" s="76">
        <f ca="1">SUMIF('Production '!$C$4:$AI$4407,'Tracking Sheet'!B695,'Production '!$M$4:$M$4407)</f>
        <v>0</v>
      </c>
      <c r="D695" s="76">
        <f ca="1">SUMIF('Production '!$C$4:$AI$4407,'Tracking Sheet'!B695,'Production '!$Q$4:$Q$4407)</f>
        <v>0</v>
      </c>
      <c r="E695" s="76">
        <f ca="1">SUMIF('Production '!$C$4:$AI$4407,'Tracking Sheet'!B695,'Production '!$S$4:$S$4407)</f>
        <v>0</v>
      </c>
      <c r="F695" s="76">
        <f ca="1">SUMIF('Production '!$C$4:$AI$4407,'Tracking Sheet'!B695,'Production '!$U$4:$U$4407)</f>
        <v>0</v>
      </c>
      <c r="G695" s="76">
        <f ca="1">SUMIF('Production '!$C$4:$AI$4407,'Tracking Sheet'!B695,'Production '!$W$4:$W$4407)</f>
        <v>0</v>
      </c>
      <c r="H695" s="76">
        <f ca="1">SUMIF('Production '!$C$4:$AI$4407,'Tracking Sheet'!B695,'Production '!$F$4:$F$4407)</f>
        <v>4708</v>
      </c>
      <c r="I695" s="76">
        <f ca="1">SUMIF('Production '!$C$4:$AI$4407,'Tracking Sheet'!B695,'Production '!$V$4:$V$4407)</f>
        <v>0</v>
      </c>
      <c r="J695" s="76">
        <f ca="1">SUMIF('Production '!$C$4:$AI$4407,'Tracking Sheet'!B695,'Production '!$AG$4:$AG$4407)</f>
        <v>-4708</v>
      </c>
    </row>
    <row r="696" spans="2:10" x14ac:dyDescent="0.3">
      <c r="B696" s="277">
        <f>'Production '!C699</f>
        <v>0</v>
      </c>
      <c r="C696" s="76" t="e">
        <f ca="1">SUMIF('Production '!$C$4:$AI$4407,'Tracking Sheet'!B696,'Production '!$M$4:$M$4407)</f>
        <v>#DIV/0!</v>
      </c>
      <c r="D696" s="76" t="e">
        <f ca="1">SUMIF('Production '!$C$4:$AI$4407,'Tracking Sheet'!B696,'Production '!$Q$4:$Q$4407)</f>
        <v>#DIV/0!</v>
      </c>
      <c r="E696" s="76">
        <f ca="1">SUMIF('Production '!$C$4:$AI$4407,'Tracking Sheet'!B696,'Production '!$S$4:$S$4407)</f>
        <v>-1268218.9828305368</v>
      </c>
      <c r="F696" s="76">
        <f ca="1">SUMIF('Production '!$C$4:$AI$4407,'Tracking Sheet'!B696,'Production '!$U$4:$U$4407)</f>
        <v>-10620.435600016917</v>
      </c>
      <c r="G696" s="76" t="e">
        <f ca="1">SUMIF('Production '!$C$4:$AI$4407,'Tracking Sheet'!B696,'Production '!$W$4:$W$4407)</f>
        <v>#DIV/0!</v>
      </c>
      <c r="H696" s="76">
        <f ca="1">SUMIF('Production '!$C$4:$AI$4407,'Tracking Sheet'!B696,'Production '!$F$4:$F$4407)</f>
        <v>3230621.3283604058</v>
      </c>
      <c r="I696" s="76">
        <f ca="1">SUMIF('Production '!$C$4:$AI$4407,'Tracking Sheet'!B696,'Production '!$V$4:$V$4407)</f>
        <v>-489.86487791182844</v>
      </c>
      <c r="J696" s="76">
        <f ca="1">SUMIF('Production '!$C$4:$AI$4407,'Tracking Sheet'!B696,'Production '!$AG$4:$AG$4407)</f>
        <v>0</v>
      </c>
    </row>
    <row r="697" spans="2:10" x14ac:dyDescent="0.3">
      <c r="B697" s="277">
        <f>'Production '!C700</f>
        <v>48061</v>
      </c>
      <c r="C697" s="76">
        <f ca="1">SUMIF('Production '!$C$4:$AI$4407,'Tracking Sheet'!B697,'Production '!$M$4:$M$4407)</f>
        <v>0</v>
      </c>
      <c r="D697" s="76">
        <f ca="1">SUMIF('Production '!$C$4:$AI$4407,'Tracking Sheet'!B697,'Production '!$Q$4:$Q$4407)</f>
        <v>0</v>
      </c>
      <c r="E697" s="76">
        <f ca="1">SUMIF('Production '!$C$4:$AI$4407,'Tracking Sheet'!B697,'Production '!$S$4:$S$4407)</f>
        <v>0</v>
      </c>
      <c r="F697" s="76">
        <f ca="1">SUMIF('Production '!$C$4:$AI$4407,'Tracking Sheet'!B697,'Production '!$U$4:$U$4407)</f>
        <v>0</v>
      </c>
      <c r="G697" s="76">
        <f ca="1">SUMIF('Production '!$C$4:$AI$4407,'Tracking Sheet'!B697,'Production '!$W$4:$W$4407)</f>
        <v>0</v>
      </c>
      <c r="H697" s="76">
        <f ca="1">SUMIF('Production '!$C$4:$AI$4407,'Tracking Sheet'!B697,'Production '!$F$4:$F$4407)</f>
        <v>4371</v>
      </c>
      <c r="I697" s="76">
        <f ca="1">SUMIF('Production '!$C$4:$AI$4407,'Tracking Sheet'!B697,'Production '!$V$4:$V$4407)</f>
        <v>0</v>
      </c>
      <c r="J697" s="76">
        <f ca="1">SUMIF('Production '!$C$4:$AI$4407,'Tracking Sheet'!B697,'Production '!$AG$4:$AG$4407)</f>
        <v>-4371</v>
      </c>
    </row>
    <row r="698" spans="2:10" x14ac:dyDescent="0.3">
      <c r="B698" s="277">
        <f>'Production '!C701</f>
        <v>48061</v>
      </c>
      <c r="C698" s="76">
        <f ca="1">SUMIF('Production '!$C$4:$AI$4407,'Tracking Sheet'!B698,'Production '!$M$4:$M$4407)</f>
        <v>0</v>
      </c>
      <c r="D698" s="76">
        <f ca="1">SUMIF('Production '!$C$4:$AI$4407,'Tracking Sheet'!B698,'Production '!$Q$4:$Q$4407)</f>
        <v>0</v>
      </c>
      <c r="E698" s="76">
        <f ca="1">SUMIF('Production '!$C$4:$AI$4407,'Tracking Sheet'!B698,'Production '!$S$4:$S$4407)</f>
        <v>0</v>
      </c>
      <c r="F698" s="76">
        <f ca="1">SUMIF('Production '!$C$4:$AI$4407,'Tracking Sheet'!B698,'Production '!$U$4:$U$4407)</f>
        <v>0</v>
      </c>
      <c r="G698" s="76">
        <f ca="1">SUMIF('Production '!$C$4:$AI$4407,'Tracking Sheet'!B698,'Production '!$W$4:$W$4407)</f>
        <v>0</v>
      </c>
      <c r="H698" s="76">
        <f ca="1">SUMIF('Production '!$C$4:$AI$4407,'Tracking Sheet'!B698,'Production '!$F$4:$F$4407)</f>
        <v>4371</v>
      </c>
      <c r="I698" s="76">
        <f ca="1">SUMIF('Production '!$C$4:$AI$4407,'Tracking Sheet'!B698,'Production '!$V$4:$V$4407)</f>
        <v>0</v>
      </c>
      <c r="J698" s="76">
        <f ca="1">SUMIF('Production '!$C$4:$AI$4407,'Tracking Sheet'!B698,'Production '!$AG$4:$AG$4407)</f>
        <v>-4371</v>
      </c>
    </row>
    <row r="699" spans="2:10" x14ac:dyDescent="0.3">
      <c r="B699" s="277">
        <f>'Production '!C702</f>
        <v>0</v>
      </c>
      <c r="C699" s="76" t="e">
        <f ca="1">SUMIF('Production '!$C$4:$AI$4407,'Tracking Sheet'!B699,'Production '!$M$4:$M$4407)</f>
        <v>#DIV/0!</v>
      </c>
      <c r="D699" s="76" t="e">
        <f ca="1">SUMIF('Production '!$C$4:$AI$4407,'Tracking Sheet'!B699,'Production '!$Q$4:$Q$4407)</f>
        <v>#DIV/0!</v>
      </c>
      <c r="E699" s="76">
        <f ca="1">SUMIF('Production '!$C$4:$AI$4407,'Tracking Sheet'!B699,'Production '!$S$4:$S$4407)</f>
        <v>-1268218.9828305368</v>
      </c>
      <c r="F699" s="76">
        <f ca="1">SUMIF('Production '!$C$4:$AI$4407,'Tracking Sheet'!B699,'Production '!$U$4:$U$4407)</f>
        <v>-10620.435600016917</v>
      </c>
      <c r="G699" s="76" t="e">
        <f ca="1">SUMIF('Production '!$C$4:$AI$4407,'Tracking Sheet'!B699,'Production '!$W$4:$W$4407)</f>
        <v>#DIV/0!</v>
      </c>
      <c r="H699" s="76">
        <f ca="1">SUMIF('Production '!$C$4:$AI$4407,'Tracking Sheet'!B699,'Production '!$F$4:$F$4407)</f>
        <v>3230621.3283604058</v>
      </c>
      <c r="I699" s="76">
        <f ca="1">SUMIF('Production '!$C$4:$AI$4407,'Tracking Sheet'!B699,'Production '!$V$4:$V$4407)</f>
        <v>-489.86487791182844</v>
      </c>
      <c r="J699" s="76">
        <f ca="1">SUMIF('Production '!$C$4:$AI$4407,'Tracking Sheet'!B699,'Production '!$AG$4:$AG$4407)</f>
        <v>0</v>
      </c>
    </row>
    <row r="700" spans="2:10" x14ac:dyDescent="0.3">
      <c r="B700" s="277">
        <f>'Production '!C703</f>
        <v>48062</v>
      </c>
      <c r="C700" s="76">
        <f ca="1">SUMIF('Production '!$C$4:$AI$4407,'Tracking Sheet'!B700,'Production '!$M$4:$M$4407)</f>
        <v>0</v>
      </c>
      <c r="D700" s="76">
        <f ca="1">SUMIF('Production '!$C$4:$AI$4407,'Tracking Sheet'!B700,'Production '!$Q$4:$Q$4407)</f>
        <v>0</v>
      </c>
      <c r="E700" s="76">
        <f ca="1">SUMIF('Production '!$C$4:$AI$4407,'Tracking Sheet'!B700,'Production '!$S$4:$S$4407)</f>
        <v>0</v>
      </c>
      <c r="F700" s="76">
        <f ca="1">SUMIF('Production '!$C$4:$AI$4407,'Tracking Sheet'!B700,'Production '!$U$4:$U$4407)</f>
        <v>0</v>
      </c>
      <c r="G700" s="76">
        <f ca="1">SUMIF('Production '!$C$4:$AI$4407,'Tracking Sheet'!B700,'Production '!$W$4:$W$4407)</f>
        <v>0</v>
      </c>
      <c r="H700" s="76">
        <f ca="1">SUMIF('Production '!$C$4:$AI$4407,'Tracking Sheet'!B700,'Production '!$F$4:$F$4407)</f>
        <v>3679</v>
      </c>
      <c r="I700" s="76">
        <f ca="1">SUMIF('Production '!$C$4:$AI$4407,'Tracking Sheet'!B700,'Production '!$V$4:$V$4407)</f>
        <v>0</v>
      </c>
      <c r="J700" s="76">
        <f ca="1">SUMIF('Production '!$C$4:$AI$4407,'Tracking Sheet'!B700,'Production '!$AG$4:$AG$4407)</f>
        <v>-3679</v>
      </c>
    </row>
    <row r="701" spans="2:10" x14ac:dyDescent="0.3">
      <c r="B701" s="277">
        <f>'Production '!C704</f>
        <v>48062</v>
      </c>
      <c r="C701" s="76">
        <f ca="1">SUMIF('Production '!$C$4:$AI$4407,'Tracking Sheet'!B701,'Production '!$M$4:$M$4407)</f>
        <v>0</v>
      </c>
      <c r="D701" s="76">
        <f ca="1">SUMIF('Production '!$C$4:$AI$4407,'Tracking Sheet'!B701,'Production '!$Q$4:$Q$4407)</f>
        <v>0</v>
      </c>
      <c r="E701" s="76">
        <f ca="1">SUMIF('Production '!$C$4:$AI$4407,'Tracking Sheet'!B701,'Production '!$S$4:$S$4407)</f>
        <v>0</v>
      </c>
      <c r="F701" s="76">
        <f ca="1">SUMIF('Production '!$C$4:$AI$4407,'Tracking Sheet'!B701,'Production '!$U$4:$U$4407)</f>
        <v>0</v>
      </c>
      <c r="G701" s="76">
        <f ca="1">SUMIF('Production '!$C$4:$AI$4407,'Tracking Sheet'!B701,'Production '!$W$4:$W$4407)</f>
        <v>0</v>
      </c>
      <c r="H701" s="76">
        <f ca="1">SUMIF('Production '!$C$4:$AI$4407,'Tracking Sheet'!B701,'Production '!$F$4:$F$4407)</f>
        <v>3679</v>
      </c>
      <c r="I701" s="76">
        <f ca="1">SUMIF('Production '!$C$4:$AI$4407,'Tracking Sheet'!B701,'Production '!$V$4:$V$4407)</f>
        <v>0</v>
      </c>
      <c r="J701" s="76">
        <f ca="1">SUMIF('Production '!$C$4:$AI$4407,'Tracking Sheet'!B701,'Production '!$AG$4:$AG$4407)</f>
        <v>-3679</v>
      </c>
    </row>
    <row r="702" spans="2:10" x14ac:dyDescent="0.3">
      <c r="B702" s="277">
        <f>'Production '!C705</f>
        <v>0</v>
      </c>
      <c r="C702" s="76" t="e">
        <f ca="1">SUMIF('Production '!$C$4:$AI$4407,'Tracking Sheet'!B702,'Production '!$M$4:$M$4407)</f>
        <v>#DIV/0!</v>
      </c>
      <c r="D702" s="76" t="e">
        <f ca="1">SUMIF('Production '!$C$4:$AI$4407,'Tracking Sheet'!B702,'Production '!$Q$4:$Q$4407)</f>
        <v>#DIV/0!</v>
      </c>
      <c r="E702" s="76">
        <f ca="1">SUMIF('Production '!$C$4:$AI$4407,'Tracking Sheet'!B702,'Production '!$S$4:$S$4407)</f>
        <v>-1268218.9828305368</v>
      </c>
      <c r="F702" s="76">
        <f ca="1">SUMIF('Production '!$C$4:$AI$4407,'Tracking Sheet'!B702,'Production '!$U$4:$U$4407)</f>
        <v>-10620.435600016917</v>
      </c>
      <c r="G702" s="76" t="e">
        <f ca="1">SUMIF('Production '!$C$4:$AI$4407,'Tracking Sheet'!B702,'Production '!$W$4:$W$4407)</f>
        <v>#DIV/0!</v>
      </c>
      <c r="H702" s="76">
        <f ca="1">SUMIF('Production '!$C$4:$AI$4407,'Tracking Sheet'!B702,'Production '!$F$4:$F$4407)</f>
        <v>3230621.3283604058</v>
      </c>
      <c r="I702" s="76">
        <f ca="1">SUMIF('Production '!$C$4:$AI$4407,'Tracking Sheet'!B702,'Production '!$V$4:$V$4407)</f>
        <v>-489.86487791182844</v>
      </c>
      <c r="J702" s="76">
        <f ca="1">SUMIF('Production '!$C$4:$AI$4407,'Tracking Sheet'!B702,'Production '!$AG$4:$AG$4407)</f>
        <v>0</v>
      </c>
    </row>
    <row r="703" spans="2:10" x14ac:dyDescent="0.3">
      <c r="B703" s="277">
        <f>'Production '!C706</f>
        <v>48059</v>
      </c>
      <c r="C703" s="76">
        <f ca="1">SUMIF('Production '!$C$4:$AI$4407,'Tracking Sheet'!B703,'Production '!$M$4:$M$4407)</f>
        <v>1987</v>
      </c>
      <c r="D703" s="76">
        <f ca="1">SUMIF('Production '!$C$4:$AI$4407,'Tracking Sheet'!B703,'Production '!$Q$4:$Q$4407)</f>
        <v>1985</v>
      </c>
      <c r="E703" s="76">
        <f ca="1">SUMIF('Production '!$C$4:$AI$4407,'Tracking Sheet'!B703,'Production '!$S$4:$S$4407)</f>
        <v>1982</v>
      </c>
      <c r="F703" s="76">
        <f ca="1">SUMIF('Production '!$C$4:$AI$4407,'Tracking Sheet'!B703,'Production '!$U$4:$U$4407)</f>
        <v>1982</v>
      </c>
      <c r="G703" s="76">
        <f ca="1">SUMIF('Production '!$C$4:$AI$4407,'Tracking Sheet'!B703,'Production '!$W$4:$W$4407)</f>
        <v>0</v>
      </c>
      <c r="H703" s="76">
        <f ca="1">SUMIF('Production '!$C$4:$AI$4407,'Tracking Sheet'!B703,'Production '!$F$4:$F$4407)</f>
        <v>2607</v>
      </c>
      <c r="I703" s="76">
        <f ca="1">SUMIF('Production '!$C$4:$AI$4407,'Tracking Sheet'!B703,'Production '!$V$4:$V$4407)</f>
        <v>0</v>
      </c>
      <c r="J703" s="76">
        <f ca="1">SUMIF('Production '!$C$4:$AI$4407,'Tracking Sheet'!B703,'Production '!$AG$4:$AG$4407)</f>
        <v>-661</v>
      </c>
    </row>
    <row r="704" spans="2:10" x14ac:dyDescent="0.3">
      <c r="B704" s="277">
        <f>'Production '!C707</f>
        <v>48059</v>
      </c>
      <c r="C704" s="76">
        <f ca="1">SUMIF('Production '!$C$4:$AI$4407,'Tracking Sheet'!B704,'Production '!$M$4:$M$4407)</f>
        <v>1987</v>
      </c>
      <c r="D704" s="76">
        <f ca="1">SUMIF('Production '!$C$4:$AI$4407,'Tracking Sheet'!B704,'Production '!$Q$4:$Q$4407)</f>
        <v>1985</v>
      </c>
      <c r="E704" s="76">
        <f ca="1">SUMIF('Production '!$C$4:$AI$4407,'Tracking Sheet'!B704,'Production '!$S$4:$S$4407)</f>
        <v>1982</v>
      </c>
      <c r="F704" s="76">
        <f ca="1">SUMIF('Production '!$C$4:$AI$4407,'Tracking Sheet'!B704,'Production '!$U$4:$U$4407)</f>
        <v>1982</v>
      </c>
      <c r="G704" s="76">
        <f ca="1">SUMIF('Production '!$C$4:$AI$4407,'Tracking Sheet'!B704,'Production '!$W$4:$W$4407)</f>
        <v>0</v>
      </c>
      <c r="H704" s="76">
        <f ca="1">SUMIF('Production '!$C$4:$AI$4407,'Tracking Sheet'!B704,'Production '!$F$4:$F$4407)</f>
        <v>2607</v>
      </c>
      <c r="I704" s="76">
        <f ca="1">SUMIF('Production '!$C$4:$AI$4407,'Tracking Sheet'!B704,'Production '!$V$4:$V$4407)</f>
        <v>0</v>
      </c>
      <c r="J704" s="76">
        <f ca="1">SUMIF('Production '!$C$4:$AI$4407,'Tracking Sheet'!B704,'Production '!$AG$4:$AG$4407)</f>
        <v>-661</v>
      </c>
    </row>
    <row r="705" spans="2:10" x14ac:dyDescent="0.3">
      <c r="B705" s="277">
        <f>'Production '!C708</f>
        <v>48059</v>
      </c>
      <c r="C705" s="76">
        <f ca="1">SUMIF('Production '!$C$4:$AI$4407,'Tracking Sheet'!B705,'Production '!$M$4:$M$4407)</f>
        <v>1987</v>
      </c>
      <c r="D705" s="76">
        <f ca="1">SUMIF('Production '!$C$4:$AI$4407,'Tracking Sheet'!B705,'Production '!$Q$4:$Q$4407)</f>
        <v>1985</v>
      </c>
      <c r="E705" s="76">
        <f ca="1">SUMIF('Production '!$C$4:$AI$4407,'Tracking Sheet'!B705,'Production '!$S$4:$S$4407)</f>
        <v>1982</v>
      </c>
      <c r="F705" s="76">
        <f ca="1">SUMIF('Production '!$C$4:$AI$4407,'Tracking Sheet'!B705,'Production '!$U$4:$U$4407)</f>
        <v>1982</v>
      </c>
      <c r="G705" s="76">
        <f ca="1">SUMIF('Production '!$C$4:$AI$4407,'Tracking Sheet'!B705,'Production '!$W$4:$W$4407)</f>
        <v>0</v>
      </c>
      <c r="H705" s="76">
        <f ca="1">SUMIF('Production '!$C$4:$AI$4407,'Tracking Sheet'!B705,'Production '!$F$4:$F$4407)</f>
        <v>2607</v>
      </c>
      <c r="I705" s="76">
        <f ca="1">SUMIF('Production '!$C$4:$AI$4407,'Tracking Sheet'!B705,'Production '!$V$4:$V$4407)</f>
        <v>0</v>
      </c>
      <c r="J705" s="76">
        <f ca="1">SUMIF('Production '!$C$4:$AI$4407,'Tracking Sheet'!B705,'Production '!$AG$4:$AG$4407)</f>
        <v>-661</v>
      </c>
    </row>
    <row r="706" spans="2:10" x14ac:dyDescent="0.3">
      <c r="B706" s="277">
        <f>'Production '!C709</f>
        <v>0</v>
      </c>
      <c r="C706" s="76" t="e">
        <f ca="1">SUMIF('Production '!$C$4:$AI$4407,'Tracking Sheet'!B706,'Production '!$M$4:$M$4407)</f>
        <v>#DIV/0!</v>
      </c>
      <c r="D706" s="76" t="e">
        <f ca="1">SUMIF('Production '!$C$4:$AI$4407,'Tracking Sheet'!B706,'Production '!$Q$4:$Q$4407)</f>
        <v>#DIV/0!</v>
      </c>
      <c r="E706" s="76">
        <f ca="1">SUMIF('Production '!$C$4:$AI$4407,'Tracking Sheet'!B706,'Production '!$S$4:$S$4407)</f>
        <v>-1268218.9828305368</v>
      </c>
      <c r="F706" s="76">
        <f ca="1">SUMIF('Production '!$C$4:$AI$4407,'Tracking Sheet'!B706,'Production '!$U$4:$U$4407)</f>
        <v>-10620.435600016917</v>
      </c>
      <c r="G706" s="76" t="e">
        <f ca="1">SUMIF('Production '!$C$4:$AI$4407,'Tracking Sheet'!B706,'Production '!$W$4:$W$4407)</f>
        <v>#DIV/0!</v>
      </c>
      <c r="H706" s="76">
        <f ca="1">SUMIF('Production '!$C$4:$AI$4407,'Tracking Sheet'!B706,'Production '!$F$4:$F$4407)</f>
        <v>3230621.3283604058</v>
      </c>
      <c r="I706" s="76">
        <f ca="1">SUMIF('Production '!$C$4:$AI$4407,'Tracking Sheet'!B706,'Production '!$V$4:$V$4407)</f>
        <v>-489.86487791182844</v>
      </c>
      <c r="J706" s="76">
        <f ca="1">SUMIF('Production '!$C$4:$AI$4407,'Tracking Sheet'!B706,'Production '!$AG$4:$AG$4407)</f>
        <v>0</v>
      </c>
    </row>
    <row r="707" spans="2:10" x14ac:dyDescent="0.3">
      <c r="B707" s="277">
        <f>'Production '!C710</f>
        <v>48056</v>
      </c>
      <c r="C707" s="76">
        <f ca="1">SUMIF('Production '!$C$4:$AI$4407,'Tracking Sheet'!B707,'Production '!$M$4:$M$4407)</f>
        <v>1895</v>
      </c>
      <c r="D707" s="76">
        <f ca="1">SUMIF('Production '!$C$4:$AI$4407,'Tracking Sheet'!B707,'Production '!$Q$4:$Q$4407)</f>
        <v>1895</v>
      </c>
      <c r="E707" s="76">
        <f ca="1">SUMIF('Production '!$C$4:$AI$4407,'Tracking Sheet'!B707,'Production '!$S$4:$S$4407)</f>
        <v>1895</v>
      </c>
      <c r="F707" s="76">
        <f ca="1">SUMIF('Production '!$C$4:$AI$4407,'Tracking Sheet'!B707,'Production '!$U$4:$U$4407)</f>
        <v>8</v>
      </c>
      <c r="G707" s="76">
        <f ca="1">SUMIF('Production '!$C$4:$AI$4407,'Tracking Sheet'!B707,'Production '!$W$4:$W$4407)</f>
        <v>1887</v>
      </c>
      <c r="H707" s="76">
        <f ca="1">SUMIF('Production '!$C$4:$AI$4407,'Tracking Sheet'!B707,'Production '!$F$4:$F$4407)</f>
        <v>1840</v>
      </c>
      <c r="I707" s="76">
        <f ca="1">SUMIF('Production '!$C$4:$AI$4407,'Tracking Sheet'!B707,'Production '!$V$4:$V$4407)</f>
        <v>0</v>
      </c>
      <c r="J707" s="76">
        <f ca="1">SUMIF('Production '!$C$4:$AI$4407,'Tracking Sheet'!B707,'Production '!$AG$4:$AG$4407)</f>
        <v>0</v>
      </c>
    </row>
    <row r="708" spans="2:10" x14ac:dyDescent="0.3">
      <c r="B708" s="277">
        <f>'Production '!C711</f>
        <v>48056</v>
      </c>
      <c r="C708" s="76">
        <f ca="1">SUMIF('Production '!$C$4:$AI$4407,'Tracking Sheet'!B708,'Production '!$M$4:$M$4407)</f>
        <v>1895</v>
      </c>
      <c r="D708" s="76">
        <f ca="1">SUMIF('Production '!$C$4:$AI$4407,'Tracking Sheet'!B708,'Production '!$Q$4:$Q$4407)</f>
        <v>1895</v>
      </c>
      <c r="E708" s="76">
        <f ca="1">SUMIF('Production '!$C$4:$AI$4407,'Tracking Sheet'!B708,'Production '!$S$4:$S$4407)</f>
        <v>1895</v>
      </c>
      <c r="F708" s="76">
        <f ca="1">SUMIF('Production '!$C$4:$AI$4407,'Tracking Sheet'!B708,'Production '!$U$4:$U$4407)</f>
        <v>8</v>
      </c>
      <c r="G708" s="76">
        <f ca="1">SUMIF('Production '!$C$4:$AI$4407,'Tracking Sheet'!B708,'Production '!$W$4:$W$4407)</f>
        <v>1887</v>
      </c>
      <c r="H708" s="76">
        <f ca="1">SUMIF('Production '!$C$4:$AI$4407,'Tracking Sheet'!B708,'Production '!$F$4:$F$4407)</f>
        <v>1840</v>
      </c>
      <c r="I708" s="76">
        <f ca="1">SUMIF('Production '!$C$4:$AI$4407,'Tracking Sheet'!B708,'Production '!$V$4:$V$4407)</f>
        <v>0</v>
      </c>
      <c r="J708" s="76">
        <f ca="1">SUMIF('Production '!$C$4:$AI$4407,'Tracking Sheet'!B708,'Production '!$AG$4:$AG$4407)</f>
        <v>0</v>
      </c>
    </row>
    <row r="709" spans="2:10" x14ac:dyDescent="0.3">
      <c r="B709" s="277">
        <f>'Production '!C712</f>
        <v>0</v>
      </c>
      <c r="C709" s="76" t="e">
        <f ca="1">SUMIF('Production '!$C$4:$AI$4407,'Tracking Sheet'!B709,'Production '!$M$4:$M$4407)</f>
        <v>#DIV/0!</v>
      </c>
      <c r="D709" s="76" t="e">
        <f ca="1">SUMIF('Production '!$C$4:$AI$4407,'Tracking Sheet'!B709,'Production '!$Q$4:$Q$4407)</f>
        <v>#DIV/0!</v>
      </c>
      <c r="E709" s="76">
        <f ca="1">SUMIF('Production '!$C$4:$AI$4407,'Tracking Sheet'!B709,'Production '!$S$4:$S$4407)</f>
        <v>-1268218.9828305368</v>
      </c>
      <c r="F709" s="76">
        <f ca="1">SUMIF('Production '!$C$4:$AI$4407,'Tracking Sheet'!B709,'Production '!$U$4:$U$4407)</f>
        <v>-10620.435600016917</v>
      </c>
      <c r="G709" s="76" t="e">
        <f ca="1">SUMIF('Production '!$C$4:$AI$4407,'Tracking Sheet'!B709,'Production '!$W$4:$W$4407)</f>
        <v>#DIV/0!</v>
      </c>
      <c r="H709" s="76">
        <f ca="1">SUMIF('Production '!$C$4:$AI$4407,'Tracking Sheet'!B709,'Production '!$F$4:$F$4407)</f>
        <v>3230621.3283604058</v>
      </c>
      <c r="I709" s="76">
        <f ca="1">SUMIF('Production '!$C$4:$AI$4407,'Tracking Sheet'!B709,'Production '!$V$4:$V$4407)</f>
        <v>-489.86487791182844</v>
      </c>
      <c r="J709" s="76">
        <f ca="1">SUMIF('Production '!$C$4:$AI$4407,'Tracking Sheet'!B709,'Production '!$AG$4:$AG$4407)</f>
        <v>0</v>
      </c>
    </row>
    <row r="710" spans="2:10" x14ac:dyDescent="0.3">
      <c r="B710" s="277">
        <f>'Production '!C713</f>
        <v>48027</v>
      </c>
      <c r="C710" s="76">
        <f ca="1">SUMIF('Production '!$C$4:$AI$4407,'Tracking Sheet'!B710,'Production '!$M$4:$M$4407)</f>
        <v>1500</v>
      </c>
      <c r="D710" s="76">
        <f ca="1">SUMIF('Production '!$C$4:$AI$4407,'Tracking Sheet'!B710,'Production '!$Q$4:$Q$4407)</f>
        <v>1493</v>
      </c>
      <c r="E710" s="76">
        <f ca="1">SUMIF('Production '!$C$4:$AI$4407,'Tracking Sheet'!B710,'Production '!$S$4:$S$4407)</f>
        <v>1477</v>
      </c>
      <c r="F710" s="76">
        <f ca="1">SUMIF('Production '!$C$4:$AI$4407,'Tracking Sheet'!B710,'Production '!$U$4:$U$4407)</f>
        <v>4</v>
      </c>
      <c r="G710" s="76">
        <f ca="1">SUMIF('Production '!$C$4:$AI$4407,'Tracking Sheet'!B710,'Production '!$W$4:$W$4407)</f>
        <v>1473</v>
      </c>
      <c r="H710" s="76">
        <f ca="1">SUMIF('Production '!$C$4:$AI$4407,'Tracking Sheet'!B710,'Production '!$F$4:$F$4407)</f>
        <v>1416</v>
      </c>
      <c r="I710" s="76">
        <f ca="1">SUMIF('Production '!$C$4:$AI$4407,'Tracking Sheet'!B710,'Production '!$V$4:$V$4407)</f>
        <v>0</v>
      </c>
      <c r="J710" s="76">
        <f ca="1">SUMIF('Production '!$C$4:$AI$4407,'Tracking Sheet'!B710,'Production '!$AG$4:$AG$4407)</f>
        <v>0</v>
      </c>
    </row>
    <row r="711" spans="2:10" x14ac:dyDescent="0.3">
      <c r="B711" s="277">
        <f>'Production '!C714</f>
        <v>48027</v>
      </c>
      <c r="C711" s="76">
        <f ca="1">SUMIF('Production '!$C$4:$AI$4407,'Tracking Sheet'!B711,'Production '!$M$4:$M$4407)</f>
        <v>1500</v>
      </c>
      <c r="D711" s="76">
        <f ca="1">SUMIF('Production '!$C$4:$AI$4407,'Tracking Sheet'!B711,'Production '!$Q$4:$Q$4407)</f>
        <v>1493</v>
      </c>
      <c r="E711" s="76">
        <f ca="1">SUMIF('Production '!$C$4:$AI$4407,'Tracking Sheet'!B711,'Production '!$S$4:$S$4407)</f>
        <v>1477</v>
      </c>
      <c r="F711" s="76">
        <f ca="1">SUMIF('Production '!$C$4:$AI$4407,'Tracking Sheet'!B711,'Production '!$U$4:$U$4407)</f>
        <v>4</v>
      </c>
      <c r="G711" s="76">
        <f ca="1">SUMIF('Production '!$C$4:$AI$4407,'Tracking Sheet'!B711,'Production '!$W$4:$W$4407)</f>
        <v>1473</v>
      </c>
      <c r="H711" s="76">
        <f ca="1">SUMIF('Production '!$C$4:$AI$4407,'Tracking Sheet'!B711,'Production '!$F$4:$F$4407)</f>
        <v>1416</v>
      </c>
      <c r="I711" s="76">
        <f ca="1">SUMIF('Production '!$C$4:$AI$4407,'Tracking Sheet'!B711,'Production '!$V$4:$V$4407)</f>
        <v>0</v>
      </c>
      <c r="J711" s="76">
        <f ca="1">SUMIF('Production '!$C$4:$AI$4407,'Tracking Sheet'!B711,'Production '!$AG$4:$AG$4407)</f>
        <v>0</v>
      </c>
    </row>
    <row r="712" spans="2:10" x14ac:dyDescent="0.3">
      <c r="B712" s="277">
        <f>'Production '!C715</f>
        <v>0</v>
      </c>
      <c r="C712" s="76" t="e">
        <f ca="1">SUMIF('Production '!$C$4:$AI$4407,'Tracking Sheet'!B712,'Production '!$M$4:$M$4407)</f>
        <v>#DIV/0!</v>
      </c>
      <c r="D712" s="76" t="e">
        <f ca="1">SUMIF('Production '!$C$4:$AI$4407,'Tracking Sheet'!B712,'Production '!$Q$4:$Q$4407)</f>
        <v>#DIV/0!</v>
      </c>
      <c r="E712" s="76">
        <f ca="1">SUMIF('Production '!$C$4:$AI$4407,'Tracking Sheet'!B712,'Production '!$S$4:$S$4407)</f>
        <v>-1268218.9828305368</v>
      </c>
      <c r="F712" s="76">
        <f ca="1">SUMIF('Production '!$C$4:$AI$4407,'Tracking Sheet'!B712,'Production '!$U$4:$U$4407)</f>
        <v>-10620.435600016917</v>
      </c>
      <c r="G712" s="76" t="e">
        <f ca="1">SUMIF('Production '!$C$4:$AI$4407,'Tracking Sheet'!B712,'Production '!$W$4:$W$4407)</f>
        <v>#DIV/0!</v>
      </c>
      <c r="H712" s="76">
        <f ca="1">SUMIF('Production '!$C$4:$AI$4407,'Tracking Sheet'!B712,'Production '!$F$4:$F$4407)</f>
        <v>3230621.3283604058</v>
      </c>
      <c r="I712" s="76">
        <f ca="1">SUMIF('Production '!$C$4:$AI$4407,'Tracking Sheet'!B712,'Production '!$V$4:$V$4407)</f>
        <v>-489.86487791182844</v>
      </c>
      <c r="J712" s="76">
        <f ca="1">SUMIF('Production '!$C$4:$AI$4407,'Tracking Sheet'!B712,'Production '!$AG$4:$AG$4407)</f>
        <v>0</v>
      </c>
    </row>
    <row r="713" spans="2:10" x14ac:dyDescent="0.3">
      <c r="B713" s="277">
        <f>'Production '!C716</f>
        <v>48034</v>
      </c>
      <c r="C713" s="76">
        <f ca="1">SUMIF('Production '!$C$4:$AI$4407,'Tracking Sheet'!B713,'Production '!$M$4:$M$4407)</f>
        <v>1372</v>
      </c>
      <c r="D713" s="76">
        <f ca="1">SUMIF('Production '!$C$4:$AI$4407,'Tracking Sheet'!B713,'Production '!$Q$4:$Q$4407)</f>
        <v>625</v>
      </c>
      <c r="E713" s="76">
        <f ca="1">SUMIF('Production '!$C$4:$AI$4407,'Tracking Sheet'!B713,'Production '!$S$4:$S$4407)</f>
        <v>625</v>
      </c>
      <c r="F713" s="76">
        <f ca="1">SUMIF('Production '!$C$4:$AI$4407,'Tracking Sheet'!B713,'Production '!$U$4:$U$4407)</f>
        <v>2</v>
      </c>
      <c r="G713" s="76">
        <f ca="1">SUMIF('Production '!$C$4:$AI$4407,'Tracking Sheet'!B713,'Production '!$W$4:$W$4407)</f>
        <v>1358</v>
      </c>
      <c r="H713" s="76">
        <f ca="1">SUMIF('Production '!$C$4:$AI$4407,'Tracking Sheet'!B713,'Production '!$F$4:$F$4407)</f>
        <v>1320</v>
      </c>
      <c r="I713" s="76">
        <f ca="1">SUMIF('Production '!$C$4:$AI$4407,'Tracking Sheet'!B713,'Production '!$V$4:$V$4407)</f>
        <v>0</v>
      </c>
      <c r="J713" s="76">
        <f ca="1">SUMIF('Production '!$C$4:$AI$4407,'Tracking Sheet'!B713,'Production '!$AG$4:$AG$4407)</f>
        <v>0</v>
      </c>
    </row>
    <row r="714" spans="2:10" x14ac:dyDescent="0.3">
      <c r="B714" s="277">
        <f>'Production '!C717</f>
        <v>48034</v>
      </c>
      <c r="C714" s="76">
        <f ca="1">SUMIF('Production '!$C$4:$AI$4407,'Tracking Sheet'!B714,'Production '!$M$4:$M$4407)</f>
        <v>1372</v>
      </c>
      <c r="D714" s="76">
        <f ca="1">SUMIF('Production '!$C$4:$AI$4407,'Tracking Sheet'!B714,'Production '!$Q$4:$Q$4407)</f>
        <v>625</v>
      </c>
      <c r="E714" s="76">
        <f ca="1">SUMIF('Production '!$C$4:$AI$4407,'Tracking Sheet'!B714,'Production '!$S$4:$S$4407)</f>
        <v>625</v>
      </c>
      <c r="F714" s="76">
        <f ca="1">SUMIF('Production '!$C$4:$AI$4407,'Tracking Sheet'!B714,'Production '!$U$4:$U$4407)</f>
        <v>2</v>
      </c>
      <c r="G714" s="76">
        <f ca="1">SUMIF('Production '!$C$4:$AI$4407,'Tracking Sheet'!B714,'Production '!$W$4:$W$4407)</f>
        <v>1358</v>
      </c>
      <c r="H714" s="76">
        <f ca="1">SUMIF('Production '!$C$4:$AI$4407,'Tracking Sheet'!B714,'Production '!$F$4:$F$4407)</f>
        <v>1320</v>
      </c>
      <c r="I714" s="76">
        <f ca="1">SUMIF('Production '!$C$4:$AI$4407,'Tracking Sheet'!B714,'Production '!$V$4:$V$4407)</f>
        <v>0</v>
      </c>
      <c r="J714" s="76">
        <f ca="1">SUMIF('Production '!$C$4:$AI$4407,'Tracking Sheet'!B714,'Production '!$AG$4:$AG$4407)</f>
        <v>0</v>
      </c>
    </row>
    <row r="715" spans="2:10" x14ac:dyDescent="0.3">
      <c r="B715" s="277">
        <f>'Production '!C718</f>
        <v>0</v>
      </c>
      <c r="C715" s="76" t="e">
        <f ca="1">SUMIF('Production '!$C$4:$AI$4407,'Tracking Sheet'!B715,'Production '!$M$4:$M$4407)</f>
        <v>#DIV/0!</v>
      </c>
      <c r="D715" s="76" t="e">
        <f ca="1">SUMIF('Production '!$C$4:$AI$4407,'Tracking Sheet'!B715,'Production '!$Q$4:$Q$4407)</f>
        <v>#DIV/0!</v>
      </c>
      <c r="E715" s="76">
        <f ca="1">SUMIF('Production '!$C$4:$AI$4407,'Tracking Sheet'!B715,'Production '!$S$4:$S$4407)</f>
        <v>-1268218.9828305368</v>
      </c>
      <c r="F715" s="76">
        <f ca="1">SUMIF('Production '!$C$4:$AI$4407,'Tracking Sheet'!B715,'Production '!$U$4:$U$4407)</f>
        <v>-10620.435600016917</v>
      </c>
      <c r="G715" s="76" t="e">
        <f ca="1">SUMIF('Production '!$C$4:$AI$4407,'Tracking Sheet'!B715,'Production '!$W$4:$W$4407)</f>
        <v>#DIV/0!</v>
      </c>
      <c r="H715" s="76">
        <f ca="1">SUMIF('Production '!$C$4:$AI$4407,'Tracking Sheet'!B715,'Production '!$F$4:$F$4407)</f>
        <v>3230621.3283604058</v>
      </c>
      <c r="I715" s="76">
        <f ca="1">SUMIF('Production '!$C$4:$AI$4407,'Tracking Sheet'!B715,'Production '!$V$4:$V$4407)</f>
        <v>-489.86487791182844</v>
      </c>
      <c r="J715" s="76">
        <f ca="1">SUMIF('Production '!$C$4:$AI$4407,'Tracking Sheet'!B715,'Production '!$AG$4:$AG$4407)</f>
        <v>0</v>
      </c>
    </row>
    <row r="716" spans="2:10" x14ac:dyDescent="0.3">
      <c r="B716" s="277">
        <f>'Production '!C719</f>
        <v>48033</v>
      </c>
      <c r="C716" s="76">
        <f ca="1">SUMIF('Production '!$C$4:$AI$4407,'Tracking Sheet'!B716,'Production '!$M$4:$M$4407)</f>
        <v>880</v>
      </c>
      <c r="D716" s="76">
        <f ca="1">SUMIF('Production '!$C$4:$AI$4407,'Tracking Sheet'!B716,'Production '!$Q$4:$Q$4407)</f>
        <v>880</v>
      </c>
      <c r="E716" s="76">
        <f ca="1">SUMIF('Production '!$C$4:$AI$4407,'Tracking Sheet'!B716,'Production '!$S$4:$S$4407)</f>
        <v>868</v>
      </c>
      <c r="F716" s="76">
        <f ca="1">SUMIF('Production '!$C$4:$AI$4407,'Tracking Sheet'!B716,'Production '!$U$4:$U$4407)</f>
        <v>9</v>
      </c>
      <c r="G716" s="76">
        <f ca="1">SUMIF('Production '!$C$4:$AI$4407,'Tracking Sheet'!B716,'Production '!$W$4:$W$4407)</f>
        <v>859</v>
      </c>
      <c r="H716" s="76">
        <f ca="1">SUMIF('Production '!$C$4:$AI$4407,'Tracking Sheet'!B716,'Production '!$F$4:$F$4407)</f>
        <v>810</v>
      </c>
      <c r="I716" s="76">
        <f ca="1">SUMIF('Production '!$C$4:$AI$4407,'Tracking Sheet'!B716,'Production '!$V$4:$V$4407)</f>
        <v>0</v>
      </c>
      <c r="J716" s="76">
        <f ca="1">SUMIF('Production '!$C$4:$AI$4407,'Tracking Sheet'!B716,'Production '!$AG$4:$AG$4407)</f>
        <v>0</v>
      </c>
    </row>
    <row r="717" spans="2:10" x14ac:dyDescent="0.3">
      <c r="B717" s="277">
        <f>'Production '!C720</f>
        <v>48033</v>
      </c>
      <c r="C717" s="76">
        <f ca="1">SUMIF('Production '!$C$4:$AI$4407,'Tracking Sheet'!B717,'Production '!$M$4:$M$4407)</f>
        <v>880</v>
      </c>
      <c r="D717" s="76">
        <f ca="1">SUMIF('Production '!$C$4:$AI$4407,'Tracking Sheet'!B717,'Production '!$Q$4:$Q$4407)</f>
        <v>880</v>
      </c>
      <c r="E717" s="76">
        <f ca="1">SUMIF('Production '!$C$4:$AI$4407,'Tracking Sheet'!B717,'Production '!$S$4:$S$4407)</f>
        <v>868</v>
      </c>
      <c r="F717" s="76">
        <f ca="1">SUMIF('Production '!$C$4:$AI$4407,'Tracking Sheet'!B717,'Production '!$U$4:$U$4407)</f>
        <v>9</v>
      </c>
      <c r="G717" s="76">
        <f ca="1">SUMIF('Production '!$C$4:$AI$4407,'Tracking Sheet'!B717,'Production '!$W$4:$W$4407)</f>
        <v>859</v>
      </c>
      <c r="H717" s="76">
        <f ca="1">SUMIF('Production '!$C$4:$AI$4407,'Tracking Sheet'!B717,'Production '!$F$4:$F$4407)</f>
        <v>810</v>
      </c>
      <c r="I717" s="76">
        <f ca="1">SUMIF('Production '!$C$4:$AI$4407,'Tracking Sheet'!B717,'Production '!$V$4:$V$4407)</f>
        <v>0</v>
      </c>
      <c r="J717" s="76">
        <f ca="1">SUMIF('Production '!$C$4:$AI$4407,'Tracking Sheet'!B717,'Production '!$AG$4:$AG$4407)</f>
        <v>0</v>
      </c>
    </row>
    <row r="718" spans="2:10" x14ac:dyDescent="0.3">
      <c r="B718" s="277">
        <f>'Production '!C721</f>
        <v>0</v>
      </c>
      <c r="C718" s="76" t="e">
        <f ca="1">SUMIF('Production '!$C$4:$AI$4407,'Tracking Sheet'!B718,'Production '!$M$4:$M$4407)</f>
        <v>#DIV/0!</v>
      </c>
      <c r="D718" s="76" t="e">
        <f ca="1">SUMIF('Production '!$C$4:$AI$4407,'Tracking Sheet'!B718,'Production '!$Q$4:$Q$4407)</f>
        <v>#DIV/0!</v>
      </c>
      <c r="E718" s="76">
        <f ca="1">SUMIF('Production '!$C$4:$AI$4407,'Tracking Sheet'!B718,'Production '!$S$4:$S$4407)</f>
        <v>-1268218.9828305368</v>
      </c>
      <c r="F718" s="76">
        <f ca="1">SUMIF('Production '!$C$4:$AI$4407,'Tracking Sheet'!B718,'Production '!$U$4:$U$4407)</f>
        <v>-10620.435600016917</v>
      </c>
      <c r="G718" s="76" t="e">
        <f ca="1">SUMIF('Production '!$C$4:$AI$4407,'Tracking Sheet'!B718,'Production '!$W$4:$W$4407)</f>
        <v>#DIV/0!</v>
      </c>
      <c r="H718" s="76">
        <f ca="1">SUMIF('Production '!$C$4:$AI$4407,'Tracking Sheet'!B718,'Production '!$F$4:$F$4407)</f>
        <v>3230621.3283604058</v>
      </c>
      <c r="I718" s="76">
        <f ca="1">SUMIF('Production '!$C$4:$AI$4407,'Tracking Sheet'!B718,'Production '!$V$4:$V$4407)</f>
        <v>-489.86487791182844</v>
      </c>
      <c r="J718" s="76">
        <f ca="1">SUMIF('Production '!$C$4:$AI$4407,'Tracking Sheet'!B718,'Production '!$AG$4:$AG$4407)</f>
        <v>0</v>
      </c>
    </row>
    <row r="719" spans="2:10" x14ac:dyDescent="0.3">
      <c r="B719" s="277">
        <f>'Production '!C722</f>
        <v>48031</v>
      </c>
      <c r="C719" s="76">
        <f ca="1">SUMIF('Production '!$C$4:$AI$4407,'Tracking Sheet'!B719,'Production '!$M$4:$M$4407)</f>
        <v>1928</v>
      </c>
      <c r="D719" s="76">
        <f ca="1">SUMIF('Production '!$C$4:$AI$4407,'Tracking Sheet'!B719,'Production '!$Q$4:$Q$4407)</f>
        <v>0</v>
      </c>
      <c r="E719" s="76">
        <f ca="1">SUMIF('Production '!$C$4:$AI$4407,'Tracking Sheet'!B719,'Production '!$S$4:$S$4407)</f>
        <v>0</v>
      </c>
      <c r="F719" s="76">
        <f ca="1">SUMIF('Production '!$C$4:$AI$4407,'Tracking Sheet'!B719,'Production '!$U$4:$U$4407)</f>
        <v>11</v>
      </c>
      <c r="G719" s="76">
        <f ca="1">SUMIF('Production '!$C$4:$AI$4407,'Tracking Sheet'!B719,'Production '!$W$4:$W$4407)</f>
        <v>1917</v>
      </c>
      <c r="H719" s="76">
        <f ca="1">SUMIF('Production '!$C$4:$AI$4407,'Tracking Sheet'!B719,'Production '!$F$4:$F$4407)</f>
        <v>1860</v>
      </c>
      <c r="I719" s="76">
        <f ca="1">SUMIF('Production '!$C$4:$AI$4407,'Tracking Sheet'!B719,'Production '!$V$4:$V$4407)</f>
        <v>0</v>
      </c>
      <c r="J719" s="76">
        <f ca="1">SUMIF('Production '!$C$4:$AI$4407,'Tracking Sheet'!B719,'Production '!$AG$4:$AG$4407)</f>
        <v>0</v>
      </c>
    </row>
    <row r="720" spans="2:10" x14ac:dyDescent="0.3">
      <c r="B720" s="277">
        <f>'Production '!C723</f>
        <v>48031</v>
      </c>
      <c r="C720" s="76">
        <f ca="1">SUMIF('Production '!$C$4:$AI$4407,'Tracking Sheet'!B720,'Production '!$M$4:$M$4407)</f>
        <v>1928</v>
      </c>
      <c r="D720" s="76">
        <f ca="1">SUMIF('Production '!$C$4:$AI$4407,'Tracking Sheet'!B720,'Production '!$Q$4:$Q$4407)</f>
        <v>0</v>
      </c>
      <c r="E720" s="76">
        <f ca="1">SUMIF('Production '!$C$4:$AI$4407,'Tracking Sheet'!B720,'Production '!$S$4:$S$4407)</f>
        <v>0</v>
      </c>
      <c r="F720" s="76">
        <f ca="1">SUMIF('Production '!$C$4:$AI$4407,'Tracking Sheet'!B720,'Production '!$U$4:$U$4407)</f>
        <v>11</v>
      </c>
      <c r="G720" s="76">
        <f ca="1">SUMIF('Production '!$C$4:$AI$4407,'Tracking Sheet'!B720,'Production '!$W$4:$W$4407)</f>
        <v>1917</v>
      </c>
      <c r="H720" s="76">
        <f ca="1">SUMIF('Production '!$C$4:$AI$4407,'Tracking Sheet'!B720,'Production '!$F$4:$F$4407)</f>
        <v>1860</v>
      </c>
      <c r="I720" s="76">
        <f ca="1">SUMIF('Production '!$C$4:$AI$4407,'Tracking Sheet'!B720,'Production '!$V$4:$V$4407)</f>
        <v>0</v>
      </c>
      <c r="J720" s="76">
        <f ca="1">SUMIF('Production '!$C$4:$AI$4407,'Tracking Sheet'!B720,'Production '!$AG$4:$AG$4407)</f>
        <v>0</v>
      </c>
    </row>
    <row r="721" spans="2:10" x14ac:dyDescent="0.3">
      <c r="B721" s="277">
        <f>'Production '!C724</f>
        <v>0</v>
      </c>
      <c r="C721" s="76" t="e">
        <f ca="1">SUMIF('Production '!$C$4:$AI$4407,'Tracking Sheet'!B721,'Production '!$M$4:$M$4407)</f>
        <v>#DIV/0!</v>
      </c>
      <c r="D721" s="76" t="e">
        <f ca="1">SUMIF('Production '!$C$4:$AI$4407,'Tracking Sheet'!B721,'Production '!$Q$4:$Q$4407)</f>
        <v>#DIV/0!</v>
      </c>
      <c r="E721" s="76">
        <f ca="1">SUMIF('Production '!$C$4:$AI$4407,'Tracking Sheet'!B721,'Production '!$S$4:$S$4407)</f>
        <v>-1268218.9828305368</v>
      </c>
      <c r="F721" s="76">
        <f ca="1">SUMIF('Production '!$C$4:$AI$4407,'Tracking Sheet'!B721,'Production '!$U$4:$U$4407)</f>
        <v>-10620.435600016917</v>
      </c>
      <c r="G721" s="76" t="e">
        <f ca="1">SUMIF('Production '!$C$4:$AI$4407,'Tracking Sheet'!B721,'Production '!$W$4:$W$4407)</f>
        <v>#DIV/0!</v>
      </c>
      <c r="H721" s="76">
        <f ca="1">SUMIF('Production '!$C$4:$AI$4407,'Tracking Sheet'!B721,'Production '!$F$4:$F$4407)</f>
        <v>3230621.3283604058</v>
      </c>
      <c r="I721" s="76">
        <f ca="1">SUMIF('Production '!$C$4:$AI$4407,'Tracking Sheet'!B721,'Production '!$V$4:$V$4407)</f>
        <v>-489.86487791182844</v>
      </c>
      <c r="J721" s="76">
        <f ca="1">SUMIF('Production '!$C$4:$AI$4407,'Tracking Sheet'!B721,'Production '!$AG$4:$AG$4407)</f>
        <v>0</v>
      </c>
    </row>
    <row r="722" spans="2:10" x14ac:dyDescent="0.3">
      <c r="B722" s="277">
        <f>'Production '!C725</f>
        <v>48025</v>
      </c>
      <c r="C722" s="76">
        <f ca="1">SUMIF('Production '!$C$4:$AI$4407,'Tracking Sheet'!B722,'Production '!$M$4:$M$4407)</f>
        <v>3133</v>
      </c>
      <c r="D722" s="76">
        <f ca="1">SUMIF('Production '!$C$4:$AI$4407,'Tracking Sheet'!B722,'Production '!$Q$4:$Q$4407)</f>
        <v>3133</v>
      </c>
      <c r="E722" s="76">
        <f ca="1">SUMIF('Production '!$C$4:$AI$4407,'Tracking Sheet'!B722,'Production '!$S$4:$S$4407)</f>
        <v>3115</v>
      </c>
      <c r="F722" s="76">
        <f ca="1">SUMIF('Production '!$C$4:$AI$4407,'Tracking Sheet'!B722,'Production '!$U$4:$U$4407)</f>
        <v>5</v>
      </c>
      <c r="G722" s="76">
        <f ca="1">SUMIF('Production '!$C$4:$AI$4407,'Tracking Sheet'!B722,'Production '!$W$4:$W$4407)</f>
        <v>3110</v>
      </c>
      <c r="H722" s="76">
        <f ca="1">SUMIF('Production '!$C$4:$AI$4407,'Tracking Sheet'!B722,'Production '!$F$4:$F$4407)</f>
        <v>2968</v>
      </c>
      <c r="I722" s="76">
        <f ca="1">SUMIF('Production '!$C$4:$AI$4407,'Tracking Sheet'!B722,'Production '!$V$4:$V$4407)</f>
        <v>0</v>
      </c>
      <c r="J722" s="76">
        <f ca="1">SUMIF('Production '!$C$4:$AI$4407,'Tracking Sheet'!B722,'Production '!$AG$4:$AG$4407)</f>
        <v>0</v>
      </c>
    </row>
    <row r="723" spans="2:10" x14ac:dyDescent="0.3">
      <c r="B723" s="277">
        <f>'Production '!C726</f>
        <v>48025</v>
      </c>
      <c r="C723" s="76">
        <f ca="1">SUMIF('Production '!$C$4:$AI$4407,'Tracking Sheet'!B723,'Production '!$M$4:$M$4407)</f>
        <v>3133</v>
      </c>
      <c r="D723" s="76">
        <f ca="1">SUMIF('Production '!$C$4:$AI$4407,'Tracking Sheet'!B723,'Production '!$Q$4:$Q$4407)</f>
        <v>3133</v>
      </c>
      <c r="E723" s="76">
        <f ca="1">SUMIF('Production '!$C$4:$AI$4407,'Tracking Sheet'!B723,'Production '!$S$4:$S$4407)</f>
        <v>3115</v>
      </c>
      <c r="F723" s="76">
        <f ca="1">SUMIF('Production '!$C$4:$AI$4407,'Tracking Sheet'!B723,'Production '!$U$4:$U$4407)</f>
        <v>5</v>
      </c>
      <c r="G723" s="76">
        <f ca="1">SUMIF('Production '!$C$4:$AI$4407,'Tracking Sheet'!B723,'Production '!$W$4:$W$4407)</f>
        <v>3110</v>
      </c>
      <c r="H723" s="76">
        <f ca="1">SUMIF('Production '!$C$4:$AI$4407,'Tracking Sheet'!B723,'Production '!$F$4:$F$4407)</f>
        <v>2968</v>
      </c>
      <c r="I723" s="76">
        <f ca="1">SUMIF('Production '!$C$4:$AI$4407,'Tracking Sheet'!B723,'Production '!$V$4:$V$4407)</f>
        <v>0</v>
      </c>
      <c r="J723" s="76">
        <f ca="1">SUMIF('Production '!$C$4:$AI$4407,'Tracking Sheet'!B723,'Production '!$AG$4:$AG$4407)</f>
        <v>0</v>
      </c>
    </row>
    <row r="724" spans="2:10" x14ac:dyDescent="0.3">
      <c r="B724" s="277">
        <f>'Production '!C727</f>
        <v>48025</v>
      </c>
      <c r="C724" s="76">
        <f ca="1">SUMIF('Production '!$C$4:$AI$4407,'Tracking Sheet'!B724,'Production '!$M$4:$M$4407)</f>
        <v>3133</v>
      </c>
      <c r="D724" s="76">
        <f ca="1">SUMIF('Production '!$C$4:$AI$4407,'Tracking Sheet'!B724,'Production '!$Q$4:$Q$4407)</f>
        <v>3133</v>
      </c>
      <c r="E724" s="76">
        <f ca="1">SUMIF('Production '!$C$4:$AI$4407,'Tracking Sheet'!B724,'Production '!$S$4:$S$4407)</f>
        <v>3115</v>
      </c>
      <c r="F724" s="76">
        <f ca="1">SUMIF('Production '!$C$4:$AI$4407,'Tracking Sheet'!B724,'Production '!$U$4:$U$4407)</f>
        <v>5</v>
      </c>
      <c r="G724" s="76">
        <f ca="1">SUMIF('Production '!$C$4:$AI$4407,'Tracking Sheet'!B724,'Production '!$W$4:$W$4407)</f>
        <v>3110</v>
      </c>
      <c r="H724" s="76">
        <f ca="1">SUMIF('Production '!$C$4:$AI$4407,'Tracking Sheet'!B724,'Production '!$F$4:$F$4407)</f>
        <v>2968</v>
      </c>
      <c r="I724" s="76">
        <f ca="1">SUMIF('Production '!$C$4:$AI$4407,'Tracking Sheet'!B724,'Production '!$V$4:$V$4407)</f>
        <v>0</v>
      </c>
      <c r="J724" s="76">
        <f ca="1">SUMIF('Production '!$C$4:$AI$4407,'Tracking Sheet'!B724,'Production '!$AG$4:$AG$4407)</f>
        <v>0</v>
      </c>
    </row>
    <row r="725" spans="2:10" x14ac:dyDescent="0.3">
      <c r="B725" s="277">
        <f>'Production '!C728</f>
        <v>0</v>
      </c>
      <c r="C725" s="76" t="e">
        <f ca="1">SUMIF('Production '!$C$4:$AI$4407,'Tracking Sheet'!B725,'Production '!$M$4:$M$4407)</f>
        <v>#DIV/0!</v>
      </c>
      <c r="D725" s="76" t="e">
        <f ca="1">SUMIF('Production '!$C$4:$AI$4407,'Tracking Sheet'!B725,'Production '!$Q$4:$Q$4407)</f>
        <v>#DIV/0!</v>
      </c>
      <c r="E725" s="76">
        <f ca="1">SUMIF('Production '!$C$4:$AI$4407,'Tracking Sheet'!B725,'Production '!$S$4:$S$4407)</f>
        <v>-1268218.9828305368</v>
      </c>
      <c r="F725" s="76">
        <f ca="1">SUMIF('Production '!$C$4:$AI$4407,'Tracking Sheet'!B725,'Production '!$U$4:$U$4407)</f>
        <v>-10620.435600016917</v>
      </c>
      <c r="G725" s="76" t="e">
        <f ca="1">SUMIF('Production '!$C$4:$AI$4407,'Tracking Sheet'!B725,'Production '!$W$4:$W$4407)</f>
        <v>#DIV/0!</v>
      </c>
      <c r="H725" s="76">
        <f ca="1">SUMIF('Production '!$C$4:$AI$4407,'Tracking Sheet'!B725,'Production '!$F$4:$F$4407)</f>
        <v>3230621.3283604058</v>
      </c>
      <c r="I725" s="76">
        <f ca="1">SUMIF('Production '!$C$4:$AI$4407,'Tracking Sheet'!B725,'Production '!$V$4:$V$4407)</f>
        <v>-489.86487791182844</v>
      </c>
      <c r="J725" s="76">
        <f ca="1">SUMIF('Production '!$C$4:$AI$4407,'Tracking Sheet'!B725,'Production '!$AG$4:$AG$4407)</f>
        <v>0</v>
      </c>
    </row>
    <row r="726" spans="2:10" x14ac:dyDescent="0.3">
      <c r="B726" s="277">
        <f>'Production '!C729</f>
        <v>48028</v>
      </c>
      <c r="C726" s="76">
        <f ca="1">SUMIF('Production '!$C$4:$AI$4407,'Tracking Sheet'!B726,'Production '!$M$4:$M$4407)</f>
        <v>2738</v>
      </c>
      <c r="D726" s="76">
        <f ca="1">SUMIF('Production '!$C$4:$AI$4407,'Tracking Sheet'!B726,'Production '!$Q$4:$Q$4407)</f>
        <v>2738</v>
      </c>
      <c r="E726" s="76">
        <f ca="1">SUMIF('Production '!$C$4:$AI$4407,'Tracking Sheet'!B726,'Production '!$S$4:$S$4407)</f>
        <v>2737</v>
      </c>
      <c r="F726" s="76">
        <f ca="1">SUMIF('Production '!$C$4:$AI$4407,'Tracking Sheet'!B726,'Production '!$U$4:$U$4407)</f>
        <v>14</v>
      </c>
      <c r="G726" s="76">
        <f ca="1">SUMIF('Production '!$C$4:$AI$4407,'Tracking Sheet'!B726,'Production '!$W$4:$W$4407)</f>
        <v>2723</v>
      </c>
      <c r="H726" s="76">
        <f ca="1">SUMIF('Production '!$C$4:$AI$4407,'Tracking Sheet'!B726,'Production '!$F$4:$F$4407)</f>
        <v>2637</v>
      </c>
      <c r="I726" s="76">
        <f ca="1">SUMIF('Production '!$C$4:$AI$4407,'Tracking Sheet'!B726,'Production '!$V$4:$V$4407)</f>
        <v>0</v>
      </c>
      <c r="J726" s="76">
        <f ca="1">SUMIF('Production '!$C$4:$AI$4407,'Tracking Sheet'!B726,'Production '!$AG$4:$AG$4407)</f>
        <v>0</v>
      </c>
    </row>
    <row r="727" spans="2:10" x14ac:dyDescent="0.3">
      <c r="B727" s="277">
        <f>'Production '!C730</f>
        <v>48028</v>
      </c>
      <c r="C727" s="76">
        <f ca="1">SUMIF('Production '!$C$4:$AI$4407,'Tracking Sheet'!B727,'Production '!$M$4:$M$4407)</f>
        <v>2738</v>
      </c>
      <c r="D727" s="76">
        <f ca="1">SUMIF('Production '!$C$4:$AI$4407,'Tracking Sheet'!B727,'Production '!$Q$4:$Q$4407)</f>
        <v>2738</v>
      </c>
      <c r="E727" s="76">
        <f ca="1">SUMIF('Production '!$C$4:$AI$4407,'Tracking Sheet'!B727,'Production '!$S$4:$S$4407)</f>
        <v>2737</v>
      </c>
      <c r="F727" s="76">
        <f ca="1">SUMIF('Production '!$C$4:$AI$4407,'Tracking Sheet'!B727,'Production '!$U$4:$U$4407)</f>
        <v>14</v>
      </c>
      <c r="G727" s="76">
        <f ca="1">SUMIF('Production '!$C$4:$AI$4407,'Tracking Sheet'!B727,'Production '!$W$4:$W$4407)</f>
        <v>2723</v>
      </c>
      <c r="H727" s="76">
        <f ca="1">SUMIF('Production '!$C$4:$AI$4407,'Tracking Sheet'!B727,'Production '!$F$4:$F$4407)</f>
        <v>2637</v>
      </c>
      <c r="I727" s="76">
        <f ca="1">SUMIF('Production '!$C$4:$AI$4407,'Tracking Sheet'!B727,'Production '!$V$4:$V$4407)</f>
        <v>0</v>
      </c>
      <c r="J727" s="76">
        <f ca="1">SUMIF('Production '!$C$4:$AI$4407,'Tracking Sheet'!B727,'Production '!$AG$4:$AG$4407)</f>
        <v>0</v>
      </c>
    </row>
    <row r="728" spans="2:10" x14ac:dyDescent="0.3">
      <c r="B728" s="277">
        <f>'Production '!C731</f>
        <v>48028</v>
      </c>
      <c r="C728" s="76">
        <f ca="1">SUMIF('Production '!$C$4:$AI$4407,'Tracking Sheet'!B728,'Production '!$M$4:$M$4407)</f>
        <v>2738</v>
      </c>
      <c r="D728" s="76">
        <f ca="1">SUMIF('Production '!$C$4:$AI$4407,'Tracking Sheet'!B728,'Production '!$Q$4:$Q$4407)</f>
        <v>2738</v>
      </c>
      <c r="E728" s="76">
        <f ca="1">SUMIF('Production '!$C$4:$AI$4407,'Tracking Sheet'!B728,'Production '!$S$4:$S$4407)</f>
        <v>2737</v>
      </c>
      <c r="F728" s="76">
        <f ca="1">SUMIF('Production '!$C$4:$AI$4407,'Tracking Sheet'!B728,'Production '!$U$4:$U$4407)</f>
        <v>14</v>
      </c>
      <c r="G728" s="76">
        <f ca="1">SUMIF('Production '!$C$4:$AI$4407,'Tracking Sheet'!B728,'Production '!$W$4:$W$4407)</f>
        <v>2723</v>
      </c>
      <c r="H728" s="76">
        <f ca="1">SUMIF('Production '!$C$4:$AI$4407,'Tracking Sheet'!B728,'Production '!$F$4:$F$4407)</f>
        <v>2637</v>
      </c>
      <c r="I728" s="76">
        <f ca="1">SUMIF('Production '!$C$4:$AI$4407,'Tracking Sheet'!B728,'Production '!$V$4:$V$4407)</f>
        <v>0</v>
      </c>
      <c r="J728" s="76">
        <f ca="1">SUMIF('Production '!$C$4:$AI$4407,'Tracking Sheet'!B728,'Production '!$AG$4:$AG$4407)</f>
        <v>0</v>
      </c>
    </row>
    <row r="729" spans="2:10" x14ac:dyDescent="0.3">
      <c r="B729" s="277">
        <f>'Production '!C732</f>
        <v>0</v>
      </c>
      <c r="C729" s="76" t="e">
        <f ca="1">SUMIF('Production '!$C$4:$AI$4407,'Tracking Sheet'!B729,'Production '!$M$4:$M$4407)</f>
        <v>#DIV/0!</v>
      </c>
      <c r="D729" s="76" t="e">
        <f ca="1">SUMIF('Production '!$C$4:$AI$4407,'Tracking Sheet'!B729,'Production '!$Q$4:$Q$4407)</f>
        <v>#DIV/0!</v>
      </c>
      <c r="E729" s="76">
        <f ca="1">SUMIF('Production '!$C$4:$AI$4407,'Tracking Sheet'!B729,'Production '!$S$4:$S$4407)</f>
        <v>-1268218.9828305368</v>
      </c>
      <c r="F729" s="76">
        <f ca="1">SUMIF('Production '!$C$4:$AI$4407,'Tracking Sheet'!B729,'Production '!$U$4:$U$4407)</f>
        <v>-10620.435600016917</v>
      </c>
      <c r="G729" s="76" t="e">
        <f ca="1">SUMIF('Production '!$C$4:$AI$4407,'Tracking Sheet'!B729,'Production '!$W$4:$W$4407)</f>
        <v>#DIV/0!</v>
      </c>
      <c r="H729" s="76">
        <f ca="1">SUMIF('Production '!$C$4:$AI$4407,'Tracking Sheet'!B729,'Production '!$F$4:$F$4407)</f>
        <v>3230621.3283604058</v>
      </c>
      <c r="I729" s="76">
        <f ca="1">SUMIF('Production '!$C$4:$AI$4407,'Tracking Sheet'!B729,'Production '!$V$4:$V$4407)</f>
        <v>-489.86487791182844</v>
      </c>
      <c r="J729" s="76">
        <f ca="1">SUMIF('Production '!$C$4:$AI$4407,'Tracking Sheet'!B729,'Production '!$AG$4:$AG$4407)</f>
        <v>0</v>
      </c>
    </row>
    <row r="730" spans="2:10" x14ac:dyDescent="0.3">
      <c r="B730" s="277">
        <f>'Production '!C733</f>
        <v>48030</v>
      </c>
      <c r="C730" s="76">
        <f ca="1">SUMIF('Production '!$C$4:$AI$4407,'Tracking Sheet'!B730,'Production '!$M$4:$M$4407)</f>
        <v>874</v>
      </c>
      <c r="D730" s="76">
        <f ca="1">SUMIF('Production '!$C$4:$AI$4407,'Tracking Sheet'!B730,'Production '!$Q$4:$Q$4407)</f>
        <v>874</v>
      </c>
      <c r="E730" s="76">
        <f ca="1">SUMIF('Production '!$C$4:$AI$4407,'Tracking Sheet'!B730,'Production '!$S$4:$S$4407)</f>
        <v>874</v>
      </c>
      <c r="F730" s="76">
        <f ca="1">SUMIF('Production '!$C$4:$AI$4407,'Tracking Sheet'!B730,'Production '!$U$4:$U$4407)</f>
        <v>11</v>
      </c>
      <c r="G730" s="76">
        <f ca="1">SUMIF('Production '!$C$4:$AI$4407,'Tracking Sheet'!B730,'Production '!$W$4:$W$4407)</f>
        <v>863</v>
      </c>
      <c r="H730" s="76">
        <f ca="1">SUMIF('Production '!$C$4:$AI$4407,'Tracking Sheet'!B730,'Production '!$F$4:$F$4407)</f>
        <v>810</v>
      </c>
      <c r="I730" s="76">
        <f ca="1">SUMIF('Production '!$C$4:$AI$4407,'Tracking Sheet'!B730,'Production '!$V$4:$V$4407)</f>
        <v>0</v>
      </c>
      <c r="J730" s="76">
        <f ca="1">SUMIF('Production '!$C$4:$AI$4407,'Tracking Sheet'!B730,'Production '!$AG$4:$AG$4407)</f>
        <v>0</v>
      </c>
    </row>
    <row r="731" spans="2:10" x14ac:dyDescent="0.3">
      <c r="B731" s="277">
        <f>'Production '!C734</f>
        <v>48030</v>
      </c>
      <c r="C731" s="76">
        <f ca="1">SUMIF('Production '!$C$4:$AI$4407,'Tracking Sheet'!B731,'Production '!$M$4:$M$4407)</f>
        <v>874</v>
      </c>
      <c r="D731" s="76">
        <f ca="1">SUMIF('Production '!$C$4:$AI$4407,'Tracking Sheet'!B731,'Production '!$Q$4:$Q$4407)</f>
        <v>874</v>
      </c>
      <c r="E731" s="76">
        <f ca="1">SUMIF('Production '!$C$4:$AI$4407,'Tracking Sheet'!B731,'Production '!$S$4:$S$4407)</f>
        <v>874</v>
      </c>
      <c r="F731" s="76">
        <f ca="1">SUMIF('Production '!$C$4:$AI$4407,'Tracking Sheet'!B731,'Production '!$U$4:$U$4407)</f>
        <v>11</v>
      </c>
      <c r="G731" s="76">
        <f ca="1">SUMIF('Production '!$C$4:$AI$4407,'Tracking Sheet'!B731,'Production '!$W$4:$W$4407)</f>
        <v>863</v>
      </c>
      <c r="H731" s="76">
        <f ca="1">SUMIF('Production '!$C$4:$AI$4407,'Tracking Sheet'!B731,'Production '!$F$4:$F$4407)</f>
        <v>810</v>
      </c>
      <c r="I731" s="76">
        <f ca="1">SUMIF('Production '!$C$4:$AI$4407,'Tracking Sheet'!B731,'Production '!$V$4:$V$4407)</f>
        <v>0</v>
      </c>
      <c r="J731" s="76">
        <f ca="1">SUMIF('Production '!$C$4:$AI$4407,'Tracking Sheet'!B731,'Production '!$AG$4:$AG$4407)</f>
        <v>0</v>
      </c>
    </row>
    <row r="732" spans="2:10" x14ac:dyDescent="0.3">
      <c r="B732" s="277">
        <f>'Production '!C735</f>
        <v>0</v>
      </c>
      <c r="C732" s="76" t="e">
        <f ca="1">SUMIF('Production '!$C$4:$AI$4407,'Tracking Sheet'!B732,'Production '!$M$4:$M$4407)</f>
        <v>#DIV/0!</v>
      </c>
      <c r="D732" s="76" t="e">
        <f ca="1">SUMIF('Production '!$C$4:$AI$4407,'Tracking Sheet'!B732,'Production '!$Q$4:$Q$4407)</f>
        <v>#DIV/0!</v>
      </c>
      <c r="E732" s="76">
        <f ca="1">SUMIF('Production '!$C$4:$AI$4407,'Tracking Sheet'!B732,'Production '!$S$4:$S$4407)</f>
        <v>-1268218.9828305368</v>
      </c>
      <c r="F732" s="76">
        <f ca="1">SUMIF('Production '!$C$4:$AI$4407,'Tracking Sheet'!B732,'Production '!$U$4:$U$4407)</f>
        <v>-10620.435600016917</v>
      </c>
      <c r="G732" s="76" t="e">
        <f ca="1">SUMIF('Production '!$C$4:$AI$4407,'Tracking Sheet'!B732,'Production '!$W$4:$W$4407)</f>
        <v>#DIV/0!</v>
      </c>
      <c r="H732" s="76">
        <f ca="1">SUMIF('Production '!$C$4:$AI$4407,'Tracking Sheet'!B732,'Production '!$F$4:$F$4407)</f>
        <v>3230621.3283604058</v>
      </c>
      <c r="I732" s="76">
        <f ca="1">SUMIF('Production '!$C$4:$AI$4407,'Tracking Sheet'!B732,'Production '!$V$4:$V$4407)</f>
        <v>-489.86487791182844</v>
      </c>
      <c r="J732" s="76">
        <f ca="1">SUMIF('Production '!$C$4:$AI$4407,'Tracking Sheet'!B732,'Production '!$AG$4:$AG$4407)</f>
        <v>0</v>
      </c>
    </row>
    <row r="733" spans="2:10" x14ac:dyDescent="0.3">
      <c r="B733" s="277">
        <f>'Production '!C736</f>
        <v>48032</v>
      </c>
      <c r="C733" s="76">
        <f ca="1">SUMIF('Production '!$C$4:$AI$4407,'Tracking Sheet'!B733,'Production '!$M$4:$M$4407)</f>
        <v>881</v>
      </c>
      <c r="D733" s="76">
        <f ca="1">SUMIF('Production '!$C$4:$AI$4407,'Tracking Sheet'!B733,'Production '!$Q$4:$Q$4407)</f>
        <v>876</v>
      </c>
      <c r="E733" s="76">
        <f ca="1">SUMIF('Production '!$C$4:$AI$4407,'Tracking Sheet'!B733,'Production '!$S$4:$S$4407)</f>
        <v>874</v>
      </c>
      <c r="F733" s="76">
        <f ca="1">SUMIF('Production '!$C$4:$AI$4407,'Tracking Sheet'!B733,'Production '!$U$4:$U$4407)</f>
        <v>6</v>
      </c>
      <c r="G733" s="76">
        <f ca="1">SUMIF('Production '!$C$4:$AI$4407,'Tracking Sheet'!B733,'Production '!$W$4:$W$4407)</f>
        <v>868</v>
      </c>
      <c r="H733" s="76">
        <f ca="1">SUMIF('Production '!$C$4:$AI$4407,'Tracking Sheet'!B733,'Production '!$F$4:$F$4407)</f>
        <v>810</v>
      </c>
      <c r="I733" s="76">
        <f ca="1">SUMIF('Production '!$C$4:$AI$4407,'Tracking Sheet'!B733,'Production '!$V$4:$V$4407)</f>
        <v>0</v>
      </c>
      <c r="J733" s="76">
        <f ca="1">SUMIF('Production '!$C$4:$AI$4407,'Tracking Sheet'!B733,'Production '!$AG$4:$AG$4407)</f>
        <v>0</v>
      </c>
    </row>
    <row r="734" spans="2:10" x14ac:dyDescent="0.3">
      <c r="B734" s="277">
        <f>'Production '!C737</f>
        <v>48032</v>
      </c>
      <c r="C734" s="76">
        <f ca="1">SUMIF('Production '!$C$4:$AI$4407,'Tracking Sheet'!B734,'Production '!$M$4:$M$4407)</f>
        <v>881</v>
      </c>
      <c r="D734" s="76">
        <f ca="1">SUMIF('Production '!$C$4:$AI$4407,'Tracking Sheet'!B734,'Production '!$Q$4:$Q$4407)</f>
        <v>876</v>
      </c>
      <c r="E734" s="76">
        <f ca="1">SUMIF('Production '!$C$4:$AI$4407,'Tracking Sheet'!B734,'Production '!$S$4:$S$4407)</f>
        <v>874</v>
      </c>
      <c r="F734" s="76">
        <f ca="1">SUMIF('Production '!$C$4:$AI$4407,'Tracking Sheet'!B734,'Production '!$U$4:$U$4407)</f>
        <v>6</v>
      </c>
      <c r="G734" s="76">
        <f ca="1">SUMIF('Production '!$C$4:$AI$4407,'Tracking Sheet'!B734,'Production '!$W$4:$W$4407)</f>
        <v>868</v>
      </c>
      <c r="H734" s="76">
        <f ca="1">SUMIF('Production '!$C$4:$AI$4407,'Tracking Sheet'!B734,'Production '!$F$4:$F$4407)</f>
        <v>810</v>
      </c>
      <c r="I734" s="76">
        <f ca="1">SUMIF('Production '!$C$4:$AI$4407,'Tracking Sheet'!B734,'Production '!$V$4:$V$4407)</f>
        <v>0</v>
      </c>
      <c r="J734" s="76">
        <f ca="1">SUMIF('Production '!$C$4:$AI$4407,'Tracking Sheet'!B734,'Production '!$AG$4:$AG$4407)</f>
        <v>0</v>
      </c>
    </row>
    <row r="735" spans="2:10" x14ac:dyDescent="0.3">
      <c r="B735" s="277">
        <f>'Production '!C738</f>
        <v>0</v>
      </c>
      <c r="C735" s="76" t="e">
        <f ca="1">SUMIF('Production '!$C$4:$AI$4407,'Tracking Sheet'!B735,'Production '!$M$4:$M$4407)</f>
        <v>#DIV/0!</v>
      </c>
      <c r="D735" s="76" t="e">
        <f ca="1">SUMIF('Production '!$C$4:$AI$4407,'Tracking Sheet'!B735,'Production '!$Q$4:$Q$4407)</f>
        <v>#DIV/0!</v>
      </c>
      <c r="E735" s="76">
        <f ca="1">SUMIF('Production '!$C$4:$AI$4407,'Tracking Sheet'!B735,'Production '!$S$4:$S$4407)</f>
        <v>-1268218.9828305368</v>
      </c>
      <c r="F735" s="76">
        <f ca="1">SUMIF('Production '!$C$4:$AI$4407,'Tracking Sheet'!B735,'Production '!$U$4:$U$4407)</f>
        <v>-10620.435600016917</v>
      </c>
      <c r="G735" s="76" t="e">
        <f ca="1">SUMIF('Production '!$C$4:$AI$4407,'Tracking Sheet'!B735,'Production '!$W$4:$W$4407)</f>
        <v>#DIV/0!</v>
      </c>
      <c r="H735" s="76">
        <f ca="1">SUMIF('Production '!$C$4:$AI$4407,'Tracking Sheet'!B735,'Production '!$F$4:$F$4407)</f>
        <v>3230621.3283604058</v>
      </c>
      <c r="I735" s="76">
        <f ca="1">SUMIF('Production '!$C$4:$AI$4407,'Tracking Sheet'!B735,'Production '!$V$4:$V$4407)</f>
        <v>-489.86487791182844</v>
      </c>
      <c r="J735" s="76">
        <f ca="1">SUMIF('Production '!$C$4:$AI$4407,'Tracking Sheet'!B735,'Production '!$AG$4:$AG$4407)</f>
        <v>0</v>
      </c>
    </row>
    <row r="736" spans="2:10" x14ac:dyDescent="0.3">
      <c r="B736" s="277">
        <f>'Production '!C739</f>
        <v>48029</v>
      </c>
      <c r="C736" s="76">
        <f ca="1">SUMIF('Production '!$C$4:$AI$4407,'Tracking Sheet'!B736,'Production '!$M$4:$M$4407)</f>
        <v>1706</v>
      </c>
      <c r="D736" s="76">
        <f ca="1">SUMIF('Production '!$C$4:$AI$4407,'Tracking Sheet'!B736,'Production '!$Q$4:$Q$4407)</f>
        <v>1699</v>
      </c>
      <c r="E736" s="76">
        <f ca="1">SUMIF('Production '!$C$4:$AI$4407,'Tracking Sheet'!B736,'Production '!$S$4:$S$4407)</f>
        <v>1696</v>
      </c>
      <c r="F736" s="76">
        <f ca="1">SUMIF('Production '!$C$4:$AI$4407,'Tracking Sheet'!B736,'Production '!$U$4:$U$4407)</f>
        <v>18</v>
      </c>
      <c r="G736" s="76">
        <f ca="1">SUMIF('Production '!$C$4:$AI$4407,'Tracking Sheet'!B736,'Production '!$W$4:$W$4407)</f>
        <v>1678</v>
      </c>
      <c r="H736" s="76">
        <f ca="1">SUMIF('Production '!$C$4:$AI$4407,'Tracking Sheet'!B736,'Production '!$F$4:$F$4407)</f>
        <v>1608</v>
      </c>
      <c r="I736" s="76">
        <f ca="1">SUMIF('Production '!$C$4:$AI$4407,'Tracking Sheet'!B736,'Production '!$V$4:$V$4407)</f>
        <v>0</v>
      </c>
      <c r="J736" s="76">
        <f ca="1">SUMIF('Production '!$C$4:$AI$4407,'Tracking Sheet'!B736,'Production '!$AG$4:$AG$4407)</f>
        <v>0</v>
      </c>
    </row>
    <row r="737" spans="2:10" x14ac:dyDescent="0.3">
      <c r="B737" s="277">
        <f>'Production '!C740</f>
        <v>48029</v>
      </c>
      <c r="C737" s="76">
        <f ca="1">SUMIF('Production '!$C$4:$AI$4407,'Tracking Sheet'!B737,'Production '!$M$4:$M$4407)</f>
        <v>1706</v>
      </c>
      <c r="D737" s="76">
        <f ca="1">SUMIF('Production '!$C$4:$AI$4407,'Tracking Sheet'!B737,'Production '!$Q$4:$Q$4407)</f>
        <v>1699</v>
      </c>
      <c r="E737" s="76">
        <f ca="1">SUMIF('Production '!$C$4:$AI$4407,'Tracking Sheet'!B737,'Production '!$S$4:$S$4407)</f>
        <v>1696</v>
      </c>
      <c r="F737" s="76">
        <f ca="1">SUMIF('Production '!$C$4:$AI$4407,'Tracking Sheet'!B737,'Production '!$U$4:$U$4407)</f>
        <v>18</v>
      </c>
      <c r="G737" s="76">
        <f ca="1">SUMIF('Production '!$C$4:$AI$4407,'Tracking Sheet'!B737,'Production '!$W$4:$W$4407)</f>
        <v>1678</v>
      </c>
      <c r="H737" s="76">
        <f ca="1">SUMIF('Production '!$C$4:$AI$4407,'Tracking Sheet'!B737,'Production '!$F$4:$F$4407)</f>
        <v>1608</v>
      </c>
      <c r="I737" s="76">
        <f ca="1">SUMIF('Production '!$C$4:$AI$4407,'Tracking Sheet'!B737,'Production '!$V$4:$V$4407)</f>
        <v>0</v>
      </c>
      <c r="J737" s="76">
        <f ca="1">SUMIF('Production '!$C$4:$AI$4407,'Tracking Sheet'!B737,'Production '!$AG$4:$AG$4407)</f>
        <v>0</v>
      </c>
    </row>
    <row r="738" spans="2:10" x14ac:dyDescent="0.3">
      <c r="B738" s="277">
        <f>'Production '!C741</f>
        <v>0</v>
      </c>
      <c r="C738" s="76" t="e">
        <f ca="1">SUMIF('Production '!$C$4:$AI$4407,'Tracking Sheet'!B738,'Production '!$M$4:$M$4407)</f>
        <v>#DIV/0!</v>
      </c>
      <c r="D738" s="76" t="e">
        <f ca="1">SUMIF('Production '!$C$4:$AI$4407,'Tracking Sheet'!B738,'Production '!$Q$4:$Q$4407)</f>
        <v>#DIV/0!</v>
      </c>
      <c r="E738" s="76">
        <f ca="1">SUMIF('Production '!$C$4:$AI$4407,'Tracking Sheet'!B738,'Production '!$S$4:$S$4407)</f>
        <v>-1268218.9828305368</v>
      </c>
      <c r="F738" s="76">
        <f ca="1">SUMIF('Production '!$C$4:$AI$4407,'Tracking Sheet'!B738,'Production '!$U$4:$U$4407)</f>
        <v>-10620.435600016917</v>
      </c>
      <c r="G738" s="76" t="e">
        <f ca="1">SUMIF('Production '!$C$4:$AI$4407,'Tracking Sheet'!B738,'Production '!$W$4:$W$4407)</f>
        <v>#DIV/0!</v>
      </c>
      <c r="H738" s="76">
        <f ca="1">SUMIF('Production '!$C$4:$AI$4407,'Tracking Sheet'!B738,'Production '!$F$4:$F$4407)</f>
        <v>3230621.3283604058</v>
      </c>
      <c r="I738" s="76">
        <f ca="1">SUMIF('Production '!$C$4:$AI$4407,'Tracking Sheet'!B738,'Production '!$V$4:$V$4407)</f>
        <v>-489.86487791182844</v>
      </c>
      <c r="J738" s="76">
        <f ca="1">SUMIF('Production '!$C$4:$AI$4407,'Tracking Sheet'!B738,'Production '!$AG$4:$AG$4407)</f>
        <v>0</v>
      </c>
    </row>
    <row r="739" spans="2:10" x14ac:dyDescent="0.3">
      <c r="B739" s="277">
        <f>'Production '!C742</f>
        <v>48080</v>
      </c>
      <c r="C739" s="76">
        <f ca="1">SUMIF('Production '!$C$4:$AI$4407,'Tracking Sheet'!B739,'Production '!$M$4:$M$4407)</f>
        <v>1647</v>
      </c>
      <c r="D739" s="76">
        <f ca="1">SUMIF('Production '!$C$4:$AI$4407,'Tracking Sheet'!B739,'Production '!$Q$4:$Q$4407)</f>
        <v>1647</v>
      </c>
      <c r="E739" s="76">
        <f ca="1">SUMIF('Production '!$C$4:$AI$4407,'Tracking Sheet'!B739,'Production '!$S$4:$S$4407)</f>
        <v>1647</v>
      </c>
      <c r="F739" s="76">
        <f ca="1">SUMIF('Production '!$C$4:$AI$4407,'Tracking Sheet'!B739,'Production '!$U$4:$U$4407)</f>
        <v>1647</v>
      </c>
      <c r="G739" s="76">
        <f ca="1">SUMIF('Production '!$C$4:$AI$4407,'Tracking Sheet'!B739,'Production '!$W$4:$W$4407)</f>
        <v>0</v>
      </c>
      <c r="H739" s="76">
        <f ca="1">SUMIF('Production '!$C$4:$AI$4407,'Tracking Sheet'!B739,'Production '!$F$4:$F$4407)</f>
        <v>1560</v>
      </c>
      <c r="I739" s="76">
        <f ca="1">SUMIF('Production '!$C$4:$AI$4407,'Tracking Sheet'!B739,'Production '!$V$4:$V$4407)</f>
        <v>0</v>
      </c>
      <c r="J739" s="76">
        <f ca="1">SUMIF('Production '!$C$4:$AI$4407,'Tracking Sheet'!B739,'Production '!$AG$4:$AG$4407)</f>
        <v>0</v>
      </c>
    </row>
    <row r="740" spans="2:10" x14ac:dyDescent="0.3">
      <c r="B740" s="277">
        <f>'Production '!C743</f>
        <v>48080</v>
      </c>
      <c r="C740" s="76">
        <f ca="1">SUMIF('Production '!$C$4:$AI$4407,'Tracking Sheet'!B740,'Production '!$M$4:$M$4407)</f>
        <v>1647</v>
      </c>
      <c r="D740" s="76">
        <f ca="1">SUMIF('Production '!$C$4:$AI$4407,'Tracking Sheet'!B740,'Production '!$Q$4:$Q$4407)</f>
        <v>1647</v>
      </c>
      <c r="E740" s="76">
        <f ca="1">SUMIF('Production '!$C$4:$AI$4407,'Tracking Sheet'!B740,'Production '!$S$4:$S$4407)</f>
        <v>1647</v>
      </c>
      <c r="F740" s="76">
        <f ca="1">SUMIF('Production '!$C$4:$AI$4407,'Tracking Sheet'!B740,'Production '!$U$4:$U$4407)</f>
        <v>1647</v>
      </c>
      <c r="G740" s="76">
        <f ca="1">SUMIF('Production '!$C$4:$AI$4407,'Tracking Sheet'!B740,'Production '!$W$4:$W$4407)</f>
        <v>0</v>
      </c>
      <c r="H740" s="76">
        <f ca="1">SUMIF('Production '!$C$4:$AI$4407,'Tracking Sheet'!B740,'Production '!$F$4:$F$4407)</f>
        <v>1560</v>
      </c>
      <c r="I740" s="76">
        <f ca="1">SUMIF('Production '!$C$4:$AI$4407,'Tracking Sheet'!B740,'Production '!$V$4:$V$4407)</f>
        <v>0</v>
      </c>
      <c r="J740" s="76">
        <f ca="1">SUMIF('Production '!$C$4:$AI$4407,'Tracking Sheet'!B740,'Production '!$AG$4:$AG$4407)</f>
        <v>0</v>
      </c>
    </row>
    <row r="741" spans="2:10" x14ac:dyDescent="0.3">
      <c r="B741" s="277">
        <f>'Production '!C744</f>
        <v>0</v>
      </c>
      <c r="C741" s="76" t="e">
        <f ca="1">SUMIF('Production '!$C$4:$AI$4407,'Tracking Sheet'!B741,'Production '!$M$4:$M$4407)</f>
        <v>#DIV/0!</v>
      </c>
      <c r="D741" s="76" t="e">
        <f ca="1">SUMIF('Production '!$C$4:$AI$4407,'Tracking Sheet'!B741,'Production '!$Q$4:$Q$4407)</f>
        <v>#DIV/0!</v>
      </c>
      <c r="E741" s="76">
        <f ca="1">SUMIF('Production '!$C$4:$AI$4407,'Tracking Sheet'!B741,'Production '!$S$4:$S$4407)</f>
        <v>-1268218.9828305368</v>
      </c>
      <c r="F741" s="76">
        <f ca="1">SUMIF('Production '!$C$4:$AI$4407,'Tracking Sheet'!B741,'Production '!$U$4:$U$4407)</f>
        <v>-10620.435600016917</v>
      </c>
      <c r="G741" s="76" t="e">
        <f ca="1">SUMIF('Production '!$C$4:$AI$4407,'Tracking Sheet'!B741,'Production '!$W$4:$W$4407)</f>
        <v>#DIV/0!</v>
      </c>
      <c r="H741" s="76">
        <f ca="1">SUMIF('Production '!$C$4:$AI$4407,'Tracking Sheet'!B741,'Production '!$F$4:$F$4407)</f>
        <v>3230621.3283604058</v>
      </c>
      <c r="I741" s="76">
        <f ca="1">SUMIF('Production '!$C$4:$AI$4407,'Tracking Sheet'!B741,'Production '!$V$4:$V$4407)</f>
        <v>-489.86487791182844</v>
      </c>
      <c r="J741" s="76">
        <f ca="1">SUMIF('Production '!$C$4:$AI$4407,'Tracking Sheet'!B741,'Production '!$AG$4:$AG$4407)</f>
        <v>0</v>
      </c>
    </row>
    <row r="742" spans="2:10" x14ac:dyDescent="0.3">
      <c r="B742" s="277">
        <f>'Production '!C745</f>
        <v>48073</v>
      </c>
      <c r="C742" s="76">
        <f ca="1">SUMIF('Production '!$C$4:$AI$4407,'Tracking Sheet'!B742,'Production '!$M$4:$M$4407)</f>
        <v>5232</v>
      </c>
      <c r="D742" s="76">
        <f ca="1">SUMIF('Production '!$C$4:$AI$4407,'Tracking Sheet'!B742,'Production '!$Q$4:$Q$4407)</f>
        <v>5232</v>
      </c>
      <c r="E742" s="76">
        <f ca="1">SUMIF('Production '!$C$4:$AI$4407,'Tracking Sheet'!B742,'Production '!$S$4:$S$4407)</f>
        <v>5166</v>
      </c>
      <c r="F742" s="76">
        <f ca="1">SUMIF('Production '!$C$4:$AI$4407,'Tracking Sheet'!B742,'Production '!$U$4:$U$4407)</f>
        <v>4</v>
      </c>
      <c r="G742" s="76">
        <f ca="1">SUMIF('Production '!$C$4:$AI$4407,'Tracking Sheet'!B742,'Production '!$W$4:$W$4407)</f>
        <v>5162</v>
      </c>
      <c r="H742" s="76">
        <f ca="1">SUMIF('Production '!$C$4:$AI$4407,'Tracking Sheet'!B742,'Production '!$F$4:$F$4407)</f>
        <v>5100</v>
      </c>
      <c r="I742" s="76">
        <f ca="1">SUMIF('Production '!$C$4:$AI$4407,'Tracking Sheet'!B742,'Production '!$V$4:$V$4407)</f>
        <v>0</v>
      </c>
      <c r="J742" s="76">
        <f ca="1">SUMIF('Production '!$C$4:$AI$4407,'Tracking Sheet'!B742,'Production '!$AG$4:$AG$4407)</f>
        <v>0</v>
      </c>
    </row>
    <row r="743" spans="2:10" x14ac:dyDescent="0.3">
      <c r="B743" s="277">
        <f>'Production '!C746</f>
        <v>48073</v>
      </c>
      <c r="C743" s="76">
        <f ca="1">SUMIF('Production '!$C$4:$AI$4407,'Tracking Sheet'!B743,'Production '!$M$4:$M$4407)</f>
        <v>5232</v>
      </c>
      <c r="D743" s="76">
        <f ca="1">SUMIF('Production '!$C$4:$AI$4407,'Tracking Sheet'!B743,'Production '!$Q$4:$Q$4407)</f>
        <v>5232</v>
      </c>
      <c r="E743" s="76">
        <f ca="1">SUMIF('Production '!$C$4:$AI$4407,'Tracking Sheet'!B743,'Production '!$S$4:$S$4407)</f>
        <v>5166</v>
      </c>
      <c r="F743" s="76">
        <f ca="1">SUMIF('Production '!$C$4:$AI$4407,'Tracking Sheet'!B743,'Production '!$U$4:$U$4407)</f>
        <v>4</v>
      </c>
      <c r="G743" s="76">
        <f ca="1">SUMIF('Production '!$C$4:$AI$4407,'Tracking Sheet'!B743,'Production '!$W$4:$W$4407)</f>
        <v>5162</v>
      </c>
      <c r="H743" s="76">
        <f ca="1">SUMIF('Production '!$C$4:$AI$4407,'Tracking Sheet'!B743,'Production '!$F$4:$F$4407)</f>
        <v>5100</v>
      </c>
      <c r="I743" s="76">
        <f ca="1">SUMIF('Production '!$C$4:$AI$4407,'Tracking Sheet'!B743,'Production '!$V$4:$V$4407)</f>
        <v>0</v>
      </c>
      <c r="J743" s="76">
        <f ca="1">SUMIF('Production '!$C$4:$AI$4407,'Tracking Sheet'!B743,'Production '!$AG$4:$AG$4407)</f>
        <v>0</v>
      </c>
    </row>
    <row r="744" spans="2:10" x14ac:dyDescent="0.3">
      <c r="B744" s="277">
        <f>'Production '!C747</f>
        <v>0</v>
      </c>
      <c r="C744" s="76" t="e">
        <f ca="1">SUMIF('Production '!$C$4:$AI$4407,'Tracking Sheet'!B744,'Production '!$M$4:$M$4407)</f>
        <v>#DIV/0!</v>
      </c>
      <c r="D744" s="76" t="e">
        <f ca="1">SUMIF('Production '!$C$4:$AI$4407,'Tracking Sheet'!B744,'Production '!$Q$4:$Q$4407)</f>
        <v>#DIV/0!</v>
      </c>
      <c r="E744" s="76">
        <f ca="1">SUMIF('Production '!$C$4:$AI$4407,'Tracking Sheet'!B744,'Production '!$S$4:$S$4407)</f>
        <v>-1268218.9828305368</v>
      </c>
      <c r="F744" s="76">
        <f ca="1">SUMIF('Production '!$C$4:$AI$4407,'Tracking Sheet'!B744,'Production '!$U$4:$U$4407)</f>
        <v>-10620.435600016917</v>
      </c>
      <c r="G744" s="76" t="e">
        <f ca="1">SUMIF('Production '!$C$4:$AI$4407,'Tracking Sheet'!B744,'Production '!$W$4:$W$4407)</f>
        <v>#DIV/0!</v>
      </c>
      <c r="H744" s="76">
        <f ca="1">SUMIF('Production '!$C$4:$AI$4407,'Tracking Sheet'!B744,'Production '!$F$4:$F$4407)</f>
        <v>3230621.3283604058</v>
      </c>
      <c r="I744" s="76">
        <f ca="1">SUMIF('Production '!$C$4:$AI$4407,'Tracking Sheet'!B744,'Production '!$V$4:$V$4407)</f>
        <v>-489.86487791182844</v>
      </c>
      <c r="J744" s="76">
        <f ca="1">SUMIF('Production '!$C$4:$AI$4407,'Tracking Sheet'!B744,'Production '!$AG$4:$AG$4407)</f>
        <v>0</v>
      </c>
    </row>
    <row r="745" spans="2:10" x14ac:dyDescent="0.3">
      <c r="B745" s="277">
        <f>'Production '!C748</f>
        <v>47686</v>
      </c>
      <c r="C745" s="76">
        <f ca="1">SUMIF('Production '!$C$4:$AI$4407,'Tracking Sheet'!B745,'Production '!$M$4:$M$4407)</f>
        <v>3410</v>
      </c>
      <c r="D745" s="76">
        <f ca="1">SUMIF('Production '!$C$4:$AI$4407,'Tracking Sheet'!B745,'Production '!$Q$4:$Q$4407)</f>
        <v>0</v>
      </c>
      <c r="E745" s="76">
        <f ca="1">SUMIF('Production '!$C$4:$AI$4407,'Tracking Sheet'!B745,'Production '!$S$4:$S$4407)</f>
        <v>0</v>
      </c>
      <c r="F745" s="76">
        <f ca="1">SUMIF('Production '!$C$4:$AI$4407,'Tracking Sheet'!B745,'Production '!$U$4:$U$4407)</f>
        <v>6</v>
      </c>
      <c r="G745" s="76">
        <f ca="1">SUMIF('Production '!$C$4:$AI$4407,'Tracking Sheet'!B745,'Production '!$W$4:$W$4407)</f>
        <v>3404</v>
      </c>
      <c r="H745" s="76">
        <f ca="1">SUMIF('Production '!$C$4:$AI$4407,'Tracking Sheet'!B745,'Production '!$F$4:$F$4407)</f>
        <v>3310</v>
      </c>
      <c r="I745" s="76">
        <f ca="1">SUMIF('Production '!$C$4:$AI$4407,'Tracking Sheet'!B745,'Production '!$V$4:$V$4407)</f>
        <v>0</v>
      </c>
      <c r="J745" s="76">
        <f ca="1">SUMIF('Production '!$C$4:$AI$4407,'Tracking Sheet'!B745,'Production '!$AG$4:$AG$4407)</f>
        <v>0</v>
      </c>
    </row>
    <row r="746" spans="2:10" x14ac:dyDescent="0.3">
      <c r="B746" s="277">
        <f>'Production '!C749</f>
        <v>47686</v>
      </c>
      <c r="C746" s="76">
        <f ca="1">SUMIF('Production '!$C$4:$AI$4407,'Tracking Sheet'!B746,'Production '!$M$4:$M$4407)</f>
        <v>3410</v>
      </c>
      <c r="D746" s="76">
        <f ca="1">SUMIF('Production '!$C$4:$AI$4407,'Tracking Sheet'!B746,'Production '!$Q$4:$Q$4407)</f>
        <v>0</v>
      </c>
      <c r="E746" s="76">
        <f ca="1">SUMIF('Production '!$C$4:$AI$4407,'Tracking Sheet'!B746,'Production '!$S$4:$S$4407)</f>
        <v>0</v>
      </c>
      <c r="F746" s="76">
        <f ca="1">SUMIF('Production '!$C$4:$AI$4407,'Tracking Sheet'!B746,'Production '!$U$4:$U$4407)</f>
        <v>6</v>
      </c>
      <c r="G746" s="76">
        <f ca="1">SUMIF('Production '!$C$4:$AI$4407,'Tracking Sheet'!B746,'Production '!$W$4:$W$4407)</f>
        <v>3404</v>
      </c>
      <c r="H746" s="76">
        <f ca="1">SUMIF('Production '!$C$4:$AI$4407,'Tracking Sheet'!B746,'Production '!$F$4:$F$4407)</f>
        <v>3310</v>
      </c>
      <c r="I746" s="76">
        <f ca="1">SUMIF('Production '!$C$4:$AI$4407,'Tracking Sheet'!B746,'Production '!$V$4:$V$4407)</f>
        <v>0</v>
      </c>
      <c r="J746" s="76">
        <f ca="1">SUMIF('Production '!$C$4:$AI$4407,'Tracking Sheet'!B746,'Production '!$AG$4:$AG$4407)</f>
        <v>0</v>
      </c>
    </row>
    <row r="747" spans="2:10" x14ac:dyDescent="0.3">
      <c r="B747" s="277">
        <f>'Production '!C750</f>
        <v>0</v>
      </c>
      <c r="C747" s="76" t="e">
        <f ca="1">SUMIF('Production '!$C$4:$AI$4407,'Tracking Sheet'!B747,'Production '!$M$4:$M$4407)</f>
        <v>#DIV/0!</v>
      </c>
      <c r="D747" s="76" t="e">
        <f ca="1">SUMIF('Production '!$C$4:$AI$4407,'Tracking Sheet'!B747,'Production '!$Q$4:$Q$4407)</f>
        <v>#DIV/0!</v>
      </c>
      <c r="E747" s="76">
        <f ca="1">SUMIF('Production '!$C$4:$AI$4407,'Tracking Sheet'!B747,'Production '!$S$4:$S$4407)</f>
        <v>-1268218.9828305368</v>
      </c>
      <c r="F747" s="76">
        <f ca="1">SUMIF('Production '!$C$4:$AI$4407,'Tracking Sheet'!B747,'Production '!$U$4:$U$4407)</f>
        <v>-10620.435600016917</v>
      </c>
      <c r="G747" s="76" t="e">
        <f ca="1">SUMIF('Production '!$C$4:$AI$4407,'Tracking Sheet'!B747,'Production '!$W$4:$W$4407)</f>
        <v>#DIV/0!</v>
      </c>
      <c r="H747" s="76">
        <f ca="1">SUMIF('Production '!$C$4:$AI$4407,'Tracking Sheet'!B747,'Production '!$F$4:$F$4407)</f>
        <v>3230621.3283604058</v>
      </c>
      <c r="I747" s="76">
        <f ca="1">SUMIF('Production '!$C$4:$AI$4407,'Tracking Sheet'!B747,'Production '!$V$4:$V$4407)</f>
        <v>-489.86487791182844</v>
      </c>
      <c r="J747" s="76">
        <f ca="1">SUMIF('Production '!$C$4:$AI$4407,'Tracking Sheet'!B747,'Production '!$AG$4:$AG$4407)</f>
        <v>0</v>
      </c>
    </row>
    <row r="748" spans="2:10" x14ac:dyDescent="0.3">
      <c r="B748" s="277">
        <f>'Production '!C751</f>
        <v>48075</v>
      </c>
      <c r="C748" s="76">
        <f ca="1">SUMIF('Production '!$C$4:$AI$4407,'Tracking Sheet'!B748,'Production '!$M$4:$M$4407)</f>
        <v>10330</v>
      </c>
      <c r="D748" s="76">
        <f ca="1">SUMIF('Production '!$C$4:$AI$4407,'Tracking Sheet'!B748,'Production '!$Q$4:$Q$4407)</f>
        <v>10330</v>
      </c>
      <c r="E748" s="76">
        <f ca="1">SUMIF('Production '!$C$4:$AI$4407,'Tracking Sheet'!B748,'Production '!$S$4:$S$4407)</f>
        <v>5642</v>
      </c>
      <c r="F748" s="76">
        <f ca="1">SUMIF('Production '!$C$4:$AI$4407,'Tracking Sheet'!B748,'Production '!$U$4:$U$4407)</f>
        <v>5642</v>
      </c>
      <c r="G748" s="76">
        <f ca="1">SUMIF('Production '!$C$4:$AI$4407,'Tracking Sheet'!B748,'Production '!$W$4:$W$4407)</f>
        <v>0</v>
      </c>
      <c r="H748" s="76">
        <f ca="1">SUMIF('Production '!$C$4:$AI$4407,'Tracking Sheet'!B748,'Production '!$F$4:$F$4407)</f>
        <v>10068</v>
      </c>
      <c r="I748" s="76">
        <f ca="1">SUMIF('Production '!$C$4:$AI$4407,'Tracking Sheet'!B748,'Production '!$V$4:$V$4407)</f>
        <v>0</v>
      </c>
      <c r="J748" s="76">
        <f ca="1">SUMIF('Production '!$C$4:$AI$4407,'Tracking Sheet'!B748,'Production '!$AG$4:$AG$4407)</f>
        <v>0</v>
      </c>
    </row>
    <row r="749" spans="2:10" x14ac:dyDescent="0.3">
      <c r="B749" s="277">
        <f>'Production '!C752</f>
        <v>48075</v>
      </c>
      <c r="C749" s="76">
        <f ca="1">SUMIF('Production '!$C$4:$AI$4407,'Tracking Sheet'!B749,'Production '!$M$4:$M$4407)</f>
        <v>10330</v>
      </c>
      <c r="D749" s="76">
        <f ca="1">SUMIF('Production '!$C$4:$AI$4407,'Tracking Sheet'!B749,'Production '!$Q$4:$Q$4407)</f>
        <v>10330</v>
      </c>
      <c r="E749" s="76">
        <f ca="1">SUMIF('Production '!$C$4:$AI$4407,'Tracking Sheet'!B749,'Production '!$S$4:$S$4407)</f>
        <v>5642</v>
      </c>
      <c r="F749" s="76">
        <f ca="1">SUMIF('Production '!$C$4:$AI$4407,'Tracking Sheet'!B749,'Production '!$U$4:$U$4407)</f>
        <v>5642</v>
      </c>
      <c r="G749" s="76">
        <f ca="1">SUMIF('Production '!$C$4:$AI$4407,'Tracking Sheet'!B749,'Production '!$W$4:$W$4407)</f>
        <v>0</v>
      </c>
      <c r="H749" s="76">
        <f ca="1">SUMIF('Production '!$C$4:$AI$4407,'Tracking Sheet'!B749,'Production '!$F$4:$F$4407)</f>
        <v>10068</v>
      </c>
      <c r="I749" s="76">
        <f ca="1">SUMIF('Production '!$C$4:$AI$4407,'Tracking Sheet'!B749,'Production '!$V$4:$V$4407)</f>
        <v>0</v>
      </c>
      <c r="J749" s="76">
        <f ca="1">SUMIF('Production '!$C$4:$AI$4407,'Tracking Sheet'!B749,'Production '!$AG$4:$AG$4407)</f>
        <v>0</v>
      </c>
    </row>
    <row r="750" spans="2:10" x14ac:dyDescent="0.3">
      <c r="B750" s="277">
        <f>'Production '!C753</f>
        <v>48075</v>
      </c>
      <c r="C750" s="76">
        <f ca="1">SUMIF('Production '!$C$4:$AI$4407,'Tracking Sheet'!B750,'Production '!$M$4:$M$4407)</f>
        <v>10330</v>
      </c>
      <c r="D750" s="76">
        <f ca="1">SUMIF('Production '!$C$4:$AI$4407,'Tracking Sheet'!B750,'Production '!$Q$4:$Q$4407)</f>
        <v>10330</v>
      </c>
      <c r="E750" s="76">
        <f ca="1">SUMIF('Production '!$C$4:$AI$4407,'Tracking Sheet'!B750,'Production '!$S$4:$S$4407)</f>
        <v>5642</v>
      </c>
      <c r="F750" s="76">
        <f ca="1">SUMIF('Production '!$C$4:$AI$4407,'Tracking Sheet'!B750,'Production '!$U$4:$U$4407)</f>
        <v>5642</v>
      </c>
      <c r="G750" s="76">
        <f ca="1">SUMIF('Production '!$C$4:$AI$4407,'Tracking Sheet'!B750,'Production '!$W$4:$W$4407)</f>
        <v>0</v>
      </c>
      <c r="H750" s="76">
        <f ca="1">SUMIF('Production '!$C$4:$AI$4407,'Tracking Sheet'!B750,'Production '!$F$4:$F$4407)</f>
        <v>10068</v>
      </c>
      <c r="I750" s="76">
        <f ca="1">SUMIF('Production '!$C$4:$AI$4407,'Tracking Sheet'!B750,'Production '!$V$4:$V$4407)</f>
        <v>0</v>
      </c>
      <c r="J750" s="76">
        <f ca="1">SUMIF('Production '!$C$4:$AI$4407,'Tracking Sheet'!B750,'Production '!$AG$4:$AG$4407)</f>
        <v>0</v>
      </c>
    </row>
    <row r="751" spans="2:10" x14ac:dyDescent="0.3">
      <c r="B751" s="277">
        <f>'Production '!C754</f>
        <v>48075</v>
      </c>
      <c r="C751" s="76">
        <f ca="1">SUMIF('Production '!$C$4:$AI$4407,'Tracking Sheet'!B751,'Production '!$M$4:$M$4407)</f>
        <v>10330</v>
      </c>
      <c r="D751" s="76">
        <f ca="1">SUMIF('Production '!$C$4:$AI$4407,'Tracking Sheet'!B751,'Production '!$Q$4:$Q$4407)</f>
        <v>10330</v>
      </c>
      <c r="E751" s="76">
        <f ca="1">SUMIF('Production '!$C$4:$AI$4407,'Tracking Sheet'!B751,'Production '!$S$4:$S$4407)</f>
        <v>5642</v>
      </c>
      <c r="F751" s="76">
        <f ca="1">SUMIF('Production '!$C$4:$AI$4407,'Tracking Sheet'!B751,'Production '!$U$4:$U$4407)</f>
        <v>5642</v>
      </c>
      <c r="G751" s="76">
        <f ca="1">SUMIF('Production '!$C$4:$AI$4407,'Tracking Sheet'!B751,'Production '!$W$4:$W$4407)</f>
        <v>0</v>
      </c>
      <c r="H751" s="76">
        <f ca="1">SUMIF('Production '!$C$4:$AI$4407,'Tracking Sheet'!B751,'Production '!$F$4:$F$4407)</f>
        <v>10068</v>
      </c>
      <c r="I751" s="76">
        <f ca="1">SUMIF('Production '!$C$4:$AI$4407,'Tracking Sheet'!B751,'Production '!$V$4:$V$4407)</f>
        <v>0</v>
      </c>
      <c r="J751" s="76">
        <f ca="1">SUMIF('Production '!$C$4:$AI$4407,'Tracking Sheet'!B751,'Production '!$AG$4:$AG$4407)</f>
        <v>0</v>
      </c>
    </row>
    <row r="752" spans="2:10" x14ac:dyDescent="0.3">
      <c r="B752" s="277">
        <f>'Production '!C755</f>
        <v>0</v>
      </c>
      <c r="C752" s="76" t="e">
        <f ca="1">SUMIF('Production '!$C$4:$AI$4407,'Tracking Sheet'!B752,'Production '!$M$4:$M$4407)</f>
        <v>#DIV/0!</v>
      </c>
      <c r="D752" s="76" t="e">
        <f ca="1">SUMIF('Production '!$C$4:$AI$4407,'Tracking Sheet'!B752,'Production '!$Q$4:$Q$4407)</f>
        <v>#DIV/0!</v>
      </c>
      <c r="E752" s="76">
        <f ca="1">SUMIF('Production '!$C$4:$AI$4407,'Tracking Sheet'!B752,'Production '!$S$4:$S$4407)</f>
        <v>-1268218.9828305368</v>
      </c>
      <c r="F752" s="76">
        <f ca="1">SUMIF('Production '!$C$4:$AI$4407,'Tracking Sheet'!B752,'Production '!$U$4:$U$4407)</f>
        <v>-10620.435600016917</v>
      </c>
      <c r="G752" s="76" t="e">
        <f ca="1">SUMIF('Production '!$C$4:$AI$4407,'Tracking Sheet'!B752,'Production '!$W$4:$W$4407)</f>
        <v>#DIV/0!</v>
      </c>
      <c r="H752" s="76">
        <f ca="1">SUMIF('Production '!$C$4:$AI$4407,'Tracking Sheet'!B752,'Production '!$F$4:$F$4407)</f>
        <v>3230621.3283604058</v>
      </c>
      <c r="I752" s="76">
        <f ca="1">SUMIF('Production '!$C$4:$AI$4407,'Tracking Sheet'!B752,'Production '!$V$4:$V$4407)</f>
        <v>-489.86487791182844</v>
      </c>
      <c r="J752" s="76">
        <f ca="1">SUMIF('Production '!$C$4:$AI$4407,'Tracking Sheet'!B752,'Production '!$AG$4:$AG$4407)</f>
        <v>0</v>
      </c>
    </row>
    <row r="753" spans="2:10" x14ac:dyDescent="0.3">
      <c r="B753" s="277">
        <f>'Production '!C756</f>
        <v>48076</v>
      </c>
      <c r="C753" s="76">
        <f ca="1">SUMIF('Production '!$C$4:$AI$4407,'Tracking Sheet'!B753,'Production '!$M$4:$M$4407)</f>
        <v>11316</v>
      </c>
      <c r="D753" s="76">
        <f ca="1">SUMIF('Production '!$C$4:$AI$4407,'Tracking Sheet'!B753,'Production '!$Q$4:$Q$4407)</f>
        <v>11301</v>
      </c>
      <c r="E753" s="76">
        <f ca="1">SUMIF('Production '!$C$4:$AI$4407,'Tracking Sheet'!B753,'Production '!$S$4:$S$4407)</f>
        <v>7862</v>
      </c>
      <c r="F753" s="76">
        <f ca="1">SUMIF('Production '!$C$4:$AI$4407,'Tracking Sheet'!B753,'Production '!$U$4:$U$4407)</f>
        <v>7862</v>
      </c>
      <c r="G753" s="76">
        <f ca="1">SUMIF('Production '!$C$4:$AI$4407,'Tracking Sheet'!B753,'Production '!$W$4:$W$4407)</f>
        <v>0</v>
      </c>
      <c r="H753" s="76">
        <f ca="1">SUMIF('Production '!$C$4:$AI$4407,'Tracking Sheet'!B753,'Production '!$F$4:$F$4407)</f>
        <v>10946</v>
      </c>
      <c r="I753" s="76">
        <f ca="1">SUMIF('Production '!$C$4:$AI$4407,'Tracking Sheet'!B753,'Production '!$V$4:$V$4407)</f>
        <v>0</v>
      </c>
      <c r="J753" s="76">
        <f ca="1">SUMIF('Production '!$C$4:$AI$4407,'Tracking Sheet'!B753,'Production '!$AG$4:$AG$4407)</f>
        <v>0</v>
      </c>
    </row>
    <row r="754" spans="2:10" x14ac:dyDescent="0.3">
      <c r="B754" s="277">
        <f>'Production '!C757</f>
        <v>48076</v>
      </c>
      <c r="C754" s="76">
        <f ca="1">SUMIF('Production '!$C$4:$AI$4407,'Tracking Sheet'!B754,'Production '!$M$4:$M$4407)</f>
        <v>11316</v>
      </c>
      <c r="D754" s="76">
        <f ca="1">SUMIF('Production '!$C$4:$AI$4407,'Tracking Sheet'!B754,'Production '!$Q$4:$Q$4407)</f>
        <v>11301</v>
      </c>
      <c r="E754" s="76">
        <f ca="1">SUMIF('Production '!$C$4:$AI$4407,'Tracking Sheet'!B754,'Production '!$S$4:$S$4407)</f>
        <v>7862</v>
      </c>
      <c r="F754" s="76">
        <f ca="1">SUMIF('Production '!$C$4:$AI$4407,'Tracking Sheet'!B754,'Production '!$U$4:$U$4407)</f>
        <v>7862</v>
      </c>
      <c r="G754" s="76">
        <f ca="1">SUMIF('Production '!$C$4:$AI$4407,'Tracking Sheet'!B754,'Production '!$W$4:$W$4407)</f>
        <v>0</v>
      </c>
      <c r="H754" s="76">
        <f ca="1">SUMIF('Production '!$C$4:$AI$4407,'Tracking Sheet'!B754,'Production '!$F$4:$F$4407)</f>
        <v>10946</v>
      </c>
      <c r="I754" s="76">
        <f ca="1">SUMIF('Production '!$C$4:$AI$4407,'Tracking Sheet'!B754,'Production '!$V$4:$V$4407)</f>
        <v>0</v>
      </c>
      <c r="J754" s="76">
        <f ca="1">SUMIF('Production '!$C$4:$AI$4407,'Tracking Sheet'!B754,'Production '!$AG$4:$AG$4407)</f>
        <v>0</v>
      </c>
    </row>
    <row r="755" spans="2:10" x14ac:dyDescent="0.3">
      <c r="B755" s="277">
        <f>'Production '!C758</f>
        <v>48076</v>
      </c>
      <c r="C755" s="76">
        <f ca="1">SUMIF('Production '!$C$4:$AI$4407,'Tracking Sheet'!B755,'Production '!$M$4:$M$4407)</f>
        <v>11316</v>
      </c>
      <c r="D755" s="76">
        <f ca="1">SUMIF('Production '!$C$4:$AI$4407,'Tracking Sheet'!B755,'Production '!$Q$4:$Q$4407)</f>
        <v>11301</v>
      </c>
      <c r="E755" s="76">
        <f ca="1">SUMIF('Production '!$C$4:$AI$4407,'Tracking Sheet'!B755,'Production '!$S$4:$S$4407)</f>
        <v>7862</v>
      </c>
      <c r="F755" s="76">
        <f ca="1">SUMIF('Production '!$C$4:$AI$4407,'Tracking Sheet'!B755,'Production '!$U$4:$U$4407)</f>
        <v>7862</v>
      </c>
      <c r="G755" s="76">
        <f ca="1">SUMIF('Production '!$C$4:$AI$4407,'Tracking Sheet'!B755,'Production '!$W$4:$W$4407)</f>
        <v>0</v>
      </c>
      <c r="H755" s="76">
        <f ca="1">SUMIF('Production '!$C$4:$AI$4407,'Tracking Sheet'!B755,'Production '!$F$4:$F$4407)</f>
        <v>10946</v>
      </c>
      <c r="I755" s="76">
        <f ca="1">SUMIF('Production '!$C$4:$AI$4407,'Tracking Sheet'!B755,'Production '!$V$4:$V$4407)</f>
        <v>0</v>
      </c>
      <c r="J755" s="76">
        <f ca="1">SUMIF('Production '!$C$4:$AI$4407,'Tracking Sheet'!B755,'Production '!$AG$4:$AG$4407)</f>
        <v>0</v>
      </c>
    </row>
    <row r="756" spans="2:10" x14ac:dyDescent="0.3">
      <c r="B756" s="277">
        <f>'Production '!C759</f>
        <v>48076</v>
      </c>
      <c r="C756" s="76">
        <f ca="1">SUMIF('Production '!$C$4:$AI$4407,'Tracking Sheet'!B756,'Production '!$M$4:$M$4407)</f>
        <v>11316</v>
      </c>
      <c r="D756" s="76">
        <f ca="1">SUMIF('Production '!$C$4:$AI$4407,'Tracking Sheet'!B756,'Production '!$Q$4:$Q$4407)</f>
        <v>11301</v>
      </c>
      <c r="E756" s="76">
        <f ca="1">SUMIF('Production '!$C$4:$AI$4407,'Tracking Sheet'!B756,'Production '!$S$4:$S$4407)</f>
        <v>7862</v>
      </c>
      <c r="F756" s="76">
        <f ca="1">SUMIF('Production '!$C$4:$AI$4407,'Tracking Sheet'!B756,'Production '!$U$4:$U$4407)</f>
        <v>7862</v>
      </c>
      <c r="G756" s="76">
        <f ca="1">SUMIF('Production '!$C$4:$AI$4407,'Tracking Sheet'!B756,'Production '!$W$4:$W$4407)</f>
        <v>0</v>
      </c>
      <c r="H756" s="76">
        <f ca="1">SUMIF('Production '!$C$4:$AI$4407,'Tracking Sheet'!B756,'Production '!$F$4:$F$4407)</f>
        <v>10946</v>
      </c>
      <c r="I756" s="76">
        <f ca="1">SUMIF('Production '!$C$4:$AI$4407,'Tracking Sheet'!B756,'Production '!$V$4:$V$4407)</f>
        <v>0</v>
      </c>
      <c r="J756" s="76">
        <f ca="1">SUMIF('Production '!$C$4:$AI$4407,'Tracking Sheet'!B756,'Production '!$AG$4:$AG$4407)</f>
        <v>0</v>
      </c>
    </row>
    <row r="757" spans="2:10" x14ac:dyDescent="0.3">
      <c r="B757" s="277">
        <f>'Production '!C760</f>
        <v>0</v>
      </c>
      <c r="C757" s="76" t="e">
        <f ca="1">SUMIF('Production '!$C$4:$AI$4407,'Tracking Sheet'!B757,'Production '!$M$4:$M$4407)</f>
        <v>#DIV/0!</v>
      </c>
      <c r="D757" s="76" t="e">
        <f ca="1">SUMIF('Production '!$C$4:$AI$4407,'Tracking Sheet'!B757,'Production '!$Q$4:$Q$4407)</f>
        <v>#DIV/0!</v>
      </c>
      <c r="E757" s="76">
        <f ca="1">SUMIF('Production '!$C$4:$AI$4407,'Tracking Sheet'!B757,'Production '!$S$4:$S$4407)</f>
        <v>-1268218.9828305368</v>
      </c>
      <c r="F757" s="76">
        <f ca="1">SUMIF('Production '!$C$4:$AI$4407,'Tracking Sheet'!B757,'Production '!$U$4:$U$4407)</f>
        <v>-10620.435600016917</v>
      </c>
      <c r="G757" s="76" t="e">
        <f ca="1">SUMIF('Production '!$C$4:$AI$4407,'Tracking Sheet'!B757,'Production '!$W$4:$W$4407)</f>
        <v>#DIV/0!</v>
      </c>
      <c r="H757" s="76">
        <f ca="1">SUMIF('Production '!$C$4:$AI$4407,'Tracking Sheet'!B757,'Production '!$F$4:$F$4407)</f>
        <v>3230621.3283604058</v>
      </c>
      <c r="I757" s="76">
        <f ca="1">SUMIF('Production '!$C$4:$AI$4407,'Tracking Sheet'!B757,'Production '!$V$4:$V$4407)</f>
        <v>-489.86487791182844</v>
      </c>
      <c r="J757" s="76">
        <f ca="1">SUMIF('Production '!$C$4:$AI$4407,'Tracking Sheet'!B757,'Production '!$AG$4:$AG$4407)</f>
        <v>0</v>
      </c>
    </row>
    <row r="758" spans="2:10" x14ac:dyDescent="0.3">
      <c r="B758" s="277">
        <f>'Production '!C761</f>
        <v>48077</v>
      </c>
      <c r="C758" s="76">
        <f ca="1">SUMIF('Production '!$C$4:$AI$4407,'Tracking Sheet'!B758,'Production '!$M$4:$M$4407)</f>
        <v>9930</v>
      </c>
      <c r="D758" s="76">
        <f ca="1">SUMIF('Production '!$C$4:$AI$4407,'Tracking Sheet'!B758,'Production '!$Q$4:$Q$4407)</f>
        <v>9818</v>
      </c>
      <c r="E758" s="76">
        <f ca="1">SUMIF('Production '!$C$4:$AI$4407,'Tracking Sheet'!B758,'Production '!$S$4:$S$4407)</f>
        <v>3829</v>
      </c>
      <c r="F758" s="76">
        <f ca="1">SUMIF('Production '!$C$4:$AI$4407,'Tracking Sheet'!B758,'Production '!$U$4:$U$4407)</f>
        <v>3829</v>
      </c>
      <c r="G758" s="76">
        <f ca="1">SUMIF('Production '!$C$4:$AI$4407,'Tracking Sheet'!B758,'Production '!$W$4:$W$4407)</f>
        <v>0</v>
      </c>
      <c r="H758" s="76">
        <f ca="1">SUMIF('Production '!$C$4:$AI$4407,'Tracking Sheet'!B758,'Production '!$F$4:$F$4407)</f>
        <v>9909</v>
      </c>
      <c r="I758" s="76">
        <f ca="1">SUMIF('Production '!$C$4:$AI$4407,'Tracking Sheet'!B758,'Production '!$V$4:$V$4407)</f>
        <v>0</v>
      </c>
      <c r="J758" s="76">
        <f ca="1">SUMIF('Production '!$C$4:$AI$4407,'Tracking Sheet'!B758,'Production '!$AG$4:$AG$4407)</f>
        <v>-293</v>
      </c>
    </row>
    <row r="759" spans="2:10" x14ac:dyDescent="0.3">
      <c r="B759" s="277">
        <f>'Production '!C762</f>
        <v>48077</v>
      </c>
      <c r="C759" s="76">
        <f ca="1">SUMIF('Production '!$C$4:$AI$4407,'Tracking Sheet'!B759,'Production '!$M$4:$M$4407)</f>
        <v>9930</v>
      </c>
      <c r="D759" s="76">
        <f ca="1">SUMIF('Production '!$C$4:$AI$4407,'Tracking Sheet'!B759,'Production '!$Q$4:$Q$4407)</f>
        <v>9818</v>
      </c>
      <c r="E759" s="76">
        <f ca="1">SUMIF('Production '!$C$4:$AI$4407,'Tracking Sheet'!B759,'Production '!$S$4:$S$4407)</f>
        <v>3829</v>
      </c>
      <c r="F759" s="76">
        <f ca="1">SUMIF('Production '!$C$4:$AI$4407,'Tracking Sheet'!B759,'Production '!$U$4:$U$4407)</f>
        <v>3829</v>
      </c>
      <c r="G759" s="76">
        <f ca="1">SUMIF('Production '!$C$4:$AI$4407,'Tracking Sheet'!B759,'Production '!$W$4:$W$4407)</f>
        <v>0</v>
      </c>
      <c r="H759" s="76">
        <f ca="1">SUMIF('Production '!$C$4:$AI$4407,'Tracking Sheet'!B759,'Production '!$F$4:$F$4407)</f>
        <v>9909</v>
      </c>
      <c r="I759" s="76">
        <f ca="1">SUMIF('Production '!$C$4:$AI$4407,'Tracking Sheet'!B759,'Production '!$V$4:$V$4407)</f>
        <v>0</v>
      </c>
      <c r="J759" s="76">
        <f ca="1">SUMIF('Production '!$C$4:$AI$4407,'Tracking Sheet'!B759,'Production '!$AG$4:$AG$4407)</f>
        <v>-293</v>
      </c>
    </row>
    <row r="760" spans="2:10" x14ac:dyDescent="0.3">
      <c r="B760" s="277">
        <f>'Production '!C763</f>
        <v>48077</v>
      </c>
      <c r="C760" s="76">
        <f ca="1">SUMIF('Production '!$C$4:$AI$4407,'Tracking Sheet'!B760,'Production '!$M$4:$M$4407)</f>
        <v>9930</v>
      </c>
      <c r="D760" s="76">
        <f ca="1">SUMIF('Production '!$C$4:$AI$4407,'Tracking Sheet'!B760,'Production '!$Q$4:$Q$4407)</f>
        <v>9818</v>
      </c>
      <c r="E760" s="76">
        <f ca="1">SUMIF('Production '!$C$4:$AI$4407,'Tracking Sheet'!B760,'Production '!$S$4:$S$4407)</f>
        <v>3829</v>
      </c>
      <c r="F760" s="76">
        <f ca="1">SUMIF('Production '!$C$4:$AI$4407,'Tracking Sheet'!B760,'Production '!$U$4:$U$4407)</f>
        <v>3829</v>
      </c>
      <c r="G760" s="76">
        <f ca="1">SUMIF('Production '!$C$4:$AI$4407,'Tracking Sheet'!B760,'Production '!$W$4:$W$4407)</f>
        <v>0</v>
      </c>
      <c r="H760" s="76">
        <f ca="1">SUMIF('Production '!$C$4:$AI$4407,'Tracking Sheet'!B760,'Production '!$F$4:$F$4407)</f>
        <v>9909</v>
      </c>
      <c r="I760" s="76">
        <f ca="1">SUMIF('Production '!$C$4:$AI$4407,'Tracking Sheet'!B760,'Production '!$V$4:$V$4407)</f>
        <v>0</v>
      </c>
      <c r="J760" s="76">
        <f ca="1">SUMIF('Production '!$C$4:$AI$4407,'Tracking Sheet'!B760,'Production '!$AG$4:$AG$4407)</f>
        <v>-293</v>
      </c>
    </row>
    <row r="761" spans="2:10" x14ac:dyDescent="0.3">
      <c r="B761" s="277">
        <f>'Production '!C764</f>
        <v>0</v>
      </c>
      <c r="C761" s="76" t="e">
        <f ca="1">SUMIF('Production '!$C$4:$AI$4407,'Tracking Sheet'!B761,'Production '!$M$4:$M$4407)</f>
        <v>#DIV/0!</v>
      </c>
      <c r="D761" s="76" t="e">
        <f ca="1">SUMIF('Production '!$C$4:$AI$4407,'Tracking Sheet'!B761,'Production '!$Q$4:$Q$4407)</f>
        <v>#DIV/0!</v>
      </c>
      <c r="E761" s="76">
        <f ca="1">SUMIF('Production '!$C$4:$AI$4407,'Tracking Sheet'!B761,'Production '!$S$4:$S$4407)</f>
        <v>-1268218.9828305368</v>
      </c>
      <c r="F761" s="76">
        <f ca="1">SUMIF('Production '!$C$4:$AI$4407,'Tracking Sheet'!B761,'Production '!$U$4:$U$4407)</f>
        <v>-10620.435600016917</v>
      </c>
      <c r="G761" s="76" t="e">
        <f ca="1">SUMIF('Production '!$C$4:$AI$4407,'Tracking Sheet'!B761,'Production '!$W$4:$W$4407)</f>
        <v>#DIV/0!</v>
      </c>
      <c r="H761" s="76">
        <f ca="1">SUMIF('Production '!$C$4:$AI$4407,'Tracking Sheet'!B761,'Production '!$F$4:$F$4407)</f>
        <v>3230621.3283604058</v>
      </c>
      <c r="I761" s="76">
        <f ca="1">SUMIF('Production '!$C$4:$AI$4407,'Tracking Sheet'!B761,'Production '!$V$4:$V$4407)</f>
        <v>-489.86487791182844</v>
      </c>
      <c r="J761" s="76">
        <f ca="1">SUMIF('Production '!$C$4:$AI$4407,'Tracking Sheet'!B761,'Production '!$AG$4:$AG$4407)</f>
        <v>0</v>
      </c>
    </row>
    <row r="762" spans="2:10" x14ac:dyDescent="0.3">
      <c r="B762" s="277">
        <f>'Production '!C765</f>
        <v>48009</v>
      </c>
      <c r="C762" s="76">
        <f ca="1">SUMIF('Production '!$C$4:$AI$4407,'Tracking Sheet'!B762,'Production '!$M$4:$M$4407)</f>
        <v>0</v>
      </c>
      <c r="D762" s="76">
        <f ca="1">SUMIF('Production '!$C$4:$AI$4407,'Tracking Sheet'!B762,'Production '!$Q$4:$Q$4407)</f>
        <v>0</v>
      </c>
      <c r="E762" s="76">
        <f ca="1">SUMIF('Production '!$C$4:$AI$4407,'Tracking Sheet'!B762,'Production '!$S$4:$S$4407)</f>
        <v>0</v>
      </c>
      <c r="F762" s="76">
        <f ca="1">SUMIF('Production '!$C$4:$AI$4407,'Tracking Sheet'!B762,'Production '!$U$4:$U$4407)</f>
        <v>0</v>
      </c>
      <c r="G762" s="76">
        <f ca="1">SUMIF('Production '!$C$4:$AI$4407,'Tracking Sheet'!B762,'Production '!$W$4:$W$4407)</f>
        <v>0</v>
      </c>
      <c r="H762" s="76">
        <f ca="1">SUMIF('Production '!$C$4:$AI$4407,'Tracking Sheet'!B762,'Production '!$F$4:$F$4407)</f>
        <v>3452</v>
      </c>
      <c r="I762" s="76">
        <f ca="1">SUMIF('Production '!$C$4:$AI$4407,'Tracking Sheet'!B762,'Production '!$V$4:$V$4407)</f>
        <v>0</v>
      </c>
      <c r="J762" s="76">
        <f ca="1">SUMIF('Production '!$C$4:$AI$4407,'Tracking Sheet'!B762,'Production '!$AG$4:$AG$4407)</f>
        <v>-3452</v>
      </c>
    </row>
    <row r="763" spans="2:10" x14ac:dyDescent="0.3">
      <c r="B763" s="277">
        <f>'Production '!C766</f>
        <v>48009</v>
      </c>
      <c r="C763" s="76">
        <f ca="1">SUMIF('Production '!$C$4:$AI$4407,'Tracking Sheet'!B763,'Production '!$M$4:$M$4407)</f>
        <v>0</v>
      </c>
      <c r="D763" s="76">
        <f ca="1">SUMIF('Production '!$C$4:$AI$4407,'Tracking Sheet'!B763,'Production '!$Q$4:$Q$4407)</f>
        <v>0</v>
      </c>
      <c r="E763" s="76">
        <f ca="1">SUMIF('Production '!$C$4:$AI$4407,'Tracking Sheet'!B763,'Production '!$S$4:$S$4407)</f>
        <v>0</v>
      </c>
      <c r="F763" s="76">
        <f ca="1">SUMIF('Production '!$C$4:$AI$4407,'Tracking Sheet'!B763,'Production '!$U$4:$U$4407)</f>
        <v>0</v>
      </c>
      <c r="G763" s="76">
        <f ca="1">SUMIF('Production '!$C$4:$AI$4407,'Tracking Sheet'!B763,'Production '!$W$4:$W$4407)</f>
        <v>0</v>
      </c>
      <c r="H763" s="76">
        <f ca="1">SUMIF('Production '!$C$4:$AI$4407,'Tracking Sheet'!B763,'Production '!$F$4:$F$4407)</f>
        <v>3452</v>
      </c>
      <c r="I763" s="76">
        <f ca="1">SUMIF('Production '!$C$4:$AI$4407,'Tracking Sheet'!B763,'Production '!$V$4:$V$4407)</f>
        <v>0</v>
      </c>
      <c r="J763" s="76">
        <f ca="1">SUMIF('Production '!$C$4:$AI$4407,'Tracking Sheet'!B763,'Production '!$AG$4:$AG$4407)</f>
        <v>-3452</v>
      </c>
    </row>
    <row r="764" spans="2:10" x14ac:dyDescent="0.3">
      <c r="B764" s="277">
        <f>'Production '!C767</f>
        <v>0</v>
      </c>
      <c r="C764" s="76" t="e">
        <f ca="1">SUMIF('Production '!$C$4:$AI$4407,'Tracking Sheet'!B764,'Production '!$M$4:$M$4407)</f>
        <v>#DIV/0!</v>
      </c>
      <c r="D764" s="76" t="e">
        <f ca="1">SUMIF('Production '!$C$4:$AI$4407,'Tracking Sheet'!B764,'Production '!$Q$4:$Q$4407)</f>
        <v>#DIV/0!</v>
      </c>
      <c r="E764" s="76">
        <f ca="1">SUMIF('Production '!$C$4:$AI$4407,'Tracking Sheet'!B764,'Production '!$S$4:$S$4407)</f>
        <v>-1268218.9828305368</v>
      </c>
      <c r="F764" s="76">
        <f ca="1">SUMIF('Production '!$C$4:$AI$4407,'Tracking Sheet'!B764,'Production '!$U$4:$U$4407)</f>
        <v>-10620.435600016917</v>
      </c>
      <c r="G764" s="76" t="e">
        <f ca="1">SUMIF('Production '!$C$4:$AI$4407,'Tracking Sheet'!B764,'Production '!$W$4:$W$4407)</f>
        <v>#DIV/0!</v>
      </c>
      <c r="H764" s="76">
        <f ca="1">SUMIF('Production '!$C$4:$AI$4407,'Tracking Sheet'!B764,'Production '!$F$4:$F$4407)</f>
        <v>3230621.3283604058</v>
      </c>
      <c r="I764" s="76">
        <f ca="1">SUMIF('Production '!$C$4:$AI$4407,'Tracking Sheet'!B764,'Production '!$V$4:$V$4407)</f>
        <v>-489.86487791182844</v>
      </c>
      <c r="J764" s="76">
        <f ca="1">SUMIF('Production '!$C$4:$AI$4407,'Tracking Sheet'!B764,'Production '!$AG$4:$AG$4407)</f>
        <v>0</v>
      </c>
    </row>
    <row r="765" spans="2:10" x14ac:dyDescent="0.3">
      <c r="B765" s="277">
        <f>'Production '!C768</f>
        <v>48001</v>
      </c>
      <c r="C765" s="76">
        <f ca="1">SUMIF('Production '!$C$4:$AI$4407,'Tracking Sheet'!B765,'Production '!$M$4:$M$4407)</f>
        <v>0</v>
      </c>
      <c r="D765" s="76">
        <f ca="1">SUMIF('Production '!$C$4:$AI$4407,'Tracking Sheet'!B765,'Production '!$Q$4:$Q$4407)</f>
        <v>0</v>
      </c>
      <c r="E765" s="76">
        <f ca="1">SUMIF('Production '!$C$4:$AI$4407,'Tracking Sheet'!B765,'Production '!$S$4:$S$4407)</f>
        <v>0</v>
      </c>
      <c r="F765" s="76">
        <f ca="1">SUMIF('Production '!$C$4:$AI$4407,'Tracking Sheet'!B765,'Production '!$U$4:$U$4407)</f>
        <v>0</v>
      </c>
      <c r="G765" s="76">
        <f ca="1">SUMIF('Production '!$C$4:$AI$4407,'Tracking Sheet'!B765,'Production '!$W$4:$W$4407)</f>
        <v>0</v>
      </c>
      <c r="H765" s="76">
        <f ca="1">SUMIF('Production '!$C$4:$AI$4407,'Tracking Sheet'!B765,'Production '!$F$4:$F$4407)</f>
        <v>1865</v>
      </c>
      <c r="I765" s="76">
        <f ca="1">SUMIF('Production '!$C$4:$AI$4407,'Tracking Sheet'!B765,'Production '!$V$4:$V$4407)</f>
        <v>0</v>
      </c>
      <c r="J765" s="76">
        <f ca="1">SUMIF('Production '!$C$4:$AI$4407,'Tracking Sheet'!B765,'Production '!$AG$4:$AG$4407)</f>
        <v>-1865</v>
      </c>
    </row>
    <row r="766" spans="2:10" x14ac:dyDescent="0.3">
      <c r="B766" s="277">
        <f>'Production '!C769</f>
        <v>0</v>
      </c>
      <c r="C766" s="76" t="e">
        <f ca="1">SUMIF('Production '!$C$4:$AI$4407,'Tracking Sheet'!B766,'Production '!$M$4:$M$4407)</f>
        <v>#DIV/0!</v>
      </c>
      <c r="D766" s="76" t="e">
        <f ca="1">SUMIF('Production '!$C$4:$AI$4407,'Tracking Sheet'!B766,'Production '!$Q$4:$Q$4407)</f>
        <v>#DIV/0!</v>
      </c>
      <c r="E766" s="76">
        <f ca="1">SUMIF('Production '!$C$4:$AI$4407,'Tracking Sheet'!B766,'Production '!$S$4:$S$4407)</f>
        <v>-1268218.9828305368</v>
      </c>
      <c r="F766" s="76">
        <f ca="1">SUMIF('Production '!$C$4:$AI$4407,'Tracking Sheet'!B766,'Production '!$U$4:$U$4407)</f>
        <v>-10620.435600016917</v>
      </c>
      <c r="G766" s="76" t="e">
        <f ca="1">SUMIF('Production '!$C$4:$AI$4407,'Tracking Sheet'!B766,'Production '!$W$4:$W$4407)</f>
        <v>#DIV/0!</v>
      </c>
      <c r="H766" s="76">
        <f ca="1">SUMIF('Production '!$C$4:$AI$4407,'Tracking Sheet'!B766,'Production '!$F$4:$F$4407)</f>
        <v>3230621.3283604058</v>
      </c>
      <c r="I766" s="76">
        <f ca="1">SUMIF('Production '!$C$4:$AI$4407,'Tracking Sheet'!B766,'Production '!$V$4:$V$4407)</f>
        <v>-489.86487791182844</v>
      </c>
      <c r="J766" s="76">
        <f ca="1">SUMIF('Production '!$C$4:$AI$4407,'Tracking Sheet'!B766,'Production '!$AG$4:$AG$4407)</f>
        <v>0</v>
      </c>
    </row>
    <row r="767" spans="2:10" x14ac:dyDescent="0.3">
      <c r="B767" s="277">
        <f>'Production '!C770</f>
        <v>48081</v>
      </c>
      <c r="C767" s="76">
        <f ca="1">SUMIF('Production '!$C$4:$AI$4407,'Tracking Sheet'!B767,'Production '!$M$4:$M$4407)</f>
        <v>0</v>
      </c>
      <c r="D767" s="76">
        <f ca="1">SUMIF('Production '!$C$4:$AI$4407,'Tracking Sheet'!B767,'Production '!$Q$4:$Q$4407)</f>
        <v>0</v>
      </c>
      <c r="E767" s="76">
        <f ca="1">SUMIF('Production '!$C$4:$AI$4407,'Tracking Sheet'!B767,'Production '!$S$4:$S$4407)</f>
        <v>0</v>
      </c>
      <c r="F767" s="76">
        <f ca="1">SUMIF('Production '!$C$4:$AI$4407,'Tracking Sheet'!B767,'Production '!$U$4:$U$4407)</f>
        <v>0</v>
      </c>
      <c r="G767" s="76">
        <f ca="1">SUMIF('Production '!$C$4:$AI$4407,'Tracking Sheet'!B767,'Production '!$W$4:$W$4407)</f>
        <v>0</v>
      </c>
      <c r="H767" s="76">
        <f ca="1">SUMIF('Production '!$C$4:$AI$4407,'Tracking Sheet'!B767,'Production '!$F$4:$F$4407)</f>
        <v>9712</v>
      </c>
      <c r="I767" s="76">
        <f ca="1">SUMIF('Production '!$C$4:$AI$4407,'Tracking Sheet'!B767,'Production '!$V$4:$V$4407)</f>
        <v>0</v>
      </c>
      <c r="J767" s="76">
        <f ca="1">SUMIF('Production '!$C$4:$AI$4407,'Tracking Sheet'!B767,'Production '!$AG$4:$AG$4407)</f>
        <v>-9712</v>
      </c>
    </row>
    <row r="768" spans="2:10" x14ac:dyDescent="0.3">
      <c r="B768" s="277">
        <f>'Production '!C771</f>
        <v>48081</v>
      </c>
      <c r="C768" s="76">
        <f ca="1">SUMIF('Production '!$C$4:$AI$4407,'Tracking Sheet'!B768,'Production '!$M$4:$M$4407)</f>
        <v>0</v>
      </c>
      <c r="D768" s="76">
        <f ca="1">SUMIF('Production '!$C$4:$AI$4407,'Tracking Sheet'!B768,'Production '!$Q$4:$Q$4407)</f>
        <v>0</v>
      </c>
      <c r="E768" s="76">
        <f ca="1">SUMIF('Production '!$C$4:$AI$4407,'Tracking Sheet'!B768,'Production '!$S$4:$S$4407)</f>
        <v>0</v>
      </c>
      <c r="F768" s="76">
        <f ca="1">SUMIF('Production '!$C$4:$AI$4407,'Tracking Sheet'!B768,'Production '!$U$4:$U$4407)</f>
        <v>0</v>
      </c>
      <c r="G768" s="76">
        <f ca="1">SUMIF('Production '!$C$4:$AI$4407,'Tracking Sheet'!B768,'Production '!$W$4:$W$4407)</f>
        <v>0</v>
      </c>
      <c r="H768" s="76">
        <f ca="1">SUMIF('Production '!$C$4:$AI$4407,'Tracking Sheet'!B768,'Production '!$F$4:$F$4407)</f>
        <v>9712</v>
      </c>
      <c r="I768" s="76">
        <f ca="1">SUMIF('Production '!$C$4:$AI$4407,'Tracking Sheet'!B768,'Production '!$V$4:$V$4407)</f>
        <v>0</v>
      </c>
      <c r="J768" s="76">
        <f ca="1">SUMIF('Production '!$C$4:$AI$4407,'Tracking Sheet'!B768,'Production '!$AG$4:$AG$4407)</f>
        <v>-9712</v>
      </c>
    </row>
    <row r="769" spans="2:10" x14ac:dyDescent="0.3">
      <c r="B769" s="277">
        <f>'Production '!C772</f>
        <v>48081</v>
      </c>
      <c r="C769" s="76">
        <f ca="1">SUMIF('Production '!$C$4:$AI$4407,'Tracking Sheet'!B769,'Production '!$M$4:$M$4407)</f>
        <v>0</v>
      </c>
      <c r="D769" s="76">
        <f ca="1">SUMIF('Production '!$C$4:$AI$4407,'Tracking Sheet'!B769,'Production '!$Q$4:$Q$4407)</f>
        <v>0</v>
      </c>
      <c r="E769" s="76">
        <f ca="1">SUMIF('Production '!$C$4:$AI$4407,'Tracking Sheet'!B769,'Production '!$S$4:$S$4407)</f>
        <v>0</v>
      </c>
      <c r="F769" s="76">
        <f ca="1">SUMIF('Production '!$C$4:$AI$4407,'Tracking Sheet'!B769,'Production '!$U$4:$U$4407)</f>
        <v>0</v>
      </c>
      <c r="G769" s="76">
        <f ca="1">SUMIF('Production '!$C$4:$AI$4407,'Tracking Sheet'!B769,'Production '!$W$4:$W$4407)</f>
        <v>0</v>
      </c>
      <c r="H769" s="76">
        <f ca="1">SUMIF('Production '!$C$4:$AI$4407,'Tracking Sheet'!B769,'Production '!$F$4:$F$4407)</f>
        <v>9712</v>
      </c>
      <c r="I769" s="76">
        <f ca="1">SUMIF('Production '!$C$4:$AI$4407,'Tracking Sheet'!B769,'Production '!$V$4:$V$4407)</f>
        <v>0</v>
      </c>
      <c r="J769" s="76">
        <f ca="1">SUMIF('Production '!$C$4:$AI$4407,'Tracking Sheet'!B769,'Production '!$AG$4:$AG$4407)</f>
        <v>-9712</v>
      </c>
    </row>
    <row r="770" spans="2:10" x14ac:dyDescent="0.3">
      <c r="B770" s="277">
        <f>'Production '!C773</f>
        <v>0</v>
      </c>
      <c r="C770" s="76" t="e">
        <f ca="1">SUMIF('Production '!$C$4:$AI$4407,'Tracking Sheet'!B770,'Production '!$M$4:$M$4407)</f>
        <v>#DIV/0!</v>
      </c>
      <c r="D770" s="76" t="e">
        <f ca="1">SUMIF('Production '!$C$4:$AI$4407,'Tracking Sheet'!B770,'Production '!$Q$4:$Q$4407)</f>
        <v>#DIV/0!</v>
      </c>
      <c r="E770" s="76">
        <f ca="1">SUMIF('Production '!$C$4:$AI$4407,'Tracking Sheet'!B770,'Production '!$S$4:$S$4407)</f>
        <v>-1268218.9828305368</v>
      </c>
      <c r="F770" s="76">
        <f ca="1">SUMIF('Production '!$C$4:$AI$4407,'Tracking Sheet'!B770,'Production '!$U$4:$U$4407)</f>
        <v>-10620.435600016917</v>
      </c>
      <c r="G770" s="76" t="e">
        <f ca="1">SUMIF('Production '!$C$4:$AI$4407,'Tracking Sheet'!B770,'Production '!$W$4:$W$4407)</f>
        <v>#DIV/0!</v>
      </c>
      <c r="H770" s="76">
        <f ca="1">SUMIF('Production '!$C$4:$AI$4407,'Tracking Sheet'!B770,'Production '!$F$4:$F$4407)</f>
        <v>3230621.3283604058</v>
      </c>
      <c r="I770" s="76">
        <f ca="1">SUMIF('Production '!$C$4:$AI$4407,'Tracking Sheet'!B770,'Production '!$V$4:$V$4407)</f>
        <v>-489.86487791182844</v>
      </c>
      <c r="J770" s="76">
        <f ca="1">SUMIF('Production '!$C$4:$AI$4407,'Tracking Sheet'!B770,'Production '!$AG$4:$AG$4407)</f>
        <v>0</v>
      </c>
    </row>
    <row r="771" spans="2:10" x14ac:dyDescent="0.3">
      <c r="B771" s="277">
        <f>'Production '!C774</f>
        <v>48079</v>
      </c>
      <c r="C771" s="76">
        <f ca="1">SUMIF('Production '!$C$4:$AI$4407,'Tracking Sheet'!B771,'Production '!$M$4:$M$4407)</f>
        <v>3359</v>
      </c>
      <c r="D771" s="76">
        <f ca="1">SUMIF('Production '!$C$4:$AI$4407,'Tracking Sheet'!B771,'Production '!$Q$4:$Q$4407)</f>
        <v>3359</v>
      </c>
      <c r="E771" s="76">
        <f ca="1">SUMIF('Production '!$C$4:$AI$4407,'Tracking Sheet'!B771,'Production '!$S$4:$S$4407)</f>
        <v>3322</v>
      </c>
      <c r="F771" s="76">
        <f ca="1">SUMIF('Production '!$C$4:$AI$4407,'Tracking Sheet'!B771,'Production '!$U$4:$U$4407)</f>
        <v>3322</v>
      </c>
      <c r="G771" s="76">
        <f ca="1">SUMIF('Production '!$C$4:$AI$4407,'Tracking Sheet'!B771,'Production '!$W$4:$W$4407)</f>
        <v>0</v>
      </c>
      <c r="H771" s="76">
        <f ca="1">SUMIF('Production '!$C$4:$AI$4407,'Tracking Sheet'!B771,'Production '!$F$4:$F$4407)</f>
        <v>3244</v>
      </c>
      <c r="I771" s="76">
        <f ca="1">SUMIF('Production '!$C$4:$AI$4407,'Tracking Sheet'!B771,'Production '!$V$4:$V$4407)</f>
        <v>0</v>
      </c>
      <c r="J771" s="76">
        <f ca="1">SUMIF('Production '!$C$4:$AI$4407,'Tracking Sheet'!B771,'Production '!$AG$4:$AG$4407)</f>
        <v>0</v>
      </c>
    </row>
    <row r="772" spans="2:10" x14ac:dyDescent="0.3">
      <c r="B772" s="277">
        <f>'Production '!C775</f>
        <v>48079</v>
      </c>
      <c r="C772" s="76">
        <f ca="1">SUMIF('Production '!$C$4:$AI$4407,'Tracking Sheet'!B772,'Production '!$M$4:$M$4407)</f>
        <v>3359</v>
      </c>
      <c r="D772" s="76">
        <f ca="1">SUMIF('Production '!$C$4:$AI$4407,'Tracking Sheet'!B772,'Production '!$Q$4:$Q$4407)</f>
        <v>3359</v>
      </c>
      <c r="E772" s="76">
        <f ca="1">SUMIF('Production '!$C$4:$AI$4407,'Tracking Sheet'!B772,'Production '!$S$4:$S$4407)</f>
        <v>3322</v>
      </c>
      <c r="F772" s="76">
        <f ca="1">SUMIF('Production '!$C$4:$AI$4407,'Tracking Sheet'!B772,'Production '!$U$4:$U$4407)</f>
        <v>3322</v>
      </c>
      <c r="G772" s="76">
        <f ca="1">SUMIF('Production '!$C$4:$AI$4407,'Tracking Sheet'!B772,'Production '!$W$4:$W$4407)</f>
        <v>0</v>
      </c>
      <c r="H772" s="76">
        <f ca="1">SUMIF('Production '!$C$4:$AI$4407,'Tracking Sheet'!B772,'Production '!$F$4:$F$4407)</f>
        <v>3244</v>
      </c>
      <c r="I772" s="76">
        <f ca="1">SUMIF('Production '!$C$4:$AI$4407,'Tracking Sheet'!B772,'Production '!$V$4:$V$4407)</f>
        <v>0</v>
      </c>
      <c r="J772" s="76">
        <f ca="1">SUMIF('Production '!$C$4:$AI$4407,'Tracking Sheet'!B772,'Production '!$AG$4:$AG$4407)</f>
        <v>0</v>
      </c>
    </row>
    <row r="773" spans="2:10" x14ac:dyDescent="0.3">
      <c r="B773" s="277">
        <f>'Production '!C776</f>
        <v>48079</v>
      </c>
      <c r="C773" s="76">
        <f ca="1">SUMIF('Production '!$C$4:$AI$4407,'Tracking Sheet'!B773,'Production '!$M$4:$M$4407)</f>
        <v>3359</v>
      </c>
      <c r="D773" s="76">
        <f ca="1">SUMIF('Production '!$C$4:$AI$4407,'Tracking Sheet'!B773,'Production '!$Q$4:$Q$4407)</f>
        <v>3359</v>
      </c>
      <c r="E773" s="76">
        <f ca="1">SUMIF('Production '!$C$4:$AI$4407,'Tracking Sheet'!B773,'Production '!$S$4:$S$4407)</f>
        <v>3322</v>
      </c>
      <c r="F773" s="76">
        <f ca="1">SUMIF('Production '!$C$4:$AI$4407,'Tracking Sheet'!B773,'Production '!$U$4:$U$4407)</f>
        <v>3322</v>
      </c>
      <c r="G773" s="76">
        <f ca="1">SUMIF('Production '!$C$4:$AI$4407,'Tracking Sheet'!B773,'Production '!$W$4:$W$4407)</f>
        <v>0</v>
      </c>
      <c r="H773" s="76">
        <f ca="1">SUMIF('Production '!$C$4:$AI$4407,'Tracking Sheet'!B773,'Production '!$F$4:$F$4407)</f>
        <v>3244</v>
      </c>
      <c r="I773" s="76">
        <f ca="1">SUMIF('Production '!$C$4:$AI$4407,'Tracking Sheet'!B773,'Production '!$V$4:$V$4407)</f>
        <v>0</v>
      </c>
      <c r="J773" s="76">
        <f ca="1">SUMIF('Production '!$C$4:$AI$4407,'Tracking Sheet'!B773,'Production '!$AG$4:$AG$4407)</f>
        <v>0</v>
      </c>
    </row>
    <row r="774" spans="2:10" x14ac:dyDescent="0.3">
      <c r="B774" s="277">
        <f>'Production '!C777</f>
        <v>0</v>
      </c>
      <c r="C774" s="76" t="e">
        <f ca="1">SUMIF('Production '!$C$4:$AI$4407,'Tracking Sheet'!B774,'Production '!$M$4:$M$4407)</f>
        <v>#DIV/0!</v>
      </c>
      <c r="D774" s="76" t="e">
        <f ca="1">SUMIF('Production '!$C$4:$AI$4407,'Tracking Sheet'!B774,'Production '!$Q$4:$Q$4407)</f>
        <v>#DIV/0!</v>
      </c>
      <c r="E774" s="76">
        <f ca="1">SUMIF('Production '!$C$4:$AI$4407,'Tracking Sheet'!B774,'Production '!$S$4:$S$4407)</f>
        <v>-1268218.9828305368</v>
      </c>
      <c r="F774" s="76">
        <f ca="1">SUMIF('Production '!$C$4:$AI$4407,'Tracking Sheet'!B774,'Production '!$U$4:$U$4407)</f>
        <v>-10620.435600016917</v>
      </c>
      <c r="G774" s="76" t="e">
        <f ca="1">SUMIF('Production '!$C$4:$AI$4407,'Tracking Sheet'!B774,'Production '!$W$4:$W$4407)</f>
        <v>#DIV/0!</v>
      </c>
      <c r="H774" s="76">
        <f ca="1">SUMIF('Production '!$C$4:$AI$4407,'Tracking Sheet'!B774,'Production '!$F$4:$F$4407)</f>
        <v>3230621.3283604058</v>
      </c>
      <c r="I774" s="76">
        <f ca="1">SUMIF('Production '!$C$4:$AI$4407,'Tracking Sheet'!B774,'Production '!$V$4:$V$4407)</f>
        <v>-489.86487791182844</v>
      </c>
      <c r="J774" s="76">
        <f ca="1">SUMIF('Production '!$C$4:$AI$4407,'Tracking Sheet'!B774,'Production '!$AG$4:$AG$4407)</f>
        <v>0</v>
      </c>
    </row>
    <row r="775" spans="2:10" x14ac:dyDescent="0.3">
      <c r="B775" s="277">
        <f>'Production '!C778</f>
        <v>48078</v>
      </c>
      <c r="C775" s="76">
        <f ca="1">SUMIF('Production '!$C$4:$AI$4407,'Tracking Sheet'!B775,'Production '!$M$4:$M$4407)</f>
        <v>19720</v>
      </c>
      <c r="D775" s="76">
        <f ca="1">SUMIF('Production '!$C$4:$AI$4407,'Tracking Sheet'!B775,'Production '!$Q$4:$Q$4407)</f>
        <v>17962</v>
      </c>
      <c r="E775" s="76">
        <f ca="1">SUMIF('Production '!$C$4:$AI$4407,'Tracking Sheet'!B775,'Production '!$S$4:$S$4407)</f>
        <v>0</v>
      </c>
      <c r="F775" s="76">
        <f ca="1">SUMIF('Production '!$C$4:$AI$4407,'Tracking Sheet'!B775,'Production '!$U$4:$U$4407)</f>
        <v>0</v>
      </c>
      <c r="G775" s="76">
        <f ca="1">SUMIF('Production '!$C$4:$AI$4407,'Tracking Sheet'!B775,'Production '!$W$4:$W$4407)</f>
        <v>0</v>
      </c>
      <c r="H775" s="76">
        <f ca="1">SUMIF('Production '!$C$4:$AI$4407,'Tracking Sheet'!B775,'Production '!$F$4:$F$4407)</f>
        <v>19809</v>
      </c>
      <c r="I775" s="76">
        <f ca="1">SUMIF('Production '!$C$4:$AI$4407,'Tracking Sheet'!B775,'Production '!$V$4:$V$4407)</f>
        <v>0</v>
      </c>
      <c r="J775" s="76">
        <f ca="1">SUMIF('Production '!$C$4:$AI$4407,'Tracking Sheet'!B775,'Production '!$AG$4:$AG$4407)</f>
        <v>-338</v>
      </c>
    </row>
    <row r="776" spans="2:10" x14ac:dyDescent="0.3">
      <c r="B776" s="277">
        <f>'Production '!C779</f>
        <v>48078</v>
      </c>
      <c r="C776" s="76">
        <f ca="1">SUMIF('Production '!$C$4:$AI$4407,'Tracking Sheet'!B776,'Production '!$M$4:$M$4407)</f>
        <v>19720</v>
      </c>
      <c r="D776" s="76">
        <f ca="1">SUMIF('Production '!$C$4:$AI$4407,'Tracking Sheet'!B776,'Production '!$Q$4:$Q$4407)</f>
        <v>17962</v>
      </c>
      <c r="E776" s="76">
        <f ca="1">SUMIF('Production '!$C$4:$AI$4407,'Tracking Sheet'!B776,'Production '!$S$4:$S$4407)</f>
        <v>0</v>
      </c>
      <c r="F776" s="76">
        <f ca="1">SUMIF('Production '!$C$4:$AI$4407,'Tracking Sheet'!B776,'Production '!$U$4:$U$4407)</f>
        <v>0</v>
      </c>
      <c r="G776" s="76">
        <f ca="1">SUMIF('Production '!$C$4:$AI$4407,'Tracking Sheet'!B776,'Production '!$W$4:$W$4407)</f>
        <v>0</v>
      </c>
      <c r="H776" s="76">
        <f ca="1">SUMIF('Production '!$C$4:$AI$4407,'Tracking Sheet'!B776,'Production '!$F$4:$F$4407)</f>
        <v>19809</v>
      </c>
      <c r="I776" s="76">
        <f ca="1">SUMIF('Production '!$C$4:$AI$4407,'Tracking Sheet'!B776,'Production '!$V$4:$V$4407)</f>
        <v>0</v>
      </c>
      <c r="J776" s="76">
        <f ca="1">SUMIF('Production '!$C$4:$AI$4407,'Tracking Sheet'!B776,'Production '!$AG$4:$AG$4407)</f>
        <v>-338</v>
      </c>
    </row>
    <row r="777" spans="2:10" x14ac:dyDescent="0.3">
      <c r="B777" s="277">
        <f>'Production '!C780</f>
        <v>48078</v>
      </c>
      <c r="C777" s="76">
        <f ca="1">SUMIF('Production '!$C$4:$AI$4407,'Tracking Sheet'!B777,'Production '!$M$4:$M$4407)</f>
        <v>19720</v>
      </c>
      <c r="D777" s="76">
        <f ca="1">SUMIF('Production '!$C$4:$AI$4407,'Tracking Sheet'!B777,'Production '!$Q$4:$Q$4407)</f>
        <v>17962</v>
      </c>
      <c r="E777" s="76">
        <f ca="1">SUMIF('Production '!$C$4:$AI$4407,'Tracking Sheet'!B777,'Production '!$S$4:$S$4407)</f>
        <v>0</v>
      </c>
      <c r="F777" s="76">
        <f ca="1">SUMIF('Production '!$C$4:$AI$4407,'Tracking Sheet'!B777,'Production '!$U$4:$U$4407)</f>
        <v>0</v>
      </c>
      <c r="G777" s="76">
        <f ca="1">SUMIF('Production '!$C$4:$AI$4407,'Tracking Sheet'!B777,'Production '!$W$4:$W$4407)</f>
        <v>0</v>
      </c>
      <c r="H777" s="76">
        <f ca="1">SUMIF('Production '!$C$4:$AI$4407,'Tracking Sheet'!B777,'Production '!$F$4:$F$4407)</f>
        <v>19809</v>
      </c>
      <c r="I777" s="76">
        <f ca="1">SUMIF('Production '!$C$4:$AI$4407,'Tracking Sheet'!B777,'Production '!$V$4:$V$4407)</f>
        <v>0</v>
      </c>
      <c r="J777" s="76">
        <f ca="1">SUMIF('Production '!$C$4:$AI$4407,'Tracking Sheet'!B777,'Production '!$AG$4:$AG$4407)</f>
        <v>-338</v>
      </c>
    </row>
    <row r="778" spans="2:10" x14ac:dyDescent="0.3">
      <c r="B778" s="277">
        <f>'Production '!C781</f>
        <v>48078</v>
      </c>
      <c r="C778" s="76">
        <f ca="1">SUMIF('Production '!$C$4:$AI$4407,'Tracking Sheet'!B778,'Production '!$M$4:$M$4407)</f>
        <v>19720</v>
      </c>
      <c r="D778" s="76">
        <f ca="1">SUMIF('Production '!$C$4:$AI$4407,'Tracking Sheet'!B778,'Production '!$Q$4:$Q$4407)</f>
        <v>17962</v>
      </c>
      <c r="E778" s="76">
        <f ca="1">SUMIF('Production '!$C$4:$AI$4407,'Tracking Sheet'!B778,'Production '!$S$4:$S$4407)</f>
        <v>0</v>
      </c>
      <c r="F778" s="76">
        <f ca="1">SUMIF('Production '!$C$4:$AI$4407,'Tracking Sheet'!B778,'Production '!$U$4:$U$4407)</f>
        <v>0</v>
      </c>
      <c r="G778" s="76">
        <f ca="1">SUMIF('Production '!$C$4:$AI$4407,'Tracking Sheet'!B778,'Production '!$W$4:$W$4407)</f>
        <v>0</v>
      </c>
      <c r="H778" s="76">
        <f ca="1">SUMIF('Production '!$C$4:$AI$4407,'Tracking Sheet'!B778,'Production '!$F$4:$F$4407)</f>
        <v>19809</v>
      </c>
      <c r="I778" s="76">
        <f ca="1">SUMIF('Production '!$C$4:$AI$4407,'Tracking Sheet'!B778,'Production '!$V$4:$V$4407)</f>
        <v>0</v>
      </c>
      <c r="J778" s="76">
        <f ca="1">SUMIF('Production '!$C$4:$AI$4407,'Tracking Sheet'!B778,'Production '!$AG$4:$AG$4407)</f>
        <v>-338</v>
      </c>
    </row>
    <row r="779" spans="2:10" x14ac:dyDescent="0.3">
      <c r="B779" s="277">
        <f>'Production '!C782</f>
        <v>0</v>
      </c>
      <c r="C779" s="76" t="e">
        <f ca="1">SUMIF('Production '!$C$4:$AI$4407,'Tracking Sheet'!B779,'Production '!$M$4:$M$4407)</f>
        <v>#DIV/0!</v>
      </c>
      <c r="D779" s="76" t="e">
        <f ca="1">SUMIF('Production '!$C$4:$AI$4407,'Tracking Sheet'!B779,'Production '!$Q$4:$Q$4407)</f>
        <v>#DIV/0!</v>
      </c>
      <c r="E779" s="76">
        <f ca="1">SUMIF('Production '!$C$4:$AI$4407,'Tracking Sheet'!B779,'Production '!$S$4:$S$4407)</f>
        <v>-1268218.9828305368</v>
      </c>
      <c r="F779" s="76">
        <f ca="1">SUMIF('Production '!$C$4:$AI$4407,'Tracking Sheet'!B779,'Production '!$U$4:$U$4407)</f>
        <v>-10620.435600016917</v>
      </c>
      <c r="G779" s="76" t="e">
        <f ca="1">SUMIF('Production '!$C$4:$AI$4407,'Tracking Sheet'!B779,'Production '!$W$4:$W$4407)</f>
        <v>#DIV/0!</v>
      </c>
      <c r="H779" s="76">
        <f ca="1">SUMIF('Production '!$C$4:$AI$4407,'Tracking Sheet'!B779,'Production '!$F$4:$F$4407)</f>
        <v>3230621.3283604058</v>
      </c>
      <c r="I779" s="76">
        <f ca="1">SUMIF('Production '!$C$4:$AI$4407,'Tracking Sheet'!B779,'Production '!$V$4:$V$4407)</f>
        <v>-489.86487791182844</v>
      </c>
      <c r="J779" s="76">
        <f ca="1">SUMIF('Production '!$C$4:$AI$4407,'Tracking Sheet'!B779,'Production '!$AG$4:$AG$4407)</f>
        <v>0</v>
      </c>
    </row>
    <row r="780" spans="2:10" x14ac:dyDescent="0.3">
      <c r="B780" s="277">
        <f>'Production '!C783</f>
        <v>47956</v>
      </c>
      <c r="C780" s="76">
        <f ca="1">SUMIF('Production '!$C$4:$AI$4407,'Tracking Sheet'!B780,'Production '!$M$4:$M$4407)</f>
        <v>3065</v>
      </c>
      <c r="D780" s="76">
        <f ca="1">SUMIF('Production '!$C$4:$AI$4407,'Tracking Sheet'!B780,'Production '!$Q$4:$Q$4407)</f>
        <v>3022</v>
      </c>
      <c r="E780" s="76">
        <f ca="1">SUMIF('Production '!$C$4:$AI$4407,'Tracking Sheet'!B780,'Production '!$S$4:$S$4407)</f>
        <v>3022</v>
      </c>
      <c r="F780" s="76">
        <f ca="1">SUMIF('Production '!$C$4:$AI$4407,'Tracking Sheet'!B780,'Production '!$U$4:$U$4407)</f>
        <v>20</v>
      </c>
      <c r="G780" s="76">
        <f ca="1">SUMIF('Production '!$C$4:$AI$4407,'Tracking Sheet'!B780,'Production '!$W$4:$W$4407)</f>
        <v>3002</v>
      </c>
      <c r="H780" s="76">
        <f ca="1">SUMIF('Production '!$C$4:$AI$4407,'Tracking Sheet'!B780,'Production '!$F$4:$F$4407)</f>
        <v>2909</v>
      </c>
      <c r="I780" s="76">
        <f ca="1">SUMIF('Production '!$C$4:$AI$4407,'Tracking Sheet'!B780,'Production '!$V$4:$V$4407)</f>
        <v>0</v>
      </c>
      <c r="J780" s="76">
        <f ca="1">SUMIF('Production '!$C$4:$AI$4407,'Tracking Sheet'!B780,'Production '!$AG$4:$AG$4407)</f>
        <v>0</v>
      </c>
    </row>
    <row r="781" spans="2:10" x14ac:dyDescent="0.3">
      <c r="B781" s="277">
        <f>'Production '!C784</f>
        <v>47956</v>
      </c>
      <c r="C781" s="76">
        <f ca="1">SUMIF('Production '!$C$4:$AI$4407,'Tracking Sheet'!B781,'Production '!$M$4:$M$4407)</f>
        <v>3065</v>
      </c>
      <c r="D781" s="76">
        <f ca="1">SUMIF('Production '!$C$4:$AI$4407,'Tracking Sheet'!B781,'Production '!$Q$4:$Q$4407)</f>
        <v>3022</v>
      </c>
      <c r="E781" s="76">
        <f ca="1">SUMIF('Production '!$C$4:$AI$4407,'Tracking Sheet'!B781,'Production '!$S$4:$S$4407)</f>
        <v>3022</v>
      </c>
      <c r="F781" s="76">
        <f ca="1">SUMIF('Production '!$C$4:$AI$4407,'Tracking Sheet'!B781,'Production '!$U$4:$U$4407)</f>
        <v>20</v>
      </c>
      <c r="G781" s="76">
        <f ca="1">SUMIF('Production '!$C$4:$AI$4407,'Tracking Sheet'!B781,'Production '!$W$4:$W$4407)</f>
        <v>3002</v>
      </c>
      <c r="H781" s="76">
        <f ca="1">SUMIF('Production '!$C$4:$AI$4407,'Tracking Sheet'!B781,'Production '!$F$4:$F$4407)</f>
        <v>2909</v>
      </c>
      <c r="I781" s="76">
        <f ca="1">SUMIF('Production '!$C$4:$AI$4407,'Tracking Sheet'!B781,'Production '!$V$4:$V$4407)</f>
        <v>0</v>
      </c>
      <c r="J781" s="76">
        <f ca="1">SUMIF('Production '!$C$4:$AI$4407,'Tracking Sheet'!B781,'Production '!$AG$4:$AG$4407)</f>
        <v>0</v>
      </c>
    </row>
    <row r="782" spans="2:10" x14ac:dyDescent="0.3">
      <c r="B782" s="277">
        <f>'Production '!C785</f>
        <v>47956</v>
      </c>
      <c r="C782" s="76">
        <f ca="1">SUMIF('Production '!$C$4:$AI$4407,'Tracking Sheet'!B782,'Production '!$M$4:$M$4407)</f>
        <v>3065</v>
      </c>
      <c r="D782" s="76">
        <f ca="1">SUMIF('Production '!$C$4:$AI$4407,'Tracking Sheet'!B782,'Production '!$Q$4:$Q$4407)</f>
        <v>3022</v>
      </c>
      <c r="E782" s="76">
        <f ca="1">SUMIF('Production '!$C$4:$AI$4407,'Tracking Sheet'!B782,'Production '!$S$4:$S$4407)</f>
        <v>3022</v>
      </c>
      <c r="F782" s="76">
        <f ca="1">SUMIF('Production '!$C$4:$AI$4407,'Tracking Sheet'!B782,'Production '!$U$4:$U$4407)</f>
        <v>20</v>
      </c>
      <c r="G782" s="76">
        <f ca="1">SUMIF('Production '!$C$4:$AI$4407,'Tracking Sheet'!B782,'Production '!$W$4:$W$4407)</f>
        <v>3002</v>
      </c>
      <c r="H782" s="76">
        <f ca="1">SUMIF('Production '!$C$4:$AI$4407,'Tracking Sheet'!B782,'Production '!$F$4:$F$4407)</f>
        <v>2909</v>
      </c>
      <c r="I782" s="76">
        <f ca="1">SUMIF('Production '!$C$4:$AI$4407,'Tracking Sheet'!B782,'Production '!$V$4:$V$4407)</f>
        <v>0</v>
      </c>
      <c r="J782" s="76">
        <f ca="1">SUMIF('Production '!$C$4:$AI$4407,'Tracking Sheet'!B782,'Production '!$AG$4:$AG$4407)</f>
        <v>0</v>
      </c>
    </row>
    <row r="783" spans="2:10" x14ac:dyDescent="0.3">
      <c r="B783" s="277">
        <f>'Production '!C786</f>
        <v>0</v>
      </c>
      <c r="C783" s="76" t="e">
        <f ca="1">SUMIF('Production '!$C$4:$AI$4407,'Tracking Sheet'!B783,'Production '!$M$4:$M$4407)</f>
        <v>#DIV/0!</v>
      </c>
      <c r="D783" s="76" t="e">
        <f ca="1">SUMIF('Production '!$C$4:$AI$4407,'Tracking Sheet'!B783,'Production '!$Q$4:$Q$4407)</f>
        <v>#DIV/0!</v>
      </c>
      <c r="E783" s="76">
        <f ca="1">SUMIF('Production '!$C$4:$AI$4407,'Tracking Sheet'!B783,'Production '!$S$4:$S$4407)</f>
        <v>-1268218.9828305368</v>
      </c>
      <c r="F783" s="76">
        <f ca="1">SUMIF('Production '!$C$4:$AI$4407,'Tracking Sheet'!B783,'Production '!$U$4:$U$4407)</f>
        <v>-10620.435600016917</v>
      </c>
      <c r="G783" s="76" t="e">
        <f ca="1">SUMIF('Production '!$C$4:$AI$4407,'Tracking Sheet'!B783,'Production '!$W$4:$W$4407)</f>
        <v>#DIV/0!</v>
      </c>
      <c r="H783" s="76">
        <f ca="1">SUMIF('Production '!$C$4:$AI$4407,'Tracking Sheet'!B783,'Production '!$F$4:$F$4407)</f>
        <v>3230621.3283604058</v>
      </c>
      <c r="I783" s="76">
        <f ca="1">SUMIF('Production '!$C$4:$AI$4407,'Tracking Sheet'!B783,'Production '!$V$4:$V$4407)</f>
        <v>-489.86487791182844</v>
      </c>
      <c r="J783" s="76">
        <f ca="1">SUMIF('Production '!$C$4:$AI$4407,'Tracking Sheet'!B783,'Production '!$AG$4:$AG$4407)</f>
        <v>0</v>
      </c>
    </row>
    <row r="784" spans="2:10" x14ac:dyDescent="0.3">
      <c r="B784" s="277">
        <f>'Production '!C787</f>
        <v>48069</v>
      </c>
      <c r="C784" s="76">
        <f ca="1">SUMIF('Production '!$C$4:$AI$4407,'Tracking Sheet'!B784,'Production '!$M$4:$M$4407)</f>
        <v>5290</v>
      </c>
      <c r="D784" s="76">
        <f ca="1">SUMIF('Production '!$C$4:$AI$4407,'Tracking Sheet'!B784,'Production '!$Q$4:$Q$4407)</f>
        <v>5290</v>
      </c>
      <c r="E784" s="76">
        <f ca="1">SUMIF('Production '!$C$4:$AI$4407,'Tracking Sheet'!B784,'Production '!$S$4:$S$4407)</f>
        <v>5237</v>
      </c>
      <c r="F784" s="76">
        <f ca="1">SUMIF('Production '!$C$4:$AI$4407,'Tracking Sheet'!B784,'Production '!$U$4:$U$4407)</f>
        <v>19</v>
      </c>
      <c r="G784" s="76">
        <f ca="1">SUMIF('Production '!$C$4:$AI$4407,'Tracking Sheet'!B784,'Production '!$W$4:$W$4407)</f>
        <v>5218</v>
      </c>
      <c r="H784" s="76">
        <f ca="1">SUMIF('Production '!$C$4:$AI$4407,'Tracking Sheet'!B784,'Production '!$F$4:$F$4407)</f>
        <v>5118</v>
      </c>
      <c r="I784" s="76">
        <f ca="1">SUMIF('Production '!$C$4:$AI$4407,'Tracking Sheet'!B784,'Production '!$V$4:$V$4407)</f>
        <v>0</v>
      </c>
      <c r="J784" s="76">
        <f ca="1">SUMIF('Production '!$C$4:$AI$4407,'Tracking Sheet'!B784,'Production '!$AG$4:$AG$4407)</f>
        <v>0</v>
      </c>
    </row>
    <row r="785" spans="2:10" x14ac:dyDescent="0.3">
      <c r="B785" s="277">
        <f>'Production '!C788</f>
        <v>48069</v>
      </c>
      <c r="C785" s="76">
        <f ca="1">SUMIF('Production '!$C$4:$AI$4407,'Tracking Sheet'!B785,'Production '!$M$4:$M$4407)</f>
        <v>5290</v>
      </c>
      <c r="D785" s="76">
        <f ca="1">SUMIF('Production '!$C$4:$AI$4407,'Tracking Sheet'!B785,'Production '!$Q$4:$Q$4407)</f>
        <v>5290</v>
      </c>
      <c r="E785" s="76">
        <f ca="1">SUMIF('Production '!$C$4:$AI$4407,'Tracking Sheet'!B785,'Production '!$S$4:$S$4407)</f>
        <v>5237</v>
      </c>
      <c r="F785" s="76">
        <f ca="1">SUMIF('Production '!$C$4:$AI$4407,'Tracking Sheet'!B785,'Production '!$U$4:$U$4407)</f>
        <v>19</v>
      </c>
      <c r="G785" s="76">
        <f ca="1">SUMIF('Production '!$C$4:$AI$4407,'Tracking Sheet'!B785,'Production '!$W$4:$W$4407)</f>
        <v>5218</v>
      </c>
      <c r="H785" s="76">
        <f ca="1">SUMIF('Production '!$C$4:$AI$4407,'Tracking Sheet'!B785,'Production '!$F$4:$F$4407)</f>
        <v>5118</v>
      </c>
      <c r="I785" s="76">
        <f ca="1">SUMIF('Production '!$C$4:$AI$4407,'Tracking Sheet'!B785,'Production '!$V$4:$V$4407)</f>
        <v>0</v>
      </c>
      <c r="J785" s="76">
        <f ca="1">SUMIF('Production '!$C$4:$AI$4407,'Tracking Sheet'!B785,'Production '!$AG$4:$AG$4407)</f>
        <v>0</v>
      </c>
    </row>
    <row r="786" spans="2:10" x14ac:dyDescent="0.3">
      <c r="B786" s="277">
        <f>'Production '!C789</f>
        <v>0</v>
      </c>
      <c r="C786" s="76" t="e">
        <f ca="1">SUMIF('Production '!$C$4:$AI$4407,'Tracking Sheet'!B786,'Production '!$M$4:$M$4407)</f>
        <v>#DIV/0!</v>
      </c>
      <c r="D786" s="76" t="e">
        <f ca="1">SUMIF('Production '!$C$4:$AI$4407,'Tracking Sheet'!B786,'Production '!$Q$4:$Q$4407)</f>
        <v>#DIV/0!</v>
      </c>
      <c r="E786" s="76">
        <f ca="1">SUMIF('Production '!$C$4:$AI$4407,'Tracking Sheet'!B786,'Production '!$S$4:$S$4407)</f>
        <v>-1268218.9828305368</v>
      </c>
      <c r="F786" s="76">
        <f ca="1">SUMIF('Production '!$C$4:$AI$4407,'Tracking Sheet'!B786,'Production '!$U$4:$U$4407)</f>
        <v>-10620.435600016917</v>
      </c>
      <c r="G786" s="76" t="e">
        <f ca="1">SUMIF('Production '!$C$4:$AI$4407,'Tracking Sheet'!B786,'Production '!$W$4:$W$4407)</f>
        <v>#DIV/0!</v>
      </c>
      <c r="H786" s="76">
        <f ca="1">SUMIF('Production '!$C$4:$AI$4407,'Tracking Sheet'!B786,'Production '!$F$4:$F$4407)</f>
        <v>3230621.3283604058</v>
      </c>
      <c r="I786" s="76">
        <f ca="1">SUMIF('Production '!$C$4:$AI$4407,'Tracking Sheet'!B786,'Production '!$V$4:$V$4407)</f>
        <v>-489.86487791182844</v>
      </c>
      <c r="J786" s="76">
        <f ca="1">SUMIF('Production '!$C$4:$AI$4407,'Tracking Sheet'!B786,'Production '!$AG$4:$AG$4407)</f>
        <v>0</v>
      </c>
    </row>
    <row r="787" spans="2:10" x14ac:dyDescent="0.3">
      <c r="B787" s="277">
        <f>'Production '!C790</f>
        <v>48003</v>
      </c>
      <c r="C787" s="76">
        <f ca="1">SUMIF('Production '!$C$4:$AI$4407,'Tracking Sheet'!B787,'Production '!$M$4:$M$4407)</f>
        <v>2232</v>
      </c>
      <c r="D787" s="76">
        <f ca="1">SUMIF('Production '!$C$4:$AI$4407,'Tracking Sheet'!B787,'Production '!$Q$4:$Q$4407)</f>
        <v>2232</v>
      </c>
      <c r="E787" s="76">
        <f ca="1">SUMIF('Production '!$C$4:$AI$4407,'Tracking Sheet'!B787,'Production '!$S$4:$S$4407)</f>
        <v>2226</v>
      </c>
      <c r="F787" s="76">
        <f ca="1">SUMIF('Production '!$C$4:$AI$4407,'Tracking Sheet'!B787,'Production '!$U$4:$U$4407)</f>
        <v>2226</v>
      </c>
      <c r="G787" s="76">
        <f ca="1">SUMIF('Production '!$C$4:$AI$4407,'Tracking Sheet'!B787,'Production '!$W$4:$W$4407)</f>
        <v>0</v>
      </c>
      <c r="H787" s="76">
        <f ca="1">SUMIF('Production '!$C$4:$AI$4407,'Tracking Sheet'!B787,'Production '!$F$4:$F$4407)</f>
        <v>4134</v>
      </c>
      <c r="I787" s="76">
        <f ca="1">SUMIF('Production '!$C$4:$AI$4407,'Tracking Sheet'!B787,'Production '!$V$4:$V$4407)</f>
        <v>0</v>
      </c>
      <c r="J787" s="76">
        <f ca="1">SUMIF('Production '!$C$4:$AI$4407,'Tracking Sheet'!B787,'Production '!$AG$4:$AG$4407)</f>
        <v>-1960</v>
      </c>
    </row>
    <row r="788" spans="2:10" x14ac:dyDescent="0.3">
      <c r="B788" s="277">
        <f>'Production '!C791</f>
        <v>48003</v>
      </c>
      <c r="C788" s="76">
        <f ca="1">SUMIF('Production '!$C$4:$AI$4407,'Tracking Sheet'!B788,'Production '!$M$4:$M$4407)</f>
        <v>2232</v>
      </c>
      <c r="D788" s="76">
        <f ca="1">SUMIF('Production '!$C$4:$AI$4407,'Tracking Sheet'!B788,'Production '!$Q$4:$Q$4407)</f>
        <v>2232</v>
      </c>
      <c r="E788" s="76">
        <f ca="1">SUMIF('Production '!$C$4:$AI$4407,'Tracking Sheet'!B788,'Production '!$S$4:$S$4407)</f>
        <v>2226</v>
      </c>
      <c r="F788" s="76">
        <f ca="1">SUMIF('Production '!$C$4:$AI$4407,'Tracking Sheet'!B788,'Production '!$U$4:$U$4407)</f>
        <v>2226</v>
      </c>
      <c r="G788" s="76">
        <f ca="1">SUMIF('Production '!$C$4:$AI$4407,'Tracking Sheet'!B788,'Production '!$W$4:$W$4407)</f>
        <v>0</v>
      </c>
      <c r="H788" s="76">
        <f ca="1">SUMIF('Production '!$C$4:$AI$4407,'Tracking Sheet'!B788,'Production '!$F$4:$F$4407)</f>
        <v>4134</v>
      </c>
      <c r="I788" s="76">
        <f ca="1">SUMIF('Production '!$C$4:$AI$4407,'Tracking Sheet'!B788,'Production '!$V$4:$V$4407)</f>
        <v>0</v>
      </c>
      <c r="J788" s="76">
        <f ca="1">SUMIF('Production '!$C$4:$AI$4407,'Tracking Sheet'!B788,'Production '!$AG$4:$AG$4407)</f>
        <v>-1960</v>
      </c>
    </row>
    <row r="789" spans="2:10" x14ac:dyDescent="0.3">
      <c r="B789" s="277">
        <f>'Production '!C792</f>
        <v>0</v>
      </c>
      <c r="C789" s="76" t="e">
        <f ca="1">SUMIF('Production '!$C$4:$AI$4407,'Tracking Sheet'!B789,'Production '!$M$4:$M$4407)</f>
        <v>#DIV/0!</v>
      </c>
      <c r="D789" s="76" t="e">
        <f ca="1">SUMIF('Production '!$C$4:$AI$4407,'Tracking Sheet'!B789,'Production '!$Q$4:$Q$4407)</f>
        <v>#DIV/0!</v>
      </c>
      <c r="E789" s="76">
        <f ca="1">SUMIF('Production '!$C$4:$AI$4407,'Tracking Sheet'!B789,'Production '!$S$4:$S$4407)</f>
        <v>-1268218.9828305368</v>
      </c>
      <c r="F789" s="76">
        <f ca="1">SUMIF('Production '!$C$4:$AI$4407,'Tracking Sheet'!B789,'Production '!$U$4:$U$4407)</f>
        <v>-10620.435600016917</v>
      </c>
      <c r="G789" s="76" t="e">
        <f ca="1">SUMIF('Production '!$C$4:$AI$4407,'Tracking Sheet'!B789,'Production '!$W$4:$W$4407)</f>
        <v>#DIV/0!</v>
      </c>
      <c r="H789" s="76">
        <f ca="1">SUMIF('Production '!$C$4:$AI$4407,'Tracking Sheet'!B789,'Production '!$F$4:$F$4407)</f>
        <v>3230621.3283604058</v>
      </c>
      <c r="I789" s="76">
        <f ca="1">SUMIF('Production '!$C$4:$AI$4407,'Tracking Sheet'!B789,'Production '!$V$4:$V$4407)</f>
        <v>-489.86487791182844</v>
      </c>
      <c r="J789" s="76">
        <f ca="1">SUMIF('Production '!$C$4:$AI$4407,'Tracking Sheet'!B789,'Production '!$AG$4:$AG$4407)</f>
        <v>0</v>
      </c>
    </row>
    <row r="790" spans="2:10" x14ac:dyDescent="0.3">
      <c r="B790" s="277">
        <f>'Production '!C793</f>
        <v>48099</v>
      </c>
      <c r="C790" s="76">
        <f ca="1">SUMIF('Production '!$C$4:$AI$4407,'Tracking Sheet'!B790,'Production '!$M$4:$M$4407)</f>
        <v>0</v>
      </c>
      <c r="D790" s="76">
        <f ca="1">SUMIF('Production '!$C$4:$AI$4407,'Tracking Sheet'!B790,'Production '!$Q$4:$Q$4407)</f>
        <v>0</v>
      </c>
      <c r="E790" s="76">
        <f ca="1">SUMIF('Production '!$C$4:$AI$4407,'Tracking Sheet'!B790,'Production '!$S$4:$S$4407)</f>
        <v>0</v>
      </c>
      <c r="F790" s="76">
        <f ca="1">SUMIF('Production '!$C$4:$AI$4407,'Tracking Sheet'!B790,'Production '!$U$4:$U$4407)</f>
        <v>0</v>
      </c>
      <c r="G790" s="76">
        <f ca="1">SUMIF('Production '!$C$4:$AI$4407,'Tracking Sheet'!B790,'Production '!$W$4:$W$4407)</f>
        <v>0</v>
      </c>
      <c r="H790" s="76">
        <f ca="1">SUMIF('Production '!$C$4:$AI$4407,'Tracking Sheet'!B790,'Production '!$F$4:$F$4407)</f>
        <v>3406</v>
      </c>
      <c r="I790" s="76">
        <f ca="1">SUMIF('Production '!$C$4:$AI$4407,'Tracking Sheet'!B790,'Production '!$V$4:$V$4407)</f>
        <v>0</v>
      </c>
      <c r="J790" s="76">
        <f ca="1">SUMIF('Production '!$C$4:$AI$4407,'Tracking Sheet'!B790,'Production '!$AG$4:$AG$4407)</f>
        <v>-3406</v>
      </c>
    </row>
    <row r="791" spans="2:10" x14ac:dyDescent="0.3">
      <c r="B791" s="277">
        <f>'Production '!C794</f>
        <v>48099</v>
      </c>
      <c r="C791" s="76">
        <f ca="1">SUMIF('Production '!$C$4:$AI$4407,'Tracking Sheet'!B791,'Production '!$M$4:$M$4407)</f>
        <v>0</v>
      </c>
      <c r="D791" s="76">
        <f ca="1">SUMIF('Production '!$C$4:$AI$4407,'Tracking Sheet'!B791,'Production '!$Q$4:$Q$4407)</f>
        <v>0</v>
      </c>
      <c r="E791" s="76">
        <f ca="1">SUMIF('Production '!$C$4:$AI$4407,'Tracking Sheet'!B791,'Production '!$S$4:$S$4407)</f>
        <v>0</v>
      </c>
      <c r="F791" s="76">
        <f ca="1">SUMIF('Production '!$C$4:$AI$4407,'Tracking Sheet'!B791,'Production '!$U$4:$U$4407)</f>
        <v>0</v>
      </c>
      <c r="G791" s="76">
        <f ca="1">SUMIF('Production '!$C$4:$AI$4407,'Tracking Sheet'!B791,'Production '!$W$4:$W$4407)</f>
        <v>0</v>
      </c>
      <c r="H791" s="76">
        <f ca="1">SUMIF('Production '!$C$4:$AI$4407,'Tracking Sheet'!B791,'Production '!$F$4:$F$4407)</f>
        <v>3406</v>
      </c>
      <c r="I791" s="76">
        <f ca="1">SUMIF('Production '!$C$4:$AI$4407,'Tracking Sheet'!B791,'Production '!$V$4:$V$4407)</f>
        <v>0</v>
      </c>
      <c r="J791" s="76">
        <f ca="1">SUMIF('Production '!$C$4:$AI$4407,'Tracking Sheet'!B791,'Production '!$AG$4:$AG$4407)</f>
        <v>-3406</v>
      </c>
    </row>
    <row r="792" spans="2:10" x14ac:dyDescent="0.3">
      <c r="B792" s="277">
        <f>'Production '!C795</f>
        <v>48099</v>
      </c>
      <c r="C792" s="76">
        <f ca="1">SUMIF('Production '!$C$4:$AI$4407,'Tracking Sheet'!B792,'Production '!$M$4:$M$4407)</f>
        <v>0</v>
      </c>
      <c r="D792" s="76">
        <f ca="1">SUMIF('Production '!$C$4:$AI$4407,'Tracking Sheet'!B792,'Production '!$Q$4:$Q$4407)</f>
        <v>0</v>
      </c>
      <c r="E792" s="76">
        <f ca="1">SUMIF('Production '!$C$4:$AI$4407,'Tracking Sheet'!B792,'Production '!$S$4:$S$4407)</f>
        <v>0</v>
      </c>
      <c r="F792" s="76">
        <f ca="1">SUMIF('Production '!$C$4:$AI$4407,'Tracking Sheet'!B792,'Production '!$U$4:$U$4407)</f>
        <v>0</v>
      </c>
      <c r="G792" s="76">
        <f ca="1">SUMIF('Production '!$C$4:$AI$4407,'Tracking Sheet'!B792,'Production '!$W$4:$W$4407)</f>
        <v>0</v>
      </c>
      <c r="H792" s="76">
        <f ca="1">SUMIF('Production '!$C$4:$AI$4407,'Tracking Sheet'!B792,'Production '!$F$4:$F$4407)</f>
        <v>3406</v>
      </c>
      <c r="I792" s="76">
        <f ca="1">SUMIF('Production '!$C$4:$AI$4407,'Tracking Sheet'!B792,'Production '!$V$4:$V$4407)</f>
        <v>0</v>
      </c>
      <c r="J792" s="76">
        <f ca="1">SUMIF('Production '!$C$4:$AI$4407,'Tracking Sheet'!B792,'Production '!$AG$4:$AG$4407)</f>
        <v>-3406</v>
      </c>
    </row>
    <row r="793" spans="2:10" x14ac:dyDescent="0.3">
      <c r="B793" s="277">
        <f>'Production '!C796</f>
        <v>48099</v>
      </c>
      <c r="C793" s="76">
        <f ca="1">SUMIF('Production '!$C$4:$AI$4407,'Tracking Sheet'!B793,'Production '!$M$4:$M$4407)</f>
        <v>0</v>
      </c>
      <c r="D793" s="76">
        <f ca="1">SUMIF('Production '!$C$4:$AI$4407,'Tracking Sheet'!B793,'Production '!$Q$4:$Q$4407)</f>
        <v>0</v>
      </c>
      <c r="E793" s="76">
        <f ca="1">SUMIF('Production '!$C$4:$AI$4407,'Tracking Sheet'!B793,'Production '!$S$4:$S$4407)</f>
        <v>0</v>
      </c>
      <c r="F793" s="76">
        <f ca="1">SUMIF('Production '!$C$4:$AI$4407,'Tracking Sheet'!B793,'Production '!$U$4:$U$4407)</f>
        <v>0</v>
      </c>
      <c r="G793" s="76">
        <f ca="1">SUMIF('Production '!$C$4:$AI$4407,'Tracking Sheet'!B793,'Production '!$W$4:$W$4407)</f>
        <v>0</v>
      </c>
      <c r="H793" s="76">
        <f ca="1">SUMIF('Production '!$C$4:$AI$4407,'Tracking Sheet'!B793,'Production '!$F$4:$F$4407)</f>
        <v>3406</v>
      </c>
      <c r="I793" s="76">
        <f ca="1">SUMIF('Production '!$C$4:$AI$4407,'Tracking Sheet'!B793,'Production '!$V$4:$V$4407)</f>
        <v>0</v>
      </c>
      <c r="J793" s="76">
        <f ca="1">SUMIF('Production '!$C$4:$AI$4407,'Tracking Sheet'!B793,'Production '!$AG$4:$AG$4407)</f>
        <v>-3406</v>
      </c>
    </row>
    <row r="794" spans="2:10" x14ac:dyDescent="0.3">
      <c r="B794" s="277">
        <f>'Production '!C797</f>
        <v>0</v>
      </c>
      <c r="C794" s="76" t="e">
        <f ca="1">SUMIF('Production '!$C$4:$AI$4407,'Tracking Sheet'!B794,'Production '!$M$4:$M$4407)</f>
        <v>#DIV/0!</v>
      </c>
      <c r="D794" s="76" t="e">
        <f ca="1">SUMIF('Production '!$C$4:$AI$4407,'Tracking Sheet'!B794,'Production '!$Q$4:$Q$4407)</f>
        <v>#DIV/0!</v>
      </c>
      <c r="E794" s="76">
        <f ca="1">SUMIF('Production '!$C$4:$AI$4407,'Tracking Sheet'!B794,'Production '!$S$4:$S$4407)</f>
        <v>-1268218.9828305368</v>
      </c>
      <c r="F794" s="76">
        <f ca="1">SUMIF('Production '!$C$4:$AI$4407,'Tracking Sheet'!B794,'Production '!$U$4:$U$4407)</f>
        <v>-10620.435600016917</v>
      </c>
      <c r="G794" s="76" t="e">
        <f ca="1">SUMIF('Production '!$C$4:$AI$4407,'Tracking Sheet'!B794,'Production '!$W$4:$W$4407)</f>
        <v>#DIV/0!</v>
      </c>
      <c r="H794" s="76">
        <f ca="1">SUMIF('Production '!$C$4:$AI$4407,'Tracking Sheet'!B794,'Production '!$F$4:$F$4407)</f>
        <v>3230621.3283604058</v>
      </c>
      <c r="I794" s="76">
        <f ca="1">SUMIF('Production '!$C$4:$AI$4407,'Tracking Sheet'!B794,'Production '!$V$4:$V$4407)</f>
        <v>-489.86487791182844</v>
      </c>
      <c r="J794" s="76">
        <f ca="1">SUMIF('Production '!$C$4:$AI$4407,'Tracking Sheet'!B794,'Production '!$AG$4:$AG$4407)</f>
        <v>0</v>
      </c>
    </row>
    <row r="795" spans="2:10" x14ac:dyDescent="0.3">
      <c r="B795" s="277">
        <f>'Production '!C798</f>
        <v>48013</v>
      </c>
      <c r="C795" s="76">
        <f ca="1">SUMIF('Production '!$C$4:$AI$4407,'Tracking Sheet'!B795,'Production '!$M$4:$M$4407)</f>
        <v>0</v>
      </c>
      <c r="D795" s="76">
        <f ca="1">SUMIF('Production '!$C$4:$AI$4407,'Tracking Sheet'!B795,'Production '!$Q$4:$Q$4407)</f>
        <v>0</v>
      </c>
      <c r="E795" s="76">
        <f ca="1">SUMIF('Production '!$C$4:$AI$4407,'Tracking Sheet'!B795,'Production '!$S$4:$S$4407)</f>
        <v>0</v>
      </c>
      <c r="F795" s="76">
        <f ca="1">SUMIF('Production '!$C$4:$AI$4407,'Tracking Sheet'!B795,'Production '!$U$4:$U$4407)</f>
        <v>0</v>
      </c>
      <c r="G795" s="76">
        <f ca="1">SUMIF('Production '!$C$4:$AI$4407,'Tracking Sheet'!B795,'Production '!$W$4:$W$4407)</f>
        <v>0</v>
      </c>
      <c r="H795" s="76">
        <f ca="1">SUMIF('Production '!$C$4:$AI$4407,'Tracking Sheet'!B795,'Production '!$F$4:$F$4407)</f>
        <v>2979</v>
      </c>
      <c r="I795" s="76">
        <f ca="1">SUMIF('Production '!$C$4:$AI$4407,'Tracking Sheet'!B795,'Production '!$V$4:$V$4407)</f>
        <v>0</v>
      </c>
      <c r="J795" s="76">
        <f ca="1">SUMIF('Production '!$C$4:$AI$4407,'Tracking Sheet'!B795,'Production '!$AG$4:$AG$4407)</f>
        <v>-2979</v>
      </c>
    </row>
    <row r="796" spans="2:10" x14ac:dyDescent="0.3">
      <c r="B796" s="277">
        <f>'Production '!C799</f>
        <v>48013</v>
      </c>
      <c r="C796" s="76">
        <f ca="1">SUMIF('Production '!$C$4:$AI$4407,'Tracking Sheet'!B796,'Production '!$M$4:$M$4407)</f>
        <v>0</v>
      </c>
      <c r="D796" s="76">
        <f ca="1">SUMIF('Production '!$C$4:$AI$4407,'Tracking Sheet'!B796,'Production '!$Q$4:$Q$4407)</f>
        <v>0</v>
      </c>
      <c r="E796" s="76">
        <f ca="1">SUMIF('Production '!$C$4:$AI$4407,'Tracking Sheet'!B796,'Production '!$S$4:$S$4407)</f>
        <v>0</v>
      </c>
      <c r="F796" s="76">
        <f ca="1">SUMIF('Production '!$C$4:$AI$4407,'Tracking Sheet'!B796,'Production '!$U$4:$U$4407)</f>
        <v>0</v>
      </c>
      <c r="G796" s="76">
        <f ca="1">SUMIF('Production '!$C$4:$AI$4407,'Tracking Sheet'!B796,'Production '!$W$4:$W$4407)</f>
        <v>0</v>
      </c>
      <c r="H796" s="76">
        <f ca="1">SUMIF('Production '!$C$4:$AI$4407,'Tracking Sheet'!B796,'Production '!$F$4:$F$4407)</f>
        <v>2979</v>
      </c>
      <c r="I796" s="76">
        <f ca="1">SUMIF('Production '!$C$4:$AI$4407,'Tracking Sheet'!B796,'Production '!$V$4:$V$4407)</f>
        <v>0</v>
      </c>
      <c r="J796" s="76">
        <f ca="1">SUMIF('Production '!$C$4:$AI$4407,'Tracking Sheet'!B796,'Production '!$AG$4:$AG$4407)</f>
        <v>-2979</v>
      </c>
    </row>
    <row r="797" spans="2:10" x14ac:dyDescent="0.3">
      <c r="B797" s="277">
        <f>'Production '!C800</f>
        <v>0</v>
      </c>
      <c r="C797" s="76" t="e">
        <f ca="1">SUMIF('Production '!$C$4:$AI$4407,'Tracking Sheet'!B797,'Production '!$M$4:$M$4407)</f>
        <v>#DIV/0!</v>
      </c>
      <c r="D797" s="76" t="e">
        <f ca="1">SUMIF('Production '!$C$4:$AI$4407,'Tracking Sheet'!B797,'Production '!$Q$4:$Q$4407)</f>
        <v>#DIV/0!</v>
      </c>
      <c r="E797" s="76">
        <f ca="1">SUMIF('Production '!$C$4:$AI$4407,'Tracking Sheet'!B797,'Production '!$S$4:$S$4407)</f>
        <v>-1268218.9828305368</v>
      </c>
      <c r="F797" s="76">
        <f ca="1">SUMIF('Production '!$C$4:$AI$4407,'Tracking Sheet'!B797,'Production '!$U$4:$U$4407)</f>
        <v>-10620.435600016917</v>
      </c>
      <c r="G797" s="76" t="e">
        <f ca="1">SUMIF('Production '!$C$4:$AI$4407,'Tracking Sheet'!B797,'Production '!$W$4:$W$4407)</f>
        <v>#DIV/0!</v>
      </c>
      <c r="H797" s="76">
        <f ca="1">SUMIF('Production '!$C$4:$AI$4407,'Tracking Sheet'!B797,'Production '!$F$4:$F$4407)</f>
        <v>3230621.3283604058</v>
      </c>
      <c r="I797" s="76">
        <f ca="1">SUMIF('Production '!$C$4:$AI$4407,'Tracking Sheet'!B797,'Production '!$V$4:$V$4407)</f>
        <v>-489.86487791182844</v>
      </c>
      <c r="J797" s="76">
        <f ca="1">SUMIF('Production '!$C$4:$AI$4407,'Tracking Sheet'!B797,'Production '!$AG$4:$AG$4407)</f>
        <v>0</v>
      </c>
    </row>
    <row r="798" spans="2:10" x14ac:dyDescent="0.3">
      <c r="B798" s="277">
        <f>'Production '!C801</f>
        <v>48010</v>
      </c>
      <c r="C798" s="76">
        <f ca="1">SUMIF('Production '!$C$4:$AI$4407,'Tracking Sheet'!B798,'Production '!$M$4:$M$4407)</f>
        <v>5096</v>
      </c>
      <c r="D798" s="76">
        <f ca="1">SUMIF('Production '!$C$4:$AI$4407,'Tracking Sheet'!B798,'Production '!$Q$4:$Q$4407)</f>
        <v>5096</v>
      </c>
      <c r="E798" s="76">
        <f ca="1">SUMIF('Production '!$C$4:$AI$4407,'Tracking Sheet'!B798,'Production '!$S$4:$S$4407)</f>
        <v>5085</v>
      </c>
      <c r="F798" s="76">
        <f ca="1">SUMIF('Production '!$C$4:$AI$4407,'Tracking Sheet'!B798,'Production '!$U$4:$U$4407)</f>
        <v>5085</v>
      </c>
      <c r="G798" s="76">
        <f ca="1">SUMIF('Production '!$C$4:$AI$4407,'Tracking Sheet'!B798,'Production '!$W$4:$W$4407)</f>
        <v>0</v>
      </c>
      <c r="H798" s="76">
        <f ca="1">SUMIF('Production '!$C$4:$AI$4407,'Tracking Sheet'!B798,'Production '!$F$4:$F$4407)</f>
        <v>4995</v>
      </c>
      <c r="I798" s="76">
        <f ca="1">SUMIF('Production '!$C$4:$AI$4407,'Tracking Sheet'!B798,'Production '!$V$4:$V$4407)</f>
        <v>0</v>
      </c>
      <c r="J798" s="76">
        <f ca="1">SUMIF('Production '!$C$4:$AI$4407,'Tracking Sheet'!B798,'Production '!$AG$4:$AG$4407)</f>
        <v>0</v>
      </c>
    </row>
    <row r="799" spans="2:10" x14ac:dyDescent="0.3">
      <c r="B799" s="277">
        <f>'Production '!C802</f>
        <v>48010</v>
      </c>
      <c r="C799" s="76">
        <f ca="1">SUMIF('Production '!$C$4:$AI$4407,'Tracking Sheet'!B799,'Production '!$M$4:$M$4407)</f>
        <v>5096</v>
      </c>
      <c r="D799" s="76">
        <f ca="1">SUMIF('Production '!$C$4:$AI$4407,'Tracking Sheet'!B799,'Production '!$Q$4:$Q$4407)</f>
        <v>5096</v>
      </c>
      <c r="E799" s="76">
        <f ca="1">SUMIF('Production '!$C$4:$AI$4407,'Tracking Sheet'!B799,'Production '!$S$4:$S$4407)</f>
        <v>5085</v>
      </c>
      <c r="F799" s="76">
        <f ca="1">SUMIF('Production '!$C$4:$AI$4407,'Tracking Sheet'!B799,'Production '!$U$4:$U$4407)</f>
        <v>5085</v>
      </c>
      <c r="G799" s="76">
        <f ca="1">SUMIF('Production '!$C$4:$AI$4407,'Tracking Sheet'!B799,'Production '!$W$4:$W$4407)</f>
        <v>0</v>
      </c>
      <c r="H799" s="76">
        <f ca="1">SUMIF('Production '!$C$4:$AI$4407,'Tracking Sheet'!B799,'Production '!$F$4:$F$4407)</f>
        <v>4995</v>
      </c>
      <c r="I799" s="76">
        <f ca="1">SUMIF('Production '!$C$4:$AI$4407,'Tracking Sheet'!B799,'Production '!$V$4:$V$4407)</f>
        <v>0</v>
      </c>
      <c r="J799" s="76">
        <f ca="1">SUMIF('Production '!$C$4:$AI$4407,'Tracking Sheet'!B799,'Production '!$AG$4:$AG$4407)</f>
        <v>0</v>
      </c>
    </row>
    <row r="800" spans="2:10" x14ac:dyDescent="0.3">
      <c r="B800" s="277">
        <f>'Production '!C803</f>
        <v>0</v>
      </c>
      <c r="C800" s="76" t="e">
        <f ca="1">SUMIF('Production '!$C$4:$AI$4407,'Tracking Sheet'!B800,'Production '!$M$4:$M$4407)</f>
        <v>#DIV/0!</v>
      </c>
      <c r="D800" s="76" t="e">
        <f ca="1">SUMIF('Production '!$C$4:$AI$4407,'Tracking Sheet'!B800,'Production '!$Q$4:$Q$4407)</f>
        <v>#DIV/0!</v>
      </c>
      <c r="E800" s="76">
        <f ca="1">SUMIF('Production '!$C$4:$AI$4407,'Tracking Sheet'!B800,'Production '!$S$4:$S$4407)</f>
        <v>-1268218.9828305368</v>
      </c>
      <c r="F800" s="76">
        <f ca="1">SUMIF('Production '!$C$4:$AI$4407,'Tracking Sheet'!B800,'Production '!$U$4:$U$4407)</f>
        <v>-10620.435600016917</v>
      </c>
      <c r="G800" s="76" t="e">
        <f ca="1">SUMIF('Production '!$C$4:$AI$4407,'Tracking Sheet'!B800,'Production '!$W$4:$W$4407)</f>
        <v>#DIV/0!</v>
      </c>
      <c r="H800" s="76">
        <f ca="1">SUMIF('Production '!$C$4:$AI$4407,'Tracking Sheet'!B800,'Production '!$F$4:$F$4407)</f>
        <v>3230621.3283604058</v>
      </c>
      <c r="I800" s="76">
        <f ca="1">SUMIF('Production '!$C$4:$AI$4407,'Tracking Sheet'!B800,'Production '!$V$4:$V$4407)</f>
        <v>-489.86487791182844</v>
      </c>
      <c r="J800" s="76">
        <f ca="1">SUMIF('Production '!$C$4:$AI$4407,'Tracking Sheet'!B800,'Production '!$AG$4:$AG$4407)</f>
        <v>0</v>
      </c>
    </row>
    <row r="801" spans="2:10" x14ac:dyDescent="0.3">
      <c r="B801" s="277">
        <f>'Production '!C804</f>
        <v>48066</v>
      </c>
      <c r="C801" s="76">
        <f ca="1">SUMIF('Production '!$C$4:$AI$4407,'Tracking Sheet'!B801,'Production '!$M$4:$M$4407)</f>
        <v>3474</v>
      </c>
      <c r="D801" s="76">
        <f ca="1">SUMIF('Production '!$C$4:$AI$4407,'Tracking Sheet'!B801,'Production '!$Q$4:$Q$4407)</f>
        <v>3472</v>
      </c>
      <c r="E801" s="76">
        <f ca="1">SUMIF('Production '!$C$4:$AI$4407,'Tracking Sheet'!B801,'Production '!$S$4:$S$4407)</f>
        <v>3461</v>
      </c>
      <c r="F801" s="76">
        <f ca="1">SUMIF('Production '!$C$4:$AI$4407,'Tracking Sheet'!B801,'Production '!$U$4:$U$4407)</f>
        <v>3461</v>
      </c>
      <c r="G801" s="76">
        <f ca="1">SUMIF('Production '!$C$4:$AI$4407,'Tracking Sheet'!B801,'Production '!$W$4:$W$4407)</f>
        <v>0</v>
      </c>
      <c r="H801" s="76">
        <f ca="1">SUMIF('Production '!$C$4:$AI$4407,'Tracking Sheet'!B801,'Production '!$F$4:$F$4407)</f>
        <v>3360</v>
      </c>
      <c r="I801" s="76">
        <f ca="1">SUMIF('Production '!$C$4:$AI$4407,'Tracking Sheet'!B801,'Production '!$V$4:$V$4407)</f>
        <v>0</v>
      </c>
      <c r="J801" s="76">
        <f ca="1">SUMIF('Production '!$C$4:$AI$4407,'Tracking Sheet'!B801,'Production '!$AG$4:$AG$4407)</f>
        <v>0</v>
      </c>
    </row>
    <row r="802" spans="2:10" x14ac:dyDescent="0.3">
      <c r="B802" s="277">
        <f>'Production '!C805</f>
        <v>48066</v>
      </c>
      <c r="C802" s="76">
        <f ca="1">SUMIF('Production '!$C$4:$AI$4407,'Tracking Sheet'!B802,'Production '!$M$4:$M$4407)</f>
        <v>3474</v>
      </c>
      <c r="D802" s="76">
        <f ca="1">SUMIF('Production '!$C$4:$AI$4407,'Tracking Sheet'!B802,'Production '!$Q$4:$Q$4407)</f>
        <v>3472</v>
      </c>
      <c r="E802" s="76">
        <f ca="1">SUMIF('Production '!$C$4:$AI$4407,'Tracking Sheet'!B802,'Production '!$S$4:$S$4407)</f>
        <v>3461</v>
      </c>
      <c r="F802" s="76">
        <f ca="1">SUMIF('Production '!$C$4:$AI$4407,'Tracking Sheet'!B802,'Production '!$U$4:$U$4407)</f>
        <v>3461</v>
      </c>
      <c r="G802" s="76">
        <f ca="1">SUMIF('Production '!$C$4:$AI$4407,'Tracking Sheet'!B802,'Production '!$W$4:$W$4407)</f>
        <v>0</v>
      </c>
      <c r="H802" s="76">
        <f ca="1">SUMIF('Production '!$C$4:$AI$4407,'Tracking Sheet'!B802,'Production '!$F$4:$F$4407)</f>
        <v>3360</v>
      </c>
      <c r="I802" s="76">
        <f ca="1">SUMIF('Production '!$C$4:$AI$4407,'Tracking Sheet'!B802,'Production '!$V$4:$V$4407)</f>
        <v>0</v>
      </c>
      <c r="J802" s="76">
        <f ca="1">SUMIF('Production '!$C$4:$AI$4407,'Tracking Sheet'!B802,'Production '!$AG$4:$AG$4407)</f>
        <v>0</v>
      </c>
    </row>
    <row r="803" spans="2:10" x14ac:dyDescent="0.3">
      <c r="B803" s="277">
        <f>'Production '!C806</f>
        <v>48066</v>
      </c>
      <c r="C803" s="76">
        <f ca="1">SUMIF('Production '!$C$4:$AI$4407,'Tracking Sheet'!B803,'Production '!$M$4:$M$4407)</f>
        <v>3474</v>
      </c>
      <c r="D803" s="76">
        <f ca="1">SUMIF('Production '!$C$4:$AI$4407,'Tracking Sheet'!B803,'Production '!$Q$4:$Q$4407)</f>
        <v>3472</v>
      </c>
      <c r="E803" s="76">
        <f ca="1">SUMIF('Production '!$C$4:$AI$4407,'Tracking Sheet'!B803,'Production '!$S$4:$S$4407)</f>
        <v>3461</v>
      </c>
      <c r="F803" s="76">
        <f ca="1">SUMIF('Production '!$C$4:$AI$4407,'Tracking Sheet'!B803,'Production '!$U$4:$U$4407)</f>
        <v>3461</v>
      </c>
      <c r="G803" s="76">
        <f ca="1">SUMIF('Production '!$C$4:$AI$4407,'Tracking Sheet'!B803,'Production '!$W$4:$W$4407)</f>
        <v>0</v>
      </c>
      <c r="H803" s="76">
        <f ca="1">SUMIF('Production '!$C$4:$AI$4407,'Tracking Sheet'!B803,'Production '!$F$4:$F$4407)</f>
        <v>3360</v>
      </c>
      <c r="I803" s="76">
        <f ca="1">SUMIF('Production '!$C$4:$AI$4407,'Tracking Sheet'!B803,'Production '!$V$4:$V$4407)</f>
        <v>0</v>
      </c>
      <c r="J803" s="76">
        <f ca="1">SUMIF('Production '!$C$4:$AI$4407,'Tracking Sheet'!B803,'Production '!$AG$4:$AG$4407)</f>
        <v>0</v>
      </c>
    </row>
    <row r="804" spans="2:10" x14ac:dyDescent="0.3">
      <c r="B804" s="277">
        <f>'Production '!C807</f>
        <v>0</v>
      </c>
      <c r="C804" s="76" t="e">
        <f ca="1">SUMIF('Production '!$C$4:$AI$4407,'Tracking Sheet'!B804,'Production '!$M$4:$M$4407)</f>
        <v>#DIV/0!</v>
      </c>
      <c r="D804" s="76" t="e">
        <f ca="1">SUMIF('Production '!$C$4:$AI$4407,'Tracking Sheet'!B804,'Production '!$Q$4:$Q$4407)</f>
        <v>#DIV/0!</v>
      </c>
      <c r="E804" s="76">
        <f ca="1">SUMIF('Production '!$C$4:$AI$4407,'Tracking Sheet'!B804,'Production '!$S$4:$S$4407)</f>
        <v>-1268218.9828305368</v>
      </c>
      <c r="F804" s="76">
        <f ca="1">SUMIF('Production '!$C$4:$AI$4407,'Tracking Sheet'!B804,'Production '!$U$4:$U$4407)</f>
        <v>-10620.435600016917</v>
      </c>
      <c r="G804" s="76" t="e">
        <f ca="1">SUMIF('Production '!$C$4:$AI$4407,'Tracking Sheet'!B804,'Production '!$W$4:$W$4407)</f>
        <v>#DIV/0!</v>
      </c>
      <c r="H804" s="76">
        <f ca="1">SUMIF('Production '!$C$4:$AI$4407,'Tracking Sheet'!B804,'Production '!$F$4:$F$4407)</f>
        <v>3230621.3283604058</v>
      </c>
      <c r="I804" s="76">
        <f ca="1">SUMIF('Production '!$C$4:$AI$4407,'Tracking Sheet'!B804,'Production '!$V$4:$V$4407)</f>
        <v>-489.86487791182844</v>
      </c>
      <c r="J804" s="76">
        <f ca="1">SUMIF('Production '!$C$4:$AI$4407,'Tracking Sheet'!B804,'Production '!$AG$4:$AG$4407)</f>
        <v>0</v>
      </c>
    </row>
    <row r="805" spans="2:10" x14ac:dyDescent="0.3">
      <c r="B805" s="277">
        <f>'Production '!C808</f>
        <v>47584</v>
      </c>
      <c r="C805" s="76">
        <f ca="1">SUMIF('Production '!$C$4:$AI$4407,'Tracking Sheet'!B805,'Production '!$M$4:$M$4407)</f>
        <v>1981</v>
      </c>
      <c r="D805" s="76">
        <f ca="1">SUMIF('Production '!$C$4:$AI$4407,'Tracking Sheet'!B805,'Production '!$Q$4:$Q$4407)</f>
        <v>1981</v>
      </c>
      <c r="E805" s="76">
        <f ca="1">SUMIF('Production '!$C$4:$AI$4407,'Tracking Sheet'!B805,'Production '!$S$4:$S$4407)</f>
        <v>1981</v>
      </c>
      <c r="F805" s="76">
        <f ca="1">SUMIF('Production '!$C$4:$AI$4407,'Tracking Sheet'!B805,'Production '!$U$4:$U$4407)</f>
        <v>6</v>
      </c>
      <c r="G805" s="76">
        <f ca="1">SUMIF('Production '!$C$4:$AI$4407,'Tracking Sheet'!B805,'Production '!$W$4:$W$4407)</f>
        <v>1975</v>
      </c>
      <c r="H805" s="76">
        <f ca="1">SUMIF('Production '!$C$4:$AI$4407,'Tracking Sheet'!B805,'Production '!$F$4:$F$4407)</f>
        <v>1910</v>
      </c>
      <c r="I805" s="76">
        <f ca="1">SUMIF('Production '!$C$4:$AI$4407,'Tracking Sheet'!B805,'Production '!$V$4:$V$4407)</f>
        <v>0</v>
      </c>
      <c r="J805" s="76">
        <f ca="1">SUMIF('Production '!$C$4:$AI$4407,'Tracking Sheet'!B805,'Production '!$AG$4:$AG$4407)</f>
        <v>0</v>
      </c>
    </row>
    <row r="806" spans="2:10" x14ac:dyDescent="0.3">
      <c r="B806" s="277">
        <f>'Production '!C809</f>
        <v>47584</v>
      </c>
      <c r="C806" s="76">
        <f ca="1">SUMIF('Production '!$C$4:$AI$4407,'Tracking Sheet'!B806,'Production '!$M$4:$M$4407)</f>
        <v>1981</v>
      </c>
      <c r="D806" s="76">
        <f ca="1">SUMIF('Production '!$C$4:$AI$4407,'Tracking Sheet'!B806,'Production '!$Q$4:$Q$4407)</f>
        <v>1981</v>
      </c>
      <c r="E806" s="76">
        <f ca="1">SUMIF('Production '!$C$4:$AI$4407,'Tracking Sheet'!B806,'Production '!$S$4:$S$4407)</f>
        <v>1981</v>
      </c>
      <c r="F806" s="76">
        <f ca="1">SUMIF('Production '!$C$4:$AI$4407,'Tracking Sheet'!B806,'Production '!$U$4:$U$4407)</f>
        <v>6</v>
      </c>
      <c r="G806" s="76">
        <f ca="1">SUMIF('Production '!$C$4:$AI$4407,'Tracking Sheet'!B806,'Production '!$W$4:$W$4407)</f>
        <v>1975</v>
      </c>
      <c r="H806" s="76">
        <f ca="1">SUMIF('Production '!$C$4:$AI$4407,'Tracking Sheet'!B806,'Production '!$F$4:$F$4407)</f>
        <v>1910</v>
      </c>
      <c r="I806" s="76">
        <f ca="1">SUMIF('Production '!$C$4:$AI$4407,'Tracking Sheet'!B806,'Production '!$V$4:$V$4407)</f>
        <v>0</v>
      </c>
      <c r="J806" s="76">
        <f ca="1">SUMIF('Production '!$C$4:$AI$4407,'Tracking Sheet'!B806,'Production '!$AG$4:$AG$4407)</f>
        <v>0</v>
      </c>
    </row>
    <row r="807" spans="2:10" x14ac:dyDescent="0.3">
      <c r="B807" s="277">
        <f>'Production '!C810</f>
        <v>0</v>
      </c>
      <c r="C807" s="76" t="e">
        <f ca="1">SUMIF('Production '!$C$4:$AI$4407,'Tracking Sheet'!B807,'Production '!$M$4:$M$4407)</f>
        <v>#DIV/0!</v>
      </c>
      <c r="D807" s="76" t="e">
        <f ca="1">SUMIF('Production '!$C$4:$AI$4407,'Tracking Sheet'!B807,'Production '!$Q$4:$Q$4407)</f>
        <v>#DIV/0!</v>
      </c>
      <c r="E807" s="76">
        <f ca="1">SUMIF('Production '!$C$4:$AI$4407,'Tracking Sheet'!B807,'Production '!$S$4:$S$4407)</f>
        <v>-1268218.9828305368</v>
      </c>
      <c r="F807" s="76">
        <f ca="1">SUMIF('Production '!$C$4:$AI$4407,'Tracking Sheet'!B807,'Production '!$U$4:$U$4407)</f>
        <v>-10620.435600016917</v>
      </c>
      <c r="G807" s="76" t="e">
        <f ca="1">SUMIF('Production '!$C$4:$AI$4407,'Tracking Sheet'!B807,'Production '!$W$4:$W$4407)</f>
        <v>#DIV/0!</v>
      </c>
      <c r="H807" s="76">
        <f ca="1">SUMIF('Production '!$C$4:$AI$4407,'Tracking Sheet'!B807,'Production '!$F$4:$F$4407)</f>
        <v>3230621.3283604058</v>
      </c>
      <c r="I807" s="76">
        <f ca="1">SUMIF('Production '!$C$4:$AI$4407,'Tracking Sheet'!B807,'Production '!$V$4:$V$4407)</f>
        <v>-489.86487791182844</v>
      </c>
      <c r="J807" s="76">
        <f ca="1">SUMIF('Production '!$C$4:$AI$4407,'Tracking Sheet'!B807,'Production '!$AG$4:$AG$4407)</f>
        <v>0</v>
      </c>
    </row>
    <row r="808" spans="2:10" x14ac:dyDescent="0.3">
      <c r="B808" s="277">
        <f>'Production '!C811</f>
        <v>47581</v>
      </c>
      <c r="C808" s="76">
        <f ca="1">SUMIF('Production '!$C$4:$AI$4407,'Tracking Sheet'!B808,'Production '!$M$4:$M$4407)</f>
        <v>1700</v>
      </c>
      <c r="D808" s="76">
        <f ca="1">SUMIF('Production '!$C$4:$AI$4407,'Tracking Sheet'!B808,'Production '!$Q$4:$Q$4407)</f>
        <v>0</v>
      </c>
      <c r="E808" s="76">
        <f ca="1">SUMIF('Production '!$C$4:$AI$4407,'Tracking Sheet'!B808,'Production '!$S$4:$S$4407)</f>
        <v>0</v>
      </c>
      <c r="F808" s="76">
        <f ca="1">SUMIF('Production '!$C$4:$AI$4407,'Tracking Sheet'!B808,'Production '!$U$4:$U$4407)</f>
        <v>0</v>
      </c>
      <c r="G808" s="76">
        <f ca="1">SUMIF('Production '!$C$4:$AI$4407,'Tracking Sheet'!B808,'Production '!$W$4:$W$4407)</f>
        <v>1700</v>
      </c>
      <c r="H808" s="76">
        <f ca="1">SUMIF('Production '!$C$4:$AI$4407,'Tracking Sheet'!B808,'Production '!$F$4:$F$4407)</f>
        <v>1608</v>
      </c>
      <c r="I808" s="76">
        <f ca="1">SUMIF('Production '!$C$4:$AI$4407,'Tracking Sheet'!B808,'Production '!$V$4:$V$4407)</f>
        <v>0</v>
      </c>
      <c r="J808" s="76">
        <f ca="1">SUMIF('Production '!$C$4:$AI$4407,'Tracking Sheet'!B808,'Production '!$AG$4:$AG$4407)</f>
        <v>0</v>
      </c>
    </row>
    <row r="809" spans="2:10" x14ac:dyDescent="0.3">
      <c r="B809" s="277">
        <f>'Production '!C812</f>
        <v>47581</v>
      </c>
      <c r="C809" s="76">
        <f ca="1">SUMIF('Production '!$C$4:$AI$4407,'Tracking Sheet'!B809,'Production '!$M$4:$M$4407)</f>
        <v>1700</v>
      </c>
      <c r="D809" s="76">
        <f ca="1">SUMIF('Production '!$C$4:$AI$4407,'Tracking Sheet'!B809,'Production '!$Q$4:$Q$4407)</f>
        <v>0</v>
      </c>
      <c r="E809" s="76">
        <f ca="1">SUMIF('Production '!$C$4:$AI$4407,'Tracking Sheet'!B809,'Production '!$S$4:$S$4407)</f>
        <v>0</v>
      </c>
      <c r="F809" s="76">
        <f ca="1">SUMIF('Production '!$C$4:$AI$4407,'Tracking Sheet'!B809,'Production '!$U$4:$U$4407)</f>
        <v>0</v>
      </c>
      <c r="G809" s="76">
        <f ca="1">SUMIF('Production '!$C$4:$AI$4407,'Tracking Sheet'!B809,'Production '!$W$4:$W$4407)</f>
        <v>1700</v>
      </c>
      <c r="H809" s="76">
        <f ca="1">SUMIF('Production '!$C$4:$AI$4407,'Tracking Sheet'!B809,'Production '!$F$4:$F$4407)</f>
        <v>1608</v>
      </c>
      <c r="I809" s="76">
        <f ca="1">SUMIF('Production '!$C$4:$AI$4407,'Tracking Sheet'!B809,'Production '!$V$4:$V$4407)</f>
        <v>0</v>
      </c>
      <c r="J809" s="76">
        <f ca="1">SUMIF('Production '!$C$4:$AI$4407,'Tracking Sheet'!B809,'Production '!$AG$4:$AG$4407)</f>
        <v>0</v>
      </c>
    </row>
    <row r="810" spans="2:10" x14ac:dyDescent="0.3">
      <c r="B810" s="277">
        <f>'Production '!C813</f>
        <v>0</v>
      </c>
      <c r="C810" s="76" t="e">
        <f ca="1">SUMIF('Production '!$C$4:$AI$4407,'Tracking Sheet'!B810,'Production '!$M$4:$M$4407)</f>
        <v>#DIV/0!</v>
      </c>
      <c r="D810" s="76" t="e">
        <f ca="1">SUMIF('Production '!$C$4:$AI$4407,'Tracking Sheet'!B810,'Production '!$Q$4:$Q$4407)</f>
        <v>#DIV/0!</v>
      </c>
      <c r="E810" s="76">
        <f ca="1">SUMIF('Production '!$C$4:$AI$4407,'Tracking Sheet'!B810,'Production '!$S$4:$S$4407)</f>
        <v>-1268218.9828305368</v>
      </c>
      <c r="F810" s="76">
        <f ca="1">SUMIF('Production '!$C$4:$AI$4407,'Tracking Sheet'!B810,'Production '!$U$4:$U$4407)</f>
        <v>-10620.435600016917</v>
      </c>
      <c r="G810" s="76" t="e">
        <f ca="1">SUMIF('Production '!$C$4:$AI$4407,'Tracking Sheet'!B810,'Production '!$W$4:$W$4407)</f>
        <v>#DIV/0!</v>
      </c>
      <c r="H810" s="76">
        <f ca="1">SUMIF('Production '!$C$4:$AI$4407,'Tracking Sheet'!B810,'Production '!$F$4:$F$4407)</f>
        <v>3230621.3283604058</v>
      </c>
      <c r="I810" s="76">
        <f ca="1">SUMIF('Production '!$C$4:$AI$4407,'Tracking Sheet'!B810,'Production '!$V$4:$V$4407)</f>
        <v>-489.86487791182844</v>
      </c>
      <c r="J810" s="76">
        <f ca="1">SUMIF('Production '!$C$4:$AI$4407,'Tracking Sheet'!B810,'Production '!$AG$4:$AG$4407)</f>
        <v>0</v>
      </c>
    </row>
    <row r="811" spans="2:10" x14ac:dyDescent="0.3">
      <c r="B811" s="277">
        <f>'Production '!C814</f>
        <v>48038</v>
      </c>
      <c r="C811" s="76">
        <f ca="1">SUMIF('Production '!$C$4:$AI$4407,'Tracking Sheet'!B811,'Production '!$M$4:$M$4407)</f>
        <v>5433</v>
      </c>
      <c r="D811" s="76">
        <f ca="1">SUMIF('Production '!$C$4:$AI$4407,'Tracking Sheet'!B811,'Production '!$Q$4:$Q$4407)</f>
        <v>0</v>
      </c>
      <c r="E811" s="76">
        <f ca="1">SUMIF('Production '!$C$4:$AI$4407,'Tracking Sheet'!B811,'Production '!$S$4:$S$4407)</f>
        <v>0</v>
      </c>
      <c r="F811" s="76">
        <f ca="1">SUMIF('Production '!$C$4:$AI$4407,'Tracking Sheet'!B811,'Production '!$U$4:$U$4407)</f>
        <v>0</v>
      </c>
      <c r="G811" s="76">
        <f ca="1">SUMIF('Production '!$C$4:$AI$4407,'Tracking Sheet'!B811,'Production '!$W$4:$W$4407)</f>
        <v>5433</v>
      </c>
      <c r="H811" s="76">
        <f ca="1">SUMIF('Production '!$C$4:$AI$4407,'Tracking Sheet'!B811,'Production '!$F$4:$F$4407)</f>
        <v>4768</v>
      </c>
      <c r="I811" s="76">
        <f ca="1">SUMIF('Production '!$C$4:$AI$4407,'Tracking Sheet'!B811,'Production '!$V$4:$V$4407)</f>
        <v>0</v>
      </c>
      <c r="J811" s="76">
        <f ca="1">SUMIF('Production '!$C$4:$AI$4407,'Tracking Sheet'!B811,'Production '!$AG$4:$AG$4407)</f>
        <v>0</v>
      </c>
    </row>
    <row r="812" spans="2:10" x14ac:dyDescent="0.3">
      <c r="B812" s="277">
        <f>'Production '!C815</f>
        <v>48038</v>
      </c>
      <c r="C812" s="76">
        <f ca="1">SUMIF('Production '!$C$4:$AI$4407,'Tracking Sheet'!B812,'Production '!$M$4:$M$4407)</f>
        <v>5433</v>
      </c>
      <c r="D812" s="76">
        <f ca="1">SUMIF('Production '!$C$4:$AI$4407,'Tracking Sheet'!B812,'Production '!$Q$4:$Q$4407)</f>
        <v>0</v>
      </c>
      <c r="E812" s="76">
        <f ca="1">SUMIF('Production '!$C$4:$AI$4407,'Tracking Sheet'!B812,'Production '!$S$4:$S$4407)</f>
        <v>0</v>
      </c>
      <c r="F812" s="76">
        <f ca="1">SUMIF('Production '!$C$4:$AI$4407,'Tracking Sheet'!B812,'Production '!$U$4:$U$4407)</f>
        <v>0</v>
      </c>
      <c r="G812" s="76">
        <f ca="1">SUMIF('Production '!$C$4:$AI$4407,'Tracking Sheet'!B812,'Production '!$W$4:$W$4407)</f>
        <v>5433</v>
      </c>
      <c r="H812" s="76">
        <f ca="1">SUMIF('Production '!$C$4:$AI$4407,'Tracking Sheet'!B812,'Production '!$F$4:$F$4407)</f>
        <v>4768</v>
      </c>
      <c r="I812" s="76">
        <f ca="1">SUMIF('Production '!$C$4:$AI$4407,'Tracking Sheet'!B812,'Production '!$V$4:$V$4407)</f>
        <v>0</v>
      </c>
      <c r="J812" s="76">
        <f ca="1">SUMIF('Production '!$C$4:$AI$4407,'Tracking Sheet'!B812,'Production '!$AG$4:$AG$4407)</f>
        <v>0</v>
      </c>
    </row>
    <row r="813" spans="2:10" x14ac:dyDescent="0.3">
      <c r="B813" s="277">
        <f>'Production '!C816</f>
        <v>0</v>
      </c>
      <c r="C813" s="76" t="e">
        <f ca="1">SUMIF('Production '!$C$4:$AI$4407,'Tracking Sheet'!B813,'Production '!$M$4:$M$4407)</f>
        <v>#DIV/0!</v>
      </c>
      <c r="D813" s="76" t="e">
        <f ca="1">SUMIF('Production '!$C$4:$AI$4407,'Tracking Sheet'!B813,'Production '!$Q$4:$Q$4407)</f>
        <v>#DIV/0!</v>
      </c>
      <c r="E813" s="76">
        <f ca="1">SUMIF('Production '!$C$4:$AI$4407,'Tracking Sheet'!B813,'Production '!$S$4:$S$4407)</f>
        <v>-1268218.9828305368</v>
      </c>
      <c r="F813" s="76">
        <f ca="1">SUMIF('Production '!$C$4:$AI$4407,'Tracking Sheet'!B813,'Production '!$U$4:$U$4407)</f>
        <v>-10620.435600016917</v>
      </c>
      <c r="G813" s="76" t="e">
        <f ca="1">SUMIF('Production '!$C$4:$AI$4407,'Tracking Sheet'!B813,'Production '!$W$4:$W$4407)</f>
        <v>#DIV/0!</v>
      </c>
      <c r="H813" s="76">
        <f ca="1">SUMIF('Production '!$C$4:$AI$4407,'Tracking Sheet'!B813,'Production '!$F$4:$F$4407)</f>
        <v>3230621.3283604058</v>
      </c>
      <c r="I813" s="76">
        <f ca="1">SUMIF('Production '!$C$4:$AI$4407,'Tracking Sheet'!B813,'Production '!$V$4:$V$4407)</f>
        <v>-489.86487791182844</v>
      </c>
      <c r="J813" s="76">
        <f ca="1">SUMIF('Production '!$C$4:$AI$4407,'Tracking Sheet'!B813,'Production '!$AG$4:$AG$4407)</f>
        <v>0</v>
      </c>
    </row>
    <row r="814" spans="2:10" x14ac:dyDescent="0.3">
      <c r="B814" s="277">
        <f>'Production '!C817</f>
        <v>48039</v>
      </c>
      <c r="C814" s="76">
        <f ca="1">SUMIF('Production '!$C$4:$AI$4407,'Tracking Sheet'!B814,'Production '!$M$4:$M$4407)</f>
        <v>2216</v>
      </c>
      <c r="D814" s="76">
        <f ca="1">SUMIF('Production '!$C$4:$AI$4407,'Tracking Sheet'!B814,'Production '!$Q$4:$Q$4407)</f>
        <v>2216</v>
      </c>
      <c r="E814" s="76">
        <f ca="1">SUMIF('Production '!$C$4:$AI$4407,'Tracking Sheet'!B814,'Production '!$S$4:$S$4407)</f>
        <v>2216</v>
      </c>
      <c r="F814" s="76">
        <f ca="1">SUMIF('Production '!$C$4:$AI$4407,'Tracking Sheet'!B814,'Production '!$U$4:$U$4407)</f>
        <v>9</v>
      </c>
      <c r="G814" s="76">
        <f ca="1">SUMIF('Production '!$C$4:$AI$4407,'Tracking Sheet'!B814,'Production '!$W$4:$W$4407)</f>
        <v>2207</v>
      </c>
      <c r="H814" s="76">
        <f ca="1">SUMIF('Production '!$C$4:$AI$4407,'Tracking Sheet'!B814,'Production '!$F$4:$F$4407)</f>
        <v>2160</v>
      </c>
      <c r="I814" s="76">
        <f ca="1">SUMIF('Production '!$C$4:$AI$4407,'Tracking Sheet'!B814,'Production '!$V$4:$V$4407)</f>
        <v>0</v>
      </c>
      <c r="J814" s="76">
        <f ca="1">SUMIF('Production '!$C$4:$AI$4407,'Tracking Sheet'!B814,'Production '!$AG$4:$AG$4407)</f>
        <v>0</v>
      </c>
    </row>
    <row r="815" spans="2:10" x14ac:dyDescent="0.3">
      <c r="B815" s="277">
        <f>'Production '!C818</f>
        <v>48039</v>
      </c>
      <c r="C815" s="76">
        <f ca="1">SUMIF('Production '!$C$4:$AI$4407,'Tracking Sheet'!B815,'Production '!$M$4:$M$4407)</f>
        <v>2216</v>
      </c>
      <c r="D815" s="76">
        <f ca="1">SUMIF('Production '!$C$4:$AI$4407,'Tracking Sheet'!B815,'Production '!$Q$4:$Q$4407)</f>
        <v>2216</v>
      </c>
      <c r="E815" s="76">
        <f ca="1">SUMIF('Production '!$C$4:$AI$4407,'Tracking Sheet'!B815,'Production '!$S$4:$S$4407)</f>
        <v>2216</v>
      </c>
      <c r="F815" s="76">
        <f ca="1">SUMIF('Production '!$C$4:$AI$4407,'Tracking Sheet'!B815,'Production '!$U$4:$U$4407)</f>
        <v>9</v>
      </c>
      <c r="G815" s="76">
        <f ca="1">SUMIF('Production '!$C$4:$AI$4407,'Tracking Sheet'!B815,'Production '!$W$4:$W$4407)</f>
        <v>2207</v>
      </c>
      <c r="H815" s="76">
        <f ca="1">SUMIF('Production '!$C$4:$AI$4407,'Tracking Sheet'!B815,'Production '!$F$4:$F$4407)</f>
        <v>2160</v>
      </c>
      <c r="I815" s="76">
        <f ca="1">SUMIF('Production '!$C$4:$AI$4407,'Tracking Sheet'!B815,'Production '!$V$4:$V$4407)</f>
        <v>0</v>
      </c>
      <c r="J815" s="76">
        <f ca="1">SUMIF('Production '!$C$4:$AI$4407,'Tracking Sheet'!B815,'Production '!$AG$4:$AG$4407)</f>
        <v>0</v>
      </c>
    </row>
    <row r="816" spans="2:10" x14ac:dyDescent="0.3">
      <c r="B816" s="277">
        <f>'Production '!C819</f>
        <v>0</v>
      </c>
      <c r="C816" s="76" t="e">
        <f ca="1">SUMIF('Production '!$C$4:$AI$4407,'Tracking Sheet'!B816,'Production '!$M$4:$M$4407)</f>
        <v>#DIV/0!</v>
      </c>
      <c r="D816" s="76" t="e">
        <f ca="1">SUMIF('Production '!$C$4:$AI$4407,'Tracking Sheet'!B816,'Production '!$Q$4:$Q$4407)</f>
        <v>#DIV/0!</v>
      </c>
      <c r="E816" s="76">
        <f ca="1">SUMIF('Production '!$C$4:$AI$4407,'Tracking Sheet'!B816,'Production '!$S$4:$S$4407)</f>
        <v>-1268218.9828305368</v>
      </c>
      <c r="F816" s="76">
        <f ca="1">SUMIF('Production '!$C$4:$AI$4407,'Tracking Sheet'!B816,'Production '!$U$4:$U$4407)</f>
        <v>-10620.435600016917</v>
      </c>
      <c r="G816" s="76" t="e">
        <f ca="1">SUMIF('Production '!$C$4:$AI$4407,'Tracking Sheet'!B816,'Production '!$W$4:$W$4407)</f>
        <v>#DIV/0!</v>
      </c>
      <c r="H816" s="76">
        <f ca="1">SUMIF('Production '!$C$4:$AI$4407,'Tracking Sheet'!B816,'Production '!$F$4:$F$4407)</f>
        <v>3230621.3283604058</v>
      </c>
      <c r="I816" s="76">
        <f ca="1">SUMIF('Production '!$C$4:$AI$4407,'Tracking Sheet'!B816,'Production '!$V$4:$V$4407)</f>
        <v>-489.86487791182844</v>
      </c>
      <c r="J816" s="76">
        <f ca="1">SUMIF('Production '!$C$4:$AI$4407,'Tracking Sheet'!B816,'Production '!$AG$4:$AG$4407)</f>
        <v>0</v>
      </c>
    </row>
    <row r="817" spans="2:10" x14ac:dyDescent="0.3">
      <c r="B817" s="277">
        <f>'Production '!C820</f>
        <v>48065</v>
      </c>
      <c r="C817" s="76">
        <f ca="1">SUMIF('Production '!$C$4:$AI$4407,'Tracking Sheet'!B817,'Production '!$M$4:$M$4407)</f>
        <v>2989</v>
      </c>
      <c r="D817" s="76">
        <f ca="1">SUMIF('Production '!$C$4:$AI$4407,'Tracking Sheet'!B817,'Production '!$Q$4:$Q$4407)</f>
        <v>2989</v>
      </c>
      <c r="E817" s="76">
        <f ca="1">SUMIF('Production '!$C$4:$AI$4407,'Tracking Sheet'!B817,'Production '!$S$4:$S$4407)</f>
        <v>2971</v>
      </c>
      <c r="F817" s="76">
        <f ca="1">SUMIF('Production '!$C$4:$AI$4407,'Tracking Sheet'!B817,'Production '!$U$4:$U$4407)</f>
        <v>8</v>
      </c>
      <c r="G817" s="76">
        <f ca="1">SUMIF('Production '!$C$4:$AI$4407,'Tracking Sheet'!B817,'Production '!$W$4:$W$4407)</f>
        <v>2963</v>
      </c>
      <c r="H817" s="76">
        <f ca="1">SUMIF('Production '!$C$4:$AI$4407,'Tracking Sheet'!B817,'Production '!$F$4:$F$4407)</f>
        <v>2880</v>
      </c>
      <c r="I817" s="76">
        <f ca="1">SUMIF('Production '!$C$4:$AI$4407,'Tracking Sheet'!B817,'Production '!$V$4:$V$4407)</f>
        <v>0</v>
      </c>
      <c r="J817" s="76">
        <f ca="1">SUMIF('Production '!$C$4:$AI$4407,'Tracking Sheet'!B817,'Production '!$AG$4:$AG$4407)</f>
        <v>0</v>
      </c>
    </row>
    <row r="818" spans="2:10" x14ac:dyDescent="0.3">
      <c r="B818" s="277">
        <f>'Production '!C821</f>
        <v>48065</v>
      </c>
      <c r="C818" s="76">
        <f ca="1">SUMIF('Production '!$C$4:$AI$4407,'Tracking Sheet'!B818,'Production '!$M$4:$M$4407)</f>
        <v>2989</v>
      </c>
      <c r="D818" s="76">
        <f ca="1">SUMIF('Production '!$C$4:$AI$4407,'Tracking Sheet'!B818,'Production '!$Q$4:$Q$4407)</f>
        <v>2989</v>
      </c>
      <c r="E818" s="76">
        <f ca="1">SUMIF('Production '!$C$4:$AI$4407,'Tracking Sheet'!B818,'Production '!$S$4:$S$4407)</f>
        <v>2971</v>
      </c>
      <c r="F818" s="76">
        <f ca="1">SUMIF('Production '!$C$4:$AI$4407,'Tracking Sheet'!B818,'Production '!$U$4:$U$4407)</f>
        <v>8</v>
      </c>
      <c r="G818" s="76">
        <f ca="1">SUMIF('Production '!$C$4:$AI$4407,'Tracking Sheet'!B818,'Production '!$W$4:$W$4407)</f>
        <v>2963</v>
      </c>
      <c r="H818" s="76">
        <f ca="1">SUMIF('Production '!$C$4:$AI$4407,'Tracking Sheet'!B818,'Production '!$F$4:$F$4407)</f>
        <v>2880</v>
      </c>
      <c r="I818" s="76">
        <f ca="1">SUMIF('Production '!$C$4:$AI$4407,'Tracking Sheet'!B818,'Production '!$V$4:$V$4407)</f>
        <v>0</v>
      </c>
      <c r="J818" s="76">
        <f ca="1">SUMIF('Production '!$C$4:$AI$4407,'Tracking Sheet'!B818,'Production '!$AG$4:$AG$4407)</f>
        <v>0</v>
      </c>
    </row>
    <row r="819" spans="2:10" x14ac:dyDescent="0.3">
      <c r="B819" s="277">
        <f>'Production '!C822</f>
        <v>48065</v>
      </c>
      <c r="C819" s="76">
        <f ca="1">SUMIF('Production '!$C$4:$AI$4407,'Tracking Sheet'!B819,'Production '!$M$4:$M$4407)</f>
        <v>2989</v>
      </c>
      <c r="D819" s="76">
        <f ca="1">SUMIF('Production '!$C$4:$AI$4407,'Tracking Sheet'!B819,'Production '!$Q$4:$Q$4407)</f>
        <v>2989</v>
      </c>
      <c r="E819" s="76">
        <f ca="1">SUMIF('Production '!$C$4:$AI$4407,'Tracking Sheet'!B819,'Production '!$S$4:$S$4407)</f>
        <v>2971</v>
      </c>
      <c r="F819" s="76">
        <f ca="1">SUMIF('Production '!$C$4:$AI$4407,'Tracking Sheet'!B819,'Production '!$U$4:$U$4407)</f>
        <v>8</v>
      </c>
      <c r="G819" s="76">
        <f ca="1">SUMIF('Production '!$C$4:$AI$4407,'Tracking Sheet'!B819,'Production '!$W$4:$W$4407)</f>
        <v>2963</v>
      </c>
      <c r="H819" s="76">
        <f ca="1">SUMIF('Production '!$C$4:$AI$4407,'Tracking Sheet'!B819,'Production '!$F$4:$F$4407)</f>
        <v>2880</v>
      </c>
      <c r="I819" s="76">
        <f ca="1">SUMIF('Production '!$C$4:$AI$4407,'Tracking Sheet'!B819,'Production '!$V$4:$V$4407)</f>
        <v>0</v>
      </c>
      <c r="J819" s="76">
        <f ca="1">SUMIF('Production '!$C$4:$AI$4407,'Tracking Sheet'!B819,'Production '!$AG$4:$AG$4407)</f>
        <v>0</v>
      </c>
    </row>
    <row r="820" spans="2:10" x14ac:dyDescent="0.3">
      <c r="B820" s="277">
        <f>'Production '!C823</f>
        <v>0</v>
      </c>
      <c r="C820" s="76" t="e">
        <f ca="1">SUMIF('Production '!$C$4:$AI$4407,'Tracking Sheet'!B820,'Production '!$M$4:$M$4407)</f>
        <v>#DIV/0!</v>
      </c>
      <c r="D820" s="76" t="e">
        <f ca="1">SUMIF('Production '!$C$4:$AI$4407,'Tracking Sheet'!B820,'Production '!$Q$4:$Q$4407)</f>
        <v>#DIV/0!</v>
      </c>
      <c r="E820" s="76">
        <f ca="1">SUMIF('Production '!$C$4:$AI$4407,'Tracking Sheet'!B820,'Production '!$S$4:$S$4407)</f>
        <v>-1268218.9828305368</v>
      </c>
      <c r="F820" s="76">
        <f ca="1">SUMIF('Production '!$C$4:$AI$4407,'Tracking Sheet'!B820,'Production '!$U$4:$U$4407)</f>
        <v>-10620.435600016917</v>
      </c>
      <c r="G820" s="76" t="e">
        <f ca="1">SUMIF('Production '!$C$4:$AI$4407,'Tracking Sheet'!B820,'Production '!$W$4:$W$4407)</f>
        <v>#DIV/0!</v>
      </c>
      <c r="H820" s="76">
        <f ca="1">SUMIF('Production '!$C$4:$AI$4407,'Tracking Sheet'!B820,'Production '!$F$4:$F$4407)</f>
        <v>3230621.3283604058</v>
      </c>
      <c r="I820" s="76">
        <f ca="1">SUMIF('Production '!$C$4:$AI$4407,'Tracking Sheet'!B820,'Production '!$V$4:$V$4407)</f>
        <v>-489.86487791182844</v>
      </c>
      <c r="J820" s="76">
        <f ca="1">SUMIF('Production '!$C$4:$AI$4407,'Tracking Sheet'!B820,'Production '!$AG$4:$AG$4407)</f>
        <v>0</v>
      </c>
    </row>
    <row r="821" spans="2:10" x14ac:dyDescent="0.3">
      <c r="B821" s="277">
        <f>'Production '!C824</f>
        <v>47981</v>
      </c>
      <c r="C821" s="76">
        <f ca="1">SUMIF('Production '!$C$4:$AI$4407,'Tracking Sheet'!B821,'Production '!$M$4:$M$4407)</f>
        <v>1776</v>
      </c>
      <c r="D821" s="76">
        <f ca="1">SUMIF('Production '!$C$4:$AI$4407,'Tracking Sheet'!B821,'Production '!$Q$4:$Q$4407)</f>
        <v>1776</v>
      </c>
      <c r="E821" s="76">
        <f ca="1">SUMIF('Production '!$C$4:$AI$4407,'Tracking Sheet'!B821,'Production '!$S$4:$S$4407)</f>
        <v>1773</v>
      </c>
      <c r="F821" s="76">
        <f ca="1">SUMIF('Production '!$C$4:$AI$4407,'Tracking Sheet'!B821,'Production '!$U$4:$U$4407)</f>
        <v>6</v>
      </c>
      <c r="G821" s="76">
        <f ca="1">SUMIF('Production '!$C$4:$AI$4407,'Tracking Sheet'!B821,'Production '!$W$4:$W$4407)</f>
        <v>1767</v>
      </c>
      <c r="H821" s="76">
        <f ca="1">SUMIF('Production '!$C$4:$AI$4407,'Tracking Sheet'!B821,'Production '!$F$4:$F$4407)</f>
        <v>1721</v>
      </c>
      <c r="I821" s="76">
        <f ca="1">SUMIF('Production '!$C$4:$AI$4407,'Tracking Sheet'!B821,'Production '!$V$4:$V$4407)</f>
        <v>9</v>
      </c>
      <c r="J821" s="76">
        <f ca="1">SUMIF('Production '!$C$4:$AI$4407,'Tracking Sheet'!B821,'Production '!$AG$4:$AG$4407)</f>
        <v>0</v>
      </c>
    </row>
    <row r="822" spans="2:10" x14ac:dyDescent="0.3">
      <c r="B822" s="277">
        <f>'Production '!C825</f>
        <v>47981</v>
      </c>
      <c r="C822" s="76">
        <f ca="1">SUMIF('Production '!$C$4:$AI$4407,'Tracking Sheet'!B822,'Production '!$M$4:$M$4407)</f>
        <v>1776</v>
      </c>
      <c r="D822" s="76">
        <f ca="1">SUMIF('Production '!$C$4:$AI$4407,'Tracking Sheet'!B822,'Production '!$Q$4:$Q$4407)</f>
        <v>1776</v>
      </c>
      <c r="E822" s="76">
        <f ca="1">SUMIF('Production '!$C$4:$AI$4407,'Tracking Sheet'!B822,'Production '!$S$4:$S$4407)</f>
        <v>1773</v>
      </c>
      <c r="F822" s="76">
        <f ca="1">SUMIF('Production '!$C$4:$AI$4407,'Tracking Sheet'!B822,'Production '!$U$4:$U$4407)</f>
        <v>6</v>
      </c>
      <c r="G822" s="76">
        <f ca="1">SUMIF('Production '!$C$4:$AI$4407,'Tracking Sheet'!B822,'Production '!$W$4:$W$4407)</f>
        <v>1767</v>
      </c>
      <c r="H822" s="76">
        <f ca="1">SUMIF('Production '!$C$4:$AI$4407,'Tracking Sheet'!B822,'Production '!$F$4:$F$4407)</f>
        <v>1721</v>
      </c>
      <c r="I822" s="76">
        <f ca="1">SUMIF('Production '!$C$4:$AI$4407,'Tracking Sheet'!B822,'Production '!$V$4:$V$4407)</f>
        <v>9</v>
      </c>
      <c r="J822" s="76">
        <f ca="1">SUMIF('Production '!$C$4:$AI$4407,'Tracking Sheet'!B822,'Production '!$AG$4:$AG$4407)</f>
        <v>0</v>
      </c>
    </row>
    <row r="823" spans="2:10" x14ac:dyDescent="0.3">
      <c r="B823" s="277">
        <f>'Production '!C826</f>
        <v>0</v>
      </c>
      <c r="C823" s="76" t="e">
        <f ca="1">SUMIF('Production '!$C$4:$AI$4407,'Tracking Sheet'!B823,'Production '!$M$4:$M$4407)</f>
        <v>#DIV/0!</v>
      </c>
      <c r="D823" s="76" t="e">
        <f ca="1">SUMIF('Production '!$C$4:$AI$4407,'Tracking Sheet'!B823,'Production '!$Q$4:$Q$4407)</f>
        <v>#DIV/0!</v>
      </c>
      <c r="E823" s="76">
        <f ca="1">SUMIF('Production '!$C$4:$AI$4407,'Tracking Sheet'!B823,'Production '!$S$4:$S$4407)</f>
        <v>-1268218.9828305368</v>
      </c>
      <c r="F823" s="76">
        <f ca="1">SUMIF('Production '!$C$4:$AI$4407,'Tracking Sheet'!B823,'Production '!$U$4:$U$4407)</f>
        <v>-10620.435600016917</v>
      </c>
      <c r="G823" s="76" t="e">
        <f ca="1">SUMIF('Production '!$C$4:$AI$4407,'Tracking Sheet'!B823,'Production '!$W$4:$W$4407)</f>
        <v>#DIV/0!</v>
      </c>
      <c r="H823" s="76">
        <f ca="1">SUMIF('Production '!$C$4:$AI$4407,'Tracking Sheet'!B823,'Production '!$F$4:$F$4407)</f>
        <v>3230621.3283604058</v>
      </c>
      <c r="I823" s="76">
        <f ca="1">SUMIF('Production '!$C$4:$AI$4407,'Tracking Sheet'!B823,'Production '!$V$4:$V$4407)</f>
        <v>-489.86487791182844</v>
      </c>
      <c r="J823" s="76">
        <f ca="1">SUMIF('Production '!$C$4:$AI$4407,'Tracking Sheet'!B823,'Production '!$AG$4:$AG$4407)</f>
        <v>0</v>
      </c>
    </row>
    <row r="824" spans="2:10" x14ac:dyDescent="0.3">
      <c r="B824" s="277">
        <f>'Production '!C827</f>
        <v>47993</v>
      </c>
      <c r="C824" s="76">
        <f ca="1">SUMIF('Production '!$C$4:$AI$4407,'Tracking Sheet'!B824,'Production '!$M$4:$M$4407)</f>
        <v>2904</v>
      </c>
      <c r="D824" s="76">
        <f ca="1">SUMIF('Production '!$C$4:$AI$4407,'Tracking Sheet'!B824,'Production '!$Q$4:$Q$4407)</f>
        <v>2904</v>
      </c>
      <c r="E824" s="76">
        <f ca="1">SUMIF('Production '!$C$4:$AI$4407,'Tracking Sheet'!B824,'Production '!$S$4:$S$4407)</f>
        <v>2883</v>
      </c>
      <c r="F824" s="76">
        <f ca="1">SUMIF('Production '!$C$4:$AI$4407,'Tracking Sheet'!B824,'Production '!$U$4:$U$4407)</f>
        <v>2</v>
      </c>
      <c r="G824" s="76">
        <f ca="1">SUMIF('Production '!$C$4:$AI$4407,'Tracking Sheet'!B824,'Production '!$W$4:$W$4407)</f>
        <v>2881</v>
      </c>
      <c r="H824" s="76">
        <f ca="1">SUMIF('Production '!$C$4:$AI$4407,'Tracking Sheet'!B824,'Production '!$F$4:$F$4407)</f>
        <v>2828</v>
      </c>
      <c r="I824" s="76">
        <f ca="1">SUMIF('Production '!$C$4:$AI$4407,'Tracking Sheet'!B824,'Production '!$V$4:$V$4407)</f>
        <v>0</v>
      </c>
      <c r="J824" s="76">
        <f ca="1">SUMIF('Production '!$C$4:$AI$4407,'Tracking Sheet'!B824,'Production '!$AG$4:$AG$4407)</f>
        <v>0</v>
      </c>
    </row>
    <row r="825" spans="2:10" x14ac:dyDescent="0.3">
      <c r="B825" s="277">
        <f>'Production '!C828</f>
        <v>47993</v>
      </c>
      <c r="C825" s="76">
        <f ca="1">SUMIF('Production '!$C$4:$AI$4407,'Tracking Sheet'!B825,'Production '!$M$4:$M$4407)</f>
        <v>2904</v>
      </c>
      <c r="D825" s="76">
        <f ca="1">SUMIF('Production '!$C$4:$AI$4407,'Tracking Sheet'!B825,'Production '!$Q$4:$Q$4407)</f>
        <v>2904</v>
      </c>
      <c r="E825" s="76">
        <f ca="1">SUMIF('Production '!$C$4:$AI$4407,'Tracking Sheet'!B825,'Production '!$S$4:$S$4407)</f>
        <v>2883</v>
      </c>
      <c r="F825" s="76">
        <f ca="1">SUMIF('Production '!$C$4:$AI$4407,'Tracking Sheet'!B825,'Production '!$U$4:$U$4407)</f>
        <v>2</v>
      </c>
      <c r="G825" s="76">
        <f ca="1">SUMIF('Production '!$C$4:$AI$4407,'Tracking Sheet'!B825,'Production '!$W$4:$W$4407)</f>
        <v>2881</v>
      </c>
      <c r="H825" s="76">
        <f ca="1">SUMIF('Production '!$C$4:$AI$4407,'Tracking Sheet'!B825,'Production '!$F$4:$F$4407)</f>
        <v>2828</v>
      </c>
      <c r="I825" s="76">
        <f ca="1">SUMIF('Production '!$C$4:$AI$4407,'Tracking Sheet'!B825,'Production '!$V$4:$V$4407)</f>
        <v>0</v>
      </c>
      <c r="J825" s="76">
        <f ca="1">SUMIF('Production '!$C$4:$AI$4407,'Tracking Sheet'!B825,'Production '!$AG$4:$AG$4407)</f>
        <v>0</v>
      </c>
    </row>
    <row r="826" spans="2:10" x14ac:dyDescent="0.3">
      <c r="B826" s="277">
        <f>'Production '!C829</f>
        <v>0</v>
      </c>
      <c r="C826" s="76" t="e">
        <f ca="1">SUMIF('Production '!$C$4:$AI$4407,'Tracking Sheet'!B826,'Production '!$M$4:$M$4407)</f>
        <v>#DIV/0!</v>
      </c>
      <c r="D826" s="76" t="e">
        <f ca="1">SUMIF('Production '!$C$4:$AI$4407,'Tracking Sheet'!B826,'Production '!$Q$4:$Q$4407)</f>
        <v>#DIV/0!</v>
      </c>
      <c r="E826" s="76">
        <f ca="1">SUMIF('Production '!$C$4:$AI$4407,'Tracking Sheet'!B826,'Production '!$S$4:$S$4407)</f>
        <v>-1268218.9828305368</v>
      </c>
      <c r="F826" s="76">
        <f ca="1">SUMIF('Production '!$C$4:$AI$4407,'Tracking Sheet'!B826,'Production '!$U$4:$U$4407)</f>
        <v>-10620.435600016917</v>
      </c>
      <c r="G826" s="76" t="e">
        <f ca="1">SUMIF('Production '!$C$4:$AI$4407,'Tracking Sheet'!B826,'Production '!$W$4:$W$4407)</f>
        <v>#DIV/0!</v>
      </c>
      <c r="H826" s="76">
        <f ca="1">SUMIF('Production '!$C$4:$AI$4407,'Tracking Sheet'!B826,'Production '!$F$4:$F$4407)</f>
        <v>3230621.3283604058</v>
      </c>
      <c r="I826" s="76">
        <f ca="1">SUMIF('Production '!$C$4:$AI$4407,'Tracking Sheet'!B826,'Production '!$V$4:$V$4407)</f>
        <v>-489.86487791182844</v>
      </c>
      <c r="J826" s="76">
        <f ca="1">SUMIF('Production '!$C$4:$AI$4407,'Tracking Sheet'!B826,'Production '!$AG$4:$AG$4407)</f>
        <v>0</v>
      </c>
    </row>
    <row r="827" spans="2:10" x14ac:dyDescent="0.3">
      <c r="B827" s="277">
        <f>'Production '!C830</f>
        <v>47980</v>
      </c>
      <c r="C827" s="76">
        <f ca="1">SUMIF('Production '!$C$4:$AI$4407,'Tracking Sheet'!B827,'Production '!$M$4:$M$4407)</f>
        <v>2365</v>
      </c>
      <c r="D827" s="76">
        <f ca="1">SUMIF('Production '!$C$4:$AI$4407,'Tracking Sheet'!B827,'Production '!$Q$4:$Q$4407)</f>
        <v>2365</v>
      </c>
      <c r="E827" s="76">
        <f ca="1">SUMIF('Production '!$C$4:$AI$4407,'Tracking Sheet'!B827,'Production '!$S$4:$S$4407)</f>
        <v>2365</v>
      </c>
      <c r="F827" s="76">
        <f ca="1">SUMIF('Production '!$C$4:$AI$4407,'Tracking Sheet'!B827,'Production '!$U$4:$U$4407)</f>
        <v>8</v>
      </c>
      <c r="G827" s="76">
        <f ca="1">SUMIF('Production '!$C$4:$AI$4407,'Tracking Sheet'!B827,'Production '!$W$4:$W$4407)</f>
        <v>2357</v>
      </c>
      <c r="H827" s="76">
        <f ca="1">SUMIF('Production '!$C$4:$AI$4407,'Tracking Sheet'!B827,'Production '!$F$4:$F$4407)</f>
        <v>2294</v>
      </c>
      <c r="I827" s="76">
        <f ca="1">SUMIF('Production '!$C$4:$AI$4407,'Tracking Sheet'!B827,'Production '!$V$4:$V$4407)</f>
        <v>0</v>
      </c>
      <c r="J827" s="76">
        <f ca="1">SUMIF('Production '!$C$4:$AI$4407,'Tracking Sheet'!B827,'Production '!$AG$4:$AG$4407)</f>
        <v>0</v>
      </c>
    </row>
    <row r="828" spans="2:10" x14ac:dyDescent="0.3">
      <c r="B828" s="277">
        <f>'Production '!C831</f>
        <v>47980</v>
      </c>
      <c r="C828" s="76">
        <f ca="1">SUMIF('Production '!$C$4:$AI$4407,'Tracking Sheet'!B828,'Production '!$M$4:$M$4407)</f>
        <v>2365</v>
      </c>
      <c r="D828" s="76">
        <f ca="1">SUMIF('Production '!$C$4:$AI$4407,'Tracking Sheet'!B828,'Production '!$Q$4:$Q$4407)</f>
        <v>2365</v>
      </c>
      <c r="E828" s="76">
        <f ca="1">SUMIF('Production '!$C$4:$AI$4407,'Tracking Sheet'!B828,'Production '!$S$4:$S$4407)</f>
        <v>2365</v>
      </c>
      <c r="F828" s="76">
        <f ca="1">SUMIF('Production '!$C$4:$AI$4407,'Tracking Sheet'!B828,'Production '!$U$4:$U$4407)</f>
        <v>8</v>
      </c>
      <c r="G828" s="76">
        <f ca="1">SUMIF('Production '!$C$4:$AI$4407,'Tracking Sheet'!B828,'Production '!$W$4:$W$4407)</f>
        <v>2357</v>
      </c>
      <c r="H828" s="76">
        <f ca="1">SUMIF('Production '!$C$4:$AI$4407,'Tracking Sheet'!B828,'Production '!$F$4:$F$4407)</f>
        <v>2294</v>
      </c>
      <c r="I828" s="76">
        <f ca="1">SUMIF('Production '!$C$4:$AI$4407,'Tracking Sheet'!B828,'Production '!$V$4:$V$4407)</f>
        <v>0</v>
      </c>
      <c r="J828" s="76">
        <f ca="1">SUMIF('Production '!$C$4:$AI$4407,'Tracking Sheet'!B828,'Production '!$AG$4:$AG$4407)</f>
        <v>0</v>
      </c>
    </row>
    <row r="829" spans="2:10" x14ac:dyDescent="0.3">
      <c r="B829" s="277">
        <f>'Production '!C832</f>
        <v>0</v>
      </c>
      <c r="C829" s="76" t="e">
        <f ca="1">SUMIF('Production '!$C$4:$AI$4407,'Tracking Sheet'!B829,'Production '!$M$4:$M$4407)</f>
        <v>#DIV/0!</v>
      </c>
      <c r="D829" s="76" t="e">
        <f ca="1">SUMIF('Production '!$C$4:$AI$4407,'Tracking Sheet'!B829,'Production '!$Q$4:$Q$4407)</f>
        <v>#DIV/0!</v>
      </c>
      <c r="E829" s="76">
        <f ca="1">SUMIF('Production '!$C$4:$AI$4407,'Tracking Sheet'!B829,'Production '!$S$4:$S$4407)</f>
        <v>-1268218.9828305368</v>
      </c>
      <c r="F829" s="76">
        <f ca="1">SUMIF('Production '!$C$4:$AI$4407,'Tracking Sheet'!B829,'Production '!$U$4:$U$4407)</f>
        <v>-10620.435600016917</v>
      </c>
      <c r="G829" s="76" t="e">
        <f ca="1">SUMIF('Production '!$C$4:$AI$4407,'Tracking Sheet'!B829,'Production '!$W$4:$W$4407)</f>
        <v>#DIV/0!</v>
      </c>
      <c r="H829" s="76">
        <f ca="1">SUMIF('Production '!$C$4:$AI$4407,'Tracking Sheet'!B829,'Production '!$F$4:$F$4407)</f>
        <v>3230621.3283604058</v>
      </c>
      <c r="I829" s="76">
        <f ca="1">SUMIF('Production '!$C$4:$AI$4407,'Tracking Sheet'!B829,'Production '!$V$4:$V$4407)</f>
        <v>-489.86487791182844</v>
      </c>
      <c r="J829" s="76">
        <f ca="1">SUMIF('Production '!$C$4:$AI$4407,'Tracking Sheet'!B829,'Production '!$AG$4:$AG$4407)</f>
        <v>0</v>
      </c>
    </row>
    <row r="830" spans="2:10" x14ac:dyDescent="0.3">
      <c r="B830" s="277">
        <f>'Production '!C833</f>
        <v>47985</v>
      </c>
      <c r="C830" s="76">
        <f ca="1">SUMIF('Production '!$C$4:$AI$4407,'Tracking Sheet'!B830,'Production '!$M$4:$M$4407)</f>
        <v>3789</v>
      </c>
      <c r="D830" s="76">
        <f ca="1">SUMIF('Production '!$C$4:$AI$4407,'Tracking Sheet'!B830,'Production '!$Q$4:$Q$4407)</f>
        <v>1280</v>
      </c>
      <c r="E830" s="76">
        <f ca="1">SUMIF('Production '!$C$4:$AI$4407,'Tracking Sheet'!B830,'Production '!$S$4:$S$4407)</f>
        <v>1280</v>
      </c>
      <c r="F830" s="76">
        <f ca="1">SUMIF('Production '!$C$4:$AI$4407,'Tracking Sheet'!B830,'Production '!$U$4:$U$4407)</f>
        <v>5</v>
      </c>
      <c r="G830" s="76">
        <f ca="1">SUMIF('Production '!$C$4:$AI$4407,'Tracking Sheet'!B830,'Production '!$W$4:$W$4407)</f>
        <v>3784</v>
      </c>
      <c r="H830" s="76">
        <f ca="1">SUMIF('Production '!$C$4:$AI$4407,'Tracking Sheet'!B830,'Production '!$F$4:$F$4407)</f>
        <v>3684</v>
      </c>
      <c r="I830" s="76">
        <f ca="1">SUMIF('Production '!$C$4:$AI$4407,'Tracking Sheet'!B830,'Production '!$V$4:$V$4407)</f>
        <v>0</v>
      </c>
      <c r="J830" s="76">
        <f ca="1">SUMIF('Production '!$C$4:$AI$4407,'Tracking Sheet'!B830,'Production '!$AG$4:$AG$4407)</f>
        <v>0</v>
      </c>
    </row>
    <row r="831" spans="2:10" x14ac:dyDescent="0.3">
      <c r="B831" s="277">
        <f>'Production '!C834</f>
        <v>47985</v>
      </c>
      <c r="C831" s="76">
        <f ca="1">SUMIF('Production '!$C$4:$AI$4407,'Tracking Sheet'!B831,'Production '!$M$4:$M$4407)</f>
        <v>3789</v>
      </c>
      <c r="D831" s="76">
        <f ca="1">SUMIF('Production '!$C$4:$AI$4407,'Tracking Sheet'!B831,'Production '!$Q$4:$Q$4407)</f>
        <v>1280</v>
      </c>
      <c r="E831" s="76">
        <f ca="1">SUMIF('Production '!$C$4:$AI$4407,'Tracking Sheet'!B831,'Production '!$S$4:$S$4407)</f>
        <v>1280</v>
      </c>
      <c r="F831" s="76">
        <f ca="1">SUMIF('Production '!$C$4:$AI$4407,'Tracking Sheet'!B831,'Production '!$U$4:$U$4407)</f>
        <v>5</v>
      </c>
      <c r="G831" s="76">
        <f ca="1">SUMIF('Production '!$C$4:$AI$4407,'Tracking Sheet'!B831,'Production '!$W$4:$W$4407)</f>
        <v>3784</v>
      </c>
      <c r="H831" s="76">
        <f ca="1">SUMIF('Production '!$C$4:$AI$4407,'Tracking Sheet'!B831,'Production '!$F$4:$F$4407)</f>
        <v>3684</v>
      </c>
      <c r="I831" s="76">
        <f ca="1">SUMIF('Production '!$C$4:$AI$4407,'Tracking Sheet'!B831,'Production '!$V$4:$V$4407)</f>
        <v>0</v>
      </c>
      <c r="J831" s="76">
        <f ca="1">SUMIF('Production '!$C$4:$AI$4407,'Tracking Sheet'!B831,'Production '!$AG$4:$AG$4407)</f>
        <v>0</v>
      </c>
    </row>
    <row r="832" spans="2:10" x14ac:dyDescent="0.3">
      <c r="B832" s="277">
        <f>'Production '!C835</f>
        <v>0</v>
      </c>
      <c r="C832" s="76" t="e">
        <f ca="1">SUMIF('Production '!$C$4:$AI$4407,'Tracking Sheet'!B832,'Production '!$M$4:$M$4407)</f>
        <v>#DIV/0!</v>
      </c>
      <c r="D832" s="76" t="e">
        <f ca="1">SUMIF('Production '!$C$4:$AI$4407,'Tracking Sheet'!B832,'Production '!$Q$4:$Q$4407)</f>
        <v>#DIV/0!</v>
      </c>
      <c r="E832" s="76">
        <f ca="1">SUMIF('Production '!$C$4:$AI$4407,'Tracking Sheet'!B832,'Production '!$S$4:$S$4407)</f>
        <v>-1268218.9828305368</v>
      </c>
      <c r="F832" s="76">
        <f ca="1">SUMIF('Production '!$C$4:$AI$4407,'Tracking Sheet'!B832,'Production '!$U$4:$U$4407)</f>
        <v>-10620.435600016917</v>
      </c>
      <c r="G832" s="76" t="e">
        <f ca="1">SUMIF('Production '!$C$4:$AI$4407,'Tracking Sheet'!B832,'Production '!$W$4:$W$4407)</f>
        <v>#DIV/0!</v>
      </c>
      <c r="H832" s="76">
        <f ca="1">SUMIF('Production '!$C$4:$AI$4407,'Tracking Sheet'!B832,'Production '!$F$4:$F$4407)</f>
        <v>3230621.3283604058</v>
      </c>
      <c r="I832" s="76">
        <f ca="1">SUMIF('Production '!$C$4:$AI$4407,'Tracking Sheet'!B832,'Production '!$V$4:$V$4407)</f>
        <v>-489.86487791182844</v>
      </c>
      <c r="J832" s="76">
        <f ca="1">SUMIF('Production '!$C$4:$AI$4407,'Tracking Sheet'!B832,'Production '!$AG$4:$AG$4407)</f>
        <v>0</v>
      </c>
    </row>
    <row r="833" spans="2:10" x14ac:dyDescent="0.3">
      <c r="B833" s="277">
        <f>'Production '!C836</f>
        <v>47986</v>
      </c>
      <c r="C833" s="76">
        <f ca="1">SUMIF('Production '!$C$4:$AI$4407,'Tracking Sheet'!B833,'Production '!$M$4:$M$4407)</f>
        <v>4324</v>
      </c>
      <c r="D833" s="76">
        <f ca="1">SUMIF('Production '!$C$4:$AI$4407,'Tracking Sheet'!B833,'Production '!$Q$4:$Q$4407)</f>
        <v>1778</v>
      </c>
      <c r="E833" s="76">
        <f ca="1">SUMIF('Production '!$C$4:$AI$4407,'Tracking Sheet'!B833,'Production '!$S$4:$S$4407)</f>
        <v>1778</v>
      </c>
      <c r="F833" s="76">
        <f ca="1">SUMIF('Production '!$C$4:$AI$4407,'Tracking Sheet'!B833,'Production '!$U$4:$U$4407)</f>
        <v>0</v>
      </c>
      <c r="G833" s="76">
        <f ca="1">SUMIF('Production '!$C$4:$AI$4407,'Tracking Sheet'!B833,'Production '!$W$4:$W$4407)</f>
        <v>4324</v>
      </c>
      <c r="H833" s="76">
        <f ca="1">SUMIF('Production '!$C$4:$AI$4407,'Tracking Sheet'!B833,'Production '!$F$4:$F$4407)</f>
        <v>4207</v>
      </c>
      <c r="I833" s="76">
        <f ca="1">SUMIF('Production '!$C$4:$AI$4407,'Tracking Sheet'!B833,'Production '!$V$4:$V$4407)</f>
        <v>0</v>
      </c>
      <c r="J833" s="76">
        <f ca="1">SUMIF('Production '!$C$4:$AI$4407,'Tracking Sheet'!B833,'Production '!$AG$4:$AG$4407)</f>
        <v>0</v>
      </c>
    </row>
    <row r="834" spans="2:10" x14ac:dyDescent="0.3">
      <c r="B834" s="277">
        <f>'Production '!C837</f>
        <v>47986</v>
      </c>
      <c r="C834" s="76">
        <f ca="1">SUMIF('Production '!$C$4:$AI$4407,'Tracking Sheet'!B834,'Production '!$M$4:$M$4407)</f>
        <v>4324</v>
      </c>
      <c r="D834" s="76">
        <f ca="1">SUMIF('Production '!$C$4:$AI$4407,'Tracking Sheet'!B834,'Production '!$Q$4:$Q$4407)</f>
        <v>1778</v>
      </c>
      <c r="E834" s="76">
        <f ca="1">SUMIF('Production '!$C$4:$AI$4407,'Tracking Sheet'!B834,'Production '!$S$4:$S$4407)</f>
        <v>1778</v>
      </c>
      <c r="F834" s="76">
        <f ca="1">SUMIF('Production '!$C$4:$AI$4407,'Tracking Sheet'!B834,'Production '!$U$4:$U$4407)</f>
        <v>0</v>
      </c>
      <c r="G834" s="76">
        <f ca="1">SUMIF('Production '!$C$4:$AI$4407,'Tracking Sheet'!B834,'Production '!$W$4:$W$4407)</f>
        <v>4324</v>
      </c>
      <c r="H834" s="76">
        <f ca="1">SUMIF('Production '!$C$4:$AI$4407,'Tracking Sheet'!B834,'Production '!$F$4:$F$4407)</f>
        <v>4207</v>
      </c>
      <c r="I834" s="76">
        <f ca="1">SUMIF('Production '!$C$4:$AI$4407,'Tracking Sheet'!B834,'Production '!$V$4:$V$4407)</f>
        <v>0</v>
      </c>
      <c r="J834" s="76">
        <f ca="1">SUMIF('Production '!$C$4:$AI$4407,'Tracking Sheet'!B834,'Production '!$AG$4:$AG$4407)</f>
        <v>0</v>
      </c>
    </row>
    <row r="835" spans="2:10" x14ac:dyDescent="0.3">
      <c r="B835" s="277">
        <f>'Production '!C838</f>
        <v>0</v>
      </c>
      <c r="C835" s="76" t="e">
        <f ca="1">SUMIF('Production '!$C$4:$AI$4407,'Tracking Sheet'!B835,'Production '!$M$4:$M$4407)</f>
        <v>#DIV/0!</v>
      </c>
      <c r="D835" s="76" t="e">
        <f ca="1">SUMIF('Production '!$C$4:$AI$4407,'Tracking Sheet'!B835,'Production '!$Q$4:$Q$4407)</f>
        <v>#DIV/0!</v>
      </c>
      <c r="E835" s="76">
        <f ca="1">SUMIF('Production '!$C$4:$AI$4407,'Tracking Sheet'!B835,'Production '!$S$4:$S$4407)</f>
        <v>-1268218.9828305368</v>
      </c>
      <c r="F835" s="76">
        <f ca="1">SUMIF('Production '!$C$4:$AI$4407,'Tracking Sheet'!B835,'Production '!$U$4:$U$4407)</f>
        <v>-10620.435600016917</v>
      </c>
      <c r="G835" s="76" t="e">
        <f ca="1">SUMIF('Production '!$C$4:$AI$4407,'Tracking Sheet'!B835,'Production '!$W$4:$W$4407)</f>
        <v>#DIV/0!</v>
      </c>
      <c r="H835" s="76">
        <f ca="1">SUMIF('Production '!$C$4:$AI$4407,'Tracking Sheet'!B835,'Production '!$F$4:$F$4407)</f>
        <v>3230621.3283604058</v>
      </c>
      <c r="I835" s="76">
        <f ca="1">SUMIF('Production '!$C$4:$AI$4407,'Tracking Sheet'!B835,'Production '!$V$4:$V$4407)</f>
        <v>-489.86487791182844</v>
      </c>
      <c r="J835" s="76">
        <f ca="1">SUMIF('Production '!$C$4:$AI$4407,'Tracking Sheet'!B835,'Production '!$AG$4:$AG$4407)</f>
        <v>0</v>
      </c>
    </row>
    <row r="836" spans="2:10" x14ac:dyDescent="0.3">
      <c r="B836" s="277">
        <f>'Production '!C839</f>
        <v>47897</v>
      </c>
      <c r="C836" s="76">
        <f ca="1">SUMIF('Production '!$C$4:$AI$4407,'Tracking Sheet'!B836,'Production '!$M$4:$M$4407)</f>
        <v>4540</v>
      </c>
      <c r="D836" s="76">
        <f ca="1">SUMIF('Production '!$C$4:$AI$4407,'Tracking Sheet'!B836,'Production '!$Q$4:$Q$4407)</f>
        <v>4540</v>
      </c>
      <c r="E836" s="76">
        <f ca="1">SUMIF('Production '!$C$4:$AI$4407,'Tracking Sheet'!B836,'Production '!$S$4:$S$4407)</f>
        <v>4530</v>
      </c>
      <c r="F836" s="76">
        <f ca="1">SUMIF('Production '!$C$4:$AI$4407,'Tracking Sheet'!B836,'Production '!$U$4:$U$4407)</f>
        <v>6</v>
      </c>
      <c r="G836" s="76">
        <f ca="1">SUMIF('Production '!$C$4:$AI$4407,'Tracking Sheet'!B836,'Production '!$W$4:$W$4407)</f>
        <v>4524</v>
      </c>
      <c r="H836" s="76">
        <f ca="1">SUMIF('Production '!$C$4:$AI$4407,'Tracking Sheet'!B836,'Production '!$F$4:$F$4407)</f>
        <v>4380</v>
      </c>
      <c r="I836" s="76">
        <f ca="1">SUMIF('Production '!$C$4:$AI$4407,'Tracking Sheet'!B836,'Production '!$V$4:$V$4407)</f>
        <v>0</v>
      </c>
      <c r="J836" s="76">
        <f ca="1">SUMIF('Production '!$C$4:$AI$4407,'Tracking Sheet'!B836,'Production '!$AG$4:$AG$4407)</f>
        <v>0</v>
      </c>
    </row>
    <row r="837" spans="2:10" x14ac:dyDescent="0.3">
      <c r="B837" s="277">
        <f>'Production '!C840</f>
        <v>47897</v>
      </c>
      <c r="C837" s="76">
        <f ca="1">SUMIF('Production '!$C$4:$AI$4407,'Tracking Sheet'!B837,'Production '!$M$4:$M$4407)</f>
        <v>4540</v>
      </c>
      <c r="D837" s="76">
        <f ca="1">SUMIF('Production '!$C$4:$AI$4407,'Tracking Sheet'!B837,'Production '!$Q$4:$Q$4407)</f>
        <v>4540</v>
      </c>
      <c r="E837" s="76">
        <f ca="1">SUMIF('Production '!$C$4:$AI$4407,'Tracking Sheet'!B837,'Production '!$S$4:$S$4407)</f>
        <v>4530</v>
      </c>
      <c r="F837" s="76">
        <f ca="1">SUMIF('Production '!$C$4:$AI$4407,'Tracking Sheet'!B837,'Production '!$U$4:$U$4407)</f>
        <v>6</v>
      </c>
      <c r="G837" s="76">
        <f ca="1">SUMIF('Production '!$C$4:$AI$4407,'Tracking Sheet'!B837,'Production '!$W$4:$W$4407)</f>
        <v>4524</v>
      </c>
      <c r="H837" s="76">
        <f ca="1">SUMIF('Production '!$C$4:$AI$4407,'Tracking Sheet'!B837,'Production '!$F$4:$F$4407)</f>
        <v>4380</v>
      </c>
      <c r="I837" s="76">
        <f ca="1">SUMIF('Production '!$C$4:$AI$4407,'Tracking Sheet'!B837,'Production '!$V$4:$V$4407)</f>
        <v>0</v>
      </c>
      <c r="J837" s="76">
        <f ca="1">SUMIF('Production '!$C$4:$AI$4407,'Tracking Sheet'!B837,'Production '!$AG$4:$AG$4407)</f>
        <v>0</v>
      </c>
    </row>
    <row r="838" spans="2:10" x14ac:dyDescent="0.3">
      <c r="B838" s="277">
        <f>'Production '!C841</f>
        <v>47897</v>
      </c>
      <c r="C838" s="76">
        <f ca="1">SUMIF('Production '!$C$4:$AI$4407,'Tracking Sheet'!B838,'Production '!$M$4:$M$4407)</f>
        <v>4540</v>
      </c>
      <c r="D838" s="76">
        <f ca="1">SUMIF('Production '!$C$4:$AI$4407,'Tracking Sheet'!B838,'Production '!$Q$4:$Q$4407)</f>
        <v>4540</v>
      </c>
      <c r="E838" s="76">
        <f ca="1">SUMIF('Production '!$C$4:$AI$4407,'Tracking Sheet'!B838,'Production '!$S$4:$S$4407)</f>
        <v>4530</v>
      </c>
      <c r="F838" s="76">
        <f ca="1">SUMIF('Production '!$C$4:$AI$4407,'Tracking Sheet'!B838,'Production '!$U$4:$U$4407)</f>
        <v>6</v>
      </c>
      <c r="G838" s="76">
        <f ca="1">SUMIF('Production '!$C$4:$AI$4407,'Tracking Sheet'!B838,'Production '!$W$4:$W$4407)</f>
        <v>4524</v>
      </c>
      <c r="H838" s="76">
        <f ca="1">SUMIF('Production '!$C$4:$AI$4407,'Tracking Sheet'!B838,'Production '!$F$4:$F$4407)</f>
        <v>4380</v>
      </c>
      <c r="I838" s="76">
        <f ca="1">SUMIF('Production '!$C$4:$AI$4407,'Tracking Sheet'!B838,'Production '!$V$4:$V$4407)</f>
        <v>0</v>
      </c>
      <c r="J838" s="76">
        <f ca="1">SUMIF('Production '!$C$4:$AI$4407,'Tracking Sheet'!B838,'Production '!$AG$4:$AG$4407)</f>
        <v>0</v>
      </c>
    </row>
    <row r="839" spans="2:10" x14ac:dyDescent="0.3">
      <c r="B839" s="277">
        <f>'Production '!C842</f>
        <v>0</v>
      </c>
      <c r="C839" s="76" t="e">
        <f ca="1">SUMIF('Production '!$C$4:$AI$4407,'Tracking Sheet'!B839,'Production '!$M$4:$M$4407)</f>
        <v>#DIV/0!</v>
      </c>
      <c r="D839" s="76" t="e">
        <f ca="1">SUMIF('Production '!$C$4:$AI$4407,'Tracking Sheet'!B839,'Production '!$Q$4:$Q$4407)</f>
        <v>#DIV/0!</v>
      </c>
      <c r="E839" s="76">
        <f ca="1">SUMIF('Production '!$C$4:$AI$4407,'Tracking Sheet'!B839,'Production '!$S$4:$S$4407)</f>
        <v>-1268218.9828305368</v>
      </c>
      <c r="F839" s="76">
        <f ca="1">SUMIF('Production '!$C$4:$AI$4407,'Tracking Sheet'!B839,'Production '!$U$4:$U$4407)</f>
        <v>-10620.435600016917</v>
      </c>
      <c r="G839" s="76" t="e">
        <f ca="1">SUMIF('Production '!$C$4:$AI$4407,'Tracking Sheet'!B839,'Production '!$W$4:$W$4407)</f>
        <v>#DIV/0!</v>
      </c>
      <c r="H839" s="76">
        <f ca="1">SUMIF('Production '!$C$4:$AI$4407,'Tracking Sheet'!B839,'Production '!$F$4:$F$4407)</f>
        <v>3230621.3283604058</v>
      </c>
      <c r="I839" s="76">
        <f ca="1">SUMIF('Production '!$C$4:$AI$4407,'Tracking Sheet'!B839,'Production '!$V$4:$V$4407)</f>
        <v>-489.86487791182844</v>
      </c>
      <c r="J839" s="76">
        <f ca="1">SUMIF('Production '!$C$4:$AI$4407,'Tracking Sheet'!B839,'Production '!$AG$4:$AG$4407)</f>
        <v>0</v>
      </c>
    </row>
    <row r="840" spans="2:10" x14ac:dyDescent="0.3">
      <c r="B840" s="277">
        <f>'Production '!C843</f>
        <v>47899</v>
      </c>
      <c r="C840" s="76">
        <f ca="1">SUMIF('Production '!$C$4:$AI$4407,'Tracking Sheet'!B840,'Production '!$M$4:$M$4407)</f>
        <v>4252</v>
      </c>
      <c r="D840" s="76">
        <f ca="1">SUMIF('Production '!$C$4:$AI$4407,'Tracking Sheet'!B840,'Production '!$Q$4:$Q$4407)</f>
        <v>4252</v>
      </c>
      <c r="E840" s="76">
        <f ca="1">SUMIF('Production '!$C$4:$AI$4407,'Tracking Sheet'!B840,'Production '!$S$4:$S$4407)</f>
        <v>4240</v>
      </c>
      <c r="F840" s="76">
        <f ca="1">SUMIF('Production '!$C$4:$AI$4407,'Tracking Sheet'!B840,'Production '!$U$4:$U$4407)</f>
        <v>3</v>
      </c>
      <c r="G840" s="76">
        <f ca="1">SUMIF('Production '!$C$4:$AI$4407,'Tracking Sheet'!B840,'Production '!$W$4:$W$4407)</f>
        <v>4237</v>
      </c>
      <c r="H840" s="76">
        <f ca="1">SUMIF('Production '!$C$4:$AI$4407,'Tracking Sheet'!B840,'Production '!$F$4:$F$4407)</f>
        <v>4132</v>
      </c>
      <c r="I840" s="76">
        <f ca="1">SUMIF('Production '!$C$4:$AI$4407,'Tracking Sheet'!B840,'Production '!$V$4:$V$4407)</f>
        <v>0</v>
      </c>
      <c r="J840" s="76">
        <f ca="1">SUMIF('Production '!$C$4:$AI$4407,'Tracking Sheet'!B840,'Production '!$AG$4:$AG$4407)</f>
        <v>0</v>
      </c>
    </row>
    <row r="841" spans="2:10" x14ac:dyDescent="0.3">
      <c r="B841" s="277">
        <f>'Production '!C844</f>
        <v>47899</v>
      </c>
      <c r="C841" s="76">
        <f ca="1">SUMIF('Production '!$C$4:$AI$4407,'Tracking Sheet'!B841,'Production '!$M$4:$M$4407)</f>
        <v>4252</v>
      </c>
      <c r="D841" s="76">
        <f ca="1">SUMIF('Production '!$C$4:$AI$4407,'Tracking Sheet'!B841,'Production '!$Q$4:$Q$4407)</f>
        <v>4252</v>
      </c>
      <c r="E841" s="76">
        <f ca="1">SUMIF('Production '!$C$4:$AI$4407,'Tracking Sheet'!B841,'Production '!$S$4:$S$4407)</f>
        <v>4240</v>
      </c>
      <c r="F841" s="76">
        <f ca="1">SUMIF('Production '!$C$4:$AI$4407,'Tracking Sheet'!B841,'Production '!$U$4:$U$4407)</f>
        <v>3</v>
      </c>
      <c r="G841" s="76">
        <f ca="1">SUMIF('Production '!$C$4:$AI$4407,'Tracking Sheet'!B841,'Production '!$W$4:$W$4407)</f>
        <v>4237</v>
      </c>
      <c r="H841" s="76">
        <f ca="1">SUMIF('Production '!$C$4:$AI$4407,'Tracking Sheet'!B841,'Production '!$F$4:$F$4407)</f>
        <v>4132</v>
      </c>
      <c r="I841" s="76">
        <f ca="1">SUMIF('Production '!$C$4:$AI$4407,'Tracking Sheet'!B841,'Production '!$V$4:$V$4407)</f>
        <v>0</v>
      </c>
      <c r="J841" s="76">
        <f ca="1">SUMIF('Production '!$C$4:$AI$4407,'Tracking Sheet'!B841,'Production '!$AG$4:$AG$4407)</f>
        <v>0</v>
      </c>
    </row>
    <row r="842" spans="2:10" x14ac:dyDescent="0.3">
      <c r="B842" s="277">
        <f>'Production '!C845</f>
        <v>0</v>
      </c>
      <c r="C842" s="76" t="e">
        <f ca="1">SUMIF('Production '!$C$4:$AI$4407,'Tracking Sheet'!B842,'Production '!$M$4:$M$4407)</f>
        <v>#DIV/0!</v>
      </c>
      <c r="D842" s="76" t="e">
        <f ca="1">SUMIF('Production '!$C$4:$AI$4407,'Tracking Sheet'!B842,'Production '!$Q$4:$Q$4407)</f>
        <v>#DIV/0!</v>
      </c>
      <c r="E842" s="76">
        <f ca="1">SUMIF('Production '!$C$4:$AI$4407,'Tracking Sheet'!B842,'Production '!$S$4:$S$4407)</f>
        <v>-1268218.9828305368</v>
      </c>
      <c r="F842" s="76">
        <f ca="1">SUMIF('Production '!$C$4:$AI$4407,'Tracking Sheet'!B842,'Production '!$U$4:$U$4407)</f>
        <v>-10620.435600016917</v>
      </c>
      <c r="G842" s="76" t="e">
        <f ca="1">SUMIF('Production '!$C$4:$AI$4407,'Tracking Sheet'!B842,'Production '!$W$4:$W$4407)</f>
        <v>#DIV/0!</v>
      </c>
      <c r="H842" s="76">
        <f ca="1">SUMIF('Production '!$C$4:$AI$4407,'Tracking Sheet'!B842,'Production '!$F$4:$F$4407)</f>
        <v>3230621.3283604058</v>
      </c>
      <c r="I842" s="76">
        <f ca="1">SUMIF('Production '!$C$4:$AI$4407,'Tracking Sheet'!B842,'Production '!$V$4:$V$4407)</f>
        <v>-489.86487791182844</v>
      </c>
      <c r="J842" s="76">
        <f ca="1">SUMIF('Production '!$C$4:$AI$4407,'Tracking Sheet'!B842,'Production '!$AG$4:$AG$4407)</f>
        <v>0</v>
      </c>
    </row>
    <row r="843" spans="2:10" x14ac:dyDescent="0.3">
      <c r="B843" s="277">
        <f>'Production '!C846</f>
        <v>47901</v>
      </c>
      <c r="C843" s="76">
        <f ca="1">SUMIF('Production '!$C$4:$AI$4407,'Tracking Sheet'!B843,'Production '!$M$4:$M$4407)</f>
        <v>6535</v>
      </c>
      <c r="D843" s="76">
        <f ca="1">SUMIF('Production '!$C$4:$AI$4407,'Tracking Sheet'!B843,'Production '!$Q$4:$Q$4407)</f>
        <v>6534</v>
      </c>
      <c r="E843" s="76">
        <f ca="1">SUMIF('Production '!$C$4:$AI$4407,'Tracking Sheet'!B843,'Production '!$S$4:$S$4407)</f>
        <v>6514</v>
      </c>
      <c r="F843" s="76">
        <f ca="1">SUMIF('Production '!$C$4:$AI$4407,'Tracking Sheet'!B843,'Production '!$U$4:$U$4407)</f>
        <v>24</v>
      </c>
      <c r="G843" s="76">
        <f ca="1">SUMIF('Production '!$C$4:$AI$4407,'Tracking Sheet'!B843,'Production '!$W$4:$W$4407)</f>
        <v>6490</v>
      </c>
      <c r="H843" s="76">
        <f ca="1">SUMIF('Production '!$C$4:$AI$4407,'Tracking Sheet'!B843,'Production '!$F$4:$F$4407)</f>
        <v>6305</v>
      </c>
      <c r="I843" s="76">
        <f ca="1">SUMIF('Production '!$C$4:$AI$4407,'Tracking Sheet'!B843,'Production '!$V$4:$V$4407)</f>
        <v>0</v>
      </c>
      <c r="J843" s="76">
        <f ca="1">SUMIF('Production '!$C$4:$AI$4407,'Tracking Sheet'!B843,'Production '!$AG$4:$AG$4407)</f>
        <v>0</v>
      </c>
    </row>
    <row r="844" spans="2:10" x14ac:dyDescent="0.3">
      <c r="B844" s="277">
        <f>'Production '!C847</f>
        <v>47901</v>
      </c>
      <c r="C844" s="76">
        <f ca="1">SUMIF('Production '!$C$4:$AI$4407,'Tracking Sheet'!B844,'Production '!$M$4:$M$4407)</f>
        <v>6535</v>
      </c>
      <c r="D844" s="76">
        <f ca="1">SUMIF('Production '!$C$4:$AI$4407,'Tracking Sheet'!B844,'Production '!$Q$4:$Q$4407)</f>
        <v>6534</v>
      </c>
      <c r="E844" s="76">
        <f ca="1">SUMIF('Production '!$C$4:$AI$4407,'Tracking Sheet'!B844,'Production '!$S$4:$S$4407)</f>
        <v>6514</v>
      </c>
      <c r="F844" s="76">
        <f ca="1">SUMIF('Production '!$C$4:$AI$4407,'Tracking Sheet'!B844,'Production '!$U$4:$U$4407)</f>
        <v>24</v>
      </c>
      <c r="G844" s="76">
        <f ca="1">SUMIF('Production '!$C$4:$AI$4407,'Tracking Sheet'!B844,'Production '!$W$4:$W$4407)</f>
        <v>6490</v>
      </c>
      <c r="H844" s="76">
        <f ca="1">SUMIF('Production '!$C$4:$AI$4407,'Tracking Sheet'!B844,'Production '!$F$4:$F$4407)</f>
        <v>6305</v>
      </c>
      <c r="I844" s="76">
        <f ca="1">SUMIF('Production '!$C$4:$AI$4407,'Tracking Sheet'!B844,'Production '!$V$4:$V$4407)</f>
        <v>0</v>
      </c>
      <c r="J844" s="76">
        <f ca="1">SUMIF('Production '!$C$4:$AI$4407,'Tracking Sheet'!B844,'Production '!$AG$4:$AG$4407)</f>
        <v>0</v>
      </c>
    </row>
    <row r="845" spans="2:10" x14ac:dyDescent="0.3">
      <c r="B845" s="277">
        <f>'Production '!C848</f>
        <v>47901</v>
      </c>
      <c r="C845" s="76">
        <f ca="1">SUMIF('Production '!$C$4:$AI$4407,'Tracking Sheet'!B845,'Production '!$M$4:$M$4407)</f>
        <v>6535</v>
      </c>
      <c r="D845" s="76">
        <f ca="1">SUMIF('Production '!$C$4:$AI$4407,'Tracking Sheet'!B845,'Production '!$Q$4:$Q$4407)</f>
        <v>6534</v>
      </c>
      <c r="E845" s="76">
        <f ca="1">SUMIF('Production '!$C$4:$AI$4407,'Tracking Sheet'!B845,'Production '!$S$4:$S$4407)</f>
        <v>6514</v>
      </c>
      <c r="F845" s="76">
        <f ca="1">SUMIF('Production '!$C$4:$AI$4407,'Tracking Sheet'!B845,'Production '!$U$4:$U$4407)</f>
        <v>24</v>
      </c>
      <c r="G845" s="76">
        <f ca="1">SUMIF('Production '!$C$4:$AI$4407,'Tracking Sheet'!B845,'Production '!$W$4:$W$4407)</f>
        <v>6490</v>
      </c>
      <c r="H845" s="76">
        <f ca="1">SUMIF('Production '!$C$4:$AI$4407,'Tracking Sheet'!B845,'Production '!$F$4:$F$4407)</f>
        <v>6305</v>
      </c>
      <c r="I845" s="76">
        <f ca="1">SUMIF('Production '!$C$4:$AI$4407,'Tracking Sheet'!B845,'Production '!$V$4:$V$4407)</f>
        <v>0</v>
      </c>
      <c r="J845" s="76">
        <f ca="1">SUMIF('Production '!$C$4:$AI$4407,'Tracking Sheet'!B845,'Production '!$AG$4:$AG$4407)</f>
        <v>0</v>
      </c>
    </row>
    <row r="846" spans="2:10" x14ac:dyDescent="0.3">
      <c r="B846" s="277">
        <f>'Production '!C849</f>
        <v>0</v>
      </c>
      <c r="C846" s="76" t="e">
        <f ca="1">SUMIF('Production '!$C$4:$AI$4407,'Tracking Sheet'!B846,'Production '!$M$4:$M$4407)</f>
        <v>#DIV/0!</v>
      </c>
      <c r="D846" s="76" t="e">
        <f ca="1">SUMIF('Production '!$C$4:$AI$4407,'Tracking Sheet'!B846,'Production '!$Q$4:$Q$4407)</f>
        <v>#DIV/0!</v>
      </c>
      <c r="E846" s="76">
        <f ca="1">SUMIF('Production '!$C$4:$AI$4407,'Tracking Sheet'!B846,'Production '!$S$4:$S$4407)</f>
        <v>-1268218.9828305368</v>
      </c>
      <c r="F846" s="76">
        <f ca="1">SUMIF('Production '!$C$4:$AI$4407,'Tracking Sheet'!B846,'Production '!$U$4:$U$4407)</f>
        <v>-10620.435600016917</v>
      </c>
      <c r="G846" s="76" t="e">
        <f ca="1">SUMIF('Production '!$C$4:$AI$4407,'Tracking Sheet'!B846,'Production '!$W$4:$W$4407)</f>
        <v>#DIV/0!</v>
      </c>
      <c r="H846" s="76">
        <f ca="1">SUMIF('Production '!$C$4:$AI$4407,'Tracking Sheet'!B846,'Production '!$F$4:$F$4407)</f>
        <v>3230621.3283604058</v>
      </c>
      <c r="I846" s="76">
        <f ca="1">SUMIF('Production '!$C$4:$AI$4407,'Tracking Sheet'!B846,'Production '!$V$4:$V$4407)</f>
        <v>-489.86487791182844</v>
      </c>
      <c r="J846" s="76">
        <f ca="1">SUMIF('Production '!$C$4:$AI$4407,'Tracking Sheet'!B846,'Production '!$AG$4:$AG$4407)</f>
        <v>0</v>
      </c>
    </row>
    <row r="847" spans="2:10" x14ac:dyDescent="0.3">
      <c r="B847" s="277">
        <f>'Production '!C850</f>
        <v>47902</v>
      </c>
      <c r="C847" s="76">
        <f ca="1">SUMIF('Production '!$C$4:$AI$4407,'Tracking Sheet'!B847,'Production '!$M$4:$M$4407)</f>
        <v>7293</v>
      </c>
      <c r="D847" s="76">
        <f ca="1">SUMIF('Production '!$C$4:$AI$4407,'Tracking Sheet'!B847,'Production '!$Q$4:$Q$4407)</f>
        <v>7293</v>
      </c>
      <c r="E847" s="76">
        <f ca="1">SUMIF('Production '!$C$4:$AI$4407,'Tracking Sheet'!B847,'Production '!$S$4:$S$4407)</f>
        <v>7282</v>
      </c>
      <c r="F847" s="76">
        <f ca="1">SUMIF('Production '!$C$4:$AI$4407,'Tracking Sheet'!B847,'Production '!$U$4:$U$4407)</f>
        <v>10</v>
      </c>
      <c r="G847" s="76">
        <f ca="1">SUMIF('Production '!$C$4:$AI$4407,'Tracking Sheet'!B847,'Production '!$W$4:$W$4407)</f>
        <v>7272</v>
      </c>
      <c r="H847" s="76">
        <f ca="1">SUMIF('Production '!$C$4:$AI$4407,'Tracking Sheet'!B847,'Production '!$F$4:$F$4407)</f>
        <v>7050</v>
      </c>
      <c r="I847" s="76">
        <f ca="1">SUMIF('Production '!$C$4:$AI$4407,'Tracking Sheet'!B847,'Production '!$V$4:$V$4407)</f>
        <v>0</v>
      </c>
      <c r="J847" s="76">
        <f ca="1">SUMIF('Production '!$C$4:$AI$4407,'Tracking Sheet'!B847,'Production '!$AG$4:$AG$4407)</f>
        <v>0</v>
      </c>
    </row>
    <row r="848" spans="2:10" x14ac:dyDescent="0.3">
      <c r="B848" s="277">
        <f>'Production '!C851</f>
        <v>47902</v>
      </c>
      <c r="C848" s="76">
        <f ca="1">SUMIF('Production '!$C$4:$AI$4407,'Tracking Sheet'!B848,'Production '!$M$4:$M$4407)</f>
        <v>7293</v>
      </c>
      <c r="D848" s="76">
        <f ca="1">SUMIF('Production '!$C$4:$AI$4407,'Tracking Sheet'!B848,'Production '!$Q$4:$Q$4407)</f>
        <v>7293</v>
      </c>
      <c r="E848" s="76">
        <f ca="1">SUMIF('Production '!$C$4:$AI$4407,'Tracking Sheet'!B848,'Production '!$S$4:$S$4407)</f>
        <v>7282</v>
      </c>
      <c r="F848" s="76">
        <f ca="1">SUMIF('Production '!$C$4:$AI$4407,'Tracking Sheet'!B848,'Production '!$U$4:$U$4407)</f>
        <v>10</v>
      </c>
      <c r="G848" s="76">
        <f ca="1">SUMIF('Production '!$C$4:$AI$4407,'Tracking Sheet'!B848,'Production '!$W$4:$W$4407)</f>
        <v>7272</v>
      </c>
      <c r="H848" s="76">
        <f ca="1">SUMIF('Production '!$C$4:$AI$4407,'Tracking Sheet'!B848,'Production '!$F$4:$F$4407)</f>
        <v>7050</v>
      </c>
      <c r="I848" s="76">
        <f ca="1">SUMIF('Production '!$C$4:$AI$4407,'Tracking Sheet'!B848,'Production '!$V$4:$V$4407)</f>
        <v>0</v>
      </c>
      <c r="J848" s="76">
        <f ca="1">SUMIF('Production '!$C$4:$AI$4407,'Tracking Sheet'!B848,'Production '!$AG$4:$AG$4407)</f>
        <v>0</v>
      </c>
    </row>
    <row r="849" spans="2:10" x14ac:dyDescent="0.3">
      <c r="B849" s="277">
        <f>'Production '!C852</f>
        <v>47902</v>
      </c>
      <c r="C849" s="76">
        <f ca="1">SUMIF('Production '!$C$4:$AI$4407,'Tracking Sheet'!B849,'Production '!$M$4:$M$4407)</f>
        <v>7293</v>
      </c>
      <c r="D849" s="76">
        <f ca="1">SUMIF('Production '!$C$4:$AI$4407,'Tracking Sheet'!B849,'Production '!$Q$4:$Q$4407)</f>
        <v>7293</v>
      </c>
      <c r="E849" s="76">
        <f ca="1">SUMIF('Production '!$C$4:$AI$4407,'Tracking Sheet'!B849,'Production '!$S$4:$S$4407)</f>
        <v>7282</v>
      </c>
      <c r="F849" s="76">
        <f ca="1">SUMIF('Production '!$C$4:$AI$4407,'Tracking Sheet'!B849,'Production '!$U$4:$U$4407)</f>
        <v>10</v>
      </c>
      <c r="G849" s="76">
        <f ca="1">SUMIF('Production '!$C$4:$AI$4407,'Tracking Sheet'!B849,'Production '!$W$4:$W$4407)</f>
        <v>7272</v>
      </c>
      <c r="H849" s="76">
        <f ca="1">SUMIF('Production '!$C$4:$AI$4407,'Tracking Sheet'!B849,'Production '!$F$4:$F$4407)</f>
        <v>7050</v>
      </c>
      <c r="I849" s="76">
        <f ca="1">SUMIF('Production '!$C$4:$AI$4407,'Tracking Sheet'!B849,'Production '!$V$4:$V$4407)</f>
        <v>0</v>
      </c>
      <c r="J849" s="76">
        <f ca="1">SUMIF('Production '!$C$4:$AI$4407,'Tracking Sheet'!B849,'Production '!$AG$4:$AG$4407)</f>
        <v>0</v>
      </c>
    </row>
    <row r="850" spans="2:10" x14ac:dyDescent="0.3">
      <c r="B850" s="277">
        <f>'Production '!C853</f>
        <v>0</v>
      </c>
      <c r="C850" s="76" t="e">
        <f ca="1">SUMIF('Production '!$C$4:$AI$4407,'Tracking Sheet'!B850,'Production '!$M$4:$M$4407)</f>
        <v>#DIV/0!</v>
      </c>
      <c r="D850" s="76" t="e">
        <f ca="1">SUMIF('Production '!$C$4:$AI$4407,'Tracking Sheet'!B850,'Production '!$Q$4:$Q$4407)</f>
        <v>#DIV/0!</v>
      </c>
      <c r="E850" s="76">
        <f ca="1">SUMIF('Production '!$C$4:$AI$4407,'Tracking Sheet'!B850,'Production '!$S$4:$S$4407)</f>
        <v>-1268218.9828305368</v>
      </c>
      <c r="F850" s="76">
        <f ca="1">SUMIF('Production '!$C$4:$AI$4407,'Tracking Sheet'!B850,'Production '!$U$4:$U$4407)</f>
        <v>-10620.435600016917</v>
      </c>
      <c r="G850" s="76" t="e">
        <f ca="1">SUMIF('Production '!$C$4:$AI$4407,'Tracking Sheet'!B850,'Production '!$W$4:$W$4407)</f>
        <v>#DIV/0!</v>
      </c>
      <c r="H850" s="76">
        <f ca="1">SUMIF('Production '!$C$4:$AI$4407,'Tracking Sheet'!B850,'Production '!$F$4:$F$4407)</f>
        <v>3230621.3283604058</v>
      </c>
      <c r="I850" s="76">
        <f ca="1">SUMIF('Production '!$C$4:$AI$4407,'Tracking Sheet'!B850,'Production '!$V$4:$V$4407)</f>
        <v>-489.86487791182844</v>
      </c>
      <c r="J850" s="76">
        <f ca="1">SUMIF('Production '!$C$4:$AI$4407,'Tracking Sheet'!B850,'Production '!$AG$4:$AG$4407)</f>
        <v>0</v>
      </c>
    </row>
    <row r="851" spans="2:10" x14ac:dyDescent="0.3">
      <c r="B851" s="277">
        <f>'Production '!C854</f>
        <v>47914</v>
      </c>
      <c r="C851" s="76">
        <f ca="1">SUMIF('Production '!$C$4:$AI$4407,'Tracking Sheet'!B851,'Production '!$M$4:$M$4407)</f>
        <v>5322</v>
      </c>
      <c r="D851" s="76">
        <f ca="1">SUMIF('Production '!$C$4:$AI$4407,'Tracking Sheet'!B851,'Production '!$Q$4:$Q$4407)</f>
        <v>5319</v>
      </c>
      <c r="E851" s="76">
        <f ca="1">SUMIF('Production '!$C$4:$AI$4407,'Tracking Sheet'!B851,'Production '!$S$4:$S$4407)</f>
        <v>5299</v>
      </c>
      <c r="F851" s="76">
        <f ca="1">SUMIF('Production '!$C$4:$AI$4407,'Tracking Sheet'!B851,'Production '!$U$4:$U$4407)</f>
        <v>8</v>
      </c>
      <c r="G851" s="76">
        <f ca="1">SUMIF('Production '!$C$4:$AI$4407,'Tracking Sheet'!B851,'Production '!$W$4:$W$4407)</f>
        <v>5291</v>
      </c>
      <c r="H851" s="76">
        <f ca="1">SUMIF('Production '!$C$4:$AI$4407,'Tracking Sheet'!B851,'Production '!$F$4:$F$4407)</f>
        <v>5124</v>
      </c>
      <c r="I851" s="76">
        <f ca="1">SUMIF('Production '!$C$4:$AI$4407,'Tracking Sheet'!B851,'Production '!$V$4:$V$4407)</f>
        <v>0</v>
      </c>
      <c r="J851" s="76">
        <f ca="1">SUMIF('Production '!$C$4:$AI$4407,'Tracking Sheet'!B851,'Production '!$AG$4:$AG$4407)</f>
        <v>0</v>
      </c>
    </row>
    <row r="852" spans="2:10" x14ac:dyDescent="0.3">
      <c r="B852" s="277">
        <f>'Production '!C855</f>
        <v>47914</v>
      </c>
      <c r="C852" s="76">
        <f ca="1">SUMIF('Production '!$C$4:$AI$4407,'Tracking Sheet'!B852,'Production '!$M$4:$M$4407)</f>
        <v>5322</v>
      </c>
      <c r="D852" s="76">
        <f ca="1">SUMIF('Production '!$C$4:$AI$4407,'Tracking Sheet'!B852,'Production '!$Q$4:$Q$4407)</f>
        <v>5319</v>
      </c>
      <c r="E852" s="76">
        <f ca="1">SUMIF('Production '!$C$4:$AI$4407,'Tracking Sheet'!B852,'Production '!$S$4:$S$4407)</f>
        <v>5299</v>
      </c>
      <c r="F852" s="76">
        <f ca="1">SUMIF('Production '!$C$4:$AI$4407,'Tracking Sheet'!B852,'Production '!$U$4:$U$4407)</f>
        <v>8</v>
      </c>
      <c r="G852" s="76">
        <f ca="1">SUMIF('Production '!$C$4:$AI$4407,'Tracking Sheet'!B852,'Production '!$W$4:$W$4407)</f>
        <v>5291</v>
      </c>
      <c r="H852" s="76">
        <f ca="1">SUMIF('Production '!$C$4:$AI$4407,'Tracking Sheet'!B852,'Production '!$F$4:$F$4407)</f>
        <v>5124</v>
      </c>
      <c r="I852" s="76">
        <f ca="1">SUMIF('Production '!$C$4:$AI$4407,'Tracking Sheet'!B852,'Production '!$V$4:$V$4407)</f>
        <v>0</v>
      </c>
      <c r="J852" s="76">
        <f ca="1">SUMIF('Production '!$C$4:$AI$4407,'Tracking Sheet'!B852,'Production '!$AG$4:$AG$4407)</f>
        <v>0</v>
      </c>
    </row>
    <row r="853" spans="2:10" x14ac:dyDescent="0.3">
      <c r="B853" s="277">
        <f>'Production '!C856</f>
        <v>47914</v>
      </c>
      <c r="C853" s="76">
        <f ca="1">SUMIF('Production '!$C$4:$AI$4407,'Tracking Sheet'!B853,'Production '!$M$4:$M$4407)</f>
        <v>5322</v>
      </c>
      <c r="D853" s="76">
        <f ca="1">SUMIF('Production '!$C$4:$AI$4407,'Tracking Sheet'!B853,'Production '!$Q$4:$Q$4407)</f>
        <v>5319</v>
      </c>
      <c r="E853" s="76">
        <f ca="1">SUMIF('Production '!$C$4:$AI$4407,'Tracking Sheet'!B853,'Production '!$S$4:$S$4407)</f>
        <v>5299</v>
      </c>
      <c r="F853" s="76">
        <f ca="1">SUMIF('Production '!$C$4:$AI$4407,'Tracking Sheet'!B853,'Production '!$U$4:$U$4407)</f>
        <v>8</v>
      </c>
      <c r="G853" s="76">
        <f ca="1">SUMIF('Production '!$C$4:$AI$4407,'Tracking Sheet'!B853,'Production '!$W$4:$W$4407)</f>
        <v>5291</v>
      </c>
      <c r="H853" s="76">
        <f ca="1">SUMIF('Production '!$C$4:$AI$4407,'Tracking Sheet'!B853,'Production '!$F$4:$F$4407)</f>
        <v>5124</v>
      </c>
      <c r="I853" s="76">
        <f ca="1">SUMIF('Production '!$C$4:$AI$4407,'Tracking Sheet'!B853,'Production '!$V$4:$V$4407)</f>
        <v>0</v>
      </c>
      <c r="J853" s="76">
        <f ca="1">SUMIF('Production '!$C$4:$AI$4407,'Tracking Sheet'!B853,'Production '!$AG$4:$AG$4407)</f>
        <v>0</v>
      </c>
    </row>
    <row r="854" spans="2:10" x14ac:dyDescent="0.3">
      <c r="B854" s="277">
        <f>'Production '!C857</f>
        <v>0</v>
      </c>
      <c r="C854" s="76" t="e">
        <f ca="1">SUMIF('Production '!$C$4:$AI$4407,'Tracking Sheet'!B854,'Production '!$M$4:$M$4407)</f>
        <v>#DIV/0!</v>
      </c>
      <c r="D854" s="76" t="e">
        <f ca="1">SUMIF('Production '!$C$4:$AI$4407,'Tracking Sheet'!B854,'Production '!$Q$4:$Q$4407)</f>
        <v>#DIV/0!</v>
      </c>
      <c r="E854" s="76">
        <f ca="1">SUMIF('Production '!$C$4:$AI$4407,'Tracking Sheet'!B854,'Production '!$S$4:$S$4407)</f>
        <v>-1268218.9828305368</v>
      </c>
      <c r="F854" s="76">
        <f ca="1">SUMIF('Production '!$C$4:$AI$4407,'Tracking Sheet'!B854,'Production '!$U$4:$U$4407)</f>
        <v>-10620.435600016917</v>
      </c>
      <c r="G854" s="76" t="e">
        <f ca="1">SUMIF('Production '!$C$4:$AI$4407,'Tracking Sheet'!B854,'Production '!$W$4:$W$4407)</f>
        <v>#DIV/0!</v>
      </c>
      <c r="H854" s="76">
        <f ca="1">SUMIF('Production '!$C$4:$AI$4407,'Tracking Sheet'!B854,'Production '!$F$4:$F$4407)</f>
        <v>3230621.3283604058</v>
      </c>
      <c r="I854" s="76">
        <f ca="1">SUMIF('Production '!$C$4:$AI$4407,'Tracking Sheet'!B854,'Production '!$V$4:$V$4407)</f>
        <v>-489.86487791182844</v>
      </c>
      <c r="J854" s="76">
        <f ca="1">SUMIF('Production '!$C$4:$AI$4407,'Tracking Sheet'!B854,'Production '!$AG$4:$AG$4407)</f>
        <v>0</v>
      </c>
    </row>
    <row r="855" spans="2:10" x14ac:dyDescent="0.3">
      <c r="B855" s="277">
        <f>'Production '!C858</f>
        <v>47915</v>
      </c>
      <c r="C855" s="76">
        <f ca="1">SUMIF('Production '!$C$4:$AI$4407,'Tracking Sheet'!B855,'Production '!$M$4:$M$4407)</f>
        <v>2813</v>
      </c>
      <c r="D855" s="76">
        <f ca="1">SUMIF('Production '!$C$4:$AI$4407,'Tracking Sheet'!B855,'Production '!$Q$4:$Q$4407)</f>
        <v>2813</v>
      </c>
      <c r="E855" s="76">
        <f ca="1">SUMIF('Production '!$C$4:$AI$4407,'Tracking Sheet'!B855,'Production '!$S$4:$S$4407)</f>
        <v>2784</v>
      </c>
      <c r="F855" s="76">
        <f ca="1">SUMIF('Production '!$C$4:$AI$4407,'Tracking Sheet'!B855,'Production '!$U$4:$U$4407)</f>
        <v>2784</v>
      </c>
      <c r="G855" s="76">
        <f ca="1">SUMIF('Production '!$C$4:$AI$4407,'Tracking Sheet'!B855,'Production '!$W$4:$W$4407)</f>
        <v>0</v>
      </c>
      <c r="H855" s="76">
        <f ca="1">SUMIF('Production '!$C$4:$AI$4407,'Tracking Sheet'!B855,'Production '!$F$4:$F$4407)</f>
        <v>2713</v>
      </c>
      <c r="I855" s="76">
        <f ca="1">SUMIF('Production '!$C$4:$AI$4407,'Tracking Sheet'!B855,'Production '!$V$4:$V$4407)</f>
        <v>0</v>
      </c>
      <c r="J855" s="76">
        <f ca="1">SUMIF('Production '!$C$4:$AI$4407,'Tracking Sheet'!B855,'Production '!$AG$4:$AG$4407)</f>
        <v>0</v>
      </c>
    </row>
    <row r="856" spans="2:10" x14ac:dyDescent="0.3">
      <c r="B856" s="277">
        <f>'Production '!C859</f>
        <v>47915</v>
      </c>
      <c r="C856" s="76">
        <f ca="1">SUMIF('Production '!$C$4:$AI$4407,'Tracking Sheet'!B856,'Production '!$M$4:$M$4407)</f>
        <v>2813</v>
      </c>
      <c r="D856" s="76">
        <f ca="1">SUMIF('Production '!$C$4:$AI$4407,'Tracking Sheet'!B856,'Production '!$Q$4:$Q$4407)</f>
        <v>2813</v>
      </c>
      <c r="E856" s="76">
        <f ca="1">SUMIF('Production '!$C$4:$AI$4407,'Tracking Sheet'!B856,'Production '!$S$4:$S$4407)</f>
        <v>2784</v>
      </c>
      <c r="F856" s="76">
        <f ca="1">SUMIF('Production '!$C$4:$AI$4407,'Tracking Sheet'!B856,'Production '!$U$4:$U$4407)</f>
        <v>2784</v>
      </c>
      <c r="G856" s="76">
        <f ca="1">SUMIF('Production '!$C$4:$AI$4407,'Tracking Sheet'!B856,'Production '!$W$4:$W$4407)</f>
        <v>0</v>
      </c>
      <c r="H856" s="76">
        <f ca="1">SUMIF('Production '!$C$4:$AI$4407,'Tracking Sheet'!B856,'Production '!$F$4:$F$4407)</f>
        <v>2713</v>
      </c>
      <c r="I856" s="76">
        <f ca="1">SUMIF('Production '!$C$4:$AI$4407,'Tracking Sheet'!B856,'Production '!$V$4:$V$4407)</f>
        <v>0</v>
      </c>
      <c r="J856" s="76">
        <f ca="1">SUMIF('Production '!$C$4:$AI$4407,'Tracking Sheet'!B856,'Production '!$AG$4:$AG$4407)</f>
        <v>0</v>
      </c>
    </row>
    <row r="857" spans="2:10" x14ac:dyDescent="0.3">
      <c r="B857" s="277">
        <f>'Production '!C860</f>
        <v>47915</v>
      </c>
      <c r="C857" s="76">
        <f ca="1">SUMIF('Production '!$C$4:$AI$4407,'Tracking Sheet'!B857,'Production '!$M$4:$M$4407)</f>
        <v>2813</v>
      </c>
      <c r="D857" s="76">
        <f ca="1">SUMIF('Production '!$C$4:$AI$4407,'Tracking Sheet'!B857,'Production '!$Q$4:$Q$4407)</f>
        <v>2813</v>
      </c>
      <c r="E857" s="76">
        <f ca="1">SUMIF('Production '!$C$4:$AI$4407,'Tracking Sheet'!B857,'Production '!$S$4:$S$4407)</f>
        <v>2784</v>
      </c>
      <c r="F857" s="76">
        <f ca="1">SUMIF('Production '!$C$4:$AI$4407,'Tracking Sheet'!B857,'Production '!$U$4:$U$4407)</f>
        <v>2784</v>
      </c>
      <c r="G857" s="76">
        <f ca="1">SUMIF('Production '!$C$4:$AI$4407,'Tracking Sheet'!B857,'Production '!$W$4:$W$4407)</f>
        <v>0</v>
      </c>
      <c r="H857" s="76">
        <f ca="1">SUMIF('Production '!$C$4:$AI$4407,'Tracking Sheet'!B857,'Production '!$F$4:$F$4407)</f>
        <v>2713</v>
      </c>
      <c r="I857" s="76">
        <f ca="1">SUMIF('Production '!$C$4:$AI$4407,'Tracking Sheet'!B857,'Production '!$V$4:$V$4407)</f>
        <v>0</v>
      </c>
      <c r="J857" s="76">
        <f ca="1">SUMIF('Production '!$C$4:$AI$4407,'Tracking Sheet'!B857,'Production '!$AG$4:$AG$4407)</f>
        <v>0</v>
      </c>
    </row>
    <row r="858" spans="2:10" x14ac:dyDescent="0.3">
      <c r="B858" s="277">
        <f>'Production '!C861</f>
        <v>0</v>
      </c>
      <c r="C858" s="76" t="e">
        <f ca="1">SUMIF('Production '!$C$4:$AI$4407,'Tracking Sheet'!B858,'Production '!$M$4:$M$4407)</f>
        <v>#DIV/0!</v>
      </c>
      <c r="D858" s="76" t="e">
        <f ca="1">SUMIF('Production '!$C$4:$AI$4407,'Tracking Sheet'!B858,'Production '!$Q$4:$Q$4407)</f>
        <v>#DIV/0!</v>
      </c>
      <c r="E858" s="76">
        <f ca="1">SUMIF('Production '!$C$4:$AI$4407,'Tracking Sheet'!B858,'Production '!$S$4:$S$4407)</f>
        <v>-1268218.9828305368</v>
      </c>
      <c r="F858" s="76">
        <f ca="1">SUMIF('Production '!$C$4:$AI$4407,'Tracking Sheet'!B858,'Production '!$U$4:$U$4407)</f>
        <v>-10620.435600016917</v>
      </c>
      <c r="G858" s="76" t="e">
        <f ca="1">SUMIF('Production '!$C$4:$AI$4407,'Tracking Sheet'!B858,'Production '!$W$4:$W$4407)</f>
        <v>#DIV/0!</v>
      </c>
      <c r="H858" s="76">
        <f ca="1">SUMIF('Production '!$C$4:$AI$4407,'Tracking Sheet'!B858,'Production '!$F$4:$F$4407)</f>
        <v>3230621.3283604058</v>
      </c>
      <c r="I858" s="76">
        <f ca="1">SUMIF('Production '!$C$4:$AI$4407,'Tracking Sheet'!B858,'Production '!$V$4:$V$4407)</f>
        <v>-489.86487791182844</v>
      </c>
      <c r="J858" s="76">
        <f ca="1">SUMIF('Production '!$C$4:$AI$4407,'Tracking Sheet'!B858,'Production '!$AG$4:$AG$4407)</f>
        <v>0</v>
      </c>
    </row>
    <row r="859" spans="2:10" x14ac:dyDescent="0.3">
      <c r="B859" s="277">
        <f>'Production '!C862</f>
        <v>47916</v>
      </c>
      <c r="C859" s="76">
        <f ca="1">SUMIF('Production '!$C$4:$AI$4407,'Tracking Sheet'!B859,'Production '!$M$4:$M$4407)</f>
        <v>2774</v>
      </c>
      <c r="D859" s="76">
        <f ca="1">SUMIF('Production '!$C$4:$AI$4407,'Tracking Sheet'!B859,'Production '!$Q$4:$Q$4407)</f>
        <v>2774</v>
      </c>
      <c r="E859" s="76">
        <f ca="1">SUMIF('Production '!$C$4:$AI$4407,'Tracking Sheet'!B859,'Production '!$S$4:$S$4407)</f>
        <v>2750</v>
      </c>
      <c r="F859" s="76">
        <f ca="1">SUMIF('Production '!$C$4:$AI$4407,'Tracking Sheet'!B859,'Production '!$U$4:$U$4407)</f>
        <v>8</v>
      </c>
      <c r="G859" s="76">
        <f ca="1">SUMIF('Production '!$C$4:$AI$4407,'Tracking Sheet'!B859,'Production '!$W$4:$W$4407)</f>
        <v>2742</v>
      </c>
      <c r="H859" s="76">
        <f ca="1">SUMIF('Production '!$C$4:$AI$4407,'Tracking Sheet'!B859,'Production '!$F$4:$F$4407)</f>
        <v>2670</v>
      </c>
      <c r="I859" s="76">
        <f ca="1">SUMIF('Production '!$C$4:$AI$4407,'Tracking Sheet'!B859,'Production '!$V$4:$V$4407)</f>
        <v>0</v>
      </c>
      <c r="J859" s="76">
        <f ca="1">SUMIF('Production '!$C$4:$AI$4407,'Tracking Sheet'!B859,'Production '!$AG$4:$AG$4407)</f>
        <v>0</v>
      </c>
    </row>
    <row r="860" spans="2:10" x14ac:dyDescent="0.3">
      <c r="B860" s="277">
        <f>'Production '!C863</f>
        <v>47916</v>
      </c>
      <c r="C860" s="76">
        <f ca="1">SUMIF('Production '!$C$4:$AI$4407,'Tracking Sheet'!B860,'Production '!$M$4:$M$4407)</f>
        <v>2774</v>
      </c>
      <c r="D860" s="76">
        <f ca="1">SUMIF('Production '!$C$4:$AI$4407,'Tracking Sheet'!B860,'Production '!$Q$4:$Q$4407)</f>
        <v>2774</v>
      </c>
      <c r="E860" s="76">
        <f ca="1">SUMIF('Production '!$C$4:$AI$4407,'Tracking Sheet'!B860,'Production '!$S$4:$S$4407)</f>
        <v>2750</v>
      </c>
      <c r="F860" s="76">
        <f ca="1">SUMIF('Production '!$C$4:$AI$4407,'Tracking Sheet'!B860,'Production '!$U$4:$U$4407)</f>
        <v>8</v>
      </c>
      <c r="G860" s="76">
        <f ca="1">SUMIF('Production '!$C$4:$AI$4407,'Tracking Sheet'!B860,'Production '!$W$4:$W$4407)</f>
        <v>2742</v>
      </c>
      <c r="H860" s="76">
        <f ca="1">SUMIF('Production '!$C$4:$AI$4407,'Tracking Sheet'!B860,'Production '!$F$4:$F$4407)</f>
        <v>2670</v>
      </c>
      <c r="I860" s="76">
        <f ca="1">SUMIF('Production '!$C$4:$AI$4407,'Tracking Sheet'!B860,'Production '!$V$4:$V$4407)</f>
        <v>0</v>
      </c>
      <c r="J860" s="76">
        <f ca="1">SUMIF('Production '!$C$4:$AI$4407,'Tracking Sheet'!B860,'Production '!$AG$4:$AG$4407)</f>
        <v>0</v>
      </c>
    </row>
    <row r="861" spans="2:10" x14ac:dyDescent="0.3">
      <c r="B861" s="277">
        <f>'Production '!C864</f>
        <v>47916</v>
      </c>
      <c r="C861" s="76">
        <f ca="1">SUMIF('Production '!$C$4:$AI$4407,'Tracking Sheet'!B861,'Production '!$M$4:$M$4407)</f>
        <v>2774</v>
      </c>
      <c r="D861" s="76">
        <f ca="1">SUMIF('Production '!$C$4:$AI$4407,'Tracking Sheet'!B861,'Production '!$Q$4:$Q$4407)</f>
        <v>2774</v>
      </c>
      <c r="E861" s="76">
        <f ca="1">SUMIF('Production '!$C$4:$AI$4407,'Tracking Sheet'!B861,'Production '!$S$4:$S$4407)</f>
        <v>2750</v>
      </c>
      <c r="F861" s="76">
        <f ca="1">SUMIF('Production '!$C$4:$AI$4407,'Tracking Sheet'!B861,'Production '!$U$4:$U$4407)</f>
        <v>8</v>
      </c>
      <c r="G861" s="76">
        <f ca="1">SUMIF('Production '!$C$4:$AI$4407,'Tracking Sheet'!B861,'Production '!$W$4:$W$4407)</f>
        <v>2742</v>
      </c>
      <c r="H861" s="76">
        <f ca="1">SUMIF('Production '!$C$4:$AI$4407,'Tracking Sheet'!B861,'Production '!$F$4:$F$4407)</f>
        <v>2670</v>
      </c>
      <c r="I861" s="76">
        <f ca="1">SUMIF('Production '!$C$4:$AI$4407,'Tracking Sheet'!B861,'Production '!$V$4:$V$4407)</f>
        <v>0</v>
      </c>
      <c r="J861" s="76">
        <f ca="1">SUMIF('Production '!$C$4:$AI$4407,'Tracking Sheet'!B861,'Production '!$AG$4:$AG$4407)</f>
        <v>0</v>
      </c>
    </row>
    <row r="862" spans="2:10" x14ac:dyDescent="0.3">
      <c r="B862" s="277">
        <f>'Production '!C865</f>
        <v>0</v>
      </c>
      <c r="C862" s="76" t="e">
        <f ca="1">SUMIF('Production '!$C$4:$AI$4407,'Tracking Sheet'!B862,'Production '!$M$4:$M$4407)</f>
        <v>#DIV/0!</v>
      </c>
      <c r="D862" s="76" t="e">
        <f ca="1">SUMIF('Production '!$C$4:$AI$4407,'Tracking Sheet'!B862,'Production '!$Q$4:$Q$4407)</f>
        <v>#DIV/0!</v>
      </c>
      <c r="E862" s="76">
        <f ca="1">SUMIF('Production '!$C$4:$AI$4407,'Tracking Sheet'!B862,'Production '!$S$4:$S$4407)</f>
        <v>-1268218.9828305368</v>
      </c>
      <c r="F862" s="76">
        <f ca="1">SUMIF('Production '!$C$4:$AI$4407,'Tracking Sheet'!B862,'Production '!$U$4:$U$4407)</f>
        <v>-10620.435600016917</v>
      </c>
      <c r="G862" s="76" t="e">
        <f ca="1">SUMIF('Production '!$C$4:$AI$4407,'Tracking Sheet'!B862,'Production '!$W$4:$W$4407)</f>
        <v>#DIV/0!</v>
      </c>
      <c r="H862" s="76">
        <f ca="1">SUMIF('Production '!$C$4:$AI$4407,'Tracking Sheet'!B862,'Production '!$F$4:$F$4407)</f>
        <v>3230621.3283604058</v>
      </c>
      <c r="I862" s="76">
        <f ca="1">SUMIF('Production '!$C$4:$AI$4407,'Tracking Sheet'!B862,'Production '!$V$4:$V$4407)</f>
        <v>-489.86487791182844</v>
      </c>
      <c r="J862" s="76">
        <f ca="1">SUMIF('Production '!$C$4:$AI$4407,'Tracking Sheet'!B862,'Production '!$AG$4:$AG$4407)</f>
        <v>0</v>
      </c>
    </row>
    <row r="863" spans="2:10" x14ac:dyDescent="0.3">
      <c r="B863" s="277">
        <f>'Production '!C866</f>
        <v>47918</v>
      </c>
      <c r="C863" s="76">
        <f ca="1">SUMIF('Production '!$C$4:$AI$4407,'Tracking Sheet'!B863,'Production '!$M$4:$M$4407)</f>
        <v>4200</v>
      </c>
      <c r="D863" s="76">
        <f ca="1">SUMIF('Production '!$C$4:$AI$4407,'Tracking Sheet'!B863,'Production '!$Q$4:$Q$4407)</f>
        <v>4194</v>
      </c>
      <c r="E863" s="76">
        <f ca="1">SUMIF('Production '!$C$4:$AI$4407,'Tracking Sheet'!B863,'Production '!$S$4:$S$4407)</f>
        <v>4177</v>
      </c>
      <c r="F863" s="76">
        <f ca="1">SUMIF('Production '!$C$4:$AI$4407,'Tracking Sheet'!B863,'Production '!$U$4:$U$4407)</f>
        <v>15</v>
      </c>
      <c r="G863" s="76">
        <f ca="1">SUMIF('Production '!$C$4:$AI$4407,'Tracking Sheet'!B863,'Production '!$W$4:$W$4407)</f>
        <v>4162</v>
      </c>
      <c r="H863" s="76">
        <f ca="1">SUMIF('Production '!$C$4:$AI$4407,'Tracking Sheet'!B863,'Production '!$F$4:$F$4407)</f>
        <v>4029</v>
      </c>
      <c r="I863" s="76">
        <f ca="1">SUMIF('Production '!$C$4:$AI$4407,'Tracking Sheet'!B863,'Production '!$V$4:$V$4407)</f>
        <v>0</v>
      </c>
      <c r="J863" s="76">
        <f ca="1">SUMIF('Production '!$C$4:$AI$4407,'Tracking Sheet'!B863,'Production '!$AG$4:$AG$4407)</f>
        <v>0</v>
      </c>
    </row>
    <row r="864" spans="2:10" x14ac:dyDescent="0.3">
      <c r="B864" s="277">
        <f>'Production '!C867</f>
        <v>47918</v>
      </c>
      <c r="C864" s="76">
        <f ca="1">SUMIF('Production '!$C$4:$AI$4407,'Tracking Sheet'!B864,'Production '!$M$4:$M$4407)</f>
        <v>4200</v>
      </c>
      <c r="D864" s="76">
        <f ca="1">SUMIF('Production '!$C$4:$AI$4407,'Tracking Sheet'!B864,'Production '!$Q$4:$Q$4407)</f>
        <v>4194</v>
      </c>
      <c r="E864" s="76">
        <f ca="1">SUMIF('Production '!$C$4:$AI$4407,'Tracking Sheet'!B864,'Production '!$S$4:$S$4407)</f>
        <v>4177</v>
      </c>
      <c r="F864" s="76">
        <f ca="1">SUMIF('Production '!$C$4:$AI$4407,'Tracking Sheet'!B864,'Production '!$U$4:$U$4407)</f>
        <v>15</v>
      </c>
      <c r="G864" s="76">
        <f ca="1">SUMIF('Production '!$C$4:$AI$4407,'Tracking Sheet'!B864,'Production '!$W$4:$W$4407)</f>
        <v>4162</v>
      </c>
      <c r="H864" s="76">
        <f ca="1">SUMIF('Production '!$C$4:$AI$4407,'Tracking Sheet'!B864,'Production '!$F$4:$F$4407)</f>
        <v>4029</v>
      </c>
      <c r="I864" s="76">
        <f ca="1">SUMIF('Production '!$C$4:$AI$4407,'Tracking Sheet'!B864,'Production '!$V$4:$V$4407)</f>
        <v>0</v>
      </c>
      <c r="J864" s="76">
        <f ca="1">SUMIF('Production '!$C$4:$AI$4407,'Tracking Sheet'!B864,'Production '!$AG$4:$AG$4407)</f>
        <v>0</v>
      </c>
    </row>
    <row r="865" spans="2:10" x14ac:dyDescent="0.3">
      <c r="B865" s="277">
        <f>'Production '!C868</f>
        <v>0</v>
      </c>
      <c r="C865" s="76" t="e">
        <f ca="1">SUMIF('Production '!$C$4:$AI$4407,'Tracking Sheet'!B865,'Production '!$M$4:$M$4407)</f>
        <v>#DIV/0!</v>
      </c>
      <c r="D865" s="76" t="e">
        <f ca="1">SUMIF('Production '!$C$4:$AI$4407,'Tracking Sheet'!B865,'Production '!$Q$4:$Q$4407)</f>
        <v>#DIV/0!</v>
      </c>
      <c r="E865" s="76">
        <f ca="1">SUMIF('Production '!$C$4:$AI$4407,'Tracking Sheet'!B865,'Production '!$S$4:$S$4407)</f>
        <v>-1268218.9828305368</v>
      </c>
      <c r="F865" s="76">
        <f ca="1">SUMIF('Production '!$C$4:$AI$4407,'Tracking Sheet'!B865,'Production '!$U$4:$U$4407)</f>
        <v>-10620.435600016917</v>
      </c>
      <c r="G865" s="76" t="e">
        <f ca="1">SUMIF('Production '!$C$4:$AI$4407,'Tracking Sheet'!B865,'Production '!$W$4:$W$4407)</f>
        <v>#DIV/0!</v>
      </c>
      <c r="H865" s="76">
        <f ca="1">SUMIF('Production '!$C$4:$AI$4407,'Tracking Sheet'!B865,'Production '!$F$4:$F$4407)</f>
        <v>3230621.3283604058</v>
      </c>
      <c r="I865" s="76">
        <f ca="1">SUMIF('Production '!$C$4:$AI$4407,'Tracking Sheet'!B865,'Production '!$V$4:$V$4407)</f>
        <v>-489.86487791182844</v>
      </c>
      <c r="J865" s="76">
        <f ca="1">SUMIF('Production '!$C$4:$AI$4407,'Tracking Sheet'!B865,'Production '!$AG$4:$AG$4407)</f>
        <v>0</v>
      </c>
    </row>
    <row r="866" spans="2:10" x14ac:dyDescent="0.3">
      <c r="B866" s="277">
        <f>'Production '!C869</f>
        <v>47896</v>
      </c>
      <c r="C866" s="76">
        <f ca="1">SUMIF('Production '!$C$4:$AI$4407,'Tracking Sheet'!B866,'Production '!$M$4:$M$4407)</f>
        <v>3186</v>
      </c>
      <c r="D866" s="76">
        <f ca="1">SUMIF('Production '!$C$4:$AI$4407,'Tracking Sheet'!B866,'Production '!$Q$4:$Q$4407)</f>
        <v>3186</v>
      </c>
      <c r="E866" s="76">
        <f ca="1">SUMIF('Production '!$C$4:$AI$4407,'Tracking Sheet'!B866,'Production '!$S$4:$S$4407)</f>
        <v>3180</v>
      </c>
      <c r="F866" s="76">
        <f ca="1">SUMIF('Production '!$C$4:$AI$4407,'Tracking Sheet'!B866,'Production '!$U$4:$U$4407)</f>
        <v>16</v>
      </c>
      <c r="G866" s="76">
        <f ca="1">SUMIF('Production '!$C$4:$AI$4407,'Tracking Sheet'!B866,'Production '!$W$4:$W$4407)</f>
        <v>3164</v>
      </c>
      <c r="H866" s="76">
        <f ca="1">SUMIF('Production '!$C$4:$AI$4407,'Tracking Sheet'!B866,'Production '!$F$4:$F$4407)</f>
        <v>3104</v>
      </c>
      <c r="I866" s="76">
        <f ca="1">SUMIF('Production '!$C$4:$AI$4407,'Tracking Sheet'!B866,'Production '!$V$4:$V$4407)</f>
        <v>0</v>
      </c>
      <c r="J866" s="76">
        <f ca="1">SUMIF('Production '!$C$4:$AI$4407,'Tracking Sheet'!B866,'Production '!$AG$4:$AG$4407)</f>
        <v>0</v>
      </c>
    </row>
    <row r="867" spans="2:10" x14ac:dyDescent="0.3">
      <c r="B867" s="277">
        <f>'Production '!C870</f>
        <v>47896</v>
      </c>
      <c r="C867" s="76">
        <f ca="1">SUMIF('Production '!$C$4:$AI$4407,'Tracking Sheet'!B867,'Production '!$M$4:$M$4407)</f>
        <v>3186</v>
      </c>
      <c r="D867" s="76">
        <f ca="1">SUMIF('Production '!$C$4:$AI$4407,'Tracking Sheet'!B867,'Production '!$Q$4:$Q$4407)</f>
        <v>3186</v>
      </c>
      <c r="E867" s="76">
        <f ca="1">SUMIF('Production '!$C$4:$AI$4407,'Tracking Sheet'!B867,'Production '!$S$4:$S$4407)</f>
        <v>3180</v>
      </c>
      <c r="F867" s="76">
        <f ca="1">SUMIF('Production '!$C$4:$AI$4407,'Tracking Sheet'!B867,'Production '!$U$4:$U$4407)</f>
        <v>16</v>
      </c>
      <c r="G867" s="76">
        <f ca="1">SUMIF('Production '!$C$4:$AI$4407,'Tracking Sheet'!B867,'Production '!$W$4:$W$4407)</f>
        <v>3164</v>
      </c>
      <c r="H867" s="76">
        <f ca="1">SUMIF('Production '!$C$4:$AI$4407,'Tracking Sheet'!B867,'Production '!$F$4:$F$4407)</f>
        <v>3104</v>
      </c>
      <c r="I867" s="76">
        <f ca="1">SUMIF('Production '!$C$4:$AI$4407,'Tracking Sheet'!B867,'Production '!$V$4:$V$4407)</f>
        <v>0</v>
      </c>
      <c r="J867" s="76">
        <f ca="1">SUMIF('Production '!$C$4:$AI$4407,'Tracking Sheet'!B867,'Production '!$AG$4:$AG$4407)</f>
        <v>0</v>
      </c>
    </row>
    <row r="868" spans="2:10" x14ac:dyDescent="0.3">
      <c r="B868" s="277">
        <f>'Production '!C871</f>
        <v>0</v>
      </c>
      <c r="C868" s="76" t="e">
        <f ca="1">SUMIF('Production '!$C$4:$AI$4407,'Tracking Sheet'!B868,'Production '!$M$4:$M$4407)</f>
        <v>#DIV/0!</v>
      </c>
      <c r="D868" s="76" t="e">
        <f ca="1">SUMIF('Production '!$C$4:$AI$4407,'Tracking Sheet'!B868,'Production '!$Q$4:$Q$4407)</f>
        <v>#DIV/0!</v>
      </c>
      <c r="E868" s="76">
        <f ca="1">SUMIF('Production '!$C$4:$AI$4407,'Tracking Sheet'!B868,'Production '!$S$4:$S$4407)</f>
        <v>-1268218.9828305368</v>
      </c>
      <c r="F868" s="76">
        <f ca="1">SUMIF('Production '!$C$4:$AI$4407,'Tracking Sheet'!B868,'Production '!$U$4:$U$4407)</f>
        <v>-10620.435600016917</v>
      </c>
      <c r="G868" s="76" t="e">
        <f ca="1">SUMIF('Production '!$C$4:$AI$4407,'Tracking Sheet'!B868,'Production '!$W$4:$W$4407)</f>
        <v>#DIV/0!</v>
      </c>
      <c r="H868" s="76">
        <f ca="1">SUMIF('Production '!$C$4:$AI$4407,'Tracking Sheet'!B868,'Production '!$F$4:$F$4407)</f>
        <v>3230621.3283604058</v>
      </c>
      <c r="I868" s="76">
        <f ca="1">SUMIF('Production '!$C$4:$AI$4407,'Tracking Sheet'!B868,'Production '!$V$4:$V$4407)</f>
        <v>-489.86487791182844</v>
      </c>
      <c r="J868" s="76">
        <f ca="1">SUMIF('Production '!$C$4:$AI$4407,'Tracking Sheet'!B868,'Production '!$AG$4:$AG$4407)</f>
        <v>0</v>
      </c>
    </row>
    <row r="869" spans="2:10" x14ac:dyDescent="0.3">
      <c r="B869" s="277">
        <f>'Production '!C872</f>
        <v>47898</v>
      </c>
      <c r="C869" s="76">
        <f ca="1">SUMIF('Production '!$C$4:$AI$4407,'Tracking Sheet'!B869,'Production '!$M$4:$M$4407)</f>
        <v>2722</v>
      </c>
      <c r="D869" s="76">
        <f ca="1">SUMIF('Production '!$C$4:$AI$4407,'Tracking Sheet'!B869,'Production '!$Q$4:$Q$4407)</f>
        <v>2722</v>
      </c>
      <c r="E869" s="76">
        <f ca="1">SUMIF('Production '!$C$4:$AI$4407,'Tracking Sheet'!B869,'Production '!$S$4:$S$4407)</f>
        <v>2705</v>
      </c>
      <c r="F869" s="76">
        <f ca="1">SUMIF('Production '!$C$4:$AI$4407,'Tracking Sheet'!B869,'Production '!$U$4:$U$4407)</f>
        <v>5</v>
      </c>
      <c r="G869" s="76">
        <f ca="1">SUMIF('Production '!$C$4:$AI$4407,'Tracking Sheet'!B869,'Production '!$W$4:$W$4407)</f>
        <v>2700</v>
      </c>
      <c r="H869" s="76">
        <f ca="1">SUMIF('Production '!$C$4:$AI$4407,'Tracking Sheet'!B869,'Production '!$F$4:$F$4407)</f>
        <v>2604</v>
      </c>
      <c r="I869" s="76">
        <f ca="1">SUMIF('Production '!$C$4:$AI$4407,'Tracking Sheet'!B869,'Production '!$V$4:$V$4407)</f>
        <v>0</v>
      </c>
      <c r="J869" s="76">
        <f ca="1">SUMIF('Production '!$C$4:$AI$4407,'Tracking Sheet'!B869,'Production '!$AG$4:$AG$4407)</f>
        <v>0</v>
      </c>
    </row>
    <row r="870" spans="2:10" x14ac:dyDescent="0.3">
      <c r="B870" s="277">
        <f>'Production '!C873</f>
        <v>47898</v>
      </c>
      <c r="C870" s="76">
        <f ca="1">SUMIF('Production '!$C$4:$AI$4407,'Tracking Sheet'!B870,'Production '!$M$4:$M$4407)</f>
        <v>2722</v>
      </c>
      <c r="D870" s="76">
        <f ca="1">SUMIF('Production '!$C$4:$AI$4407,'Tracking Sheet'!B870,'Production '!$Q$4:$Q$4407)</f>
        <v>2722</v>
      </c>
      <c r="E870" s="76">
        <f ca="1">SUMIF('Production '!$C$4:$AI$4407,'Tracking Sheet'!B870,'Production '!$S$4:$S$4407)</f>
        <v>2705</v>
      </c>
      <c r="F870" s="76">
        <f ca="1">SUMIF('Production '!$C$4:$AI$4407,'Tracking Sheet'!B870,'Production '!$U$4:$U$4407)</f>
        <v>5</v>
      </c>
      <c r="G870" s="76">
        <f ca="1">SUMIF('Production '!$C$4:$AI$4407,'Tracking Sheet'!B870,'Production '!$W$4:$W$4407)</f>
        <v>2700</v>
      </c>
      <c r="H870" s="76">
        <f ca="1">SUMIF('Production '!$C$4:$AI$4407,'Tracking Sheet'!B870,'Production '!$F$4:$F$4407)</f>
        <v>2604</v>
      </c>
      <c r="I870" s="76">
        <f ca="1">SUMIF('Production '!$C$4:$AI$4407,'Tracking Sheet'!B870,'Production '!$V$4:$V$4407)</f>
        <v>0</v>
      </c>
      <c r="J870" s="76">
        <f ca="1">SUMIF('Production '!$C$4:$AI$4407,'Tracking Sheet'!B870,'Production '!$AG$4:$AG$4407)</f>
        <v>0</v>
      </c>
    </row>
    <row r="871" spans="2:10" x14ac:dyDescent="0.3">
      <c r="B871" s="277">
        <f>'Production '!C874</f>
        <v>0</v>
      </c>
      <c r="C871" s="76" t="e">
        <f ca="1">SUMIF('Production '!$C$4:$AI$4407,'Tracking Sheet'!B871,'Production '!$M$4:$M$4407)</f>
        <v>#DIV/0!</v>
      </c>
      <c r="D871" s="76" t="e">
        <f ca="1">SUMIF('Production '!$C$4:$AI$4407,'Tracking Sheet'!B871,'Production '!$Q$4:$Q$4407)</f>
        <v>#DIV/0!</v>
      </c>
      <c r="E871" s="76">
        <f ca="1">SUMIF('Production '!$C$4:$AI$4407,'Tracking Sheet'!B871,'Production '!$S$4:$S$4407)</f>
        <v>-1268218.9828305368</v>
      </c>
      <c r="F871" s="76">
        <f ca="1">SUMIF('Production '!$C$4:$AI$4407,'Tracking Sheet'!B871,'Production '!$U$4:$U$4407)</f>
        <v>-10620.435600016917</v>
      </c>
      <c r="G871" s="76" t="e">
        <f ca="1">SUMIF('Production '!$C$4:$AI$4407,'Tracking Sheet'!B871,'Production '!$W$4:$W$4407)</f>
        <v>#DIV/0!</v>
      </c>
      <c r="H871" s="76">
        <f ca="1">SUMIF('Production '!$C$4:$AI$4407,'Tracking Sheet'!B871,'Production '!$F$4:$F$4407)</f>
        <v>3230621.3283604058</v>
      </c>
      <c r="I871" s="76">
        <f ca="1">SUMIF('Production '!$C$4:$AI$4407,'Tracking Sheet'!B871,'Production '!$V$4:$V$4407)</f>
        <v>-489.86487791182844</v>
      </c>
      <c r="J871" s="76">
        <f ca="1">SUMIF('Production '!$C$4:$AI$4407,'Tracking Sheet'!B871,'Production '!$AG$4:$AG$4407)</f>
        <v>0</v>
      </c>
    </row>
    <row r="872" spans="2:10" x14ac:dyDescent="0.3">
      <c r="B872" s="277">
        <f>'Production '!C875</f>
        <v>47903</v>
      </c>
      <c r="C872" s="76">
        <f ca="1">SUMIF('Production '!$C$4:$AI$4407,'Tracking Sheet'!B872,'Production '!$M$4:$M$4407)</f>
        <v>2102</v>
      </c>
      <c r="D872" s="76">
        <f ca="1">SUMIF('Production '!$C$4:$AI$4407,'Tracking Sheet'!B872,'Production '!$Q$4:$Q$4407)</f>
        <v>2096</v>
      </c>
      <c r="E872" s="76">
        <f ca="1">SUMIF('Production '!$C$4:$AI$4407,'Tracking Sheet'!B872,'Production '!$S$4:$S$4407)</f>
        <v>2096</v>
      </c>
      <c r="F872" s="76">
        <f ca="1">SUMIF('Production '!$C$4:$AI$4407,'Tracking Sheet'!B872,'Production '!$U$4:$U$4407)</f>
        <v>11</v>
      </c>
      <c r="G872" s="76">
        <f ca="1">SUMIF('Production '!$C$4:$AI$4407,'Tracking Sheet'!B872,'Production '!$W$4:$W$4407)</f>
        <v>2085</v>
      </c>
      <c r="H872" s="76">
        <f ca="1">SUMIF('Production '!$C$4:$AI$4407,'Tracking Sheet'!B872,'Production '!$F$4:$F$4407)</f>
        <v>2016</v>
      </c>
      <c r="I872" s="76">
        <f ca="1">SUMIF('Production '!$C$4:$AI$4407,'Tracking Sheet'!B872,'Production '!$V$4:$V$4407)</f>
        <v>0</v>
      </c>
      <c r="J872" s="76">
        <f ca="1">SUMIF('Production '!$C$4:$AI$4407,'Tracking Sheet'!B872,'Production '!$AG$4:$AG$4407)</f>
        <v>0</v>
      </c>
    </row>
    <row r="873" spans="2:10" x14ac:dyDescent="0.3">
      <c r="B873" s="277">
        <f>'Production '!C876</f>
        <v>47903</v>
      </c>
      <c r="C873" s="76">
        <f ca="1">SUMIF('Production '!$C$4:$AI$4407,'Tracking Sheet'!B873,'Production '!$M$4:$M$4407)</f>
        <v>2102</v>
      </c>
      <c r="D873" s="76">
        <f ca="1">SUMIF('Production '!$C$4:$AI$4407,'Tracking Sheet'!B873,'Production '!$Q$4:$Q$4407)</f>
        <v>2096</v>
      </c>
      <c r="E873" s="76">
        <f ca="1">SUMIF('Production '!$C$4:$AI$4407,'Tracking Sheet'!B873,'Production '!$S$4:$S$4407)</f>
        <v>2096</v>
      </c>
      <c r="F873" s="76">
        <f ca="1">SUMIF('Production '!$C$4:$AI$4407,'Tracking Sheet'!B873,'Production '!$U$4:$U$4407)</f>
        <v>11</v>
      </c>
      <c r="G873" s="76">
        <f ca="1">SUMIF('Production '!$C$4:$AI$4407,'Tracking Sheet'!B873,'Production '!$W$4:$W$4407)</f>
        <v>2085</v>
      </c>
      <c r="H873" s="76">
        <f ca="1">SUMIF('Production '!$C$4:$AI$4407,'Tracking Sheet'!B873,'Production '!$F$4:$F$4407)</f>
        <v>2016</v>
      </c>
      <c r="I873" s="76">
        <f ca="1">SUMIF('Production '!$C$4:$AI$4407,'Tracking Sheet'!B873,'Production '!$V$4:$V$4407)</f>
        <v>0</v>
      </c>
      <c r="J873" s="76">
        <f ca="1">SUMIF('Production '!$C$4:$AI$4407,'Tracking Sheet'!B873,'Production '!$AG$4:$AG$4407)</f>
        <v>0</v>
      </c>
    </row>
    <row r="874" spans="2:10" x14ac:dyDescent="0.3">
      <c r="B874" s="277">
        <f>'Production '!C877</f>
        <v>0</v>
      </c>
      <c r="C874" s="76" t="e">
        <f ca="1">SUMIF('Production '!$C$4:$AI$4407,'Tracking Sheet'!B874,'Production '!$M$4:$M$4407)</f>
        <v>#DIV/0!</v>
      </c>
      <c r="D874" s="76" t="e">
        <f ca="1">SUMIF('Production '!$C$4:$AI$4407,'Tracking Sheet'!B874,'Production '!$Q$4:$Q$4407)</f>
        <v>#DIV/0!</v>
      </c>
      <c r="E874" s="76">
        <f ca="1">SUMIF('Production '!$C$4:$AI$4407,'Tracking Sheet'!B874,'Production '!$S$4:$S$4407)</f>
        <v>-1268218.9828305368</v>
      </c>
      <c r="F874" s="76">
        <f ca="1">SUMIF('Production '!$C$4:$AI$4407,'Tracking Sheet'!B874,'Production '!$U$4:$U$4407)</f>
        <v>-10620.435600016917</v>
      </c>
      <c r="G874" s="76" t="e">
        <f ca="1">SUMIF('Production '!$C$4:$AI$4407,'Tracking Sheet'!B874,'Production '!$W$4:$W$4407)</f>
        <v>#DIV/0!</v>
      </c>
      <c r="H874" s="76">
        <f ca="1">SUMIF('Production '!$C$4:$AI$4407,'Tracking Sheet'!B874,'Production '!$F$4:$F$4407)</f>
        <v>3230621.3283604058</v>
      </c>
      <c r="I874" s="76">
        <f ca="1">SUMIF('Production '!$C$4:$AI$4407,'Tracking Sheet'!B874,'Production '!$V$4:$V$4407)</f>
        <v>-489.86487791182844</v>
      </c>
      <c r="J874" s="76">
        <f ca="1">SUMIF('Production '!$C$4:$AI$4407,'Tracking Sheet'!B874,'Production '!$AG$4:$AG$4407)</f>
        <v>0</v>
      </c>
    </row>
    <row r="875" spans="2:10" x14ac:dyDescent="0.3">
      <c r="B875" s="277">
        <f>'Production '!C878</f>
        <v>47991</v>
      </c>
      <c r="C875" s="76">
        <f ca="1">SUMIF('Production '!$C$4:$AI$4407,'Tracking Sheet'!B875,'Production '!$M$4:$M$4407)</f>
        <v>2040</v>
      </c>
      <c r="D875" s="76">
        <f ca="1">SUMIF('Production '!$C$4:$AI$4407,'Tracking Sheet'!B875,'Production '!$Q$4:$Q$4407)</f>
        <v>2040</v>
      </c>
      <c r="E875" s="76">
        <f ca="1">SUMIF('Production '!$C$4:$AI$4407,'Tracking Sheet'!B875,'Production '!$S$4:$S$4407)</f>
        <v>2026</v>
      </c>
      <c r="F875" s="76">
        <f ca="1">SUMIF('Production '!$C$4:$AI$4407,'Tracking Sheet'!B875,'Production '!$U$4:$U$4407)</f>
        <v>6</v>
      </c>
      <c r="G875" s="76">
        <f ca="1">SUMIF('Production '!$C$4:$AI$4407,'Tracking Sheet'!B875,'Production '!$W$4:$W$4407)</f>
        <v>2020</v>
      </c>
      <c r="H875" s="76">
        <f ca="1">SUMIF('Production '!$C$4:$AI$4407,'Tracking Sheet'!B875,'Production '!$F$4:$F$4407)</f>
        <v>1882</v>
      </c>
      <c r="I875" s="76">
        <f ca="1">SUMIF('Production '!$C$4:$AI$4407,'Tracking Sheet'!B875,'Production '!$V$4:$V$4407)</f>
        <v>0</v>
      </c>
      <c r="J875" s="76">
        <f ca="1">SUMIF('Production '!$C$4:$AI$4407,'Tracking Sheet'!B875,'Production '!$AG$4:$AG$4407)</f>
        <v>0</v>
      </c>
    </row>
    <row r="876" spans="2:10" x14ac:dyDescent="0.3">
      <c r="B876" s="277">
        <f>'Production '!C879</f>
        <v>47991</v>
      </c>
      <c r="C876" s="76">
        <f ca="1">SUMIF('Production '!$C$4:$AI$4407,'Tracking Sheet'!B876,'Production '!$M$4:$M$4407)</f>
        <v>2040</v>
      </c>
      <c r="D876" s="76">
        <f ca="1">SUMIF('Production '!$C$4:$AI$4407,'Tracking Sheet'!B876,'Production '!$Q$4:$Q$4407)</f>
        <v>2040</v>
      </c>
      <c r="E876" s="76">
        <f ca="1">SUMIF('Production '!$C$4:$AI$4407,'Tracking Sheet'!B876,'Production '!$S$4:$S$4407)</f>
        <v>2026</v>
      </c>
      <c r="F876" s="76">
        <f ca="1">SUMIF('Production '!$C$4:$AI$4407,'Tracking Sheet'!B876,'Production '!$U$4:$U$4407)</f>
        <v>6</v>
      </c>
      <c r="G876" s="76">
        <f ca="1">SUMIF('Production '!$C$4:$AI$4407,'Tracking Sheet'!B876,'Production '!$W$4:$W$4407)</f>
        <v>2020</v>
      </c>
      <c r="H876" s="76">
        <f ca="1">SUMIF('Production '!$C$4:$AI$4407,'Tracking Sheet'!B876,'Production '!$F$4:$F$4407)</f>
        <v>1882</v>
      </c>
      <c r="I876" s="76">
        <f ca="1">SUMIF('Production '!$C$4:$AI$4407,'Tracking Sheet'!B876,'Production '!$V$4:$V$4407)</f>
        <v>0</v>
      </c>
      <c r="J876" s="76">
        <f ca="1">SUMIF('Production '!$C$4:$AI$4407,'Tracking Sheet'!B876,'Production '!$AG$4:$AG$4407)</f>
        <v>0</v>
      </c>
    </row>
    <row r="877" spans="2:10" x14ac:dyDescent="0.3">
      <c r="B877" s="277">
        <f>'Production '!C880</f>
        <v>0</v>
      </c>
      <c r="C877" s="76" t="e">
        <f ca="1">SUMIF('Production '!$C$4:$AI$4407,'Tracking Sheet'!B877,'Production '!$M$4:$M$4407)</f>
        <v>#DIV/0!</v>
      </c>
      <c r="D877" s="76" t="e">
        <f ca="1">SUMIF('Production '!$C$4:$AI$4407,'Tracking Sheet'!B877,'Production '!$Q$4:$Q$4407)</f>
        <v>#DIV/0!</v>
      </c>
      <c r="E877" s="76">
        <f ca="1">SUMIF('Production '!$C$4:$AI$4407,'Tracking Sheet'!B877,'Production '!$S$4:$S$4407)</f>
        <v>-1268218.9828305368</v>
      </c>
      <c r="F877" s="76">
        <f ca="1">SUMIF('Production '!$C$4:$AI$4407,'Tracking Sheet'!B877,'Production '!$U$4:$U$4407)</f>
        <v>-10620.435600016917</v>
      </c>
      <c r="G877" s="76" t="e">
        <f ca="1">SUMIF('Production '!$C$4:$AI$4407,'Tracking Sheet'!B877,'Production '!$W$4:$W$4407)</f>
        <v>#DIV/0!</v>
      </c>
      <c r="H877" s="76">
        <f ca="1">SUMIF('Production '!$C$4:$AI$4407,'Tracking Sheet'!B877,'Production '!$F$4:$F$4407)</f>
        <v>3230621.3283604058</v>
      </c>
      <c r="I877" s="76">
        <f ca="1">SUMIF('Production '!$C$4:$AI$4407,'Tracking Sheet'!B877,'Production '!$V$4:$V$4407)</f>
        <v>-489.86487791182844</v>
      </c>
      <c r="J877" s="76">
        <f ca="1">SUMIF('Production '!$C$4:$AI$4407,'Tracking Sheet'!B877,'Production '!$AG$4:$AG$4407)</f>
        <v>0</v>
      </c>
    </row>
    <row r="878" spans="2:10" x14ac:dyDescent="0.3">
      <c r="B878" s="277">
        <f>'Production '!C881</f>
        <v>48026</v>
      </c>
      <c r="C878" s="76">
        <f ca="1">SUMIF('Production '!$C$4:$AI$4407,'Tracking Sheet'!B878,'Production '!$M$4:$M$4407)</f>
        <v>1908</v>
      </c>
      <c r="D878" s="76">
        <f ca="1">SUMIF('Production '!$C$4:$AI$4407,'Tracking Sheet'!B878,'Production '!$Q$4:$Q$4407)</f>
        <v>1908</v>
      </c>
      <c r="E878" s="76">
        <f ca="1">SUMIF('Production '!$C$4:$AI$4407,'Tracking Sheet'!B878,'Production '!$S$4:$S$4407)</f>
        <v>1886</v>
      </c>
      <c r="F878" s="76">
        <f ca="1">SUMIF('Production '!$C$4:$AI$4407,'Tracking Sheet'!B878,'Production '!$U$4:$U$4407)</f>
        <v>2</v>
      </c>
      <c r="G878" s="76">
        <f ca="1">SUMIF('Production '!$C$4:$AI$4407,'Tracking Sheet'!B878,'Production '!$W$4:$W$4407)</f>
        <v>1884</v>
      </c>
      <c r="H878" s="76">
        <f ca="1">SUMIF('Production '!$C$4:$AI$4407,'Tracking Sheet'!B878,'Production '!$F$4:$F$4407)</f>
        <v>1836</v>
      </c>
      <c r="I878" s="76">
        <f ca="1">SUMIF('Production '!$C$4:$AI$4407,'Tracking Sheet'!B878,'Production '!$V$4:$V$4407)</f>
        <v>1884</v>
      </c>
      <c r="J878" s="76">
        <f ca="1">SUMIF('Production '!$C$4:$AI$4407,'Tracking Sheet'!B878,'Production '!$AG$4:$AG$4407)</f>
        <v>0</v>
      </c>
    </row>
    <row r="879" spans="2:10" x14ac:dyDescent="0.3">
      <c r="B879" s="277">
        <f>'Production '!C882</f>
        <v>48026</v>
      </c>
      <c r="C879" s="76">
        <f ca="1">SUMIF('Production '!$C$4:$AI$4407,'Tracking Sheet'!B879,'Production '!$M$4:$M$4407)</f>
        <v>1908</v>
      </c>
      <c r="D879" s="76">
        <f ca="1">SUMIF('Production '!$C$4:$AI$4407,'Tracking Sheet'!B879,'Production '!$Q$4:$Q$4407)</f>
        <v>1908</v>
      </c>
      <c r="E879" s="76">
        <f ca="1">SUMIF('Production '!$C$4:$AI$4407,'Tracking Sheet'!B879,'Production '!$S$4:$S$4407)</f>
        <v>1886</v>
      </c>
      <c r="F879" s="76">
        <f ca="1">SUMIF('Production '!$C$4:$AI$4407,'Tracking Sheet'!B879,'Production '!$U$4:$U$4407)</f>
        <v>2</v>
      </c>
      <c r="G879" s="76">
        <f ca="1">SUMIF('Production '!$C$4:$AI$4407,'Tracking Sheet'!B879,'Production '!$W$4:$W$4407)</f>
        <v>1884</v>
      </c>
      <c r="H879" s="76">
        <f ca="1">SUMIF('Production '!$C$4:$AI$4407,'Tracking Sheet'!B879,'Production '!$F$4:$F$4407)</f>
        <v>1836</v>
      </c>
      <c r="I879" s="76">
        <f ca="1">SUMIF('Production '!$C$4:$AI$4407,'Tracking Sheet'!B879,'Production '!$V$4:$V$4407)</f>
        <v>1884</v>
      </c>
      <c r="J879" s="76">
        <f ca="1">SUMIF('Production '!$C$4:$AI$4407,'Tracking Sheet'!B879,'Production '!$AG$4:$AG$4407)</f>
        <v>0</v>
      </c>
    </row>
    <row r="880" spans="2:10" x14ac:dyDescent="0.3">
      <c r="B880" s="277">
        <f>'Production '!C883</f>
        <v>0</v>
      </c>
      <c r="C880" s="76" t="e">
        <f ca="1">SUMIF('Production '!$C$4:$AI$4407,'Tracking Sheet'!B880,'Production '!$M$4:$M$4407)</f>
        <v>#DIV/0!</v>
      </c>
      <c r="D880" s="76" t="e">
        <f ca="1">SUMIF('Production '!$C$4:$AI$4407,'Tracking Sheet'!B880,'Production '!$Q$4:$Q$4407)</f>
        <v>#DIV/0!</v>
      </c>
      <c r="E880" s="76">
        <f ca="1">SUMIF('Production '!$C$4:$AI$4407,'Tracking Sheet'!B880,'Production '!$S$4:$S$4407)</f>
        <v>-1268218.9828305368</v>
      </c>
      <c r="F880" s="76">
        <f ca="1">SUMIF('Production '!$C$4:$AI$4407,'Tracking Sheet'!B880,'Production '!$U$4:$U$4407)</f>
        <v>-10620.435600016917</v>
      </c>
      <c r="G880" s="76" t="e">
        <f ca="1">SUMIF('Production '!$C$4:$AI$4407,'Tracking Sheet'!B880,'Production '!$W$4:$W$4407)</f>
        <v>#DIV/0!</v>
      </c>
      <c r="H880" s="76">
        <f ca="1">SUMIF('Production '!$C$4:$AI$4407,'Tracking Sheet'!B880,'Production '!$F$4:$F$4407)</f>
        <v>3230621.3283604058</v>
      </c>
      <c r="I880" s="76">
        <f ca="1">SUMIF('Production '!$C$4:$AI$4407,'Tracking Sheet'!B880,'Production '!$V$4:$V$4407)</f>
        <v>-489.86487791182844</v>
      </c>
      <c r="J880" s="76">
        <f ca="1">SUMIF('Production '!$C$4:$AI$4407,'Tracking Sheet'!B880,'Production '!$AG$4:$AG$4407)</f>
        <v>0</v>
      </c>
    </row>
    <row r="881" spans="2:10" x14ac:dyDescent="0.3">
      <c r="B881" s="277" t="str">
        <f>'Production '!C884</f>
        <v>43325 15th</v>
      </c>
      <c r="C881" s="76">
        <f ca="1">SUMIF('Production '!$C$4:$AI$4407,'Tracking Sheet'!B881,'Production '!$M$4:$M$4407)</f>
        <v>1909</v>
      </c>
      <c r="D881" s="76">
        <f ca="1">SUMIF('Production '!$C$4:$AI$4407,'Tracking Sheet'!B881,'Production '!$Q$4:$Q$4407)</f>
        <v>0</v>
      </c>
      <c r="E881" s="76">
        <f ca="1">SUMIF('Production '!$C$4:$AI$4407,'Tracking Sheet'!B881,'Production '!$S$4:$S$4407)</f>
        <v>0</v>
      </c>
      <c r="F881" s="76">
        <f ca="1">SUMIF('Production '!$C$4:$AI$4407,'Tracking Sheet'!B881,'Production '!$U$4:$U$4407)</f>
        <v>1909</v>
      </c>
      <c r="G881" s="76">
        <f ca="1">SUMIF('Production '!$C$4:$AI$4407,'Tracking Sheet'!B881,'Production '!$W$4:$W$4407)</f>
        <v>0</v>
      </c>
      <c r="H881" s="76">
        <f ca="1">SUMIF('Production '!$C$4:$AI$4407,'Tracking Sheet'!B881,'Production '!$F$4:$F$4407)</f>
        <v>2000</v>
      </c>
      <c r="I881" s="76">
        <f ca="1">SUMIF('Production '!$C$4:$AI$4407,'Tracking Sheet'!B881,'Production '!$V$4:$V$4407)</f>
        <v>0</v>
      </c>
      <c r="J881" s="76">
        <f ca="1">SUMIF('Production '!$C$4:$AI$4407,'Tracking Sheet'!B881,'Production '!$AG$4:$AG$4407)</f>
        <v>-91</v>
      </c>
    </row>
    <row r="882" spans="2:10" x14ac:dyDescent="0.3">
      <c r="B882" s="277" t="str">
        <f>'Production '!C885</f>
        <v>43325 15th</v>
      </c>
      <c r="C882" s="76">
        <f ca="1">SUMIF('Production '!$C$4:$AI$4407,'Tracking Sheet'!B882,'Production '!$M$4:$M$4407)</f>
        <v>1909</v>
      </c>
      <c r="D882" s="76">
        <f ca="1">SUMIF('Production '!$C$4:$AI$4407,'Tracking Sheet'!B882,'Production '!$Q$4:$Q$4407)</f>
        <v>0</v>
      </c>
      <c r="E882" s="76">
        <f ca="1">SUMIF('Production '!$C$4:$AI$4407,'Tracking Sheet'!B882,'Production '!$S$4:$S$4407)</f>
        <v>0</v>
      </c>
      <c r="F882" s="76">
        <f ca="1">SUMIF('Production '!$C$4:$AI$4407,'Tracking Sheet'!B882,'Production '!$U$4:$U$4407)</f>
        <v>1909</v>
      </c>
      <c r="G882" s="76">
        <f ca="1">SUMIF('Production '!$C$4:$AI$4407,'Tracking Sheet'!B882,'Production '!$W$4:$W$4407)</f>
        <v>0</v>
      </c>
      <c r="H882" s="76">
        <f ca="1">SUMIF('Production '!$C$4:$AI$4407,'Tracking Sheet'!B882,'Production '!$F$4:$F$4407)</f>
        <v>2000</v>
      </c>
      <c r="I882" s="76">
        <f ca="1">SUMIF('Production '!$C$4:$AI$4407,'Tracking Sheet'!B882,'Production '!$V$4:$V$4407)</f>
        <v>0</v>
      </c>
      <c r="J882" s="76">
        <f ca="1">SUMIF('Production '!$C$4:$AI$4407,'Tracking Sheet'!B882,'Production '!$AG$4:$AG$4407)</f>
        <v>-91</v>
      </c>
    </row>
    <row r="883" spans="2:10" x14ac:dyDescent="0.3">
      <c r="B883" s="277">
        <f>'Production '!C886</f>
        <v>0</v>
      </c>
      <c r="C883" s="76" t="e">
        <f ca="1">SUMIF('Production '!$C$4:$AI$4407,'Tracking Sheet'!B883,'Production '!$M$4:$M$4407)</f>
        <v>#DIV/0!</v>
      </c>
      <c r="D883" s="76" t="e">
        <f ca="1">SUMIF('Production '!$C$4:$AI$4407,'Tracking Sheet'!B883,'Production '!$Q$4:$Q$4407)</f>
        <v>#DIV/0!</v>
      </c>
      <c r="E883" s="76">
        <f ca="1">SUMIF('Production '!$C$4:$AI$4407,'Tracking Sheet'!B883,'Production '!$S$4:$S$4407)</f>
        <v>-1268218.9828305368</v>
      </c>
      <c r="F883" s="76">
        <f ca="1">SUMIF('Production '!$C$4:$AI$4407,'Tracking Sheet'!B883,'Production '!$U$4:$U$4407)</f>
        <v>-10620.435600016917</v>
      </c>
      <c r="G883" s="76" t="e">
        <f ca="1">SUMIF('Production '!$C$4:$AI$4407,'Tracking Sheet'!B883,'Production '!$W$4:$W$4407)</f>
        <v>#DIV/0!</v>
      </c>
      <c r="H883" s="76">
        <f ca="1">SUMIF('Production '!$C$4:$AI$4407,'Tracking Sheet'!B883,'Production '!$F$4:$F$4407)</f>
        <v>3230621.3283604058</v>
      </c>
      <c r="I883" s="76">
        <f ca="1">SUMIF('Production '!$C$4:$AI$4407,'Tracking Sheet'!B883,'Production '!$V$4:$V$4407)</f>
        <v>-489.86487791182844</v>
      </c>
      <c r="J883" s="76">
        <f ca="1">SUMIF('Production '!$C$4:$AI$4407,'Tracking Sheet'!B883,'Production '!$AG$4:$AG$4407)</f>
        <v>0</v>
      </c>
    </row>
    <row r="884" spans="2:10" x14ac:dyDescent="0.3">
      <c r="B884" s="277">
        <f>'Production '!C887</f>
        <v>47990</v>
      </c>
      <c r="C884" s="76">
        <f ca="1">SUMIF('Production '!$C$4:$AI$4407,'Tracking Sheet'!B884,'Production '!$M$4:$M$4407)</f>
        <v>1111</v>
      </c>
      <c r="D884" s="76">
        <f ca="1">SUMIF('Production '!$C$4:$AI$4407,'Tracking Sheet'!B884,'Production '!$Q$4:$Q$4407)</f>
        <v>1111</v>
      </c>
      <c r="E884" s="76">
        <f ca="1">SUMIF('Production '!$C$4:$AI$4407,'Tracking Sheet'!B884,'Production '!$S$4:$S$4407)</f>
        <v>1111</v>
      </c>
      <c r="F884" s="76">
        <f ca="1">SUMIF('Production '!$C$4:$AI$4407,'Tracking Sheet'!B884,'Production '!$U$4:$U$4407)</f>
        <v>0</v>
      </c>
      <c r="G884" s="76">
        <f ca="1">SUMIF('Production '!$C$4:$AI$4407,'Tracking Sheet'!B884,'Production '!$W$4:$W$4407)</f>
        <v>1111</v>
      </c>
      <c r="H884" s="76">
        <f ca="1">SUMIF('Production '!$C$4:$AI$4407,'Tracking Sheet'!B884,'Production '!$F$4:$F$4407)</f>
        <v>1008</v>
      </c>
      <c r="I884" s="76">
        <f ca="1">SUMIF('Production '!$C$4:$AI$4407,'Tracking Sheet'!B884,'Production '!$V$4:$V$4407)</f>
        <v>0</v>
      </c>
      <c r="J884" s="76">
        <f ca="1">SUMIF('Production '!$C$4:$AI$4407,'Tracking Sheet'!B884,'Production '!$AG$4:$AG$4407)</f>
        <v>0</v>
      </c>
    </row>
    <row r="885" spans="2:10" x14ac:dyDescent="0.3">
      <c r="B885" s="277">
        <f>'Production '!C888</f>
        <v>47990</v>
      </c>
      <c r="C885" s="76">
        <f ca="1">SUMIF('Production '!$C$4:$AI$4407,'Tracking Sheet'!B885,'Production '!$M$4:$M$4407)</f>
        <v>1111</v>
      </c>
      <c r="D885" s="76">
        <f ca="1">SUMIF('Production '!$C$4:$AI$4407,'Tracking Sheet'!B885,'Production '!$Q$4:$Q$4407)</f>
        <v>1111</v>
      </c>
      <c r="E885" s="76">
        <f ca="1">SUMIF('Production '!$C$4:$AI$4407,'Tracking Sheet'!B885,'Production '!$S$4:$S$4407)</f>
        <v>1111</v>
      </c>
      <c r="F885" s="76">
        <f ca="1">SUMIF('Production '!$C$4:$AI$4407,'Tracking Sheet'!B885,'Production '!$U$4:$U$4407)</f>
        <v>0</v>
      </c>
      <c r="G885" s="76">
        <f ca="1">SUMIF('Production '!$C$4:$AI$4407,'Tracking Sheet'!B885,'Production '!$W$4:$W$4407)</f>
        <v>1111</v>
      </c>
      <c r="H885" s="76">
        <f ca="1">SUMIF('Production '!$C$4:$AI$4407,'Tracking Sheet'!B885,'Production '!$F$4:$F$4407)</f>
        <v>1008</v>
      </c>
      <c r="I885" s="76">
        <f ca="1">SUMIF('Production '!$C$4:$AI$4407,'Tracking Sheet'!B885,'Production '!$V$4:$V$4407)</f>
        <v>0</v>
      </c>
      <c r="J885" s="76">
        <f ca="1">SUMIF('Production '!$C$4:$AI$4407,'Tracking Sheet'!B885,'Production '!$AG$4:$AG$4407)</f>
        <v>0</v>
      </c>
    </row>
    <row r="886" spans="2:10" x14ac:dyDescent="0.3">
      <c r="B886" s="277">
        <f>'Production '!C889</f>
        <v>0</v>
      </c>
      <c r="C886" s="76" t="e">
        <f ca="1">SUMIF('Production '!$C$4:$AI$4407,'Tracking Sheet'!B886,'Production '!$M$4:$M$4407)</f>
        <v>#DIV/0!</v>
      </c>
      <c r="D886" s="76" t="e">
        <f ca="1">SUMIF('Production '!$C$4:$AI$4407,'Tracking Sheet'!B886,'Production '!$Q$4:$Q$4407)</f>
        <v>#DIV/0!</v>
      </c>
      <c r="E886" s="76">
        <f ca="1">SUMIF('Production '!$C$4:$AI$4407,'Tracking Sheet'!B886,'Production '!$S$4:$S$4407)</f>
        <v>-1268218.9828305368</v>
      </c>
      <c r="F886" s="76">
        <f ca="1">SUMIF('Production '!$C$4:$AI$4407,'Tracking Sheet'!B886,'Production '!$U$4:$U$4407)</f>
        <v>-10620.435600016917</v>
      </c>
      <c r="G886" s="76" t="e">
        <f ca="1">SUMIF('Production '!$C$4:$AI$4407,'Tracking Sheet'!B886,'Production '!$W$4:$W$4407)</f>
        <v>#DIV/0!</v>
      </c>
      <c r="H886" s="76">
        <f ca="1">SUMIF('Production '!$C$4:$AI$4407,'Tracking Sheet'!B886,'Production '!$F$4:$F$4407)</f>
        <v>3230621.3283604058</v>
      </c>
      <c r="I886" s="76">
        <f ca="1">SUMIF('Production '!$C$4:$AI$4407,'Tracking Sheet'!B886,'Production '!$V$4:$V$4407)</f>
        <v>-489.86487791182844</v>
      </c>
      <c r="J886" s="76">
        <f ca="1">SUMIF('Production '!$C$4:$AI$4407,'Tracking Sheet'!B886,'Production '!$AG$4:$AG$4407)</f>
        <v>0</v>
      </c>
    </row>
    <row r="887" spans="2:10" x14ac:dyDescent="0.3">
      <c r="B887" s="277">
        <f>'Production '!C890</f>
        <v>48011</v>
      </c>
      <c r="C887" s="76">
        <f ca="1">SUMIF('Production '!$C$4:$AI$4407,'Tracking Sheet'!B887,'Production '!$M$4:$M$4407)</f>
        <v>1622</v>
      </c>
      <c r="D887" s="76">
        <f ca="1">SUMIF('Production '!$C$4:$AI$4407,'Tracking Sheet'!B887,'Production '!$Q$4:$Q$4407)</f>
        <v>1622</v>
      </c>
      <c r="E887" s="76">
        <f ca="1">SUMIF('Production '!$C$4:$AI$4407,'Tracking Sheet'!B887,'Production '!$S$4:$S$4407)</f>
        <v>0</v>
      </c>
      <c r="F887" s="76">
        <f ca="1">SUMIF('Production '!$C$4:$AI$4407,'Tracking Sheet'!B887,'Production '!$U$4:$U$4407)</f>
        <v>0</v>
      </c>
      <c r="G887" s="76">
        <f ca="1">SUMIF('Production '!$C$4:$AI$4407,'Tracking Sheet'!B887,'Production '!$W$4:$W$4407)</f>
        <v>0</v>
      </c>
      <c r="H887" s="76">
        <f ca="1">SUMIF('Production '!$C$4:$AI$4407,'Tracking Sheet'!B887,'Production '!$F$4:$F$4407)</f>
        <v>1534</v>
      </c>
      <c r="I887" s="76">
        <f ca="1">SUMIF('Production '!$C$4:$AI$4407,'Tracking Sheet'!B887,'Production '!$V$4:$V$4407)</f>
        <v>0</v>
      </c>
      <c r="J887" s="76">
        <f ca="1">SUMIF('Production '!$C$4:$AI$4407,'Tracking Sheet'!B887,'Production '!$AG$4:$AG$4407)</f>
        <v>0</v>
      </c>
    </row>
    <row r="888" spans="2:10" x14ac:dyDescent="0.3">
      <c r="B888" s="277">
        <f>'Production '!C891</f>
        <v>48011</v>
      </c>
      <c r="C888" s="76">
        <f ca="1">SUMIF('Production '!$C$4:$AI$4407,'Tracking Sheet'!B888,'Production '!$M$4:$M$4407)</f>
        <v>1622</v>
      </c>
      <c r="D888" s="76">
        <f ca="1">SUMIF('Production '!$C$4:$AI$4407,'Tracking Sheet'!B888,'Production '!$Q$4:$Q$4407)</f>
        <v>1622</v>
      </c>
      <c r="E888" s="76">
        <f ca="1">SUMIF('Production '!$C$4:$AI$4407,'Tracking Sheet'!B888,'Production '!$S$4:$S$4407)</f>
        <v>0</v>
      </c>
      <c r="F888" s="76">
        <f ca="1">SUMIF('Production '!$C$4:$AI$4407,'Tracking Sheet'!B888,'Production '!$U$4:$U$4407)</f>
        <v>0</v>
      </c>
      <c r="G888" s="76">
        <f ca="1">SUMIF('Production '!$C$4:$AI$4407,'Tracking Sheet'!B888,'Production '!$W$4:$W$4407)</f>
        <v>0</v>
      </c>
      <c r="H888" s="76">
        <f ca="1">SUMIF('Production '!$C$4:$AI$4407,'Tracking Sheet'!B888,'Production '!$F$4:$F$4407)</f>
        <v>1534</v>
      </c>
      <c r="I888" s="76">
        <f ca="1">SUMIF('Production '!$C$4:$AI$4407,'Tracking Sheet'!B888,'Production '!$V$4:$V$4407)</f>
        <v>0</v>
      </c>
      <c r="J888" s="76">
        <f ca="1">SUMIF('Production '!$C$4:$AI$4407,'Tracking Sheet'!B888,'Production '!$AG$4:$AG$4407)</f>
        <v>0</v>
      </c>
    </row>
    <row r="889" spans="2:10" x14ac:dyDescent="0.3">
      <c r="B889" s="277">
        <f>'Production '!C892</f>
        <v>0</v>
      </c>
      <c r="C889" s="76" t="e">
        <f ca="1">SUMIF('Production '!$C$4:$AI$4407,'Tracking Sheet'!B889,'Production '!$M$4:$M$4407)</f>
        <v>#DIV/0!</v>
      </c>
      <c r="D889" s="76" t="e">
        <f ca="1">SUMIF('Production '!$C$4:$AI$4407,'Tracking Sheet'!B889,'Production '!$Q$4:$Q$4407)</f>
        <v>#DIV/0!</v>
      </c>
      <c r="E889" s="76">
        <f ca="1">SUMIF('Production '!$C$4:$AI$4407,'Tracking Sheet'!B889,'Production '!$S$4:$S$4407)</f>
        <v>-1268218.9828305368</v>
      </c>
      <c r="F889" s="76">
        <f ca="1">SUMIF('Production '!$C$4:$AI$4407,'Tracking Sheet'!B889,'Production '!$U$4:$U$4407)</f>
        <v>-10620.435600016917</v>
      </c>
      <c r="G889" s="76" t="e">
        <f ca="1">SUMIF('Production '!$C$4:$AI$4407,'Tracking Sheet'!B889,'Production '!$W$4:$W$4407)</f>
        <v>#DIV/0!</v>
      </c>
      <c r="H889" s="76">
        <f ca="1">SUMIF('Production '!$C$4:$AI$4407,'Tracking Sheet'!B889,'Production '!$F$4:$F$4407)</f>
        <v>3230621.3283604058</v>
      </c>
      <c r="I889" s="76">
        <f ca="1">SUMIF('Production '!$C$4:$AI$4407,'Tracking Sheet'!B889,'Production '!$V$4:$V$4407)</f>
        <v>-489.86487791182844</v>
      </c>
      <c r="J889" s="76">
        <f ca="1">SUMIF('Production '!$C$4:$AI$4407,'Tracking Sheet'!B889,'Production '!$AG$4:$AG$4407)</f>
        <v>0</v>
      </c>
    </row>
    <row r="890" spans="2:10" x14ac:dyDescent="0.3">
      <c r="B890" s="277">
        <f>'Production '!C893</f>
        <v>48291</v>
      </c>
      <c r="C890" s="76">
        <f ca="1">SUMIF('Production '!$C$4:$AI$4407,'Tracking Sheet'!B890,'Production '!$M$4:$M$4407)</f>
        <v>0</v>
      </c>
      <c r="D890" s="76">
        <f ca="1">SUMIF('Production '!$C$4:$AI$4407,'Tracking Sheet'!B890,'Production '!$Q$4:$Q$4407)</f>
        <v>0</v>
      </c>
      <c r="E890" s="76">
        <f ca="1">SUMIF('Production '!$C$4:$AI$4407,'Tracking Sheet'!B890,'Production '!$S$4:$S$4407)</f>
        <v>0</v>
      </c>
      <c r="F890" s="76">
        <f ca="1">SUMIF('Production '!$C$4:$AI$4407,'Tracking Sheet'!B890,'Production '!$U$4:$U$4407)</f>
        <v>0</v>
      </c>
      <c r="G890" s="76">
        <f ca="1">SUMIF('Production '!$C$4:$AI$4407,'Tracking Sheet'!B890,'Production '!$W$4:$W$4407)</f>
        <v>0</v>
      </c>
      <c r="H890" s="76">
        <f ca="1">SUMIF('Production '!$C$4:$AI$4407,'Tracking Sheet'!B890,'Production '!$F$4:$F$4407)</f>
        <v>3658</v>
      </c>
      <c r="I890" s="76">
        <f ca="1">SUMIF('Production '!$C$4:$AI$4407,'Tracking Sheet'!B890,'Production '!$V$4:$V$4407)</f>
        <v>0</v>
      </c>
      <c r="J890" s="76">
        <f ca="1">SUMIF('Production '!$C$4:$AI$4407,'Tracking Sheet'!B890,'Production '!$AG$4:$AG$4407)</f>
        <v>-3658</v>
      </c>
    </row>
    <row r="891" spans="2:10" x14ac:dyDescent="0.3">
      <c r="B891" s="277">
        <f>'Production '!C894</f>
        <v>48291</v>
      </c>
      <c r="C891" s="76">
        <f ca="1">SUMIF('Production '!$C$4:$AI$4407,'Tracking Sheet'!B891,'Production '!$M$4:$M$4407)</f>
        <v>0</v>
      </c>
      <c r="D891" s="76">
        <f ca="1">SUMIF('Production '!$C$4:$AI$4407,'Tracking Sheet'!B891,'Production '!$Q$4:$Q$4407)</f>
        <v>0</v>
      </c>
      <c r="E891" s="76">
        <f ca="1">SUMIF('Production '!$C$4:$AI$4407,'Tracking Sheet'!B891,'Production '!$S$4:$S$4407)</f>
        <v>0</v>
      </c>
      <c r="F891" s="76">
        <f ca="1">SUMIF('Production '!$C$4:$AI$4407,'Tracking Sheet'!B891,'Production '!$U$4:$U$4407)</f>
        <v>0</v>
      </c>
      <c r="G891" s="76">
        <f ca="1">SUMIF('Production '!$C$4:$AI$4407,'Tracking Sheet'!B891,'Production '!$W$4:$W$4407)</f>
        <v>0</v>
      </c>
      <c r="H891" s="76">
        <f ca="1">SUMIF('Production '!$C$4:$AI$4407,'Tracking Sheet'!B891,'Production '!$F$4:$F$4407)</f>
        <v>3658</v>
      </c>
      <c r="I891" s="76">
        <f ca="1">SUMIF('Production '!$C$4:$AI$4407,'Tracking Sheet'!B891,'Production '!$V$4:$V$4407)</f>
        <v>0</v>
      </c>
      <c r="J891" s="76">
        <f ca="1">SUMIF('Production '!$C$4:$AI$4407,'Tracking Sheet'!B891,'Production '!$AG$4:$AG$4407)</f>
        <v>-3658</v>
      </c>
    </row>
    <row r="892" spans="2:10" x14ac:dyDescent="0.3">
      <c r="B892" s="277">
        <f>'Production '!C895</f>
        <v>48291</v>
      </c>
      <c r="C892" s="76">
        <f ca="1">SUMIF('Production '!$C$4:$AI$4407,'Tracking Sheet'!B892,'Production '!$M$4:$M$4407)</f>
        <v>0</v>
      </c>
      <c r="D892" s="76">
        <f ca="1">SUMIF('Production '!$C$4:$AI$4407,'Tracking Sheet'!B892,'Production '!$Q$4:$Q$4407)</f>
        <v>0</v>
      </c>
      <c r="E892" s="76">
        <f ca="1">SUMIF('Production '!$C$4:$AI$4407,'Tracking Sheet'!B892,'Production '!$S$4:$S$4407)</f>
        <v>0</v>
      </c>
      <c r="F892" s="76">
        <f ca="1">SUMIF('Production '!$C$4:$AI$4407,'Tracking Sheet'!B892,'Production '!$U$4:$U$4407)</f>
        <v>0</v>
      </c>
      <c r="G892" s="76">
        <f ca="1">SUMIF('Production '!$C$4:$AI$4407,'Tracking Sheet'!B892,'Production '!$W$4:$W$4407)</f>
        <v>0</v>
      </c>
      <c r="H892" s="76">
        <f ca="1">SUMIF('Production '!$C$4:$AI$4407,'Tracking Sheet'!B892,'Production '!$F$4:$F$4407)</f>
        <v>3658</v>
      </c>
      <c r="I892" s="76">
        <f ca="1">SUMIF('Production '!$C$4:$AI$4407,'Tracking Sheet'!B892,'Production '!$V$4:$V$4407)</f>
        <v>0</v>
      </c>
      <c r="J892" s="76">
        <f ca="1">SUMIF('Production '!$C$4:$AI$4407,'Tracking Sheet'!B892,'Production '!$AG$4:$AG$4407)</f>
        <v>-3658</v>
      </c>
    </row>
    <row r="893" spans="2:10" x14ac:dyDescent="0.3">
      <c r="B893" s="277">
        <f>'Production '!C896</f>
        <v>0</v>
      </c>
      <c r="C893" s="76" t="e">
        <f ca="1">SUMIF('Production '!$C$4:$AI$4407,'Tracking Sheet'!B893,'Production '!$M$4:$M$4407)</f>
        <v>#DIV/0!</v>
      </c>
      <c r="D893" s="76" t="e">
        <f ca="1">SUMIF('Production '!$C$4:$AI$4407,'Tracking Sheet'!B893,'Production '!$Q$4:$Q$4407)</f>
        <v>#DIV/0!</v>
      </c>
      <c r="E893" s="76">
        <f ca="1">SUMIF('Production '!$C$4:$AI$4407,'Tracking Sheet'!B893,'Production '!$S$4:$S$4407)</f>
        <v>-1268218.9828305368</v>
      </c>
      <c r="F893" s="76">
        <f ca="1">SUMIF('Production '!$C$4:$AI$4407,'Tracking Sheet'!B893,'Production '!$U$4:$U$4407)</f>
        <v>-10620.435600016917</v>
      </c>
      <c r="G893" s="76" t="e">
        <f ca="1">SUMIF('Production '!$C$4:$AI$4407,'Tracking Sheet'!B893,'Production '!$W$4:$W$4407)</f>
        <v>#DIV/0!</v>
      </c>
      <c r="H893" s="76">
        <f ca="1">SUMIF('Production '!$C$4:$AI$4407,'Tracking Sheet'!B893,'Production '!$F$4:$F$4407)</f>
        <v>3230621.3283604058</v>
      </c>
      <c r="I893" s="76">
        <f ca="1">SUMIF('Production '!$C$4:$AI$4407,'Tracking Sheet'!B893,'Production '!$V$4:$V$4407)</f>
        <v>-489.86487791182844</v>
      </c>
      <c r="J893" s="76">
        <f ca="1">SUMIF('Production '!$C$4:$AI$4407,'Tracking Sheet'!B893,'Production '!$AG$4:$AG$4407)</f>
        <v>0</v>
      </c>
    </row>
    <row r="894" spans="2:10" x14ac:dyDescent="0.3">
      <c r="B894" s="277">
        <f>'Production '!C897</f>
        <v>47908</v>
      </c>
      <c r="C894" s="76">
        <f ca="1">SUMIF('Production '!$C$4:$AI$4407,'Tracking Sheet'!B894,'Production '!$M$4:$M$4407)</f>
        <v>1656</v>
      </c>
      <c r="D894" s="76">
        <f ca="1">SUMIF('Production '!$C$4:$AI$4407,'Tracking Sheet'!B894,'Production '!$Q$4:$Q$4407)</f>
        <v>834</v>
      </c>
      <c r="E894" s="76">
        <f ca="1">SUMIF('Production '!$C$4:$AI$4407,'Tracking Sheet'!B894,'Production '!$S$4:$S$4407)</f>
        <v>812</v>
      </c>
      <c r="F894" s="76">
        <f ca="1">SUMIF('Production '!$C$4:$AI$4407,'Tracking Sheet'!B894,'Production '!$U$4:$U$4407)</f>
        <v>13</v>
      </c>
      <c r="G894" s="76">
        <f ca="1">SUMIF('Production '!$C$4:$AI$4407,'Tracking Sheet'!B894,'Production '!$W$4:$W$4407)</f>
        <v>1621</v>
      </c>
      <c r="H894" s="76">
        <f ca="1">SUMIF('Production '!$C$4:$AI$4407,'Tracking Sheet'!B894,'Production '!$F$4:$F$4407)</f>
        <v>1588</v>
      </c>
      <c r="I894" s="76">
        <f ca="1">SUMIF('Production '!$C$4:$AI$4407,'Tracking Sheet'!B894,'Production '!$V$4:$V$4407)</f>
        <v>0</v>
      </c>
      <c r="J894" s="76">
        <f ca="1">SUMIF('Production '!$C$4:$AI$4407,'Tracking Sheet'!B894,'Production '!$AG$4:$AG$4407)</f>
        <v>0</v>
      </c>
    </row>
    <row r="895" spans="2:10" x14ac:dyDescent="0.3">
      <c r="B895" s="277">
        <f>'Production '!C898</f>
        <v>47908</v>
      </c>
      <c r="C895" s="76">
        <f ca="1">SUMIF('Production '!$C$4:$AI$4407,'Tracking Sheet'!B895,'Production '!$M$4:$M$4407)</f>
        <v>1656</v>
      </c>
      <c r="D895" s="76">
        <f ca="1">SUMIF('Production '!$C$4:$AI$4407,'Tracking Sheet'!B895,'Production '!$Q$4:$Q$4407)</f>
        <v>834</v>
      </c>
      <c r="E895" s="76">
        <f ca="1">SUMIF('Production '!$C$4:$AI$4407,'Tracking Sheet'!B895,'Production '!$S$4:$S$4407)</f>
        <v>812</v>
      </c>
      <c r="F895" s="76">
        <f ca="1">SUMIF('Production '!$C$4:$AI$4407,'Tracking Sheet'!B895,'Production '!$U$4:$U$4407)</f>
        <v>13</v>
      </c>
      <c r="G895" s="76">
        <f ca="1">SUMIF('Production '!$C$4:$AI$4407,'Tracking Sheet'!B895,'Production '!$W$4:$W$4407)</f>
        <v>1621</v>
      </c>
      <c r="H895" s="76">
        <f ca="1">SUMIF('Production '!$C$4:$AI$4407,'Tracking Sheet'!B895,'Production '!$F$4:$F$4407)</f>
        <v>1588</v>
      </c>
      <c r="I895" s="76">
        <f ca="1">SUMIF('Production '!$C$4:$AI$4407,'Tracking Sheet'!B895,'Production '!$V$4:$V$4407)</f>
        <v>0</v>
      </c>
      <c r="J895" s="76">
        <f ca="1">SUMIF('Production '!$C$4:$AI$4407,'Tracking Sheet'!B895,'Production '!$AG$4:$AG$4407)</f>
        <v>0</v>
      </c>
    </row>
    <row r="896" spans="2:10" x14ac:dyDescent="0.3">
      <c r="B896" s="277">
        <f>'Production '!C899</f>
        <v>0</v>
      </c>
      <c r="C896" s="76" t="e">
        <f ca="1">SUMIF('Production '!$C$4:$AI$4407,'Tracking Sheet'!B896,'Production '!$M$4:$M$4407)</f>
        <v>#DIV/0!</v>
      </c>
      <c r="D896" s="76" t="e">
        <f ca="1">SUMIF('Production '!$C$4:$AI$4407,'Tracking Sheet'!B896,'Production '!$Q$4:$Q$4407)</f>
        <v>#DIV/0!</v>
      </c>
      <c r="E896" s="76">
        <f ca="1">SUMIF('Production '!$C$4:$AI$4407,'Tracking Sheet'!B896,'Production '!$S$4:$S$4407)</f>
        <v>-1268218.9828305368</v>
      </c>
      <c r="F896" s="76">
        <f ca="1">SUMIF('Production '!$C$4:$AI$4407,'Tracking Sheet'!B896,'Production '!$U$4:$U$4407)</f>
        <v>-10620.435600016917</v>
      </c>
      <c r="G896" s="76" t="e">
        <f ca="1">SUMIF('Production '!$C$4:$AI$4407,'Tracking Sheet'!B896,'Production '!$W$4:$W$4407)</f>
        <v>#DIV/0!</v>
      </c>
      <c r="H896" s="76">
        <f ca="1">SUMIF('Production '!$C$4:$AI$4407,'Tracking Sheet'!B896,'Production '!$F$4:$F$4407)</f>
        <v>3230621.3283604058</v>
      </c>
      <c r="I896" s="76">
        <f ca="1">SUMIF('Production '!$C$4:$AI$4407,'Tracking Sheet'!B896,'Production '!$V$4:$V$4407)</f>
        <v>-489.86487791182844</v>
      </c>
      <c r="J896" s="76">
        <f ca="1">SUMIF('Production '!$C$4:$AI$4407,'Tracking Sheet'!B896,'Production '!$AG$4:$AG$4407)</f>
        <v>0</v>
      </c>
    </row>
    <row r="897" spans="2:10" x14ac:dyDescent="0.3">
      <c r="B897" s="277">
        <f>'Production '!C900</f>
        <v>47958</v>
      </c>
      <c r="C897" s="76">
        <f ca="1">SUMIF('Production '!$C$4:$AI$4407,'Tracking Sheet'!B897,'Production '!$M$4:$M$4407)</f>
        <v>3563</v>
      </c>
      <c r="D897" s="76">
        <f ca="1">SUMIF('Production '!$C$4:$AI$4407,'Tracking Sheet'!B897,'Production '!$Q$4:$Q$4407)</f>
        <v>3563</v>
      </c>
      <c r="E897" s="76">
        <f ca="1">SUMIF('Production '!$C$4:$AI$4407,'Tracking Sheet'!B897,'Production '!$S$4:$S$4407)</f>
        <v>3563</v>
      </c>
      <c r="F897" s="76">
        <f ca="1">SUMIF('Production '!$C$4:$AI$4407,'Tracking Sheet'!B897,'Production '!$U$4:$U$4407)</f>
        <v>882</v>
      </c>
      <c r="G897" s="76">
        <f ca="1">SUMIF('Production '!$C$4:$AI$4407,'Tracking Sheet'!B897,'Production '!$W$4:$W$4407)</f>
        <v>2681</v>
      </c>
      <c r="H897" s="76">
        <f ca="1">SUMIF('Production '!$C$4:$AI$4407,'Tracking Sheet'!B897,'Production '!$F$4:$F$4407)</f>
        <v>3438</v>
      </c>
      <c r="I897" s="76">
        <f ca="1">SUMIF('Production '!$C$4:$AI$4407,'Tracking Sheet'!B897,'Production '!$V$4:$V$4407)</f>
        <v>0</v>
      </c>
      <c r="J897" s="76">
        <f ca="1">SUMIF('Production '!$C$4:$AI$4407,'Tracking Sheet'!B897,'Production '!$AG$4:$AG$4407)</f>
        <v>0</v>
      </c>
    </row>
    <row r="898" spans="2:10" x14ac:dyDescent="0.3">
      <c r="B898" s="277">
        <f>'Production '!C901</f>
        <v>47958</v>
      </c>
      <c r="C898" s="76">
        <f ca="1">SUMIF('Production '!$C$4:$AI$4407,'Tracking Sheet'!B898,'Production '!$M$4:$M$4407)</f>
        <v>3563</v>
      </c>
      <c r="D898" s="76">
        <f ca="1">SUMIF('Production '!$C$4:$AI$4407,'Tracking Sheet'!B898,'Production '!$Q$4:$Q$4407)</f>
        <v>3563</v>
      </c>
      <c r="E898" s="76">
        <f ca="1">SUMIF('Production '!$C$4:$AI$4407,'Tracking Sheet'!B898,'Production '!$S$4:$S$4407)</f>
        <v>3563</v>
      </c>
      <c r="F898" s="76">
        <f ca="1">SUMIF('Production '!$C$4:$AI$4407,'Tracking Sheet'!B898,'Production '!$U$4:$U$4407)</f>
        <v>882</v>
      </c>
      <c r="G898" s="76">
        <f ca="1">SUMIF('Production '!$C$4:$AI$4407,'Tracking Sheet'!B898,'Production '!$W$4:$W$4407)</f>
        <v>2681</v>
      </c>
      <c r="H898" s="76">
        <f ca="1">SUMIF('Production '!$C$4:$AI$4407,'Tracking Sheet'!B898,'Production '!$F$4:$F$4407)</f>
        <v>3438</v>
      </c>
      <c r="I898" s="76">
        <f ca="1">SUMIF('Production '!$C$4:$AI$4407,'Tracking Sheet'!B898,'Production '!$V$4:$V$4407)</f>
        <v>0</v>
      </c>
      <c r="J898" s="76">
        <f ca="1">SUMIF('Production '!$C$4:$AI$4407,'Tracking Sheet'!B898,'Production '!$AG$4:$AG$4407)</f>
        <v>0</v>
      </c>
    </row>
    <row r="899" spans="2:10" x14ac:dyDescent="0.3">
      <c r="B899" s="277">
        <f>'Production '!C902</f>
        <v>47958</v>
      </c>
      <c r="C899" s="76">
        <f ca="1">SUMIF('Production '!$C$4:$AI$4407,'Tracking Sheet'!B899,'Production '!$M$4:$M$4407)</f>
        <v>3563</v>
      </c>
      <c r="D899" s="76">
        <f ca="1">SUMIF('Production '!$C$4:$AI$4407,'Tracking Sheet'!B899,'Production '!$Q$4:$Q$4407)</f>
        <v>3563</v>
      </c>
      <c r="E899" s="76">
        <f ca="1">SUMIF('Production '!$C$4:$AI$4407,'Tracking Sheet'!B899,'Production '!$S$4:$S$4407)</f>
        <v>3563</v>
      </c>
      <c r="F899" s="76">
        <f ca="1">SUMIF('Production '!$C$4:$AI$4407,'Tracking Sheet'!B899,'Production '!$U$4:$U$4407)</f>
        <v>882</v>
      </c>
      <c r="G899" s="76">
        <f ca="1">SUMIF('Production '!$C$4:$AI$4407,'Tracking Sheet'!B899,'Production '!$W$4:$W$4407)</f>
        <v>2681</v>
      </c>
      <c r="H899" s="76">
        <f ca="1">SUMIF('Production '!$C$4:$AI$4407,'Tracking Sheet'!B899,'Production '!$F$4:$F$4407)</f>
        <v>3438</v>
      </c>
      <c r="I899" s="76">
        <f ca="1">SUMIF('Production '!$C$4:$AI$4407,'Tracking Sheet'!B899,'Production '!$V$4:$V$4407)</f>
        <v>0</v>
      </c>
      <c r="J899" s="76">
        <f ca="1">SUMIF('Production '!$C$4:$AI$4407,'Tracking Sheet'!B899,'Production '!$AG$4:$AG$4407)</f>
        <v>0</v>
      </c>
    </row>
    <row r="900" spans="2:10" x14ac:dyDescent="0.3">
      <c r="B900" s="277">
        <f>'Production '!C903</f>
        <v>0</v>
      </c>
      <c r="C900" s="76" t="e">
        <f ca="1">SUMIF('Production '!$C$4:$AI$4407,'Tracking Sheet'!B900,'Production '!$M$4:$M$4407)</f>
        <v>#DIV/0!</v>
      </c>
      <c r="D900" s="76" t="e">
        <f ca="1">SUMIF('Production '!$C$4:$AI$4407,'Tracking Sheet'!B900,'Production '!$Q$4:$Q$4407)</f>
        <v>#DIV/0!</v>
      </c>
      <c r="E900" s="76">
        <f ca="1">SUMIF('Production '!$C$4:$AI$4407,'Tracking Sheet'!B900,'Production '!$S$4:$S$4407)</f>
        <v>-1268218.9828305368</v>
      </c>
      <c r="F900" s="76">
        <f ca="1">SUMIF('Production '!$C$4:$AI$4407,'Tracking Sheet'!B900,'Production '!$U$4:$U$4407)</f>
        <v>-10620.435600016917</v>
      </c>
      <c r="G900" s="76" t="e">
        <f ca="1">SUMIF('Production '!$C$4:$AI$4407,'Tracking Sheet'!B900,'Production '!$W$4:$W$4407)</f>
        <v>#DIV/0!</v>
      </c>
      <c r="H900" s="76">
        <f ca="1">SUMIF('Production '!$C$4:$AI$4407,'Tracking Sheet'!B900,'Production '!$F$4:$F$4407)</f>
        <v>3230621.3283604058</v>
      </c>
      <c r="I900" s="76">
        <f ca="1">SUMIF('Production '!$C$4:$AI$4407,'Tracking Sheet'!B900,'Production '!$V$4:$V$4407)</f>
        <v>-489.86487791182844</v>
      </c>
      <c r="J900" s="76">
        <f ca="1">SUMIF('Production '!$C$4:$AI$4407,'Tracking Sheet'!B900,'Production '!$AG$4:$AG$4407)</f>
        <v>0</v>
      </c>
    </row>
    <row r="901" spans="2:10" x14ac:dyDescent="0.3">
      <c r="B901" s="277">
        <f>'Production '!C904</f>
        <v>47965</v>
      </c>
      <c r="C901" s="76">
        <f ca="1">SUMIF('Production '!$C$4:$AI$4407,'Tracking Sheet'!B901,'Production '!$M$4:$M$4407)</f>
        <v>1227</v>
      </c>
      <c r="D901" s="76">
        <f ca="1">SUMIF('Production '!$C$4:$AI$4407,'Tracking Sheet'!B901,'Production '!$Q$4:$Q$4407)</f>
        <v>0</v>
      </c>
      <c r="E901" s="76">
        <f ca="1">SUMIF('Production '!$C$4:$AI$4407,'Tracking Sheet'!B901,'Production '!$S$4:$S$4407)</f>
        <v>0</v>
      </c>
      <c r="F901" s="76">
        <f ca="1">SUMIF('Production '!$C$4:$AI$4407,'Tracking Sheet'!B901,'Production '!$U$4:$U$4407)</f>
        <v>1227</v>
      </c>
      <c r="G901" s="76">
        <f ca="1">SUMIF('Production '!$C$4:$AI$4407,'Tracking Sheet'!B901,'Production '!$W$4:$W$4407)</f>
        <v>0</v>
      </c>
      <c r="H901" s="76">
        <f ca="1">SUMIF('Production '!$C$4:$AI$4407,'Tracking Sheet'!B901,'Production '!$F$4:$F$4407)</f>
        <v>1458</v>
      </c>
      <c r="I901" s="76">
        <f ca="1">SUMIF('Production '!$C$4:$AI$4407,'Tracking Sheet'!B901,'Production '!$V$4:$V$4407)</f>
        <v>0</v>
      </c>
      <c r="J901" s="76">
        <f ca="1">SUMIF('Production '!$C$4:$AI$4407,'Tracking Sheet'!B901,'Production '!$AG$4:$AG$4407)</f>
        <v>-249</v>
      </c>
    </row>
    <row r="902" spans="2:10" x14ac:dyDescent="0.3">
      <c r="B902" s="277">
        <f>'Production '!C905</f>
        <v>47965</v>
      </c>
      <c r="C902" s="76">
        <f ca="1">SUMIF('Production '!$C$4:$AI$4407,'Tracking Sheet'!B902,'Production '!$M$4:$M$4407)</f>
        <v>1227</v>
      </c>
      <c r="D902" s="76">
        <f ca="1">SUMIF('Production '!$C$4:$AI$4407,'Tracking Sheet'!B902,'Production '!$Q$4:$Q$4407)</f>
        <v>0</v>
      </c>
      <c r="E902" s="76">
        <f ca="1">SUMIF('Production '!$C$4:$AI$4407,'Tracking Sheet'!B902,'Production '!$S$4:$S$4407)</f>
        <v>0</v>
      </c>
      <c r="F902" s="76">
        <f ca="1">SUMIF('Production '!$C$4:$AI$4407,'Tracking Sheet'!B902,'Production '!$U$4:$U$4407)</f>
        <v>1227</v>
      </c>
      <c r="G902" s="76">
        <f ca="1">SUMIF('Production '!$C$4:$AI$4407,'Tracking Sheet'!B902,'Production '!$W$4:$W$4407)</f>
        <v>0</v>
      </c>
      <c r="H902" s="76">
        <f ca="1">SUMIF('Production '!$C$4:$AI$4407,'Tracking Sheet'!B902,'Production '!$F$4:$F$4407)</f>
        <v>1458</v>
      </c>
      <c r="I902" s="76">
        <f ca="1">SUMIF('Production '!$C$4:$AI$4407,'Tracking Sheet'!B902,'Production '!$V$4:$V$4407)</f>
        <v>0</v>
      </c>
      <c r="J902" s="76">
        <f ca="1">SUMIF('Production '!$C$4:$AI$4407,'Tracking Sheet'!B902,'Production '!$AG$4:$AG$4407)</f>
        <v>-249</v>
      </c>
    </row>
    <row r="903" spans="2:10" x14ac:dyDescent="0.3">
      <c r="B903" s="277">
        <f>'Production '!C906</f>
        <v>0</v>
      </c>
      <c r="C903" s="76" t="e">
        <f ca="1">SUMIF('Production '!$C$4:$AI$4407,'Tracking Sheet'!B903,'Production '!$M$4:$M$4407)</f>
        <v>#DIV/0!</v>
      </c>
      <c r="D903" s="76" t="e">
        <f ca="1">SUMIF('Production '!$C$4:$AI$4407,'Tracking Sheet'!B903,'Production '!$Q$4:$Q$4407)</f>
        <v>#DIV/0!</v>
      </c>
      <c r="E903" s="76">
        <f ca="1">SUMIF('Production '!$C$4:$AI$4407,'Tracking Sheet'!B903,'Production '!$S$4:$S$4407)</f>
        <v>-1268218.9828305368</v>
      </c>
      <c r="F903" s="76">
        <f ca="1">SUMIF('Production '!$C$4:$AI$4407,'Tracking Sheet'!B903,'Production '!$U$4:$U$4407)</f>
        <v>-10620.435600016917</v>
      </c>
      <c r="G903" s="76" t="e">
        <f ca="1">SUMIF('Production '!$C$4:$AI$4407,'Tracking Sheet'!B903,'Production '!$W$4:$W$4407)</f>
        <v>#DIV/0!</v>
      </c>
      <c r="H903" s="76">
        <f ca="1">SUMIF('Production '!$C$4:$AI$4407,'Tracking Sheet'!B903,'Production '!$F$4:$F$4407)</f>
        <v>3230621.3283604058</v>
      </c>
      <c r="I903" s="76">
        <f ca="1">SUMIF('Production '!$C$4:$AI$4407,'Tracking Sheet'!B903,'Production '!$V$4:$V$4407)</f>
        <v>-489.86487791182844</v>
      </c>
      <c r="J903" s="76">
        <f ca="1">SUMIF('Production '!$C$4:$AI$4407,'Tracking Sheet'!B903,'Production '!$AG$4:$AG$4407)</f>
        <v>0</v>
      </c>
    </row>
    <row r="904" spans="2:10" x14ac:dyDescent="0.3">
      <c r="B904" s="277">
        <f>'Production '!C907</f>
        <v>47959</v>
      </c>
      <c r="C904" s="76">
        <f ca="1">SUMIF('Production '!$C$4:$AI$4407,'Tracking Sheet'!B904,'Production '!$M$4:$M$4407)</f>
        <v>3125</v>
      </c>
      <c r="D904" s="76">
        <f ca="1">SUMIF('Production '!$C$4:$AI$4407,'Tracking Sheet'!B904,'Production '!$Q$4:$Q$4407)</f>
        <v>3125</v>
      </c>
      <c r="E904" s="76">
        <f ca="1">SUMIF('Production '!$C$4:$AI$4407,'Tracking Sheet'!B904,'Production '!$S$4:$S$4407)</f>
        <v>3125</v>
      </c>
      <c r="F904" s="76">
        <f ca="1">SUMIF('Production '!$C$4:$AI$4407,'Tracking Sheet'!B904,'Production '!$U$4:$U$4407)</f>
        <v>3125</v>
      </c>
      <c r="G904" s="76">
        <f ca="1">SUMIF('Production '!$C$4:$AI$4407,'Tracking Sheet'!B904,'Production '!$W$4:$W$4407)</f>
        <v>0</v>
      </c>
      <c r="H904" s="76">
        <f ca="1">SUMIF('Production '!$C$4:$AI$4407,'Tracking Sheet'!B904,'Production '!$F$4:$F$4407)</f>
        <v>3008</v>
      </c>
      <c r="I904" s="76">
        <f ca="1">SUMIF('Production '!$C$4:$AI$4407,'Tracking Sheet'!B904,'Production '!$V$4:$V$4407)</f>
        <v>0</v>
      </c>
      <c r="J904" s="76">
        <f ca="1">SUMIF('Production '!$C$4:$AI$4407,'Tracking Sheet'!B904,'Production '!$AG$4:$AG$4407)</f>
        <v>0</v>
      </c>
    </row>
    <row r="905" spans="2:10" x14ac:dyDescent="0.3">
      <c r="B905" s="277">
        <f>'Production '!C908</f>
        <v>47959</v>
      </c>
      <c r="C905" s="76">
        <f ca="1">SUMIF('Production '!$C$4:$AI$4407,'Tracking Sheet'!B905,'Production '!$M$4:$M$4407)</f>
        <v>3125</v>
      </c>
      <c r="D905" s="76">
        <f ca="1">SUMIF('Production '!$C$4:$AI$4407,'Tracking Sheet'!B905,'Production '!$Q$4:$Q$4407)</f>
        <v>3125</v>
      </c>
      <c r="E905" s="76">
        <f ca="1">SUMIF('Production '!$C$4:$AI$4407,'Tracking Sheet'!B905,'Production '!$S$4:$S$4407)</f>
        <v>3125</v>
      </c>
      <c r="F905" s="76">
        <f ca="1">SUMIF('Production '!$C$4:$AI$4407,'Tracking Sheet'!B905,'Production '!$U$4:$U$4407)</f>
        <v>3125</v>
      </c>
      <c r="G905" s="76">
        <f ca="1">SUMIF('Production '!$C$4:$AI$4407,'Tracking Sheet'!B905,'Production '!$W$4:$W$4407)</f>
        <v>0</v>
      </c>
      <c r="H905" s="76">
        <f ca="1">SUMIF('Production '!$C$4:$AI$4407,'Tracking Sheet'!B905,'Production '!$F$4:$F$4407)</f>
        <v>3008</v>
      </c>
      <c r="I905" s="76">
        <f ca="1">SUMIF('Production '!$C$4:$AI$4407,'Tracking Sheet'!B905,'Production '!$V$4:$V$4407)</f>
        <v>0</v>
      </c>
      <c r="J905" s="76">
        <f ca="1">SUMIF('Production '!$C$4:$AI$4407,'Tracking Sheet'!B905,'Production '!$AG$4:$AG$4407)</f>
        <v>0</v>
      </c>
    </row>
    <row r="906" spans="2:10" x14ac:dyDescent="0.3">
      <c r="B906" s="277">
        <f>'Production '!C909</f>
        <v>47959</v>
      </c>
      <c r="C906" s="76">
        <f ca="1">SUMIF('Production '!$C$4:$AI$4407,'Tracking Sheet'!B906,'Production '!$M$4:$M$4407)</f>
        <v>3125</v>
      </c>
      <c r="D906" s="76">
        <f ca="1">SUMIF('Production '!$C$4:$AI$4407,'Tracking Sheet'!B906,'Production '!$Q$4:$Q$4407)</f>
        <v>3125</v>
      </c>
      <c r="E906" s="76">
        <f ca="1">SUMIF('Production '!$C$4:$AI$4407,'Tracking Sheet'!B906,'Production '!$S$4:$S$4407)</f>
        <v>3125</v>
      </c>
      <c r="F906" s="76">
        <f ca="1">SUMIF('Production '!$C$4:$AI$4407,'Tracking Sheet'!B906,'Production '!$U$4:$U$4407)</f>
        <v>3125</v>
      </c>
      <c r="G906" s="76">
        <f ca="1">SUMIF('Production '!$C$4:$AI$4407,'Tracking Sheet'!B906,'Production '!$W$4:$W$4407)</f>
        <v>0</v>
      </c>
      <c r="H906" s="76">
        <f ca="1">SUMIF('Production '!$C$4:$AI$4407,'Tracking Sheet'!B906,'Production '!$F$4:$F$4407)</f>
        <v>3008</v>
      </c>
      <c r="I906" s="76">
        <f ca="1">SUMIF('Production '!$C$4:$AI$4407,'Tracking Sheet'!B906,'Production '!$V$4:$V$4407)</f>
        <v>0</v>
      </c>
      <c r="J906" s="76">
        <f ca="1">SUMIF('Production '!$C$4:$AI$4407,'Tracking Sheet'!B906,'Production '!$AG$4:$AG$4407)</f>
        <v>0</v>
      </c>
    </row>
    <row r="907" spans="2:10" x14ac:dyDescent="0.3">
      <c r="B907" s="277">
        <f>'Production '!C910</f>
        <v>0</v>
      </c>
      <c r="C907" s="76" t="e">
        <f ca="1">SUMIF('Production '!$C$4:$AI$4407,'Tracking Sheet'!B907,'Production '!$M$4:$M$4407)</f>
        <v>#DIV/0!</v>
      </c>
      <c r="D907" s="76" t="e">
        <f ca="1">SUMIF('Production '!$C$4:$AI$4407,'Tracking Sheet'!B907,'Production '!$Q$4:$Q$4407)</f>
        <v>#DIV/0!</v>
      </c>
      <c r="E907" s="76">
        <f ca="1">SUMIF('Production '!$C$4:$AI$4407,'Tracking Sheet'!B907,'Production '!$S$4:$S$4407)</f>
        <v>-1268218.9828305368</v>
      </c>
      <c r="F907" s="76">
        <f ca="1">SUMIF('Production '!$C$4:$AI$4407,'Tracking Sheet'!B907,'Production '!$U$4:$U$4407)</f>
        <v>-10620.435600016917</v>
      </c>
      <c r="G907" s="76" t="e">
        <f ca="1">SUMIF('Production '!$C$4:$AI$4407,'Tracking Sheet'!B907,'Production '!$W$4:$W$4407)</f>
        <v>#DIV/0!</v>
      </c>
      <c r="H907" s="76">
        <f ca="1">SUMIF('Production '!$C$4:$AI$4407,'Tracking Sheet'!B907,'Production '!$F$4:$F$4407)</f>
        <v>3230621.3283604058</v>
      </c>
      <c r="I907" s="76">
        <f ca="1">SUMIF('Production '!$C$4:$AI$4407,'Tracking Sheet'!B907,'Production '!$V$4:$V$4407)</f>
        <v>-489.86487791182844</v>
      </c>
      <c r="J907" s="76">
        <f ca="1">SUMIF('Production '!$C$4:$AI$4407,'Tracking Sheet'!B907,'Production '!$AG$4:$AG$4407)</f>
        <v>0</v>
      </c>
    </row>
    <row r="908" spans="2:10" x14ac:dyDescent="0.3">
      <c r="B908" s="277">
        <f>'Production '!C911</f>
        <v>47539</v>
      </c>
      <c r="C908" s="76">
        <f ca="1">SUMIF('Production '!$C$4:$AI$4407,'Tracking Sheet'!B908,'Production '!$M$4:$M$4407)</f>
        <v>1699</v>
      </c>
      <c r="D908" s="76">
        <f ca="1">SUMIF('Production '!$C$4:$AI$4407,'Tracking Sheet'!B908,'Production '!$Q$4:$Q$4407)</f>
        <v>851</v>
      </c>
      <c r="E908" s="76">
        <f ca="1">SUMIF('Production '!$C$4:$AI$4407,'Tracking Sheet'!B908,'Production '!$S$4:$S$4407)</f>
        <v>849</v>
      </c>
      <c r="F908" s="76">
        <f ca="1">SUMIF('Production '!$C$4:$AI$4407,'Tracking Sheet'!B908,'Production '!$U$4:$U$4407)</f>
        <v>7</v>
      </c>
      <c r="G908" s="76">
        <f ca="1">SUMIF('Production '!$C$4:$AI$4407,'Tracking Sheet'!B908,'Production '!$W$4:$W$4407)</f>
        <v>1684</v>
      </c>
      <c r="H908" s="76">
        <f ca="1">SUMIF('Production '!$C$4:$AI$4407,'Tracking Sheet'!B908,'Production '!$F$4:$F$4407)</f>
        <v>1608</v>
      </c>
      <c r="I908" s="76">
        <f ca="1">SUMIF('Production '!$C$4:$AI$4407,'Tracking Sheet'!B908,'Production '!$V$4:$V$4407)</f>
        <v>0</v>
      </c>
      <c r="J908" s="76">
        <f ca="1">SUMIF('Production '!$C$4:$AI$4407,'Tracking Sheet'!B908,'Production '!$AG$4:$AG$4407)</f>
        <v>0</v>
      </c>
    </row>
    <row r="909" spans="2:10" x14ac:dyDescent="0.3">
      <c r="B909" s="277">
        <f>'Production '!C912</f>
        <v>47539</v>
      </c>
      <c r="C909" s="76">
        <f ca="1">SUMIF('Production '!$C$4:$AI$4407,'Tracking Sheet'!B909,'Production '!$M$4:$M$4407)</f>
        <v>1699</v>
      </c>
      <c r="D909" s="76">
        <f ca="1">SUMIF('Production '!$C$4:$AI$4407,'Tracking Sheet'!B909,'Production '!$Q$4:$Q$4407)</f>
        <v>851</v>
      </c>
      <c r="E909" s="76">
        <f ca="1">SUMIF('Production '!$C$4:$AI$4407,'Tracking Sheet'!B909,'Production '!$S$4:$S$4407)</f>
        <v>849</v>
      </c>
      <c r="F909" s="76">
        <f ca="1">SUMIF('Production '!$C$4:$AI$4407,'Tracking Sheet'!B909,'Production '!$U$4:$U$4407)</f>
        <v>7</v>
      </c>
      <c r="G909" s="76">
        <f ca="1">SUMIF('Production '!$C$4:$AI$4407,'Tracking Sheet'!B909,'Production '!$W$4:$W$4407)</f>
        <v>1684</v>
      </c>
      <c r="H909" s="76">
        <f ca="1">SUMIF('Production '!$C$4:$AI$4407,'Tracking Sheet'!B909,'Production '!$F$4:$F$4407)</f>
        <v>1608</v>
      </c>
      <c r="I909" s="76">
        <f ca="1">SUMIF('Production '!$C$4:$AI$4407,'Tracking Sheet'!B909,'Production '!$V$4:$V$4407)</f>
        <v>0</v>
      </c>
      <c r="J909" s="76">
        <f ca="1">SUMIF('Production '!$C$4:$AI$4407,'Tracking Sheet'!B909,'Production '!$AG$4:$AG$4407)</f>
        <v>0</v>
      </c>
    </row>
    <row r="910" spans="2:10" x14ac:dyDescent="0.3">
      <c r="B910" s="277">
        <f>'Production '!C913</f>
        <v>0</v>
      </c>
      <c r="C910" s="76" t="e">
        <f ca="1">SUMIF('Production '!$C$4:$AI$4407,'Tracking Sheet'!B910,'Production '!$M$4:$M$4407)</f>
        <v>#DIV/0!</v>
      </c>
      <c r="D910" s="76" t="e">
        <f ca="1">SUMIF('Production '!$C$4:$AI$4407,'Tracking Sheet'!B910,'Production '!$Q$4:$Q$4407)</f>
        <v>#DIV/0!</v>
      </c>
      <c r="E910" s="76">
        <f ca="1">SUMIF('Production '!$C$4:$AI$4407,'Tracking Sheet'!B910,'Production '!$S$4:$S$4407)</f>
        <v>-1268218.9828305368</v>
      </c>
      <c r="F910" s="76">
        <f ca="1">SUMIF('Production '!$C$4:$AI$4407,'Tracking Sheet'!B910,'Production '!$U$4:$U$4407)</f>
        <v>-10620.435600016917</v>
      </c>
      <c r="G910" s="76" t="e">
        <f ca="1">SUMIF('Production '!$C$4:$AI$4407,'Tracking Sheet'!B910,'Production '!$W$4:$W$4407)</f>
        <v>#DIV/0!</v>
      </c>
      <c r="H910" s="76">
        <f ca="1">SUMIF('Production '!$C$4:$AI$4407,'Tracking Sheet'!B910,'Production '!$F$4:$F$4407)</f>
        <v>3230621.3283604058</v>
      </c>
      <c r="I910" s="76">
        <f ca="1">SUMIF('Production '!$C$4:$AI$4407,'Tracking Sheet'!B910,'Production '!$V$4:$V$4407)</f>
        <v>-489.86487791182844</v>
      </c>
      <c r="J910" s="76">
        <f ca="1">SUMIF('Production '!$C$4:$AI$4407,'Tracking Sheet'!B910,'Production '!$AG$4:$AG$4407)</f>
        <v>0</v>
      </c>
    </row>
    <row r="911" spans="2:10" x14ac:dyDescent="0.3">
      <c r="B911" s="277">
        <f>'Production '!C914</f>
        <v>48067</v>
      </c>
      <c r="C911" s="76">
        <f ca="1">SUMIF('Production '!$C$4:$AI$4407,'Tracking Sheet'!B911,'Production '!$M$4:$M$4407)</f>
        <v>2255</v>
      </c>
      <c r="D911" s="76">
        <f ca="1">SUMIF('Production '!$C$4:$AI$4407,'Tracking Sheet'!B911,'Production '!$Q$4:$Q$4407)</f>
        <v>3016</v>
      </c>
      <c r="E911" s="76">
        <f ca="1">SUMIF('Production '!$C$4:$AI$4407,'Tracking Sheet'!B911,'Production '!$S$4:$S$4407)</f>
        <v>0</v>
      </c>
      <c r="F911" s="76">
        <f ca="1">SUMIF('Production '!$C$4:$AI$4407,'Tracking Sheet'!B911,'Production '!$U$4:$U$4407)</f>
        <v>0</v>
      </c>
      <c r="G911" s="76">
        <f ca="1">SUMIF('Production '!$C$4:$AI$4407,'Tracking Sheet'!B911,'Production '!$W$4:$W$4407)</f>
        <v>0</v>
      </c>
      <c r="H911" s="76">
        <f ca="1">SUMIF('Production '!$C$4:$AI$4407,'Tracking Sheet'!B911,'Production '!$F$4:$F$4407)</f>
        <v>3168</v>
      </c>
      <c r="I911" s="76">
        <f ca="1">SUMIF('Production '!$C$4:$AI$4407,'Tracking Sheet'!B911,'Production '!$V$4:$V$4407)</f>
        <v>0</v>
      </c>
      <c r="J911" s="76">
        <f ca="1">SUMIF('Production '!$C$4:$AI$4407,'Tracking Sheet'!B911,'Production '!$AG$4:$AG$4407)</f>
        <v>-1008</v>
      </c>
    </row>
    <row r="912" spans="2:10" x14ac:dyDescent="0.3">
      <c r="B912" s="277">
        <f>'Production '!C915</f>
        <v>48067</v>
      </c>
      <c r="C912" s="76">
        <f ca="1">SUMIF('Production '!$C$4:$AI$4407,'Tracking Sheet'!B912,'Production '!$M$4:$M$4407)</f>
        <v>2255</v>
      </c>
      <c r="D912" s="76">
        <f ca="1">SUMIF('Production '!$C$4:$AI$4407,'Tracking Sheet'!B912,'Production '!$Q$4:$Q$4407)</f>
        <v>3016</v>
      </c>
      <c r="E912" s="76">
        <f ca="1">SUMIF('Production '!$C$4:$AI$4407,'Tracking Sheet'!B912,'Production '!$S$4:$S$4407)</f>
        <v>0</v>
      </c>
      <c r="F912" s="76">
        <f ca="1">SUMIF('Production '!$C$4:$AI$4407,'Tracking Sheet'!B912,'Production '!$U$4:$U$4407)</f>
        <v>0</v>
      </c>
      <c r="G912" s="76">
        <f ca="1">SUMIF('Production '!$C$4:$AI$4407,'Tracking Sheet'!B912,'Production '!$W$4:$W$4407)</f>
        <v>0</v>
      </c>
      <c r="H912" s="76">
        <f ca="1">SUMIF('Production '!$C$4:$AI$4407,'Tracking Sheet'!B912,'Production '!$F$4:$F$4407)</f>
        <v>3168</v>
      </c>
      <c r="I912" s="76">
        <f ca="1">SUMIF('Production '!$C$4:$AI$4407,'Tracking Sheet'!B912,'Production '!$V$4:$V$4407)</f>
        <v>0</v>
      </c>
      <c r="J912" s="76">
        <f ca="1">SUMIF('Production '!$C$4:$AI$4407,'Tracking Sheet'!B912,'Production '!$AG$4:$AG$4407)</f>
        <v>-1008</v>
      </c>
    </row>
    <row r="913" spans="2:10" x14ac:dyDescent="0.3">
      <c r="B913" s="277">
        <f>'Production '!C916</f>
        <v>48067</v>
      </c>
      <c r="C913" s="76">
        <f ca="1">SUMIF('Production '!$C$4:$AI$4407,'Tracking Sheet'!B913,'Production '!$M$4:$M$4407)</f>
        <v>2255</v>
      </c>
      <c r="D913" s="76">
        <f ca="1">SUMIF('Production '!$C$4:$AI$4407,'Tracking Sheet'!B913,'Production '!$Q$4:$Q$4407)</f>
        <v>3016</v>
      </c>
      <c r="E913" s="76">
        <f ca="1">SUMIF('Production '!$C$4:$AI$4407,'Tracking Sheet'!B913,'Production '!$S$4:$S$4407)</f>
        <v>0</v>
      </c>
      <c r="F913" s="76">
        <f ca="1">SUMIF('Production '!$C$4:$AI$4407,'Tracking Sheet'!B913,'Production '!$U$4:$U$4407)</f>
        <v>0</v>
      </c>
      <c r="G913" s="76">
        <f ca="1">SUMIF('Production '!$C$4:$AI$4407,'Tracking Sheet'!B913,'Production '!$W$4:$W$4407)</f>
        <v>0</v>
      </c>
      <c r="H913" s="76">
        <f ca="1">SUMIF('Production '!$C$4:$AI$4407,'Tracking Sheet'!B913,'Production '!$F$4:$F$4407)</f>
        <v>3168</v>
      </c>
      <c r="I913" s="76">
        <f ca="1">SUMIF('Production '!$C$4:$AI$4407,'Tracking Sheet'!B913,'Production '!$V$4:$V$4407)</f>
        <v>0</v>
      </c>
      <c r="J913" s="76">
        <f ca="1">SUMIF('Production '!$C$4:$AI$4407,'Tracking Sheet'!B913,'Production '!$AG$4:$AG$4407)</f>
        <v>-1008</v>
      </c>
    </row>
    <row r="914" spans="2:10" x14ac:dyDescent="0.3">
      <c r="B914" s="277">
        <f>'Production '!C917</f>
        <v>0</v>
      </c>
      <c r="C914" s="76" t="e">
        <f ca="1">SUMIF('Production '!$C$4:$AI$4407,'Tracking Sheet'!B914,'Production '!$M$4:$M$4407)</f>
        <v>#DIV/0!</v>
      </c>
      <c r="D914" s="76" t="e">
        <f ca="1">SUMIF('Production '!$C$4:$AI$4407,'Tracking Sheet'!B914,'Production '!$Q$4:$Q$4407)</f>
        <v>#DIV/0!</v>
      </c>
      <c r="E914" s="76">
        <f ca="1">SUMIF('Production '!$C$4:$AI$4407,'Tracking Sheet'!B914,'Production '!$S$4:$S$4407)</f>
        <v>-1268218.9828305368</v>
      </c>
      <c r="F914" s="76">
        <f ca="1">SUMIF('Production '!$C$4:$AI$4407,'Tracking Sheet'!B914,'Production '!$U$4:$U$4407)</f>
        <v>-10620.435600016917</v>
      </c>
      <c r="G914" s="76" t="e">
        <f ca="1">SUMIF('Production '!$C$4:$AI$4407,'Tracking Sheet'!B914,'Production '!$W$4:$W$4407)</f>
        <v>#DIV/0!</v>
      </c>
      <c r="H914" s="76">
        <f ca="1">SUMIF('Production '!$C$4:$AI$4407,'Tracking Sheet'!B914,'Production '!$F$4:$F$4407)</f>
        <v>3230621.3283604058</v>
      </c>
      <c r="I914" s="76">
        <f ca="1">SUMIF('Production '!$C$4:$AI$4407,'Tracking Sheet'!B914,'Production '!$V$4:$V$4407)</f>
        <v>-489.86487791182844</v>
      </c>
      <c r="J914" s="76">
        <f ca="1">SUMIF('Production '!$C$4:$AI$4407,'Tracking Sheet'!B914,'Production '!$AG$4:$AG$4407)</f>
        <v>0</v>
      </c>
    </row>
    <row r="915" spans="2:10" x14ac:dyDescent="0.3">
      <c r="B915" s="277">
        <f>'Production '!C918</f>
        <v>47540</v>
      </c>
      <c r="C915" s="76">
        <f ca="1">SUMIF('Production '!$C$4:$AI$4407,'Tracking Sheet'!B915,'Production '!$M$4:$M$4407)</f>
        <v>2804</v>
      </c>
      <c r="D915" s="76">
        <f ca="1">SUMIF('Production '!$C$4:$AI$4407,'Tracking Sheet'!B915,'Production '!$Q$4:$Q$4407)</f>
        <v>1815</v>
      </c>
      <c r="E915" s="76">
        <f ca="1">SUMIF('Production '!$C$4:$AI$4407,'Tracking Sheet'!B915,'Production '!$S$4:$S$4407)</f>
        <v>1815</v>
      </c>
      <c r="F915" s="76">
        <f ca="1">SUMIF('Production '!$C$4:$AI$4407,'Tracking Sheet'!B915,'Production '!$U$4:$U$4407)</f>
        <v>6</v>
      </c>
      <c r="G915" s="76">
        <f ca="1">SUMIF('Production '!$C$4:$AI$4407,'Tracking Sheet'!B915,'Production '!$W$4:$W$4407)</f>
        <v>2798</v>
      </c>
      <c r="H915" s="76">
        <f ca="1">SUMIF('Production '!$C$4:$AI$4407,'Tracking Sheet'!B915,'Production '!$F$4:$F$4407)</f>
        <v>2682</v>
      </c>
      <c r="I915" s="76">
        <f ca="1">SUMIF('Production '!$C$4:$AI$4407,'Tracking Sheet'!B915,'Production '!$V$4:$V$4407)</f>
        <v>0</v>
      </c>
      <c r="J915" s="76">
        <f ca="1">SUMIF('Production '!$C$4:$AI$4407,'Tracking Sheet'!B915,'Production '!$AG$4:$AG$4407)</f>
        <v>0</v>
      </c>
    </row>
    <row r="916" spans="2:10" x14ac:dyDescent="0.3">
      <c r="B916" s="277">
        <f>'Production '!C919</f>
        <v>47540</v>
      </c>
      <c r="C916" s="76">
        <f ca="1">SUMIF('Production '!$C$4:$AI$4407,'Tracking Sheet'!B916,'Production '!$M$4:$M$4407)</f>
        <v>2804</v>
      </c>
      <c r="D916" s="76">
        <f ca="1">SUMIF('Production '!$C$4:$AI$4407,'Tracking Sheet'!B916,'Production '!$Q$4:$Q$4407)</f>
        <v>1815</v>
      </c>
      <c r="E916" s="76">
        <f ca="1">SUMIF('Production '!$C$4:$AI$4407,'Tracking Sheet'!B916,'Production '!$S$4:$S$4407)</f>
        <v>1815</v>
      </c>
      <c r="F916" s="76">
        <f ca="1">SUMIF('Production '!$C$4:$AI$4407,'Tracking Sheet'!B916,'Production '!$U$4:$U$4407)</f>
        <v>6</v>
      </c>
      <c r="G916" s="76">
        <f ca="1">SUMIF('Production '!$C$4:$AI$4407,'Tracking Sheet'!B916,'Production '!$W$4:$W$4407)</f>
        <v>2798</v>
      </c>
      <c r="H916" s="76">
        <f ca="1">SUMIF('Production '!$C$4:$AI$4407,'Tracking Sheet'!B916,'Production '!$F$4:$F$4407)</f>
        <v>2682</v>
      </c>
      <c r="I916" s="76">
        <f ca="1">SUMIF('Production '!$C$4:$AI$4407,'Tracking Sheet'!B916,'Production '!$V$4:$V$4407)</f>
        <v>0</v>
      </c>
      <c r="J916" s="76">
        <f ca="1">SUMIF('Production '!$C$4:$AI$4407,'Tracking Sheet'!B916,'Production '!$AG$4:$AG$4407)</f>
        <v>0</v>
      </c>
    </row>
    <row r="917" spans="2:10" x14ac:dyDescent="0.3">
      <c r="B917" s="277">
        <f>'Production '!C920</f>
        <v>47540</v>
      </c>
      <c r="C917" s="76">
        <f ca="1">SUMIF('Production '!$C$4:$AI$4407,'Tracking Sheet'!B917,'Production '!$M$4:$M$4407)</f>
        <v>2804</v>
      </c>
      <c r="D917" s="76">
        <f ca="1">SUMIF('Production '!$C$4:$AI$4407,'Tracking Sheet'!B917,'Production '!$Q$4:$Q$4407)</f>
        <v>1815</v>
      </c>
      <c r="E917" s="76">
        <f ca="1">SUMIF('Production '!$C$4:$AI$4407,'Tracking Sheet'!B917,'Production '!$S$4:$S$4407)</f>
        <v>1815</v>
      </c>
      <c r="F917" s="76">
        <f ca="1">SUMIF('Production '!$C$4:$AI$4407,'Tracking Sheet'!B917,'Production '!$U$4:$U$4407)</f>
        <v>6</v>
      </c>
      <c r="G917" s="76">
        <f ca="1">SUMIF('Production '!$C$4:$AI$4407,'Tracking Sheet'!B917,'Production '!$W$4:$W$4407)</f>
        <v>2798</v>
      </c>
      <c r="H917" s="76">
        <f ca="1">SUMIF('Production '!$C$4:$AI$4407,'Tracking Sheet'!B917,'Production '!$F$4:$F$4407)</f>
        <v>2682</v>
      </c>
      <c r="I917" s="76">
        <f ca="1">SUMIF('Production '!$C$4:$AI$4407,'Tracking Sheet'!B917,'Production '!$V$4:$V$4407)</f>
        <v>0</v>
      </c>
      <c r="J917" s="76">
        <f ca="1">SUMIF('Production '!$C$4:$AI$4407,'Tracking Sheet'!B917,'Production '!$AG$4:$AG$4407)</f>
        <v>0</v>
      </c>
    </row>
    <row r="918" spans="2:10" x14ac:dyDescent="0.3">
      <c r="B918" s="277">
        <f>'Production '!C921</f>
        <v>0</v>
      </c>
      <c r="C918" s="76" t="e">
        <f ca="1">SUMIF('Production '!$C$4:$AI$4407,'Tracking Sheet'!B918,'Production '!$M$4:$M$4407)</f>
        <v>#DIV/0!</v>
      </c>
      <c r="D918" s="76" t="e">
        <f ca="1">SUMIF('Production '!$C$4:$AI$4407,'Tracking Sheet'!B918,'Production '!$Q$4:$Q$4407)</f>
        <v>#DIV/0!</v>
      </c>
      <c r="E918" s="76">
        <f ca="1">SUMIF('Production '!$C$4:$AI$4407,'Tracking Sheet'!B918,'Production '!$S$4:$S$4407)</f>
        <v>-1268218.9828305368</v>
      </c>
      <c r="F918" s="76">
        <f ca="1">SUMIF('Production '!$C$4:$AI$4407,'Tracking Sheet'!B918,'Production '!$U$4:$U$4407)</f>
        <v>-10620.435600016917</v>
      </c>
      <c r="G918" s="76" t="e">
        <f ca="1">SUMIF('Production '!$C$4:$AI$4407,'Tracking Sheet'!B918,'Production '!$W$4:$W$4407)</f>
        <v>#DIV/0!</v>
      </c>
      <c r="H918" s="76">
        <f ca="1">SUMIF('Production '!$C$4:$AI$4407,'Tracking Sheet'!B918,'Production '!$F$4:$F$4407)</f>
        <v>3230621.3283604058</v>
      </c>
      <c r="I918" s="76">
        <f ca="1">SUMIF('Production '!$C$4:$AI$4407,'Tracking Sheet'!B918,'Production '!$V$4:$V$4407)</f>
        <v>-489.86487791182844</v>
      </c>
      <c r="J918" s="76">
        <f ca="1">SUMIF('Production '!$C$4:$AI$4407,'Tracking Sheet'!B918,'Production '!$AG$4:$AG$4407)</f>
        <v>0</v>
      </c>
    </row>
    <row r="919" spans="2:10" x14ac:dyDescent="0.3">
      <c r="B919" s="277">
        <f>'Production '!C922</f>
        <v>48068</v>
      </c>
      <c r="C919" s="76">
        <f ca="1">SUMIF('Production '!$C$4:$AI$4407,'Tracking Sheet'!B919,'Production '!$M$4:$M$4407)</f>
        <v>2125</v>
      </c>
      <c r="D919" s="76">
        <f ca="1">SUMIF('Production '!$C$4:$AI$4407,'Tracking Sheet'!B919,'Production '!$Q$4:$Q$4407)</f>
        <v>2116</v>
      </c>
      <c r="E919" s="76">
        <f ca="1">SUMIF('Production '!$C$4:$AI$4407,'Tracking Sheet'!B919,'Production '!$S$4:$S$4407)</f>
        <v>2112</v>
      </c>
      <c r="F919" s="76">
        <f ca="1">SUMIF('Production '!$C$4:$AI$4407,'Tracking Sheet'!B919,'Production '!$U$4:$U$4407)</f>
        <v>3</v>
      </c>
      <c r="G919" s="76">
        <f ca="1">SUMIF('Production '!$C$4:$AI$4407,'Tracking Sheet'!B919,'Production '!$W$4:$W$4407)</f>
        <v>2109</v>
      </c>
      <c r="H919" s="76">
        <f ca="1">SUMIF('Production '!$C$4:$AI$4407,'Tracking Sheet'!B919,'Production '!$F$4:$F$4407)</f>
        <v>2040</v>
      </c>
      <c r="I919" s="76">
        <f ca="1">SUMIF('Production '!$C$4:$AI$4407,'Tracking Sheet'!B919,'Production '!$V$4:$V$4407)</f>
        <v>0</v>
      </c>
      <c r="J919" s="76">
        <f ca="1">SUMIF('Production '!$C$4:$AI$4407,'Tracking Sheet'!B919,'Production '!$AG$4:$AG$4407)</f>
        <v>0</v>
      </c>
    </row>
    <row r="920" spans="2:10" x14ac:dyDescent="0.3">
      <c r="B920" s="277">
        <f>'Production '!C923</f>
        <v>48068</v>
      </c>
      <c r="C920" s="76">
        <f ca="1">SUMIF('Production '!$C$4:$AI$4407,'Tracking Sheet'!B920,'Production '!$M$4:$M$4407)</f>
        <v>2125</v>
      </c>
      <c r="D920" s="76">
        <f ca="1">SUMIF('Production '!$C$4:$AI$4407,'Tracking Sheet'!B920,'Production '!$Q$4:$Q$4407)</f>
        <v>2116</v>
      </c>
      <c r="E920" s="76">
        <f ca="1">SUMIF('Production '!$C$4:$AI$4407,'Tracking Sheet'!B920,'Production '!$S$4:$S$4407)</f>
        <v>2112</v>
      </c>
      <c r="F920" s="76">
        <f ca="1">SUMIF('Production '!$C$4:$AI$4407,'Tracking Sheet'!B920,'Production '!$U$4:$U$4407)</f>
        <v>3</v>
      </c>
      <c r="G920" s="76">
        <f ca="1">SUMIF('Production '!$C$4:$AI$4407,'Tracking Sheet'!B920,'Production '!$W$4:$W$4407)</f>
        <v>2109</v>
      </c>
      <c r="H920" s="76">
        <f ca="1">SUMIF('Production '!$C$4:$AI$4407,'Tracking Sheet'!B920,'Production '!$F$4:$F$4407)</f>
        <v>2040</v>
      </c>
      <c r="I920" s="76">
        <f ca="1">SUMIF('Production '!$C$4:$AI$4407,'Tracking Sheet'!B920,'Production '!$V$4:$V$4407)</f>
        <v>0</v>
      </c>
      <c r="J920" s="76">
        <f ca="1">SUMIF('Production '!$C$4:$AI$4407,'Tracking Sheet'!B920,'Production '!$AG$4:$AG$4407)</f>
        <v>0</v>
      </c>
    </row>
    <row r="921" spans="2:10" x14ac:dyDescent="0.3">
      <c r="B921" s="277">
        <f>'Production '!C924</f>
        <v>0</v>
      </c>
      <c r="C921" s="76" t="e">
        <f ca="1">SUMIF('Production '!$C$4:$AI$4407,'Tracking Sheet'!B921,'Production '!$M$4:$M$4407)</f>
        <v>#DIV/0!</v>
      </c>
      <c r="D921" s="76" t="e">
        <f ca="1">SUMIF('Production '!$C$4:$AI$4407,'Tracking Sheet'!B921,'Production '!$Q$4:$Q$4407)</f>
        <v>#DIV/0!</v>
      </c>
      <c r="E921" s="76">
        <f ca="1">SUMIF('Production '!$C$4:$AI$4407,'Tracking Sheet'!B921,'Production '!$S$4:$S$4407)</f>
        <v>-1268218.9828305368</v>
      </c>
      <c r="F921" s="76">
        <f ca="1">SUMIF('Production '!$C$4:$AI$4407,'Tracking Sheet'!B921,'Production '!$U$4:$U$4407)</f>
        <v>-10620.435600016917</v>
      </c>
      <c r="G921" s="76" t="e">
        <f ca="1">SUMIF('Production '!$C$4:$AI$4407,'Tracking Sheet'!B921,'Production '!$W$4:$W$4407)</f>
        <v>#DIV/0!</v>
      </c>
      <c r="H921" s="76">
        <f ca="1">SUMIF('Production '!$C$4:$AI$4407,'Tracking Sheet'!B921,'Production '!$F$4:$F$4407)</f>
        <v>3230621.3283604058</v>
      </c>
      <c r="I921" s="76">
        <f ca="1">SUMIF('Production '!$C$4:$AI$4407,'Tracking Sheet'!B921,'Production '!$V$4:$V$4407)</f>
        <v>-489.86487791182844</v>
      </c>
      <c r="J921" s="76">
        <f ca="1">SUMIF('Production '!$C$4:$AI$4407,'Tracking Sheet'!B921,'Production '!$AG$4:$AG$4407)</f>
        <v>0</v>
      </c>
    </row>
    <row r="922" spans="2:10" x14ac:dyDescent="0.3">
      <c r="B922" s="277">
        <f>'Production '!C925</f>
        <v>48070</v>
      </c>
      <c r="C922" s="76">
        <f ca="1">SUMIF('Production '!$C$4:$AI$4407,'Tracking Sheet'!B922,'Production '!$M$4:$M$4407)</f>
        <v>1732</v>
      </c>
      <c r="D922" s="76">
        <f ca="1">SUMIF('Production '!$C$4:$AI$4407,'Tracking Sheet'!B922,'Production '!$Q$4:$Q$4407)</f>
        <v>1731</v>
      </c>
      <c r="E922" s="76">
        <f ca="1">SUMIF('Production '!$C$4:$AI$4407,'Tracking Sheet'!B922,'Production '!$S$4:$S$4407)</f>
        <v>1648</v>
      </c>
      <c r="F922" s="76">
        <f ca="1">SUMIF('Production '!$C$4:$AI$4407,'Tracking Sheet'!B922,'Production '!$U$4:$U$4407)</f>
        <v>6</v>
      </c>
      <c r="G922" s="76">
        <f ca="1">SUMIF('Production '!$C$4:$AI$4407,'Tracking Sheet'!B922,'Production '!$W$4:$W$4407)</f>
        <v>1642</v>
      </c>
      <c r="H922" s="76">
        <f ca="1">SUMIF('Production '!$C$4:$AI$4407,'Tracking Sheet'!B922,'Production '!$F$4:$F$4407)</f>
        <v>1650</v>
      </c>
      <c r="I922" s="76">
        <f ca="1">SUMIF('Production '!$C$4:$AI$4407,'Tracking Sheet'!B922,'Production '!$V$4:$V$4407)</f>
        <v>0</v>
      </c>
      <c r="J922" s="76">
        <f ca="1">SUMIF('Production '!$C$4:$AI$4407,'Tracking Sheet'!B922,'Production '!$AG$4:$AG$4407)</f>
        <v>0</v>
      </c>
    </row>
    <row r="923" spans="2:10" x14ac:dyDescent="0.3">
      <c r="B923" s="277">
        <f>'Production '!C926</f>
        <v>48070</v>
      </c>
      <c r="C923" s="76">
        <f ca="1">SUMIF('Production '!$C$4:$AI$4407,'Tracking Sheet'!B923,'Production '!$M$4:$M$4407)</f>
        <v>1732</v>
      </c>
      <c r="D923" s="76">
        <f ca="1">SUMIF('Production '!$C$4:$AI$4407,'Tracking Sheet'!B923,'Production '!$Q$4:$Q$4407)</f>
        <v>1731</v>
      </c>
      <c r="E923" s="76">
        <f ca="1">SUMIF('Production '!$C$4:$AI$4407,'Tracking Sheet'!B923,'Production '!$S$4:$S$4407)</f>
        <v>1648</v>
      </c>
      <c r="F923" s="76">
        <f ca="1">SUMIF('Production '!$C$4:$AI$4407,'Tracking Sheet'!B923,'Production '!$U$4:$U$4407)</f>
        <v>6</v>
      </c>
      <c r="G923" s="76">
        <f ca="1">SUMIF('Production '!$C$4:$AI$4407,'Tracking Sheet'!B923,'Production '!$W$4:$W$4407)</f>
        <v>1642</v>
      </c>
      <c r="H923" s="76">
        <f ca="1">SUMIF('Production '!$C$4:$AI$4407,'Tracking Sheet'!B923,'Production '!$F$4:$F$4407)</f>
        <v>1650</v>
      </c>
      <c r="I923" s="76">
        <f ca="1">SUMIF('Production '!$C$4:$AI$4407,'Tracking Sheet'!B923,'Production '!$V$4:$V$4407)</f>
        <v>0</v>
      </c>
      <c r="J923" s="76">
        <f ca="1">SUMIF('Production '!$C$4:$AI$4407,'Tracking Sheet'!B923,'Production '!$AG$4:$AG$4407)</f>
        <v>0</v>
      </c>
    </row>
    <row r="924" spans="2:10" x14ac:dyDescent="0.3">
      <c r="B924" s="277">
        <f>'Production '!C927</f>
        <v>0</v>
      </c>
      <c r="C924" s="76" t="e">
        <f ca="1">SUMIF('Production '!$C$4:$AI$4407,'Tracking Sheet'!B924,'Production '!$M$4:$M$4407)</f>
        <v>#DIV/0!</v>
      </c>
      <c r="D924" s="76" t="e">
        <f ca="1">SUMIF('Production '!$C$4:$AI$4407,'Tracking Sheet'!B924,'Production '!$Q$4:$Q$4407)</f>
        <v>#DIV/0!</v>
      </c>
      <c r="E924" s="76">
        <f ca="1">SUMIF('Production '!$C$4:$AI$4407,'Tracking Sheet'!B924,'Production '!$S$4:$S$4407)</f>
        <v>-1268218.9828305368</v>
      </c>
      <c r="F924" s="76">
        <f ca="1">SUMIF('Production '!$C$4:$AI$4407,'Tracking Sheet'!B924,'Production '!$U$4:$U$4407)</f>
        <v>-10620.435600016917</v>
      </c>
      <c r="G924" s="76" t="e">
        <f ca="1">SUMIF('Production '!$C$4:$AI$4407,'Tracking Sheet'!B924,'Production '!$W$4:$W$4407)</f>
        <v>#DIV/0!</v>
      </c>
      <c r="H924" s="76">
        <f ca="1">SUMIF('Production '!$C$4:$AI$4407,'Tracking Sheet'!B924,'Production '!$F$4:$F$4407)</f>
        <v>3230621.3283604058</v>
      </c>
      <c r="I924" s="76">
        <f ca="1">SUMIF('Production '!$C$4:$AI$4407,'Tracking Sheet'!B924,'Production '!$V$4:$V$4407)</f>
        <v>-489.86487791182844</v>
      </c>
      <c r="J924" s="76">
        <f ca="1">SUMIF('Production '!$C$4:$AI$4407,'Tracking Sheet'!B924,'Production '!$AG$4:$AG$4407)</f>
        <v>0</v>
      </c>
    </row>
    <row r="925" spans="2:10" x14ac:dyDescent="0.3">
      <c r="B925" s="277" t="str">
        <f>'Production '!C928</f>
        <v>46499 2nd</v>
      </c>
      <c r="C925" s="76">
        <f ca="1">SUMIF('Production '!$C$4:$AI$4407,'Tracking Sheet'!B925,'Production '!$M$4:$M$4407)</f>
        <v>6265</v>
      </c>
      <c r="D925" s="76">
        <f ca="1">SUMIF('Production '!$C$4:$AI$4407,'Tracking Sheet'!B925,'Production '!$Q$4:$Q$4407)</f>
        <v>6265</v>
      </c>
      <c r="E925" s="76">
        <f ca="1">SUMIF('Production '!$C$4:$AI$4407,'Tracking Sheet'!B925,'Production '!$S$4:$S$4407)</f>
        <v>6261</v>
      </c>
      <c r="F925" s="76">
        <f ca="1">SUMIF('Production '!$C$4:$AI$4407,'Tracking Sheet'!B925,'Production '!$U$4:$U$4407)</f>
        <v>3</v>
      </c>
      <c r="G925" s="76">
        <f ca="1">SUMIF('Production '!$C$4:$AI$4407,'Tracking Sheet'!B925,'Production '!$W$4:$W$4407)</f>
        <v>6258</v>
      </c>
      <c r="H925" s="76">
        <f ca="1">SUMIF('Production '!$C$4:$AI$4407,'Tracking Sheet'!B925,'Production '!$F$4:$F$4407)</f>
        <v>6122</v>
      </c>
      <c r="I925" s="76">
        <f ca="1">SUMIF('Production '!$C$4:$AI$4407,'Tracking Sheet'!B925,'Production '!$V$4:$V$4407)</f>
        <v>0</v>
      </c>
      <c r="J925" s="76">
        <f ca="1">SUMIF('Production '!$C$4:$AI$4407,'Tracking Sheet'!B925,'Production '!$AG$4:$AG$4407)</f>
        <v>0</v>
      </c>
    </row>
    <row r="926" spans="2:10" x14ac:dyDescent="0.3">
      <c r="B926" s="277" t="str">
        <f>'Production '!C929</f>
        <v>46499 2nd</v>
      </c>
      <c r="C926" s="76">
        <f ca="1">SUMIF('Production '!$C$4:$AI$4407,'Tracking Sheet'!B926,'Production '!$M$4:$M$4407)</f>
        <v>6265</v>
      </c>
      <c r="D926" s="76">
        <f ca="1">SUMIF('Production '!$C$4:$AI$4407,'Tracking Sheet'!B926,'Production '!$Q$4:$Q$4407)</f>
        <v>6265</v>
      </c>
      <c r="E926" s="76">
        <f ca="1">SUMIF('Production '!$C$4:$AI$4407,'Tracking Sheet'!B926,'Production '!$S$4:$S$4407)</f>
        <v>6261</v>
      </c>
      <c r="F926" s="76">
        <f ca="1">SUMIF('Production '!$C$4:$AI$4407,'Tracking Sheet'!B926,'Production '!$U$4:$U$4407)</f>
        <v>3</v>
      </c>
      <c r="G926" s="76">
        <f ca="1">SUMIF('Production '!$C$4:$AI$4407,'Tracking Sheet'!B926,'Production '!$W$4:$W$4407)</f>
        <v>6258</v>
      </c>
      <c r="H926" s="76">
        <f ca="1">SUMIF('Production '!$C$4:$AI$4407,'Tracking Sheet'!B926,'Production '!$F$4:$F$4407)</f>
        <v>6122</v>
      </c>
      <c r="I926" s="76">
        <f ca="1">SUMIF('Production '!$C$4:$AI$4407,'Tracking Sheet'!B926,'Production '!$V$4:$V$4407)</f>
        <v>0</v>
      </c>
      <c r="J926" s="76">
        <f ca="1">SUMIF('Production '!$C$4:$AI$4407,'Tracking Sheet'!B926,'Production '!$AG$4:$AG$4407)</f>
        <v>0</v>
      </c>
    </row>
    <row r="927" spans="2:10" x14ac:dyDescent="0.3">
      <c r="B927" s="277">
        <f>'Production '!C930</f>
        <v>0</v>
      </c>
      <c r="C927" s="76" t="e">
        <f ca="1">SUMIF('Production '!$C$4:$AI$4407,'Tracking Sheet'!B927,'Production '!$M$4:$M$4407)</f>
        <v>#DIV/0!</v>
      </c>
      <c r="D927" s="76" t="e">
        <f ca="1">SUMIF('Production '!$C$4:$AI$4407,'Tracking Sheet'!B927,'Production '!$Q$4:$Q$4407)</f>
        <v>#DIV/0!</v>
      </c>
      <c r="E927" s="76">
        <f ca="1">SUMIF('Production '!$C$4:$AI$4407,'Tracking Sheet'!B927,'Production '!$S$4:$S$4407)</f>
        <v>-1268218.9828305368</v>
      </c>
      <c r="F927" s="76">
        <f ca="1">SUMIF('Production '!$C$4:$AI$4407,'Tracking Sheet'!B927,'Production '!$U$4:$U$4407)</f>
        <v>-10620.435600016917</v>
      </c>
      <c r="G927" s="76" t="e">
        <f ca="1">SUMIF('Production '!$C$4:$AI$4407,'Tracking Sheet'!B927,'Production '!$W$4:$W$4407)</f>
        <v>#DIV/0!</v>
      </c>
      <c r="H927" s="76">
        <f ca="1">SUMIF('Production '!$C$4:$AI$4407,'Tracking Sheet'!B927,'Production '!$F$4:$F$4407)</f>
        <v>3230621.3283604058</v>
      </c>
      <c r="I927" s="76">
        <f ca="1">SUMIF('Production '!$C$4:$AI$4407,'Tracking Sheet'!B927,'Production '!$V$4:$V$4407)</f>
        <v>-489.86487791182844</v>
      </c>
      <c r="J927" s="76">
        <f ca="1">SUMIF('Production '!$C$4:$AI$4407,'Tracking Sheet'!B927,'Production '!$AG$4:$AG$4407)</f>
        <v>0</v>
      </c>
    </row>
    <row r="928" spans="2:10" x14ac:dyDescent="0.3">
      <c r="B928" s="277">
        <f>'Production '!C931</f>
        <v>48083</v>
      </c>
      <c r="C928" s="76">
        <f ca="1">SUMIF('Production '!$C$4:$AI$4407,'Tracking Sheet'!B928,'Production '!$M$4:$M$4407)</f>
        <v>0</v>
      </c>
      <c r="D928" s="76">
        <f ca="1">SUMIF('Production '!$C$4:$AI$4407,'Tracking Sheet'!B928,'Production '!$Q$4:$Q$4407)</f>
        <v>0</v>
      </c>
      <c r="E928" s="76">
        <f ca="1">SUMIF('Production '!$C$4:$AI$4407,'Tracking Sheet'!B928,'Production '!$S$4:$S$4407)</f>
        <v>0</v>
      </c>
      <c r="F928" s="76">
        <f ca="1">SUMIF('Production '!$C$4:$AI$4407,'Tracking Sheet'!B928,'Production '!$U$4:$U$4407)</f>
        <v>0</v>
      </c>
      <c r="G928" s="76">
        <f ca="1">SUMIF('Production '!$C$4:$AI$4407,'Tracking Sheet'!B928,'Production '!$W$4:$W$4407)</f>
        <v>0</v>
      </c>
      <c r="H928" s="76">
        <f ca="1">SUMIF('Production '!$C$4:$AI$4407,'Tracking Sheet'!B928,'Production '!$F$4:$F$4407)</f>
        <v>9389</v>
      </c>
      <c r="I928" s="76">
        <f ca="1">SUMIF('Production '!$C$4:$AI$4407,'Tracking Sheet'!B928,'Production '!$V$4:$V$4407)</f>
        <v>0</v>
      </c>
      <c r="J928" s="76">
        <f ca="1">SUMIF('Production '!$C$4:$AI$4407,'Tracking Sheet'!B928,'Production '!$AG$4:$AG$4407)</f>
        <v>-9389</v>
      </c>
    </row>
    <row r="929" spans="2:10" x14ac:dyDescent="0.3">
      <c r="B929" s="277">
        <f>'Production '!C932</f>
        <v>48083</v>
      </c>
      <c r="C929" s="76">
        <f ca="1">SUMIF('Production '!$C$4:$AI$4407,'Tracking Sheet'!B929,'Production '!$M$4:$M$4407)</f>
        <v>0</v>
      </c>
      <c r="D929" s="76">
        <f ca="1">SUMIF('Production '!$C$4:$AI$4407,'Tracking Sheet'!B929,'Production '!$Q$4:$Q$4407)</f>
        <v>0</v>
      </c>
      <c r="E929" s="76">
        <f ca="1">SUMIF('Production '!$C$4:$AI$4407,'Tracking Sheet'!B929,'Production '!$S$4:$S$4407)</f>
        <v>0</v>
      </c>
      <c r="F929" s="76">
        <f ca="1">SUMIF('Production '!$C$4:$AI$4407,'Tracking Sheet'!B929,'Production '!$U$4:$U$4407)</f>
        <v>0</v>
      </c>
      <c r="G929" s="76">
        <f ca="1">SUMIF('Production '!$C$4:$AI$4407,'Tracking Sheet'!B929,'Production '!$W$4:$W$4407)</f>
        <v>0</v>
      </c>
      <c r="H929" s="76">
        <f ca="1">SUMIF('Production '!$C$4:$AI$4407,'Tracking Sheet'!B929,'Production '!$F$4:$F$4407)</f>
        <v>9389</v>
      </c>
      <c r="I929" s="76">
        <f ca="1">SUMIF('Production '!$C$4:$AI$4407,'Tracking Sheet'!B929,'Production '!$V$4:$V$4407)</f>
        <v>0</v>
      </c>
      <c r="J929" s="76">
        <f ca="1">SUMIF('Production '!$C$4:$AI$4407,'Tracking Sheet'!B929,'Production '!$AG$4:$AG$4407)</f>
        <v>-9389</v>
      </c>
    </row>
    <row r="930" spans="2:10" x14ac:dyDescent="0.3">
      <c r="B930" s="277">
        <f>'Production '!C933</f>
        <v>48083</v>
      </c>
      <c r="C930" s="76">
        <f ca="1">SUMIF('Production '!$C$4:$AI$4407,'Tracking Sheet'!B930,'Production '!$M$4:$M$4407)</f>
        <v>0</v>
      </c>
      <c r="D930" s="76">
        <f ca="1">SUMIF('Production '!$C$4:$AI$4407,'Tracking Sheet'!B930,'Production '!$Q$4:$Q$4407)</f>
        <v>0</v>
      </c>
      <c r="E930" s="76">
        <f ca="1">SUMIF('Production '!$C$4:$AI$4407,'Tracking Sheet'!B930,'Production '!$S$4:$S$4407)</f>
        <v>0</v>
      </c>
      <c r="F930" s="76">
        <f ca="1">SUMIF('Production '!$C$4:$AI$4407,'Tracking Sheet'!B930,'Production '!$U$4:$U$4407)</f>
        <v>0</v>
      </c>
      <c r="G930" s="76">
        <f ca="1">SUMIF('Production '!$C$4:$AI$4407,'Tracking Sheet'!B930,'Production '!$W$4:$W$4407)</f>
        <v>0</v>
      </c>
      <c r="H930" s="76">
        <f ca="1">SUMIF('Production '!$C$4:$AI$4407,'Tracking Sheet'!B930,'Production '!$F$4:$F$4407)</f>
        <v>9389</v>
      </c>
      <c r="I930" s="76">
        <f ca="1">SUMIF('Production '!$C$4:$AI$4407,'Tracking Sheet'!B930,'Production '!$V$4:$V$4407)</f>
        <v>0</v>
      </c>
      <c r="J930" s="76">
        <f ca="1">SUMIF('Production '!$C$4:$AI$4407,'Tracking Sheet'!B930,'Production '!$AG$4:$AG$4407)</f>
        <v>-9389</v>
      </c>
    </row>
    <row r="931" spans="2:10" x14ac:dyDescent="0.3">
      <c r="B931" s="277">
        <f>'Production '!C934</f>
        <v>0</v>
      </c>
      <c r="C931" s="76" t="e">
        <f ca="1">SUMIF('Production '!$C$4:$AI$4407,'Tracking Sheet'!B931,'Production '!$M$4:$M$4407)</f>
        <v>#DIV/0!</v>
      </c>
      <c r="D931" s="76" t="e">
        <f ca="1">SUMIF('Production '!$C$4:$AI$4407,'Tracking Sheet'!B931,'Production '!$Q$4:$Q$4407)</f>
        <v>#DIV/0!</v>
      </c>
      <c r="E931" s="76">
        <f ca="1">SUMIF('Production '!$C$4:$AI$4407,'Tracking Sheet'!B931,'Production '!$S$4:$S$4407)</f>
        <v>-1268218.9828305368</v>
      </c>
      <c r="F931" s="76">
        <f ca="1">SUMIF('Production '!$C$4:$AI$4407,'Tracking Sheet'!B931,'Production '!$U$4:$U$4407)</f>
        <v>-10620.435600016917</v>
      </c>
      <c r="G931" s="76" t="e">
        <f ca="1">SUMIF('Production '!$C$4:$AI$4407,'Tracking Sheet'!B931,'Production '!$W$4:$W$4407)</f>
        <v>#DIV/0!</v>
      </c>
      <c r="H931" s="76">
        <f ca="1">SUMIF('Production '!$C$4:$AI$4407,'Tracking Sheet'!B931,'Production '!$F$4:$F$4407)</f>
        <v>3230621.3283604058</v>
      </c>
      <c r="I931" s="76">
        <f ca="1">SUMIF('Production '!$C$4:$AI$4407,'Tracking Sheet'!B931,'Production '!$V$4:$V$4407)</f>
        <v>-489.86487791182844</v>
      </c>
      <c r="J931" s="76">
        <f ca="1">SUMIF('Production '!$C$4:$AI$4407,'Tracking Sheet'!B931,'Production '!$AG$4:$AG$4407)</f>
        <v>0</v>
      </c>
    </row>
    <row r="932" spans="2:10" x14ac:dyDescent="0.3">
      <c r="B932" s="277">
        <f>'Production '!C935</f>
        <v>48085</v>
      </c>
      <c r="C932" s="76">
        <f ca="1">SUMIF('Production '!$C$4:$AI$4407,'Tracking Sheet'!B932,'Production '!$M$4:$M$4407)</f>
        <v>0</v>
      </c>
      <c r="D932" s="76">
        <f ca="1">SUMIF('Production '!$C$4:$AI$4407,'Tracking Sheet'!B932,'Production '!$Q$4:$Q$4407)</f>
        <v>0</v>
      </c>
      <c r="E932" s="76">
        <f ca="1">SUMIF('Production '!$C$4:$AI$4407,'Tracking Sheet'!B932,'Production '!$S$4:$S$4407)</f>
        <v>0</v>
      </c>
      <c r="F932" s="76">
        <f ca="1">SUMIF('Production '!$C$4:$AI$4407,'Tracking Sheet'!B932,'Production '!$U$4:$U$4407)</f>
        <v>0</v>
      </c>
      <c r="G932" s="76">
        <f ca="1">SUMIF('Production '!$C$4:$AI$4407,'Tracking Sheet'!B932,'Production '!$W$4:$W$4407)</f>
        <v>0</v>
      </c>
      <c r="H932" s="76">
        <f ca="1">SUMIF('Production '!$C$4:$AI$4407,'Tracking Sheet'!B932,'Production '!$F$4:$F$4407)</f>
        <v>3636</v>
      </c>
      <c r="I932" s="76">
        <f ca="1">SUMIF('Production '!$C$4:$AI$4407,'Tracking Sheet'!B932,'Production '!$V$4:$V$4407)</f>
        <v>0</v>
      </c>
      <c r="J932" s="76">
        <f ca="1">SUMIF('Production '!$C$4:$AI$4407,'Tracking Sheet'!B932,'Production '!$AG$4:$AG$4407)</f>
        <v>-3636</v>
      </c>
    </row>
    <row r="933" spans="2:10" x14ac:dyDescent="0.3">
      <c r="B933" s="277">
        <f>'Production '!C936</f>
        <v>48085</v>
      </c>
      <c r="C933" s="76">
        <f ca="1">SUMIF('Production '!$C$4:$AI$4407,'Tracking Sheet'!B933,'Production '!$M$4:$M$4407)</f>
        <v>0</v>
      </c>
      <c r="D933" s="76">
        <f ca="1">SUMIF('Production '!$C$4:$AI$4407,'Tracking Sheet'!B933,'Production '!$Q$4:$Q$4407)</f>
        <v>0</v>
      </c>
      <c r="E933" s="76">
        <f ca="1">SUMIF('Production '!$C$4:$AI$4407,'Tracking Sheet'!B933,'Production '!$S$4:$S$4407)</f>
        <v>0</v>
      </c>
      <c r="F933" s="76">
        <f ca="1">SUMIF('Production '!$C$4:$AI$4407,'Tracking Sheet'!B933,'Production '!$U$4:$U$4407)</f>
        <v>0</v>
      </c>
      <c r="G933" s="76">
        <f ca="1">SUMIF('Production '!$C$4:$AI$4407,'Tracking Sheet'!B933,'Production '!$W$4:$W$4407)</f>
        <v>0</v>
      </c>
      <c r="H933" s="76">
        <f ca="1">SUMIF('Production '!$C$4:$AI$4407,'Tracking Sheet'!B933,'Production '!$F$4:$F$4407)</f>
        <v>3636</v>
      </c>
      <c r="I933" s="76">
        <f ca="1">SUMIF('Production '!$C$4:$AI$4407,'Tracking Sheet'!B933,'Production '!$V$4:$V$4407)</f>
        <v>0</v>
      </c>
      <c r="J933" s="76">
        <f ca="1">SUMIF('Production '!$C$4:$AI$4407,'Tracking Sheet'!B933,'Production '!$AG$4:$AG$4407)</f>
        <v>-3636</v>
      </c>
    </row>
    <row r="934" spans="2:10" x14ac:dyDescent="0.3">
      <c r="B934" s="277">
        <f>'Production '!C937</f>
        <v>48085</v>
      </c>
      <c r="C934" s="76">
        <f ca="1">SUMIF('Production '!$C$4:$AI$4407,'Tracking Sheet'!B934,'Production '!$M$4:$M$4407)</f>
        <v>0</v>
      </c>
      <c r="D934" s="76">
        <f ca="1">SUMIF('Production '!$C$4:$AI$4407,'Tracking Sheet'!B934,'Production '!$Q$4:$Q$4407)</f>
        <v>0</v>
      </c>
      <c r="E934" s="76">
        <f ca="1">SUMIF('Production '!$C$4:$AI$4407,'Tracking Sheet'!B934,'Production '!$S$4:$S$4407)</f>
        <v>0</v>
      </c>
      <c r="F934" s="76">
        <f ca="1">SUMIF('Production '!$C$4:$AI$4407,'Tracking Sheet'!B934,'Production '!$U$4:$U$4407)</f>
        <v>0</v>
      </c>
      <c r="G934" s="76">
        <f ca="1">SUMIF('Production '!$C$4:$AI$4407,'Tracking Sheet'!B934,'Production '!$W$4:$W$4407)</f>
        <v>0</v>
      </c>
      <c r="H934" s="76">
        <f ca="1">SUMIF('Production '!$C$4:$AI$4407,'Tracking Sheet'!B934,'Production '!$F$4:$F$4407)</f>
        <v>3636</v>
      </c>
      <c r="I934" s="76">
        <f ca="1">SUMIF('Production '!$C$4:$AI$4407,'Tracking Sheet'!B934,'Production '!$V$4:$V$4407)</f>
        <v>0</v>
      </c>
      <c r="J934" s="76">
        <f ca="1">SUMIF('Production '!$C$4:$AI$4407,'Tracking Sheet'!B934,'Production '!$AG$4:$AG$4407)</f>
        <v>-3636</v>
      </c>
    </row>
    <row r="935" spans="2:10" x14ac:dyDescent="0.3">
      <c r="B935" s="277">
        <f>'Production '!C938</f>
        <v>0</v>
      </c>
      <c r="C935" s="76" t="e">
        <f ca="1">SUMIF('Production '!$C$4:$AI$4407,'Tracking Sheet'!B935,'Production '!$M$4:$M$4407)</f>
        <v>#DIV/0!</v>
      </c>
      <c r="D935" s="76" t="e">
        <f ca="1">SUMIF('Production '!$C$4:$AI$4407,'Tracking Sheet'!B935,'Production '!$Q$4:$Q$4407)</f>
        <v>#DIV/0!</v>
      </c>
      <c r="E935" s="76">
        <f ca="1">SUMIF('Production '!$C$4:$AI$4407,'Tracking Sheet'!B935,'Production '!$S$4:$S$4407)</f>
        <v>-1268218.9828305368</v>
      </c>
      <c r="F935" s="76">
        <f ca="1">SUMIF('Production '!$C$4:$AI$4407,'Tracking Sheet'!B935,'Production '!$U$4:$U$4407)</f>
        <v>-10620.435600016917</v>
      </c>
      <c r="G935" s="76" t="e">
        <f ca="1">SUMIF('Production '!$C$4:$AI$4407,'Tracking Sheet'!B935,'Production '!$W$4:$W$4407)</f>
        <v>#DIV/0!</v>
      </c>
      <c r="H935" s="76">
        <f ca="1">SUMIF('Production '!$C$4:$AI$4407,'Tracking Sheet'!B935,'Production '!$F$4:$F$4407)</f>
        <v>3230621.3283604058</v>
      </c>
      <c r="I935" s="76">
        <f ca="1">SUMIF('Production '!$C$4:$AI$4407,'Tracking Sheet'!B935,'Production '!$V$4:$V$4407)</f>
        <v>-489.86487791182844</v>
      </c>
      <c r="J935" s="76">
        <f ca="1">SUMIF('Production '!$C$4:$AI$4407,'Tracking Sheet'!B935,'Production '!$AG$4:$AG$4407)</f>
        <v>0</v>
      </c>
    </row>
    <row r="936" spans="2:10" x14ac:dyDescent="0.3">
      <c r="B936" s="277">
        <f>'Production '!C939</f>
        <v>48086</v>
      </c>
      <c r="C936" s="76">
        <f ca="1">SUMIF('Production '!$C$4:$AI$4407,'Tracking Sheet'!B936,'Production '!$M$4:$M$4407)</f>
        <v>3600</v>
      </c>
      <c r="D936" s="76">
        <f ca="1">SUMIF('Production '!$C$4:$AI$4407,'Tracking Sheet'!B936,'Production '!$Q$4:$Q$4407)</f>
        <v>3583</v>
      </c>
      <c r="E936" s="76">
        <f ca="1">SUMIF('Production '!$C$4:$AI$4407,'Tracking Sheet'!B936,'Production '!$S$4:$S$4407)</f>
        <v>3575</v>
      </c>
      <c r="F936" s="76">
        <f ca="1">SUMIF('Production '!$C$4:$AI$4407,'Tracking Sheet'!B936,'Production '!$U$4:$U$4407)</f>
        <v>3575</v>
      </c>
      <c r="G936" s="76">
        <f ca="1">SUMIF('Production '!$C$4:$AI$4407,'Tracking Sheet'!B936,'Production '!$W$4:$W$4407)</f>
        <v>0</v>
      </c>
      <c r="H936" s="76">
        <f ca="1">SUMIF('Production '!$C$4:$AI$4407,'Tracking Sheet'!B936,'Production '!$F$4:$F$4407)</f>
        <v>3480</v>
      </c>
      <c r="I936" s="76">
        <f ca="1">SUMIF('Production '!$C$4:$AI$4407,'Tracking Sheet'!B936,'Production '!$V$4:$V$4407)</f>
        <v>0</v>
      </c>
      <c r="J936" s="76">
        <f ca="1">SUMIF('Production '!$C$4:$AI$4407,'Tracking Sheet'!B936,'Production '!$AG$4:$AG$4407)</f>
        <v>0</v>
      </c>
    </row>
    <row r="937" spans="2:10" x14ac:dyDescent="0.3">
      <c r="B937" s="277">
        <f>'Production '!C940</f>
        <v>48086</v>
      </c>
      <c r="C937" s="76">
        <f ca="1">SUMIF('Production '!$C$4:$AI$4407,'Tracking Sheet'!B937,'Production '!$M$4:$M$4407)</f>
        <v>3600</v>
      </c>
      <c r="D937" s="76">
        <f ca="1">SUMIF('Production '!$C$4:$AI$4407,'Tracking Sheet'!B937,'Production '!$Q$4:$Q$4407)</f>
        <v>3583</v>
      </c>
      <c r="E937" s="76">
        <f ca="1">SUMIF('Production '!$C$4:$AI$4407,'Tracking Sheet'!B937,'Production '!$S$4:$S$4407)</f>
        <v>3575</v>
      </c>
      <c r="F937" s="76">
        <f ca="1">SUMIF('Production '!$C$4:$AI$4407,'Tracking Sheet'!B937,'Production '!$U$4:$U$4407)</f>
        <v>3575</v>
      </c>
      <c r="G937" s="76">
        <f ca="1">SUMIF('Production '!$C$4:$AI$4407,'Tracking Sheet'!B937,'Production '!$W$4:$W$4407)</f>
        <v>0</v>
      </c>
      <c r="H937" s="76">
        <f ca="1">SUMIF('Production '!$C$4:$AI$4407,'Tracking Sheet'!B937,'Production '!$F$4:$F$4407)</f>
        <v>3480</v>
      </c>
      <c r="I937" s="76">
        <f ca="1">SUMIF('Production '!$C$4:$AI$4407,'Tracking Sheet'!B937,'Production '!$V$4:$V$4407)</f>
        <v>0</v>
      </c>
      <c r="J937" s="76">
        <f ca="1">SUMIF('Production '!$C$4:$AI$4407,'Tracking Sheet'!B937,'Production '!$AG$4:$AG$4407)</f>
        <v>0</v>
      </c>
    </row>
    <row r="938" spans="2:10" x14ac:dyDescent="0.3">
      <c r="B938" s="277">
        <f>'Production '!C941</f>
        <v>48086</v>
      </c>
      <c r="C938" s="76">
        <f ca="1">SUMIF('Production '!$C$4:$AI$4407,'Tracking Sheet'!B938,'Production '!$M$4:$M$4407)</f>
        <v>3600</v>
      </c>
      <c r="D938" s="76">
        <f ca="1">SUMIF('Production '!$C$4:$AI$4407,'Tracking Sheet'!B938,'Production '!$Q$4:$Q$4407)</f>
        <v>3583</v>
      </c>
      <c r="E938" s="76">
        <f ca="1">SUMIF('Production '!$C$4:$AI$4407,'Tracking Sheet'!B938,'Production '!$S$4:$S$4407)</f>
        <v>3575</v>
      </c>
      <c r="F938" s="76">
        <f ca="1">SUMIF('Production '!$C$4:$AI$4407,'Tracking Sheet'!B938,'Production '!$U$4:$U$4407)</f>
        <v>3575</v>
      </c>
      <c r="G938" s="76">
        <f ca="1">SUMIF('Production '!$C$4:$AI$4407,'Tracking Sheet'!B938,'Production '!$W$4:$W$4407)</f>
        <v>0</v>
      </c>
      <c r="H938" s="76">
        <f ca="1">SUMIF('Production '!$C$4:$AI$4407,'Tracking Sheet'!B938,'Production '!$F$4:$F$4407)</f>
        <v>3480</v>
      </c>
      <c r="I938" s="76">
        <f ca="1">SUMIF('Production '!$C$4:$AI$4407,'Tracking Sheet'!B938,'Production '!$V$4:$V$4407)</f>
        <v>0</v>
      </c>
      <c r="J938" s="76">
        <f ca="1">SUMIF('Production '!$C$4:$AI$4407,'Tracking Sheet'!B938,'Production '!$AG$4:$AG$4407)</f>
        <v>0</v>
      </c>
    </row>
    <row r="939" spans="2:10" x14ac:dyDescent="0.3">
      <c r="B939" s="277">
        <f>'Production '!C942</f>
        <v>0</v>
      </c>
      <c r="C939" s="76" t="e">
        <f ca="1">SUMIF('Production '!$C$4:$AI$4407,'Tracking Sheet'!B939,'Production '!$M$4:$M$4407)</f>
        <v>#DIV/0!</v>
      </c>
      <c r="D939" s="76" t="e">
        <f ca="1">SUMIF('Production '!$C$4:$AI$4407,'Tracking Sheet'!B939,'Production '!$Q$4:$Q$4407)</f>
        <v>#DIV/0!</v>
      </c>
      <c r="E939" s="76">
        <f ca="1">SUMIF('Production '!$C$4:$AI$4407,'Tracking Sheet'!B939,'Production '!$S$4:$S$4407)</f>
        <v>-1268218.9828305368</v>
      </c>
      <c r="F939" s="76">
        <f ca="1">SUMIF('Production '!$C$4:$AI$4407,'Tracking Sheet'!B939,'Production '!$U$4:$U$4407)</f>
        <v>-10620.435600016917</v>
      </c>
      <c r="G939" s="76" t="e">
        <f ca="1">SUMIF('Production '!$C$4:$AI$4407,'Tracking Sheet'!B939,'Production '!$W$4:$W$4407)</f>
        <v>#DIV/0!</v>
      </c>
      <c r="H939" s="76">
        <f ca="1">SUMIF('Production '!$C$4:$AI$4407,'Tracking Sheet'!B939,'Production '!$F$4:$F$4407)</f>
        <v>3230621.3283604058</v>
      </c>
      <c r="I939" s="76">
        <f ca="1">SUMIF('Production '!$C$4:$AI$4407,'Tracking Sheet'!B939,'Production '!$V$4:$V$4407)</f>
        <v>-489.86487791182844</v>
      </c>
      <c r="J939" s="76">
        <f ca="1">SUMIF('Production '!$C$4:$AI$4407,'Tracking Sheet'!B939,'Production '!$AG$4:$AG$4407)</f>
        <v>0</v>
      </c>
    </row>
    <row r="940" spans="2:10" x14ac:dyDescent="0.3">
      <c r="B940" s="277">
        <f>'Production '!C943</f>
        <v>48087</v>
      </c>
      <c r="C940" s="76">
        <f ca="1">SUMIF('Production '!$C$4:$AI$4407,'Tracking Sheet'!B940,'Production '!$M$4:$M$4407)</f>
        <v>0</v>
      </c>
      <c r="D940" s="76">
        <f ca="1">SUMIF('Production '!$C$4:$AI$4407,'Tracking Sheet'!B940,'Production '!$Q$4:$Q$4407)</f>
        <v>0</v>
      </c>
      <c r="E940" s="76">
        <f ca="1">SUMIF('Production '!$C$4:$AI$4407,'Tracking Sheet'!B940,'Production '!$S$4:$S$4407)</f>
        <v>0</v>
      </c>
      <c r="F940" s="76">
        <f ca="1">SUMIF('Production '!$C$4:$AI$4407,'Tracking Sheet'!B940,'Production '!$U$4:$U$4407)</f>
        <v>0</v>
      </c>
      <c r="G940" s="76">
        <f ca="1">SUMIF('Production '!$C$4:$AI$4407,'Tracking Sheet'!B940,'Production '!$W$4:$W$4407)</f>
        <v>0</v>
      </c>
      <c r="H940" s="76">
        <f ca="1">SUMIF('Production '!$C$4:$AI$4407,'Tracking Sheet'!B940,'Production '!$F$4:$F$4407)</f>
        <v>4444</v>
      </c>
      <c r="I940" s="76">
        <f ca="1">SUMIF('Production '!$C$4:$AI$4407,'Tracking Sheet'!B940,'Production '!$V$4:$V$4407)</f>
        <v>0</v>
      </c>
      <c r="J940" s="76">
        <f ca="1">SUMIF('Production '!$C$4:$AI$4407,'Tracking Sheet'!B940,'Production '!$AG$4:$AG$4407)</f>
        <v>-4444</v>
      </c>
    </row>
    <row r="941" spans="2:10" x14ac:dyDescent="0.3">
      <c r="B941" s="277">
        <f>'Production '!C944</f>
        <v>48087</v>
      </c>
      <c r="C941" s="76">
        <f ca="1">SUMIF('Production '!$C$4:$AI$4407,'Tracking Sheet'!B941,'Production '!$M$4:$M$4407)</f>
        <v>0</v>
      </c>
      <c r="D941" s="76">
        <f ca="1">SUMIF('Production '!$C$4:$AI$4407,'Tracking Sheet'!B941,'Production '!$Q$4:$Q$4407)</f>
        <v>0</v>
      </c>
      <c r="E941" s="76">
        <f ca="1">SUMIF('Production '!$C$4:$AI$4407,'Tracking Sheet'!B941,'Production '!$S$4:$S$4407)</f>
        <v>0</v>
      </c>
      <c r="F941" s="76">
        <f ca="1">SUMIF('Production '!$C$4:$AI$4407,'Tracking Sheet'!B941,'Production '!$U$4:$U$4407)</f>
        <v>0</v>
      </c>
      <c r="G941" s="76">
        <f ca="1">SUMIF('Production '!$C$4:$AI$4407,'Tracking Sheet'!B941,'Production '!$W$4:$W$4407)</f>
        <v>0</v>
      </c>
      <c r="H941" s="76">
        <f ca="1">SUMIF('Production '!$C$4:$AI$4407,'Tracking Sheet'!B941,'Production '!$F$4:$F$4407)</f>
        <v>4444</v>
      </c>
      <c r="I941" s="76">
        <f ca="1">SUMIF('Production '!$C$4:$AI$4407,'Tracking Sheet'!B941,'Production '!$V$4:$V$4407)</f>
        <v>0</v>
      </c>
      <c r="J941" s="76">
        <f ca="1">SUMIF('Production '!$C$4:$AI$4407,'Tracking Sheet'!B941,'Production '!$AG$4:$AG$4407)</f>
        <v>-4444</v>
      </c>
    </row>
    <row r="942" spans="2:10" x14ac:dyDescent="0.3">
      <c r="B942" s="277">
        <f>'Production '!C945</f>
        <v>48087</v>
      </c>
      <c r="C942" s="76">
        <f ca="1">SUMIF('Production '!$C$4:$AI$4407,'Tracking Sheet'!B942,'Production '!$M$4:$M$4407)</f>
        <v>0</v>
      </c>
      <c r="D942" s="76">
        <f ca="1">SUMIF('Production '!$C$4:$AI$4407,'Tracking Sheet'!B942,'Production '!$Q$4:$Q$4407)</f>
        <v>0</v>
      </c>
      <c r="E942" s="76">
        <f ca="1">SUMIF('Production '!$C$4:$AI$4407,'Tracking Sheet'!B942,'Production '!$S$4:$S$4407)</f>
        <v>0</v>
      </c>
      <c r="F942" s="76">
        <f ca="1">SUMIF('Production '!$C$4:$AI$4407,'Tracking Sheet'!B942,'Production '!$U$4:$U$4407)</f>
        <v>0</v>
      </c>
      <c r="G942" s="76">
        <f ca="1">SUMIF('Production '!$C$4:$AI$4407,'Tracking Sheet'!B942,'Production '!$W$4:$W$4407)</f>
        <v>0</v>
      </c>
      <c r="H942" s="76">
        <f ca="1">SUMIF('Production '!$C$4:$AI$4407,'Tracking Sheet'!B942,'Production '!$F$4:$F$4407)</f>
        <v>4444</v>
      </c>
      <c r="I942" s="76">
        <f ca="1">SUMIF('Production '!$C$4:$AI$4407,'Tracking Sheet'!B942,'Production '!$V$4:$V$4407)</f>
        <v>0</v>
      </c>
      <c r="J942" s="76">
        <f ca="1">SUMIF('Production '!$C$4:$AI$4407,'Tracking Sheet'!B942,'Production '!$AG$4:$AG$4407)</f>
        <v>-4444</v>
      </c>
    </row>
    <row r="943" spans="2:10" x14ac:dyDescent="0.3">
      <c r="B943" s="277">
        <f>'Production '!C946</f>
        <v>0</v>
      </c>
      <c r="C943" s="76" t="e">
        <f ca="1">SUMIF('Production '!$C$4:$AI$4407,'Tracking Sheet'!B943,'Production '!$M$4:$M$4407)</f>
        <v>#DIV/0!</v>
      </c>
      <c r="D943" s="76" t="e">
        <f ca="1">SUMIF('Production '!$C$4:$AI$4407,'Tracking Sheet'!B943,'Production '!$Q$4:$Q$4407)</f>
        <v>#DIV/0!</v>
      </c>
      <c r="E943" s="76">
        <f ca="1">SUMIF('Production '!$C$4:$AI$4407,'Tracking Sheet'!B943,'Production '!$S$4:$S$4407)</f>
        <v>-1268218.9828305368</v>
      </c>
      <c r="F943" s="76">
        <f ca="1">SUMIF('Production '!$C$4:$AI$4407,'Tracking Sheet'!B943,'Production '!$U$4:$U$4407)</f>
        <v>-10620.435600016917</v>
      </c>
      <c r="G943" s="76" t="e">
        <f ca="1">SUMIF('Production '!$C$4:$AI$4407,'Tracking Sheet'!B943,'Production '!$W$4:$W$4407)</f>
        <v>#DIV/0!</v>
      </c>
      <c r="H943" s="76">
        <f ca="1">SUMIF('Production '!$C$4:$AI$4407,'Tracking Sheet'!B943,'Production '!$F$4:$F$4407)</f>
        <v>3230621.3283604058</v>
      </c>
      <c r="I943" s="76">
        <f ca="1">SUMIF('Production '!$C$4:$AI$4407,'Tracking Sheet'!B943,'Production '!$V$4:$V$4407)</f>
        <v>-489.86487791182844</v>
      </c>
      <c r="J943" s="76">
        <f ca="1">SUMIF('Production '!$C$4:$AI$4407,'Tracking Sheet'!B943,'Production '!$AG$4:$AG$4407)</f>
        <v>0</v>
      </c>
    </row>
    <row r="944" spans="2:10" x14ac:dyDescent="0.3">
      <c r="B944" s="277">
        <f>'Production '!C947</f>
        <v>48089</v>
      </c>
      <c r="C944" s="76">
        <f ca="1">SUMIF('Production '!$C$4:$AI$4407,'Tracking Sheet'!B944,'Production '!$M$4:$M$4407)</f>
        <v>0</v>
      </c>
      <c r="D944" s="76">
        <f ca="1">SUMIF('Production '!$C$4:$AI$4407,'Tracking Sheet'!B944,'Production '!$Q$4:$Q$4407)</f>
        <v>0</v>
      </c>
      <c r="E944" s="76">
        <f ca="1">SUMIF('Production '!$C$4:$AI$4407,'Tracking Sheet'!B944,'Production '!$S$4:$S$4407)</f>
        <v>0</v>
      </c>
      <c r="F944" s="76">
        <f ca="1">SUMIF('Production '!$C$4:$AI$4407,'Tracking Sheet'!B944,'Production '!$U$4:$U$4407)</f>
        <v>0</v>
      </c>
      <c r="G944" s="76">
        <f ca="1">SUMIF('Production '!$C$4:$AI$4407,'Tracking Sheet'!B944,'Production '!$W$4:$W$4407)</f>
        <v>0</v>
      </c>
      <c r="H944" s="76">
        <f ca="1">SUMIF('Production '!$C$4:$AI$4407,'Tracking Sheet'!B944,'Production '!$F$4:$F$4407)</f>
        <v>19104</v>
      </c>
      <c r="I944" s="76">
        <f ca="1">SUMIF('Production '!$C$4:$AI$4407,'Tracking Sheet'!B944,'Production '!$V$4:$V$4407)</f>
        <v>0</v>
      </c>
      <c r="J944" s="76">
        <f ca="1">SUMIF('Production '!$C$4:$AI$4407,'Tracking Sheet'!B944,'Production '!$AG$4:$AG$4407)</f>
        <v>-19104</v>
      </c>
    </row>
    <row r="945" spans="2:10" x14ac:dyDescent="0.3">
      <c r="B945" s="277">
        <f>'Production '!C948</f>
        <v>48089</v>
      </c>
      <c r="C945" s="76">
        <f ca="1">SUMIF('Production '!$C$4:$AI$4407,'Tracking Sheet'!B945,'Production '!$M$4:$M$4407)</f>
        <v>0</v>
      </c>
      <c r="D945" s="76">
        <f ca="1">SUMIF('Production '!$C$4:$AI$4407,'Tracking Sheet'!B945,'Production '!$Q$4:$Q$4407)</f>
        <v>0</v>
      </c>
      <c r="E945" s="76">
        <f ca="1">SUMIF('Production '!$C$4:$AI$4407,'Tracking Sheet'!B945,'Production '!$S$4:$S$4407)</f>
        <v>0</v>
      </c>
      <c r="F945" s="76">
        <f ca="1">SUMIF('Production '!$C$4:$AI$4407,'Tracking Sheet'!B945,'Production '!$U$4:$U$4407)</f>
        <v>0</v>
      </c>
      <c r="G945" s="76">
        <f ca="1">SUMIF('Production '!$C$4:$AI$4407,'Tracking Sheet'!B945,'Production '!$W$4:$W$4407)</f>
        <v>0</v>
      </c>
      <c r="H945" s="76">
        <f ca="1">SUMIF('Production '!$C$4:$AI$4407,'Tracking Sheet'!B945,'Production '!$F$4:$F$4407)</f>
        <v>19104</v>
      </c>
      <c r="I945" s="76">
        <f ca="1">SUMIF('Production '!$C$4:$AI$4407,'Tracking Sheet'!B945,'Production '!$V$4:$V$4407)</f>
        <v>0</v>
      </c>
      <c r="J945" s="76">
        <f ca="1">SUMIF('Production '!$C$4:$AI$4407,'Tracking Sheet'!B945,'Production '!$AG$4:$AG$4407)</f>
        <v>-19104</v>
      </c>
    </row>
    <row r="946" spans="2:10" x14ac:dyDescent="0.3">
      <c r="B946" s="277">
        <f>'Production '!C949</f>
        <v>48089</v>
      </c>
      <c r="C946" s="76">
        <f ca="1">SUMIF('Production '!$C$4:$AI$4407,'Tracking Sheet'!B946,'Production '!$M$4:$M$4407)</f>
        <v>0</v>
      </c>
      <c r="D946" s="76">
        <f ca="1">SUMIF('Production '!$C$4:$AI$4407,'Tracking Sheet'!B946,'Production '!$Q$4:$Q$4407)</f>
        <v>0</v>
      </c>
      <c r="E946" s="76">
        <f ca="1">SUMIF('Production '!$C$4:$AI$4407,'Tracking Sheet'!B946,'Production '!$S$4:$S$4407)</f>
        <v>0</v>
      </c>
      <c r="F946" s="76">
        <f ca="1">SUMIF('Production '!$C$4:$AI$4407,'Tracking Sheet'!B946,'Production '!$U$4:$U$4407)</f>
        <v>0</v>
      </c>
      <c r="G946" s="76">
        <f ca="1">SUMIF('Production '!$C$4:$AI$4407,'Tracking Sheet'!B946,'Production '!$W$4:$W$4407)</f>
        <v>0</v>
      </c>
      <c r="H946" s="76">
        <f ca="1">SUMIF('Production '!$C$4:$AI$4407,'Tracking Sheet'!B946,'Production '!$F$4:$F$4407)</f>
        <v>19104</v>
      </c>
      <c r="I946" s="76">
        <f ca="1">SUMIF('Production '!$C$4:$AI$4407,'Tracking Sheet'!B946,'Production '!$V$4:$V$4407)</f>
        <v>0</v>
      </c>
      <c r="J946" s="76">
        <f ca="1">SUMIF('Production '!$C$4:$AI$4407,'Tracking Sheet'!B946,'Production '!$AG$4:$AG$4407)</f>
        <v>-19104</v>
      </c>
    </row>
    <row r="947" spans="2:10" x14ac:dyDescent="0.3">
      <c r="B947" s="277">
        <f>'Production '!C950</f>
        <v>0</v>
      </c>
      <c r="C947" s="76" t="e">
        <f ca="1">SUMIF('Production '!$C$4:$AI$4407,'Tracking Sheet'!B947,'Production '!$M$4:$M$4407)</f>
        <v>#DIV/0!</v>
      </c>
      <c r="D947" s="76" t="e">
        <f ca="1">SUMIF('Production '!$C$4:$AI$4407,'Tracking Sheet'!B947,'Production '!$Q$4:$Q$4407)</f>
        <v>#DIV/0!</v>
      </c>
      <c r="E947" s="76">
        <f ca="1">SUMIF('Production '!$C$4:$AI$4407,'Tracking Sheet'!B947,'Production '!$S$4:$S$4407)</f>
        <v>-1268218.9828305368</v>
      </c>
      <c r="F947" s="76">
        <f ca="1">SUMIF('Production '!$C$4:$AI$4407,'Tracking Sheet'!B947,'Production '!$U$4:$U$4407)</f>
        <v>-10620.435600016917</v>
      </c>
      <c r="G947" s="76" t="e">
        <f ca="1">SUMIF('Production '!$C$4:$AI$4407,'Tracking Sheet'!B947,'Production '!$W$4:$W$4407)</f>
        <v>#DIV/0!</v>
      </c>
      <c r="H947" s="76">
        <f ca="1">SUMIF('Production '!$C$4:$AI$4407,'Tracking Sheet'!B947,'Production '!$F$4:$F$4407)</f>
        <v>3230621.3283604058</v>
      </c>
      <c r="I947" s="76">
        <f ca="1">SUMIF('Production '!$C$4:$AI$4407,'Tracking Sheet'!B947,'Production '!$V$4:$V$4407)</f>
        <v>-489.86487791182844</v>
      </c>
      <c r="J947" s="76">
        <f ca="1">SUMIF('Production '!$C$4:$AI$4407,'Tracking Sheet'!B947,'Production '!$AG$4:$AG$4407)</f>
        <v>0</v>
      </c>
    </row>
    <row r="948" spans="2:10" x14ac:dyDescent="0.3">
      <c r="B948" s="277">
        <f>'Production '!C951</f>
        <v>48090</v>
      </c>
      <c r="C948" s="76">
        <f ca="1">SUMIF('Production '!$C$4:$AI$4407,'Tracking Sheet'!B948,'Production '!$M$4:$M$4407)</f>
        <v>0</v>
      </c>
      <c r="D948" s="76">
        <f ca="1">SUMIF('Production '!$C$4:$AI$4407,'Tracking Sheet'!B948,'Production '!$Q$4:$Q$4407)</f>
        <v>0</v>
      </c>
      <c r="E948" s="76">
        <f ca="1">SUMIF('Production '!$C$4:$AI$4407,'Tracking Sheet'!B948,'Production '!$S$4:$S$4407)</f>
        <v>0</v>
      </c>
      <c r="F948" s="76">
        <f ca="1">SUMIF('Production '!$C$4:$AI$4407,'Tracking Sheet'!B948,'Production '!$U$4:$U$4407)</f>
        <v>0</v>
      </c>
      <c r="G948" s="76">
        <f ca="1">SUMIF('Production '!$C$4:$AI$4407,'Tracking Sheet'!B948,'Production '!$W$4:$W$4407)</f>
        <v>0</v>
      </c>
      <c r="H948" s="76">
        <f ca="1">SUMIF('Production '!$C$4:$AI$4407,'Tracking Sheet'!B948,'Production '!$F$4:$F$4407)</f>
        <v>8809</v>
      </c>
      <c r="I948" s="76">
        <f ca="1">SUMIF('Production '!$C$4:$AI$4407,'Tracking Sheet'!B948,'Production '!$V$4:$V$4407)</f>
        <v>0</v>
      </c>
      <c r="J948" s="76">
        <f ca="1">SUMIF('Production '!$C$4:$AI$4407,'Tracking Sheet'!B948,'Production '!$AG$4:$AG$4407)</f>
        <v>-8809</v>
      </c>
    </row>
    <row r="949" spans="2:10" x14ac:dyDescent="0.3">
      <c r="B949" s="277">
        <f>'Production '!C952</f>
        <v>48090</v>
      </c>
      <c r="C949" s="76">
        <f ca="1">SUMIF('Production '!$C$4:$AI$4407,'Tracking Sheet'!B949,'Production '!$M$4:$M$4407)</f>
        <v>0</v>
      </c>
      <c r="D949" s="76">
        <f ca="1">SUMIF('Production '!$C$4:$AI$4407,'Tracking Sheet'!B949,'Production '!$Q$4:$Q$4407)</f>
        <v>0</v>
      </c>
      <c r="E949" s="76">
        <f ca="1">SUMIF('Production '!$C$4:$AI$4407,'Tracking Sheet'!B949,'Production '!$S$4:$S$4407)</f>
        <v>0</v>
      </c>
      <c r="F949" s="76">
        <f ca="1">SUMIF('Production '!$C$4:$AI$4407,'Tracking Sheet'!B949,'Production '!$U$4:$U$4407)</f>
        <v>0</v>
      </c>
      <c r="G949" s="76">
        <f ca="1">SUMIF('Production '!$C$4:$AI$4407,'Tracking Sheet'!B949,'Production '!$W$4:$W$4407)</f>
        <v>0</v>
      </c>
      <c r="H949" s="76">
        <f ca="1">SUMIF('Production '!$C$4:$AI$4407,'Tracking Sheet'!B949,'Production '!$F$4:$F$4407)</f>
        <v>8809</v>
      </c>
      <c r="I949" s="76">
        <f ca="1">SUMIF('Production '!$C$4:$AI$4407,'Tracking Sheet'!B949,'Production '!$V$4:$V$4407)</f>
        <v>0</v>
      </c>
      <c r="J949" s="76">
        <f ca="1">SUMIF('Production '!$C$4:$AI$4407,'Tracking Sheet'!B949,'Production '!$AG$4:$AG$4407)</f>
        <v>-8809</v>
      </c>
    </row>
    <row r="950" spans="2:10" x14ac:dyDescent="0.3">
      <c r="B950" s="277">
        <f>'Production '!C953</f>
        <v>48090</v>
      </c>
      <c r="C950" s="76">
        <f ca="1">SUMIF('Production '!$C$4:$AI$4407,'Tracking Sheet'!B950,'Production '!$M$4:$M$4407)</f>
        <v>0</v>
      </c>
      <c r="D950" s="76">
        <f ca="1">SUMIF('Production '!$C$4:$AI$4407,'Tracking Sheet'!B950,'Production '!$Q$4:$Q$4407)</f>
        <v>0</v>
      </c>
      <c r="E950" s="76">
        <f ca="1">SUMIF('Production '!$C$4:$AI$4407,'Tracking Sheet'!B950,'Production '!$S$4:$S$4407)</f>
        <v>0</v>
      </c>
      <c r="F950" s="76">
        <f ca="1">SUMIF('Production '!$C$4:$AI$4407,'Tracking Sheet'!B950,'Production '!$U$4:$U$4407)</f>
        <v>0</v>
      </c>
      <c r="G950" s="76">
        <f ca="1">SUMIF('Production '!$C$4:$AI$4407,'Tracking Sheet'!B950,'Production '!$W$4:$W$4407)</f>
        <v>0</v>
      </c>
      <c r="H950" s="76">
        <f ca="1">SUMIF('Production '!$C$4:$AI$4407,'Tracking Sheet'!B950,'Production '!$F$4:$F$4407)</f>
        <v>8809</v>
      </c>
      <c r="I950" s="76">
        <f ca="1">SUMIF('Production '!$C$4:$AI$4407,'Tracking Sheet'!B950,'Production '!$V$4:$V$4407)</f>
        <v>0</v>
      </c>
      <c r="J950" s="76">
        <f ca="1">SUMIF('Production '!$C$4:$AI$4407,'Tracking Sheet'!B950,'Production '!$AG$4:$AG$4407)</f>
        <v>-8809</v>
      </c>
    </row>
    <row r="951" spans="2:10" x14ac:dyDescent="0.3">
      <c r="B951" s="277">
        <f>'Production '!C954</f>
        <v>0</v>
      </c>
      <c r="C951" s="76" t="e">
        <f ca="1">SUMIF('Production '!$C$4:$AI$4407,'Tracking Sheet'!B951,'Production '!$M$4:$M$4407)</f>
        <v>#DIV/0!</v>
      </c>
      <c r="D951" s="76" t="e">
        <f ca="1">SUMIF('Production '!$C$4:$AI$4407,'Tracking Sheet'!B951,'Production '!$Q$4:$Q$4407)</f>
        <v>#DIV/0!</v>
      </c>
      <c r="E951" s="76">
        <f ca="1">SUMIF('Production '!$C$4:$AI$4407,'Tracking Sheet'!B951,'Production '!$S$4:$S$4407)</f>
        <v>-1268218.9828305368</v>
      </c>
      <c r="F951" s="76">
        <f ca="1">SUMIF('Production '!$C$4:$AI$4407,'Tracking Sheet'!B951,'Production '!$U$4:$U$4407)</f>
        <v>-10620.435600016917</v>
      </c>
      <c r="G951" s="76" t="e">
        <f ca="1">SUMIF('Production '!$C$4:$AI$4407,'Tracking Sheet'!B951,'Production '!$W$4:$W$4407)</f>
        <v>#DIV/0!</v>
      </c>
      <c r="H951" s="76">
        <f ca="1">SUMIF('Production '!$C$4:$AI$4407,'Tracking Sheet'!B951,'Production '!$F$4:$F$4407)</f>
        <v>3230621.3283604058</v>
      </c>
      <c r="I951" s="76">
        <f ca="1">SUMIF('Production '!$C$4:$AI$4407,'Tracking Sheet'!B951,'Production '!$V$4:$V$4407)</f>
        <v>-489.86487791182844</v>
      </c>
      <c r="J951" s="76">
        <f ca="1">SUMIF('Production '!$C$4:$AI$4407,'Tracking Sheet'!B951,'Production '!$AG$4:$AG$4407)</f>
        <v>0</v>
      </c>
    </row>
    <row r="952" spans="2:10" x14ac:dyDescent="0.3">
      <c r="B952" s="277">
        <f>'Production '!C955</f>
        <v>48082</v>
      </c>
      <c r="C952" s="76">
        <f ca="1">SUMIF('Production '!$C$4:$AI$4407,'Tracking Sheet'!B952,'Production '!$M$4:$M$4407)</f>
        <v>0</v>
      </c>
      <c r="D952" s="76">
        <f ca="1">SUMIF('Production '!$C$4:$AI$4407,'Tracking Sheet'!B952,'Production '!$Q$4:$Q$4407)</f>
        <v>0</v>
      </c>
      <c r="E952" s="76">
        <f ca="1">SUMIF('Production '!$C$4:$AI$4407,'Tracking Sheet'!B952,'Production '!$S$4:$S$4407)</f>
        <v>0</v>
      </c>
      <c r="F952" s="76">
        <f ca="1">SUMIF('Production '!$C$4:$AI$4407,'Tracking Sheet'!B952,'Production '!$U$4:$U$4407)</f>
        <v>0</v>
      </c>
      <c r="G952" s="76">
        <f ca="1">SUMIF('Production '!$C$4:$AI$4407,'Tracking Sheet'!B952,'Production '!$W$4:$W$4407)</f>
        <v>0</v>
      </c>
      <c r="H952" s="76">
        <f ca="1">SUMIF('Production '!$C$4:$AI$4407,'Tracking Sheet'!B952,'Production '!$F$4:$F$4407)</f>
        <v>9407</v>
      </c>
      <c r="I952" s="76">
        <f ca="1">SUMIF('Production '!$C$4:$AI$4407,'Tracking Sheet'!B952,'Production '!$V$4:$V$4407)</f>
        <v>0</v>
      </c>
      <c r="J952" s="76">
        <f ca="1">SUMIF('Production '!$C$4:$AI$4407,'Tracking Sheet'!B952,'Production '!$AG$4:$AG$4407)</f>
        <v>-9407</v>
      </c>
    </row>
    <row r="953" spans="2:10" x14ac:dyDescent="0.3">
      <c r="B953" s="277">
        <f>'Production '!C956</f>
        <v>48082</v>
      </c>
      <c r="C953" s="76">
        <f ca="1">SUMIF('Production '!$C$4:$AI$4407,'Tracking Sheet'!B953,'Production '!$M$4:$M$4407)</f>
        <v>0</v>
      </c>
      <c r="D953" s="76">
        <f ca="1">SUMIF('Production '!$C$4:$AI$4407,'Tracking Sheet'!B953,'Production '!$Q$4:$Q$4407)</f>
        <v>0</v>
      </c>
      <c r="E953" s="76">
        <f ca="1">SUMIF('Production '!$C$4:$AI$4407,'Tracking Sheet'!B953,'Production '!$S$4:$S$4407)</f>
        <v>0</v>
      </c>
      <c r="F953" s="76">
        <f ca="1">SUMIF('Production '!$C$4:$AI$4407,'Tracking Sheet'!B953,'Production '!$U$4:$U$4407)</f>
        <v>0</v>
      </c>
      <c r="G953" s="76">
        <f ca="1">SUMIF('Production '!$C$4:$AI$4407,'Tracking Sheet'!B953,'Production '!$W$4:$W$4407)</f>
        <v>0</v>
      </c>
      <c r="H953" s="76">
        <f ca="1">SUMIF('Production '!$C$4:$AI$4407,'Tracking Sheet'!B953,'Production '!$F$4:$F$4407)</f>
        <v>9407</v>
      </c>
      <c r="I953" s="76">
        <f ca="1">SUMIF('Production '!$C$4:$AI$4407,'Tracking Sheet'!B953,'Production '!$V$4:$V$4407)</f>
        <v>0</v>
      </c>
      <c r="J953" s="76">
        <f ca="1">SUMIF('Production '!$C$4:$AI$4407,'Tracking Sheet'!B953,'Production '!$AG$4:$AG$4407)</f>
        <v>-9407</v>
      </c>
    </row>
    <row r="954" spans="2:10" x14ac:dyDescent="0.3">
      <c r="B954" s="277">
        <f>'Production '!C957</f>
        <v>48082</v>
      </c>
      <c r="C954" s="76">
        <f ca="1">SUMIF('Production '!$C$4:$AI$4407,'Tracking Sheet'!B954,'Production '!$M$4:$M$4407)</f>
        <v>0</v>
      </c>
      <c r="D954" s="76">
        <f ca="1">SUMIF('Production '!$C$4:$AI$4407,'Tracking Sheet'!B954,'Production '!$Q$4:$Q$4407)</f>
        <v>0</v>
      </c>
      <c r="E954" s="76">
        <f ca="1">SUMIF('Production '!$C$4:$AI$4407,'Tracking Sheet'!B954,'Production '!$S$4:$S$4407)</f>
        <v>0</v>
      </c>
      <c r="F954" s="76">
        <f ca="1">SUMIF('Production '!$C$4:$AI$4407,'Tracking Sheet'!B954,'Production '!$U$4:$U$4407)</f>
        <v>0</v>
      </c>
      <c r="G954" s="76">
        <f ca="1">SUMIF('Production '!$C$4:$AI$4407,'Tracking Sheet'!B954,'Production '!$W$4:$W$4407)</f>
        <v>0</v>
      </c>
      <c r="H954" s="76">
        <f ca="1">SUMIF('Production '!$C$4:$AI$4407,'Tracking Sheet'!B954,'Production '!$F$4:$F$4407)</f>
        <v>9407</v>
      </c>
      <c r="I954" s="76">
        <f ca="1">SUMIF('Production '!$C$4:$AI$4407,'Tracking Sheet'!B954,'Production '!$V$4:$V$4407)</f>
        <v>0</v>
      </c>
      <c r="J954" s="76">
        <f ca="1">SUMIF('Production '!$C$4:$AI$4407,'Tracking Sheet'!B954,'Production '!$AG$4:$AG$4407)</f>
        <v>-9407</v>
      </c>
    </row>
    <row r="955" spans="2:10" x14ac:dyDescent="0.3">
      <c r="B955" s="277">
        <f>'Production '!C958</f>
        <v>0</v>
      </c>
      <c r="C955" s="76" t="e">
        <f ca="1">SUMIF('Production '!$C$4:$AI$4407,'Tracking Sheet'!B955,'Production '!$M$4:$M$4407)</f>
        <v>#DIV/0!</v>
      </c>
      <c r="D955" s="76" t="e">
        <f ca="1">SUMIF('Production '!$C$4:$AI$4407,'Tracking Sheet'!B955,'Production '!$Q$4:$Q$4407)</f>
        <v>#DIV/0!</v>
      </c>
      <c r="E955" s="76">
        <f ca="1">SUMIF('Production '!$C$4:$AI$4407,'Tracking Sheet'!B955,'Production '!$S$4:$S$4407)</f>
        <v>-1268218.9828305368</v>
      </c>
      <c r="F955" s="76">
        <f ca="1">SUMIF('Production '!$C$4:$AI$4407,'Tracking Sheet'!B955,'Production '!$U$4:$U$4407)</f>
        <v>-10620.435600016917</v>
      </c>
      <c r="G955" s="76" t="e">
        <f ca="1">SUMIF('Production '!$C$4:$AI$4407,'Tracking Sheet'!B955,'Production '!$W$4:$W$4407)</f>
        <v>#DIV/0!</v>
      </c>
      <c r="H955" s="76">
        <f ca="1">SUMIF('Production '!$C$4:$AI$4407,'Tracking Sheet'!B955,'Production '!$F$4:$F$4407)</f>
        <v>3230621.3283604058</v>
      </c>
      <c r="I955" s="76">
        <f ca="1">SUMIF('Production '!$C$4:$AI$4407,'Tracking Sheet'!B955,'Production '!$V$4:$V$4407)</f>
        <v>-489.86487791182844</v>
      </c>
      <c r="J955" s="76">
        <f ca="1">SUMIF('Production '!$C$4:$AI$4407,'Tracking Sheet'!B955,'Production '!$AG$4:$AG$4407)</f>
        <v>0</v>
      </c>
    </row>
    <row r="956" spans="2:10" x14ac:dyDescent="0.3">
      <c r="B956" s="277">
        <f>'Production '!C959</f>
        <v>48307</v>
      </c>
      <c r="C956" s="76">
        <f ca="1">SUMIF('Production '!$C$4:$AI$4407,'Tracking Sheet'!B956,'Production '!$M$4:$M$4407)</f>
        <v>0</v>
      </c>
      <c r="D956" s="76">
        <f ca="1">SUMIF('Production '!$C$4:$AI$4407,'Tracking Sheet'!B956,'Production '!$Q$4:$Q$4407)</f>
        <v>0</v>
      </c>
      <c r="E956" s="76">
        <f ca="1">SUMIF('Production '!$C$4:$AI$4407,'Tracking Sheet'!B956,'Production '!$S$4:$S$4407)</f>
        <v>0</v>
      </c>
      <c r="F956" s="76">
        <f ca="1">SUMIF('Production '!$C$4:$AI$4407,'Tracking Sheet'!B956,'Production '!$U$4:$U$4407)</f>
        <v>0</v>
      </c>
      <c r="G956" s="76">
        <f ca="1">SUMIF('Production '!$C$4:$AI$4407,'Tracking Sheet'!B956,'Production '!$W$4:$W$4407)</f>
        <v>0</v>
      </c>
      <c r="H956" s="76">
        <f ca="1">SUMIF('Production '!$C$4:$AI$4407,'Tracking Sheet'!B956,'Production '!$F$4:$F$4407)</f>
        <v>1200</v>
      </c>
      <c r="I956" s="76">
        <f ca="1">SUMIF('Production '!$C$4:$AI$4407,'Tracking Sheet'!B956,'Production '!$V$4:$V$4407)</f>
        <v>0</v>
      </c>
      <c r="J956" s="76">
        <f ca="1">SUMIF('Production '!$C$4:$AI$4407,'Tracking Sheet'!B956,'Production '!$AG$4:$AG$4407)</f>
        <v>-1200</v>
      </c>
    </row>
    <row r="957" spans="2:10" x14ac:dyDescent="0.3">
      <c r="B957" s="277">
        <f>'Production '!C960</f>
        <v>48307</v>
      </c>
      <c r="C957" s="76">
        <f ca="1">SUMIF('Production '!$C$4:$AI$4407,'Tracking Sheet'!B957,'Production '!$M$4:$M$4407)</f>
        <v>0</v>
      </c>
      <c r="D957" s="76">
        <f ca="1">SUMIF('Production '!$C$4:$AI$4407,'Tracking Sheet'!B957,'Production '!$Q$4:$Q$4407)</f>
        <v>0</v>
      </c>
      <c r="E957" s="76">
        <f ca="1">SUMIF('Production '!$C$4:$AI$4407,'Tracking Sheet'!B957,'Production '!$S$4:$S$4407)</f>
        <v>0</v>
      </c>
      <c r="F957" s="76">
        <f ca="1">SUMIF('Production '!$C$4:$AI$4407,'Tracking Sheet'!B957,'Production '!$U$4:$U$4407)</f>
        <v>0</v>
      </c>
      <c r="G957" s="76">
        <f ca="1">SUMIF('Production '!$C$4:$AI$4407,'Tracking Sheet'!B957,'Production '!$W$4:$W$4407)</f>
        <v>0</v>
      </c>
      <c r="H957" s="76">
        <f ca="1">SUMIF('Production '!$C$4:$AI$4407,'Tracking Sheet'!B957,'Production '!$F$4:$F$4407)</f>
        <v>1200</v>
      </c>
      <c r="I957" s="76">
        <f ca="1">SUMIF('Production '!$C$4:$AI$4407,'Tracking Sheet'!B957,'Production '!$V$4:$V$4407)</f>
        <v>0</v>
      </c>
      <c r="J957" s="76">
        <f ca="1">SUMIF('Production '!$C$4:$AI$4407,'Tracking Sheet'!B957,'Production '!$AG$4:$AG$4407)</f>
        <v>-1200</v>
      </c>
    </row>
    <row r="958" spans="2:10" x14ac:dyDescent="0.3">
      <c r="B958" s="277">
        <f>'Production '!C961</f>
        <v>48307</v>
      </c>
      <c r="C958" s="76">
        <f ca="1">SUMIF('Production '!$C$4:$AI$4407,'Tracking Sheet'!B958,'Production '!$M$4:$M$4407)</f>
        <v>0</v>
      </c>
      <c r="D958" s="76">
        <f ca="1">SUMIF('Production '!$C$4:$AI$4407,'Tracking Sheet'!B958,'Production '!$Q$4:$Q$4407)</f>
        <v>0</v>
      </c>
      <c r="E958" s="76">
        <f ca="1">SUMIF('Production '!$C$4:$AI$4407,'Tracking Sheet'!B958,'Production '!$S$4:$S$4407)</f>
        <v>0</v>
      </c>
      <c r="F958" s="76">
        <f ca="1">SUMIF('Production '!$C$4:$AI$4407,'Tracking Sheet'!B958,'Production '!$U$4:$U$4407)</f>
        <v>0</v>
      </c>
      <c r="G958" s="76">
        <f ca="1">SUMIF('Production '!$C$4:$AI$4407,'Tracking Sheet'!B958,'Production '!$W$4:$W$4407)</f>
        <v>0</v>
      </c>
      <c r="H958" s="76">
        <f ca="1">SUMIF('Production '!$C$4:$AI$4407,'Tracking Sheet'!B958,'Production '!$F$4:$F$4407)</f>
        <v>1200</v>
      </c>
      <c r="I958" s="76">
        <f ca="1">SUMIF('Production '!$C$4:$AI$4407,'Tracking Sheet'!B958,'Production '!$V$4:$V$4407)</f>
        <v>0</v>
      </c>
      <c r="J958" s="76">
        <f ca="1">SUMIF('Production '!$C$4:$AI$4407,'Tracking Sheet'!B958,'Production '!$AG$4:$AG$4407)</f>
        <v>-1200</v>
      </c>
    </row>
    <row r="959" spans="2:10" x14ac:dyDescent="0.3">
      <c r="B959" s="277">
        <f>'Production '!C962</f>
        <v>48307</v>
      </c>
      <c r="C959" s="76">
        <f ca="1">SUMIF('Production '!$C$4:$AI$4407,'Tracking Sheet'!B959,'Production '!$M$4:$M$4407)</f>
        <v>0</v>
      </c>
      <c r="D959" s="76">
        <f ca="1">SUMIF('Production '!$C$4:$AI$4407,'Tracking Sheet'!B959,'Production '!$Q$4:$Q$4407)</f>
        <v>0</v>
      </c>
      <c r="E959" s="76">
        <f ca="1">SUMIF('Production '!$C$4:$AI$4407,'Tracking Sheet'!B959,'Production '!$S$4:$S$4407)</f>
        <v>0</v>
      </c>
      <c r="F959" s="76">
        <f ca="1">SUMIF('Production '!$C$4:$AI$4407,'Tracking Sheet'!B959,'Production '!$U$4:$U$4407)</f>
        <v>0</v>
      </c>
      <c r="G959" s="76">
        <f ca="1">SUMIF('Production '!$C$4:$AI$4407,'Tracking Sheet'!B959,'Production '!$W$4:$W$4407)</f>
        <v>0</v>
      </c>
      <c r="H959" s="76">
        <f ca="1">SUMIF('Production '!$C$4:$AI$4407,'Tracking Sheet'!B959,'Production '!$F$4:$F$4407)</f>
        <v>1200</v>
      </c>
      <c r="I959" s="76">
        <f ca="1">SUMIF('Production '!$C$4:$AI$4407,'Tracking Sheet'!B959,'Production '!$V$4:$V$4407)</f>
        <v>0</v>
      </c>
      <c r="J959" s="76">
        <f ca="1">SUMIF('Production '!$C$4:$AI$4407,'Tracking Sheet'!B959,'Production '!$AG$4:$AG$4407)</f>
        <v>-1200</v>
      </c>
    </row>
    <row r="960" spans="2:10" x14ac:dyDescent="0.3">
      <c r="B960" s="277">
        <f>'Production '!C963</f>
        <v>0</v>
      </c>
      <c r="C960" s="76" t="e">
        <f ca="1">SUMIF('Production '!$C$4:$AI$4407,'Tracking Sheet'!B960,'Production '!$M$4:$M$4407)</f>
        <v>#DIV/0!</v>
      </c>
      <c r="D960" s="76" t="e">
        <f ca="1">SUMIF('Production '!$C$4:$AI$4407,'Tracking Sheet'!B960,'Production '!$Q$4:$Q$4407)</f>
        <v>#DIV/0!</v>
      </c>
      <c r="E960" s="76">
        <f ca="1">SUMIF('Production '!$C$4:$AI$4407,'Tracking Sheet'!B960,'Production '!$S$4:$S$4407)</f>
        <v>-1268218.9828305368</v>
      </c>
      <c r="F960" s="76">
        <f ca="1">SUMIF('Production '!$C$4:$AI$4407,'Tracking Sheet'!B960,'Production '!$U$4:$U$4407)</f>
        <v>-10620.435600016917</v>
      </c>
      <c r="G960" s="76" t="e">
        <f ca="1">SUMIF('Production '!$C$4:$AI$4407,'Tracking Sheet'!B960,'Production '!$W$4:$W$4407)</f>
        <v>#DIV/0!</v>
      </c>
      <c r="H960" s="76">
        <f ca="1">SUMIF('Production '!$C$4:$AI$4407,'Tracking Sheet'!B960,'Production '!$F$4:$F$4407)</f>
        <v>3230621.3283604058</v>
      </c>
      <c r="I960" s="76">
        <f ca="1">SUMIF('Production '!$C$4:$AI$4407,'Tracking Sheet'!B960,'Production '!$V$4:$V$4407)</f>
        <v>-489.86487791182844</v>
      </c>
      <c r="J960" s="76">
        <f ca="1">SUMIF('Production '!$C$4:$AI$4407,'Tracking Sheet'!B960,'Production '!$AG$4:$AG$4407)</f>
        <v>0</v>
      </c>
    </row>
    <row r="961" spans="2:10" x14ac:dyDescent="0.3">
      <c r="B961" s="277">
        <f>'Production '!C964</f>
        <v>48308</v>
      </c>
      <c r="C961" s="76">
        <f ca="1">SUMIF('Production '!$C$4:$AI$4407,'Tracking Sheet'!B961,'Production '!$M$4:$M$4407)</f>
        <v>0</v>
      </c>
      <c r="D961" s="76">
        <f ca="1">SUMIF('Production '!$C$4:$AI$4407,'Tracking Sheet'!B961,'Production '!$Q$4:$Q$4407)</f>
        <v>0</v>
      </c>
      <c r="E961" s="76">
        <f ca="1">SUMIF('Production '!$C$4:$AI$4407,'Tracking Sheet'!B961,'Production '!$S$4:$S$4407)</f>
        <v>0</v>
      </c>
      <c r="F961" s="76">
        <f ca="1">SUMIF('Production '!$C$4:$AI$4407,'Tracking Sheet'!B961,'Production '!$U$4:$U$4407)</f>
        <v>0</v>
      </c>
      <c r="G961" s="76">
        <f ca="1">SUMIF('Production '!$C$4:$AI$4407,'Tracking Sheet'!B961,'Production '!$W$4:$W$4407)</f>
        <v>0</v>
      </c>
      <c r="H961" s="76">
        <f ca="1">SUMIF('Production '!$C$4:$AI$4407,'Tracking Sheet'!B961,'Production '!$F$4:$F$4407)</f>
        <v>2800</v>
      </c>
      <c r="I961" s="76">
        <f ca="1">SUMIF('Production '!$C$4:$AI$4407,'Tracking Sheet'!B961,'Production '!$V$4:$V$4407)</f>
        <v>0</v>
      </c>
      <c r="J961" s="76">
        <f ca="1">SUMIF('Production '!$C$4:$AI$4407,'Tracking Sheet'!B961,'Production '!$AG$4:$AG$4407)</f>
        <v>-2800</v>
      </c>
    </row>
    <row r="962" spans="2:10" x14ac:dyDescent="0.3">
      <c r="B962" s="277">
        <f>'Production '!C965</f>
        <v>48308</v>
      </c>
      <c r="C962" s="76">
        <f ca="1">SUMIF('Production '!$C$4:$AI$4407,'Tracking Sheet'!B962,'Production '!$M$4:$M$4407)</f>
        <v>0</v>
      </c>
      <c r="D962" s="76">
        <f ca="1">SUMIF('Production '!$C$4:$AI$4407,'Tracking Sheet'!B962,'Production '!$Q$4:$Q$4407)</f>
        <v>0</v>
      </c>
      <c r="E962" s="76">
        <f ca="1">SUMIF('Production '!$C$4:$AI$4407,'Tracking Sheet'!B962,'Production '!$S$4:$S$4407)</f>
        <v>0</v>
      </c>
      <c r="F962" s="76">
        <f ca="1">SUMIF('Production '!$C$4:$AI$4407,'Tracking Sheet'!B962,'Production '!$U$4:$U$4407)</f>
        <v>0</v>
      </c>
      <c r="G962" s="76">
        <f ca="1">SUMIF('Production '!$C$4:$AI$4407,'Tracking Sheet'!B962,'Production '!$W$4:$W$4407)</f>
        <v>0</v>
      </c>
      <c r="H962" s="76">
        <f ca="1">SUMIF('Production '!$C$4:$AI$4407,'Tracking Sheet'!B962,'Production '!$F$4:$F$4407)</f>
        <v>2800</v>
      </c>
      <c r="I962" s="76">
        <f ca="1">SUMIF('Production '!$C$4:$AI$4407,'Tracking Sheet'!B962,'Production '!$V$4:$V$4407)</f>
        <v>0</v>
      </c>
      <c r="J962" s="76">
        <f ca="1">SUMIF('Production '!$C$4:$AI$4407,'Tracking Sheet'!B962,'Production '!$AG$4:$AG$4407)</f>
        <v>-2800</v>
      </c>
    </row>
    <row r="963" spans="2:10" x14ac:dyDescent="0.3">
      <c r="B963" s="277">
        <f>'Production '!C966</f>
        <v>48308</v>
      </c>
      <c r="C963" s="76">
        <f ca="1">SUMIF('Production '!$C$4:$AI$4407,'Tracking Sheet'!B963,'Production '!$M$4:$M$4407)</f>
        <v>0</v>
      </c>
      <c r="D963" s="76">
        <f ca="1">SUMIF('Production '!$C$4:$AI$4407,'Tracking Sheet'!B963,'Production '!$Q$4:$Q$4407)</f>
        <v>0</v>
      </c>
      <c r="E963" s="76">
        <f ca="1">SUMIF('Production '!$C$4:$AI$4407,'Tracking Sheet'!B963,'Production '!$S$4:$S$4407)</f>
        <v>0</v>
      </c>
      <c r="F963" s="76">
        <f ca="1">SUMIF('Production '!$C$4:$AI$4407,'Tracking Sheet'!B963,'Production '!$U$4:$U$4407)</f>
        <v>0</v>
      </c>
      <c r="G963" s="76">
        <f ca="1">SUMIF('Production '!$C$4:$AI$4407,'Tracking Sheet'!B963,'Production '!$W$4:$W$4407)</f>
        <v>0</v>
      </c>
      <c r="H963" s="76">
        <f ca="1">SUMIF('Production '!$C$4:$AI$4407,'Tracking Sheet'!B963,'Production '!$F$4:$F$4407)</f>
        <v>2800</v>
      </c>
      <c r="I963" s="76">
        <f ca="1">SUMIF('Production '!$C$4:$AI$4407,'Tracking Sheet'!B963,'Production '!$V$4:$V$4407)</f>
        <v>0</v>
      </c>
      <c r="J963" s="76">
        <f ca="1">SUMIF('Production '!$C$4:$AI$4407,'Tracking Sheet'!B963,'Production '!$AG$4:$AG$4407)</f>
        <v>-2800</v>
      </c>
    </row>
    <row r="964" spans="2:10" x14ac:dyDescent="0.3">
      <c r="B964" s="277">
        <f>'Production '!C967</f>
        <v>48308</v>
      </c>
      <c r="C964" s="76">
        <f ca="1">SUMIF('Production '!$C$4:$AI$4407,'Tracking Sheet'!B964,'Production '!$M$4:$M$4407)</f>
        <v>0</v>
      </c>
      <c r="D964" s="76">
        <f ca="1">SUMIF('Production '!$C$4:$AI$4407,'Tracking Sheet'!B964,'Production '!$Q$4:$Q$4407)</f>
        <v>0</v>
      </c>
      <c r="E964" s="76">
        <f ca="1">SUMIF('Production '!$C$4:$AI$4407,'Tracking Sheet'!B964,'Production '!$S$4:$S$4407)</f>
        <v>0</v>
      </c>
      <c r="F964" s="76">
        <f ca="1">SUMIF('Production '!$C$4:$AI$4407,'Tracking Sheet'!B964,'Production '!$U$4:$U$4407)</f>
        <v>0</v>
      </c>
      <c r="G964" s="76">
        <f ca="1">SUMIF('Production '!$C$4:$AI$4407,'Tracking Sheet'!B964,'Production '!$W$4:$W$4407)</f>
        <v>0</v>
      </c>
      <c r="H964" s="76">
        <f ca="1">SUMIF('Production '!$C$4:$AI$4407,'Tracking Sheet'!B964,'Production '!$F$4:$F$4407)</f>
        <v>2800</v>
      </c>
      <c r="I964" s="76">
        <f ca="1">SUMIF('Production '!$C$4:$AI$4407,'Tracking Sheet'!B964,'Production '!$V$4:$V$4407)</f>
        <v>0</v>
      </c>
      <c r="J964" s="76">
        <f ca="1">SUMIF('Production '!$C$4:$AI$4407,'Tracking Sheet'!B964,'Production '!$AG$4:$AG$4407)</f>
        <v>-2800</v>
      </c>
    </row>
    <row r="965" spans="2:10" x14ac:dyDescent="0.3">
      <c r="B965" s="277">
        <f>'Production '!C968</f>
        <v>0</v>
      </c>
      <c r="C965" s="76" t="e">
        <f ca="1">SUMIF('Production '!$C$4:$AI$4407,'Tracking Sheet'!B965,'Production '!$M$4:$M$4407)</f>
        <v>#DIV/0!</v>
      </c>
      <c r="D965" s="76" t="e">
        <f ca="1">SUMIF('Production '!$C$4:$AI$4407,'Tracking Sheet'!B965,'Production '!$Q$4:$Q$4407)</f>
        <v>#DIV/0!</v>
      </c>
      <c r="E965" s="76">
        <f ca="1">SUMIF('Production '!$C$4:$AI$4407,'Tracking Sheet'!B965,'Production '!$S$4:$S$4407)</f>
        <v>-1268218.9828305368</v>
      </c>
      <c r="F965" s="76">
        <f ca="1">SUMIF('Production '!$C$4:$AI$4407,'Tracking Sheet'!B965,'Production '!$U$4:$U$4407)</f>
        <v>-10620.435600016917</v>
      </c>
      <c r="G965" s="76" t="e">
        <f ca="1">SUMIF('Production '!$C$4:$AI$4407,'Tracking Sheet'!B965,'Production '!$W$4:$W$4407)</f>
        <v>#DIV/0!</v>
      </c>
      <c r="H965" s="76">
        <f ca="1">SUMIF('Production '!$C$4:$AI$4407,'Tracking Sheet'!B965,'Production '!$F$4:$F$4407)</f>
        <v>3230621.3283604058</v>
      </c>
      <c r="I965" s="76">
        <f ca="1">SUMIF('Production '!$C$4:$AI$4407,'Tracking Sheet'!B965,'Production '!$V$4:$V$4407)</f>
        <v>-489.86487791182844</v>
      </c>
      <c r="J965" s="76">
        <f ca="1">SUMIF('Production '!$C$4:$AI$4407,'Tracking Sheet'!B965,'Production '!$AG$4:$AG$4407)</f>
        <v>0</v>
      </c>
    </row>
    <row r="966" spans="2:10" x14ac:dyDescent="0.3">
      <c r="B966" s="277">
        <f>'Production '!C969</f>
        <v>48285</v>
      </c>
      <c r="C966" s="76">
        <f ca="1">SUMIF('Production '!$C$4:$AI$4407,'Tracking Sheet'!B966,'Production '!$M$4:$M$4407)</f>
        <v>2244</v>
      </c>
      <c r="D966" s="76">
        <f ca="1">SUMIF('Production '!$C$4:$AI$4407,'Tracking Sheet'!B966,'Production '!$Q$4:$Q$4407)</f>
        <v>2206</v>
      </c>
      <c r="E966" s="76">
        <f ca="1">SUMIF('Production '!$C$4:$AI$4407,'Tracking Sheet'!B966,'Production '!$S$4:$S$4407)</f>
        <v>0</v>
      </c>
      <c r="F966" s="76">
        <f ca="1">SUMIF('Production '!$C$4:$AI$4407,'Tracking Sheet'!B966,'Production '!$U$4:$U$4407)</f>
        <v>0</v>
      </c>
      <c r="G966" s="76">
        <f ca="1">SUMIF('Production '!$C$4:$AI$4407,'Tracking Sheet'!B966,'Production '!$W$4:$W$4407)</f>
        <v>0</v>
      </c>
      <c r="H966" s="76">
        <f ca="1">SUMIF('Production '!$C$4:$AI$4407,'Tracking Sheet'!B966,'Production '!$F$4:$F$4407)</f>
        <v>2112</v>
      </c>
      <c r="I966" s="76">
        <f ca="1">SUMIF('Production '!$C$4:$AI$4407,'Tracking Sheet'!B966,'Production '!$V$4:$V$4407)</f>
        <v>0</v>
      </c>
      <c r="J966" s="76">
        <f ca="1">SUMIF('Production '!$C$4:$AI$4407,'Tracking Sheet'!B966,'Production '!$AG$4:$AG$4407)</f>
        <v>0</v>
      </c>
    </row>
    <row r="967" spans="2:10" x14ac:dyDescent="0.3">
      <c r="B967" s="277">
        <f>'Production '!C970</f>
        <v>48285</v>
      </c>
      <c r="C967" s="76">
        <f ca="1">SUMIF('Production '!$C$4:$AI$4407,'Tracking Sheet'!B967,'Production '!$M$4:$M$4407)</f>
        <v>2244</v>
      </c>
      <c r="D967" s="76">
        <f ca="1">SUMIF('Production '!$C$4:$AI$4407,'Tracking Sheet'!B967,'Production '!$Q$4:$Q$4407)</f>
        <v>2206</v>
      </c>
      <c r="E967" s="76">
        <f ca="1">SUMIF('Production '!$C$4:$AI$4407,'Tracking Sheet'!B967,'Production '!$S$4:$S$4407)</f>
        <v>0</v>
      </c>
      <c r="F967" s="76">
        <f ca="1">SUMIF('Production '!$C$4:$AI$4407,'Tracking Sheet'!B967,'Production '!$U$4:$U$4407)</f>
        <v>0</v>
      </c>
      <c r="G967" s="76">
        <f ca="1">SUMIF('Production '!$C$4:$AI$4407,'Tracking Sheet'!B967,'Production '!$W$4:$W$4407)</f>
        <v>0</v>
      </c>
      <c r="H967" s="76">
        <f ca="1">SUMIF('Production '!$C$4:$AI$4407,'Tracking Sheet'!B967,'Production '!$F$4:$F$4407)</f>
        <v>2112</v>
      </c>
      <c r="I967" s="76">
        <f ca="1">SUMIF('Production '!$C$4:$AI$4407,'Tracking Sheet'!B967,'Production '!$V$4:$V$4407)</f>
        <v>0</v>
      </c>
      <c r="J967" s="76">
        <f ca="1">SUMIF('Production '!$C$4:$AI$4407,'Tracking Sheet'!B967,'Production '!$AG$4:$AG$4407)</f>
        <v>0</v>
      </c>
    </row>
    <row r="968" spans="2:10" x14ac:dyDescent="0.3">
      <c r="B968" s="277">
        <f>'Production '!C971</f>
        <v>0</v>
      </c>
      <c r="C968" s="76" t="e">
        <f ca="1">SUMIF('Production '!$C$4:$AI$4407,'Tracking Sheet'!B968,'Production '!$M$4:$M$4407)</f>
        <v>#DIV/0!</v>
      </c>
      <c r="D968" s="76" t="e">
        <f ca="1">SUMIF('Production '!$C$4:$AI$4407,'Tracking Sheet'!B968,'Production '!$Q$4:$Q$4407)</f>
        <v>#DIV/0!</v>
      </c>
      <c r="E968" s="76">
        <f ca="1">SUMIF('Production '!$C$4:$AI$4407,'Tracking Sheet'!B968,'Production '!$S$4:$S$4407)</f>
        <v>-1268218.9828305368</v>
      </c>
      <c r="F968" s="76">
        <f ca="1">SUMIF('Production '!$C$4:$AI$4407,'Tracking Sheet'!B968,'Production '!$U$4:$U$4407)</f>
        <v>-10620.435600016917</v>
      </c>
      <c r="G968" s="76" t="e">
        <f ca="1">SUMIF('Production '!$C$4:$AI$4407,'Tracking Sheet'!B968,'Production '!$W$4:$W$4407)</f>
        <v>#DIV/0!</v>
      </c>
      <c r="H968" s="76">
        <f ca="1">SUMIF('Production '!$C$4:$AI$4407,'Tracking Sheet'!B968,'Production '!$F$4:$F$4407)</f>
        <v>3230621.3283604058</v>
      </c>
      <c r="I968" s="76">
        <f ca="1">SUMIF('Production '!$C$4:$AI$4407,'Tracking Sheet'!B968,'Production '!$V$4:$V$4407)</f>
        <v>-489.86487791182844</v>
      </c>
      <c r="J968" s="76">
        <f ca="1">SUMIF('Production '!$C$4:$AI$4407,'Tracking Sheet'!B968,'Production '!$AG$4:$AG$4407)</f>
        <v>0</v>
      </c>
    </row>
    <row r="969" spans="2:10" x14ac:dyDescent="0.3">
      <c r="B969" s="277">
        <f>'Production '!C972</f>
        <v>48288</v>
      </c>
      <c r="C969" s="76">
        <f ca="1">SUMIF('Production '!$C$4:$AI$4407,'Tracking Sheet'!B969,'Production '!$M$4:$M$4407)</f>
        <v>3930</v>
      </c>
      <c r="D969" s="76">
        <f ca="1">SUMIF('Production '!$C$4:$AI$4407,'Tracking Sheet'!B969,'Production '!$Q$4:$Q$4407)</f>
        <v>3916</v>
      </c>
      <c r="E969" s="76">
        <f ca="1">SUMIF('Production '!$C$4:$AI$4407,'Tracking Sheet'!B969,'Production '!$S$4:$S$4407)</f>
        <v>3878</v>
      </c>
      <c r="F969" s="76">
        <f ca="1">SUMIF('Production '!$C$4:$AI$4407,'Tracking Sheet'!B969,'Production '!$U$4:$U$4407)</f>
        <v>3878</v>
      </c>
      <c r="G969" s="76">
        <f ca="1">SUMIF('Production '!$C$4:$AI$4407,'Tracking Sheet'!B969,'Production '!$W$4:$W$4407)</f>
        <v>0</v>
      </c>
      <c r="H969" s="76">
        <f ca="1">SUMIF('Production '!$C$4:$AI$4407,'Tracking Sheet'!B969,'Production '!$F$4:$F$4407)</f>
        <v>4050</v>
      </c>
      <c r="I969" s="76">
        <f ca="1">SUMIF('Production '!$C$4:$AI$4407,'Tracking Sheet'!B969,'Production '!$V$4:$V$4407)</f>
        <v>0</v>
      </c>
      <c r="J969" s="76">
        <f ca="1">SUMIF('Production '!$C$4:$AI$4407,'Tracking Sheet'!B969,'Production '!$AG$4:$AG$4407)</f>
        <v>-166</v>
      </c>
    </row>
    <row r="970" spans="2:10" x14ac:dyDescent="0.3">
      <c r="B970" s="277">
        <f>'Production '!C973</f>
        <v>48288</v>
      </c>
      <c r="C970" s="76">
        <f ca="1">SUMIF('Production '!$C$4:$AI$4407,'Tracking Sheet'!B970,'Production '!$M$4:$M$4407)</f>
        <v>3930</v>
      </c>
      <c r="D970" s="76">
        <f ca="1">SUMIF('Production '!$C$4:$AI$4407,'Tracking Sheet'!B970,'Production '!$Q$4:$Q$4407)</f>
        <v>3916</v>
      </c>
      <c r="E970" s="76">
        <f ca="1">SUMIF('Production '!$C$4:$AI$4407,'Tracking Sheet'!B970,'Production '!$S$4:$S$4407)</f>
        <v>3878</v>
      </c>
      <c r="F970" s="76">
        <f ca="1">SUMIF('Production '!$C$4:$AI$4407,'Tracking Sheet'!B970,'Production '!$U$4:$U$4407)</f>
        <v>3878</v>
      </c>
      <c r="G970" s="76">
        <f ca="1">SUMIF('Production '!$C$4:$AI$4407,'Tracking Sheet'!B970,'Production '!$W$4:$W$4407)</f>
        <v>0</v>
      </c>
      <c r="H970" s="76">
        <f ca="1">SUMIF('Production '!$C$4:$AI$4407,'Tracking Sheet'!B970,'Production '!$F$4:$F$4407)</f>
        <v>4050</v>
      </c>
      <c r="I970" s="76">
        <f ca="1">SUMIF('Production '!$C$4:$AI$4407,'Tracking Sheet'!B970,'Production '!$V$4:$V$4407)</f>
        <v>0</v>
      </c>
      <c r="J970" s="76">
        <f ca="1">SUMIF('Production '!$C$4:$AI$4407,'Tracking Sheet'!B970,'Production '!$AG$4:$AG$4407)</f>
        <v>-166</v>
      </c>
    </row>
    <row r="971" spans="2:10" x14ac:dyDescent="0.3">
      <c r="B971" s="277">
        <f>'Production '!C974</f>
        <v>0</v>
      </c>
      <c r="C971" s="76" t="e">
        <f ca="1">SUMIF('Production '!$C$4:$AI$4407,'Tracking Sheet'!B971,'Production '!$M$4:$M$4407)</f>
        <v>#DIV/0!</v>
      </c>
      <c r="D971" s="76" t="e">
        <f ca="1">SUMIF('Production '!$C$4:$AI$4407,'Tracking Sheet'!B971,'Production '!$Q$4:$Q$4407)</f>
        <v>#DIV/0!</v>
      </c>
      <c r="E971" s="76">
        <f ca="1">SUMIF('Production '!$C$4:$AI$4407,'Tracking Sheet'!B971,'Production '!$S$4:$S$4407)</f>
        <v>-1268218.9828305368</v>
      </c>
      <c r="F971" s="76">
        <f ca="1">SUMIF('Production '!$C$4:$AI$4407,'Tracking Sheet'!B971,'Production '!$U$4:$U$4407)</f>
        <v>-10620.435600016917</v>
      </c>
      <c r="G971" s="76" t="e">
        <f ca="1">SUMIF('Production '!$C$4:$AI$4407,'Tracking Sheet'!B971,'Production '!$W$4:$W$4407)</f>
        <v>#DIV/0!</v>
      </c>
      <c r="H971" s="76">
        <f ca="1">SUMIF('Production '!$C$4:$AI$4407,'Tracking Sheet'!B971,'Production '!$F$4:$F$4407)</f>
        <v>3230621.3283604058</v>
      </c>
      <c r="I971" s="76">
        <f ca="1">SUMIF('Production '!$C$4:$AI$4407,'Tracking Sheet'!B971,'Production '!$V$4:$V$4407)</f>
        <v>-489.86487791182844</v>
      </c>
      <c r="J971" s="76">
        <f ca="1">SUMIF('Production '!$C$4:$AI$4407,'Tracking Sheet'!B971,'Production '!$AG$4:$AG$4407)</f>
        <v>0</v>
      </c>
    </row>
    <row r="972" spans="2:10" x14ac:dyDescent="0.3">
      <c r="B972" s="277">
        <f>'Production '!C975</f>
        <v>48289</v>
      </c>
      <c r="C972" s="76">
        <f ca="1">SUMIF('Production '!$C$4:$AI$4407,'Tracking Sheet'!B972,'Production '!$M$4:$M$4407)</f>
        <v>0</v>
      </c>
      <c r="D972" s="76">
        <f ca="1">SUMIF('Production '!$C$4:$AI$4407,'Tracking Sheet'!B972,'Production '!$Q$4:$Q$4407)</f>
        <v>0</v>
      </c>
      <c r="E972" s="76">
        <f ca="1">SUMIF('Production '!$C$4:$AI$4407,'Tracking Sheet'!B972,'Production '!$S$4:$S$4407)</f>
        <v>0</v>
      </c>
      <c r="F972" s="76">
        <f ca="1">SUMIF('Production '!$C$4:$AI$4407,'Tracking Sheet'!B972,'Production '!$U$4:$U$4407)</f>
        <v>0</v>
      </c>
      <c r="G972" s="76">
        <f ca="1">SUMIF('Production '!$C$4:$AI$4407,'Tracking Sheet'!B972,'Production '!$W$4:$W$4407)</f>
        <v>0</v>
      </c>
      <c r="H972" s="76">
        <f ca="1">SUMIF('Production '!$C$4:$AI$4407,'Tracking Sheet'!B972,'Production '!$F$4:$F$4407)</f>
        <v>810</v>
      </c>
      <c r="I972" s="76">
        <f ca="1">SUMIF('Production '!$C$4:$AI$4407,'Tracking Sheet'!B972,'Production '!$V$4:$V$4407)</f>
        <v>0</v>
      </c>
      <c r="J972" s="76">
        <f ca="1">SUMIF('Production '!$C$4:$AI$4407,'Tracking Sheet'!B972,'Production '!$AG$4:$AG$4407)</f>
        <v>-810</v>
      </c>
    </row>
    <row r="973" spans="2:10" x14ac:dyDescent="0.3">
      <c r="B973" s="277">
        <f>'Production '!C976</f>
        <v>48289</v>
      </c>
      <c r="C973" s="76">
        <f ca="1">SUMIF('Production '!$C$4:$AI$4407,'Tracking Sheet'!B973,'Production '!$M$4:$M$4407)</f>
        <v>0</v>
      </c>
      <c r="D973" s="76">
        <f ca="1">SUMIF('Production '!$C$4:$AI$4407,'Tracking Sheet'!B973,'Production '!$Q$4:$Q$4407)</f>
        <v>0</v>
      </c>
      <c r="E973" s="76">
        <f ca="1">SUMIF('Production '!$C$4:$AI$4407,'Tracking Sheet'!B973,'Production '!$S$4:$S$4407)</f>
        <v>0</v>
      </c>
      <c r="F973" s="76">
        <f ca="1">SUMIF('Production '!$C$4:$AI$4407,'Tracking Sheet'!B973,'Production '!$U$4:$U$4407)</f>
        <v>0</v>
      </c>
      <c r="G973" s="76">
        <f ca="1">SUMIF('Production '!$C$4:$AI$4407,'Tracking Sheet'!B973,'Production '!$W$4:$W$4407)</f>
        <v>0</v>
      </c>
      <c r="H973" s="76">
        <f ca="1">SUMIF('Production '!$C$4:$AI$4407,'Tracking Sheet'!B973,'Production '!$F$4:$F$4407)</f>
        <v>810</v>
      </c>
      <c r="I973" s="76">
        <f ca="1">SUMIF('Production '!$C$4:$AI$4407,'Tracking Sheet'!B973,'Production '!$V$4:$V$4407)</f>
        <v>0</v>
      </c>
      <c r="J973" s="76">
        <f ca="1">SUMIF('Production '!$C$4:$AI$4407,'Tracking Sheet'!B973,'Production '!$AG$4:$AG$4407)</f>
        <v>-810</v>
      </c>
    </row>
    <row r="974" spans="2:10" x14ac:dyDescent="0.3">
      <c r="B974" s="277">
        <f>'Production '!C977</f>
        <v>0</v>
      </c>
      <c r="C974" s="76" t="e">
        <f ca="1">SUMIF('Production '!$C$4:$AI$4407,'Tracking Sheet'!B974,'Production '!$M$4:$M$4407)</f>
        <v>#DIV/0!</v>
      </c>
      <c r="D974" s="76" t="e">
        <f ca="1">SUMIF('Production '!$C$4:$AI$4407,'Tracking Sheet'!B974,'Production '!$Q$4:$Q$4407)</f>
        <v>#DIV/0!</v>
      </c>
      <c r="E974" s="76">
        <f ca="1">SUMIF('Production '!$C$4:$AI$4407,'Tracking Sheet'!B974,'Production '!$S$4:$S$4407)</f>
        <v>-1268218.9828305368</v>
      </c>
      <c r="F974" s="76">
        <f ca="1">SUMIF('Production '!$C$4:$AI$4407,'Tracking Sheet'!B974,'Production '!$U$4:$U$4407)</f>
        <v>-10620.435600016917</v>
      </c>
      <c r="G974" s="76" t="e">
        <f ca="1">SUMIF('Production '!$C$4:$AI$4407,'Tracking Sheet'!B974,'Production '!$W$4:$W$4407)</f>
        <v>#DIV/0!</v>
      </c>
      <c r="H974" s="76">
        <f ca="1">SUMIF('Production '!$C$4:$AI$4407,'Tracking Sheet'!B974,'Production '!$F$4:$F$4407)</f>
        <v>3230621.3283604058</v>
      </c>
      <c r="I974" s="76">
        <f ca="1">SUMIF('Production '!$C$4:$AI$4407,'Tracking Sheet'!B974,'Production '!$V$4:$V$4407)</f>
        <v>-489.86487791182844</v>
      </c>
      <c r="J974" s="76">
        <f ca="1">SUMIF('Production '!$C$4:$AI$4407,'Tracking Sheet'!B974,'Production '!$AG$4:$AG$4407)</f>
        <v>0</v>
      </c>
    </row>
    <row r="975" spans="2:10" x14ac:dyDescent="0.3">
      <c r="B975" s="277">
        <f>'Production '!C978</f>
        <v>48290</v>
      </c>
      <c r="C975" s="76">
        <f ca="1">SUMIF('Production '!$C$4:$AI$4407,'Tracking Sheet'!B975,'Production '!$M$4:$M$4407)</f>
        <v>0</v>
      </c>
      <c r="D975" s="76">
        <f ca="1">SUMIF('Production '!$C$4:$AI$4407,'Tracking Sheet'!B975,'Production '!$Q$4:$Q$4407)</f>
        <v>0</v>
      </c>
      <c r="E975" s="76">
        <f ca="1">SUMIF('Production '!$C$4:$AI$4407,'Tracking Sheet'!B975,'Production '!$S$4:$S$4407)</f>
        <v>0</v>
      </c>
      <c r="F975" s="76">
        <f ca="1">SUMIF('Production '!$C$4:$AI$4407,'Tracking Sheet'!B975,'Production '!$U$4:$U$4407)</f>
        <v>0</v>
      </c>
      <c r="G975" s="76">
        <f ca="1">SUMIF('Production '!$C$4:$AI$4407,'Tracking Sheet'!B975,'Production '!$W$4:$W$4407)</f>
        <v>0</v>
      </c>
      <c r="H975" s="76">
        <f ca="1">SUMIF('Production '!$C$4:$AI$4407,'Tracking Sheet'!B975,'Production '!$F$4:$F$4407)</f>
        <v>3723</v>
      </c>
      <c r="I975" s="76">
        <f ca="1">SUMIF('Production '!$C$4:$AI$4407,'Tracking Sheet'!B975,'Production '!$V$4:$V$4407)</f>
        <v>0</v>
      </c>
      <c r="J975" s="76">
        <f ca="1">SUMIF('Production '!$C$4:$AI$4407,'Tracking Sheet'!B975,'Production '!$AG$4:$AG$4407)</f>
        <v>-3723</v>
      </c>
    </row>
    <row r="976" spans="2:10" x14ac:dyDescent="0.3">
      <c r="B976" s="277">
        <f>'Production '!C979</f>
        <v>48290</v>
      </c>
      <c r="C976" s="76">
        <f ca="1">SUMIF('Production '!$C$4:$AI$4407,'Tracking Sheet'!B976,'Production '!$M$4:$M$4407)</f>
        <v>0</v>
      </c>
      <c r="D976" s="76">
        <f ca="1">SUMIF('Production '!$C$4:$AI$4407,'Tracking Sheet'!B976,'Production '!$Q$4:$Q$4407)</f>
        <v>0</v>
      </c>
      <c r="E976" s="76">
        <f ca="1">SUMIF('Production '!$C$4:$AI$4407,'Tracking Sheet'!B976,'Production '!$S$4:$S$4407)</f>
        <v>0</v>
      </c>
      <c r="F976" s="76">
        <f ca="1">SUMIF('Production '!$C$4:$AI$4407,'Tracking Sheet'!B976,'Production '!$U$4:$U$4407)</f>
        <v>0</v>
      </c>
      <c r="G976" s="76">
        <f ca="1">SUMIF('Production '!$C$4:$AI$4407,'Tracking Sheet'!B976,'Production '!$W$4:$W$4407)</f>
        <v>0</v>
      </c>
      <c r="H976" s="76">
        <f ca="1">SUMIF('Production '!$C$4:$AI$4407,'Tracking Sheet'!B976,'Production '!$F$4:$F$4407)</f>
        <v>3723</v>
      </c>
      <c r="I976" s="76">
        <f ca="1">SUMIF('Production '!$C$4:$AI$4407,'Tracking Sheet'!B976,'Production '!$V$4:$V$4407)</f>
        <v>0</v>
      </c>
      <c r="J976" s="76">
        <f ca="1">SUMIF('Production '!$C$4:$AI$4407,'Tracking Sheet'!B976,'Production '!$AG$4:$AG$4407)</f>
        <v>-3723</v>
      </c>
    </row>
    <row r="977" spans="2:10" x14ac:dyDescent="0.3">
      <c r="B977" s="277">
        <f>'Production '!C980</f>
        <v>48290</v>
      </c>
      <c r="C977" s="76">
        <f ca="1">SUMIF('Production '!$C$4:$AI$4407,'Tracking Sheet'!B977,'Production '!$M$4:$M$4407)</f>
        <v>0</v>
      </c>
      <c r="D977" s="76">
        <f ca="1">SUMIF('Production '!$C$4:$AI$4407,'Tracking Sheet'!B977,'Production '!$Q$4:$Q$4407)</f>
        <v>0</v>
      </c>
      <c r="E977" s="76">
        <f ca="1">SUMIF('Production '!$C$4:$AI$4407,'Tracking Sheet'!B977,'Production '!$S$4:$S$4407)</f>
        <v>0</v>
      </c>
      <c r="F977" s="76">
        <f ca="1">SUMIF('Production '!$C$4:$AI$4407,'Tracking Sheet'!B977,'Production '!$U$4:$U$4407)</f>
        <v>0</v>
      </c>
      <c r="G977" s="76">
        <f ca="1">SUMIF('Production '!$C$4:$AI$4407,'Tracking Sheet'!B977,'Production '!$W$4:$W$4407)</f>
        <v>0</v>
      </c>
      <c r="H977" s="76">
        <f ca="1">SUMIF('Production '!$C$4:$AI$4407,'Tracking Sheet'!B977,'Production '!$F$4:$F$4407)</f>
        <v>3723</v>
      </c>
      <c r="I977" s="76">
        <f ca="1">SUMIF('Production '!$C$4:$AI$4407,'Tracking Sheet'!B977,'Production '!$V$4:$V$4407)</f>
        <v>0</v>
      </c>
      <c r="J977" s="76">
        <f ca="1">SUMIF('Production '!$C$4:$AI$4407,'Tracking Sheet'!B977,'Production '!$AG$4:$AG$4407)</f>
        <v>-3723</v>
      </c>
    </row>
    <row r="978" spans="2:10" x14ac:dyDescent="0.3">
      <c r="B978" s="277">
        <f>'Production '!C981</f>
        <v>0</v>
      </c>
      <c r="C978" s="76" t="e">
        <f ca="1">SUMIF('Production '!$C$4:$AI$4407,'Tracking Sheet'!B978,'Production '!$M$4:$M$4407)</f>
        <v>#DIV/0!</v>
      </c>
      <c r="D978" s="76" t="e">
        <f ca="1">SUMIF('Production '!$C$4:$AI$4407,'Tracking Sheet'!B978,'Production '!$Q$4:$Q$4407)</f>
        <v>#DIV/0!</v>
      </c>
      <c r="E978" s="76">
        <f ca="1">SUMIF('Production '!$C$4:$AI$4407,'Tracking Sheet'!B978,'Production '!$S$4:$S$4407)</f>
        <v>-1268218.9828305368</v>
      </c>
      <c r="F978" s="76">
        <f ca="1">SUMIF('Production '!$C$4:$AI$4407,'Tracking Sheet'!B978,'Production '!$U$4:$U$4407)</f>
        <v>-10620.435600016917</v>
      </c>
      <c r="G978" s="76" t="e">
        <f ca="1">SUMIF('Production '!$C$4:$AI$4407,'Tracking Sheet'!B978,'Production '!$W$4:$W$4407)</f>
        <v>#DIV/0!</v>
      </c>
      <c r="H978" s="76">
        <f ca="1">SUMIF('Production '!$C$4:$AI$4407,'Tracking Sheet'!B978,'Production '!$F$4:$F$4407)</f>
        <v>3230621.3283604058</v>
      </c>
      <c r="I978" s="76">
        <f ca="1">SUMIF('Production '!$C$4:$AI$4407,'Tracking Sheet'!B978,'Production '!$V$4:$V$4407)</f>
        <v>-489.86487791182844</v>
      </c>
      <c r="J978" s="76">
        <f ca="1">SUMIF('Production '!$C$4:$AI$4407,'Tracking Sheet'!B978,'Production '!$AG$4:$AG$4407)</f>
        <v>0</v>
      </c>
    </row>
    <row r="979" spans="2:10" x14ac:dyDescent="0.3">
      <c r="B979" s="277">
        <f>'Production '!C982</f>
        <v>48088</v>
      </c>
      <c r="C979" s="76">
        <f ca="1">SUMIF('Production '!$C$4:$AI$4407,'Tracking Sheet'!B979,'Production '!$M$4:$M$4407)</f>
        <v>0</v>
      </c>
      <c r="D979" s="76">
        <f ca="1">SUMIF('Production '!$C$4:$AI$4407,'Tracking Sheet'!B979,'Production '!$Q$4:$Q$4407)</f>
        <v>0</v>
      </c>
      <c r="E979" s="76">
        <f ca="1">SUMIF('Production '!$C$4:$AI$4407,'Tracking Sheet'!B979,'Production '!$S$4:$S$4407)</f>
        <v>0</v>
      </c>
      <c r="F979" s="76">
        <f ca="1">SUMIF('Production '!$C$4:$AI$4407,'Tracking Sheet'!B979,'Production '!$U$4:$U$4407)</f>
        <v>0</v>
      </c>
      <c r="G979" s="76">
        <f ca="1">SUMIF('Production '!$C$4:$AI$4407,'Tracking Sheet'!B979,'Production '!$W$4:$W$4407)</f>
        <v>0</v>
      </c>
      <c r="H979" s="76">
        <f ca="1">SUMIF('Production '!$C$4:$AI$4407,'Tracking Sheet'!B979,'Production '!$F$4:$F$4407)</f>
        <v>2616</v>
      </c>
      <c r="I979" s="76">
        <f ca="1">SUMIF('Production '!$C$4:$AI$4407,'Tracking Sheet'!B979,'Production '!$V$4:$V$4407)</f>
        <v>0</v>
      </c>
      <c r="J979" s="76">
        <f ca="1">SUMIF('Production '!$C$4:$AI$4407,'Tracking Sheet'!B979,'Production '!$AG$4:$AG$4407)</f>
        <v>-2616</v>
      </c>
    </row>
    <row r="980" spans="2:10" x14ac:dyDescent="0.3">
      <c r="B980" s="277">
        <f>'Production '!C983</f>
        <v>48088</v>
      </c>
      <c r="C980" s="76">
        <f ca="1">SUMIF('Production '!$C$4:$AI$4407,'Tracking Sheet'!B980,'Production '!$M$4:$M$4407)</f>
        <v>0</v>
      </c>
      <c r="D980" s="76">
        <f ca="1">SUMIF('Production '!$C$4:$AI$4407,'Tracking Sheet'!B980,'Production '!$Q$4:$Q$4407)</f>
        <v>0</v>
      </c>
      <c r="E980" s="76">
        <f ca="1">SUMIF('Production '!$C$4:$AI$4407,'Tracking Sheet'!B980,'Production '!$S$4:$S$4407)</f>
        <v>0</v>
      </c>
      <c r="F980" s="76">
        <f ca="1">SUMIF('Production '!$C$4:$AI$4407,'Tracking Sheet'!B980,'Production '!$U$4:$U$4407)</f>
        <v>0</v>
      </c>
      <c r="G980" s="76">
        <f ca="1">SUMIF('Production '!$C$4:$AI$4407,'Tracking Sheet'!B980,'Production '!$W$4:$W$4407)</f>
        <v>0</v>
      </c>
      <c r="H980" s="76">
        <f ca="1">SUMIF('Production '!$C$4:$AI$4407,'Tracking Sheet'!B980,'Production '!$F$4:$F$4407)</f>
        <v>2616</v>
      </c>
      <c r="I980" s="76">
        <f ca="1">SUMIF('Production '!$C$4:$AI$4407,'Tracking Sheet'!B980,'Production '!$V$4:$V$4407)</f>
        <v>0</v>
      </c>
      <c r="J980" s="76">
        <f ca="1">SUMIF('Production '!$C$4:$AI$4407,'Tracking Sheet'!B980,'Production '!$AG$4:$AG$4407)</f>
        <v>-2616</v>
      </c>
    </row>
    <row r="981" spans="2:10" x14ac:dyDescent="0.3">
      <c r="B981" s="277">
        <f>'Production '!C984</f>
        <v>0</v>
      </c>
      <c r="C981" s="76" t="e">
        <f ca="1">SUMIF('Production '!$C$4:$AI$4407,'Tracking Sheet'!B981,'Production '!$M$4:$M$4407)</f>
        <v>#DIV/0!</v>
      </c>
      <c r="D981" s="76" t="e">
        <f ca="1">SUMIF('Production '!$C$4:$AI$4407,'Tracking Sheet'!B981,'Production '!$Q$4:$Q$4407)</f>
        <v>#DIV/0!</v>
      </c>
      <c r="E981" s="76">
        <f ca="1">SUMIF('Production '!$C$4:$AI$4407,'Tracking Sheet'!B981,'Production '!$S$4:$S$4407)</f>
        <v>-1268218.9828305368</v>
      </c>
      <c r="F981" s="76">
        <f ca="1">SUMIF('Production '!$C$4:$AI$4407,'Tracking Sheet'!B981,'Production '!$U$4:$U$4407)</f>
        <v>-10620.435600016917</v>
      </c>
      <c r="G981" s="76" t="e">
        <f ca="1">SUMIF('Production '!$C$4:$AI$4407,'Tracking Sheet'!B981,'Production '!$W$4:$W$4407)</f>
        <v>#DIV/0!</v>
      </c>
      <c r="H981" s="76">
        <f ca="1">SUMIF('Production '!$C$4:$AI$4407,'Tracking Sheet'!B981,'Production '!$F$4:$F$4407)</f>
        <v>3230621.3283604058</v>
      </c>
      <c r="I981" s="76">
        <f ca="1">SUMIF('Production '!$C$4:$AI$4407,'Tracking Sheet'!B981,'Production '!$V$4:$V$4407)</f>
        <v>-489.86487791182844</v>
      </c>
      <c r="J981" s="76">
        <f ca="1">SUMIF('Production '!$C$4:$AI$4407,'Tracking Sheet'!B981,'Production '!$AG$4:$AG$4407)</f>
        <v>0</v>
      </c>
    </row>
    <row r="982" spans="2:10" x14ac:dyDescent="0.3">
      <c r="B982" s="277">
        <f>'Production '!C985</f>
        <v>47904</v>
      </c>
      <c r="C982" s="76">
        <f ca="1">SUMIF('Production '!$C$4:$AI$4407,'Tracking Sheet'!B982,'Production '!$M$4:$M$4407)</f>
        <v>1825</v>
      </c>
      <c r="D982" s="76">
        <f ca="1">SUMIF('Production '!$C$4:$AI$4407,'Tracking Sheet'!B982,'Production '!$Q$4:$Q$4407)</f>
        <v>1825</v>
      </c>
      <c r="E982" s="76">
        <f ca="1">SUMIF('Production '!$C$4:$AI$4407,'Tracking Sheet'!B982,'Production '!$S$4:$S$4407)</f>
        <v>1823</v>
      </c>
      <c r="F982" s="76">
        <f ca="1">SUMIF('Production '!$C$4:$AI$4407,'Tracking Sheet'!B982,'Production '!$U$4:$U$4407)</f>
        <v>2</v>
      </c>
      <c r="G982" s="76">
        <f ca="1">SUMIF('Production '!$C$4:$AI$4407,'Tracking Sheet'!B982,'Production '!$W$4:$W$4407)</f>
        <v>1821</v>
      </c>
      <c r="H982" s="76">
        <f ca="1">SUMIF('Production '!$C$4:$AI$4407,'Tracking Sheet'!B982,'Production '!$F$4:$F$4407)</f>
        <v>1746</v>
      </c>
      <c r="I982" s="76">
        <f ca="1">SUMIF('Production '!$C$4:$AI$4407,'Tracking Sheet'!B982,'Production '!$V$4:$V$4407)</f>
        <v>0</v>
      </c>
      <c r="J982" s="76">
        <f ca="1">SUMIF('Production '!$C$4:$AI$4407,'Tracking Sheet'!B982,'Production '!$AG$4:$AG$4407)</f>
        <v>0</v>
      </c>
    </row>
    <row r="983" spans="2:10" x14ac:dyDescent="0.3">
      <c r="B983" s="277">
        <f>'Production '!C986</f>
        <v>47904</v>
      </c>
      <c r="C983" s="76">
        <f ca="1">SUMIF('Production '!$C$4:$AI$4407,'Tracking Sheet'!B983,'Production '!$M$4:$M$4407)</f>
        <v>1825</v>
      </c>
      <c r="D983" s="76">
        <f ca="1">SUMIF('Production '!$C$4:$AI$4407,'Tracking Sheet'!B983,'Production '!$Q$4:$Q$4407)</f>
        <v>1825</v>
      </c>
      <c r="E983" s="76">
        <f ca="1">SUMIF('Production '!$C$4:$AI$4407,'Tracking Sheet'!B983,'Production '!$S$4:$S$4407)</f>
        <v>1823</v>
      </c>
      <c r="F983" s="76">
        <f ca="1">SUMIF('Production '!$C$4:$AI$4407,'Tracking Sheet'!B983,'Production '!$U$4:$U$4407)</f>
        <v>2</v>
      </c>
      <c r="G983" s="76">
        <f ca="1">SUMIF('Production '!$C$4:$AI$4407,'Tracking Sheet'!B983,'Production '!$W$4:$W$4407)</f>
        <v>1821</v>
      </c>
      <c r="H983" s="76">
        <f ca="1">SUMIF('Production '!$C$4:$AI$4407,'Tracking Sheet'!B983,'Production '!$F$4:$F$4407)</f>
        <v>1746</v>
      </c>
      <c r="I983" s="76">
        <f ca="1">SUMIF('Production '!$C$4:$AI$4407,'Tracking Sheet'!B983,'Production '!$V$4:$V$4407)</f>
        <v>0</v>
      </c>
      <c r="J983" s="76">
        <f ca="1">SUMIF('Production '!$C$4:$AI$4407,'Tracking Sheet'!B983,'Production '!$AG$4:$AG$4407)</f>
        <v>0</v>
      </c>
    </row>
    <row r="984" spans="2:10" x14ac:dyDescent="0.3">
      <c r="B984" s="277">
        <f>'Production '!C987</f>
        <v>0</v>
      </c>
      <c r="C984" s="76" t="e">
        <f ca="1">SUMIF('Production '!$C$4:$AI$4407,'Tracking Sheet'!B984,'Production '!$M$4:$M$4407)</f>
        <v>#DIV/0!</v>
      </c>
      <c r="D984" s="76" t="e">
        <f ca="1">SUMIF('Production '!$C$4:$AI$4407,'Tracking Sheet'!B984,'Production '!$Q$4:$Q$4407)</f>
        <v>#DIV/0!</v>
      </c>
      <c r="E984" s="76">
        <f ca="1">SUMIF('Production '!$C$4:$AI$4407,'Tracking Sheet'!B984,'Production '!$S$4:$S$4407)</f>
        <v>-1268218.9828305368</v>
      </c>
      <c r="F984" s="76">
        <f ca="1">SUMIF('Production '!$C$4:$AI$4407,'Tracking Sheet'!B984,'Production '!$U$4:$U$4407)</f>
        <v>-10620.435600016917</v>
      </c>
      <c r="G984" s="76" t="e">
        <f ca="1">SUMIF('Production '!$C$4:$AI$4407,'Tracking Sheet'!B984,'Production '!$W$4:$W$4407)</f>
        <v>#DIV/0!</v>
      </c>
      <c r="H984" s="76">
        <f ca="1">SUMIF('Production '!$C$4:$AI$4407,'Tracking Sheet'!B984,'Production '!$F$4:$F$4407)</f>
        <v>3230621.3283604058</v>
      </c>
      <c r="I984" s="76">
        <f ca="1">SUMIF('Production '!$C$4:$AI$4407,'Tracking Sheet'!B984,'Production '!$V$4:$V$4407)</f>
        <v>-489.86487791182844</v>
      </c>
      <c r="J984" s="76">
        <f ca="1">SUMIF('Production '!$C$4:$AI$4407,'Tracking Sheet'!B984,'Production '!$AG$4:$AG$4407)</f>
        <v>0</v>
      </c>
    </row>
    <row r="985" spans="2:10" x14ac:dyDescent="0.3">
      <c r="B985" s="277">
        <f>'Production '!C988</f>
        <v>47905</v>
      </c>
      <c r="C985" s="76">
        <f ca="1">SUMIF('Production '!$C$4:$AI$4407,'Tracking Sheet'!B985,'Production '!$M$4:$M$4407)</f>
        <v>8171</v>
      </c>
      <c r="D985" s="76">
        <f ca="1">SUMIF('Production '!$C$4:$AI$4407,'Tracking Sheet'!B985,'Production '!$Q$4:$Q$4407)</f>
        <v>8171</v>
      </c>
      <c r="E985" s="76">
        <f ca="1">SUMIF('Production '!$C$4:$AI$4407,'Tracking Sheet'!B985,'Production '!$S$4:$S$4407)</f>
        <v>8159</v>
      </c>
      <c r="F985" s="76">
        <f ca="1">SUMIF('Production '!$C$4:$AI$4407,'Tracking Sheet'!B985,'Production '!$U$4:$U$4407)</f>
        <v>9</v>
      </c>
      <c r="G985" s="76">
        <f ca="1">SUMIF('Production '!$C$4:$AI$4407,'Tracking Sheet'!B985,'Production '!$W$4:$W$4407)</f>
        <v>8150</v>
      </c>
      <c r="H985" s="76">
        <f ca="1">SUMIF('Production '!$C$4:$AI$4407,'Tracking Sheet'!B985,'Production '!$F$4:$F$4407)</f>
        <v>7985</v>
      </c>
      <c r="I985" s="76">
        <f ca="1">SUMIF('Production '!$C$4:$AI$4407,'Tracking Sheet'!B985,'Production '!$V$4:$V$4407)</f>
        <v>0</v>
      </c>
      <c r="J985" s="76">
        <f ca="1">SUMIF('Production '!$C$4:$AI$4407,'Tracking Sheet'!B985,'Production '!$AG$4:$AG$4407)</f>
        <v>0</v>
      </c>
    </row>
    <row r="986" spans="2:10" x14ac:dyDescent="0.3">
      <c r="B986" s="277">
        <f>'Production '!C989</f>
        <v>47905</v>
      </c>
      <c r="C986" s="76">
        <f ca="1">SUMIF('Production '!$C$4:$AI$4407,'Tracking Sheet'!B986,'Production '!$M$4:$M$4407)</f>
        <v>8171</v>
      </c>
      <c r="D986" s="76">
        <f ca="1">SUMIF('Production '!$C$4:$AI$4407,'Tracking Sheet'!B986,'Production '!$Q$4:$Q$4407)</f>
        <v>8171</v>
      </c>
      <c r="E986" s="76">
        <f ca="1">SUMIF('Production '!$C$4:$AI$4407,'Tracking Sheet'!B986,'Production '!$S$4:$S$4407)</f>
        <v>8159</v>
      </c>
      <c r="F986" s="76">
        <f ca="1">SUMIF('Production '!$C$4:$AI$4407,'Tracking Sheet'!B986,'Production '!$U$4:$U$4407)</f>
        <v>9</v>
      </c>
      <c r="G986" s="76">
        <f ca="1">SUMIF('Production '!$C$4:$AI$4407,'Tracking Sheet'!B986,'Production '!$W$4:$W$4407)</f>
        <v>8150</v>
      </c>
      <c r="H986" s="76">
        <f ca="1">SUMIF('Production '!$C$4:$AI$4407,'Tracking Sheet'!B986,'Production '!$F$4:$F$4407)</f>
        <v>7985</v>
      </c>
      <c r="I986" s="76">
        <f ca="1">SUMIF('Production '!$C$4:$AI$4407,'Tracking Sheet'!B986,'Production '!$V$4:$V$4407)</f>
        <v>0</v>
      </c>
      <c r="J986" s="76">
        <f ca="1">SUMIF('Production '!$C$4:$AI$4407,'Tracking Sheet'!B986,'Production '!$AG$4:$AG$4407)</f>
        <v>0</v>
      </c>
    </row>
    <row r="987" spans="2:10" x14ac:dyDescent="0.3">
      <c r="B987" s="277">
        <f>'Production '!C990</f>
        <v>47905</v>
      </c>
      <c r="C987" s="76">
        <f ca="1">SUMIF('Production '!$C$4:$AI$4407,'Tracking Sheet'!B987,'Production '!$M$4:$M$4407)</f>
        <v>8171</v>
      </c>
      <c r="D987" s="76">
        <f ca="1">SUMIF('Production '!$C$4:$AI$4407,'Tracking Sheet'!B987,'Production '!$Q$4:$Q$4407)</f>
        <v>8171</v>
      </c>
      <c r="E987" s="76">
        <f ca="1">SUMIF('Production '!$C$4:$AI$4407,'Tracking Sheet'!B987,'Production '!$S$4:$S$4407)</f>
        <v>8159</v>
      </c>
      <c r="F987" s="76">
        <f ca="1">SUMIF('Production '!$C$4:$AI$4407,'Tracking Sheet'!B987,'Production '!$U$4:$U$4407)</f>
        <v>9</v>
      </c>
      <c r="G987" s="76">
        <f ca="1">SUMIF('Production '!$C$4:$AI$4407,'Tracking Sheet'!B987,'Production '!$W$4:$W$4407)</f>
        <v>8150</v>
      </c>
      <c r="H987" s="76">
        <f ca="1">SUMIF('Production '!$C$4:$AI$4407,'Tracking Sheet'!B987,'Production '!$F$4:$F$4407)</f>
        <v>7985</v>
      </c>
      <c r="I987" s="76">
        <f ca="1">SUMIF('Production '!$C$4:$AI$4407,'Tracking Sheet'!B987,'Production '!$V$4:$V$4407)</f>
        <v>0</v>
      </c>
      <c r="J987" s="76">
        <f ca="1">SUMIF('Production '!$C$4:$AI$4407,'Tracking Sheet'!B987,'Production '!$AG$4:$AG$4407)</f>
        <v>0</v>
      </c>
    </row>
    <row r="988" spans="2:10" x14ac:dyDescent="0.3">
      <c r="B988" s="277">
        <f>'Production '!C991</f>
        <v>0</v>
      </c>
      <c r="C988" s="76" t="e">
        <f ca="1">SUMIF('Production '!$C$4:$AI$4407,'Tracking Sheet'!B988,'Production '!$M$4:$M$4407)</f>
        <v>#DIV/0!</v>
      </c>
      <c r="D988" s="76" t="e">
        <f ca="1">SUMIF('Production '!$C$4:$AI$4407,'Tracking Sheet'!B988,'Production '!$Q$4:$Q$4407)</f>
        <v>#DIV/0!</v>
      </c>
      <c r="E988" s="76">
        <f ca="1">SUMIF('Production '!$C$4:$AI$4407,'Tracking Sheet'!B988,'Production '!$S$4:$S$4407)</f>
        <v>-1268218.9828305368</v>
      </c>
      <c r="F988" s="76">
        <f ca="1">SUMIF('Production '!$C$4:$AI$4407,'Tracking Sheet'!B988,'Production '!$U$4:$U$4407)</f>
        <v>-10620.435600016917</v>
      </c>
      <c r="G988" s="76" t="e">
        <f ca="1">SUMIF('Production '!$C$4:$AI$4407,'Tracking Sheet'!B988,'Production '!$W$4:$W$4407)</f>
        <v>#DIV/0!</v>
      </c>
      <c r="H988" s="76">
        <f ca="1">SUMIF('Production '!$C$4:$AI$4407,'Tracking Sheet'!B988,'Production '!$F$4:$F$4407)</f>
        <v>3230621.3283604058</v>
      </c>
      <c r="I988" s="76">
        <f ca="1">SUMIF('Production '!$C$4:$AI$4407,'Tracking Sheet'!B988,'Production '!$V$4:$V$4407)</f>
        <v>-489.86487791182844</v>
      </c>
      <c r="J988" s="76">
        <f ca="1">SUMIF('Production '!$C$4:$AI$4407,'Tracking Sheet'!B988,'Production '!$AG$4:$AG$4407)</f>
        <v>0</v>
      </c>
    </row>
    <row r="989" spans="2:10" x14ac:dyDescent="0.3">
      <c r="B989" s="277">
        <f>'Production '!C992</f>
        <v>47906</v>
      </c>
      <c r="C989" s="76">
        <f ca="1">SUMIF('Production '!$C$4:$AI$4407,'Tracking Sheet'!B989,'Production '!$M$4:$M$4407)</f>
        <v>1732</v>
      </c>
      <c r="D989" s="76">
        <f ca="1">SUMIF('Production '!$C$4:$AI$4407,'Tracking Sheet'!B989,'Production '!$Q$4:$Q$4407)</f>
        <v>1732</v>
      </c>
      <c r="E989" s="76">
        <f ca="1">SUMIF('Production '!$C$4:$AI$4407,'Tracking Sheet'!B989,'Production '!$S$4:$S$4407)</f>
        <v>1732</v>
      </c>
      <c r="F989" s="76">
        <f ca="1">SUMIF('Production '!$C$4:$AI$4407,'Tracking Sheet'!B989,'Production '!$U$4:$U$4407)</f>
        <v>26</v>
      </c>
      <c r="G989" s="76">
        <f ca="1">SUMIF('Production '!$C$4:$AI$4407,'Tracking Sheet'!B989,'Production '!$W$4:$W$4407)</f>
        <v>1706</v>
      </c>
      <c r="H989" s="76">
        <f ca="1">SUMIF('Production '!$C$4:$AI$4407,'Tracking Sheet'!B989,'Production '!$F$4:$F$4407)</f>
        <v>1644</v>
      </c>
      <c r="I989" s="76">
        <f ca="1">SUMIF('Production '!$C$4:$AI$4407,'Tracking Sheet'!B989,'Production '!$V$4:$V$4407)</f>
        <v>0</v>
      </c>
      <c r="J989" s="76">
        <f ca="1">SUMIF('Production '!$C$4:$AI$4407,'Tracking Sheet'!B989,'Production '!$AG$4:$AG$4407)</f>
        <v>0</v>
      </c>
    </row>
    <row r="990" spans="2:10" x14ac:dyDescent="0.3">
      <c r="B990" s="277">
        <f>'Production '!C993</f>
        <v>47906</v>
      </c>
      <c r="C990" s="76">
        <f ca="1">SUMIF('Production '!$C$4:$AI$4407,'Tracking Sheet'!B990,'Production '!$M$4:$M$4407)</f>
        <v>1732</v>
      </c>
      <c r="D990" s="76">
        <f ca="1">SUMIF('Production '!$C$4:$AI$4407,'Tracking Sheet'!B990,'Production '!$Q$4:$Q$4407)</f>
        <v>1732</v>
      </c>
      <c r="E990" s="76">
        <f ca="1">SUMIF('Production '!$C$4:$AI$4407,'Tracking Sheet'!B990,'Production '!$S$4:$S$4407)</f>
        <v>1732</v>
      </c>
      <c r="F990" s="76">
        <f ca="1">SUMIF('Production '!$C$4:$AI$4407,'Tracking Sheet'!B990,'Production '!$U$4:$U$4407)</f>
        <v>26</v>
      </c>
      <c r="G990" s="76">
        <f ca="1">SUMIF('Production '!$C$4:$AI$4407,'Tracking Sheet'!B990,'Production '!$W$4:$W$4407)</f>
        <v>1706</v>
      </c>
      <c r="H990" s="76">
        <f ca="1">SUMIF('Production '!$C$4:$AI$4407,'Tracking Sheet'!B990,'Production '!$F$4:$F$4407)</f>
        <v>1644</v>
      </c>
      <c r="I990" s="76">
        <f ca="1">SUMIF('Production '!$C$4:$AI$4407,'Tracking Sheet'!B990,'Production '!$V$4:$V$4407)</f>
        <v>0</v>
      </c>
      <c r="J990" s="76">
        <f ca="1">SUMIF('Production '!$C$4:$AI$4407,'Tracking Sheet'!B990,'Production '!$AG$4:$AG$4407)</f>
        <v>0</v>
      </c>
    </row>
    <row r="991" spans="2:10" x14ac:dyDescent="0.3">
      <c r="B991" s="277">
        <f>'Production '!C994</f>
        <v>0</v>
      </c>
      <c r="C991" s="76" t="e">
        <f ca="1">SUMIF('Production '!$C$4:$AI$4407,'Tracking Sheet'!B991,'Production '!$M$4:$M$4407)</f>
        <v>#DIV/0!</v>
      </c>
      <c r="D991" s="76" t="e">
        <f ca="1">SUMIF('Production '!$C$4:$AI$4407,'Tracking Sheet'!B991,'Production '!$Q$4:$Q$4407)</f>
        <v>#DIV/0!</v>
      </c>
      <c r="E991" s="76">
        <f ca="1">SUMIF('Production '!$C$4:$AI$4407,'Tracking Sheet'!B991,'Production '!$S$4:$S$4407)</f>
        <v>-1268218.9828305368</v>
      </c>
      <c r="F991" s="76">
        <f ca="1">SUMIF('Production '!$C$4:$AI$4407,'Tracking Sheet'!B991,'Production '!$U$4:$U$4407)</f>
        <v>-10620.435600016917</v>
      </c>
      <c r="G991" s="76" t="e">
        <f ca="1">SUMIF('Production '!$C$4:$AI$4407,'Tracking Sheet'!B991,'Production '!$W$4:$W$4407)</f>
        <v>#DIV/0!</v>
      </c>
      <c r="H991" s="76">
        <f ca="1">SUMIF('Production '!$C$4:$AI$4407,'Tracking Sheet'!B991,'Production '!$F$4:$F$4407)</f>
        <v>3230621.3283604058</v>
      </c>
      <c r="I991" s="76">
        <f ca="1">SUMIF('Production '!$C$4:$AI$4407,'Tracking Sheet'!B991,'Production '!$V$4:$V$4407)</f>
        <v>-489.86487791182844</v>
      </c>
      <c r="J991" s="76">
        <f ca="1">SUMIF('Production '!$C$4:$AI$4407,'Tracking Sheet'!B991,'Production '!$AG$4:$AG$4407)</f>
        <v>0</v>
      </c>
    </row>
    <row r="992" spans="2:10" x14ac:dyDescent="0.3">
      <c r="B992" s="277">
        <f>'Production '!C995</f>
        <v>47909</v>
      </c>
      <c r="C992" s="76">
        <f ca="1">SUMIF('Production '!$C$4:$AI$4407,'Tracking Sheet'!B992,'Production '!$M$4:$M$4407)</f>
        <v>1722</v>
      </c>
      <c r="D992" s="76">
        <f ca="1">SUMIF('Production '!$C$4:$AI$4407,'Tracking Sheet'!B992,'Production '!$Q$4:$Q$4407)</f>
        <v>0</v>
      </c>
      <c r="E992" s="76">
        <f ca="1">SUMIF('Production '!$C$4:$AI$4407,'Tracking Sheet'!B992,'Production '!$S$4:$S$4407)</f>
        <v>0</v>
      </c>
      <c r="F992" s="76">
        <f ca="1">SUMIF('Production '!$C$4:$AI$4407,'Tracking Sheet'!B992,'Production '!$U$4:$U$4407)</f>
        <v>0</v>
      </c>
      <c r="G992" s="76">
        <f ca="1">SUMIF('Production '!$C$4:$AI$4407,'Tracking Sheet'!B992,'Production '!$W$4:$W$4407)</f>
        <v>1722</v>
      </c>
      <c r="H992" s="76">
        <f ca="1">SUMIF('Production '!$C$4:$AI$4407,'Tracking Sheet'!B992,'Production '!$F$4:$F$4407)</f>
        <v>1656</v>
      </c>
      <c r="I992" s="76">
        <f ca="1">SUMIF('Production '!$C$4:$AI$4407,'Tracking Sheet'!B992,'Production '!$V$4:$V$4407)</f>
        <v>0</v>
      </c>
      <c r="J992" s="76">
        <f ca="1">SUMIF('Production '!$C$4:$AI$4407,'Tracking Sheet'!B992,'Production '!$AG$4:$AG$4407)</f>
        <v>0</v>
      </c>
    </row>
    <row r="993" spans="2:10" x14ac:dyDescent="0.3">
      <c r="B993" s="277">
        <f>'Production '!C996</f>
        <v>47909</v>
      </c>
      <c r="C993" s="76">
        <f ca="1">SUMIF('Production '!$C$4:$AI$4407,'Tracking Sheet'!B993,'Production '!$M$4:$M$4407)</f>
        <v>1722</v>
      </c>
      <c r="D993" s="76">
        <f ca="1">SUMIF('Production '!$C$4:$AI$4407,'Tracking Sheet'!B993,'Production '!$Q$4:$Q$4407)</f>
        <v>0</v>
      </c>
      <c r="E993" s="76">
        <f ca="1">SUMIF('Production '!$C$4:$AI$4407,'Tracking Sheet'!B993,'Production '!$S$4:$S$4407)</f>
        <v>0</v>
      </c>
      <c r="F993" s="76">
        <f ca="1">SUMIF('Production '!$C$4:$AI$4407,'Tracking Sheet'!B993,'Production '!$U$4:$U$4407)</f>
        <v>0</v>
      </c>
      <c r="G993" s="76">
        <f ca="1">SUMIF('Production '!$C$4:$AI$4407,'Tracking Sheet'!B993,'Production '!$W$4:$W$4407)</f>
        <v>1722</v>
      </c>
      <c r="H993" s="76">
        <f ca="1">SUMIF('Production '!$C$4:$AI$4407,'Tracking Sheet'!B993,'Production '!$F$4:$F$4407)</f>
        <v>1656</v>
      </c>
      <c r="I993" s="76">
        <f ca="1">SUMIF('Production '!$C$4:$AI$4407,'Tracking Sheet'!B993,'Production '!$V$4:$V$4407)</f>
        <v>0</v>
      </c>
      <c r="J993" s="76">
        <f ca="1">SUMIF('Production '!$C$4:$AI$4407,'Tracking Sheet'!B993,'Production '!$AG$4:$AG$4407)</f>
        <v>0</v>
      </c>
    </row>
    <row r="994" spans="2:10" x14ac:dyDescent="0.3">
      <c r="B994" s="277">
        <f>'Production '!C997</f>
        <v>0</v>
      </c>
      <c r="C994" s="76" t="e">
        <f ca="1">SUMIF('Production '!$C$4:$AI$4407,'Tracking Sheet'!B994,'Production '!$M$4:$M$4407)</f>
        <v>#DIV/0!</v>
      </c>
      <c r="D994" s="76" t="e">
        <f ca="1">SUMIF('Production '!$C$4:$AI$4407,'Tracking Sheet'!B994,'Production '!$Q$4:$Q$4407)</f>
        <v>#DIV/0!</v>
      </c>
      <c r="E994" s="76">
        <f ca="1">SUMIF('Production '!$C$4:$AI$4407,'Tracking Sheet'!B994,'Production '!$S$4:$S$4407)</f>
        <v>-1268218.9828305368</v>
      </c>
      <c r="F994" s="76">
        <f ca="1">SUMIF('Production '!$C$4:$AI$4407,'Tracking Sheet'!B994,'Production '!$U$4:$U$4407)</f>
        <v>-10620.435600016917</v>
      </c>
      <c r="G994" s="76" t="e">
        <f ca="1">SUMIF('Production '!$C$4:$AI$4407,'Tracking Sheet'!B994,'Production '!$W$4:$W$4407)</f>
        <v>#DIV/0!</v>
      </c>
      <c r="H994" s="76">
        <f ca="1">SUMIF('Production '!$C$4:$AI$4407,'Tracking Sheet'!B994,'Production '!$F$4:$F$4407)</f>
        <v>3230621.3283604058</v>
      </c>
      <c r="I994" s="76">
        <f ca="1">SUMIF('Production '!$C$4:$AI$4407,'Tracking Sheet'!B994,'Production '!$V$4:$V$4407)</f>
        <v>-489.86487791182844</v>
      </c>
      <c r="J994" s="76">
        <f ca="1">SUMIF('Production '!$C$4:$AI$4407,'Tracking Sheet'!B994,'Production '!$AG$4:$AG$4407)</f>
        <v>0</v>
      </c>
    </row>
    <row r="995" spans="2:10" x14ac:dyDescent="0.3">
      <c r="B995" s="277">
        <f>'Production '!C998</f>
        <v>47910</v>
      </c>
      <c r="C995" s="76">
        <f ca="1">SUMIF('Production '!$C$4:$AI$4407,'Tracking Sheet'!B995,'Production '!$M$4:$M$4407)</f>
        <v>1911</v>
      </c>
      <c r="D995" s="76">
        <f ca="1">SUMIF('Production '!$C$4:$AI$4407,'Tracking Sheet'!B995,'Production '!$Q$4:$Q$4407)</f>
        <v>1911</v>
      </c>
      <c r="E995" s="76">
        <f ca="1">SUMIF('Production '!$C$4:$AI$4407,'Tracking Sheet'!B995,'Production '!$S$4:$S$4407)</f>
        <v>1898</v>
      </c>
      <c r="F995" s="76">
        <f ca="1">SUMIF('Production '!$C$4:$AI$4407,'Tracking Sheet'!B995,'Production '!$U$4:$U$4407)</f>
        <v>4</v>
      </c>
      <c r="G995" s="76">
        <f ca="1">SUMIF('Production '!$C$4:$AI$4407,'Tracking Sheet'!B995,'Production '!$W$4:$W$4407)</f>
        <v>1894</v>
      </c>
      <c r="H995" s="76">
        <f ca="1">SUMIF('Production '!$C$4:$AI$4407,'Tracking Sheet'!B995,'Production '!$F$4:$F$4407)</f>
        <v>1811</v>
      </c>
      <c r="I995" s="76">
        <f ca="1">SUMIF('Production '!$C$4:$AI$4407,'Tracking Sheet'!B995,'Production '!$V$4:$V$4407)</f>
        <v>0</v>
      </c>
      <c r="J995" s="76">
        <f ca="1">SUMIF('Production '!$C$4:$AI$4407,'Tracking Sheet'!B995,'Production '!$AG$4:$AG$4407)</f>
        <v>0</v>
      </c>
    </row>
    <row r="996" spans="2:10" x14ac:dyDescent="0.3">
      <c r="B996" s="277">
        <f>'Production '!C999</f>
        <v>47910</v>
      </c>
      <c r="C996" s="76">
        <f ca="1">SUMIF('Production '!$C$4:$AI$4407,'Tracking Sheet'!B996,'Production '!$M$4:$M$4407)</f>
        <v>1911</v>
      </c>
      <c r="D996" s="76">
        <f ca="1">SUMIF('Production '!$C$4:$AI$4407,'Tracking Sheet'!B996,'Production '!$Q$4:$Q$4407)</f>
        <v>1911</v>
      </c>
      <c r="E996" s="76">
        <f ca="1">SUMIF('Production '!$C$4:$AI$4407,'Tracking Sheet'!B996,'Production '!$S$4:$S$4407)</f>
        <v>1898</v>
      </c>
      <c r="F996" s="76">
        <f ca="1">SUMIF('Production '!$C$4:$AI$4407,'Tracking Sheet'!B996,'Production '!$U$4:$U$4407)</f>
        <v>4</v>
      </c>
      <c r="G996" s="76">
        <f ca="1">SUMIF('Production '!$C$4:$AI$4407,'Tracking Sheet'!B996,'Production '!$W$4:$W$4407)</f>
        <v>1894</v>
      </c>
      <c r="H996" s="76">
        <f ca="1">SUMIF('Production '!$C$4:$AI$4407,'Tracking Sheet'!B996,'Production '!$F$4:$F$4407)</f>
        <v>1811</v>
      </c>
      <c r="I996" s="76">
        <f ca="1">SUMIF('Production '!$C$4:$AI$4407,'Tracking Sheet'!B996,'Production '!$V$4:$V$4407)</f>
        <v>0</v>
      </c>
      <c r="J996" s="76">
        <f ca="1">SUMIF('Production '!$C$4:$AI$4407,'Tracking Sheet'!B996,'Production '!$AG$4:$AG$4407)</f>
        <v>0</v>
      </c>
    </row>
    <row r="997" spans="2:10" x14ac:dyDescent="0.3">
      <c r="B997" s="277">
        <f>'Production '!C1000</f>
        <v>0</v>
      </c>
      <c r="C997" s="76" t="e">
        <f ca="1">SUMIF('Production '!$C$4:$AI$4407,'Tracking Sheet'!B997,'Production '!$M$4:$M$4407)</f>
        <v>#DIV/0!</v>
      </c>
      <c r="D997" s="76" t="e">
        <f ca="1">SUMIF('Production '!$C$4:$AI$4407,'Tracking Sheet'!B997,'Production '!$Q$4:$Q$4407)</f>
        <v>#DIV/0!</v>
      </c>
      <c r="E997" s="76">
        <f ca="1">SUMIF('Production '!$C$4:$AI$4407,'Tracking Sheet'!B997,'Production '!$S$4:$S$4407)</f>
        <v>-1268218.9828305368</v>
      </c>
      <c r="F997" s="76">
        <f ca="1">SUMIF('Production '!$C$4:$AI$4407,'Tracking Sheet'!B997,'Production '!$U$4:$U$4407)</f>
        <v>-10620.435600016917</v>
      </c>
      <c r="G997" s="76" t="e">
        <f ca="1">SUMIF('Production '!$C$4:$AI$4407,'Tracking Sheet'!B997,'Production '!$W$4:$W$4407)</f>
        <v>#DIV/0!</v>
      </c>
      <c r="H997" s="76">
        <f ca="1">SUMIF('Production '!$C$4:$AI$4407,'Tracking Sheet'!B997,'Production '!$F$4:$F$4407)</f>
        <v>3230621.3283604058</v>
      </c>
      <c r="I997" s="76">
        <f ca="1">SUMIF('Production '!$C$4:$AI$4407,'Tracking Sheet'!B997,'Production '!$V$4:$V$4407)</f>
        <v>-489.86487791182844</v>
      </c>
      <c r="J997" s="76">
        <f ca="1">SUMIF('Production '!$C$4:$AI$4407,'Tracking Sheet'!B997,'Production '!$AG$4:$AG$4407)</f>
        <v>0</v>
      </c>
    </row>
    <row r="998" spans="2:10" x14ac:dyDescent="0.3">
      <c r="B998" s="277">
        <f>'Production '!C1001</f>
        <v>47911</v>
      </c>
      <c r="C998" s="76">
        <f ca="1">SUMIF('Production '!$C$4:$AI$4407,'Tracking Sheet'!B998,'Production '!$M$4:$M$4407)</f>
        <v>7173</v>
      </c>
      <c r="D998" s="76">
        <f ca="1">SUMIF('Production '!$C$4:$AI$4407,'Tracking Sheet'!B998,'Production '!$Q$4:$Q$4407)</f>
        <v>7208</v>
      </c>
      <c r="E998" s="76">
        <f ca="1">SUMIF('Production '!$C$4:$AI$4407,'Tracking Sheet'!B998,'Production '!$S$4:$S$4407)</f>
        <v>7153</v>
      </c>
      <c r="F998" s="76">
        <f ca="1">SUMIF('Production '!$C$4:$AI$4407,'Tracking Sheet'!B998,'Production '!$U$4:$U$4407)</f>
        <v>34</v>
      </c>
      <c r="G998" s="76">
        <f ca="1">SUMIF('Production '!$C$4:$AI$4407,'Tracking Sheet'!B998,'Production '!$W$4:$W$4407)</f>
        <v>7119</v>
      </c>
      <c r="H998" s="76">
        <f ca="1">SUMIF('Production '!$C$4:$AI$4407,'Tracking Sheet'!B998,'Production '!$F$4:$F$4407)</f>
        <v>6931</v>
      </c>
      <c r="I998" s="76">
        <f ca="1">SUMIF('Production '!$C$4:$AI$4407,'Tracking Sheet'!B998,'Production '!$V$4:$V$4407)</f>
        <v>0</v>
      </c>
      <c r="J998" s="76">
        <f ca="1">SUMIF('Production '!$C$4:$AI$4407,'Tracking Sheet'!B998,'Production '!$AG$4:$AG$4407)</f>
        <v>0</v>
      </c>
    </row>
    <row r="999" spans="2:10" x14ac:dyDescent="0.3">
      <c r="B999" s="277">
        <f>'Production '!C1002</f>
        <v>47911</v>
      </c>
      <c r="C999" s="76">
        <f ca="1">SUMIF('Production '!$C$4:$AI$4407,'Tracking Sheet'!B999,'Production '!$M$4:$M$4407)</f>
        <v>7173</v>
      </c>
      <c r="D999" s="76">
        <f ca="1">SUMIF('Production '!$C$4:$AI$4407,'Tracking Sheet'!B999,'Production '!$Q$4:$Q$4407)</f>
        <v>7208</v>
      </c>
      <c r="E999" s="76">
        <f ca="1">SUMIF('Production '!$C$4:$AI$4407,'Tracking Sheet'!B999,'Production '!$S$4:$S$4407)</f>
        <v>7153</v>
      </c>
      <c r="F999" s="76">
        <f ca="1">SUMIF('Production '!$C$4:$AI$4407,'Tracking Sheet'!B999,'Production '!$U$4:$U$4407)</f>
        <v>34</v>
      </c>
      <c r="G999" s="76">
        <f ca="1">SUMIF('Production '!$C$4:$AI$4407,'Tracking Sheet'!B999,'Production '!$W$4:$W$4407)</f>
        <v>7119</v>
      </c>
      <c r="H999" s="76">
        <f ca="1">SUMIF('Production '!$C$4:$AI$4407,'Tracking Sheet'!B999,'Production '!$F$4:$F$4407)</f>
        <v>6931</v>
      </c>
      <c r="I999" s="76">
        <f ca="1">SUMIF('Production '!$C$4:$AI$4407,'Tracking Sheet'!B999,'Production '!$V$4:$V$4407)</f>
        <v>0</v>
      </c>
      <c r="J999" s="76">
        <f ca="1">SUMIF('Production '!$C$4:$AI$4407,'Tracking Sheet'!B999,'Production '!$AG$4:$AG$4407)</f>
        <v>0</v>
      </c>
    </row>
    <row r="1000" spans="2:10" x14ac:dyDescent="0.3">
      <c r="B1000" s="277">
        <f>'Production '!C1003</f>
        <v>47911</v>
      </c>
      <c r="C1000" s="76">
        <f ca="1">SUMIF('Production '!$C$4:$AI$4407,'Tracking Sheet'!B1000,'Production '!$M$4:$M$4407)</f>
        <v>7173</v>
      </c>
      <c r="D1000" s="76">
        <f ca="1">SUMIF('Production '!$C$4:$AI$4407,'Tracking Sheet'!B1000,'Production '!$Q$4:$Q$4407)</f>
        <v>7208</v>
      </c>
      <c r="E1000" s="76">
        <f ca="1">SUMIF('Production '!$C$4:$AI$4407,'Tracking Sheet'!B1000,'Production '!$S$4:$S$4407)</f>
        <v>7153</v>
      </c>
      <c r="F1000" s="76">
        <f ca="1">SUMIF('Production '!$C$4:$AI$4407,'Tracking Sheet'!B1000,'Production '!$U$4:$U$4407)</f>
        <v>34</v>
      </c>
      <c r="G1000" s="76">
        <f ca="1">SUMIF('Production '!$C$4:$AI$4407,'Tracking Sheet'!B1000,'Production '!$W$4:$W$4407)</f>
        <v>7119</v>
      </c>
      <c r="H1000" s="76">
        <f ca="1">SUMIF('Production '!$C$4:$AI$4407,'Tracking Sheet'!B1000,'Production '!$F$4:$F$4407)</f>
        <v>6931</v>
      </c>
      <c r="I1000" s="76">
        <f ca="1">SUMIF('Production '!$C$4:$AI$4407,'Tracking Sheet'!B1000,'Production '!$V$4:$V$4407)</f>
        <v>0</v>
      </c>
      <c r="J1000" s="76">
        <f ca="1">SUMIF('Production '!$C$4:$AI$4407,'Tracking Sheet'!B1000,'Production '!$AG$4:$AG$4407)</f>
        <v>0</v>
      </c>
    </row>
    <row r="1001" spans="2:10" x14ac:dyDescent="0.3">
      <c r="B1001" s="277">
        <f>'Production '!C1004</f>
        <v>0</v>
      </c>
      <c r="C1001" s="76" t="e">
        <f ca="1">SUMIF('Production '!$C$4:$AI$4407,'Tracking Sheet'!B1001,'Production '!$M$4:$M$4407)</f>
        <v>#DIV/0!</v>
      </c>
      <c r="D1001" s="76" t="e">
        <f ca="1">SUMIF('Production '!$C$4:$AI$4407,'Tracking Sheet'!B1001,'Production '!$Q$4:$Q$4407)</f>
        <v>#DIV/0!</v>
      </c>
      <c r="E1001" s="76">
        <f ca="1">SUMIF('Production '!$C$4:$AI$4407,'Tracking Sheet'!B1001,'Production '!$S$4:$S$4407)</f>
        <v>-1268218.9828305368</v>
      </c>
      <c r="F1001" s="76">
        <f ca="1">SUMIF('Production '!$C$4:$AI$4407,'Tracking Sheet'!B1001,'Production '!$U$4:$U$4407)</f>
        <v>-10620.435600016917</v>
      </c>
      <c r="G1001" s="76" t="e">
        <f ca="1">SUMIF('Production '!$C$4:$AI$4407,'Tracking Sheet'!B1001,'Production '!$W$4:$W$4407)</f>
        <v>#DIV/0!</v>
      </c>
      <c r="H1001" s="76">
        <f ca="1">SUMIF('Production '!$C$4:$AI$4407,'Tracking Sheet'!B1001,'Production '!$F$4:$F$4407)</f>
        <v>3230621.3283604058</v>
      </c>
      <c r="I1001" s="76">
        <f ca="1">SUMIF('Production '!$C$4:$AI$4407,'Tracking Sheet'!B1001,'Production '!$V$4:$V$4407)</f>
        <v>-489.86487791182844</v>
      </c>
      <c r="J1001" s="76">
        <f ca="1">SUMIF('Production '!$C$4:$AI$4407,'Tracking Sheet'!B1001,'Production '!$AG$4:$AG$4407)</f>
        <v>0</v>
      </c>
    </row>
    <row r="1002" spans="2:10" x14ac:dyDescent="0.3">
      <c r="B1002" s="277">
        <f>'Production '!C1005</f>
        <v>47919</v>
      </c>
      <c r="C1002" s="76">
        <f ca="1">SUMIF('Production '!$C$4:$AI$4407,'Tracking Sheet'!B1002,'Production '!$M$4:$M$4407)</f>
        <v>12607</v>
      </c>
      <c r="D1002" s="76">
        <f ca="1">SUMIF('Production '!$C$4:$AI$4407,'Tracking Sheet'!B1002,'Production '!$Q$4:$Q$4407)</f>
        <v>12596</v>
      </c>
      <c r="E1002" s="76">
        <f ca="1">SUMIF('Production '!$C$4:$AI$4407,'Tracking Sheet'!B1002,'Production '!$S$4:$S$4407)</f>
        <v>12500</v>
      </c>
      <c r="F1002" s="76">
        <f ca="1">SUMIF('Production '!$C$4:$AI$4407,'Tracking Sheet'!B1002,'Production '!$U$4:$U$4407)</f>
        <v>8</v>
      </c>
      <c r="G1002" s="76">
        <f ca="1">SUMIF('Production '!$C$4:$AI$4407,'Tracking Sheet'!B1002,'Production '!$W$4:$W$4407)</f>
        <v>12492</v>
      </c>
      <c r="H1002" s="76">
        <f ca="1">SUMIF('Production '!$C$4:$AI$4407,'Tracking Sheet'!B1002,'Production '!$F$4:$F$4407)</f>
        <v>12351</v>
      </c>
      <c r="I1002" s="76">
        <f ca="1">SUMIF('Production '!$C$4:$AI$4407,'Tracking Sheet'!B1002,'Production '!$V$4:$V$4407)</f>
        <v>0</v>
      </c>
      <c r="J1002" s="76">
        <f ca="1">SUMIF('Production '!$C$4:$AI$4407,'Tracking Sheet'!B1002,'Production '!$AG$4:$AG$4407)</f>
        <v>0</v>
      </c>
    </row>
    <row r="1003" spans="2:10" x14ac:dyDescent="0.3">
      <c r="B1003" s="277">
        <f>'Production '!C1006</f>
        <v>47919</v>
      </c>
      <c r="C1003" s="76">
        <f ca="1">SUMIF('Production '!$C$4:$AI$4407,'Tracking Sheet'!B1003,'Production '!$M$4:$M$4407)</f>
        <v>12607</v>
      </c>
      <c r="D1003" s="76">
        <f ca="1">SUMIF('Production '!$C$4:$AI$4407,'Tracking Sheet'!B1003,'Production '!$Q$4:$Q$4407)</f>
        <v>12596</v>
      </c>
      <c r="E1003" s="76">
        <f ca="1">SUMIF('Production '!$C$4:$AI$4407,'Tracking Sheet'!B1003,'Production '!$S$4:$S$4407)</f>
        <v>12500</v>
      </c>
      <c r="F1003" s="76">
        <f ca="1">SUMIF('Production '!$C$4:$AI$4407,'Tracking Sheet'!B1003,'Production '!$U$4:$U$4407)</f>
        <v>8</v>
      </c>
      <c r="G1003" s="76">
        <f ca="1">SUMIF('Production '!$C$4:$AI$4407,'Tracking Sheet'!B1003,'Production '!$W$4:$W$4407)</f>
        <v>12492</v>
      </c>
      <c r="H1003" s="76">
        <f ca="1">SUMIF('Production '!$C$4:$AI$4407,'Tracking Sheet'!B1003,'Production '!$F$4:$F$4407)</f>
        <v>12351</v>
      </c>
      <c r="I1003" s="76">
        <f ca="1">SUMIF('Production '!$C$4:$AI$4407,'Tracking Sheet'!B1003,'Production '!$V$4:$V$4407)</f>
        <v>0</v>
      </c>
      <c r="J1003" s="76">
        <f ca="1">SUMIF('Production '!$C$4:$AI$4407,'Tracking Sheet'!B1003,'Production '!$AG$4:$AG$4407)</f>
        <v>0</v>
      </c>
    </row>
    <row r="1004" spans="2:10" x14ac:dyDescent="0.3">
      <c r="B1004" s="277">
        <f>'Production '!C1007</f>
        <v>0</v>
      </c>
      <c r="C1004" s="76" t="e">
        <f ca="1">SUMIF('Production '!$C$4:$AI$4407,'Tracking Sheet'!B1004,'Production '!$M$4:$M$4407)</f>
        <v>#DIV/0!</v>
      </c>
      <c r="D1004" s="76" t="e">
        <f ca="1">SUMIF('Production '!$C$4:$AI$4407,'Tracking Sheet'!B1004,'Production '!$Q$4:$Q$4407)</f>
        <v>#DIV/0!</v>
      </c>
      <c r="E1004" s="76">
        <f ca="1">SUMIF('Production '!$C$4:$AI$4407,'Tracking Sheet'!B1004,'Production '!$S$4:$S$4407)</f>
        <v>-1268218.9828305368</v>
      </c>
      <c r="F1004" s="76">
        <f ca="1">SUMIF('Production '!$C$4:$AI$4407,'Tracking Sheet'!B1004,'Production '!$U$4:$U$4407)</f>
        <v>-10620.435600016917</v>
      </c>
      <c r="G1004" s="76" t="e">
        <f ca="1">SUMIF('Production '!$C$4:$AI$4407,'Tracking Sheet'!B1004,'Production '!$W$4:$W$4407)</f>
        <v>#DIV/0!</v>
      </c>
      <c r="H1004" s="76">
        <f ca="1">SUMIF('Production '!$C$4:$AI$4407,'Tracking Sheet'!B1004,'Production '!$F$4:$F$4407)</f>
        <v>3230621.3283604058</v>
      </c>
      <c r="I1004" s="76">
        <f ca="1">SUMIF('Production '!$C$4:$AI$4407,'Tracking Sheet'!B1004,'Production '!$V$4:$V$4407)</f>
        <v>-489.86487791182844</v>
      </c>
      <c r="J1004" s="76">
        <f ca="1">SUMIF('Production '!$C$4:$AI$4407,'Tracking Sheet'!B1004,'Production '!$AG$4:$AG$4407)</f>
        <v>0</v>
      </c>
    </row>
    <row r="1005" spans="2:10" x14ac:dyDescent="0.3">
      <c r="B1005" s="277">
        <f>'Production '!C1008</f>
        <v>47920</v>
      </c>
      <c r="C1005" s="76">
        <f ca="1">SUMIF('Production '!$C$4:$AI$4407,'Tracking Sheet'!B1005,'Production '!$M$4:$M$4407)</f>
        <v>7379</v>
      </c>
      <c r="D1005" s="76">
        <f ca="1">SUMIF('Production '!$C$4:$AI$4407,'Tracking Sheet'!B1005,'Production '!$Q$4:$Q$4407)</f>
        <v>7379</v>
      </c>
      <c r="E1005" s="76">
        <f ca="1">SUMIF('Production '!$C$4:$AI$4407,'Tracking Sheet'!B1005,'Production '!$S$4:$S$4407)</f>
        <v>7348</v>
      </c>
      <c r="F1005" s="76">
        <f ca="1">SUMIF('Production '!$C$4:$AI$4407,'Tracking Sheet'!B1005,'Production '!$U$4:$U$4407)</f>
        <v>4</v>
      </c>
      <c r="G1005" s="76">
        <f ca="1">SUMIF('Production '!$C$4:$AI$4407,'Tracking Sheet'!B1005,'Production '!$W$4:$W$4407)</f>
        <v>7344</v>
      </c>
      <c r="H1005" s="76">
        <f ca="1">SUMIF('Production '!$C$4:$AI$4407,'Tracking Sheet'!B1005,'Production '!$F$4:$F$4407)</f>
        <v>7221</v>
      </c>
      <c r="I1005" s="76">
        <f ca="1">SUMIF('Production '!$C$4:$AI$4407,'Tracking Sheet'!B1005,'Production '!$V$4:$V$4407)</f>
        <v>0</v>
      </c>
      <c r="J1005" s="76">
        <f ca="1">SUMIF('Production '!$C$4:$AI$4407,'Tracking Sheet'!B1005,'Production '!$AG$4:$AG$4407)</f>
        <v>0</v>
      </c>
    </row>
    <row r="1006" spans="2:10" x14ac:dyDescent="0.3">
      <c r="B1006" s="277">
        <f>'Production '!C1009</f>
        <v>47920</v>
      </c>
      <c r="C1006" s="76">
        <f ca="1">SUMIF('Production '!$C$4:$AI$4407,'Tracking Sheet'!B1006,'Production '!$M$4:$M$4407)</f>
        <v>7379</v>
      </c>
      <c r="D1006" s="76">
        <f ca="1">SUMIF('Production '!$C$4:$AI$4407,'Tracking Sheet'!B1006,'Production '!$Q$4:$Q$4407)</f>
        <v>7379</v>
      </c>
      <c r="E1006" s="76">
        <f ca="1">SUMIF('Production '!$C$4:$AI$4407,'Tracking Sheet'!B1006,'Production '!$S$4:$S$4407)</f>
        <v>7348</v>
      </c>
      <c r="F1006" s="76">
        <f ca="1">SUMIF('Production '!$C$4:$AI$4407,'Tracking Sheet'!B1006,'Production '!$U$4:$U$4407)</f>
        <v>4</v>
      </c>
      <c r="G1006" s="76">
        <f ca="1">SUMIF('Production '!$C$4:$AI$4407,'Tracking Sheet'!B1006,'Production '!$W$4:$W$4407)</f>
        <v>7344</v>
      </c>
      <c r="H1006" s="76">
        <f ca="1">SUMIF('Production '!$C$4:$AI$4407,'Tracking Sheet'!B1006,'Production '!$F$4:$F$4407)</f>
        <v>7221</v>
      </c>
      <c r="I1006" s="76">
        <f ca="1">SUMIF('Production '!$C$4:$AI$4407,'Tracking Sheet'!B1006,'Production '!$V$4:$V$4407)</f>
        <v>0</v>
      </c>
      <c r="J1006" s="76">
        <f ca="1">SUMIF('Production '!$C$4:$AI$4407,'Tracking Sheet'!B1006,'Production '!$AG$4:$AG$4407)</f>
        <v>0</v>
      </c>
    </row>
    <row r="1007" spans="2:10" x14ac:dyDescent="0.3">
      <c r="B1007" s="277">
        <f>'Production '!C1010</f>
        <v>0</v>
      </c>
      <c r="C1007" s="76" t="e">
        <f ca="1">SUMIF('Production '!$C$4:$AI$4407,'Tracking Sheet'!B1007,'Production '!$M$4:$M$4407)</f>
        <v>#DIV/0!</v>
      </c>
      <c r="D1007" s="76" t="e">
        <f ca="1">SUMIF('Production '!$C$4:$AI$4407,'Tracking Sheet'!B1007,'Production '!$Q$4:$Q$4407)</f>
        <v>#DIV/0!</v>
      </c>
      <c r="E1007" s="76">
        <f ca="1">SUMIF('Production '!$C$4:$AI$4407,'Tracking Sheet'!B1007,'Production '!$S$4:$S$4407)</f>
        <v>-1268218.9828305368</v>
      </c>
      <c r="F1007" s="76">
        <f ca="1">SUMIF('Production '!$C$4:$AI$4407,'Tracking Sheet'!B1007,'Production '!$U$4:$U$4407)</f>
        <v>-10620.435600016917</v>
      </c>
      <c r="G1007" s="76" t="e">
        <f ca="1">SUMIF('Production '!$C$4:$AI$4407,'Tracking Sheet'!B1007,'Production '!$W$4:$W$4407)</f>
        <v>#DIV/0!</v>
      </c>
      <c r="H1007" s="76">
        <f ca="1">SUMIF('Production '!$C$4:$AI$4407,'Tracking Sheet'!B1007,'Production '!$F$4:$F$4407)</f>
        <v>3230621.3283604058</v>
      </c>
      <c r="I1007" s="76">
        <f ca="1">SUMIF('Production '!$C$4:$AI$4407,'Tracking Sheet'!B1007,'Production '!$V$4:$V$4407)</f>
        <v>-489.86487791182844</v>
      </c>
      <c r="J1007" s="76">
        <f ca="1">SUMIF('Production '!$C$4:$AI$4407,'Tracking Sheet'!B1007,'Production '!$AG$4:$AG$4407)</f>
        <v>0</v>
      </c>
    </row>
    <row r="1008" spans="2:10" x14ac:dyDescent="0.3">
      <c r="B1008" s="277">
        <f>'Production '!C1011</f>
        <v>47921</v>
      </c>
      <c r="C1008" s="76">
        <f ca="1">SUMIF('Production '!$C$4:$AI$4407,'Tracking Sheet'!B1008,'Production '!$M$4:$M$4407)</f>
        <v>13270</v>
      </c>
      <c r="D1008" s="76">
        <f ca="1">SUMIF('Production '!$C$4:$AI$4407,'Tracking Sheet'!B1008,'Production '!$Q$4:$Q$4407)</f>
        <v>13270</v>
      </c>
      <c r="E1008" s="76">
        <f ca="1">SUMIF('Production '!$C$4:$AI$4407,'Tracking Sheet'!B1008,'Production '!$S$4:$S$4407)</f>
        <v>13268</v>
      </c>
      <c r="F1008" s="76">
        <f ca="1">SUMIF('Production '!$C$4:$AI$4407,'Tracking Sheet'!B1008,'Production '!$U$4:$U$4407)</f>
        <v>62</v>
      </c>
      <c r="G1008" s="76">
        <f ca="1">SUMIF('Production '!$C$4:$AI$4407,'Tracking Sheet'!B1008,'Production '!$W$4:$W$4407)</f>
        <v>13206</v>
      </c>
      <c r="H1008" s="76">
        <f ca="1">SUMIF('Production '!$C$4:$AI$4407,'Tracking Sheet'!B1008,'Production '!$F$4:$F$4407)</f>
        <v>12823</v>
      </c>
      <c r="I1008" s="76">
        <f ca="1">SUMIF('Production '!$C$4:$AI$4407,'Tracking Sheet'!B1008,'Production '!$V$4:$V$4407)</f>
        <v>0</v>
      </c>
      <c r="J1008" s="76">
        <f ca="1">SUMIF('Production '!$C$4:$AI$4407,'Tracking Sheet'!B1008,'Production '!$AG$4:$AG$4407)</f>
        <v>0</v>
      </c>
    </row>
    <row r="1009" spans="2:10" x14ac:dyDescent="0.3">
      <c r="B1009" s="277">
        <f>'Production '!C1012</f>
        <v>47921</v>
      </c>
      <c r="C1009" s="76">
        <f ca="1">SUMIF('Production '!$C$4:$AI$4407,'Tracking Sheet'!B1009,'Production '!$M$4:$M$4407)</f>
        <v>13270</v>
      </c>
      <c r="D1009" s="76">
        <f ca="1">SUMIF('Production '!$C$4:$AI$4407,'Tracking Sheet'!B1009,'Production '!$Q$4:$Q$4407)</f>
        <v>13270</v>
      </c>
      <c r="E1009" s="76">
        <f ca="1">SUMIF('Production '!$C$4:$AI$4407,'Tracking Sheet'!B1009,'Production '!$S$4:$S$4407)</f>
        <v>13268</v>
      </c>
      <c r="F1009" s="76">
        <f ca="1">SUMIF('Production '!$C$4:$AI$4407,'Tracking Sheet'!B1009,'Production '!$U$4:$U$4407)</f>
        <v>62</v>
      </c>
      <c r="G1009" s="76">
        <f ca="1">SUMIF('Production '!$C$4:$AI$4407,'Tracking Sheet'!B1009,'Production '!$W$4:$W$4407)</f>
        <v>13206</v>
      </c>
      <c r="H1009" s="76">
        <f ca="1">SUMIF('Production '!$C$4:$AI$4407,'Tracking Sheet'!B1009,'Production '!$F$4:$F$4407)</f>
        <v>12823</v>
      </c>
      <c r="I1009" s="76">
        <f ca="1">SUMIF('Production '!$C$4:$AI$4407,'Tracking Sheet'!B1009,'Production '!$V$4:$V$4407)</f>
        <v>0</v>
      </c>
      <c r="J1009" s="76">
        <f ca="1">SUMIF('Production '!$C$4:$AI$4407,'Tracking Sheet'!B1009,'Production '!$AG$4:$AG$4407)</f>
        <v>0</v>
      </c>
    </row>
    <row r="1010" spans="2:10" x14ac:dyDescent="0.3">
      <c r="B1010" s="277">
        <f>'Production '!C1013</f>
        <v>47921</v>
      </c>
      <c r="C1010" s="76">
        <f ca="1">SUMIF('Production '!$C$4:$AI$4407,'Tracking Sheet'!B1010,'Production '!$M$4:$M$4407)</f>
        <v>13270</v>
      </c>
      <c r="D1010" s="76">
        <f ca="1">SUMIF('Production '!$C$4:$AI$4407,'Tracking Sheet'!B1010,'Production '!$Q$4:$Q$4407)</f>
        <v>13270</v>
      </c>
      <c r="E1010" s="76">
        <f ca="1">SUMIF('Production '!$C$4:$AI$4407,'Tracking Sheet'!B1010,'Production '!$S$4:$S$4407)</f>
        <v>13268</v>
      </c>
      <c r="F1010" s="76">
        <f ca="1">SUMIF('Production '!$C$4:$AI$4407,'Tracking Sheet'!B1010,'Production '!$U$4:$U$4407)</f>
        <v>62</v>
      </c>
      <c r="G1010" s="76">
        <f ca="1">SUMIF('Production '!$C$4:$AI$4407,'Tracking Sheet'!B1010,'Production '!$W$4:$W$4407)</f>
        <v>13206</v>
      </c>
      <c r="H1010" s="76">
        <f ca="1">SUMIF('Production '!$C$4:$AI$4407,'Tracking Sheet'!B1010,'Production '!$F$4:$F$4407)</f>
        <v>12823</v>
      </c>
      <c r="I1010" s="76">
        <f ca="1">SUMIF('Production '!$C$4:$AI$4407,'Tracking Sheet'!B1010,'Production '!$V$4:$V$4407)</f>
        <v>0</v>
      </c>
      <c r="J1010" s="76">
        <f ca="1">SUMIF('Production '!$C$4:$AI$4407,'Tracking Sheet'!B1010,'Production '!$AG$4:$AG$4407)</f>
        <v>0</v>
      </c>
    </row>
    <row r="1011" spans="2:10" x14ac:dyDescent="0.3">
      <c r="B1011" s="277">
        <f>'Production '!C1014</f>
        <v>0</v>
      </c>
      <c r="C1011" s="76" t="e">
        <f ca="1">SUMIF('Production '!$C$4:$AI$4407,'Tracking Sheet'!B1011,'Production '!$M$4:$M$4407)</f>
        <v>#DIV/0!</v>
      </c>
      <c r="D1011" s="76" t="e">
        <f ca="1">SUMIF('Production '!$C$4:$AI$4407,'Tracking Sheet'!B1011,'Production '!$Q$4:$Q$4407)</f>
        <v>#DIV/0!</v>
      </c>
      <c r="E1011" s="76">
        <f ca="1">SUMIF('Production '!$C$4:$AI$4407,'Tracking Sheet'!B1011,'Production '!$S$4:$S$4407)</f>
        <v>-1268218.9828305368</v>
      </c>
      <c r="F1011" s="76">
        <f ca="1">SUMIF('Production '!$C$4:$AI$4407,'Tracking Sheet'!B1011,'Production '!$U$4:$U$4407)</f>
        <v>-10620.435600016917</v>
      </c>
      <c r="G1011" s="76" t="e">
        <f ca="1">SUMIF('Production '!$C$4:$AI$4407,'Tracking Sheet'!B1011,'Production '!$W$4:$W$4407)</f>
        <v>#DIV/0!</v>
      </c>
      <c r="H1011" s="76">
        <f ca="1">SUMIF('Production '!$C$4:$AI$4407,'Tracking Sheet'!B1011,'Production '!$F$4:$F$4407)</f>
        <v>3230621.3283604058</v>
      </c>
      <c r="I1011" s="76">
        <f ca="1">SUMIF('Production '!$C$4:$AI$4407,'Tracking Sheet'!B1011,'Production '!$V$4:$V$4407)</f>
        <v>-489.86487791182844</v>
      </c>
      <c r="J1011" s="76">
        <f ca="1">SUMIF('Production '!$C$4:$AI$4407,'Tracking Sheet'!B1011,'Production '!$AG$4:$AG$4407)</f>
        <v>0</v>
      </c>
    </row>
    <row r="1012" spans="2:10" x14ac:dyDescent="0.3">
      <c r="B1012" s="277">
        <f>'Production '!C1015</f>
        <v>47922</v>
      </c>
      <c r="C1012" s="76">
        <f ca="1">SUMIF('Production '!$C$4:$AI$4407,'Tracking Sheet'!B1012,'Production '!$M$4:$M$4407)</f>
        <v>12004</v>
      </c>
      <c r="D1012" s="76">
        <f ca="1">SUMIF('Production '!$C$4:$AI$4407,'Tracking Sheet'!B1012,'Production '!$Q$4:$Q$4407)</f>
        <v>12004</v>
      </c>
      <c r="E1012" s="76">
        <f ca="1">SUMIF('Production '!$C$4:$AI$4407,'Tracking Sheet'!B1012,'Production '!$S$4:$S$4407)</f>
        <v>11914</v>
      </c>
      <c r="F1012" s="76">
        <f ca="1">SUMIF('Production '!$C$4:$AI$4407,'Tracking Sheet'!B1012,'Production '!$U$4:$U$4407)</f>
        <v>19</v>
      </c>
      <c r="G1012" s="76">
        <f ca="1">SUMIF('Production '!$C$4:$AI$4407,'Tracking Sheet'!B1012,'Production '!$W$4:$W$4407)</f>
        <v>11895</v>
      </c>
      <c r="H1012" s="76">
        <f ca="1">SUMIF('Production '!$C$4:$AI$4407,'Tracking Sheet'!B1012,'Production '!$F$4:$F$4407)</f>
        <v>11660</v>
      </c>
      <c r="I1012" s="76">
        <f ca="1">SUMIF('Production '!$C$4:$AI$4407,'Tracking Sheet'!B1012,'Production '!$V$4:$V$4407)</f>
        <v>0</v>
      </c>
      <c r="J1012" s="76">
        <f ca="1">SUMIF('Production '!$C$4:$AI$4407,'Tracking Sheet'!B1012,'Production '!$AG$4:$AG$4407)</f>
        <v>0</v>
      </c>
    </row>
    <row r="1013" spans="2:10" x14ac:dyDescent="0.3">
      <c r="B1013" s="277">
        <f>'Production '!C1016</f>
        <v>47922</v>
      </c>
      <c r="C1013" s="76">
        <f ca="1">SUMIF('Production '!$C$4:$AI$4407,'Tracking Sheet'!B1013,'Production '!$M$4:$M$4407)</f>
        <v>12004</v>
      </c>
      <c r="D1013" s="76">
        <f ca="1">SUMIF('Production '!$C$4:$AI$4407,'Tracking Sheet'!B1013,'Production '!$Q$4:$Q$4407)</f>
        <v>12004</v>
      </c>
      <c r="E1013" s="76">
        <f ca="1">SUMIF('Production '!$C$4:$AI$4407,'Tracking Sheet'!B1013,'Production '!$S$4:$S$4407)</f>
        <v>11914</v>
      </c>
      <c r="F1013" s="76">
        <f ca="1">SUMIF('Production '!$C$4:$AI$4407,'Tracking Sheet'!B1013,'Production '!$U$4:$U$4407)</f>
        <v>19</v>
      </c>
      <c r="G1013" s="76">
        <f ca="1">SUMIF('Production '!$C$4:$AI$4407,'Tracking Sheet'!B1013,'Production '!$W$4:$W$4407)</f>
        <v>11895</v>
      </c>
      <c r="H1013" s="76">
        <f ca="1">SUMIF('Production '!$C$4:$AI$4407,'Tracking Sheet'!B1013,'Production '!$F$4:$F$4407)</f>
        <v>11660</v>
      </c>
      <c r="I1013" s="76">
        <f ca="1">SUMIF('Production '!$C$4:$AI$4407,'Tracking Sheet'!B1013,'Production '!$V$4:$V$4407)</f>
        <v>0</v>
      </c>
      <c r="J1013" s="76">
        <f ca="1">SUMIF('Production '!$C$4:$AI$4407,'Tracking Sheet'!B1013,'Production '!$AG$4:$AG$4407)</f>
        <v>0</v>
      </c>
    </row>
    <row r="1014" spans="2:10" x14ac:dyDescent="0.3">
      <c r="B1014" s="277">
        <f>'Production '!C1017</f>
        <v>47922</v>
      </c>
      <c r="C1014" s="76">
        <f ca="1">SUMIF('Production '!$C$4:$AI$4407,'Tracking Sheet'!B1014,'Production '!$M$4:$M$4407)</f>
        <v>12004</v>
      </c>
      <c r="D1014" s="76">
        <f ca="1">SUMIF('Production '!$C$4:$AI$4407,'Tracking Sheet'!B1014,'Production '!$Q$4:$Q$4407)</f>
        <v>12004</v>
      </c>
      <c r="E1014" s="76">
        <f ca="1">SUMIF('Production '!$C$4:$AI$4407,'Tracking Sheet'!B1014,'Production '!$S$4:$S$4407)</f>
        <v>11914</v>
      </c>
      <c r="F1014" s="76">
        <f ca="1">SUMIF('Production '!$C$4:$AI$4407,'Tracking Sheet'!B1014,'Production '!$U$4:$U$4407)</f>
        <v>19</v>
      </c>
      <c r="G1014" s="76">
        <f ca="1">SUMIF('Production '!$C$4:$AI$4407,'Tracking Sheet'!B1014,'Production '!$W$4:$W$4407)</f>
        <v>11895</v>
      </c>
      <c r="H1014" s="76">
        <f ca="1">SUMIF('Production '!$C$4:$AI$4407,'Tracking Sheet'!B1014,'Production '!$F$4:$F$4407)</f>
        <v>11660</v>
      </c>
      <c r="I1014" s="76">
        <f ca="1">SUMIF('Production '!$C$4:$AI$4407,'Tracking Sheet'!B1014,'Production '!$V$4:$V$4407)</f>
        <v>0</v>
      </c>
      <c r="J1014" s="76">
        <f ca="1">SUMIF('Production '!$C$4:$AI$4407,'Tracking Sheet'!B1014,'Production '!$AG$4:$AG$4407)</f>
        <v>0</v>
      </c>
    </row>
    <row r="1015" spans="2:10" x14ac:dyDescent="0.3">
      <c r="B1015" s="277">
        <f>'Production '!C1018</f>
        <v>0</v>
      </c>
      <c r="C1015" s="76" t="e">
        <f ca="1">SUMIF('Production '!$C$4:$AI$4407,'Tracking Sheet'!B1015,'Production '!$M$4:$M$4407)</f>
        <v>#DIV/0!</v>
      </c>
      <c r="D1015" s="76" t="e">
        <f ca="1">SUMIF('Production '!$C$4:$AI$4407,'Tracking Sheet'!B1015,'Production '!$Q$4:$Q$4407)</f>
        <v>#DIV/0!</v>
      </c>
      <c r="E1015" s="76">
        <f ca="1">SUMIF('Production '!$C$4:$AI$4407,'Tracking Sheet'!B1015,'Production '!$S$4:$S$4407)</f>
        <v>-1268218.9828305368</v>
      </c>
      <c r="F1015" s="76">
        <f ca="1">SUMIF('Production '!$C$4:$AI$4407,'Tracking Sheet'!B1015,'Production '!$U$4:$U$4407)</f>
        <v>-10620.435600016917</v>
      </c>
      <c r="G1015" s="76" t="e">
        <f ca="1">SUMIF('Production '!$C$4:$AI$4407,'Tracking Sheet'!B1015,'Production '!$W$4:$W$4407)</f>
        <v>#DIV/0!</v>
      </c>
      <c r="H1015" s="76">
        <f ca="1">SUMIF('Production '!$C$4:$AI$4407,'Tracking Sheet'!B1015,'Production '!$F$4:$F$4407)</f>
        <v>3230621.3283604058</v>
      </c>
      <c r="I1015" s="76">
        <f ca="1">SUMIF('Production '!$C$4:$AI$4407,'Tracking Sheet'!B1015,'Production '!$V$4:$V$4407)</f>
        <v>-489.86487791182844</v>
      </c>
      <c r="J1015" s="76">
        <f ca="1">SUMIF('Production '!$C$4:$AI$4407,'Tracking Sheet'!B1015,'Production '!$AG$4:$AG$4407)</f>
        <v>0</v>
      </c>
    </row>
    <row r="1016" spans="2:10" x14ac:dyDescent="0.3">
      <c r="B1016" s="277">
        <f>'Production '!C1019</f>
        <v>47924</v>
      </c>
      <c r="C1016" s="76">
        <f ca="1">SUMIF('Production '!$C$4:$AI$4407,'Tracking Sheet'!B1016,'Production '!$M$4:$M$4407)</f>
        <v>4411</v>
      </c>
      <c r="D1016" s="76">
        <f ca="1">SUMIF('Production '!$C$4:$AI$4407,'Tracking Sheet'!B1016,'Production '!$Q$4:$Q$4407)</f>
        <v>4411</v>
      </c>
      <c r="E1016" s="76">
        <f ca="1">SUMIF('Production '!$C$4:$AI$4407,'Tracking Sheet'!B1016,'Production '!$S$4:$S$4407)</f>
        <v>4323</v>
      </c>
      <c r="F1016" s="76">
        <f ca="1">SUMIF('Production '!$C$4:$AI$4407,'Tracking Sheet'!B1016,'Production '!$U$4:$U$4407)</f>
        <v>13</v>
      </c>
      <c r="G1016" s="76">
        <f ca="1">SUMIF('Production '!$C$4:$AI$4407,'Tracking Sheet'!B1016,'Production '!$W$4:$W$4407)</f>
        <v>4310</v>
      </c>
      <c r="H1016" s="76">
        <f ca="1">SUMIF('Production '!$C$4:$AI$4407,'Tracking Sheet'!B1016,'Production '!$F$4:$F$4407)</f>
        <v>4170</v>
      </c>
      <c r="I1016" s="76">
        <f ca="1">SUMIF('Production '!$C$4:$AI$4407,'Tracking Sheet'!B1016,'Production '!$V$4:$V$4407)</f>
        <v>0</v>
      </c>
      <c r="J1016" s="76">
        <f ca="1">SUMIF('Production '!$C$4:$AI$4407,'Tracking Sheet'!B1016,'Production '!$AG$4:$AG$4407)</f>
        <v>0</v>
      </c>
    </row>
    <row r="1017" spans="2:10" x14ac:dyDescent="0.3">
      <c r="B1017" s="277">
        <f>'Production '!C1020</f>
        <v>47924</v>
      </c>
      <c r="C1017" s="76">
        <f ca="1">SUMIF('Production '!$C$4:$AI$4407,'Tracking Sheet'!B1017,'Production '!$M$4:$M$4407)</f>
        <v>4411</v>
      </c>
      <c r="D1017" s="76">
        <f ca="1">SUMIF('Production '!$C$4:$AI$4407,'Tracking Sheet'!B1017,'Production '!$Q$4:$Q$4407)</f>
        <v>4411</v>
      </c>
      <c r="E1017" s="76">
        <f ca="1">SUMIF('Production '!$C$4:$AI$4407,'Tracking Sheet'!B1017,'Production '!$S$4:$S$4407)</f>
        <v>4323</v>
      </c>
      <c r="F1017" s="76">
        <f ca="1">SUMIF('Production '!$C$4:$AI$4407,'Tracking Sheet'!B1017,'Production '!$U$4:$U$4407)</f>
        <v>13</v>
      </c>
      <c r="G1017" s="76">
        <f ca="1">SUMIF('Production '!$C$4:$AI$4407,'Tracking Sheet'!B1017,'Production '!$W$4:$W$4407)</f>
        <v>4310</v>
      </c>
      <c r="H1017" s="76">
        <f ca="1">SUMIF('Production '!$C$4:$AI$4407,'Tracking Sheet'!B1017,'Production '!$F$4:$F$4407)</f>
        <v>4170</v>
      </c>
      <c r="I1017" s="76">
        <f ca="1">SUMIF('Production '!$C$4:$AI$4407,'Tracking Sheet'!B1017,'Production '!$V$4:$V$4407)</f>
        <v>0</v>
      </c>
      <c r="J1017" s="76">
        <f ca="1">SUMIF('Production '!$C$4:$AI$4407,'Tracking Sheet'!B1017,'Production '!$AG$4:$AG$4407)</f>
        <v>0</v>
      </c>
    </row>
    <row r="1018" spans="2:10" x14ac:dyDescent="0.3">
      <c r="B1018" s="277">
        <f>'Production '!C1021</f>
        <v>0</v>
      </c>
      <c r="C1018" s="76" t="e">
        <f ca="1">SUMIF('Production '!$C$4:$AI$4407,'Tracking Sheet'!B1018,'Production '!$M$4:$M$4407)</f>
        <v>#DIV/0!</v>
      </c>
      <c r="D1018" s="76" t="e">
        <f ca="1">SUMIF('Production '!$C$4:$AI$4407,'Tracking Sheet'!B1018,'Production '!$Q$4:$Q$4407)</f>
        <v>#DIV/0!</v>
      </c>
      <c r="E1018" s="76">
        <f ca="1">SUMIF('Production '!$C$4:$AI$4407,'Tracking Sheet'!B1018,'Production '!$S$4:$S$4407)</f>
        <v>-1268218.9828305368</v>
      </c>
      <c r="F1018" s="76">
        <f ca="1">SUMIF('Production '!$C$4:$AI$4407,'Tracking Sheet'!B1018,'Production '!$U$4:$U$4407)</f>
        <v>-10620.435600016917</v>
      </c>
      <c r="G1018" s="76" t="e">
        <f ca="1">SUMIF('Production '!$C$4:$AI$4407,'Tracking Sheet'!B1018,'Production '!$W$4:$W$4407)</f>
        <v>#DIV/0!</v>
      </c>
      <c r="H1018" s="76">
        <f ca="1">SUMIF('Production '!$C$4:$AI$4407,'Tracking Sheet'!B1018,'Production '!$F$4:$F$4407)</f>
        <v>3230621.3283604058</v>
      </c>
      <c r="I1018" s="76">
        <f ca="1">SUMIF('Production '!$C$4:$AI$4407,'Tracking Sheet'!B1018,'Production '!$V$4:$V$4407)</f>
        <v>-489.86487791182844</v>
      </c>
      <c r="J1018" s="76">
        <f ca="1">SUMIF('Production '!$C$4:$AI$4407,'Tracking Sheet'!B1018,'Production '!$AG$4:$AG$4407)</f>
        <v>0</v>
      </c>
    </row>
    <row r="1019" spans="2:10" x14ac:dyDescent="0.3">
      <c r="B1019" s="277">
        <f>'Production '!C1022</f>
        <v>47925</v>
      </c>
      <c r="C1019" s="76">
        <f ca="1">SUMIF('Production '!$C$4:$AI$4407,'Tracking Sheet'!B1019,'Production '!$M$4:$M$4407)</f>
        <v>3805</v>
      </c>
      <c r="D1019" s="76">
        <f ca="1">SUMIF('Production '!$C$4:$AI$4407,'Tracking Sheet'!B1019,'Production '!$Q$4:$Q$4407)</f>
        <v>3805</v>
      </c>
      <c r="E1019" s="76">
        <f ca="1">SUMIF('Production '!$C$4:$AI$4407,'Tracking Sheet'!B1019,'Production '!$S$4:$S$4407)</f>
        <v>3805</v>
      </c>
      <c r="F1019" s="76">
        <f ca="1">SUMIF('Production '!$C$4:$AI$4407,'Tracking Sheet'!B1019,'Production '!$U$4:$U$4407)</f>
        <v>6</v>
      </c>
      <c r="G1019" s="76">
        <f ca="1">SUMIF('Production '!$C$4:$AI$4407,'Tracking Sheet'!B1019,'Production '!$W$4:$W$4407)</f>
        <v>3799</v>
      </c>
      <c r="H1019" s="76">
        <f ca="1">SUMIF('Production '!$C$4:$AI$4407,'Tracking Sheet'!B1019,'Production '!$F$4:$F$4407)</f>
        <v>3678</v>
      </c>
      <c r="I1019" s="76">
        <f ca="1">SUMIF('Production '!$C$4:$AI$4407,'Tracking Sheet'!B1019,'Production '!$V$4:$V$4407)</f>
        <v>0</v>
      </c>
      <c r="J1019" s="76">
        <f ca="1">SUMIF('Production '!$C$4:$AI$4407,'Tracking Sheet'!B1019,'Production '!$AG$4:$AG$4407)</f>
        <v>0</v>
      </c>
    </row>
    <row r="1020" spans="2:10" x14ac:dyDescent="0.3">
      <c r="B1020" s="277">
        <f>'Production '!C1023</f>
        <v>47925</v>
      </c>
      <c r="C1020" s="76">
        <f ca="1">SUMIF('Production '!$C$4:$AI$4407,'Tracking Sheet'!B1020,'Production '!$M$4:$M$4407)</f>
        <v>3805</v>
      </c>
      <c r="D1020" s="76">
        <f ca="1">SUMIF('Production '!$C$4:$AI$4407,'Tracking Sheet'!B1020,'Production '!$Q$4:$Q$4407)</f>
        <v>3805</v>
      </c>
      <c r="E1020" s="76">
        <f ca="1">SUMIF('Production '!$C$4:$AI$4407,'Tracking Sheet'!B1020,'Production '!$S$4:$S$4407)</f>
        <v>3805</v>
      </c>
      <c r="F1020" s="76">
        <f ca="1">SUMIF('Production '!$C$4:$AI$4407,'Tracking Sheet'!B1020,'Production '!$U$4:$U$4407)</f>
        <v>6</v>
      </c>
      <c r="G1020" s="76">
        <f ca="1">SUMIF('Production '!$C$4:$AI$4407,'Tracking Sheet'!B1020,'Production '!$W$4:$W$4407)</f>
        <v>3799</v>
      </c>
      <c r="H1020" s="76">
        <f ca="1">SUMIF('Production '!$C$4:$AI$4407,'Tracking Sheet'!B1020,'Production '!$F$4:$F$4407)</f>
        <v>3678</v>
      </c>
      <c r="I1020" s="76">
        <f ca="1">SUMIF('Production '!$C$4:$AI$4407,'Tracking Sheet'!B1020,'Production '!$V$4:$V$4407)</f>
        <v>0</v>
      </c>
      <c r="J1020" s="76">
        <f ca="1">SUMIF('Production '!$C$4:$AI$4407,'Tracking Sheet'!B1020,'Production '!$AG$4:$AG$4407)</f>
        <v>0</v>
      </c>
    </row>
    <row r="1021" spans="2:10" x14ac:dyDescent="0.3">
      <c r="B1021" s="277">
        <f>'Production '!C1024</f>
        <v>0</v>
      </c>
      <c r="C1021" s="76" t="e">
        <f ca="1">SUMIF('Production '!$C$4:$AI$4407,'Tracking Sheet'!B1021,'Production '!$M$4:$M$4407)</f>
        <v>#DIV/0!</v>
      </c>
      <c r="D1021" s="76" t="e">
        <f ca="1">SUMIF('Production '!$C$4:$AI$4407,'Tracking Sheet'!B1021,'Production '!$Q$4:$Q$4407)</f>
        <v>#DIV/0!</v>
      </c>
      <c r="E1021" s="76">
        <f ca="1">SUMIF('Production '!$C$4:$AI$4407,'Tracking Sheet'!B1021,'Production '!$S$4:$S$4407)</f>
        <v>-1268218.9828305368</v>
      </c>
      <c r="F1021" s="76">
        <f ca="1">SUMIF('Production '!$C$4:$AI$4407,'Tracking Sheet'!B1021,'Production '!$U$4:$U$4407)</f>
        <v>-10620.435600016917</v>
      </c>
      <c r="G1021" s="76" t="e">
        <f ca="1">SUMIF('Production '!$C$4:$AI$4407,'Tracking Sheet'!B1021,'Production '!$W$4:$W$4407)</f>
        <v>#DIV/0!</v>
      </c>
      <c r="H1021" s="76">
        <f ca="1">SUMIF('Production '!$C$4:$AI$4407,'Tracking Sheet'!B1021,'Production '!$F$4:$F$4407)</f>
        <v>3230621.3283604058</v>
      </c>
      <c r="I1021" s="76">
        <f ca="1">SUMIF('Production '!$C$4:$AI$4407,'Tracking Sheet'!B1021,'Production '!$V$4:$V$4407)</f>
        <v>-489.86487791182844</v>
      </c>
      <c r="J1021" s="76">
        <f ca="1">SUMIF('Production '!$C$4:$AI$4407,'Tracking Sheet'!B1021,'Production '!$AG$4:$AG$4407)</f>
        <v>0</v>
      </c>
    </row>
    <row r="1022" spans="2:10" x14ac:dyDescent="0.3">
      <c r="B1022" s="277" t="str">
        <f>'Production '!C1025</f>
        <v>43330 11th</v>
      </c>
      <c r="C1022" s="76">
        <f ca="1">SUMIF('Production '!$C$4:$AI$4407,'Tracking Sheet'!B1022,'Production '!$M$4:$M$4407)</f>
        <v>4503</v>
      </c>
      <c r="D1022" s="76">
        <f ca="1">SUMIF('Production '!$C$4:$AI$4407,'Tracking Sheet'!B1022,'Production '!$Q$4:$Q$4407)</f>
        <v>0</v>
      </c>
      <c r="E1022" s="76">
        <f ca="1">SUMIF('Production '!$C$4:$AI$4407,'Tracking Sheet'!B1022,'Production '!$S$4:$S$4407)</f>
        <v>0</v>
      </c>
      <c r="F1022" s="76">
        <f ca="1">SUMIF('Production '!$C$4:$AI$4407,'Tracking Sheet'!B1022,'Production '!$U$4:$U$4407)</f>
        <v>79</v>
      </c>
      <c r="G1022" s="76">
        <f ca="1">SUMIF('Production '!$C$4:$AI$4407,'Tracking Sheet'!B1022,'Production '!$W$4:$W$4407)</f>
        <v>4424</v>
      </c>
      <c r="H1022" s="76">
        <f ca="1">SUMIF('Production '!$C$4:$AI$4407,'Tracking Sheet'!B1022,'Production '!$F$4:$F$4407)</f>
        <v>4320</v>
      </c>
      <c r="I1022" s="76">
        <f ca="1">SUMIF('Production '!$C$4:$AI$4407,'Tracking Sheet'!B1022,'Production '!$V$4:$V$4407)</f>
        <v>0</v>
      </c>
      <c r="J1022" s="76">
        <f ca="1">SUMIF('Production '!$C$4:$AI$4407,'Tracking Sheet'!B1022,'Production '!$AG$4:$AG$4407)</f>
        <v>0</v>
      </c>
    </row>
    <row r="1023" spans="2:10" x14ac:dyDescent="0.3">
      <c r="B1023" s="277" t="str">
        <f>'Production '!C1026</f>
        <v>43330 11th</v>
      </c>
      <c r="C1023" s="76">
        <f ca="1">SUMIF('Production '!$C$4:$AI$4407,'Tracking Sheet'!B1023,'Production '!$M$4:$M$4407)</f>
        <v>4503</v>
      </c>
      <c r="D1023" s="76">
        <f ca="1">SUMIF('Production '!$C$4:$AI$4407,'Tracking Sheet'!B1023,'Production '!$Q$4:$Q$4407)</f>
        <v>0</v>
      </c>
      <c r="E1023" s="76">
        <f ca="1">SUMIF('Production '!$C$4:$AI$4407,'Tracking Sheet'!B1023,'Production '!$S$4:$S$4407)</f>
        <v>0</v>
      </c>
      <c r="F1023" s="76">
        <f ca="1">SUMIF('Production '!$C$4:$AI$4407,'Tracking Sheet'!B1023,'Production '!$U$4:$U$4407)</f>
        <v>79</v>
      </c>
      <c r="G1023" s="76">
        <f ca="1">SUMIF('Production '!$C$4:$AI$4407,'Tracking Sheet'!B1023,'Production '!$W$4:$W$4407)</f>
        <v>4424</v>
      </c>
      <c r="H1023" s="76">
        <f ca="1">SUMIF('Production '!$C$4:$AI$4407,'Tracking Sheet'!B1023,'Production '!$F$4:$F$4407)</f>
        <v>4320</v>
      </c>
      <c r="I1023" s="76">
        <f ca="1">SUMIF('Production '!$C$4:$AI$4407,'Tracking Sheet'!B1023,'Production '!$V$4:$V$4407)</f>
        <v>0</v>
      </c>
      <c r="J1023" s="76">
        <f ca="1">SUMIF('Production '!$C$4:$AI$4407,'Tracking Sheet'!B1023,'Production '!$AG$4:$AG$4407)</f>
        <v>0</v>
      </c>
    </row>
    <row r="1024" spans="2:10" x14ac:dyDescent="0.3">
      <c r="B1024" s="277">
        <f>'Production '!C1027</f>
        <v>0</v>
      </c>
      <c r="C1024" s="76" t="e">
        <f ca="1">SUMIF('Production '!$C$4:$AI$4407,'Tracking Sheet'!B1024,'Production '!$M$4:$M$4407)</f>
        <v>#DIV/0!</v>
      </c>
      <c r="D1024" s="76" t="e">
        <f ca="1">SUMIF('Production '!$C$4:$AI$4407,'Tracking Sheet'!B1024,'Production '!$Q$4:$Q$4407)</f>
        <v>#DIV/0!</v>
      </c>
      <c r="E1024" s="76">
        <f ca="1">SUMIF('Production '!$C$4:$AI$4407,'Tracking Sheet'!B1024,'Production '!$S$4:$S$4407)</f>
        <v>-1268218.9828305368</v>
      </c>
      <c r="F1024" s="76">
        <f ca="1">SUMIF('Production '!$C$4:$AI$4407,'Tracking Sheet'!B1024,'Production '!$U$4:$U$4407)</f>
        <v>-10620.435600016917</v>
      </c>
      <c r="G1024" s="76" t="e">
        <f ca="1">SUMIF('Production '!$C$4:$AI$4407,'Tracking Sheet'!B1024,'Production '!$W$4:$W$4407)</f>
        <v>#DIV/0!</v>
      </c>
      <c r="H1024" s="76">
        <f ca="1">SUMIF('Production '!$C$4:$AI$4407,'Tracking Sheet'!B1024,'Production '!$F$4:$F$4407)</f>
        <v>3230621.3283604058</v>
      </c>
      <c r="I1024" s="76">
        <f ca="1">SUMIF('Production '!$C$4:$AI$4407,'Tracking Sheet'!B1024,'Production '!$V$4:$V$4407)</f>
        <v>-489.86487791182844</v>
      </c>
      <c r="J1024" s="76">
        <f ca="1">SUMIF('Production '!$C$4:$AI$4407,'Tracking Sheet'!B1024,'Production '!$AG$4:$AG$4407)</f>
        <v>0</v>
      </c>
    </row>
    <row r="1025" spans="2:10" x14ac:dyDescent="0.3">
      <c r="B1025" s="277">
        <f>'Production '!C1028</f>
        <v>48269</v>
      </c>
      <c r="C1025" s="76">
        <f ca="1">SUMIF('Production '!$C$4:$AI$4407,'Tracking Sheet'!B1025,'Production '!$M$4:$M$4407)</f>
        <v>1557</v>
      </c>
      <c r="D1025" s="76">
        <f ca="1">SUMIF('Production '!$C$4:$AI$4407,'Tracking Sheet'!B1025,'Production '!$Q$4:$Q$4407)</f>
        <v>1557</v>
      </c>
      <c r="E1025" s="76">
        <f ca="1">SUMIF('Production '!$C$4:$AI$4407,'Tracking Sheet'!B1025,'Production '!$S$4:$S$4407)</f>
        <v>0</v>
      </c>
      <c r="F1025" s="76">
        <f ca="1">SUMIF('Production '!$C$4:$AI$4407,'Tracking Sheet'!B1025,'Production '!$U$4:$U$4407)</f>
        <v>0</v>
      </c>
      <c r="G1025" s="76">
        <f ca="1">SUMIF('Production '!$C$4:$AI$4407,'Tracking Sheet'!B1025,'Production '!$W$4:$W$4407)</f>
        <v>0</v>
      </c>
      <c r="H1025" s="76">
        <f ca="1">SUMIF('Production '!$C$4:$AI$4407,'Tracking Sheet'!B1025,'Production '!$F$4:$F$4407)</f>
        <v>1500</v>
      </c>
      <c r="I1025" s="76">
        <f ca="1">SUMIF('Production '!$C$4:$AI$4407,'Tracking Sheet'!B1025,'Production '!$V$4:$V$4407)</f>
        <v>0</v>
      </c>
      <c r="J1025" s="76">
        <f ca="1">SUMIF('Production '!$C$4:$AI$4407,'Tracking Sheet'!B1025,'Production '!$AG$4:$AG$4407)</f>
        <v>0</v>
      </c>
    </row>
    <row r="1026" spans="2:10" x14ac:dyDescent="0.3">
      <c r="B1026" s="277">
        <f>'Production '!C1029</f>
        <v>0</v>
      </c>
      <c r="C1026" s="76" t="e">
        <f ca="1">SUMIF('Production '!$C$4:$AI$4407,'Tracking Sheet'!B1026,'Production '!$M$4:$M$4407)</f>
        <v>#DIV/0!</v>
      </c>
      <c r="D1026" s="76" t="e">
        <f ca="1">SUMIF('Production '!$C$4:$AI$4407,'Tracking Sheet'!B1026,'Production '!$Q$4:$Q$4407)</f>
        <v>#DIV/0!</v>
      </c>
      <c r="E1026" s="76">
        <f ca="1">SUMIF('Production '!$C$4:$AI$4407,'Tracking Sheet'!B1026,'Production '!$S$4:$S$4407)</f>
        <v>-1268218.9828305368</v>
      </c>
      <c r="F1026" s="76">
        <f ca="1">SUMIF('Production '!$C$4:$AI$4407,'Tracking Sheet'!B1026,'Production '!$U$4:$U$4407)</f>
        <v>-10620.435600016917</v>
      </c>
      <c r="G1026" s="76" t="e">
        <f ca="1">SUMIF('Production '!$C$4:$AI$4407,'Tracking Sheet'!B1026,'Production '!$W$4:$W$4407)</f>
        <v>#DIV/0!</v>
      </c>
      <c r="H1026" s="76">
        <f ca="1">SUMIF('Production '!$C$4:$AI$4407,'Tracking Sheet'!B1026,'Production '!$F$4:$F$4407)</f>
        <v>3230621.3283604058</v>
      </c>
      <c r="I1026" s="76">
        <f ca="1">SUMIF('Production '!$C$4:$AI$4407,'Tracking Sheet'!B1026,'Production '!$V$4:$V$4407)</f>
        <v>-489.86487791182844</v>
      </c>
      <c r="J1026" s="76">
        <f ca="1">SUMIF('Production '!$C$4:$AI$4407,'Tracking Sheet'!B1026,'Production '!$AG$4:$AG$4407)</f>
        <v>0</v>
      </c>
    </row>
    <row r="1027" spans="2:10" x14ac:dyDescent="0.3">
      <c r="B1027" s="277">
        <f>'Production '!C1030</f>
        <v>47969</v>
      </c>
      <c r="C1027" s="76">
        <f ca="1">SUMIF('Production '!$C$4:$AI$4407,'Tracking Sheet'!B1027,'Production '!$M$4:$M$4407)</f>
        <v>0</v>
      </c>
      <c r="D1027" s="76">
        <f ca="1">SUMIF('Production '!$C$4:$AI$4407,'Tracking Sheet'!B1027,'Production '!$Q$4:$Q$4407)</f>
        <v>0</v>
      </c>
      <c r="E1027" s="76">
        <f ca="1">SUMIF('Production '!$C$4:$AI$4407,'Tracking Sheet'!B1027,'Production '!$S$4:$S$4407)</f>
        <v>0</v>
      </c>
      <c r="F1027" s="76">
        <f ca="1">SUMIF('Production '!$C$4:$AI$4407,'Tracking Sheet'!B1027,'Production '!$U$4:$U$4407)</f>
        <v>0</v>
      </c>
      <c r="G1027" s="76">
        <f ca="1">SUMIF('Production '!$C$4:$AI$4407,'Tracking Sheet'!B1027,'Production '!$W$4:$W$4407)</f>
        <v>0</v>
      </c>
      <c r="H1027" s="76">
        <f ca="1">SUMIF('Production '!$C$4:$AI$4407,'Tracking Sheet'!B1027,'Production '!$F$4:$F$4407)</f>
        <v>801</v>
      </c>
      <c r="I1027" s="76">
        <f ca="1">SUMIF('Production '!$C$4:$AI$4407,'Tracking Sheet'!B1027,'Production '!$V$4:$V$4407)</f>
        <v>0</v>
      </c>
      <c r="J1027" s="76">
        <f ca="1">SUMIF('Production '!$C$4:$AI$4407,'Tracking Sheet'!B1027,'Production '!$AG$4:$AG$4407)</f>
        <v>-801</v>
      </c>
    </row>
    <row r="1028" spans="2:10" x14ac:dyDescent="0.3">
      <c r="B1028" s="277">
        <f>'Production '!C1031</f>
        <v>0</v>
      </c>
      <c r="C1028" s="76" t="e">
        <f ca="1">SUMIF('Production '!$C$4:$AI$4407,'Tracking Sheet'!B1028,'Production '!$M$4:$M$4407)</f>
        <v>#DIV/0!</v>
      </c>
      <c r="D1028" s="76" t="e">
        <f ca="1">SUMIF('Production '!$C$4:$AI$4407,'Tracking Sheet'!B1028,'Production '!$Q$4:$Q$4407)</f>
        <v>#DIV/0!</v>
      </c>
      <c r="E1028" s="76">
        <f ca="1">SUMIF('Production '!$C$4:$AI$4407,'Tracking Sheet'!B1028,'Production '!$S$4:$S$4407)</f>
        <v>-1268218.9828305368</v>
      </c>
      <c r="F1028" s="76">
        <f ca="1">SUMIF('Production '!$C$4:$AI$4407,'Tracking Sheet'!B1028,'Production '!$U$4:$U$4407)</f>
        <v>-10620.435600016917</v>
      </c>
      <c r="G1028" s="76" t="e">
        <f ca="1">SUMIF('Production '!$C$4:$AI$4407,'Tracking Sheet'!B1028,'Production '!$W$4:$W$4407)</f>
        <v>#DIV/0!</v>
      </c>
      <c r="H1028" s="76">
        <f ca="1">SUMIF('Production '!$C$4:$AI$4407,'Tracking Sheet'!B1028,'Production '!$F$4:$F$4407)</f>
        <v>3230621.3283604058</v>
      </c>
      <c r="I1028" s="76">
        <f ca="1">SUMIF('Production '!$C$4:$AI$4407,'Tracking Sheet'!B1028,'Production '!$V$4:$V$4407)</f>
        <v>-489.86487791182844</v>
      </c>
      <c r="J1028" s="76">
        <f ca="1">SUMIF('Production '!$C$4:$AI$4407,'Tracking Sheet'!B1028,'Production '!$AG$4:$AG$4407)</f>
        <v>0</v>
      </c>
    </row>
    <row r="1029" spans="2:10" x14ac:dyDescent="0.3">
      <c r="B1029" s="277">
        <f>'Production '!C1032</f>
        <v>47974</v>
      </c>
      <c r="C1029" s="76">
        <f ca="1">SUMIF('Production '!$C$4:$AI$4407,'Tracking Sheet'!B1029,'Production '!$M$4:$M$4407)</f>
        <v>0</v>
      </c>
      <c r="D1029" s="76">
        <f ca="1">SUMIF('Production '!$C$4:$AI$4407,'Tracking Sheet'!B1029,'Production '!$Q$4:$Q$4407)</f>
        <v>0</v>
      </c>
      <c r="E1029" s="76">
        <f ca="1">SUMIF('Production '!$C$4:$AI$4407,'Tracking Sheet'!B1029,'Production '!$S$4:$S$4407)</f>
        <v>0</v>
      </c>
      <c r="F1029" s="76">
        <f ca="1">SUMIF('Production '!$C$4:$AI$4407,'Tracking Sheet'!B1029,'Production '!$U$4:$U$4407)</f>
        <v>0</v>
      </c>
      <c r="G1029" s="76">
        <f ca="1">SUMIF('Production '!$C$4:$AI$4407,'Tracking Sheet'!B1029,'Production '!$W$4:$W$4407)</f>
        <v>0</v>
      </c>
      <c r="H1029" s="76">
        <f ca="1">SUMIF('Production '!$C$4:$AI$4407,'Tracking Sheet'!B1029,'Production '!$F$4:$F$4407)</f>
        <v>810</v>
      </c>
      <c r="I1029" s="76">
        <f ca="1">SUMIF('Production '!$C$4:$AI$4407,'Tracking Sheet'!B1029,'Production '!$V$4:$V$4407)</f>
        <v>0</v>
      </c>
      <c r="J1029" s="76">
        <f ca="1">SUMIF('Production '!$C$4:$AI$4407,'Tracking Sheet'!B1029,'Production '!$AG$4:$AG$4407)</f>
        <v>-810</v>
      </c>
    </row>
    <row r="1030" spans="2:10" x14ac:dyDescent="0.3">
      <c r="B1030" s="277">
        <f>'Production '!C1033</f>
        <v>0</v>
      </c>
      <c r="C1030" s="76" t="e">
        <f ca="1">SUMIF('Production '!$C$4:$AI$4407,'Tracking Sheet'!B1030,'Production '!$M$4:$M$4407)</f>
        <v>#DIV/0!</v>
      </c>
      <c r="D1030" s="76" t="e">
        <f ca="1">SUMIF('Production '!$C$4:$AI$4407,'Tracking Sheet'!B1030,'Production '!$Q$4:$Q$4407)</f>
        <v>#DIV/0!</v>
      </c>
      <c r="E1030" s="76">
        <f ca="1">SUMIF('Production '!$C$4:$AI$4407,'Tracking Sheet'!B1030,'Production '!$S$4:$S$4407)</f>
        <v>-1268218.9828305368</v>
      </c>
      <c r="F1030" s="76">
        <f ca="1">SUMIF('Production '!$C$4:$AI$4407,'Tracking Sheet'!B1030,'Production '!$U$4:$U$4407)</f>
        <v>-10620.435600016917</v>
      </c>
      <c r="G1030" s="76" t="e">
        <f ca="1">SUMIF('Production '!$C$4:$AI$4407,'Tracking Sheet'!B1030,'Production '!$W$4:$W$4407)</f>
        <v>#DIV/0!</v>
      </c>
      <c r="H1030" s="76">
        <f ca="1">SUMIF('Production '!$C$4:$AI$4407,'Tracking Sheet'!B1030,'Production '!$F$4:$F$4407)</f>
        <v>3230621.3283604058</v>
      </c>
      <c r="I1030" s="76">
        <f ca="1">SUMIF('Production '!$C$4:$AI$4407,'Tracking Sheet'!B1030,'Production '!$V$4:$V$4407)</f>
        <v>-489.86487791182844</v>
      </c>
      <c r="J1030" s="76">
        <f ca="1">SUMIF('Production '!$C$4:$AI$4407,'Tracking Sheet'!B1030,'Production '!$AG$4:$AG$4407)</f>
        <v>0</v>
      </c>
    </row>
    <row r="1031" spans="2:10" x14ac:dyDescent="0.3">
      <c r="B1031" s="277">
        <f>'Production '!C1034</f>
        <v>47988</v>
      </c>
      <c r="C1031" s="76">
        <f ca="1">SUMIF('Production '!$C$4:$AI$4407,'Tracking Sheet'!B1031,'Production '!$M$4:$M$4407)</f>
        <v>2547</v>
      </c>
      <c r="D1031" s="76">
        <f ca="1">SUMIF('Production '!$C$4:$AI$4407,'Tracking Sheet'!B1031,'Production '!$Q$4:$Q$4407)</f>
        <v>2531</v>
      </c>
      <c r="E1031" s="76">
        <f ca="1">SUMIF('Production '!$C$4:$AI$4407,'Tracking Sheet'!B1031,'Production '!$S$4:$S$4407)</f>
        <v>2504</v>
      </c>
      <c r="F1031" s="76">
        <f ca="1">SUMIF('Production '!$C$4:$AI$4407,'Tracking Sheet'!B1031,'Production '!$U$4:$U$4407)</f>
        <v>0</v>
      </c>
      <c r="G1031" s="76">
        <f ca="1">SUMIF('Production '!$C$4:$AI$4407,'Tracking Sheet'!B1031,'Production '!$W$4:$W$4407)</f>
        <v>2504</v>
      </c>
      <c r="H1031" s="76">
        <f ca="1">SUMIF('Production '!$C$4:$AI$4407,'Tracking Sheet'!B1031,'Production '!$F$4:$F$4407)</f>
        <v>2431</v>
      </c>
      <c r="I1031" s="76">
        <f ca="1">SUMIF('Production '!$C$4:$AI$4407,'Tracking Sheet'!B1031,'Production '!$V$4:$V$4407)</f>
        <v>0</v>
      </c>
      <c r="J1031" s="76">
        <f ca="1">SUMIF('Production '!$C$4:$AI$4407,'Tracking Sheet'!B1031,'Production '!$AG$4:$AG$4407)</f>
        <v>0</v>
      </c>
    </row>
    <row r="1032" spans="2:10" x14ac:dyDescent="0.3">
      <c r="B1032" s="277">
        <f>'Production '!C1035</f>
        <v>47988</v>
      </c>
      <c r="C1032" s="76">
        <f ca="1">SUMIF('Production '!$C$4:$AI$4407,'Tracking Sheet'!B1032,'Production '!$M$4:$M$4407)</f>
        <v>2547</v>
      </c>
      <c r="D1032" s="76">
        <f ca="1">SUMIF('Production '!$C$4:$AI$4407,'Tracking Sheet'!B1032,'Production '!$Q$4:$Q$4407)</f>
        <v>2531</v>
      </c>
      <c r="E1032" s="76">
        <f ca="1">SUMIF('Production '!$C$4:$AI$4407,'Tracking Sheet'!B1032,'Production '!$S$4:$S$4407)</f>
        <v>2504</v>
      </c>
      <c r="F1032" s="76">
        <f ca="1">SUMIF('Production '!$C$4:$AI$4407,'Tracking Sheet'!B1032,'Production '!$U$4:$U$4407)</f>
        <v>0</v>
      </c>
      <c r="G1032" s="76">
        <f ca="1">SUMIF('Production '!$C$4:$AI$4407,'Tracking Sheet'!B1032,'Production '!$W$4:$W$4407)</f>
        <v>2504</v>
      </c>
      <c r="H1032" s="76">
        <f ca="1">SUMIF('Production '!$C$4:$AI$4407,'Tracking Sheet'!B1032,'Production '!$F$4:$F$4407)</f>
        <v>2431</v>
      </c>
      <c r="I1032" s="76">
        <f ca="1">SUMIF('Production '!$C$4:$AI$4407,'Tracking Sheet'!B1032,'Production '!$V$4:$V$4407)</f>
        <v>0</v>
      </c>
      <c r="J1032" s="76">
        <f ca="1">SUMIF('Production '!$C$4:$AI$4407,'Tracking Sheet'!B1032,'Production '!$AG$4:$AG$4407)</f>
        <v>0</v>
      </c>
    </row>
    <row r="1033" spans="2:10" x14ac:dyDescent="0.3">
      <c r="B1033" s="277">
        <f>'Production '!C1036</f>
        <v>0</v>
      </c>
      <c r="C1033" s="76" t="e">
        <f ca="1">SUMIF('Production '!$C$4:$AI$4407,'Tracking Sheet'!B1033,'Production '!$M$4:$M$4407)</f>
        <v>#DIV/0!</v>
      </c>
      <c r="D1033" s="76" t="e">
        <f ca="1">SUMIF('Production '!$C$4:$AI$4407,'Tracking Sheet'!B1033,'Production '!$Q$4:$Q$4407)</f>
        <v>#DIV/0!</v>
      </c>
      <c r="E1033" s="76">
        <f ca="1">SUMIF('Production '!$C$4:$AI$4407,'Tracking Sheet'!B1033,'Production '!$S$4:$S$4407)</f>
        <v>-1268218.9828305368</v>
      </c>
      <c r="F1033" s="76">
        <f ca="1">SUMIF('Production '!$C$4:$AI$4407,'Tracking Sheet'!B1033,'Production '!$U$4:$U$4407)</f>
        <v>-10620.435600016917</v>
      </c>
      <c r="G1033" s="76" t="e">
        <f ca="1">SUMIF('Production '!$C$4:$AI$4407,'Tracking Sheet'!B1033,'Production '!$W$4:$W$4407)</f>
        <v>#DIV/0!</v>
      </c>
      <c r="H1033" s="76">
        <f ca="1">SUMIF('Production '!$C$4:$AI$4407,'Tracking Sheet'!B1033,'Production '!$F$4:$F$4407)</f>
        <v>3230621.3283604058</v>
      </c>
      <c r="I1033" s="76">
        <f ca="1">SUMIF('Production '!$C$4:$AI$4407,'Tracking Sheet'!B1033,'Production '!$V$4:$V$4407)</f>
        <v>-489.86487791182844</v>
      </c>
      <c r="J1033" s="76">
        <f ca="1">SUMIF('Production '!$C$4:$AI$4407,'Tracking Sheet'!B1033,'Production '!$AG$4:$AG$4407)</f>
        <v>0</v>
      </c>
    </row>
    <row r="1034" spans="2:10" x14ac:dyDescent="0.3">
      <c r="B1034" s="277">
        <f>'Production '!C1037</f>
        <v>47964</v>
      </c>
      <c r="C1034" s="76">
        <f ca="1">SUMIF('Production '!$C$4:$AI$4407,'Tracking Sheet'!B1034,'Production '!$M$4:$M$4407)</f>
        <v>826</v>
      </c>
      <c r="D1034" s="76">
        <f ca="1">SUMIF('Production '!$C$4:$AI$4407,'Tracking Sheet'!B1034,'Production '!$Q$4:$Q$4407)</f>
        <v>0</v>
      </c>
      <c r="E1034" s="76">
        <f ca="1">SUMIF('Production '!$C$4:$AI$4407,'Tracking Sheet'!B1034,'Production '!$S$4:$S$4407)</f>
        <v>0</v>
      </c>
      <c r="F1034" s="76">
        <f ca="1">SUMIF('Production '!$C$4:$AI$4407,'Tracking Sheet'!B1034,'Production '!$U$4:$U$4407)</f>
        <v>826</v>
      </c>
      <c r="G1034" s="76">
        <f ca="1">SUMIF('Production '!$C$4:$AI$4407,'Tracking Sheet'!B1034,'Production '!$W$4:$W$4407)</f>
        <v>0</v>
      </c>
      <c r="H1034" s="76">
        <f ca="1">SUMIF('Production '!$C$4:$AI$4407,'Tracking Sheet'!B1034,'Production '!$F$4:$F$4407)</f>
        <v>795</v>
      </c>
      <c r="I1034" s="76">
        <f ca="1">SUMIF('Production '!$C$4:$AI$4407,'Tracking Sheet'!B1034,'Production '!$V$4:$V$4407)</f>
        <v>0</v>
      </c>
      <c r="J1034" s="76">
        <f ca="1">SUMIF('Production '!$C$4:$AI$4407,'Tracking Sheet'!B1034,'Production '!$AG$4:$AG$4407)</f>
        <v>0</v>
      </c>
    </row>
    <row r="1035" spans="2:10" x14ac:dyDescent="0.3">
      <c r="B1035" s="277">
        <f>'Production '!C1038</f>
        <v>0</v>
      </c>
      <c r="C1035" s="76" t="e">
        <f ca="1">SUMIF('Production '!$C$4:$AI$4407,'Tracking Sheet'!B1035,'Production '!$M$4:$M$4407)</f>
        <v>#DIV/0!</v>
      </c>
      <c r="D1035" s="76" t="e">
        <f ca="1">SUMIF('Production '!$C$4:$AI$4407,'Tracking Sheet'!B1035,'Production '!$Q$4:$Q$4407)</f>
        <v>#DIV/0!</v>
      </c>
      <c r="E1035" s="76">
        <f ca="1">SUMIF('Production '!$C$4:$AI$4407,'Tracking Sheet'!B1035,'Production '!$S$4:$S$4407)</f>
        <v>-1268218.9828305368</v>
      </c>
      <c r="F1035" s="76">
        <f ca="1">SUMIF('Production '!$C$4:$AI$4407,'Tracking Sheet'!B1035,'Production '!$U$4:$U$4407)</f>
        <v>-10620.435600016917</v>
      </c>
      <c r="G1035" s="76" t="e">
        <f ca="1">SUMIF('Production '!$C$4:$AI$4407,'Tracking Sheet'!B1035,'Production '!$W$4:$W$4407)</f>
        <v>#DIV/0!</v>
      </c>
      <c r="H1035" s="76">
        <f ca="1">SUMIF('Production '!$C$4:$AI$4407,'Tracking Sheet'!B1035,'Production '!$F$4:$F$4407)</f>
        <v>3230621.3283604058</v>
      </c>
      <c r="I1035" s="76">
        <f ca="1">SUMIF('Production '!$C$4:$AI$4407,'Tracking Sheet'!B1035,'Production '!$V$4:$V$4407)</f>
        <v>-489.86487791182844</v>
      </c>
      <c r="J1035" s="76">
        <f ca="1">SUMIF('Production '!$C$4:$AI$4407,'Tracking Sheet'!B1035,'Production '!$AG$4:$AG$4407)</f>
        <v>0</v>
      </c>
    </row>
    <row r="1036" spans="2:10" x14ac:dyDescent="0.3">
      <c r="B1036" s="277">
        <f>'Production '!C1039</f>
        <v>48000</v>
      </c>
      <c r="C1036" s="76">
        <f ca="1">SUMIF('Production '!$C$4:$AI$4407,'Tracking Sheet'!B1036,'Production '!$M$4:$M$4407)</f>
        <v>0</v>
      </c>
      <c r="D1036" s="76">
        <f ca="1">SUMIF('Production '!$C$4:$AI$4407,'Tracking Sheet'!B1036,'Production '!$Q$4:$Q$4407)</f>
        <v>0</v>
      </c>
      <c r="E1036" s="76">
        <f ca="1">SUMIF('Production '!$C$4:$AI$4407,'Tracking Sheet'!B1036,'Production '!$S$4:$S$4407)</f>
        <v>0</v>
      </c>
      <c r="F1036" s="76">
        <f ca="1">SUMIF('Production '!$C$4:$AI$4407,'Tracking Sheet'!B1036,'Production '!$U$4:$U$4407)</f>
        <v>0</v>
      </c>
      <c r="G1036" s="76">
        <f ca="1">SUMIF('Production '!$C$4:$AI$4407,'Tracking Sheet'!B1036,'Production '!$W$4:$W$4407)</f>
        <v>0</v>
      </c>
      <c r="H1036" s="76">
        <f ca="1">SUMIF('Production '!$C$4:$AI$4407,'Tracking Sheet'!B1036,'Production '!$F$4:$F$4407)</f>
        <v>2566</v>
      </c>
      <c r="I1036" s="76">
        <f ca="1">SUMIF('Production '!$C$4:$AI$4407,'Tracking Sheet'!B1036,'Production '!$V$4:$V$4407)</f>
        <v>0</v>
      </c>
      <c r="J1036" s="76">
        <f ca="1">SUMIF('Production '!$C$4:$AI$4407,'Tracking Sheet'!B1036,'Production '!$AG$4:$AG$4407)</f>
        <v>-2566</v>
      </c>
    </row>
    <row r="1037" spans="2:10" x14ac:dyDescent="0.3">
      <c r="B1037" s="277">
        <f>'Production '!C1040</f>
        <v>0</v>
      </c>
      <c r="C1037" s="76" t="e">
        <f ca="1">SUMIF('Production '!$C$4:$AI$4407,'Tracking Sheet'!B1037,'Production '!$M$4:$M$4407)</f>
        <v>#DIV/0!</v>
      </c>
      <c r="D1037" s="76" t="e">
        <f ca="1">SUMIF('Production '!$C$4:$AI$4407,'Tracking Sheet'!B1037,'Production '!$Q$4:$Q$4407)</f>
        <v>#DIV/0!</v>
      </c>
      <c r="E1037" s="76">
        <f ca="1">SUMIF('Production '!$C$4:$AI$4407,'Tracking Sheet'!B1037,'Production '!$S$4:$S$4407)</f>
        <v>-1268218.9828305368</v>
      </c>
      <c r="F1037" s="76">
        <f ca="1">SUMIF('Production '!$C$4:$AI$4407,'Tracking Sheet'!B1037,'Production '!$U$4:$U$4407)</f>
        <v>-10620.435600016917</v>
      </c>
      <c r="G1037" s="76" t="e">
        <f ca="1">SUMIF('Production '!$C$4:$AI$4407,'Tracking Sheet'!B1037,'Production '!$W$4:$W$4407)</f>
        <v>#DIV/0!</v>
      </c>
      <c r="H1037" s="76">
        <f ca="1">SUMIF('Production '!$C$4:$AI$4407,'Tracking Sheet'!B1037,'Production '!$F$4:$F$4407)</f>
        <v>3230621.3283604058</v>
      </c>
      <c r="I1037" s="76">
        <f ca="1">SUMIF('Production '!$C$4:$AI$4407,'Tracking Sheet'!B1037,'Production '!$V$4:$V$4407)</f>
        <v>-489.86487791182844</v>
      </c>
      <c r="J1037" s="76">
        <f ca="1">SUMIF('Production '!$C$4:$AI$4407,'Tracking Sheet'!B1037,'Production '!$AG$4:$AG$4407)</f>
        <v>0</v>
      </c>
    </row>
    <row r="1038" spans="2:10" x14ac:dyDescent="0.3">
      <c r="B1038" s="277">
        <f>'Production '!C1041</f>
        <v>47907</v>
      </c>
      <c r="C1038" s="76">
        <f ca="1">SUMIF('Production '!$C$4:$AI$4407,'Tracking Sheet'!B1038,'Production '!$M$4:$M$4407)</f>
        <v>1255</v>
      </c>
      <c r="D1038" s="76">
        <f ca="1">SUMIF('Production '!$C$4:$AI$4407,'Tracking Sheet'!B1038,'Production '!$Q$4:$Q$4407)</f>
        <v>1255</v>
      </c>
      <c r="E1038" s="76">
        <f ca="1">SUMIF('Production '!$C$4:$AI$4407,'Tracking Sheet'!B1038,'Production '!$S$4:$S$4407)</f>
        <v>1254</v>
      </c>
      <c r="F1038" s="76">
        <f ca="1">SUMIF('Production '!$C$4:$AI$4407,'Tracking Sheet'!B1038,'Production '!$U$4:$U$4407)</f>
        <v>17</v>
      </c>
      <c r="G1038" s="76">
        <f ca="1">SUMIF('Production '!$C$4:$AI$4407,'Tracking Sheet'!B1038,'Production '!$W$4:$W$4407)</f>
        <v>1237</v>
      </c>
      <c r="H1038" s="76">
        <f ca="1">SUMIF('Production '!$C$4:$AI$4407,'Tracking Sheet'!B1038,'Production '!$F$4:$F$4407)</f>
        <v>1210</v>
      </c>
      <c r="I1038" s="76">
        <f ca="1">SUMIF('Production '!$C$4:$AI$4407,'Tracking Sheet'!B1038,'Production '!$V$4:$V$4407)</f>
        <v>0</v>
      </c>
      <c r="J1038" s="76">
        <f ca="1">SUMIF('Production '!$C$4:$AI$4407,'Tracking Sheet'!B1038,'Production '!$AG$4:$AG$4407)</f>
        <v>0</v>
      </c>
    </row>
    <row r="1039" spans="2:10" x14ac:dyDescent="0.3">
      <c r="B1039" s="277">
        <f>'Production '!C1042</f>
        <v>0</v>
      </c>
      <c r="C1039" s="76" t="e">
        <f ca="1">SUMIF('Production '!$C$4:$AI$4407,'Tracking Sheet'!B1039,'Production '!$M$4:$M$4407)</f>
        <v>#DIV/0!</v>
      </c>
      <c r="D1039" s="76" t="e">
        <f ca="1">SUMIF('Production '!$C$4:$AI$4407,'Tracking Sheet'!B1039,'Production '!$Q$4:$Q$4407)</f>
        <v>#DIV/0!</v>
      </c>
      <c r="E1039" s="76">
        <f ca="1">SUMIF('Production '!$C$4:$AI$4407,'Tracking Sheet'!B1039,'Production '!$S$4:$S$4407)</f>
        <v>-1268218.9828305368</v>
      </c>
      <c r="F1039" s="76">
        <f ca="1">SUMIF('Production '!$C$4:$AI$4407,'Tracking Sheet'!B1039,'Production '!$U$4:$U$4407)</f>
        <v>-10620.435600016917</v>
      </c>
      <c r="G1039" s="76" t="e">
        <f ca="1">SUMIF('Production '!$C$4:$AI$4407,'Tracking Sheet'!B1039,'Production '!$W$4:$W$4407)</f>
        <v>#DIV/0!</v>
      </c>
      <c r="H1039" s="76">
        <f ca="1">SUMIF('Production '!$C$4:$AI$4407,'Tracking Sheet'!B1039,'Production '!$F$4:$F$4407)</f>
        <v>3230621.3283604058</v>
      </c>
      <c r="I1039" s="76">
        <f ca="1">SUMIF('Production '!$C$4:$AI$4407,'Tracking Sheet'!B1039,'Production '!$V$4:$V$4407)</f>
        <v>-489.86487791182844</v>
      </c>
      <c r="J1039" s="76">
        <f ca="1">SUMIF('Production '!$C$4:$AI$4407,'Tracking Sheet'!B1039,'Production '!$AG$4:$AG$4407)</f>
        <v>0</v>
      </c>
    </row>
    <row r="1040" spans="2:10" x14ac:dyDescent="0.3">
      <c r="B1040" s="277">
        <f>'Production '!C1043</f>
        <v>48286</v>
      </c>
      <c r="C1040" s="76">
        <f ca="1">SUMIF('Production '!$C$4:$AI$4407,'Tracking Sheet'!B1040,'Production '!$M$4:$M$4407)</f>
        <v>0</v>
      </c>
      <c r="D1040" s="76">
        <f ca="1">SUMIF('Production '!$C$4:$AI$4407,'Tracking Sheet'!B1040,'Production '!$Q$4:$Q$4407)</f>
        <v>0</v>
      </c>
      <c r="E1040" s="76">
        <f ca="1">SUMIF('Production '!$C$4:$AI$4407,'Tracking Sheet'!B1040,'Production '!$S$4:$S$4407)</f>
        <v>0</v>
      </c>
      <c r="F1040" s="76">
        <f ca="1">SUMIF('Production '!$C$4:$AI$4407,'Tracking Sheet'!B1040,'Production '!$U$4:$U$4407)</f>
        <v>0</v>
      </c>
      <c r="G1040" s="76">
        <f ca="1">SUMIF('Production '!$C$4:$AI$4407,'Tracking Sheet'!B1040,'Production '!$W$4:$W$4407)</f>
        <v>0</v>
      </c>
      <c r="H1040" s="76">
        <f ca="1">SUMIF('Production '!$C$4:$AI$4407,'Tracking Sheet'!B1040,'Production '!$F$4:$F$4407)</f>
        <v>1594</v>
      </c>
      <c r="I1040" s="76">
        <f ca="1">SUMIF('Production '!$C$4:$AI$4407,'Tracking Sheet'!B1040,'Production '!$V$4:$V$4407)</f>
        <v>0</v>
      </c>
      <c r="J1040" s="76">
        <f ca="1">SUMIF('Production '!$C$4:$AI$4407,'Tracking Sheet'!B1040,'Production '!$AG$4:$AG$4407)</f>
        <v>-1594</v>
      </c>
    </row>
    <row r="1041" spans="2:10" x14ac:dyDescent="0.3">
      <c r="B1041" s="277">
        <f>'Production '!C1044</f>
        <v>0</v>
      </c>
      <c r="C1041" s="76" t="e">
        <f ca="1">SUMIF('Production '!$C$4:$AI$4407,'Tracking Sheet'!B1041,'Production '!$M$4:$M$4407)</f>
        <v>#DIV/0!</v>
      </c>
      <c r="D1041" s="76" t="e">
        <f ca="1">SUMIF('Production '!$C$4:$AI$4407,'Tracking Sheet'!B1041,'Production '!$Q$4:$Q$4407)</f>
        <v>#DIV/0!</v>
      </c>
      <c r="E1041" s="76">
        <f ca="1">SUMIF('Production '!$C$4:$AI$4407,'Tracking Sheet'!B1041,'Production '!$S$4:$S$4407)</f>
        <v>-1268218.9828305368</v>
      </c>
      <c r="F1041" s="76">
        <f ca="1">SUMIF('Production '!$C$4:$AI$4407,'Tracking Sheet'!B1041,'Production '!$U$4:$U$4407)</f>
        <v>-10620.435600016917</v>
      </c>
      <c r="G1041" s="76" t="e">
        <f ca="1">SUMIF('Production '!$C$4:$AI$4407,'Tracking Sheet'!B1041,'Production '!$W$4:$W$4407)</f>
        <v>#DIV/0!</v>
      </c>
      <c r="H1041" s="76">
        <f ca="1">SUMIF('Production '!$C$4:$AI$4407,'Tracking Sheet'!B1041,'Production '!$F$4:$F$4407)</f>
        <v>3230621.3283604058</v>
      </c>
      <c r="I1041" s="76">
        <f ca="1">SUMIF('Production '!$C$4:$AI$4407,'Tracking Sheet'!B1041,'Production '!$V$4:$V$4407)</f>
        <v>-489.86487791182844</v>
      </c>
      <c r="J1041" s="76">
        <f ca="1">SUMIF('Production '!$C$4:$AI$4407,'Tracking Sheet'!B1041,'Production '!$AG$4:$AG$4407)</f>
        <v>0</v>
      </c>
    </row>
    <row r="1042" spans="2:10" x14ac:dyDescent="0.3">
      <c r="B1042" s="277">
        <f>'Production '!C1045</f>
        <v>47949</v>
      </c>
      <c r="C1042" s="76">
        <f ca="1">SUMIF('Production '!$C$4:$AI$4407,'Tracking Sheet'!B1042,'Production '!$M$4:$M$4407)</f>
        <v>624</v>
      </c>
      <c r="D1042" s="76">
        <f ca="1">SUMIF('Production '!$C$4:$AI$4407,'Tracking Sheet'!B1042,'Production '!$Q$4:$Q$4407)</f>
        <v>0</v>
      </c>
      <c r="E1042" s="76">
        <f ca="1">SUMIF('Production '!$C$4:$AI$4407,'Tracking Sheet'!B1042,'Production '!$S$4:$S$4407)</f>
        <v>0</v>
      </c>
      <c r="F1042" s="76">
        <f ca="1">SUMIF('Production '!$C$4:$AI$4407,'Tracking Sheet'!B1042,'Production '!$U$4:$U$4407)</f>
        <v>0</v>
      </c>
      <c r="G1042" s="76">
        <f ca="1">SUMIF('Production '!$C$4:$AI$4407,'Tracking Sheet'!B1042,'Production '!$W$4:$W$4407)</f>
        <v>624</v>
      </c>
      <c r="H1042" s="76">
        <f ca="1">SUMIF('Production '!$C$4:$AI$4407,'Tracking Sheet'!B1042,'Production '!$F$4:$F$4407)</f>
        <v>600</v>
      </c>
      <c r="I1042" s="76">
        <f ca="1">SUMIF('Production '!$C$4:$AI$4407,'Tracking Sheet'!B1042,'Production '!$V$4:$V$4407)</f>
        <v>0</v>
      </c>
      <c r="J1042" s="76">
        <f ca="1">SUMIF('Production '!$C$4:$AI$4407,'Tracking Sheet'!B1042,'Production '!$AG$4:$AG$4407)</f>
        <v>0</v>
      </c>
    </row>
    <row r="1043" spans="2:10" x14ac:dyDescent="0.3">
      <c r="B1043" s="277">
        <f>'Production '!C1046</f>
        <v>0</v>
      </c>
      <c r="C1043" s="76" t="e">
        <f ca="1">SUMIF('Production '!$C$4:$AI$4407,'Tracking Sheet'!B1043,'Production '!$M$4:$M$4407)</f>
        <v>#DIV/0!</v>
      </c>
      <c r="D1043" s="76" t="e">
        <f ca="1">SUMIF('Production '!$C$4:$AI$4407,'Tracking Sheet'!B1043,'Production '!$Q$4:$Q$4407)</f>
        <v>#DIV/0!</v>
      </c>
      <c r="E1043" s="76">
        <f ca="1">SUMIF('Production '!$C$4:$AI$4407,'Tracking Sheet'!B1043,'Production '!$S$4:$S$4407)</f>
        <v>-1268218.9828305368</v>
      </c>
      <c r="F1043" s="76">
        <f ca="1">SUMIF('Production '!$C$4:$AI$4407,'Tracking Sheet'!B1043,'Production '!$U$4:$U$4407)</f>
        <v>-10620.435600016917</v>
      </c>
      <c r="G1043" s="76" t="e">
        <f ca="1">SUMIF('Production '!$C$4:$AI$4407,'Tracking Sheet'!B1043,'Production '!$W$4:$W$4407)</f>
        <v>#DIV/0!</v>
      </c>
      <c r="H1043" s="76">
        <f ca="1">SUMIF('Production '!$C$4:$AI$4407,'Tracking Sheet'!B1043,'Production '!$F$4:$F$4407)</f>
        <v>3230621.3283604058</v>
      </c>
      <c r="I1043" s="76">
        <f ca="1">SUMIF('Production '!$C$4:$AI$4407,'Tracking Sheet'!B1043,'Production '!$V$4:$V$4407)</f>
        <v>-489.86487791182844</v>
      </c>
      <c r="J1043" s="76">
        <f ca="1">SUMIF('Production '!$C$4:$AI$4407,'Tracking Sheet'!B1043,'Production '!$AG$4:$AG$4407)</f>
        <v>0</v>
      </c>
    </row>
    <row r="1044" spans="2:10" x14ac:dyDescent="0.3">
      <c r="B1044" s="277">
        <f>'Production '!C1047</f>
        <v>47967</v>
      </c>
      <c r="C1044" s="76">
        <f ca="1">SUMIF('Production '!$C$4:$AI$4407,'Tracking Sheet'!B1044,'Production '!$M$4:$M$4407)</f>
        <v>1209</v>
      </c>
      <c r="D1044" s="76">
        <f ca="1">SUMIF('Production '!$C$4:$AI$4407,'Tracking Sheet'!B1044,'Production '!$Q$4:$Q$4407)</f>
        <v>1209</v>
      </c>
      <c r="E1044" s="76">
        <f ca="1">SUMIF('Production '!$C$4:$AI$4407,'Tracking Sheet'!B1044,'Production '!$S$4:$S$4407)</f>
        <v>0</v>
      </c>
      <c r="F1044" s="76">
        <f ca="1">SUMIF('Production '!$C$4:$AI$4407,'Tracking Sheet'!B1044,'Production '!$U$4:$U$4407)</f>
        <v>0</v>
      </c>
      <c r="G1044" s="76">
        <f ca="1">SUMIF('Production '!$C$4:$AI$4407,'Tracking Sheet'!B1044,'Production '!$W$4:$W$4407)</f>
        <v>0</v>
      </c>
      <c r="H1044" s="76">
        <f ca="1">SUMIF('Production '!$C$4:$AI$4407,'Tracking Sheet'!B1044,'Production '!$F$4:$F$4407)</f>
        <v>1170</v>
      </c>
      <c r="I1044" s="76">
        <f ca="1">SUMIF('Production '!$C$4:$AI$4407,'Tracking Sheet'!B1044,'Production '!$V$4:$V$4407)</f>
        <v>0</v>
      </c>
      <c r="J1044" s="76">
        <f ca="1">SUMIF('Production '!$C$4:$AI$4407,'Tracking Sheet'!B1044,'Production '!$AG$4:$AG$4407)</f>
        <v>0</v>
      </c>
    </row>
    <row r="1045" spans="2:10" x14ac:dyDescent="0.3">
      <c r="B1045" s="277">
        <f>'Production '!C1048</f>
        <v>0</v>
      </c>
      <c r="C1045" s="76" t="e">
        <f ca="1">SUMIF('Production '!$C$4:$AI$4407,'Tracking Sheet'!B1045,'Production '!$M$4:$M$4407)</f>
        <v>#DIV/0!</v>
      </c>
      <c r="D1045" s="76" t="e">
        <f ca="1">SUMIF('Production '!$C$4:$AI$4407,'Tracking Sheet'!B1045,'Production '!$Q$4:$Q$4407)</f>
        <v>#DIV/0!</v>
      </c>
      <c r="E1045" s="76">
        <f ca="1">SUMIF('Production '!$C$4:$AI$4407,'Tracking Sheet'!B1045,'Production '!$S$4:$S$4407)</f>
        <v>-1268218.9828305368</v>
      </c>
      <c r="F1045" s="76">
        <f ca="1">SUMIF('Production '!$C$4:$AI$4407,'Tracking Sheet'!B1045,'Production '!$U$4:$U$4407)</f>
        <v>-10620.435600016917</v>
      </c>
      <c r="G1045" s="76" t="e">
        <f ca="1">SUMIF('Production '!$C$4:$AI$4407,'Tracking Sheet'!B1045,'Production '!$W$4:$W$4407)</f>
        <v>#DIV/0!</v>
      </c>
      <c r="H1045" s="76">
        <f ca="1">SUMIF('Production '!$C$4:$AI$4407,'Tracking Sheet'!B1045,'Production '!$F$4:$F$4407)</f>
        <v>3230621.3283604058</v>
      </c>
      <c r="I1045" s="76">
        <f ca="1">SUMIF('Production '!$C$4:$AI$4407,'Tracking Sheet'!B1045,'Production '!$V$4:$V$4407)</f>
        <v>-489.86487791182844</v>
      </c>
      <c r="J1045" s="76">
        <f ca="1">SUMIF('Production '!$C$4:$AI$4407,'Tracking Sheet'!B1045,'Production '!$AG$4:$AG$4407)</f>
        <v>0</v>
      </c>
    </row>
    <row r="1046" spans="2:10" x14ac:dyDescent="0.3">
      <c r="B1046" s="277" t="str">
        <f>'Production '!C1049</f>
        <v>44020 12th</v>
      </c>
      <c r="C1046" s="76">
        <f ca="1">SUMIF('Production '!$C$4:$AI$4407,'Tracking Sheet'!B1046,'Production '!$M$4:$M$4407)</f>
        <v>4498</v>
      </c>
      <c r="D1046" s="76">
        <f ca="1">SUMIF('Production '!$C$4:$AI$4407,'Tracking Sheet'!B1046,'Production '!$Q$4:$Q$4407)</f>
        <v>4498</v>
      </c>
      <c r="E1046" s="76">
        <f ca="1">SUMIF('Production '!$C$4:$AI$4407,'Tracking Sheet'!B1046,'Production '!$S$4:$S$4407)</f>
        <v>4492</v>
      </c>
      <c r="F1046" s="76">
        <f ca="1">SUMIF('Production '!$C$4:$AI$4407,'Tracking Sheet'!B1046,'Production '!$U$4:$U$4407)</f>
        <v>5</v>
      </c>
      <c r="G1046" s="76">
        <f ca="1">SUMIF('Production '!$C$4:$AI$4407,'Tracking Sheet'!B1046,'Production '!$W$4:$W$4407)</f>
        <v>4487</v>
      </c>
      <c r="H1046" s="76">
        <f ca="1">SUMIF('Production '!$C$4:$AI$4407,'Tracking Sheet'!B1046,'Production '!$F$4:$F$4407)</f>
        <v>4424</v>
      </c>
      <c r="I1046" s="76">
        <f ca="1">SUMIF('Production '!$C$4:$AI$4407,'Tracking Sheet'!B1046,'Production '!$V$4:$V$4407)</f>
        <v>0</v>
      </c>
      <c r="J1046" s="76">
        <f ca="1">SUMIF('Production '!$C$4:$AI$4407,'Tracking Sheet'!B1046,'Production '!$AG$4:$AG$4407)</f>
        <v>0</v>
      </c>
    </row>
    <row r="1047" spans="2:10" x14ac:dyDescent="0.3">
      <c r="B1047" s="277">
        <f>'Production '!C1050</f>
        <v>0</v>
      </c>
      <c r="C1047" s="76" t="e">
        <f ca="1">SUMIF('Production '!$C$4:$AI$4407,'Tracking Sheet'!B1047,'Production '!$M$4:$M$4407)</f>
        <v>#DIV/0!</v>
      </c>
      <c r="D1047" s="76" t="e">
        <f ca="1">SUMIF('Production '!$C$4:$AI$4407,'Tracking Sheet'!B1047,'Production '!$Q$4:$Q$4407)</f>
        <v>#DIV/0!</v>
      </c>
      <c r="E1047" s="76">
        <f ca="1">SUMIF('Production '!$C$4:$AI$4407,'Tracking Sheet'!B1047,'Production '!$S$4:$S$4407)</f>
        <v>-1268218.9828305368</v>
      </c>
      <c r="F1047" s="76">
        <f ca="1">SUMIF('Production '!$C$4:$AI$4407,'Tracking Sheet'!B1047,'Production '!$U$4:$U$4407)</f>
        <v>-10620.435600016917</v>
      </c>
      <c r="G1047" s="76" t="e">
        <f ca="1">SUMIF('Production '!$C$4:$AI$4407,'Tracking Sheet'!B1047,'Production '!$W$4:$W$4407)</f>
        <v>#DIV/0!</v>
      </c>
      <c r="H1047" s="76">
        <f ca="1">SUMIF('Production '!$C$4:$AI$4407,'Tracking Sheet'!B1047,'Production '!$F$4:$F$4407)</f>
        <v>3230621.3283604058</v>
      </c>
      <c r="I1047" s="76">
        <f ca="1">SUMIF('Production '!$C$4:$AI$4407,'Tracking Sheet'!B1047,'Production '!$V$4:$V$4407)</f>
        <v>-489.86487791182844</v>
      </c>
      <c r="J1047" s="76">
        <f ca="1">SUMIF('Production '!$C$4:$AI$4407,'Tracking Sheet'!B1047,'Production '!$AG$4:$AG$4407)</f>
        <v>0</v>
      </c>
    </row>
    <row r="1048" spans="2:10" x14ac:dyDescent="0.3">
      <c r="B1048" s="277">
        <f>'Production '!C1051</f>
        <v>47973</v>
      </c>
      <c r="C1048" s="76">
        <f ca="1">SUMIF('Production '!$C$4:$AI$4407,'Tracking Sheet'!B1048,'Production '!$M$4:$M$4407)</f>
        <v>0</v>
      </c>
      <c r="D1048" s="76">
        <f ca="1">SUMIF('Production '!$C$4:$AI$4407,'Tracking Sheet'!B1048,'Production '!$Q$4:$Q$4407)</f>
        <v>0</v>
      </c>
      <c r="E1048" s="76">
        <f ca="1">SUMIF('Production '!$C$4:$AI$4407,'Tracking Sheet'!B1048,'Production '!$S$4:$S$4407)</f>
        <v>0</v>
      </c>
      <c r="F1048" s="76">
        <f ca="1">SUMIF('Production '!$C$4:$AI$4407,'Tracking Sheet'!B1048,'Production '!$U$4:$U$4407)</f>
        <v>0</v>
      </c>
      <c r="G1048" s="76">
        <f ca="1">SUMIF('Production '!$C$4:$AI$4407,'Tracking Sheet'!B1048,'Production '!$W$4:$W$4407)</f>
        <v>0</v>
      </c>
      <c r="H1048" s="76">
        <f ca="1">SUMIF('Production '!$C$4:$AI$4407,'Tracking Sheet'!B1048,'Production '!$F$4:$F$4407)</f>
        <v>1053</v>
      </c>
      <c r="I1048" s="76">
        <f ca="1">SUMIF('Production '!$C$4:$AI$4407,'Tracking Sheet'!B1048,'Production '!$V$4:$V$4407)</f>
        <v>0</v>
      </c>
      <c r="J1048" s="76">
        <f ca="1">SUMIF('Production '!$C$4:$AI$4407,'Tracking Sheet'!B1048,'Production '!$AG$4:$AG$4407)</f>
        <v>-1053</v>
      </c>
    </row>
    <row r="1049" spans="2:10" x14ac:dyDescent="0.3">
      <c r="B1049" s="277">
        <f>'Production '!C1052</f>
        <v>0</v>
      </c>
      <c r="C1049" s="76" t="e">
        <f ca="1">SUMIF('Production '!$C$4:$AI$4407,'Tracking Sheet'!B1049,'Production '!$M$4:$M$4407)</f>
        <v>#DIV/0!</v>
      </c>
      <c r="D1049" s="76" t="e">
        <f ca="1">SUMIF('Production '!$C$4:$AI$4407,'Tracking Sheet'!B1049,'Production '!$Q$4:$Q$4407)</f>
        <v>#DIV/0!</v>
      </c>
      <c r="E1049" s="76">
        <f ca="1">SUMIF('Production '!$C$4:$AI$4407,'Tracking Sheet'!B1049,'Production '!$S$4:$S$4407)</f>
        <v>-1268218.9828305368</v>
      </c>
      <c r="F1049" s="76">
        <f ca="1">SUMIF('Production '!$C$4:$AI$4407,'Tracking Sheet'!B1049,'Production '!$U$4:$U$4407)</f>
        <v>-10620.435600016917</v>
      </c>
      <c r="G1049" s="76" t="e">
        <f ca="1">SUMIF('Production '!$C$4:$AI$4407,'Tracking Sheet'!B1049,'Production '!$W$4:$W$4407)</f>
        <v>#DIV/0!</v>
      </c>
      <c r="H1049" s="76">
        <f ca="1">SUMIF('Production '!$C$4:$AI$4407,'Tracking Sheet'!B1049,'Production '!$F$4:$F$4407)</f>
        <v>3230621.3283604058</v>
      </c>
      <c r="I1049" s="76">
        <f ca="1">SUMIF('Production '!$C$4:$AI$4407,'Tracking Sheet'!B1049,'Production '!$V$4:$V$4407)</f>
        <v>-489.86487791182844</v>
      </c>
      <c r="J1049" s="76">
        <f ca="1">SUMIF('Production '!$C$4:$AI$4407,'Tracking Sheet'!B1049,'Production '!$AG$4:$AG$4407)</f>
        <v>0</v>
      </c>
    </row>
    <row r="1050" spans="2:10" x14ac:dyDescent="0.3">
      <c r="B1050" s="277">
        <f>'Production '!C1053</f>
        <v>47968</v>
      </c>
      <c r="C1050" s="76">
        <f ca="1">SUMIF('Production '!$C$4:$AI$4407,'Tracking Sheet'!B1050,'Production '!$M$4:$M$4407)</f>
        <v>1925</v>
      </c>
      <c r="D1050" s="76">
        <f ca="1">SUMIF('Production '!$C$4:$AI$4407,'Tracking Sheet'!B1050,'Production '!$Q$4:$Q$4407)</f>
        <v>1925</v>
      </c>
      <c r="E1050" s="76">
        <f ca="1">SUMIF('Production '!$C$4:$AI$4407,'Tracking Sheet'!B1050,'Production '!$S$4:$S$4407)</f>
        <v>0</v>
      </c>
      <c r="F1050" s="76">
        <f ca="1">SUMIF('Production '!$C$4:$AI$4407,'Tracking Sheet'!B1050,'Production '!$U$4:$U$4407)</f>
        <v>0</v>
      </c>
      <c r="G1050" s="76">
        <f ca="1">SUMIF('Production '!$C$4:$AI$4407,'Tracking Sheet'!B1050,'Production '!$W$4:$W$4407)</f>
        <v>0</v>
      </c>
      <c r="H1050" s="76">
        <f ca="1">SUMIF('Production '!$C$4:$AI$4407,'Tracking Sheet'!B1050,'Production '!$F$4:$F$4407)</f>
        <v>1875</v>
      </c>
      <c r="I1050" s="76">
        <f ca="1">SUMIF('Production '!$C$4:$AI$4407,'Tracking Sheet'!B1050,'Production '!$V$4:$V$4407)</f>
        <v>0</v>
      </c>
      <c r="J1050" s="76">
        <f ca="1">SUMIF('Production '!$C$4:$AI$4407,'Tracking Sheet'!B1050,'Production '!$AG$4:$AG$4407)</f>
        <v>0</v>
      </c>
    </row>
    <row r="1051" spans="2:10" x14ac:dyDescent="0.3">
      <c r="B1051" s="277">
        <f>'Production '!C1054</f>
        <v>0</v>
      </c>
      <c r="C1051" s="76" t="e">
        <f ca="1">SUMIF('Production '!$C$4:$AI$4407,'Tracking Sheet'!B1051,'Production '!$M$4:$M$4407)</f>
        <v>#DIV/0!</v>
      </c>
      <c r="D1051" s="76" t="e">
        <f ca="1">SUMIF('Production '!$C$4:$AI$4407,'Tracking Sheet'!B1051,'Production '!$Q$4:$Q$4407)</f>
        <v>#DIV/0!</v>
      </c>
      <c r="E1051" s="76">
        <f ca="1">SUMIF('Production '!$C$4:$AI$4407,'Tracking Sheet'!B1051,'Production '!$S$4:$S$4407)</f>
        <v>-1268218.9828305368</v>
      </c>
      <c r="F1051" s="76">
        <f ca="1">SUMIF('Production '!$C$4:$AI$4407,'Tracking Sheet'!B1051,'Production '!$U$4:$U$4407)</f>
        <v>-10620.435600016917</v>
      </c>
      <c r="G1051" s="76" t="e">
        <f ca="1">SUMIF('Production '!$C$4:$AI$4407,'Tracking Sheet'!B1051,'Production '!$W$4:$W$4407)</f>
        <v>#DIV/0!</v>
      </c>
      <c r="H1051" s="76">
        <f ca="1">SUMIF('Production '!$C$4:$AI$4407,'Tracking Sheet'!B1051,'Production '!$F$4:$F$4407)</f>
        <v>3230621.3283604058</v>
      </c>
      <c r="I1051" s="76">
        <f ca="1">SUMIF('Production '!$C$4:$AI$4407,'Tracking Sheet'!B1051,'Production '!$V$4:$V$4407)</f>
        <v>-489.86487791182844</v>
      </c>
      <c r="J1051" s="76">
        <f ca="1">SUMIF('Production '!$C$4:$AI$4407,'Tracking Sheet'!B1051,'Production '!$AG$4:$AG$4407)</f>
        <v>0</v>
      </c>
    </row>
    <row r="1052" spans="2:10" x14ac:dyDescent="0.3">
      <c r="B1052" s="277">
        <f>'Production '!C1055</f>
        <v>47538</v>
      </c>
      <c r="C1052" s="76">
        <f ca="1">SUMIF('Production '!$C$4:$AI$4407,'Tracking Sheet'!B1052,'Production '!$M$4:$M$4407)</f>
        <v>820</v>
      </c>
      <c r="D1052" s="76">
        <f ca="1">SUMIF('Production '!$C$4:$AI$4407,'Tracking Sheet'!B1052,'Production '!$Q$4:$Q$4407)</f>
        <v>0</v>
      </c>
      <c r="E1052" s="76">
        <f ca="1">SUMIF('Production '!$C$4:$AI$4407,'Tracking Sheet'!B1052,'Production '!$S$4:$S$4407)</f>
        <v>0</v>
      </c>
      <c r="F1052" s="76">
        <f ca="1">SUMIF('Production '!$C$4:$AI$4407,'Tracking Sheet'!B1052,'Production '!$U$4:$U$4407)</f>
        <v>0</v>
      </c>
      <c r="G1052" s="76">
        <f ca="1">SUMIF('Production '!$C$4:$AI$4407,'Tracking Sheet'!B1052,'Production '!$W$4:$W$4407)</f>
        <v>820</v>
      </c>
      <c r="H1052" s="76">
        <f ca="1">SUMIF('Production '!$C$4:$AI$4407,'Tracking Sheet'!B1052,'Production '!$F$4:$F$4407)</f>
        <v>801</v>
      </c>
      <c r="I1052" s="76">
        <f ca="1">SUMIF('Production '!$C$4:$AI$4407,'Tracking Sheet'!B1052,'Production '!$V$4:$V$4407)</f>
        <v>0</v>
      </c>
      <c r="J1052" s="76">
        <f ca="1">SUMIF('Production '!$C$4:$AI$4407,'Tracking Sheet'!B1052,'Production '!$AG$4:$AG$4407)</f>
        <v>0</v>
      </c>
    </row>
    <row r="1053" spans="2:10" x14ac:dyDescent="0.3">
      <c r="B1053" s="277">
        <f>'Production '!C1056</f>
        <v>0</v>
      </c>
      <c r="C1053" s="76" t="e">
        <f ca="1">SUMIF('Production '!$C$4:$AI$4407,'Tracking Sheet'!B1053,'Production '!$M$4:$M$4407)</f>
        <v>#DIV/0!</v>
      </c>
      <c r="D1053" s="76" t="e">
        <f ca="1">SUMIF('Production '!$C$4:$AI$4407,'Tracking Sheet'!B1053,'Production '!$Q$4:$Q$4407)</f>
        <v>#DIV/0!</v>
      </c>
      <c r="E1053" s="76">
        <f ca="1">SUMIF('Production '!$C$4:$AI$4407,'Tracking Sheet'!B1053,'Production '!$S$4:$S$4407)</f>
        <v>-1268218.9828305368</v>
      </c>
      <c r="F1053" s="76">
        <f ca="1">SUMIF('Production '!$C$4:$AI$4407,'Tracking Sheet'!B1053,'Production '!$U$4:$U$4407)</f>
        <v>-10620.435600016917</v>
      </c>
      <c r="G1053" s="76" t="e">
        <f ca="1">SUMIF('Production '!$C$4:$AI$4407,'Tracking Sheet'!B1053,'Production '!$W$4:$W$4407)</f>
        <v>#DIV/0!</v>
      </c>
      <c r="H1053" s="76">
        <f ca="1">SUMIF('Production '!$C$4:$AI$4407,'Tracking Sheet'!B1053,'Production '!$F$4:$F$4407)</f>
        <v>3230621.3283604058</v>
      </c>
      <c r="I1053" s="76">
        <f ca="1">SUMIF('Production '!$C$4:$AI$4407,'Tracking Sheet'!B1053,'Production '!$V$4:$V$4407)</f>
        <v>-489.86487791182844</v>
      </c>
      <c r="J1053" s="76">
        <f ca="1">SUMIF('Production '!$C$4:$AI$4407,'Tracking Sheet'!B1053,'Production '!$AG$4:$AG$4407)</f>
        <v>0</v>
      </c>
    </row>
    <row r="1054" spans="2:10" x14ac:dyDescent="0.3">
      <c r="B1054" s="277">
        <f>'Production '!C1057</f>
        <v>47952</v>
      </c>
      <c r="C1054" s="76">
        <f ca="1">SUMIF('Production '!$C$4:$AI$4407,'Tracking Sheet'!B1054,'Production '!$M$4:$M$4407)</f>
        <v>1720</v>
      </c>
      <c r="D1054" s="76">
        <f ca="1">SUMIF('Production '!$C$4:$AI$4407,'Tracking Sheet'!B1054,'Production '!$Q$4:$Q$4407)</f>
        <v>1720</v>
      </c>
      <c r="E1054" s="76">
        <f ca="1">SUMIF('Production '!$C$4:$AI$4407,'Tracking Sheet'!B1054,'Production '!$S$4:$S$4407)</f>
        <v>1720</v>
      </c>
      <c r="F1054" s="76">
        <f ca="1">SUMIF('Production '!$C$4:$AI$4407,'Tracking Sheet'!B1054,'Production '!$U$4:$U$4407)</f>
        <v>11</v>
      </c>
      <c r="G1054" s="76">
        <f ca="1">SUMIF('Production '!$C$4:$AI$4407,'Tracking Sheet'!B1054,'Production '!$W$4:$W$4407)</f>
        <v>1709</v>
      </c>
      <c r="H1054" s="76">
        <f ca="1">SUMIF('Production '!$C$4:$AI$4407,'Tracking Sheet'!B1054,'Production '!$F$4:$F$4407)</f>
        <v>1660</v>
      </c>
      <c r="I1054" s="76">
        <f ca="1">SUMIF('Production '!$C$4:$AI$4407,'Tracking Sheet'!B1054,'Production '!$V$4:$V$4407)</f>
        <v>1709</v>
      </c>
      <c r="J1054" s="76">
        <f ca="1">SUMIF('Production '!$C$4:$AI$4407,'Tracking Sheet'!B1054,'Production '!$AG$4:$AG$4407)</f>
        <v>0</v>
      </c>
    </row>
    <row r="1055" spans="2:10" x14ac:dyDescent="0.3">
      <c r="B1055" s="277">
        <f>'Production '!C1058</f>
        <v>0</v>
      </c>
      <c r="C1055" s="76" t="e">
        <f ca="1">SUMIF('Production '!$C$4:$AI$4407,'Tracking Sheet'!B1055,'Production '!$M$4:$M$4407)</f>
        <v>#DIV/0!</v>
      </c>
      <c r="D1055" s="76" t="e">
        <f ca="1">SUMIF('Production '!$C$4:$AI$4407,'Tracking Sheet'!B1055,'Production '!$Q$4:$Q$4407)</f>
        <v>#DIV/0!</v>
      </c>
      <c r="E1055" s="76">
        <f ca="1">SUMIF('Production '!$C$4:$AI$4407,'Tracking Sheet'!B1055,'Production '!$S$4:$S$4407)</f>
        <v>-1268218.9828305368</v>
      </c>
      <c r="F1055" s="76">
        <f ca="1">SUMIF('Production '!$C$4:$AI$4407,'Tracking Sheet'!B1055,'Production '!$U$4:$U$4407)</f>
        <v>-10620.435600016917</v>
      </c>
      <c r="G1055" s="76" t="e">
        <f ca="1">SUMIF('Production '!$C$4:$AI$4407,'Tracking Sheet'!B1055,'Production '!$W$4:$W$4407)</f>
        <v>#DIV/0!</v>
      </c>
      <c r="H1055" s="76">
        <f ca="1">SUMIF('Production '!$C$4:$AI$4407,'Tracking Sheet'!B1055,'Production '!$F$4:$F$4407)</f>
        <v>3230621.3283604058</v>
      </c>
      <c r="I1055" s="76">
        <f ca="1">SUMIF('Production '!$C$4:$AI$4407,'Tracking Sheet'!B1055,'Production '!$V$4:$V$4407)</f>
        <v>-489.86487791182844</v>
      </c>
      <c r="J1055" s="76">
        <f ca="1">SUMIF('Production '!$C$4:$AI$4407,'Tracking Sheet'!B1055,'Production '!$AG$4:$AG$4407)</f>
        <v>0</v>
      </c>
    </row>
    <row r="1056" spans="2:10" x14ac:dyDescent="0.3">
      <c r="B1056" s="277">
        <f>'Production '!C1059</f>
        <v>47996</v>
      </c>
      <c r="C1056" s="76">
        <f ca="1">SUMIF('Production '!$C$4:$AI$4407,'Tracking Sheet'!B1056,'Production '!$M$4:$M$4407)</f>
        <v>0</v>
      </c>
      <c r="D1056" s="76">
        <f ca="1">SUMIF('Production '!$C$4:$AI$4407,'Tracking Sheet'!B1056,'Production '!$Q$4:$Q$4407)</f>
        <v>0</v>
      </c>
      <c r="E1056" s="76">
        <f ca="1">SUMIF('Production '!$C$4:$AI$4407,'Tracking Sheet'!B1056,'Production '!$S$4:$S$4407)</f>
        <v>0</v>
      </c>
      <c r="F1056" s="76">
        <f ca="1">SUMIF('Production '!$C$4:$AI$4407,'Tracking Sheet'!B1056,'Production '!$U$4:$U$4407)</f>
        <v>0</v>
      </c>
      <c r="G1056" s="76">
        <f ca="1">SUMIF('Production '!$C$4:$AI$4407,'Tracking Sheet'!B1056,'Production '!$W$4:$W$4407)</f>
        <v>0</v>
      </c>
      <c r="H1056" s="76">
        <f ca="1">SUMIF('Production '!$C$4:$AI$4407,'Tracking Sheet'!B1056,'Production '!$F$4:$F$4407)</f>
        <v>2370</v>
      </c>
      <c r="I1056" s="76">
        <f ca="1">SUMIF('Production '!$C$4:$AI$4407,'Tracking Sheet'!B1056,'Production '!$V$4:$V$4407)</f>
        <v>0</v>
      </c>
      <c r="J1056" s="76">
        <f ca="1">SUMIF('Production '!$C$4:$AI$4407,'Tracking Sheet'!B1056,'Production '!$AG$4:$AG$4407)</f>
        <v>-2370</v>
      </c>
    </row>
    <row r="1057" spans="2:10" x14ac:dyDescent="0.3">
      <c r="B1057" s="277">
        <f>'Production '!C1060</f>
        <v>0</v>
      </c>
      <c r="C1057" s="76" t="e">
        <f ca="1">SUMIF('Production '!$C$4:$AI$4407,'Tracking Sheet'!B1057,'Production '!$M$4:$M$4407)</f>
        <v>#DIV/0!</v>
      </c>
      <c r="D1057" s="76" t="e">
        <f ca="1">SUMIF('Production '!$C$4:$AI$4407,'Tracking Sheet'!B1057,'Production '!$Q$4:$Q$4407)</f>
        <v>#DIV/0!</v>
      </c>
      <c r="E1057" s="76">
        <f ca="1">SUMIF('Production '!$C$4:$AI$4407,'Tracking Sheet'!B1057,'Production '!$S$4:$S$4407)</f>
        <v>-1268218.9828305368</v>
      </c>
      <c r="F1057" s="76">
        <f ca="1">SUMIF('Production '!$C$4:$AI$4407,'Tracking Sheet'!B1057,'Production '!$U$4:$U$4407)</f>
        <v>-10620.435600016917</v>
      </c>
      <c r="G1057" s="76" t="e">
        <f ca="1">SUMIF('Production '!$C$4:$AI$4407,'Tracking Sheet'!B1057,'Production '!$W$4:$W$4407)</f>
        <v>#DIV/0!</v>
      </c>
      <c r="H1057" s="76">
        <f ca="1">SUMIF('Production '!$C$4:$AI$4407,'Tracking Sheet'!B1057,'Production '!$F$4:$F$4407)</f>
        <v>3230621.3283604058</v>
      </c>
      <c r="I1057" s="76">
        <f ca="1">SUMIF('Production '!$C$4:$AI$4407,'Tracking Sheet'!B1057,'Production '!$V$4:$V$4407)</f>
        <v>-489.86487791182844</v>
      </c>
      <c r="J1057" s="76">
        <f ca="1">SUMIF('Production '!$C$4:$AI$4407,'Tracking Sheet'!B1057,'Production '!$AG$4:$AG$4407)</f>
        <v>0</v>
      </c>
    </row>
    <row r="1058" spans="2:10" x14ac:dyDescent="0.3">
      <c r="B1058" s="277" t="str">
        <f>'Production '!C1061</f>
        <v>45154 2nd</v>
      </c>
      <c r="C1058" s="76">
        <f ca="1">SUMIF('Production '!$C$4:$AI$4407,'Tracking Sheet'!B1058,'Production '!$M$4:$M$4407)</f>
        <v>1038</v>
      </c>
      <c r="D1058" s="76">
        <f ca="1">SUMIF('Production '!$C$4:$AI$4407,'Tracking Sheet'!B1058,'Production '!$Q$4:$Q$4407)</f>
        <v>1038</v>
      </c>
      <c r="E1058" s="76">
        <f ca="1">SUMIF('Production '!$C$4:$AI$4407,'Tracking Sheet'!B1058,'Production '!$S$4:$S$4407)</f>
        <v>1031</v>
      </c>
      <c r="F1058" s="76">
        <f ca="1">SUMIF('Production '!$C$4:$AI$4407,'Tracking Sheet'!B1058,'Production '!$U$4:$U$4407)</f>
        <v>0</v>
      </c>
      <c r="G1058" s="76">
        <f ca="1">SUMIF('Production '!$C$4:$AI$4407,'Tracking Sheet'!B1058,'Production '!$W$4:$W$4407)</f>
        <v>1031</v>
      </c>
      <c r="H1058" s="76">
        <f ca="1">SUMIF('Production '!$C$4:$AI$4407,'Tracking Sheet'!B1058,'Production '!$F$4:$F$4407)</f>
        <v>1005</v>
      </c>
      <c r="I1058" s="76">
        <f ca="1">SUMIF('Production '!$C$4:$AI$4407,'Tracking Sheet'!B1058,'Production '!$V$4:$V$4407)</f>
        <v>0</v>
      </c>
      <c r="J1058" s="76">
        <f ca="1">SUMIF('Production '!$C$4:$AI$4407,'Tracking Sheet'!B1058,'Production '!$AG$4:$AG$4407)</f>
        <v>0</v>
      </c>
    </row>
    <row r="1059" spans="2:10" x14ac:dyDescent="0.3">
      <c r="B1059" s="277">
        <f>'Production '!C1062</f>
        <v>0</v>
      </c>
      <c r="C1059" s="76" t="e">
        <f ca="1">SUMIF('Production '!$C$4:$AI$4407,'Tracking Sheet'!B1059,'Production '!$M$4:$M$4407)</f>
        <v>#DIV/0!</v>
      </c>
      <c r="D1059" s="76" t="e">
        <f ca="1">SUMIF('Production '!$C$4:$AI$4407,'Tracking Sheet'!B1059,'Production '!$Q$4:$Q$4407)</f>
        <v>#DIV/0!</v>
      </c>
      <c r="E1059" s="76">
        <f ca="1">SUMIF('Production '!$C$4:$AI$4407,'Tracking Sheet'!B1059,'Production '!$S$4:$S$4407)</f>
        <v>-1268218.9828305368</v>
      </c>
      <c r="F1059" s="76">
        <f ca="1">SUMIF('Production '!$C$4:$AI$4407,'Tracking Sheet'!B1059,'Production '!$U$4:$U$4407)</f>
        <v>-10620.435600016917</v>
      </c>
      <c r="G1059" s="76" t="e">
        <f ca="1">SUMIF('Production '!$C$4:$AI$4407,'Tracking Sheet'!B1059,'Production '!$W$4:$W$4407)</f>
        <v>#DIV/0!</v>
      </c>
      <c r="H1059" s="76">
        <f ca="1">SUMIF('Production '!$C$4:$AI$4407,'Tracking Sheet'!B1059,'Production '!$F$4:$F$4407)</f>
        <v>3230621.3283604058</v>
      </c>
      <c r="I1059" s="76">
        <f ca="1">SUMIF('Production '!$C$4:$AI$4407,'Tracking Sheet'!B1059,'Production '!$V$4:$V$4407)</f>
        <v>-489.86487791182844</v>
      </c>
      <c r="J1059" s="76">
        <f ca="1">SUMIF('Production '!$C$4:$AI$4407,'Tracking Sheet'!B1059,'Production '!$AG$4:$AG$4407)</f>
        <v>0</v>
      </c>
    </row>
    <row r="1060" spans="2:10" x14ac:dyDescent="0.3">
      <c r="B1060" s="277">
        <f>'Production '!C1063</f>
        <v>48270</v>
      </c>
      <c r="C1060" s="76">
        <f ca="1">SUMIF('Production '!$C$4:$AI$4407,'Tracking Sheet'!B1060,'Production '!$M$4:$M$4407)</f>
        <v>1296</v>
      </c>
      <c r="D1060" s="76">
        <f ca="1">SUMIF('Production '!$C$4:$AI$4407,'Tracking Sheet'!B1060,'Production '!$Q$4:$Q$4407)</f>
        <v>1296</v>
      </c>
      <c r="E1060" s="76">
        <f ca="1">SUMIF('Production '!$C$4:$AI$4407,'Tracking Sheet'!B1060,'Production '!$S$4:$S$4407)</f>
        <v>1292</v>
      </c>
      <c r="F1060" s="76">
        <f ca="1">SUMIF('Production '!$C$4:$AI$4407,'Tracking Sheet'!B1060,'Production '!$U$4:$U$4407)</f>
        <v>1</v>
      </c>
      <c r="G1060" s="76">
        <f ca="1">SUMIF('Production '!$C$4:$AI$4407,'Tracking Sheet'!B1060,'Production '!$W$4:$W$4407)</f>
        <v>1291</v>
      </c>
      <c r="H1060" s="76">
        <f ca="1">SUMIF('Production '!$C$4:$AI$4407,'Tracking Sheet'!B1060,'Production '!$F$4:$F$4407)</f>
        <v>1261</v>
      </c>
      <c r="I1060" s="76">
        <f ca="1">SUMIF('Production '!$C$4:$AI$4407,'Tracking Sheet'!B1060,'Production '!$V$4:$V$4407)</f>
        <v>0</v>
      </c>
      <c r="J1060" s="76">
        <f ca="1">SUMIF('Production '!$C$4:$AI$4407,'Tracking Sheet'!B1060,'Production '!$AG$4:$AG$4407)</f>
        <v>0</v>
      </c>
    </row>
    <row r="1061" spans="2:10" x14ac:dyDescent="0.3">
      <c r="B1061" s="277">
        <f>'Production '!C1064</f>
        <v>0</v>
      </c>
      <c r="C1061" s="76" t="e">
        <f ca="1">SUMIF('Production '!$C$4:$AI$4407,'Tracking Sheet'!B1061,'Production '!$M$4:$M$4407)</f>
        <v>#DIV/0!</v>
      </c>
      <c r="D1061" s="76" t="e">
        <f ca="1">SUMIF('Production '!$C$4:$AI$4407,'Tracking Sheet'!B1061,'Production '!$Q$4:$Q$4407)</f>
        <v>#DIV/0!</v>
      </c>
      <c r="E1061" s="76">
        <f ca="1">SUMIF('Production '!$C$4:$AI$4407,'Tracking Sheet'!B1061,'Production '!$S$4:$S$4407)</f>
        <v>-1268218.9828305368</v>
      </c>
      <c r="F1061" s="76">
        <f ca="1">SUMIF('Production '!$C$4:$AI$4407,'Tracking Sheet'!B1061,'Production '!$U$4:$U$4407)</f>
        <v>-10620.435600016917</v>
      </c>
      <c r="G1061" s="76" t="e">
        <f ca="1">SUMIF('Production '!$C$4:$AI$4407,'Tracking Sheet'!B1061,'Production '!$W$4:$W$4407)</f>
        <v>#DIV/0!</v>
      </c>
      <c r="H1061" s="76">
        <f ca="1">SUMIF('Production '!$C$4:$AI$4407,'Tracking Sheet'!B1061,'Production '!$F$4:$F$4407)</f>
        <v>3230621.3283604058</v>
      </c>
      <c r="I1061" s="76">
        <f ca="1">SUMIF('Production '!$C$4:$AI$4407,'Tracking Sheet'!B1061,'Production '!$V$4:$V$4407)</f>
        <v>-489.86487791182844</v>
      </c>
      <c r="J1061" s="76">
        <f ca="1">SUMIF('Production '!$C$4:$AI$4407,'Tracking Sheet'!B1061,'Production '!$AG$4:$AG$4407)</f>
        <v>0</v>
      </c>
    </row>
    <row r="1062" spans="2:10" x14ac:dyDescent="0.3">
      <c r="B1062" s="277">
        <f>'Production '!C1065</f>
        <v>47994</v>
      </c>
      <c r="C1062" s="76">
        <f ca="1">SUMIF('Production '!$C$4:$AI$4407,'Tracking Sheet'!B1062,'Production '!$M$4:$M$4407)</f>
        <v>1176</v>
      </c>
      <c r="D1062" s="76">
        <f ca="1">SUMIF('Production '!$C$4:$AI$4407,'Tracking Sheet'!B1062,'Production '!$Q$4:$Q$4407)</f>
        <v>1176</v>
      </c>
      <c r="E1062" s="76">
        <f ca="1">SUMIF('Production '!$C$4:$AI$4407,'Tracking Sheet'!B1062,'Production '!$S$4:$S$4407)</f>
        <v>1176</v>
      </c>
      <c r="F1062" s="76">
        <f ca="1">SUMIF('Production '!$C$4:$AI$4407,'Tracking Sheet'!B1062,'Production '!$U$4:$U$4407)</f>
        <v>5</v>
      </c>
      <c r="G1062" s="76">
        <f ca="1">SUMIF('Production '!$C$4:$AI$4407,'Tracking Sheet'!B1062,'Production '!$W$4:$W$4407)</f>
        <v>1171</v>
      </c>
      <c r="H1062" s="76">
        <f ca="1">SUMIF('Production '!$C$4:$AI$4407,'Tracking Sheet'!B1062,'Production '!$F$4:$F$4407)</f>
        <v>1115</v>
      </c>
      <c r="I1062" s="76">
        <f ca="1">SUMIF('Production '!$C$4:$AI$4407,'Tracking Sheet'!B1062,'Production '!$V$4:$V$4407)</f>
        <v>0</v>
      </c>
      <c r="J1062" s="76">
        <f ca="1">SUMIF('Production '!$C$4:$AI$4407,'Tracking Sheet'!B1062,'Production '!$AG$4:$AG$4407)</f>
        <v>0</v>
      </c>
    </row>
    <row r="1063" spans="2:10" x14ac:dyDescent="0.3">
      <c r="B1063" s="277">
        <f>'Production '!C1066</f>
        <v>0</v>
      </c>
      <c r="C1063" s="76" t="e">
        <f ca="1">SUMIF('Production '!$C$4:$AI$4407,'Tracking Sheet'!B1063,'Production '!$M$4:$M$4407)</f>
        <v>#DIV/0!</v>
      </c>
      <c r="D1063" s="76" t="e">
        <f ca="1">SUMIF('Production '!$C$4:$AI$4407,'Tracking Sheet'!B1063,'Production '!$Q$4:$Q$4407)</f>
        <v>#DIV/0!</v>
      </c>
      <c r="E1063" s="76">
        <f ca="1">SUMIF('Production '!$C$4:$AI$4407,'Tracking Sheet'!B1063,'Production '!$S$4:$S$4407)</f>
        <v>-1268218.9828305368</v>
      </c>
      <c r="F1063" s="76">
        <f ca="1">SUMIF('Production '!$C$4:$AI$4407,'Tracking Sheet'!B1063,'Production '!$U$4:$U$4407)</f>
        <v>-10620.435600016917</v>
      </c>
      <c r="G1063" s="76" t="e">
        <f ca="1">SUMIF('Production '!$C$4:$AI$4407,'Tracking Sheet'!B1063,'Production '!$W$4:$W$4407)</f>
        <v>#DIV/0!</v>
      </c>
      <c r="H1063" s="76">
        <f ca="1">SUMIF('Production '!$C$4:$AI$4407,'Tracking Sheet'!B1063,'Production '!$F$4:$F$4407)</f>
        <v>3230621.3283604058</v>
      </c>
      <c r="I1063" s="76">
        <f ca="1">SUMIF('Production '!$C$4:$AI$4407,'Tracking Sheet'!B1063,'Production '!$V$4:$V$4407)</f>
        <v>-489.86487791182844</v>
      </c>
      <c r="J1063" s="76">
        <f ca="1">SUMIF('Production '!$C$4:$AI$4407,'Tracking Sheet'!B1063,'Production '!$AG$4:$AG$4407)</f>
        <v>0</v>
      </c>
    </row>
    <row r="1064" spans="2:10" x14ac:dyDescent="0.3">
      <c r="B1064" s="277">
        <f>'Production '!C1067</f>
        <v>47998</v>
      </c>
      <c r="C1064" s="76">
        <f ca="1">SUMIF('Production '!$C$4:$AI$4407,'Tracking Sheet'!B1064,'Production '!$M$4:$M$4407)</f>
        <v>0</v>
      </c>
      <c r="D1064" s="76">
        <f ca="1">SUMIF('Production '!$C$4:$AI$4407,'Tracking Sheet'!B1064,'Production '!$Q$4:$Q$4407)</f>
        <v>0</v>
      </c>
      <c r="E1064" s="76">
        <f ca="1">SUMIF('Production '!$C$4:$AI$4407,'Tracking Sheet'!B1064,'Production '!$S$4:$S$4407)</f>
        <v>0</v>
      </c>
      <c r="F1064" s="76">
        <f ca="1">SUMIF('Production '!$C$4:$AI$4407,'Tracking Sheet'!B1064,'Production '!$U$4:$U$4407)</f>
        <v>0</v>
      </c>
      <c r="G1064" s="76">
        <f ca="1">SUMIF('Production '!$C$4:$AI$4407,'Tracking Sheet'!B1064,'Production '!$W$4:$W$4407)</f>
        <v>0</v>
      </c>
      <c r="H1064" s="76">
        <f ca="1">SUMIF('Production '!$C$4:$AI$4407,'Tracking Sheet'!B1064,'Production '!$F$4:$F$4407)</f>
        <v>1200</v>
      </c>
      <c r="I1064" s="76">
        <f ca="1">SUMIF('Production '!$C$4:$AI$4407,'Tracking Sheet'!B1064,'Production '!$V$4:$V$4407)</f>
        <v>0</v>
      </c>
      <c r="J1064" s="76">
        <f ca="1">SUMIF('Production '!$C$4:$AI$4407,'Tracking Sheet'!B1064,'Production '!$AG$4:$AG$4407)</f>
        <v>-1200</v>
      </c>
    </row>
    <row r="1065" spans="2:10" x14ac:dyDescent="0.3">
      <c r="B1065" s="277">
        <f>'Production '!C1068</f>
        <v>0</v>
      </c>
      <c r="C1065" s="76" t="e">
        <f ca="1">SUMIF('Production '!$C$4:$AI$4407,'Tracking Sheet'!B1065,'Production '!$M$4:$M$4407)</f>
        <v>#DIV/0!</v>
      </c>
      <c r="D1065" s="76" t="e">
        <f ca="1">SUMIF('Production '!$C$4:$AI$4407,'Tracking Sheet'!B1065,'Production '!$Q$4:$Q$4407)</f>
        <v>#DIV/0!</v>
      </c>
      <c r="E1065" s="76">
        <f ca="1">SUMIF('Production '!$C$4:$AI$4407,'Tracking Sheet'!B1065,'Production '!$S$4:$S$4407)</f>
        <v>-1268218.9828305368</v>
      </c>
      <c r="F1065" s="76">
        <f ca="1">SUMIF('Production '!$C$4:$AI$4407,'Tracking Sheet'!B1065,'Production '!$U$4:$U$4407)</f>
        <v>-10620.435600016917</v>
      </c>
      <c r="G1065" s="76" t="e">
        <f ca="1">SUMIF('Production '!$C$4:$AI$4407,'Tracking Sheet'!B1065,'Production '!$W$4:$W$4407)</f>
        <v>#DIV/0!</v>
      </c>
      <c r="H1065" s="76">
        <f ca="1">SUMIF('Production '!$C$4:$AI$4407,'Tracking Sheet'!B1065,'Production '!$F$4:$F$4407)</f>
        <v>3230621.3283604058</v>
      </c>
      <c r="I1065" s="76">
        <f ca="1">SUMIF('Production '!$C$4:$AI$4407,'Tracking Sheet'!B1065,'Production '!$V$4:$V$4407)</f>
        <v>-489.86487791182844</v>
      </c>
      <c r="J1065" s="76">
        <f ca="1">SUMIF('Production '!$C$4:$AI$4407,'Tracking Sheet'!B1065,'Production '!$AG$4:$AG$4407)</f>
        <v>0</v>
      </c>
    </row>
    <row r="1066" spans="2:10" x14ac:dyDescent="0.3">
      <c r="B1066" s="277">
        <f>'Production '!C1069</f>
        <v>48266</v>
      </c>
      <c r="C1066" s="76">
        <f ca="1">SUMIF('Production '!$C$4:$AI$4407,'Tracking Sheet'!B1066,'Production '!$M$4:$M$4407)</f>
        <v>784</v>
      </c>
      <c r="D1066" s="76">
        <f ca="1">SUMIF('Production '!$C$4:$AI$4407,'Tracking Sheet'!B1066,'Production '!$Q$4:$Q$4407)</f>
        <v>784</v>
      </c>
      <c r="E1066" s="76">
        <f ca="1">SUMIF('Production '!$C$4:$AI$4407,'Tracking Sheet'!B1066,'Production '!$S$4:$S$4407)</f>
        <v>783</v>
      </c>
      <c r="F1066" s="76">
        <f ca="1">SUMIF('Production '!$C$4:$AI$4407,'Tracking Sheet'!B1066,'Production '!$U$4:$U$4407)</f>
        <v>2</v>
      </c>
      <c r="G1066" s="76">
        <f ca="1">SUMIF('Production '!$C$4:$AI$4407,'Tracking Sheet'!B1066,'Production '!$W$4:$W$4407)</f>
        <v>781</v>
      </c>
      <c r="H1066" s="76">
        <f ca="1">SUMIF('Production '!$C$4:$AI$4407,'Tracking Sheet'!B1066,'Production '!$F$4:$F$4407)</f>
        <v>754</v>
      </c>
      <c r="I1066" s="76">
        <f ca="1">SUMIF('Production '!$C$4:$AI$4407,'Tracking Sheet'!B1066,'Production '!$V$4:$V$4407)</f>
        <v>0</v>
      </c>
      <c r="J1066" s="76">
        <f ca="1">SUMIF('Production '!$C$4:$AI$4407,'Tracking Sheet'!B1066,'Production '!$AG$4:$AG$4407)</f>
        <v>0</v>
      </c>
    </row>
    <row r="1067" spans="2:10" x14ac:dyDescent="0.3">
      <c r="B1067" s="277">
        <f>'Production '!C1070</f>
        <v>0</v>
      </c>
      <c r="C1067" s="76" t="e">
        <f ca="1">SUMIF('Production '!$C$4:$AI$4407,'Tracking Sheet'!B1067,'Production '!$M$4:$M$4407)</f>
        <v>#DIV/0!</v>
      </c>
      <c r="D1067" s="76" t="e">
        <f ca="1">SUMIF('Production '!$C$4:$AI$4407,'Tracking Sheet'!B1067,'Production '!$Q$4:$Q$4407)</f>
        <v>#DIV/0!</v>
      </c>
      <c r="E1067" s="76">
        <f ca="1">SUMIF('Production '!$C$4:$AI$4407,'Tracking Sheet'!B1067,'Production '!$S$4:$S$4407)</f>
        <v>-1268218.9828305368</v>
      </c>
      <c r="F1067" s="76">
        <f ca="1">SUMIF('Production '!$C$4:$AI$4407,'Tracking Sheet'!B1067,'Production '!$U$4:$U$4407)</f>
        <v>-10620.435600016917</v>
      </c>
      <c r="G1067" s="76" t="e">
        <f ca="1">SUMIF('Production '!$C$4:$AI$4407,'Tracking Sheet'!B1067,'Production '!$W$4:$W$4407)</f>
        <v>#DIV/0!</v>
      </c>
      <c r="H1067" s="76">
        <f ca="1">SUMIF('Production '!$C$4:$AI$4407,'Tracking Sheet'!B1067,'Production '!$F$4:$F$4407)</f>
        <v>3230621.3283604058</v>
      </c>
      <c r="I1067" s="76">
        <f ca="1">SUMIF('Production '!$C$4:$AI$4407,'Tracking Sheet'!B1067,'Production '!$V$4:$V$4407)</f>
        <v>-489.86487791182844</v>
      </c>
      <c r="J1067" s="76">
        <f ca="1">SUMIF('Production '!$C$4:$AI$4407,'Tracking Sheet'!B1067,'Production '!$AG$4:$AG$4407)</f>
        <v>0</v>
      </c>
    </row>
    <row r="1068" spans="2:10" x14ac:dyDescent="0.3">
      <c r="B1068" s="277">
        <f>'Production '!C1071</f>
        <v>48267</v>
      </c>
      <c r="C1068" s="76">
        <f ca="1">SUMIF('Production '!$C$4:$AI$4407,'Tracking Sheet'!B1068,'Production '!$M$4:$M$4407)</f>
        <v>797</v>
      </c>
      <c r="D1068" s="76">
        <f ca="1">SUMIF('Production '!$C$4:$AI$4407,'Tracking Sheet'!B1068,'Production '!$Q$4:$Q$4407)</f>
        <v>797</v>
      </c>
      <c r="E1068" s="76">
        <f ca="1">SUMIF('Production '!$C$4:$AI$4407,'Tracking Sheet'!B1068,'Production '!$S$4:$S$4407)</f>
        <v>797</v>
      </c>
      <c r="F1068" s="76">
        <f ca="1">SUMIF('Production '!$C$4:$AI$4407,'Tracking Sheet'!B1068,'Production '!$U$4:$U$4407)</f>
        <v>2</v>
      </c>
      <c r="G1068" s="76">
        <f ca="1">SUMIF('Production '!$C$4:$AI$4407,'Tracking Sheet'!B1068,'Production '!$W$4:$W$4407)</f>
        <v>795</v>
      </c>
      <c r="H1068" s="76">
        <f ca="1">SUMIF('Production '!$C$4:$AI$4407,'Tracking Sheet'!B1068,'Production '!$F$4:$F$4407)</f>
        <v>754</v>
      </c>
      <c r="I1068" s="76">
        <f ca="1">SUMIF('Production '!$C$4:$AI$4407,'Tracking Sheet'!B1068,'Production '!$V$4:$V$4407)</f>
        <v>0</v>
      </c>
      <c r="J1068" s="76">
        <f ca="1">SUMIF('Production '!$C$4:$AI$4407,'Tracking Sheet'!B1068,'Production '!$AG$4:$AG$4407)</f>
        <v>0</v>
      </c>
    </row>
    <row r="1069" spans="2:10" x14ac:dyDescent="0.3">
      <c r="B1069" s="277">
        <f>'Production '!C1072</f>
        <v>0</v>
      </c>
      <c r="C1069" s="76" t="e">
        <f ca="1">SUMIF('Production '!$C$4:$AI$4407,'Tracking Sheet'!B1069,'Production '!$M$4:$M$4407)</f>
        <v>#DIV/0!</v>
      </c>
      <c r="D1069" s="76" t="e">
        <f ca="1">SUMIF('Production '!$C$4:$AI$4407,'Tracking Sheet'!B1069,'Production '!$Q$4:$Q$4407)</f>
        <v>#DIV/0!</v>
      </c>
      <c r="E1069" s="76">
        <f ca="1">SUMIF('Production '!$C$4:$AI$4407,'Tracking Sheet'!B1069,'Production '!$S$4:$S$4407)</f>
        <v>-1268218.9828305368</v>
      </c>
      <c r="F1069" s="76">
        <f ca="1">SUMIF('Production '!$C$4:$AI$4407,'Tracking Sheet'!B1069,'Production '!$U$4:$U$4407)</f>
        <v>-10620.435600016917</v>
      </c>
      <c r="G1069" s="76" t="e">
        <f ca="1">SUMIF('Production '!$C$4:$AI$4407,'Tracking Sheet'!B1069,'Production '!$W$4:$W$4407)</f>
        <v>#DIV/0!</v>
      </c>
      <c r="H1069" s="76">
        <f ca="1">SUMIF('Production '!$C$4:$AI$4407,'Tracking Sheet'!B1069,'Production '!$F$4:$F$4407)</f>
        <v>3230621.3283604058</v>
      </c>
      <c r="I1069" s="76">
        <f ca="1">SUMIF('Production '!$C$4:$AI$4407,'Tracking Sheet'!B1069,'Production '!$V$4:$V$4407)</f>
        <v>-489.86487791182844</v>
      </c>
      <c r="J1069" s="76">
        <f ca="1">SUMIF('Production '!$C$4:$AI$4407,'Tracking Sheet'!B1069,'Production '!$AG$4:$AG$4407)</f>
        <v>0</v>
      </c>
    </row>
    <row r="1070" spans="2:10" x14ac:dyDescent="0.3">
      <c r="B1070" s="277">
        <f>'Production '!C1073</f>
        <v>48273</v>
      </c>
      <c r="C1070" s="76">
        <f ca="1">SUMIF('Production '!$C$4:$AI$4407,'Tracking Sheet'!B1070,'Production '!$M$4:$M$4407)</f>
        <v>0</v>
      </c>
      <c r="D1070" s="76">
        <f ca="1">SUMIF('Production '!$C$4:$AI$4407,'Tracking Sheet'!B1070,'Production '!$Q$4:$Q$4407)</f>
        <v>0</v>
      </c>
      <c r="E1070" s="76">
        <f ca="1">SUMIF('Production '!$C$4:$AI$4407,'Tracking Sheet'!B1070,'Production '!$S$4:$S$4407)</f>
        <v>0</v>
      </c>
      <c r="F1070" s="76">
        <f ca="1">SUMIF('Production '!$C$4:$AI$4407,'Tracking Sheet'!B1070,'Production '!$U$4:$U$4407)</f>
        <v>0</v>
      </c>
      <c r="G1070" s="76">
        <f ca="1">SUMIF('Production '!$C$4:$AI$4407,'Tracking Sheet'!B1070,'Production '!$W$4:$W$4407)</f>
        <v>0</v>
      </c>
      <c r="H1070" s="76">
        <f ca="1">SUMIF('Production '!$C$4:$AI$4407,'Tracking Sheet'!B1070,'Production '!$F$4:$F$4407)</f>
        <v>1450</v>
      </c>
      <c r="I1070" s="76">
        <f ca="1">SUMIF('Production '!$C$4:$AI$4407,'Tracking Sheet'!B1070,'Production '!$V$4:$V$4407)</f>
        <v>0</v>
      </c>
      <c r="J1070" s="76">
        <f ca="1">SUMIF('Production '!$C$4:$AI$4407,'Tracking Sheet'!B1070,'Production '!$AG$4:$AG$4407)</f>
        <v>-1450</v>
      </c>
    </row>
    <row r="1071" spans="2:10" x14ac:dyDescent="0.3">
      <c r="B1071" s="277">
        <f>'Production '!C1074</f>
        <v>0</v>
      </c>
      <c r="C1071" s="76" t="e">
        <f ca="1">SUMIF('Production '!$C$4:$AI$4407,'Tracking Sheet'!B1071,'Production '!$M$4:$M$4407)</f>
        <v>#DIV/0!</v>
      </c>
      <c r="D1071" s="76" t="e">
        <f ca="1">SUMIF('Production '!$C$4:$AI$4407,'Tracking Sheet'!B1071,'Production '!$Q$4:$Q$4407)</f>
        <v>#DIV/0!</v>
      </c>
      <c r="E1071" s="76">
        <f ca="1">SUMIF('Production '!$C$4:$AI$4407,'Tracking Sheet'!B1071,'Production '!$S$4:$S$4407)</f>
        <v>-1268218.9828305368</v>
      </c>
      <c r="F1071" s="76">
        <f ca="1">SUMIF('Production '!$C$4:$AI$4407,'Tracking Sheet'!B1071,'Production '!$U$4:$U$4407)</f>
        <v>-10620.435600016917</v>
      </c>
      <c r="G1071" s="76" t="e">
        <f ca="1">SUMIF('Production '!$C$4:$AI$4407,'Tracking Sheet'!B1071,'Production '!$W$4:$W$4407)</f>
        <v>#DIV/0!</v>
      </c>
      <c r="H1071" s="76">
        <f ca="1">SUMIF('Production '!$C$4:$AI$4407,'Tracking Sheet'!B1071,'Production '!$F$4:$F$4407)</f>
        <v>3230621.3283604058</v>
      </c>
      <c r="I1071" s="76">
        <f ca="1">SUMIF('Production '!$C$4:$AI$4407,'Tracking Sheet'!B1071,'Production '!$V$4:$V$4407)</f>
        <v>-489.86487791182844</v>
      </c>
      <c r="J1071" s="76">
        <f ca="1">SUMIF('Production '!$C$4:$AI$4407,'Tracking Sheet'!B1071,'Production '!$AG$4:$AG$4407)</f>
        <v>0</v>
      </c>
    </row>
    <row r="1072" spans="2:10" x14ac:dyDescent="0.3">
      <c r="B1072" s="277">
        <f>'Production '!C1075</f>
        <v>48651</v>
      </c>
      <c r="C1072" s="76">
        <f ca="1">SUMIF('Production '!$C$4:$AI$4407,'Tracking Sheet'!B1072,'Production '!$M$4:$M$4407)</f>
        <v>0</v>
      </c>
      <c r="D1072" s="76">
        <f ca="1">SUMIF('Production '!$C$4:$AI$4407,'Tracking Sheet'!B1072,'Production '!$Q$4:$Q$4407)</f>
        <v>0</v>
      </c>
      <c r="E1072" s="76">
        <f ca="1">SUMIF('Production '!$C$4:$AI$4407,'Tracking Sheet'!B1072,'Production '!$S$4:$S$4407)</f>
        <v>0</v>
      </c>
      <c r="F1072" s="76">
        <f ca="1">SUMIF('Production '!$C$4:$AI$4407,'Tracking Sheet'!B1072,'Production '!$U$4:$U$4407)</f>
        <v>0</v>
      </c>
      <c r="G1072" s="76">
        <f ca="1">SUMIF('Production '!$C$4:$AI$4407,'Tracking Sheet'!B1072,'Production '!$W$4:$W$4407)</f>
        <v>0</v>
      </c>
      <c r="H1072" s="76">
        <f ca="1">SUMIF('Production '!$C$4:$AI$4407,'Tracking Sheet'!B1072,'Production '!$F$4:$F$4407)</f>
        <v>3753</v>
      </c>
      <c r="I1072" s="76">
        <f ca="1">SUMIF('Production '!$C$4:$AI$4407,'Tracking Sheet'!B1072,'Production '!$V$4:$V$4407)</f>
        <v>0</v>
      </c>
      <c r="J1072" s="76">
        <f ca="1">SUMIF('Production '!$C$4:$AI$4407,'Tracking Sheet'!B1072,'Production '!$AG$4:$AG$4407)</f>
        <v>-3753</v>
      </c>
    </row>
    <row r="1073" spans="2:10" x14ac:dyDescent="0.3">
      <c r="B1073" s="277">
        <f>'Production '!C1076</f>
        <v>0</v>
      </c>
      <c r="C1073" s="76" t="e">
        <f ca="1">SUMIF('Production '!$C$4:$AI$4407,'Tracking Sheet'!B1073,'Production '!$M$4:$M$4407)</f>
        <v>#DIV/0!</v>
      </c>
      <c r="D1073" s="76" t="e">
        <f ca="1">SUMIF('Production '!$C$4:$AI$4407,'Tracking Sheet'!B1073,'Production '!$Q$4:$Q$4407)</f>
        <v>#DIV/0!</v>
      </c>
      <c r="E1073" s="76">
        <f ca="1">SUMIF('Production '!$C$4:$AI$4407,'Tracking Sheet'!B1073,'Production '!$S$4:$S$4407)</f>
        <v>-1268218.9828305368</v>
      </c>
      <c r="F1073" s="76">
        <f ca="1">SUMIF('Production '!$C$4:$AI$4407,'Tracking Sheet'!B1073,'Production '!$U$4:$U$4407)</f>
        <v>-10620.435600016917</v>
      </c>
      <c r="G1073" s="76" t="e">
        <f ca="1">SUMIF('Production '!$C$4:$AI$4407,'Tracking Sheet'!B1073,'Production '!$W$4:$W$4407)</f>
        <v>#DIV/0!</v>
      </c>
      <c r="H1073" s="76">
        <f ca="1">SUMIF('Production '!$C$4:$AI$4407,'Tracking Sheet'!B1073,'Production '!$F$4:$F$4407)</f>
        <v>3230621.3283604058</v>
      </c>
      <c r="I1073" s="76">
        <f ca="1">SUMIF('Production '!$C$4:$AI$4407,'Tracking Sheet'!B1073,'Production '!$V$4:$V$4407)</f>
        <v>-489.86487791182844</v>
      </c>
      <c r="J1073" s="76">
        <f ca="1">SUMIF('Production '!$C$4:$AI$4407,'Tracking Sheet'!B1073,'Production '!$AG$4:$AG$4407)</f>
        <v>0</v>
      </c>
    </row>
    <row r="1074" spans="2:10" x14ac:dyDescent="0.3">
      <c r="B1074" s="277">
        <f>'Production '!C1077</f>
        <v>48058</v>
      </c>
      <c r="C1074" s="76">
        <f ca="1">SUMIF('Production '!$C$4:$AI$4407,'Tracking Sheet'!B1074,'Production '!$M$4:$M$4407)</f>
        <v>825</v>
      </c>
      <c r="D1074" s="76">
        <f ca="1">SUMIF('Production '!$C$4:$AI$4407,'Tracking Sheet'!B1074,'Production '!$Q$4:$Q$4407)</f>
        <v>825</v>
      </c>
      <c r="E1074" s="76">
        <f ca="1">SUMIF('Production '!$C$4:$AI$4407,'Tracking Sheet'!B1074,'Production '!$S$4:$S$4407)</f>
        <v>825</v>
      </c>
      <c r="F1074" s="76">
        <f ca="1">SUMIF('Production '!$C$4:$AI$4407,'Tracking Sheet'!B1074,'Production '!$U$4:$U$4407)</f>
        <v>0</v>
      </c>
      <c r="G1074" s="76">
        <f ca="1">SUMIF('Production '!$C$4:$AI$4407,'Tracking Sheet'!B1074,'Production '!$W$4:$W$4407)</f>
        <v>825</v>
      </c>
      <c r="H1074" s="76">
        <f ca="1">SUMIF('Production '!$C$4:$AI$4407,'Tracking Sheet'!B1074,'Production '!$F$4:$F$4407)</f>
        <v>810</v>
      </c>
      <c r="I1074" s="76">
        <f ca="1">SUMIF('Production '!$C$4:$AI$4407,'Tracking Sheet'!B1074,'Production '!$V$4:$V$4407)</f>
        <v>0</v>
      </c>
      <c r="J1074" s="76">
        <f ca="1">SUMIF('Production '!$C$4:$AI$4407,'Tracking Sheet'!B1074,'Production '!$AG$4:$AG$4407)</f>
        <v>0</v>
      </c>
    </row>
    <row r="1075" spans="2:10" x14ac:dyDescent="0.3">
      <c r="B1075" s="277">
        <f>'Production '!C1078</f>
        <v>0</v>
      </c>
      <c r="C1075" s="76" t="e">
        <f ca="1">SUMIF('Production '!$C$4:$AI$4407,'Tracking Sheet'!B1075,'Production '!$M$4:$M$4407)</f>
        <v>#DIV/0!</v>
      </c>
      <c r="D1075" s="76" t="e">
        <f ca="1">SUMIF('Production '!$C$4:$AI$4407,'Tracking Sheet'!B1075,'Production '!$Q$4:$Q$4407)</f>
        <v>#DIV/0!</v>
      </c>
      <c r="E1075" s="76">
        <f ca="1">SUMIF('Production '!$C$4:$AI$4407,'Tracking Sheet'!B1075,'Production '!$S$4:$S$4407)</f>
        <v>-1268218.9828305368</v>
      </c>
      <c r="F1075" s="76">
        <f ca="1">SUMIF('Production '!$C$4:$AI$4407,'Tracking Sheet'!B1075,'Production '!$U$4:$U$4407)</f>
        <v>-10620.435600016917</v>
      </c>
      <c r="G1075" s="76" t="e">
        <f ca="1">SUMIF('Production '!$C$4:$AI$4407,'Tracking Sheet'!B1075,'Production '!$W$4:$W$4407)</f>
        <v>#DIV/0!</v>
      </c>
      <c r="H1075" s="76">
        <f ca="1">SUMIF('Production '!$C$4:$AI$4407,'Tracking Sheet'!B1075,'Production '!$F$4:$F$4407)</f>
        <v>3230621.3283604058</v>
      </c>
      <c r="I1075" s="76">
        <f ca="1">SUMIF('Production '!$C$4:$AI$4407,'Tracking Sheet'!B1075,'Production '!$V$4:$V$4407)</f>
        <v>-489.86487791182844</v>
      </c>
      <c r="J1075" s="76">
        <f ca="1">SUMIF('Production '!$C$4:$AI$4407,'Tracking Sheet'!B1075,'Production '!$AG$4:$AG$4407)</f>
        <v>0</v>
      </c>
    </row>
    <row r="1076" spans="2:10" x14ac:dyDescent="0.3">
      <c r="B1076" s="277" t="str">
        <f>'Production '!C1079</f>
        <v>43327 16th</v>
      </c>
      <c r="C1076" s="76">
        <f ca="1">SUMIF('Production '!$C$4:$AI$4407,'Tracking Sheet'!B1076,'Production '!$M$4:$M$4407)</f>
        <v>0</v>
      </c>
      <c r="D1076" s="76">
        <f ca="1">SUMIF('Production '!$C$4:$AI$4407,'Tracking Sheet'!B1076,'Production '!$Q$4:$Q$4407)</f>
        <v>0</v>
      </c>
      <c r="E1076" s="76">
        <f ca="1">SUMIF('Production '!$C$4:$AI$4407,'Tracking Sheet'!B1076,'Production '!$S$4:$S$4407)</f>
        <v>0</v>
      </c>
      <c r="F1076" s="76">
        <f ca="1">SUMIF('Production '!$C$4:$AI$4407,'Tracking Sheet'!B1076,'Production '!$U$4:$U$4407)</f>
        <v>0</v>
      </c>
      <c r="G1076" s="76">
        <f ca="1">SUMIF('Production '!$C$4:$AI$4407,'Tracking Sheet'!B1076,'Production '!$W$4:$W$4407)</f>
        <v>0</v>
      </c>
      <c r="H1076" s="76">
        <f ca="1">SUMIF('Production '!$C$4:$AI$4407,'Tracking Sheet'!B1076,'Production '!$F$4:$F$4407)</f>
        <v>1200</v>
      </c>
      <c r="I1076" s="76">
        <f ca="1">SUMIF('Production '!$C$4:$AI$4407,'Tracking Sheet'!B1076,'Production '!$V$4:$V$4407)</f>
        <v>0</v>
      </c>
      <c r="J1076" s="76">
        <f ca="1">SUMIF('Production '!$C$4:$AI$4407,'Tracking Sheet'!B1076,'Production '!$AG$4:$AG$4407)</f>
        <v>-1200</v>
      </c>
    </row>
    <row r="1077" spans="2:10" x14ac:dyDescent="0.3">
      <c r="B1077" s="277">
        <f>'Production '!C1080</f>
        <v>0</v>
      </c>
      <c r="C1077" s="76" t="e">
        <f ca="1">SUMIF('Production '!$C$4:$AI$4407,'Tracking Sheet'!B1077,'Production '!$M$4:$M$4407)</f>
        <v>#DIV/0!</v>
      </c>
      <c r="D1077" s="76" t="e">
        <f ca="1">SUMIF('Production '!$C$4:$AI$4407,'Tracking Sheet'!B1077,'Production '!$Q$4:$Q$4407)</f>
        <v>#DIV/0!</v>
      </c>
      <c r="E1077" s="76">
        <f ca="1">SUMIF('Production '!$C$4:$AI$4407,'Tracking Sheet'!B1077,'Production '!$S$4:$S$4407)</f>
        <v>-1268218.9828305368</v>
      </c>
      <c r="F1077" s="76">
        <f ca="1">SUMIF('Production '!$C$4:$AI$4407,'Tracking Sheet'!B1077,'Production '!$U$4:$U$4407)</f>
        <v>-10620.435600016917</v>
      </c>
      <c r="G1077" s="76" t="e">
        <f ca="1">SUMIF('Production '!$C$4:$AI$4407,'Tracking Sheet'!B1077,'Production '!$W$4:$W$4407)</f>
        <v>#DIV/0!</v>
      </c>
      <c r="H1077" s="76">
        <f ca="1">SUMIF('Production '!$C$4:$AI$4407,'Tracking Sheet'!B1077,'Production '!$F$4:$F$4407)</f>
        <v>3230621.3283604058</v>
      </c>
      <c r="I1077" s="76">
        <f ca="1">SUMIF('Production '!$C$4:$AI$4407,'Tracking Sheet'!B1077,'Production '!$V$4:$V$4407)</f>
        <v>-489.86487791182844</v>
      </c>
      <c r="J1077" s="76">
        <f ca="1">SUMIF('Production '!$C$4:$AI$4407,'Tracking Sheet'!B1077,'Production '!$AG$4:$AG$4407)</f>
        <v>0</v>
      </c>
    </row>
    <row r="1078" spans="2:10" x14ac:dyDescent="0.3">
      <c r="B1078" s="277" t="str">
        <f>'Production '!C1081</f>
        <v>43327 17th</v>
      </c>
      <c r="C1078" s="76">
        <f ca="1">SUMIF('Production '!$C$4:$AI$4407,'Tracking Sheet'!B1078,'Production '!$M$4:$M$4407)</f>
        <v>0</v>
      </c>
      <c r="D1078" s="76">
        <f ca="1">SUMIF('Production '!$C$4:$AI$4407,'Tracking Sheet'!B1078,'Production '!$Q$4:$Q$4407)</f>
        <v>0</v>
      </c>
      <c r="E1078" s="76">
        <f ca="1">SUMIF('Production '!$C$4:$AI$4407,'Tracking Sheet'!B1078,'Production '!$S$4:$S$4407)</f>
        <v>0</v>
      </c>
      <c r="F1078" s="76">
        <f ca="1">SUMIF('Production '!$C$4:$AI$4407,'Tracking Sheet'!B1078,'Production '!$U$4:$U$4407)</f>
        <v>0</v>
      </c>
      <c r="G1078" s="76">
        <f ca="1">SUMIF('Production '!$C$4:$AI$4407,'Tracking Sheet'!B1078,'Production '!$W$4:$W$4407)</f>
        <v>0</v>
      </c>
      <c r="H1078" s="76">
        <f ca="1">SUMIF('Production '!$C$4:$AI$4407,'Tracking Sheet'!B1078,'Production '!$F$4:$F$4407)</f>
        <v>1020</v>
      </c>
      <c r="I1078" s="76">
        <f ca="1">SUMIF('Production '!$C$4:$AI$4407,'Tracking Sheet'!B1078,'Production '!$V$4:$V$4407)</f>
        <v>0</v>
      </c>
      <c r="J1078" s="76">
        <f ca="1">SUMIF('Production '!$C$4:$AI$4407,'Tracking Sheet'!B1078,'Production '!$AG$4:$AG$4407)</f>
        <v>-1020</v>
      </c>
    </row>
    <row r="1079" spans="2:10" x14ac:dyDescent="0.3">
      <c r="B1079" s="277">
        <f>'Production '!C1082</f>
        <v>0</v>
      </c>
      <c r="C1079" s="76" t="e">
        <f ca="1">SUMIF('Production '!$C$4:$AI$4407,'Tracking Sheet'!B1079,'Production '!$M$4:$M$4407)</f>
        <v>#DIV/0!</v>
      </c>
      <c r="D1079" s="76" t="e">
        <f ca="1">SUMIF('Production '!$C$4:$AI$4407,'Tracking Sheet'!B1079,'Production '!$Q$4:$Q$4407)</f>
        <v>#DIV/0!</v>
      </c>
      <c r="E1079" s="76">
        <f ca="1">SUMIF('Production '!$C$4:$AI$4407,'Tracking Sheet'!B1079,'Production '!$S$4:$S$4407)</f>
        <v>-1268218.9828305368</v>
      </c>
      <c r="F1079" s="76">
        <f ca="1">SUMIF('Production '!$C$4:$AI$4407,'Tracking Sheet'!B1079,'Production '!$U$4:$U$4407)</f>
        <v>-10620.435600016917</v>
      </c>
      <c r="G1079" s="76" t="e">
        <f ca="1">SUMIF('Production '!$C$4:$AI$4407,'Tracking Sheet'!B1079,'Production '!$W$4:$W$4407)</f>
        <v>#DIV/0!</v>
      </c>
      <c r="H1079" s="76">
        <f ca="1">SUMIF('Production '!$C$4:$AI$4407,'Tracking Sheet'!B1079,'Production '!$F$4:$F$4407)</f>
        <v>3230621.3283604058</v>
      </c>
      <c r="I1079" s="76">
        <f ca="1">SUMIF('Production '!$C$4:$AI$4407,'Tracking Sheet'!B1079,'Production '!$V$4:$V$4407)</f>
        <v>-489.86487791182844</v>
      </c>
      <c r="J1079" s="76">
        <f ca="1">SUMIF('Production '!$C$4:$AI$4407,'Tracking Sheet'!B1079,'Production '!$AG$4:$AG$4407)</f>
        <v>0</v>
      </c>
    </row>
    <row r="1080" spans="2:10" x14ac:dyDescent="0.3">
      <c r="B1080" s="277">
        <f>'Production '!C1083</f>
        <v>47999</v>
      </c>
      <c r="C1080" s="76">
        <f ca="1">SUMIF('Production '!$C$4:$AI$4407,'Tracking Sheet'!B1080,'Production '!$M$4:$M$4407)</f>
        <v>0</v>
      </c>
      <c r="D1080" s="76">
        <f ca="1">SUMIF('Production '!$C$4:$AI$4407,'Tracking Sheet'!B1080,'Production '!$Q$4:$Q$4407)</f>
        <v>0</v>
      </c>
      <c r="E1080" s="76">
        <f ca="1">SUMIF('Production '!$C$4:$AI$4407,'Tracking Sheet'!B1080,'Production '!$S$4:$S$4407)</f>
        <v>0</v>
      </c>
      <c r="F1080" s="76">
        <f ca="1">SUMIF('Production '!$C$4:$AI$4407,'Tracking Sheet'!B1080,'Production '!$U$4:$U$4407)</f>
        <v>0</v>
      </c>
      <c r="G1080" s="76">
        <f ca="1">SUMIF('Production '!$C$4:$AI$4407,'Tracking Sheet'!B1080,'Production '!$W$4:$W$4407)</f>
        <v>0</v>
      </c>
      <c r="H1080" s="76">
        <f ca="1">SUMIF('Production '!$C$4:$AI$4407,'Tracking Sheet'!B1080,'Production '!$F$4:$F$4407)</f>
        <v>1200</v>
      </c>
      <c r="I1080" s="76">
        <f ca="1">SUMIF('Production '!$C$4:$AI$4407,'Tracking Sheet'!B1080,'Production '!$V$4:$V$4407)</f>
        <v>0</v>
      </c>
      <c r="J1080" s="76">
        <f ca="1">SUMIF('Production '!$C$4:$AI$4407,'Tracking Sheet'!B1080,'Production '!$AG$4:$AG$4407)</f>
        <v>-1200</v>
      </c>
    </row>
    <row r="1081" spans="2:10" x14ac:dyDescent="0.3">
      <c r="B1081" s="277">
        <f>'Production '!C1084</f>
        <v>0</v>
      </c>
      <c r="C1081" s="76" t="e">
        <f ca="1">SUMIF('Production '!$C$4:$AI$4407,'Tracking Sheet'!B1081,'Production '!$M$4:$M$4407)</f>
        <v>#DIV/0!</v>
      </c>
      <c r="D1081" s="76" t="e">
        <f ca="1">SUMIF('Production '!$C$4:$AI$4407,'Tracking Sheet'!B1081,'Production '!$Q$4:$Q$4407)</f>
        <v>#DIV/0!</v>
      </c>
      <c r="E1081" s="76">
        <f ca="1">SUMIF('Production '!$C$4:$AI$4407,'Tracking Sheet'!B1081,'Production '!$S$4:$S$4407)</f>
        <v>-1268218.9828305368</v>
      </c>
      <c r="F1081" s="76">
        <f ca="1">SUMIF('Production '!$C$4:$AI$4407,'Tracking Sheet'!B1081,'Production '!$U$4:$U$4407)</f>
        <v>-10620.435600016917</v>
      </c>
      <c r="G1081" s="76" t="e">
        <f ca="1">SUMIF('Production '!$C$4:$AI$4407,'Tracking Sheet'!B1081,'Production '!$W$4:$W$4407)</f>
        <v>#DIV/0!</v>
      </c>
      <c r="H1081" s="76">
        <f ca="1">SUMIF('Production '!$C$4:$AI$4407,'Tracking Sheet'!B1081,'Production '!$F$4:$F$4407)</f>
        <v>3230621.3283604058</v>
      </c>
      <c r="I1081" s="76">
        <f ca="1">SUMIF('Production '!$C$4:$AI$4407,'Tracking Sheet'!B1081,'Production '!$V$4:$V$4407)</f>
        <v>-489.86487791182844</v>
      </c>
      <c r="J1081" s="76">
        <f ca="1">SUMIF('Production '!$C$4:$AI$4407,'Tracking Sheet'!B1081,'Production '!$AG$4:$AG$4407)</f>
        <v>0</v>
      </c>
    </row>
    <row r="1082" spans="2:10" x14ac:dyDescent="0.3">
      <c r="B1082" s="277">
        <f>'Production '!C1085</f>
        <v>48265</v>
      </c>
      <c r="C1082" s="76">
        <f ca="1">SUMIF('Production '!$C$4:$AI$4407,'Tracking Sheet'!B1082,'Production '!$M$4:$M$4407)</f>
        <v>1294</v>
      </c>
      <c r="D1082" s="76">
        <f ca="1">SUMIF('Production '!$C$4:$AI$4407,'Tracking Sheet'!B1082,'Production '!$Q$4:$Q$4407)</f>
        <v>0</v>
      </c>
      <c r="E1082" s="76">
        <f ca="1">SUMIF('Production '!$C$4:$AI$4407,'Tracking Sheet'!B1082,'Production '!$S$4:$S$4407)</f>
        <v>0</v>
      </c>
      <c r="F1082" s="76">
        <f ca="1">SUMIF('Production '!$C$4:$AI$4407,'Tracking Sheet'!B1082,'Production '!$U$4:$U$4407)</f>
        <v>0</v>
      </c>
      <c r="G1082" s="76">
        <f ca="1">SUMIF('Production '!$C$4:$AI$4407,'Tracking Sheet'!B1082,'Production '!$W$4:$W$4407)</f>
        <v>1294</v>
      </c>
      <c r="H1082" s="76">
        <f ca="1">SUMIF('Production '!$C$4:$AI$4407,'Tracking Sheet'!B1082,'Production '!$F$4:$F$4407)</f>
        <v>1264</v>
      </c>
      <c r="I1082" s="76">
        <f ca="1">SUMIF('Production '!$C$4:$AI$4407,'Tracking Sheet'!B1082,'Production '!$V$4:$V$4407)</f>
        <v>0</v>
      </c>
      <c r="J1082" s="76">
        <f ca="1">SUMIF('Production '!$C$4:$AI$4407,'Tracking Sheet'!B1082,'Production '!$AG$4:$AG$4407)</f>
        <v>0</v>
      </c>
    </row>
    <row r="1083" spans="2:10" x14ac:dyDescent="0.3">
      <c r="B1083" s="277">
        <f>'Production '!C1086</f>
        <v>0</v>
      </c>
      <c r="C1083" s="76" t="e">
        <f ca="1">SUMIF('Production '!$C$4:$AI$4407,'Tracking Sheet'!B1083,'Production '!$M$4:$M$4407)</f>
        <v>#DIV/0!</v>
      </c>
      <c r="D1083" s="76" t="e">
        <f ca="1">SUMIF('Production '!$C$4:$AI$4407,'Tracking Sheet'!B1083,'Production '!$Q$4:$Q$4407)</f>
        <v>#DIV/0!</v>
      </c>
      <c r="E1083" s="76">
        <f ca="1">SUMIF('Production '!$C$4:$AI$4407,'Tracking Sheet'!B1083,'Production '!$S$4:$S$4407)</f>
        <v>-1268218.9828305368</v>
      </c>
      <c r="F1083" s="76">
        <f ca="1">SUMIF('Production '!$C$4:$AI$4407,'Tracking Sheet'!B1083,'Production '!$U$4:$U$4407)</f>
        <v>-10620.435600016917</v>
      </c>
      <c r="G1083" s="76" t="e">
        <f ca="1">SUMIF('Production '!$C$4:$AI$4407,'Tracking Sheet'!B1083,'Production '!$W$4:$W$4407)</f>
        <v>#DIV/0!</v>
      </c>
      <c r="H1083" s="76">
        <f ca="1">SUMIF('Production '!$C$4:$AI$4407,'Tracking Sheet'!B1083,'Production '!$F$4:$F$4407)</f>
        <v>3230621.3283604058</v>
      </c>
      <c r="I1083" s="76">
        <f ca="1">SUMIF('Production '!$C$4:$AI$4407,'Tracking Sheet'!B1083,'Production '!$V$4:$V$4407)</f>
        <v>-489.86487791182844</v>
      </c>
      <c r="J1083" s="76">
        <f ca="1">SUMIF('Production '!$C$4:$AI$4407,'Tracking Sheet'!B1083,'Production '!$AG$4:$AG$4407)</f>
        <v>0</v>
      </c>
    </row>
    <row r="1084" spans="2:10" x14ac:dyDescent="0.3">
      <c r="B1084" s="277" t="str">
        <f>'Production '!C1087</f>
        <v>46491 5th</v>
      </c>
      <c r="C1084" s="76">
        <f ca="1">SUMIF('Production '!$C$4:$AI$4407,'Tracking Sheet'!B1084,'Production '!$M$4:$M$4407)</f>
        <v>2091</v>
      </c>
      <c r="D1084" s="76">
        <f ca="1">SUMIF('Production '!$C$4:$AI$4407,'Tracking Sheet'!B1084,'Production '!$Q$4:$Q$4407)</f>
        <v>2058</v>
      </c>
      <c r="E1084" s="76">
        <f ca="1">SUMIF('Production '!$C$4:$AI$4407,'Tracking Sheet'!B1084,'Production '!$S$4:$S$4407)</f>
        <v>2055</v>
      </c>
      <c r="F1084" s="76">
        <f ca="1">SUMIF('Production '!$C$4:$AI$4407,'Tracking Sheet'!B1084,'Production '!$U$4:$U$4407)</f>
        <v>6</v>
      </c>
      <c r="G1084" s="76">
        <f ca="1">SUMIF('Production '!$C$4:$AI$4407,'Tracking Sheet'!B1084,'Production '!$W$4:$W$4407)</f>
        <v>2049</v>
      </c>
      <c r="H1084" s="76">
        <f ca="1">SUMIF('Production '!$C$4:$AI$4407,'Tracking Sheet'!B1084,'Production '!$F$4:$F$4407)</f>
        <v>2000</v>
      </c>
      <c r="I1084" s="76">
        <f ca="1">SUMIF('Production '!$C$4:$AI$4407,'Tracking Sheet'!B1084,'Production '!$V$4:$V$4407)</f>
        <v>0</v>
      </c>
      <c r="J1084" s="76">
        <f ca="1">SUMIF('Production '!$C$4:$AI$4407,'Tracking Sheet'!B1084,'Production '!$AG$4:$AG$4407)</f>
        <v>0</v>
      </c>
    </row>
    <row r="1085" spans="2:10" x14ac:dyDescent="0.3">
      <c r="B1085" s="277">
        <f>'Production '!C1088</f>
        <v>0</v>
      </c>
      <c r="C1085" s="76" t="e">
        <f ca="1">SUMIF('Production '!$C$4:$AI$4407,'Tracking Sheet'!B1085,'Production '!$M$4:$M$4407)</f>
        <v>#DIV/0!</v>
      </c>
      <c r="D1085" s="76" t="e">
        <f ca="1">SUMIF('Production '!$C$4:$AI$4407,'Tracking Sheet'!B1085,'Production '!$Q$4:$Q$4407)</f>
        <v>#DIV/0!</v>
      </c>
      <c r="E1085" s="76">
        <f ca="1">SUMIF('Production '!$C$4:$AI$4407,'Tracking Sheet'!B1085,'Production '!$S$4:$S$4407)</f>
        <v>-1268218.9828305368</v>
      </c>
      <c r="F1085" s="76">
        <f ca="1">SUMIF('Production '!$C$4:$AI$4407,'Tracking Sheet'!B1085,'Production '!$U$4:$U$4407)</f>
        <v>-10620.435600016917</v>
      </c>
      <c r="G1085" s="76" t="e">
        <f ca="1">SUMIF('Production '!$C$4:$AI$4407,'Tracking Sheet'!B1085,'Production '!$W$4:$W$4407)</f>
        <v>#DIV/0!</v>
      </c>
      <c r="H1085" s="76">
        <f ca="1">SUMIF('Production '!$C$4:$AI$4407,'Tracking Sheet'!B1085,'Production '!$F$4:$F$4407)</f>
        <v>3230621.3283604058</v>
      </c>
      <c r="I1085" s="76">
        <f ca="1">SUMIF('Production '!$C$4:$AI$4407,'Tracking Sheet'!B1085,'Production '!$V$4:$V$4407)</f>
        <v>-489.86487791182844</v>
      </c>
      <c r="J1085" s="76">
        <f ca="1">SUMIF('Production '!$C$4:$AI$4407,'Tracking Sheet'!B1085,'Production '!$AG$4:$AG$4407)</f>
        <v>0</v>
      </c>
    </row>
    <row r="1086" spans="2:10" x14ac:dyDescent="0.3">
      <c r="B1086" s="277" t="str">
        <f>'Production '!C1089</f>
        <v>43317 18th</v>
      </c>
      <c r="C1086" s="76">
        <f ca="1">SUMIF('Production '!$C$4:$AI$4407,'Tracking Sheet'!B1086,'Production '!$M$4:$M$4407)</f>
        <v>4148</v>
      </c>
      <c r="D1086" s="76">
        <f ca="1">SUMIF('Production '!$C$4:$AI$4407,'Tracking Sheet'!B1086,'Production '!$Q$4:$Q$4407)</f>
        <v>0</v>
      </c>
      <c r="E1086" s="76">
        <f ca="1">SUMIF('Production '!$C$4:$AI$4407,'Tracking Sheet'!B1086,'Production '!$S$4:$S$4407)</f>
        <v>0</v>
      </c>
      <c r="F1086" s="76">
        <f ca="1">SUMIF('Production '!$C$4:$AI$4407,'Tracking Sheet'!B1086,'Production '!$U$4:$U$4407)</f>
        <v>0</v>
      </c>
      <c r="G1086" s="76">
        <f ca="1">SUMIF('Production '!$C$4:$AI$4407,'Tracking Sheet'!B1086,'Production '!$W$4:$W$4407)</f>
        <v>4148</v>
      </c>
      <c r="H1086" s="76">
        <f ca="1">SUMIF('Production '!$C$4:$AI$4407,'Tracking Sheet'!B1086,'Production '!$F$4:$F$4407)</f>
        <v>4064</v>
      </c>
      <c r="I1086" s="76">
        <f ca="1">SUMIF('Production '!$C$4:$AI$4407,'Tracking Sheet'!B1086,'Production '!$V$4:$V$4407)</f>
        <v>0</v>
      </c>
      <c r="J1086" s="76">
        <f ca="1">SUMIF('Production '!$C$4:$AI$4407,'Tracking Sheet'!B1086,'Production '!$AG$4:$AG$4407)</f>
        <v>0</v>
      </c>
    </row>
    <row r="1087" spans="2:10" x14ac:dyDescent="0.3">
      <c r="B1087" s="277">
        <f>'Production '!C1090</f>
        <v>0</v>
      </c>
      <c r="C1087" s="76" t="e">
        <f ca="1">SUMIF('Production '!$C$4:$AI$4407,'Tracking Sheet'!B1087,'Production '!$M$4:$M$4407)</f>
        <v>#DIV/0!</v>
      </c>
      <c r="D1087" s="76" t="e">
        <f ca="1">SUMIF('Production '!$C$4:$AI$4407,'Tracking Sheet'!B1087,'Production '!$Q$4:$Q$4407)</f>
        <v>#DIV/0!</v>
      </c>
      <c r="E1087" s="76">
        <f ca="1">SUMIF('Production '!$C$4:$AI$4407,'Tracking Sheet'!B1087,'Production '!$S$4:$S$4407)</f>
        <v>-1268218.9828305368</v>
      </c>
      <c r="F1087" s="76">
        <f ca="1">SUMIF('Production '!$C$4:$AI$4407,'Tracking Sheet'!B1087,'Production '!$U$4:$U$4407)</f>
        <v>-10620.435600016917</v>
      </c>
      <c r="G1087" s="76" t="e">
        <f ca="1">SUMIF('Production '!$C$4:$AI$4407,'Tracking Sheet'!B1087,'Production '!$W$4:$W$4407)</f>
        <v>#DIV/0!</v>
      </c>
      <c r="H1087" s="76">
        <f ca="1">SUMIF('Production '!$C$4:$AI$4407,'Tracking Sheet'!B1087,'Production '!$F$4:$F$4407)</f>
        <v>3230621.3283604058</v>
      </c>
      <c r="I1087" s="76">
        <f ca="1">SUMIF('Production '!$C$4:$AI$4407,'Tracking Sheet'!B1087,'Production '!$V$4:$V$4407)</f>
        <v>-489.86487791182844</v>
      </c>
      <c r="J1087" s="76">
        <f ca="1">SUMIF('Production '!$C$4:$AI$4407,'Tracking Sheet'!B1087,'Production '!$AG$4:$AG$4407)</f>
        <v>0</v>
      </c>
    </row>
    <row r="1088" spans="2:10" x14ac:dyDescent="0.3">
      <c r="B1088" s="277">
        <f>'Production '!C1091</f>
        <v>48278</v>
      </c>
      <c r="C1088" s="76">
        <f ca="1">SUMIF('Production '!$C$4:$AI$4407,'Tracking Sheet'!B1088,'Production '!$M$4:$M$4407)</f>
        <v>0</v>
      </c>
      <c r="D1088" s="76">
        <f ca="1">SUMIF('Production '!$C$4:$AI$4407,'Tracking Sheet'!B1088,'Production '!$Q$4:$Q$4407)</f>
        <v>0</v>
      </c>
      <c r="E1088" s="76">
        <f ca="1">SUMIF('Production '!$C$4:$AI$4407,'Tracking Sheet'!B1088,'Production '!$S$4:$S$4407)</f>
        <v>0</v>
      </c>
      <c r="F1088" s="76">
        <f ca="1">SUMIF('Production '!$C$4:$AI$4407,'Tracking Sheet'!B1088,'Production '!$U$4:$U$4407)</f>
        <v>0</v>
      </c>
      <c r="G1088" s="76">
        <f ca="1">SUMIF('Production '!$C$4:$AI$4407,'Tracking Sheet'!B1088,'Production '!$W$4:$W$4407)</f>
        <v>0</v>
      </c>
      <c r="H1088" s="76">
        <f ca="1">SUMIF('Production '!$C$4:$AI$4407,'Tracking Sheet'!B1088,'Production '!$F$4:$F$4407)</f>
        <v>1210</v>
      </c>
      <c r="I1088" s="76">
        <f ca="1">SUMIF('Production '!$C$4:$AI$4407,'Tracking Sheet'!B1088,'Production '!$V$4:$V$4407)</f>
        <v>0</v>
      </c>
      <c r="J1088" s="76">
        <f ca="1">SUMIF('Production '!$C$4:$AI$4407,'Tracking Sheet'!B1088,'Production '!$AG$4:$AG$4407)</f>
        <v>-1210</v>
      </c>
    </row>
    <row r="1089" spans="2:10" x14ac:dyDescent="0.3">
      <c r="B1089" s="277">
        <f>'Production '!C1092</f>
        <v>0</v>
      </c>
      <c r="C1089" s="76" t="e">
        <f ca="1">SUMIF('Production '!$C$4:$AI$4407,'Tracking Sheet'!B1089,'Production '!$M$4:$M$4407)</f>
        <v>#DIV/0!</v>
      </c>
      <c r="D1089" s="76" t="e">
        <f ca="1">SUMIF('Production '!$C$4:$AI$4407,'Tracking Sheet'!B1089,'Production '!$Q$4:$Q$4407)</f>
        <v>#DIV/0!</v>
      </c>
      <c r="E1089" s="76">
        <f ca="1">SUMIF('Production '!$C$4:$AI$4407,'Tracking Sheet'!B1089,'Production '!$S$4:$S$4407)</f>
        <v>-1268218.9828305368</v>
      </c>
      <c r="F1089" s="76">
        <f ca="1">SUMIF('Production '!$C$4:$AI$4407,'Tracking Sheet'!B1089,'Production '!$U$4:$U$4407)</f>
        <v>-10620.435600016917</v>
      </c>
      <c r="G1089" s="76" t="e">
        <f ca="1">SUMIF('Production '!$C$4:$AI$4407,'Tracking Sheet'!B1089,'Production '!$W$4:$W$4407)</f>
        <v>#DIV/0!</v>
      </c>
      <c r="H1089" s="76">
        <f ca="1">SUMIF('Production '!$C$4:$AI$4407,'Tracking Sheet'!B1089,'Production '!$F$4:$F$4407)</f>
        <v>3230621.3283604058</v>
      </c>
      <c r="I1089" s="76">
        <f ca="1">SUMIF('Production '!$C$4:$AI$4407,'Tracking Sheet'!B1089,'Production '!$V$4:$V$4407)</f>
        <v>-489.86487791182844</v>
      </c>
      <c r="J1089" s="76">
        <f ca="1">SUMIF('Production '!$C$4:$AI$4407,'Tracking Sheet'!B1089,'Production '!$AG$4:$AG$4407)</f>
        <v>0</v>
      </c>
    </row>
    <row r="1090" spans="2:10" x14ac:dyDescent="0.3">
      <c r="B1090" s="277">
        <f>'Production '!C1093</f>
        <v>48276</v>
      </c>
      <c r="C1090" s="76">
        <f ca="1">SUMIF('Production '!$C$4:$AI$4407,'Tracking Sheet'!B1090,'Production '!$M$4:$M$4407)</f>
        <v>0</v>
      </c>
      <c r="D1090" s="76">
        <f ca="1">SUMIF('Production '!$C$4:$AI$4407,'Tracking Sheet'!B1090,'Production '!$Q$4:$Q$4407)</f>
        <v>0</v>
      </c>
      <c r="E1090" s="76">
        <f ca="1">SUMIF('Production '!$C$4:$AI$4407,'Tracking Sheet'!B1090,'Production '!$S$4:$S$4407)</f>
        <v>0</v>
      </c>
      <c r="F1090" s="76">
        <f ca="1">SUMIF('Production '!$C$4:$AI$4407,'Tracking Sheet'!B1090,'Production '!$U$4:$U$4407)</f>
        <v>0</v>
      </c>
      <c r="G1090" s="76">
        <f ca="1">SUMIF('Production '!$C$4:$AI$4407,'Tracking Sheet'!B1090,'Production '!$W$4:$W$4407)</f>
        <v>0</v>
      </c>
      <c r="H1090" s="76">
        <f ca="1">SUMIF('Production '!$C$4:$AI$4407,'Tracking Sheet'!B1090,'Production '!$F$4:$F$4407)</f>
        <v>880</v>
      </c>
      <c r="I1090" s="76">
        <f ca="1">SUMIF('Production '!$C$4:$AI$4407,'Tracking Sheet'!B1090,'Production '!$V$4:$V$4407)</f>
        <v>0</v>
      </c>
      <c r="J1090" s="76">
        <f ca="1">SUMIF('Production '!$C$4:$AI$4407,'Tracking Sheet'!B1090,'Production '!$AG$4:$AG$4407)</f>
        <v>-880</v>
      </c>
    </row>
    <row r="1091" spans="2:10" x14ac:dyDescent="0.3">
      <c r="B1091" s="277">
        <f>'Production '!C1094</f>
        <v>0</v>
      </c>
      <c r="C1091" s="76" t="e">
        <f ca="1">SUMIF('Production '!$C$4:$AI$4407,'Tracking Sheet'!B1091,'Production '!$M$4:$M$4407)</f>
        <v>#DIV/0!</v>
      </c>
      <c r="D1091" s="76" t="e">
        <f ca="1">SUMIF('Production '!$C$4:$AI$4407,'Tracking Sheet'!B1091,'Production '!$Q$4:$Q$4407)</f>
        <v>#DIV/0!</v>
      </c>
      <c r="E1091" s="76">
        <f ca="1">SUMIF('Production '!$C$4:$AI$4407,'Tracking Sheet'!B1091,'Production '!$S$4:$S$4407)</f>
        <v>-1268218.9828305368</v>
      </c>
      <c r="F1091" s="76">
        <f ca="1">SUMIF('Production '!$C$4:$AI$4407,'Tracking Sheet'!B1091,'Production '!$U$4:$U$4407)</f>
        <v>-10620.435600016917</v>
      </c>
      <c r="G1091" s="76" t="e">
        <f ca="1">SUMIF('Production '!$C$4:$AI$4407,'Tracking Sheet'!B1091,'Production '!$W$4:$W$4407)</f>
        <v>#DIV/0!</v>
      </c>
      <c r="H1091" s="76">
        <f ca="1">SUMIF('Production '!$C$4:$AI$4407,'Tracking Sheet'!B1091,'Production '!$F$4:$F$4407)</f>
        <v>3230621.3283604058</v>
      </c>
      <c r="I1091" s="76">
        <f ca="1">SUMIF('Production '!$C$4:$AI$4407,'Tracking Sheet'!B1091,'Production '!$V$4:$V$4407)</f>
        <v>-489.86487791182844</v>
      </c>
      <c r="J1091" s="76">
        <f ca="1">SUMIF('Production '!$C$4:$AI$4407,'Tracking Sheet'!B1091,'Production '!$AG$4:$AG$4407)</f>
        <v>0</v>
      </c>
    </row>
    <row r="1092" spans="2:10" x14ac:dyDescent="0.3">
      <c r="B1092" s="277">
        <f>'Production '!C1095</f>
        <v>48050</v>
      </c>
      <c r="C1092" s="76">
        <f ca="1">SUMIF('Production '!$C$4:$AI$4407,'Tracking Sheet'!B1092,'Production '!$M$4:$M$4407)</f>
        <v>1044</v>
      </c>
      <c r="D1092" s="76">
        <f ca="1">SUMIF('Production '!$C$4:$AI$4407,'Tracking Sheet'!B1092,'Production '!$Q$4:$Q$4407)</f>
        <v>1044</v>
      </c>
      <c r="E1092" s="76">
        <f ca="1">SUMIF('Production '!$C$4:$AI$4407,'Tracking Sheet'!B1092,'Production '!$S$4:$S$4407)</f>
        <v>1044</v>
      </c>
      <c r="F1092" s="76">
        <f ca="1">SUMIF('Production '!$C$4:$AI$4407,'Tracking Sheet'!B1092,'Production '!$U$4:$U$4407)</f>
        <v>4</v>
      </c>
      <c r="G1092" s="76">
        <f ca="1">SUMIF('Production '!$C$4:$AI$4407,'Tracking Sheet'!B1092,'Production '!$W$4:$W$4407)</f>
        <v>1040</v>
      </c>
      <c r="H1092" s="76">
        <f ca="1">SUMIF('Production '!$C$4:$AI$4407,'Tracking Sheet'!B1092,'Production '!$F$4:$F$4407)</f>
        <v>1005</v>
      </c>
      <c r="I1092" s="76">
        <f ca="1">SUMIF('Production '!$C$4:$AI$4407,'Tracking Sheet'!B1092,'Production '!$V$4:$V$4407)</f>
        <v>0</v>
      </c>
      <c r="J1092" s="76">
        <f ca="1">SUMIF('Production '!$C$4:$AI$4407,'Tracking Sheet'!B1092,'Production '!$AG$4:$AG$4407)</f>
        <v>0</v>
      </c>
    </row>
    <row r="1093" spans="2:10" x14ac:dyDescent="0.3">
      <c r="B1093" s="277">
        <f>'Production '!C1096</f>
        <v>0</v>
      </c>
      <c r="C1093" s="76" t="e">
        <f ca="1">SUMIF('Production '!$C$4:$AI$4407,'Tracking Sheet'!B1093,'Production '!$M$4:$M$4407)</f>
        <v>#DIV/0!</v>
      </c>
      <c r="D1093" s="76" t="e">
        <f ca="1">SUMIF('Production '!$C$4:$AI$4407,'Tracking Sheet'!B1093,'Production '!$Q$4:$Q$4407)</f>
        <v>#DIV/0!</v>
      </c>
      <c r="E1093" s="76">
        <f ca="1">SUMIF('Production '!$C$4:$AI$4407,'Tracking Sheet'!B1093,'Production '!$S$4:$S$4407)</f>
        <v>-1268218.9828305368</v>
      </c>
      <c r="F1093" s="76">
        <f ca="1">SUMIF('Production '!$C$4:$AI$4407,'Tracking Sheet'!B1093,'Production '!$U$4:$U$4407)</f>
        <v>-10620.435600016917</v>
      </c>
      <c r="G1093" s="76" t="e">
        <f ca="1">SUMIF('Production '!$C$4:$AI$4407,'Tracking Sheet'!B1093,'Production '!$W$4:$W$4407)</f>
        <v>#DIV/0!</v>
      </c>
      <c r="H1093" s="76">
        <f ca="1">SUMIF('Production '!$C$4:$AI$4407,'Tracking Sheet'!B1093,'Production '!$F$4:$F$4407)</f>
        <v>3230621.3283604058</v>
      </c>
      <c r="I1093" s="76">
        <f ca="1">SUMIF('Production '!$C$4:$AI$4407,'Tracking Sheet'!B1093,'Production '!$V$4:$V$4407)</f>
        <v>-489.86487791182844</v>
      </c>
      <c r="J1093" s="76">
        <f ca="1">SUMIF('Production '!$C$4:$AI$4407,'Tracking Sheet'!B1093,'Production '!$AG$4:$AG$4407)</f>
        <v>0</v>
      </c>
    </row>
    <row r="1094" spans="2:10" x14ac:dyDescent="0.3">
      <c r="B1094" s="277">
        <f>'Production '!C1097</f>
        <v>48275</v>
      </c>
      <c r="C1094" s="76">
        <f ca="1">SUMIF('Production '!$C$4:$AI$4407,'Tracking Sheet'!B1094,'Production '!$M$4:$M$4407)</f>
        <v>846</v>
      </c>
      <c r="D1094" s="76">
        <f ca="1">SUMIF('Production '!$C$4:$AI$4407,'Tracking Sheet'!B1094,'Production '!$Q$4:$Q$4407)</f>
        <v>0</v>
      </c>
      <c r="E1094" s="76">
        <f ca="1">SUMIF('Production '!$C$4:$AI$4407,'Tracking Sheet'!B1094,'Production '!$S$4:$S$4407)</f>
        <v>0</v>
      </c>
      <c r="F1094" s="76">
        <f ca="1">SUMIF('Production '!$C$4:$AI$4407,'Tracking Sheet'!B1094,'Production '!$U$4:$U$4407)</f>
        <v>846</v>
      </c>
      <c r="G1094" s="76">
        <f ca="1">SUMIF('Production '!$C$4:$AI$4407,'Tracking Sheet'!B1094,'Production '!$W$4:$W$4407)</f>
        <v>0</v>
      </c>
      <c r="H1094" s="76">
        <f ca="1">SUMIF('Production '!$C$4:$AI$4407,'Tracking Sheet'!B1094,'Production '!$F$4:$F$4407)</f>
        <v>813</v>
      </c>
      <c r="I1094" s="76">
        <f ca="1">SUMIF('Production '!$C$4:$AI$4407,'Tracking Sheet'!B1094,'Production '!$V$4:$V$4407)</f>
        <v>0</v>
      </c>
      <c r="J1094" s="76">
        <f ca="1">SUMIF('Production '!$C$4:$AI$4407,'Tracking Sheet'!B1094,'Production '!$AG$4:$AG$4407)</f>
        <v>0</v>
      </c>
    </row>
    <row r="1095" spans="2:10" x14ac:dyDescent="0.3">
      <c r="B1095" s="277">
        <f>'Production '!C1098</f>
        <v>0</v>
      </c>
      <c r="C1095" s="76" t="e">
        <f ca="1">SUMIF('Production '!$C$4:$AI$4407,'Tracking Sheet'!B1095,'Production '!$M$4:$M$4407)</f>
        <v>#DIV/0!</v>
      </c>
      <c r="D1095" s="76" t="e">
        <f ca="1">SUMIF('Production '!$C$4:$AI$4407,'Tracking Sheet'!B1095,'Production '!$Q$4:$Q$4407)</f>
        <v>#DIV/0!</v>
      </c>
      <c r="E1095" s="76">
        <f ca="1">SUMIF('Production '!$C$4:$AI$4407,'Tracking Sheet'!B1095,'Production '!$S$4:$S$4407)</f>
        <v>-1268218.9828305368</v>
      </c>
      <c r="F1095" s="76">
        <f ca="1">SUMIF('Production '!$C$4:$AI$4407,'Tracking Sheet'!B1095,'Production '!$U$4:$U$4407)</f>
        <v>-10620.435600016917</v>
      </c>
      <c r="G1095" s="76" t="e">
        <f ca="1">SUMIF('Production '!$C$4:$AI$4407,'Tracking Sheet'!B1095,'Production '!$W$4:$W$4407)</f>
        <v>#DIV/0!</v>
      </c>
      <c r="H1095" s="76">
        <f ca="1">SUMIF('Production '!$C$4:$AI$4407,'Tracking Sheet'!B1095,'Production '!$F$4:$F$4407)</f>
        <v>3230621.3283604058</v>
      </c>
      <c r="I1095" s="76">
        <f ca="1">SUMIF('Production '!$C$4:$AI$4407,'Tracking Sheet'!B1095,'Production '!$V$4:$V$4407)</f>
        <v>-489.86487791182844</v>
      </c>
      <c r="J1095" s="76">
        <f ca="1">SUMIF('Production '!$C$4:$AI$4407,'Tracking Sheet'!B1095,'Production '!$AG$4:$AG$4407)</f>
        <v>0</v>
      </c>
    </row>
    <row r="1096" spans="2:10" x14ac:dyDescent="0.3">
      <c r="B1096" s="277">
        <f>'Production '!C1099</f>
        <v>48071</v>
      </c>
      <c r="C1096" s="76">
        <f ca="1">SUMIF('Production '!$C$4:$AI$4407,'Tracking Sheet'!B1096,'Production '!$M$4:$M$4407)</f>
        <v>1161</v>
      </c>
      <c r="D1096" s="76">
        <f ca="1">SUMIF('Production '!$C$4:$AI$4407,'Tracking Sheet'!B1096,'Production '!$Q$4:$Q$4407)</f>
        <v>1161</v>
      </c>
      <c r="E1096" s="76">
        <f ca="1">SUMIF('Production '!$C$4:$AI$4407,'Tracking Sheet'!B1096,'Production '!$S$4:$S$4407)</f>
        <v>1161</v>
      </c>
      <c r="F1096" s="76">
        <f ca="1">SUMIF('Production '!$C$4:$AI$4407,'Tracking Sheet'!B1096,'Production '!$U$4:$U$4407)</f>
        <v>2</v>
      </c>
      <c r="G1096" s="76">
        <f ca="1">SUMIF('Production '!$C$4:$AI$4407,'Tracking Sheet'!B1096,'Production '!$W$4:$W$4407)</f>
        <v>1159</v>
      </c>
      <c r="H1096" s="76">
        <f ca="1">SUMIF('Production '!$C$4:$AI$4407,'Tracking Sheet'!B1096,'Production '!$F$4:$F$4407)</f>
        <v>1134</v>
      </c>
      <c r="I1096" s="76">
        <f ca="1">SUMIF('Production '!$C$4:$AI$4407,'Tracking Sheet'!B1096,'Production '!$V$4:$V$4407)</f>
        <v>0</v>
      </c>
      <c r="J1096" s="76">
        <f ca="1">SUMIF('Production '!$C$4:$AI$4407,'Tracking Sheet'!B1096,'Production '!$AG$4:$AG$4407)</f>
        <v>0</v>
      </c>
    </row>
    <row r="1097" spans="2:10" x14ac:dyDescent="0.3">
      <c r="B1097" s="277">
        <f>'Production '!C1100</f>
        <v>0</v>
      </c>
      <c r="C1097" s="76" t="e">
        <f ca="1">SUMIF('Production '!$C$4:$AI$4407,'Tracking Sheet'!B1097,'Production '!$M$4:$M$4407)</f>
        <v>#DIV/0!</v>
      </c>
      <c r="D1097" s="76" t="e">
        <f ca="1">SUMIF('Production '!$C$4:$AI$4407,'Tracking Sheet'!B1097,'Production '!$Q$4:$Q$4407)</f>
        <v>#DIV/0!</v>
      </c>
      <c r="E1097" s="76">
        <f ca="1">SUMIF('Production '!$C$4:$AI$4407,'Tracking Sheet'!B1097,'Production '!$S$4:$S$4407)</f>
        <v>-1268218.9828305368</v>
      </c>
      <c r="F1097" s="76">
        <f ca="1">SUMIF('Production '!$C$4:$AI$4407,'Tracking Sheet'!B1097,'Production '!$U$4:$U$4407)</f>
        <v>-10620.435600016917</v>
      </c>
      <c r="G1097" s="76" t="e">
        <f ca="1">SUMIF('Production '!$C$4:$AI$4407,'Tracking Sheet'!B1097,'Production '!$W$4:$W$4407)</f>
        <v>#DIV/0!</v>
      </c>
      <c r="H1097" s="76">
        <f ca="1">SUMIF('Production '!$C$4:$AI$4407,'Tracking Sheet'!B1097,'Production '!$F$4:$F$4407)</f>
        <v>3230621.3283604058</v>
      </c>
      <c r="I1097" s="76">
        <f ca="1">SUMIF('Production '!$C$4:$AI$4407,'Tracking Sheet'!B1097,'Production '!$V$4:$V$4407)</f>
        <v>-489.86487791182844</v>
      </c>
      <c r="J1097" s="76">
        <f ca="1">SUMIF('Production '!$C$4:$AI$4407,'Tracking Sheet'!B1097,'Production '!$AG$4:$AG$4407)</f>
        <v>0</v>
      </c>
    </row>
    <row r="1098" spans="2:10" x14ac:dyDescent="0.3">
      <c r="B1098" s="277">
        <f>'Production '!C1101</f>
        <v>48054</v>
      </c>
      <c r="C1098" s="76">
        <f ca="1">SUMIF('Production '!$C$4:$AI$4407,'Tracking Sheet'!B1098,'Production '!$M$4:$M$4407)</f>
        <v>1653</v>
      </c>
      <c r="D1098" s="76">
        <f ca="1">SUMIF('Production '!$C$4:$AI$4407,'Tracking Sheet'!B1098,'Production '!$Q$4:$Q$4407)</f>
        <v>1653</v>
      </c>
      <c r="E1098" s="76">
        <f ca="1">SUMIF('Production '!$C$4:$AI$4407,'Tracking Sheet'!B1098,'Production '!$S$4:$S$4407)</f>
        <v>1642</v>
      </c>
      <c r="F1098" s="76">
        <f ca="1">SUMIF('Production '!$C$4:$AI$4407,'Tracking Sheet'!B1098,'Production '!$U$4:$U$4407)</f>
        <v>0</v>
      </c>
      <c r="G1098" s="76">
        <f ca="1">SUMIF('Production '!$C$4:$AI$4407,'Tracking Sheet'!B1098,'Production '!$W$4:$W$4407)</f>
        <v>1642</v>
      </c>
      <c r="H1098" s="76">
        <f ca="1">SUMIF('Production '!$C$4:$AI$4407,'Tracking Sheet'!B1098,'Production '!$F$4:$F$4407)</f>
        <v>1929</v>
      </c>
      <c r="I1098" s="76">
        <f ca="1">SUMIF('Production '!$C$4:$AI$4407,'Tracking Sheet'!B1098,'Production '!$V$4:$V$4407)</f>
        <v>0</v>
      </c>
      <c r="J1098" s="76">
        <f ca="1">SUMIF('Production '!$C$4:$AI$4407,'Tracking Sheet'!B1098,'Production '!$AG$4:$AG$4407)</f>
        <v>-276</v>
      </c>
    </row>
    <row r="1099" spans="2:10" x14ac:dyDescent="0.3">
      <c r="B1099" s="277">
        <f>'Production '!C1102</f>
        <v>0</v>
      </c>
      <c r="C1099" s="76" t="e">
        <f ca="1">SUMIF('Production '!$C$4:$AI$4407,'Tracking Sheet'!B1099,'Production '!$M$4:$M$4407)</f>
        <v>#DIV/0!</v>
      </c>
      <c r="D1099" s="76" t="e">
        <f ca="1">SUMIF('Production '!$C$4:$AI$4407,'Tracking Sheet'!B1099,'Production '!$Q$4:$Q$4407)</f>
        <v>#DIV/0!</v>
      </c>
      <c r="E1099" s="76">
        <f ca="1">SUMIF('Production '!$C$4:$AI$4407,'Tracking Sheet'!B1099,'Production '!$S$4:$S$4407)</f>
        <v>-1268218.9828305368</v>
      </c>
      <c r="F1099" s="76">
        <f ca="1">SUMIF('Production '!$C$4:$AI$4407,'Tracking Sheet'!B1099,'Production '!$U$4:$U$4407)</f>
        <v>-10620.435600016917</v>
      </c>
      <c r="G1099" s="76" t="e">
        <f ca="1">SUMIF('Production '!$C$4:$AI$4407,'Tracking Sheet'!B1099,'Production '!$W$4:$W$4407)</f>
        <v>#DIV/0!</v>
      </c>
      <c r="H1099" s="76">
        <f ca="1">SUMIF('Production '!$C$4:$AI$4407,'Tracking Sheet'!B1099,'Production '!$F$4:$F$4407)</f>
        <v>3230621.3283604058</v>
      </c>
      <c r="I1099" s="76">
        <f ca="1">SUMIF('Production '!$C$4:$AI$4407,'Tracking Sheet'!B1099,'Production '!$V$4:$V$4407)</f>
        <v>-489.86487791182844</v>
      </c>
      <c r="J1099" s="76">
        <f ca="1">SUMIF('Production '!$C$4:$AI$4407,'Tracking Sheet'!B1099,'Production '!$AG$4:$AG$4407)</f>
        <v>0</v>
      </c>
    </row>
    <row r="1100" spans="2:10" x14ac:dyDescent="0.3">
      <c r="B1100" s="277">
        <f>'Production '!C1103</f>
        <v>47982</v>
      </c>
      <c r="C1100" s="76">
        <f ca="1">SUMIF('Production '!$C$4:$AI$4407,'Tracking Sheet'!B1100,'Production '!$M$4:$M$4407)</f>
        <v>1193</v>
      </c>
      <c r="D1100" s="76">
        <f ca="1">SUMIF('Production '!$C$4:$AI$4407,'Tracking Sheet'!B1100,'Production '!$Q$4:$Q$4407)</f>
        <v>1193</v>
      </c>
      <c r="E1100" s="76">
        <f ca="1">SUMIF('Production '!$C$4:$AI$4407,'Tracking Sheet'!B1100,'Production '!$S$4:$S$4407)</f>
        <v>1193</v>
      </c>
      <c r="F1100" s="76">
        <f ca="1">SUMIF('Production '!$C$4:$AI$4407,'Tracking Sheet'!B1100,'Production '!$U$4:$U$4407)</f>
        <v>29</v>
      </c>
      <c r="G1100" s="76">
        <f ca="1">SUMIF('Production '!$C$4:$AI$4407,'Tracking Sheet'!B1100,'Production '!$W$4:$W$4407)</f>
        <v>1164</v>
      </c>
      <c r="H1100" s="76">
        <f ca="1">SUMIF('Production '!$C$4:$AI$4407,'Tracking Sheet'!B1100,'Production '!$F$4:$F$4407)</f>
        <v>1125</v>
      </c>
      <c r="I1100" s="76">
        <f ca="1">SUMIF('Production '!$C$4:$AI$4407,'Tracking Sheet'!B1100,'Production '!$V$4:$V$4407)</f>
        <v>0</v>
      </c>
      <c r="J1100" s="76">
        <f ca="1">SUMIF('Production '!$C$4:$AI$4407,'Tracking Sheet'!B1100,'Production '!$AG$4:$AG$4407)</f>
        <v>0</v>
      </c>
    </row>
    <row r="1101" spans="2:10" x14ac:dyDescent="0.3">
      <c r="B1101" s="277">
        <f>'Production '!C1104</f>
        <v>0</v>
      </c>
      <c r="C1101" s="76" t="e">
        <f ca="1">SUMIF('Production '!$C$4:$AI$4407,'Tracking Sheet'!B1101,'Production '!$M$4:$M$4407)</f>
        <v>#DIV/0!</v>
      </c>
      <c r="D1101" s="76" t="e">
        <f ca="1">SUMIF('Production '!$C$4:$AI$4407,'Tracking Sheet'!B1101,'Production '!$Q$4:$Q$4407)</f>
        <v>#DIV/0!</v>
      </c>
      <c r="E1101" s="76">
        <f ca="1">SUMIF('Production '!$C$4:$AI$4407,'Tracking Sheet'!B1101,'Production '!$S$4:$S$4407)</f>
        <v>-1268218.9828305368</v>
      </c>
      <c r="F1101" s="76">
        <f ca="1">SUMIF('Production '!$C$4:$AI$4407,'Tracking Sheet'!B1101,'Production '!$U$4:$U$4407)</f>
        <v>-10620.435600016917</v>
      </c>
      <c r="G1101" s="76" t="e">
        <f ca="1">SUMIF('Production '!$C$4:$AI$4407,'Tracking Sheet'!B1101,'Production '!$W$4:$W$4407)</f>
        <v>#DIV/0!</v>
      </c>
      <c r="H1101" s="76">
        <f ca="1">SUMIF('Production '!$C$4:$AI$4407,'Tracking Sheet'!B1101,'Production '!$F$4:$F$4407)</f>
        <v>3230621.3283604058</v>
      </c>
      <c r="I1101" s="76">
        <f ca="1">SUMIF('Production '!$C$4:$AI$4407,'Tracking Sheet'!B1101,'Production '!$V$4:$V$4407)</f>
        <v>-489.86487791182844</v>
      </c>
      <c r="J1101" s="76">
        <f ca="1">SUMIF('Production '!$C$4:$AI$4407,'Tracking Sheet'!B1101,'Production '!$AG$4:$AG$4407)</f>
        <v>0</v>
      </c>
    </row>
    <row r="1102" spans="2:10" x14ac:dyDescent="0.3">
      <c r="B1102" s="277">
        <f>'Production '!C1105</f>
        <v>47984</v>
      </c>
      <c r="C1102" s="76">
        <f ca="1">SUMIF('Production '!$C$4:$AI$4407,'Tracking Sheet'!B1102,'Production '!$M$4:$M$4407)</f>
        <v>1230</v>
      </c>
      <c r="D1102" s="76">
        <f ca="1">SUMIF('Production '!$C$4:$AI$4407,'Tracking Sheet'!B1102,'Production '!$Q$4:$Q$4407)</f>
        <v>0</v>
      </c>
      <c r="E1102" s="76">
        <f ca="1">SUMIF('Production '!$C$4:$AI$4407,'Tracking Sheet'!B1102,'Production '!$S$4:$S$4407)</f>
        <v>0</v>
      </c>
      <c r="F1102" s="76">
        <f ca="1">SUMIF('Production '!$C$4:$AI$4407,'Tracking Sheet'!B1102,'Production '!$U$4:$U$4407)</f>
        <v>6</v>
      </c>
      <c r="G1102" s="76">
        <f ca="1">SUMIF('Production '!$C$4:$AI$4407,'Tracking Sheet'!B1102,'Production '!$W$4:$W$4407)</f>
        <v>1224</v>
      </c>
      <c r="H1102" s="76">
        <f ca="1">SUMIF('Production '!$C$4:$AI$4407,'Tracking Sheet'!B1102,'Production '!$F$4:$F$4407)</f>
        <v>1200</v>
      </c>
      <c r="I1102" s="76">
        <f ca="1">SUMIF('Production '!$C$4:$AI$4407,'Tracking Sheet'!B1102,'Production '!$V$4:$V$4407)</f>
        <v>0</v>
      </c>
      <c r="J1102" s="76">
        <f ca="1">SUMIF('Production '!$C$4:$AI$4407,'Tracking Sheet'!B1102,'Production '!$AG$4:$AG$4407)</f>
        <v>0</v>
      </c>
    </row>
    <row r="1103" spans="2:10" x14ac:dyDescent="0.3">
      <c r="B1103" s="277">
        <f>'Production '!C1106</f>
        <v>0</v>
      </c>
      <c r="C1103" s="76" t="e">
        <f ca="1">SUMIF('Production '!$C$4:$AI$4407,'Tracking Sheet'!B1103,'Production '!$M$4:$M$4407)</f>
        <v>#DIV/0!</v>
      </c>
      <c r="D1103" s="76" t="e">
        <f ca="1">SUMIF('Production '!$C$4:$AI$4407,'Tracking Sheet'!B1103,'Production '!$Q$4:$Q$4407)</f>
        <v>#DIV/0!</v>
      </c>
      <c r="E1103" s="76">
        <f ca="1">SUMIF('Production '!$C$4:$AI$4407,'Tracking Sheet'!B1103,'Production '!$S$4:$S$4407)</f>
        <v>-1268218.9828305368</v>
      </c>
      <c r="F1103" s="76">
        <f ca="1">SUMIF('Production '!$C$4:$AI$4407,'Tracking Sheet'!B1103,'Production '!$U$4:$U$4407)</f>
        <v>-10620.435600016917</v>
      </c>
      <c r="G1103" s="76" t="e">
        <f ca="1">SUMIF('Production '!$C$4:$AI$4407,'Tracking Sheet'!B1103,'Production '!$W$4:$W$4407)</f>
        <v>#DIV/0!</v>
      </c>
      <c r="H1103" s="76">
        <f ca="1">SUMIF('Production '!$C$4:$AI$4407,'Tracking Sheet'!B1103,'Production '!$F$4:$F$4407)</f>
        <v>3230621.3283604058</v>
      </c>
      <c r="I1103" s="76">
        <f ca="1">SUMIF('Production '!$C$4:$AI$4407,'Tracking Sheet'!B1103,'Production '!$V$4:$V$4407)</f>
        <v>-489.86487791182844</v>
      </c>
      <c r="J1103" s="76">
        <f ca="1">SUMIF('Production '!$C$4:$AI$4407,'Tracking Sheet'!B1103,'Production '!$AG$4:$AG$4407)</f>
        <v>0</v>
      </c>
    </row>
    <row r="1104" spans="2:10" x14ac:dyDescent="0.3">
      <c r="B1104" s="277">
        <f>'Production '!C1107</f>
        <v>47995</v>
      </c>
      <c r="C1104" s="76">
        <f ca="1">SUMIF('Production '!$C$4:$AI$4407,'Tracking Sheet'!B1104,'Production '!$M$4:$M$4407)</f>
        <v>852</v>
      </c>
      <c r="D1104" s="76">
        <f ca="1">SUMIF('Production '!$C$4:$AI$4407,'Tracking Sheet'!B1104,'Production '!$Q$4:$Q$4407)</f>
        <v>0</v>
      </c>
      <c r="E1104" s="76">
        <f ca="1">SUMIF('Production '!$C$4:$AI$4407,'Tracking Sheet'!B1104,'Production '!$S$4:$S$4407)</f>
        <v>0</v>
      </c>
      <c r="F1104" s="76">
        <f ca="1">SUMIF('Production '!$C$4:$AI$4407,'Tracking Sheet'!B1104,'Production '!$U$4:$U$4407)</f>
        <v>0</v>
      </c>
      <c r="G1104" s="76">
        <f ca="1">SUMIF('Production '!$C$4:$AI$4407,'Tracking Sheet'!B1104,'Production '!$W$4:$W$4407)</f>
        <v>852</v>
      </c>
      <c r="H1104" s="76">
        <f ca="1">SUMIF('Production '!$C$4:$AI$4407,'Tracking Sheet'!B1104,'Production '!$F$4:$F$4407)</f>
        <v>810</v>
      </c>
      <c r="I1104" s="76">
        <f ca="1">SUMIF('Production '!$C$4:$AI$4407,'Tracking Sheet'!B1104,'Production '!$V$4:$V$4407)</f>
        <v>0</v>
      </c>
      <c r="J1104" s="76">
        <f ca="1">SUMIF('Production '!$C$4:$AI$4407,'Tracking Sheet'!B1104,'Production '!$AG$4:$AG$4407)</f>
        <v>0</v>
      </c>
    </row>
    <row r="1105" spans="2:10" x14ac:dyDescent="0.3">
      <c r="B1105" s="277">
        <f>'Production '!C1108</f>
        <v>0</v>
      </c>
      <c r="C1105" s="76" t="e">
        <f ca="1">SUMIF('Production '!$C$4:$AI$4407,'Tracking Sheet'!B1105,'Production '!$M$4:$M$4407)</f>
        <v>#DIV/0!</v>
      </c>
      <c r="D1105" s="76" t="e">
        <f ca="1">SUMIF('Production '!$C$4:$AI$4407,'Tracking Sheet'!B1105,'Production '!$Q$4:$Q$4407)</f>
        <v>#DIV/0!</v>
      </c>
      <c r="E1105" s="76">
        <f ca="1">SUMIF('Production '!$C$4:$AI$4407,'Tracking Sheet'!B1105,'Production '!$S$4:$S$4407)</f>
        <v>-1268218.9828305368</v>
      </c>
      <c r="F1105" s="76">
        <f ca="1">SUMIF('Production '!$C$4:$AI$4407,'Tracking Sheet'!B1105,'Production '!$U$4:$U$4407)</f>
        <v>-10620.435600016917</v>
      </c>
      <c r="G1105" s="76" t="e">
        <f ca="1">SUMIF('Production '!$C$4:$AI$4407,'Tracking Sheet'!B1105,'Production '!$W$4:$W$4407)</f>
        <v>#DIV/0!</v>
      </c>
      <c r="H1105" s="76">
        <f ca="1">SUMIF('Production '!$C$4:$AI$4407,'Tracking Sheet'!B1105,'Production '!$F$4:$F$4407)</f>
        <v>3230621.3283604058</v>
      </c>
      <c r="I1105" s="76">
        <f ca="1">SUMIF('Production '!$C$4:$AI$4407,'Tracking Sheet'!B1105,'Production '!$V$4:$V$4407)</f>
        <v>-489.86487791182844</v>
      </c>
      <c r="J1105" s="76">
        <f ca="1">SUMIF('Production '!$C$4:$AI$4407,'Tracking Sheet'!B1105,'Production '!$AG$4:$AG$4407)</f>
        <v>0</v>
      </c>
    </row>
    <row r="1106" spans="2:10" x14ac:dyDescent="0.3">
      <c r="B1106" s="277">
        <f>'Production '!C1109</f>
        <v>48653</v>
      </c>
      <c r="C1106" s="76">
        <f ca="1">SUMIF('Production '!$C$4:$AI$4407,'Tracking Sheet'!B1106,'Production '!$M$4:$M$4407)</f>
        <v>0</v>
      </c>
      <c r="D1106" s="76">
        <f ca="1">SUMIF('Production '!$C$4:$AI$4407,'Tracking Sheet'!B1106,'Production '!$Q$4:$Q$4407)</f>
        <v>0</v>
      </c>
      <c r="E1106" s="76">
        <f ca="1">SUMIF('Production '!$C$4:$AI$4407,'Tracking Sheet'!B1106,'Production '!$S$4:$S$4407)</f>
        <v>0</v>
      </c>
      <c r="F1106" s="76">
        <f ca="1">SUMIF('Production '!$C$4:$AI$4407,'Tracking Sheet'!B1106,'Production '!$U$4:$U$4407)</f>
        <v>0</v>
      </c>
      <c r="G1106" s="76">
        <f ca="1">SUMIF('Production '!$C$4:$AI$4407,'Tracking Sheet'!B1106,'Production '!$W$4:$W$4407)</f>
        <v>0</v>
      </c>
      <c r="H1106" s="76">
        <f ca="1">SUMIF('Production '!$C$4:$AI$4407,'Tracking Sheet'!B1106,'Production '!$F$4:$F$4407)</f>
        <v>3753</v>
      </c>
      <c r="I1106" s="76">
        <f ca="1">SUMIF('Production '!$C$4:$AI$4407,'Tracking Sheet'!B1106,'Production '!$V$4:$V$4407)</f>
        <v>0</v>
      </c>
      <c r="J1106" s="76">
        <f ca="1">SUMIF('Production '!$C$4:$AI$4407,'Tracking Sheet'!B1106,'Production '!$AG$4:$AG$4407)</f>
        <v>-3753</v>
      </c>
    </row>
    <row r="1107" spans="2:10" x14ac:dyDescent="0.3">
      <c r="B1107" s="277">
        <f>'Production '!C1110</f>
        <v>0</v>
      </c>
      <c r="C1107" s="76" t="e">
        <f ca="1">SUMIF('Production '!$C$4:$AI$4407,'Tracking Sheet'!B1107,'Production '!$M$4:$M$4407)</f>
        <v>#DIV/0!</v>
      </c>
      <c r="D1107" s="76" t="e">
        <f ca="1">SUMIF('Production '!$C$4:$AI$4407,'Tracking Sheet'!B1107,'Production '!$Q$4:$Q$4407)</f>
        <v>#DIV/0!</v>
      </c>
      <c r="E1107" s="76">
        <f ca="1">SUMIF('Production '!$C$4:$AI$4407,'Tracking Sheet'!B1107,'Production '!$S$4:$S$4407)</f>
        <v>-1268218.9828305368</v>
      </c>
      <c r="F1107" s="76">
        <f ca="1">SUMIF('Production '!$C$4:$AI$4407,'Tracking Sheet'!B1107,'Production '!$U$4:$U$4407)</f>
        <v>-10620.435600016917</v>
      </c>
      <c r="G1107" s="76" t="e">
        <f ca="1">SUMIF('Production '!$C$4:$AI$4407,'Tracking Sheet'!B1107,'Production '!$W$4:$W$4407)</f>
        <v>#DIV/0!</v>
      </c>
      <c r="H1107" s="76">
        <f ca="1">SUMIF('Production '!$C$4:$AI$4407,'Tracking Sheet'!B1107,'Production '!$F$4:$F$4407)</f>
        <v>3230621.3283604058</v>
      </c>
      <c r="I1107" s="76">
        <f ca="1">SUMIF('Production '!$C$4:$AI$4407,'Tracking Sheet'!B1107,'Production '!$V$4:$V$4407)</f>
        <v>-489.86487791182844</v>
      </c>
      <c r="J1107" s="76">
        <f ca="1">SUMIF('Production '!$C$4:$AI$4407,'Tracking Sheet'!B1107,'Production '!$AG$4:$AG$4407)</f>
        <v>0</v>
      </c>
    </row>
    <row r="1108" spans="2:10" x14ac:dyDescent="0.3">
      <c r="B1108" s="277">
        <f>'Production '!C1111</f>
        <v>48048</v>
      </c>
      <c r="C1108" s="76">
        <f ca="1">SUMIF('Production '!$C$4:$AI$4407,'Tracking Sheet'!B1108,'Production '!$M$4:$M$4407)</f>
        <v>960</v>
      </c>
      <c r="D1108" s="76">
        <f ca="1">SUMIF('Production '!$C$4:$AI$4407,'Tracking Sheet'!B1108,'Production '!$Q$4:$Q$4407)</f>
        <v>960</v>
      </c>
      <c r="E1108" s="76">
        <f ca="1">SUMIF('Production '!$C$4:$AI$4407,'Tracking Sheet'!B1108,'Production '!$S$4:$S$4407)</f>
        <v>940</v>
      </c>
      <c r="F1108" s="76">
        <f ca="1">SUMIF('Production '!$C$4:$AI$4407,'Tracking Sheet'!B1108,'Production '!$U$4:$U$4407)</f>
        <v>7</v>
      </c>
      <c r="G1108" s="76">
        <f ca="1">SUMIF('Production '!$C$4:$AI$4407,'Tracking Sheet'!B1108,'Production '!$W$4:$W$4407)</f>
        <v>933</v>
      </c>
      <c r="H1108" s="76">
        <f ca="1">SUMIF('Production '!$C$4:$AI$4407,'Tracking Sheet'!B1108,'Production '!$F$4:$F$4407)</f>
        <v>900</v>
      </c>
      <c r="I1108" s="76">
        <f ca="1">SUMIF('Production '!$C$4:$AI$4407,'Tracking Sheet'!B1108,'Production '!$V$4:$V$4407)</f>
        <v>0</v>
      </c>
      <c r="J1108" s="76">
        <f ca="1">SUMIF('Production '!$C$4:$AI$4407,'Tracking Sheet'!B1108,'Production '!$AG$4:$AG$4407)</f>
        <v>0</v>
      </c>
    </row>
    <row r="1109" spans="2:10" x14ac:dyDescent="0.3">
      <c r="B1109" s="277">
        <f>'Production '!C1112</f>
        <v>0</v>
      </c>
      <c r="C1109" s="76" t="e">
        <f ca="1">SUMIF('Production '!$C$4:$AI$4407,'Tracking Sheet'!B1109,'Production '!$M$4:$M$4407)</f>
        <v>#DIV/0!</v>
      </c>
      <c r="D1109" s="76" t="e">
        <f ca="1">SUMIF('Production '!$C$4:$AI$4407,'Tracking Sheet'!B1109,'Production '!$Q$4:$Q$4407)</f>
        <v>#DIV/0!</v>
      </c>
      <c r="E1109" s="76">
        <f ca="1">SUMIF('Production '!$C$4:$AI$4407,'Tracking Sheet'!B1109,'Production '!$S$4:$S$4407)</f>
        <v>-1268218.9828305368</v>
      </c>
      <c r="F1109" s="76">
        <f ca="1">SUMIF('Production '!$C$4:$AI$4407,'Tracking Sheet'!B1109,'Production '!$U$4:$U$4407)</f>
        <v>-10620.435600016917</v>
      </c>
      <c r="G1109" s="76" t="e">
        <f ca="1">SUMIF('Production '!$C$4:$AI$4407,'Tracking Sheet'!B1109,'Production '!$W$4:$W$4407)</f>
        <v>#DIV/0!</v>
      </c>
      <c r="H1109" s="76">
        <f ca="1">SUMIF('Production '!$C$4:$AI$4407,'Tracking Sheet'!B1109,'Production '!$F$4:$F$4407)</f>
        <v>3230621.3283604058</v>
      </c>
      <c r="I1109" s="76">
        <f ca="1">SUMIF('Production '!$C$4:$AI$4407,'Tracking Sheet'!B1109,'Production '!$V$4:$V$4407)</f>
        <v>-489.86487791182844</v>
      </c>
      <c r="J1109" s="76">
        <f ca="1">SUMIF('Production '!$C$4:$AI$4407,'Tracking Sheet'!B1109,'Production '!$AG$4:$AG$4407)</f>
        <v>0</v>
      </c>
    </row>
    <row r="1110" spans="2:10" x14ac:dyDescent="0.3">
      <c r="B1110" s="277">
        <f>'Production '!C1113</f>
        <v>48052</v>
      </c>
      <c r="C1110" s="76">
        <f ca="1">SUMIF('Production '!$C$4:$AI$4407,'Tracking Sheet'!B1110,'Production '!$M$4:$M$4407)</f>
        <v>2244</v>
      </c>
      <c r="D1110" s="76">
        <f ca="1">SUMIF('Production '!$C$4:$AI$4407,'Tracking Sheet'!B1110,'Production '!$Q$4:$Q$4407)</f>
        <v>2244</v>
      </c>
      <c r="E1110" s="76">
        <f ca="1">SUMIF('Production '!$C$4:$AI$4407,'Tracking Sheet'!B1110,'Production '!$S$4:$S$4407)</f>
        <v>2240</v>
      </c>
      <c r="F1110" s="76">
        <f ca="1">SUMIF('Production '!$C$4:$AI$4407,'Tracking Sheet'!B1110,'Production '!$U$4:$U$4407)</f>
        <v>14</v>
      </c>
      <c r="G1110" s="76">
        <f ca="1">SUMIF('Production '!$C$4:$AI$4407,'Tracking Sheet'!B1110,'Production '!$W$4:$W$4407)</f>
        <v>2226</v>
      </c>
      <c r="H1110" s="76">
        <f ca="1">SUMIF('Production '!$C$4:$AI$4407,'Tracking Sheet'!B1110,'Production '!$F$4:$F$4407)</f>
        <v>2170</v>
      </c>
      <c r="I1110" s="76">
        <f ca="1">SUMIF('Production '!$C$4:$AI$4407,'Tracking Sheet'!B1110,'Production '!$V$4:$V$4407)</f>
        <v>0</v>
      </c>
      <c r="J1110" s="76">
        <f ca="1">SUMIF('Production '!$C$4:$AI$4407,'Tracking Sheet'!B1110,'Production '!$AG$4:$AG$4407)</f>
        <v>0</v>
      </c>
    </row>
    <row r="1111" spans="2:10" x14ac:dyDescent="0.3">
      <c r="B1111" s="277">
        <f>'Production '!C1114</f>
        <v>0</v>
      </c>
      <c r="C1111" s="76" t="e">
        <f ca="1">SUMIF('Production '!$C$4:$AI$4407,'Tracking Sheet'!B1111,'Production '!$M$4:$M$4407)</f>
        <v>#DIV/0!</v>
      </c>
      <c r="D1111" s="76" t="e">
        <f ca="1">SUMIF('Production '!$C$4:$AI$4407,'Tracking Sheet'!B1111,'Production '!$Q$4:$Q$4407)</f>
        <v>#DIV/0!</v>
      </c>
      <c r="E1111" s="76">
        <f ca="1">SUMIF('Production '!$C$4:$AI$4407,'Tracking Sheet'!B1111,'Production '!$S$4:$S$4407)</f>
        <v>-1268218.9828305368</v>
      </c>
      <c r="F1111" s="76">
        <f ca="1">SUMIF('Production '!$C$4:$AI$4407,'Tracking Sheet'!B1111,'Production '!$U$4:$U$4407)</f>
        <v>-10620.435600016917</v>
      </c>
      <c r="G1111" s="76" t="e">
        <f ca="1">SUMIF('Production '!$C$4:$AI$4407,'Tracking Sheet'!B1111,'Production '!$W$4:$W$4407)</f>
        <v>#DIV/0!</v>
      </c>
      <c r="H1111" s="76">
        <f ca="1">SUMIF('Production '!$C$4:$AI$4407,'Tracking Sheet'!B1111,'Production '!$F$4:$F$4407)</f>
        <v>3230621.3283604058</v>
      </c>
      <c r="I1111" s="76">
        <f ca="1">SUMIF('Production '!$C$4:$AI$4407,'Tracking Sheet'!B1111,'Production '!$V$4:$V$4407)</f>
        <v>-489.86487791182844</v>
      </c>
      <c r="J1111" s="76">
        <f ca="1">SUMIF('Production '!$C$4:$AI$4407,'Tracking Sheet'!B1111,'Production '!$AG$4:$AG$4407)</f>
        <v>0</v>
      </c>
    </row>
    <row r="1112" spans="2:10" x14ac:dyDescent="0.3">
      <c r="B1112" s="277">
        <f>'Production '!C1115</f>
        <v>48053</v>
      </c>
      <c r="C1112" s="76">
        <f ca="1">SUMIF('Production '!$C$4:$AI$4407,'Tracking Sheet'!B1112,'Production '!$M$4:$M$4407)</f>
        <v>1199</v>
      </c>
      <c r="D1112" s="76">
        <f ca="1">SUMIF('Production '!$C$4:$AI$4407,'Tracking Sheet'!B1112,'Production '!$Q$4:$Q$4407)</f>
        <v>1197</v>
      </c>
      <c r="E1112" s="76">
        <f ca="1">SUMIF('Production '!$C$4:$AI$4407,'Tracking Sheet'!B1112,'Production '!$S$4:$S$4407)</f>
        <v>1197</v>
      </c>
      <c r="F1112" s="76">
        <f ca="1">SUMIF('Production '!$C$4:$AI$4407,'Tracking Sheet'!B1112,'Production '!$U$4:$U$4407)</f>
        <v>0</v>
      </c>
      <c r="G1112" s="76">
        <f ca="1">SUMIF('Production '!$C$4:$AI$4407,'Tracking Sheet'!B1112,'Production '!$W$4:$W$4407)</f>
        <v>1197</v>
      </c>
      <c r="H1112" s="76">
        <f ca="1">SUMIF('Production '!$C$4:$AI$4407,'Tracking Sheet'!B1112,'Production '!$F$4:$F$4407)</f>
        <v>1150</v>
      </c>
      <c r="I1112" s="76">
        <f ca="1">SUMIF('Production '!$C$4:$AI$4407,'Tracking Sheet'!B1112,'Production '!$V$4:$V$4407)</f>
        <v>0</v>
      </c>
      <c r="J1112" s="76">
        <f ca="1">SUMIF('Production '!$C$4:$AI$4407,'Tracking Sheet'!B1112,'Production '!$AG$4:$AG$4407)</f>
        <v>0</v>
      </c>
    </row>
    <row r="1113" spans="2:10" x14ac:dyDescent="0.3">
      <c r="B1113" s="277">
        <f>'Production '!C1116</f>
        <v>0</v>
      </c>
      <c r="C1113" s="76" t="e">
        <f ca="1">SUMIF('Production '!$C$4:$AI$4407,'Tracking Sheet'!B1113,'Production '!$M$4:$M$4407)</f>
        <v>#DIV/0!</v>
      </c>
      <c r="D1113" s="76" t="e">
        <f ca="1">SUMIF('Production '!$C$4:$AI$4407,'Tracking Sheet'!B1113,'Production '!$Q$4:$Q$4407)</f>
        <v>#DIV/0!</v>
      </c>
      <c r="E1113" s="76">
        <f ca="1">SUMIF('Production '!$C$4:$AI$4407,'Tracking Sheet'!B1113,'Production '!$S$4:$S$4407)</f>
        <v>-1268218.9828305368</v>
      </c>
      <c r="F1113" s="76">
        <f ca="1">SUMIF('Production '!$C$4:$AI$4407,'Tracking Sheet'!B1113,'Production '!$U$4:$U$4407)</f>
        <v>-10620.435600016917</v>
      </c>
      <c r="G1113" s="76" t="e">
        <f ca="1">SUMIF('Production '!$C$4:$AI$4407,'Tracking Sheet'!B1113,'Production '!$W$4:$W$4407)</f>
        <v>#DIV/0!</v>
      </c>
      <c r="H1113" s="76">
        <f ca="1">SUMIF('Production '!$C$4:$AI$4407,'Tracking Sheet'!B1113,'Production '!$F$4:$F$4407)</f>
        <v>3230621.3283604058</v>
      </c>
      <c r="I1113" s="76">
        <f ca="1">SUMIF('Production '!$C$4:$AI$4407,'Tracking Sheet'!B1113,'Production '!$V$4:$V$4407)</f>
        <v>-489.86487791182844</v>
      </c>
      <c r="J1113" s="76">
        <f ca="1">SUMIF('Production '!$C$4:$AI$4407,'Tracking Sheet'!B1113,'Production '!$AG$4:$AG$4407)</f>
        <v>0</v>
      </c>
    </row>
    <row r="1114" spans="2:10" x14ac:dyDescent="0.3">
      <c r="B1114" s="277">
        <f>'Production '!C1117</f>
        <v>48043</v>
      </c>
      <c r="C1114" s="76">
        <f ca="1">SUMIF('Production '!$C$4:$AI$4407,'Tracking Sheet'!B1114,'Production '!$M$4:$M$4407)</f>
        <v>1074</v>
      </c>
      <c r="D1114" s="76">
        <f ca="1">SUMIF('Production '!$C$4:$AI$4407,'Tracking Sheet'!B1114,'Production '!$Q$4:$Q$4407)</f>
        <v>0</v>
      </c>
      <c r="E1114" s="76">
        <f ca="1">SUMIF('Production '!$C$4:$AI$4407,'Tracking Sheet'!B1114,'Production '!$S$4:$S$4407)</f>
        <v>0</v>
      </c>
      <c r="F1114" s="76">
        <f ca="1">SUMIF('Production '!$C$4:$AI$4407,'Tracking Sheet'!B1114,'Production '!$U$4:$U$4407)</f>
        <v>0</v>
      </c>
      <c r="G1114" s="76">
        <f ca="1">SUMIF('Production '!$C$4:$AI$4407,'Tracking Sheet'!B1114,'Production '!$W$4:$W$4407)</f>
        <v>1074</v>
      </c>
      <c r="H1114" s="76">
        <f ca="1">SUMIF('Production '!$C$4:$AI$4407,'Tracking Sheet'!B1114,'Production '!$F$4:$F$4407)</f>
        <v>1005</v>
      </c>
      <c r="I1114" s="76">
        <f ca="1">SUMIF('Production '!$C$4:$AI$4407,'Tracking Sheet'!B1114,'Production '!$V$4:$V$4407)</f>
        <v>0</v>
      </c>
      <c r="J1114" s="76">
        <f ca="1">SUMIF('Production '!$C$4:$AI$4407,'Tracking Sheet'!B1114,'Production '!$AG$4:$AG$4407)</f>
        <v>0</v>
      </c>
    </row>
    <row r="1115" spans="2:10" x14ac:dyDescent="0.3">
      <c r="B1115" s="277">
        <f>'Production '!C1118</f>
        <v>0</v>
      </c>
      <c r="C1115" s="76" t="e">
        <f ca="1">SUMIF('Production '!$C$4:$AI$4407,'Tracking Sheet'!B1115,'Production '!$M$4:$M$4407)</f>
        <v>#DIV/0!</v>
      </c>
      <c r="D1115" s="76" t="e">
        <f ca="1">SUMIF('Production '!$C$4:$AI$4407,'Tracking Sheet'!B1115,'Production '!$Q$4:$Q$4407)</f>
        <v>#DIV/0!</v>
      </c>
      <c r="E1115" s="76">
        <f ca="1">SUMIF('Production '!$C$4:$AI$4407,'Tracking Sheet'!B1115,'Production '!$S$4:$S$4407)</f>
        <v>-1268218.9828305368</v>
      </c>
      <c r="F1115" s="76">
        <f ca="1">SUMIF('Production '!$C$4:$AI$4407,'Tracking Sheet'!B1115,'Production '!$U$4:$U$4407)</f>
        <v>-10620.435600016917</v>
      </c>
      <c r="G1115" s="76" t="e">
        <f ca="1">SUMIF('Production '!$C$4:$AI$4407,'Tracking Sheet'!B1115,'Production '!$W$4:$W$4407)</f>
        <v>#DIV/0!</v>
      </c>
      <c r="H1115" s="76">
        <f ca="1">SUMIF('Production '!$C$4:$AI$4407,'Tracking Sheet'!B1115,'Production '!$F$4:$F$4407)</f>
        <v>3230621.3283604058</v>
      </c>
      <c r="I1115" s="76">
        <f ca="1">SUMIF('Production '!$C$4:$AI$4407,'Tracking Sheet'!B1115,'Production '!$V$4:$V$4407)</f>
        <v>-489.86487791182844</v>
      </c>
      <c r="J1115" s="76">
        <f ca="1">SUMIF('Production '!$C$4:$AI$4407,'Tracking Sheet'!B1115,'Production '!$AG$4:$AG$4407)</f>
        <v>0</v>
      </c>
    </row>
    <row r="1116" spans="2:10" x14ac:dyDescent="0.3">
      <c r="B1116" s="277" t="str">
        <f>'Production '!C1119</f>
        <v>44842 10th</v>
      </c>
      <c r="C1116" s="76">
        <f ca="1">SUMIF('Production '!$C$4:$AI$4407,'Tracking Sheet'!B1116,'Production '!$M$4:$M$4407)</f>
        <v>1079</v>
      </c>
      <c r="D1116" s="76">
        <f ca="1">SUMIF('Production '!$C$4:$AI$4407,'Tracking Sheet'!B1116,'Production '!$Q$4:$Q$4407)</f>
        <v>1079</v>
      </c>
      <c r="E1116" s="76">
        <f ca="1">SUMIF('Production '!$C$4:$AI$4407,'Tracking Sheet'!B1116,'Production '!$S$4:$S$4407)</f>
        <v>1079</v>
      </c>
      <c r="F1116" s="76">
        <f ca="1">SUMIF('Production '!$C$4:$AI$4407,'Tracking Sheet'!B1116,'Production '!$U$4:$U$4407)</f>
        <v>0</v>
      </c>
      <c r="G1116" s="76">
        <f ca="1">SUMIF('Production '!$C$4:$AI$4407,'Tracking Sheet'!B1116,'Production '!$W$4:$W$4407)</f>
        <v>1079</v>
      </c>
      <c r="H1116" s="76">
        <f ca="1">SUMIF('Production '!$C$4:$AI$4407,'Tracking Sheet'!B1116,'Production '!$F$4:$F$4407)</f>
        <v>1040</v>
      </c>
      <c r="I1116" s="76">
        <f ca="1">SUMIF('Production '!$C$4:$AI$4407,'Tracking Sheet'!B1116,'Production '!$V$4:$V$4407)</f>
        <v>0</v>
      </c>
      <c r="J1116" s="76">
        <f ca="1">SUMIF('Production '!$C$4:$AI$4407,'Tracking Sheet'!B1116,'Production '!$AG$4:$AG$4407)</f>
        <v>0</v>
      </c>
    </row>
    <row r="1117" spans="2:10" x14ac:dyDescent="0.3">
      <c r="B1117" s="277">
        <f>'Production '!C1120</f>
        <v>0</v>
      </c>
      <c r="C1117" s="76" t="e">
        <f ca="1">SUMIF('Production '!$C$4:$AI$4407,'Tracking Sheet'!B1117,'Production '!$M$4:$M$4407)</f>
        <v>#DIV/0!</v>
      </c>
      <c r="D1117" s="76" t="e">
        <f ca="1">SUMIF('Production '!$C$4:$AI$4407,'Tracking Sheet'!B1117,'Production '!$Q$4:$Q$4407)</f>
        <v>#DIV/0!</v>
      </c>
      <c r="E1117" s="76">
        <f ca="1">SUMIF('Production '!$C$4:$AI$4407,'Tracking Sheet'!B1117,'Production '!$S$4:$S$4407)</f>
        <v>-1268218.9828305368</v>
      </c>
      <c r="F1117" s="76">
        <f ca="1">SUMIF('Production '!$C$4:$AI$4407,'Tracking Sheet'!B1117,'Production '!$U$4:$U$4407)</f>
        <v>-10620.435600016917</v>
      </c>
      <c r="G1117" s="76" t="e">
        <f ca="1">SUMIF('Production '!$C$4:$AI$4407,'Tracking Sheet'!B1117,'Production '!$W$4:$W$4407)</f>
        <v>#DIV/0!</v>
      </c>
      <c r="H1117" s="76">
        <f ca="1">SUMIF('Production '!$C$4:$AI$4407,'Tracking Sheet'!B1117,'Production '!$F$4:$F$4407)</f>
        <v>3230621.3283604058</v>
      </c>
      <c r="I1117" s="76">
        <f ca="1">SUMIF('Production '!$C$4:$AI$4407,'Tracking Sheet'!B1117,'Production '!$V$4:$V$4407)</f>
        <v>-489.86487791182844</v>
      </c>
      <c r="J1117" s="76">
        <f ca="1">SUMIF('Production '!$C$4:$AI$4407,'Tracking Sheet'!B1117,'Production '!$AG$4:$AG$4407)</f>
        <v>0</v>
      </c>
    </row>
    <row r="1118" spans="2:10" x14ac:dyDescent="0.3">
      <c r="B1118" s="277">
        <f>'Production '!C1121</f>
        <v>48274</v>
      </c>
      <c r="C1118" s="76">
        <f ca="1">SUMIF('Production '!$C$4:$AI$4407,'Tracking Sheet'!B1118,'Production '!$M$4:$M$4407)</f>
        <v>0</v>
      </c>
      <c r="D1118" s="76">
        <f ca="1">SUMIF('Production '!$C$4:$AI$4407,'Tracking Sheet'!B1118,'Production '!$Q$4:$Q$4407)</f>
        <v>0</v>
      </c>
      <c r="E1118" s="76">
        <f ca="1">SUMIF('Production '!$C$4:$AI$4407,'Tracking Sheet'!B1118,'Production '!$S$4:$S$4407)</f>
        <v>0</v>
      </c>
      <c r="F1118" s="76">
        <f ca="1">SUMIF('Production '!$C$4:$AI$4407,'Tracking Sheet'!B1118,'Production '!$U$4:$U$4407)</f>
        <v>0</v>
      </c>
      <c r="G1118" s="76">
        <f ca="1">SUMIF('Production '!$C$4:$AI$4407,'Tracking Sheet'!B1118,'Production '!$W$4:$W$4407)</f>
        <v>0</v>
      </c>
      <c r="H1118" s="76">
        <f ca="1">SUMIF('Production '!$C$4:$AI$4407,'Tracking Sheet'!B1118,'Production '!$F$4:$F$4407)</f>
        <v>1291</v>
      </c>
      <c r="I1118" s="76">
        <f ca="1">SUMIF('Production '!$C$4:$AI$4407,'Tracking Sheet'!B1118,'Production '!$V$4:$V$4407)</f>
        <v>0</v>
      </c>
      <c r="J1118" s="76">
        <f ca="1">SUMIF('Production '!$C$4:$AI$4407,'Tracking Sheet'!B1118,'Production '!$AG$4:$AG$4407)</f>
        <v>-1291</v>
      </c>
    </row>
    <row r="1119" spans="2:10" x14ac:dyDescent="0.3">
      <c r="B1119" s="277">
        <f>'Production '!C1122</f>
        <v>0</v>
      </c>
      <c r="C1119" s="76" t="e">
        <f ca="1">SUMIF('Production '!$C$4:$AI$4407,'Tracking Sheet'!B1119,'Production '!$M$4:$M$4407)</f>
        <v>#DIV/0!</v>
      </c>
      <c r="D1119" s="76" t="e">
        <f ca="1">SUMIF('Production '!$C$4:$AI$4407,'Tracking Sheet'!B1119,'Production '!$Q$4:$Q$4407)</f>
        <v>#DIV/0!</v>
      </c>
      <c r="E1119" s="76">
        <f ca="1">SUMIF('Production '!$C$4:$AI$4407,'Tracking Sheet'!B1119,'Production '!$S$4:$S$4407)</f>
        <v>-1268218.9828305368</v>
      </c>
      <c r="F1119" s="76">
        <f ca="1">SUMIF('Production '!$C$4:$AI$4407,'Tracking Sheet'!B1119,'Production '!$U$4:$U$4407)</f>
        <v>-10620.435600016917</v>
      </c>
      <c r="G1119" s="76" t="e">
        <f ca="1">SUMIF('Production '!$C$4:$AI$4407,'Tracking Sheet'!B1119,'Production '!$W$4:$W$4407)</f>
        <v>#DIV/0!</v>
      </c>
      <c r="H1119" s="76">
        <f ca="1">SUMIF('Production '!$C$4:$AI$4407,'Tracking Sheet'!B1119,'Production '!$F$4:$F$4407)</f>
        <v>3230621.3283604058</v>
      </c>
      <c r="I1119" s="76">
        <f ca="1">SUMIF('Production '!$C$4:$AI$4407,'Tracking Sheet'!B1119,'Production '!$V$4:$V$4407)</f>
        <v>-489.86487791182844</v>
      </c>
      <c r="J1119" s="76">
        <f ca="1">SUMIF('Production '!$C$4:$AI$4407,'Tracking Sheet'!B1119,'Production '!$AG$4:$AG$4407)</f>
        <v>0</v>
      </c>
    </row>
    <row r="1120" spans="2:10" x14ac:dyDescent="0.3">
      <c r="B1120" s="277">
        <f>'Production '!C1123</f>
        <v>48515</v>
      </c>
      <c r="C1120" s="76">
        <f ca="1">SUMIF('Production '!$C$4:$AI$4407,'Tracking Sheet'!B1120,'Production '!$M$4:$M$4407)</f>
        <v>0</v>
      </c>
      <c r="D1120" s="76">
        <f ca="1">SUMIF('Production '!$C$4:$AI$4407,'Tracking Sheet'!B1120,'Production '!$Q$4:$Q$4407)</f>
        <v>0</v>
      </c>
      <c r="E1120" s="76">
        <f ca="1">SUMIF('Production '!$C$4:$AI$4407,'Tracking Sheet'!B1120,'Production '!$S$4:$S$4407)</f>
        <v>0</v>
      </c>
      <c r="F1120" s="76">
        <f ca="1">SUMIF('Production '!$C$4:$AI$4407,'Tracking Sheet'!B1120,'Production '!$U$4:$U$4407)</f>
        <v>0</v>
      </c>
      <c r="G1120" s="76">
        <f ca="1">SUMIF('Production '!$C$4:$AI$4407,'Tracking Sheet'!B1120,'Production '!$W$4:$W$4407)</f>
        <v>0</v>
      </c>
      <c r="H1120" s="76">
        <f ca="1">SUMIF('Production '!$C$4:$AI$4407,'Tracking Sheet'!B1120,'Production '!$F$4:$F$4407)</f>
        <v>600</v>
      </c>
      <c r="I1120" s="76">
        <f ca="1">SUMIF('Production '!$C$4:$AI$4407,'Tracking Sheet'!B1120,'Production '!$V$4:$V$4407)</f>
        <v>0</v>
      </c>
      <c r="J1120" s="76">
        <f ca="1">SUMIF('Production '!$C$4:$AI$4407,'Tracking Sheet'!B1120,'Production '!$AG$4:$AG$4407)</f>
        <v>-600</v>
      </c>
    </row>
    <row r="1121" spans="2:10" x14ac:dyDescent="0.3">
      <c r="B1121" s="277">
        <f>'Production '!C1124</f>
        <v>0</v>
      </c>
      <c r="C1121" s="76" t="e">
        <f ca="1">SUMIF('Production '!$C$4:$AI$4407,'Tracking Sheet'!B1121,'Production '!$M$4:$M$4407)</f>
        <v>#DIV/0!</v>
      </c>
      <c r="D1121" s="76" t="e">
        <f ca="1">SUMIF('Production '!$C$4:$AI$4407,'Tracking Sheet'!B1121,'Production '!$Q$4:$Q$4407)</f>
        <v>#DIV/0!</v>
      </c>
      <c r="E1121" s="76">
        <f ca="1">SUMIF('Production '!$C$4:$AI$4407,'Tracking Sheet'!B1121,'Production '!$S$4:$S$4407)</f>
        <v>-1268218.9828305368</v>
      </c>
      <c r="F1121" s="76">
        <f ca="1">SUMIF('Production '!$C$4:$AI$4407,'Tracking Sheet'!B1121,'Production '!$U$4:$U$4407)</f>
        <v>-10620.435600016917</v>
      </c>
      <c r="G1121" s="76" t="e">
        <f ca="1">SUMIF('Production '!$C$4:$AI$4407,'Tracking Sheet'!B1121,'Production '!$W$4:$W$4407)</f>
        <v>#DIV/0!</v>
      </c>
      <c r="H1121" s="76">
        <f ca="1">SUMIF('Production '!$C$4:$AI$4407,'Tracking Sheet'!B1121,'Production '!$F$4:$F$4407)</f>
        <v>3230621.3283604058</v>
      </c>
      <c r="I1121" s="76">
        <f ca="1">SUMIF('Production '!$C$4:$AI$4407,'Tracking Sheet'!B1121,'Production '!$V$4:$V$4407)</f>
        <v>-489.86487791182844</v>
      </c>
      <c r="J1121" s="76">
        <f ca="1">SUMIF('Production '!$C$4:$AI$4407,'Tracking Sheet'!B1121,'Production '!$AG$4:$AG$4407)</f>
        <v>0</v>
      </c>
    </row>
    <row r="1122" spans="2:10" x14ac:dyDescent="0.3">
      <c r="B1122" s="277">
        <f>'Production '!C1125</f>
        <v>48654</v>
      </c>
      <c r="C1122" s="76">
        <f ca="1">SUMIF('Production '!$C$4:$AI$4407,'Tracking Sheet'!B1122,'Production '!$M$4:$M$4407)</f>
        <v>0</v>
      </c>
      <c r="D1122" s="76">
        <f ca="1">SUMIF('Production '!$C$4:$AI$4407,'Tracking Sheet'!B1122,'Production '!$Q$4:$Q$4407)</f>
        <v>0</v>
      </c>
      <c r="E1122" s="76">
        <f ca="1">SUMIF('Production '!$C$4:$AI$4407,'Tracking Sheet'!B1122,'Production '!$S$4:$S$4407)</f>
        <v>0</v>
      </c>
      <c r="F1122" s="76">
        <f ca="1">SUMIF('Production '!$C$4:$AI$4407,'Tracking Sheet'!B1122,'Production '!$U$4:$U$4407)</f>
        <v>0</v>
      </c>
      <c r="G1122" s="76">
        <f ca="1">SUMIF('Production '!$C$4:$AI$4407,'Tracking Sheet'!B1122,'Production '!$W$4:$W$4407)</f>
        <v>0</v>
      </c>
      <c r="H1122" s="76">
        <f ca="1">SUMIF('Production '!$C$4:$AI$4407,'Tracking Sheet'!B1122,'Production '!$F$4:$F$4407)</f>
        <v>3753</v>
      </c>
      <c r="I1122" s="76">
        <f ca="1">SUMIF('Production '!$C$4:$AI$4407,'Tracking Sheet'!B1122,'Production '!$V$4:$V$4407)</f>
        <v>0</v>
      </c>
      <c r="J1122" s="76">
        <f ca="1">SUMIF('Production '!$C$4:$AI$4407,'Tracking Sheet'!B1122,'Production '!$AG$4:$AG$4407)</f>
        <v>-3753</v>
      </c>
    </row>
    <row r="1123" spans="2:10" x14ac:dyDescent="0.3">
      <c r="B1123" s="277">
        <f>'Production '!C1126</f>
        <v>0</v>
      </c>
      <c r="C1123" s="76" t="e">
        <f ca="1">SUMIF('Production '!$C$4:$AI$4407,'Tracking Sheet'!B1123,'Production '!$M$4:$M$4407)</f>
        <v>#DIV/0!</v>
      </c>
      <c r="D1123" s="76" t="e">
        <f ca="1">SUMIF('Production '!$C$4:$AI$4407,'Tracking Sheet'!B1123,'Production '!$Q$4:$Q$4407)</f>
        <v>#DIV/0!</v>
      </c>
      <c r="E1123" s="76">
        <f ca="1">SUMIF('Production '!$C$4:$AI$4407,'Tracking Sheet'!B1123,'Production '!$S$4:$S$4407)</f>
        <v>-1268218.9828305368</v>
      </c>
      <c r="F1123" s="76">
        <f ca="1">SUMIF('Production '!$C$4:$AI$4407,'Tracking Sheet'!B1123,'Production '!$U$4:$U$4407)</f>
        <v>-10620.435600016917</v>
      </c>
      <c r="G1123" s="76" t="e">
        <f ca="1">SUMIF('Production '!$C$4:$AI$4407,'Tracking Sheet'!B1123,'Production '!$W$4:$W$4407)</f>
        <v>#DIV/0!</v>
      </c>
      <c r="H1123" s="76">
        <f ca="1">SUMIF('Production '!$C$4:$AI$4407,'Tracking Sheet'!B1123,'Production '!$F$4:$F$4407)</f>
        <v>3230621.3283604058</v>
      </c>
      <c r="I1123" s="76">
        <f ca="1">SUMIF('Production '!$C$4:$AI$4407,'Tracking Sheet'!B1123,'Production '!$V$4:$V$4407)</f>
        <v>-489.86487791182844</v>
      </c>
      <c r="J1123" s="76">
        <f ca="1">SUMIF('Production '!$C$4:$AI$4407,'Tracking Sheet'!B1123,'Production '!$AG$4:$AG$4407)</f>
        <v>0</v>
      </c>
    </row>
    <row r="1124" spans="2:10" x14ac:dyDescent="0.3">
      <c r="B1124" s="277">
        <f>'Production '!C1127</f>
        <v>48055</v>
      </c>
      <c r="C1124" s="76">
        <f ca="1">SUMIF('Production '!$C$4:$AI$4407,'Tracking Sheet'!B1124,'Production '!$M$4:$M$4407)</f>
        <v>1483</v>
      </c>
      <c r="D1124" s="76">
        <f ca="1">SUMIF('Production '!$C$4:$AI$4407,'Tracking Sheet'!B1124,'Production '!$Q$4:$Q$4407)</f>
        <v>0</v>
      </c>
      <c r="E1124" s="76">
        <f ca="1">SUMIF('Production '!$C$4:$AI$4407,'Tracking Sheet'!B1124,'Production '!$S$4:$S$4407)</f>
        <v>0</v>
      </c>
      <c r="F1124" s="76">
        <f ca="1">SUMIF('Production '!$C$4:$AI$4407,'Tracking Sheet'!B1124,'Production '!$U$4:$U$4407)</f>
        <v>59</v>
      </c>
      <c r="G1124" s="76">
        <f ca="1">SUMIF('Production '!$C$4:$AI$4407,'Tracking Sheet'!B1124,'Production '!$W$4:$W$4407)</f>
        <v>1424</v>
      </c>
      <c r="H1124" s="76">
        <f ca="1">SUMIF('Production '!$C$4:$AI$4407,'Tracking Sheet'!B1124,'Production '!$F$4:$F$4407)</f>
        <v>1372</v>
      </c>
      <c r="I1124" s="76">
        <f ca="1">SUMIF('Production '!$C$4:$AI$4407,'Tracking Sheet'!B1124,'Production '!$V$4:$V$4407)</f>
        <v>0</v>
      </c>
      <c r="J1124" s="76">
        <f ca="1">SUMIF('Production '!$C$4:$AI$4407,'Tracking Sheet'!B1124,'Production '!$AG$4:$AG$4407)</f>
        <v>0</v>
      </c>
    </row>
    <row r="1125" spans="2:10" x14ac:dyDescent="0.3">
      <c r="B1125" s="277">
        <f>'Production '!C1128</f>
        <v>0</v>
      </c>
      <c r="C1125" s="76" t="e">
        <f ca="1">SUMIF('Production '!$C$4:$AI$4407,'Tracking Sheet'!B1125,'Production '!$M$4:$M$4407)</f>
        <v>#DIV/0!</v>
      </c>
      <c r="D1125" s="76" t="e">
        <f ca="1">SUMIF('Production '!$C$4:$AI$4407,'Tracking Sheet'!B1125,'Production '!$Q$4:$Q$4407)</f>
        <v>#DIV/0!</v>
      </c>
      <c r="E1125" s="76">
        <f ca="1">SUMIF('Production '!$C$4:$AI$4407,'Tracking Sheet'!B1125,'Production '!$S$4:$S$4407)</f>
        <v>-1268218.9828305368</v>
      </c>
      <c r="F1125" s="76">
        <f ca="1">SUMIF('Production '!$C$4:$AI$4407,'Tracking Sheet'!B1125,'Production '!$U$4:$U$4407)</f>
        <v>-10620.435600016917</v>
      </c>
      <c r="G1125" s="76" t="e">
        <f ca="1">SUMIF('Production '!$C$4:$AI$4407,'Tracking Sheet'!B1125,'Production '!$W$4:$W$4407)</f>
        <v>#DIV/0!</v>
      </c>
      <c r="H1125" s="76">
        <f ca="1">SUMIF('Production '!$C$4:$AI$4407,'Tracking Sheet'!B1125,'Production '!$F$4:$F$4407)</f>
        <v>3230621.3283604058</v>
      </c>
      <c r="I1125" s="76">
        <f ca="1">SUMIF('Production '!$C$4:$AI$4407,'Tracking Sheet'!B1125,'Production '!$V$4:$V$4407)</f>
        <v>-489.86487791182844</v>
      </c>
      <c r="J1125" s="76">
        <f ca="1">SUMIF('Production '!$C$4:$AI$4407,'Tracking Sheet'!B1125,'Production '!$AG$4:$AG$4407)</f>
        <v>0</v>
      </c>
    </row>
    <row r="1126" spans="2:10" x14ac:dyDescent="0.3">
      <c r="B1126" s="277">
        <f>'Production '!C1129</f>
        <v>48064</v>
      </c>
      <c r="C1126" s="76">
        <f ca="1">SUMIF('Production '!$C$4:$AI$4407,'Tracking Sheet'!B1126,'Production '!$M$4:$M$4407)</f>
        <v>0</v>
      </c>
      <c r="D1126" s="76">
        <f ca="1">SUMIF('Production '!$C$4:$AI$4407,'Tracking Sheet'!B1126,'Production '!$Q$4:$Q$4407)</f>
        <v>0</v>
      </c>
      <c r="E1126" s="76">
        <f ca="1">SUMIF('Production '!$C$4:$AI$4407,'Tracking Sheet'!B1126,'Production '!$S$4:$S$4407)</f>
        <v>0</v>
      </c>
      <c r="F1126" s="76">
        <f ca="1">SUMIF('Production '!$C$4:$AI$4407,'Tracking Sheet'!B1126,'Production '!$U$4:$U$4407)</f>
        <v>0</v>
      </c>
      <c r="G1126" s="76">
        <f ca="1">SUMIF('Production '!$C$4:$AI$4407,'Tracking Sheet'!B1126,'Production '!$W$4:$W$4407)</f>
        <v>0</v>
      </c>
      <c r="H1126" s="76">
        <f ca="1">SUMIF('Production '!$C$4:$AI$4407,'Tracking Sheet'!B1126,'Production '!$F$4:$F$4407)</f>
        <v>1002</v>
      </c>
      <c r="I1126" s="76">
        <f ca="1">SUMIF('Production '!$C$4:$AI$4407,'Tracking Sheet'!B1126,'Production '!$V$4:$V$4407)</f>
        <v>0</v>
      </c>
      <c r="J1126" s="76">
        <f ca="1">SUMIF('Production '!$C$4:$AI$4407,'Tracking Sheet'!B1126,'Production '!$AG$4:$AG$4407)</f>
        <v>-1002</v>
      </c>
    </row>
    <row r="1127" spans="2:10" x14ac:dyDescent="0.3">
      <c r="B1127" s="277">
        <f>'Production '!C1130</f>
        <v>0</v>
      </c>
      <c r="C1127" s="76" t="e">
        <f ca="1">SUMIF('Production '!$C$4:$AI$4407,'Tracking Sheet'!B1127,'Production '!$M$4:$M$4407)</f>
        <v>#DIV/0!</v>
      </c>
      <c r="D1127" s="76" t="e">
        <f ca="1">SUMIF('Production '!$C$4:$AI$4407,'Tracking Sheet'!B1127,'Production '!$Q$4:$Q$4407)</f>
        <v>#DIV/0!</v>
      </c>
      <c r="E1127" s="76">
        <f ca="1">SUMIF('Production '!$C$4:$AI$4407,'Tracking Sheet'!B1127,'Production '!$S$4:$S$4407)</f>
        <v>-1268218.9828305368</v>
      </c>
      <c r="F1127" s="76">
        <f ca="1">SUMIF('Production '!$C$4:$AI$4407,'Tracking Sheet'!B1127,'Production '!$U$4:$U$4407)</f>
        <v>-10620.435600016917</v>
      </c>
      <c r="G1127" s="76" t="e">
        <f ca="1">SUMIF('Production '!$C$4:$AI$4407,'Tracking Sheet'!B1127,'Production '!$W$4:$W$4407)</f>
        <v>#DIV/0!</v>
      </c>
      <c r="H1127" s="76">
        <f ca="1">SUMIF('Production '!$C$4:$AI$4407,'Tracking Sheet'!B1127,'Production '!$F$4:$F$4407)</f>
        <v>3230621.3283604058</v>
      </c>
      <c r="I1127" s="76">
        <f ca="1">SUMIF('Production '!$C$4:$AI$4407,'Tracking Sheet'!B1127,'Production '!$V$4:$V$4407)</f>
        <v>-489.86487791182844</v>
      </c>
      <c r="J1127" s="76">
        <f ca="1">SUMIF('Production '!$C$4:$AI$4407,'Tracking Sheet'!B1127,'Production '!$AG$4:$AG$4407)</f>
        <v>0</v>
      </c>
    </row>
    <row r="1128" spans="2:10" x14ac:dyDescent="0.3">
      <c r="B1128" s="277">
        <f>'Production '!C1131</f>
        <v>48051</v>
      </c>
      <c r="C1128" s="76">
        <f ca="1">SUMIF('Production '!$C$4:$AI$4407,'Tracking Sheet'!B1128,'Production '!$M$4:$M$4407)</f>
        <v>2210</v>
      </c>
      <c r="D1128" s="76">
        <f ca="1">SUMIF('Production '!$C$4:$AI$4407,'Tracking Sheet'!B1128,'Production '!$Q$4:$Q$4407)</f>
        <v>2210</v>
      </c>
      <c r="E1128" s="76">
        <f ca="1">SUMIF('Production '!$C$4:$AI$4407,'Tracking Sheet'!B1128,'Production '!$S$4:$S$4407)</f>
        <v>2204</v>
      </c>
      <c r="F1128" s="76">
        <f ca="1">SUMIF('Production '!$C$4:$AI$4407,'Tracking Sheet'!B1128,'Production '!$U$4:$U$4407)</f>
        <v>5</v>
      </c>
      <c r="G1128" s="76">
        <f ca="1">SUMIF('Production '!$C$4:$AI$4407,'Tracking Sheet'!B1128,'Production '!$W$4:$W$4407)</f>
        <v>2199</v>
      </c>
      <c r="H1128" s="76">
        <f ca="1">SUMIF('Production '!$C$4:$AI$4407,'Tracking Sheet'!B1128,'Production '!$F$4:$F$4407)</f>
        <v>2155</v>
      </c>
      <c r="I1128" s="76">
        <f ca="1">SUMIF('Production '!$C$4:$AI$4407,'Tracking Sheet'!B1128,'Production '!$V$4:$V$4407)</f>
        <v>0</v>
      </c>
      <c r="J1128" s="76">
        <f ca="1">SUMIF('Production '!$C$4:$AI$4407,'Tracking Sheet'!B1128,'Production '!$AG$4:$AG$4407)</f>
        <v>0</v>
      </c>
    </row>
    <row r="1129" spans="2:10" x14ac:dyDescent="0.3">
      <c r="B1129" s="277">
        <f>'Production '!C1132</f>
        <v>0</v>
      </c>
      <c r="C1129" s="76" t="e">
        <f ca="1">SUMIF('Production '!$C$4:$AI$4407,'Tracking Sheet'!B1129,'Production '!$M$4:$M$4407)</f>
        <v>#DIV/0!</v>
      </c>
      <c r="D1129" s="76" t="e">
        <f ca="1">SUMIF('Production '!$C$4:$AI$4407,'Tracking Sheet'!B1129,'Production '!$Q$4:$Q$4407)</f>
        <v>#DIV/0!</v>
      </c>
      <c r="E1129" s="76">
        <f ca="1">SUMIF('Production '!$C$4:$AI$4407,'Tracking Sheet'!B1129,'Production '!$S$4:$S$4407)</f>
        <v>-1268218.9828305368</v>
      </c>
      <c r="F1129" s="76">
        <f ca="1">SUMIF('Production '!$C$4:$AI$4407,'Tracking Sheet'!B1129,'Production '!$U$4:$U$4407)</f>
        <v>-10620.435600016917</v>
      </c>
      <c r="G1129" s="76" t="e">
        <f ca="1">SUMIF('Production '!$C$4:$AI$4407,'Tracking Sheet'!B1129,'Production '!$W$4:$W$4407)</f>
        <v>#DIV/0!</v>
      </c>
      <c r="H1129" s="76">
        <f ca="1">SUMIF('Production '!$C$4:$AI$4407,'Tracking Sheet'!B1129,'Production '!$F$4:$F$4407)</f>
        <v>3230621.3283604058</v>
      </c>
      <c r="I1129" s="76">
        <f ca="1">SUMIF('Production '!$C$4:$AI$4407,'Tracking Sheet'!B1129,'Production '!$V$4:$V$4407)</f>
        <v>-489.86487791182844</v>
      </c>
      <c r="J1129" s="76">
        <f ca="1">SUMIF('Production '!$C$4:$AI$4407,'Tracking Sheet'!B1129,'Production '!$AG$4:$AG$4407)</f>
        <v>0</v>
      </c>
    </row>
    <row r="1130" spans="2:10" x14ac:dyDescent="0.3">
      <c r="B1130" s="277">
        <f>'Production '!C1133</f>
        <v>47962</v>
      </c>
      <c r="C1130" s="76">
        <f ca="1">SUMIF('Production '!$C$4:$AI$4407,'Tracking Sheet'!B1130,'Production '!$M$4:$M$4407)</f>
        <v>1037</v>
      </c>
      <c r="D1130" s="76">
        <f ca="1">SUMIF('Production '!$C$4:$AI$4407,'Tracking Sheet'!B1130,'Production '!$Q$4:$Q$4407)</f>
        <v>1037</v>
      </c>
      <c r="E1130" s="76">
        <f ca="1">SUMIF('Production '!$C$4:$AI$4407,'Tracking Sheet'!B1130,'Production '!$S$4:$S$4407)</f>
        <v>1020</v>
      </c>
      <c r="F1130" s="76">
        <f ca="1">SUMIF('Production '!$C$4:$AI$4407,'Tracking Sheet'!B1130,'Production '!$U$4:$U$4407)</f>
        <v>1020</v>
      </c>
      <c r="G1130" s="76">
        <f ca="1">SUMIF('Production '!$C$4:$AI$4407,'Tracking Sheet'!B1130,'Production '!$W$4:$W$4407)</f>
        <v>0</v>
      </c>
      <c r="H1130" s="76">
        <f ca="1">SUMIF('Production '!$C$4:$AI$4407,'Tracking Sheet'!B1130,'Production '!$F$4:$F$4407)</f>
        <v>1002</v>
      </c>
      <c r="I1130" s="76">
        <f ca="1">SUMIF('Production '!$C$4:$AI$4407,'Tracking Sheet'!B1130,'Production '!$V$4:$V$4407)</f>
        <v>0</v>
      </c>
      <c r="J1130" s="76">
        <f ca="1">SUMIF('Production '!$C$4:$AI$4407,'Tracking Sheet'!B1130,'Production '!$AG$4:$AG$4407)</f>
        <v>0</v>
      </c>
    </row>
    <row r="1131" spans="2:10" x14ac:dyDescent="0.3">
      <c r="B1131" s="277">
        <f>'Production '!C1134</f>
        <v>0</v>
      </c>
      <c r="C1131" s="76" t="e">
        <f ca="1">SUMIF('Production '!$C$4:$AI$4407,'Tracking Sheet'!B1131,'Production '!$M$4:$M$4407)</f>
        <v>#DIV/0!</v>
      </c>
      <c r="D1131" s="76" t="e">
        <f ca="1">SUMIF('Production '!$C$4:$AI$4407,'Tracking Sheet'!B1131,'Production '!$Q$4:$Q$4407)</f>
        <v>#DIV/0!</v>
      </c>
      <c r="E1131" s="76">
        <f ca="1">SUMIF('Production '!$C$4:$AI$4407,'Tracking Sheet'!B1131,'Production '!$S$4:$S$4407)</f>
        <v>-1268218.9828305368</v>
      </c>
      <c r="F1131" s="76">
        <f ca="1">SUMIF('Production '!$C$4:$AI$4407,'Tracking Sheet'!B1131,'Production '!$U$4:$U$4407)</f>
        <v>-10620.435600016917</v>
      </c>
      <c r="G1131" s="76" t="e">
        <f ca="1">SUMIF('Production '!$C$4:$AI$4407,'Tracking Sheet'!B1131,'Production '!$W$4:$W$4407)</f>
        <v>#DIV/0!</v>
      </c>
      <c r="H1131" s="76">
        <f ca="1">SUMIF('Production '!$C$4:$AI$4407,'Tracking Sheet'!B1131,'Production '!$F$4:$F$4407)</f>
        <v>3230621.3283604058</v>
      </c>
      <c r="I1131" s="76">
        <f ca="1">SUMIF('Production '!$C$4:$AI$4407,'Tracking Sheet'!B1131,'Production '!$V$4:$V$4407)</f>
        <v>-489.86487791182844</v>
      </c>
      <c r="J1131" s="76">
        <f ca="1">SUMIF('Production '!$C$4:$AI$4407,'Tracking Sheet'!B1131,'Production '!$AG$4:$AG$4407)</f>
        <v>0</v>
      </c>
    </row>
    <row r="1132" spans="2:10" x14ac:dyDescent="0.3">
      <c r="B1132" s="277">
        <f>'Production '!C1135</f>
        <v>47961</v>
      </c>
      <c r="C1132" s="76">
        <f ca="1">SUMIF('Production '!$C$4:$AI$4407,'Tracking Sheet'!B1132,'Production '!$M$4:$M$4407)</f>
        <v>1054</v>
      </c>
      <c r="D1132" s="76">
        <f ca="1">SUMIF('Production '!$C$4:$AI$4407,'Tracking Sheet'!B1132,'Production '!$Q$4:$Q$4407)</f>
        <v>1054</v>
      </c>
      <c r="E1132" s="76">
        <f ca="1">SUMIF('Production '!$C$4:$AI$4407,'Tracking Sheet'!B1132,'Production '!$S$4:$S$4407)</f>
        <v>1054</v>
      </c>
      <c r="F1132" s="76">
        <f ca="1">SUMIF('Production '!$C$4:$AI$4407,'Tracking Sheet'!B1132,'Production '!$U$4:$U$4407)</f>
        <v>4</v>
      </c>
      <c r="G1132" s="76">
        <f ca="1">SUMIF('Production '!$C$4:$AI$4407,'Tracking Sheet'!B1132,'Production '!$W$4:$W$4407)</f>
        <v>1050</v>
      </c>
      <c r="H1132" s="76">
        <f ca="1">SUMIF('Production '!$C$4:$AI$4407,'Tracking Sheet'!B1132,'Production '!$F$4:$F$4407)</f>
        <v>1008</v>
      </c>
      <c r="I1132" s="76">
        <f ca="1">SUMIF('Production '!$C$4:$AI$4407,'Tracking Sheet'!B1132,'Production '!$V$4:$V$4407)</f>
        <v>0</v>
      </c>
      <c r="J1132" s="76">
        <f ca="1">SUMIF('Production '!$C$4:$AI$4407,'Tracking Sheet'!B1132,'Production '!$AG$4:$AG$4407)</f>
        <v>0</v>
      </c>
    </row>
    <row r="1133" spans="2:10" x14ac:dyDescent="0.3">
      <c r="B1133" s="277">
        <f>'Production '!C1136</f>
        <v>0</v>
      </c>
      <c r="C1133" s="76" t="e">
        <f ca="1">SUMIF('Production '!$C$4:$AI$4407,'Tracking Sheet'!B1133,'Production '!$M$4:$M$4407)</f>
        <v>#DIV/0!</v>
      </c>
      <c r="D1133" s="76" t="e">
        <f ca="1">SUMIF('Production '!$C$4:$AI$4407,'Tracking Sheet'!B1133,'Production '!$Q$4:$Q$4407)</f>
        <v>#DIV/0!</v>
      </c>
      <c r="E1133" s="76">
        <f ca="1">SUMIF('Production '!$C$4:$AI$4407,'Tracking Sheet'!B1133,'Production '!$S$4:$S$4407)</f>
        <v>-1268218.9828305368</v>
      </c>
      <c r="F1133" s="76">
        <f ca="1">SUMIF('Production '!$C$4:$AI$4407,'Tracking Sheet'!B1133,'Production '!$U$4:$U$4407)</f>
        <v>-10620.435600016917</v>
      </c>
      <c r="G1133" s="76" t="e">
        <f ca="1">SUMIF('Production '!$C$4:$AI$4407,'Tracking Sheet'!B1133,'Production '!$W$4:$W$4407)</f>
        <v>#DIV/0!</v>
      </c>
      <c r="H1133" s="76">
        <f ca="1">SUMIF('Production '!$C$4:$AI$4407,'Tracking Sheet'!B1133,'Production '!$F$4:$F$4407)</f>
        <v>3230621.3283604058</v>
      </c>
      <c r="I1133" s="76">
        <f ca="1">SUMIF('Production '!$C$4:$AI$4407,'Tracking Sheet'!B1133,'Production '!$V$4:$V$4407)</f>
        <v>-489.86487791182844</v>
      </c>
      <c r="J1133" s="76">
        <f ca="1">SUMIF('Production '!$C$4:$AI$4407,'Tracking Sheet'!B1133,'Production '!$AG$4:$AG$4407)</f>
        <v>0</v>
      </c>
    </row>
    <row r="1134" spans="2:10" x14ac:dyDescent="0.3">
      <c r="B1134" s="277">
        <f>'Production '!C1137</f>
        <v>48042</v>
      </c>
      <c r="C1134" s="76">
        <f ca="1">SUMIF('Production '!$C$4:$AI$4407,'Tracking Sheet'!B1134,'Production '!$M$4:$M$4407)</f>
        <v>1462</v>
      </c>
      <c r="D1134" s="76">
        <f ca="1">SUMIF('Production '!$C$4:$AI$4407,'Tracking Sheet'!B1134,'Production '!$Q$4:$Q$4407)</f>
        <v>1449</v>
      </c>
      <c r="E1134" s="76">
        <f ca="1">SUMIF('Production '!$C$4:$AI$4407,'Tracking Sheet'!B1134,'Production '!$S$4:$S$4407)</f>
        <v>1449</v>
      </c>
      <c r="F1134" s="76">
        <f ca="1">SUMIF('Production '!$C$4:$AI$4407,'Tracking Sheet'!B1134,'Production '!$U$4:$U$4407)</f>
        <v>0</v>
      </c>
      <c r="G1134" s="76">
        <f ca="1">SUMIF('Production '!$C$4:$AI$4407,'Tracking Sheet'!B1134,'Production '!$W$4:$W$4407)</f>
        <v>1449</v>
      </c>
      <c r="H1134" s="76">
        <f ca="1">SUMIF('Production '!$C$4:$AI$4407,'Tracking Sheet'!B1134,'Production '!$F$4:$F$4407)</f>
        <v>1389</v>
      </c>
      <c r="I1134" s="76">
        <f ca="1">SUMIF('Production '!$C$4:$AI$4407,'Tracking Sheet'!B1134,'Production '!$V$4:$V$4407)</f>
        <v>0</v>
      </c>
      <c r="J1134" s="76">
        <f ca="1">SUMIF('Production '!$C$4:$AI$4407,'Tracking Sheet'!B1134,'Production '!$AG$4:$AG$4407)</f>
        <v>0</v>
      </c>
    </row>
    <row r="1135" spans="2:10" x14ac:dyDescent="0.3">
      <c r="B1135" s="277">
        <f>'Production '!C1138</f>
        <v>0</v>
      </c>
      <c r="C1135" s="76" t="e">
        <f ca="1">SUMIF('Production '!$C$4:$AI$4407,'Tracking Sheet'!B1135,'Production '!$M$4:$M$4407)</f>
        <v>#DIV/0!</v>
      </c>
      <c r="D1135" s="76" t="e">
        <f ca="1">SUMIF('Production '!$C$4:$AI$4407,'Tracking Sheet'!B1135,'Production '!$Q$4:$Q$4407)</f>
        <v>#DIV/0!</v>
      </c>
      <c r="E1135" s="76">
        <f ca="1">SUMIF('Production '!$C$4:$AI$4407,'Tracking Sheet'!B1135,'Production '!$S$4:$S$4407)</f>
        <v>-1268218.9828305368</v>
      </c>
      <c r="F1135" s="76">
        <f ca="1">SUMIF('Production '!$C$4:$AI$4407,'Tracking Sheet'!B1135,'Production '!$U$4:$U$4407)</f>
        <v>-10620.435600016917</v>
      </c>
      <c r="G1135" s="76" t="e">
        <f ca="1">SUMIF('Production '!$C$4:$AI$4407,'Tracking Sheet'!B1135,'Production '!$W$4:$W$4407)</f>
        <v>#DIV/0!</v>
      </c>
      <c r="H1135" s="76">
        <f ca="1">SUMIF('Production '!$C$4:$AI$4407,'Tracking Sheet'!B1135,'Production '!$F$4:$F$4407)</f>
        <v>3230621.3283604058</v>
      </c>
      <c r="I1135" s="76">
        <f ca="1">SUMIF('Production '!$C$4:$AI$4407,'Tracking Sheet'!B1135,'Production '!$V$4:$V$4407)</f>
        <v>-489.86487791182844</v>
      </c>
      <c r="J1135" s="76">
        <f ca="1">SUMIF('Production '!$C$4:$AI$4407,'Tracking Sheet'!B1135,'Production '!$AG$4:$AG$4407)</f>
        <v>0</v>
      </c>
    </row>
    <row r="1136" spans="2:10" x14ac:dyDescent="0.3">
      <c r="B1136" s="277">
        <f>'Production '!C1139</f>
        <v>48287</v>
      </c>
      <c r="C1136" s="76">
        <f ca="1">SUMIF('Production '!$C$4:$AI$4407,'Tracking Sheet'!B1136,'Production '!$M$4:$M$4407)</f>
        <v>0</v>
      </c>
      <c r="D1136" s="76">
        <f ca="1">SUMIF('Production '!$C$4:$AI$4407,'Tracking Sheet'!B1136,'Production '!$Q$4:$Q$4407)</f>
        <v>0</v>
      </c>
      <c r="E1136" s="76">
        <f ca="1">SUMIF('Production '!$C$4:$AI$4407,'Tracking Sheet'!B1136,'Production '!$S$4:$S$4407)</f>
        <v>0</v>
      </c>
      <c r="F1136" s="76">
        <f ca="1">SUMIF('Production '!$C$4:$AI$4407,'Tracking Sheet'!B1136,'Production '!$U$4:$U$4407)</f>
        <v>0</v>
      </c>
      <c r="G1136" s="76">
        <f ca="1">SUMIF('Production '!$C$4:$AI$4407,'Tracking Sheet'!B1136,'Production '!$W$4:$W$4407)</f>
        <v>0</v>
      </c>
      <c r="H1136" s="76">
        <f ca="1">SUMIF('Production '!$C$4:$AI$4407,'Tracking Sheet'!B1136,'Production '!$F$4:$F$4407)</f>
        <v>1543</v>
      </c>
      <c r="I1136" s="76">
        <f ca="1">SUMIF('Production '!$C$4:$AI$4407,'Tracking Sheet'!B1136,'Production '!$V$4:$V$4407)</f>
        <v>0</v>
      </c>
      <c r="J1136" s="76">
        <f ca="1">SUMIF('Production '!$C$4:$AI$4407,'Tracking Sheet'!B1136,'Production '!$AG$4:$AG$4407)</f>
        <v>-1543</v>
      </c>
    </row>
    <row r="1137" spans="2:10" x14ac:dyDescent="0.3">
      <c r="B1137" s="277">
        <f>'Production '!C1140</f>
        <v>0</v>
      </c>
      <c r="C1137" s="76" t="e">
        <f ca="1">SUMIF('Production '!$C$4:$AI$4407,'Tracking Sheet'!B1137,'Production '!$M$4:$M$4407)</f>
        <v>#DIV/0!</v>
      </c>
      <c r="D1137" s="76" t="e">
        <f ca="1">SUMIF('Production '!$C$4:$AI$4407,'Tracking Sheet'!B1137,'Production '!$Q$4:$Q$4407)</f>
        <v>#DIV/0!</v>
      </c>
      <c r="E1137" s="76">
        <f ca="1">SUMIF('Production '!$C$4:$AI$4407,'Tracking Sheet'!B1137,'Production '!$S$4:$S$4407)</f>
        <v>-1268218.9828305368</v>
      </c>
      <c r="F1137" s="76">
        <f ca="1">SUMIF('Production '!$C$4:$AI$4407,'Tracking Sheet'!B1137,'Production '!$U$4:$U$4407)</f>
        <v>-10620.435600016917</v>
      </c>
      <c r="G1137" s="76" t="e">
        <f ca="1">SUMIF('Production '!$C$4:$AI$4407,'Tracking Sheet'!B1137,'Production '!$W$4:$W$4407)</f>
        <v>#DIV/0!</v>
      </c>
      <c r="H1137" s="76">
        <f ca="1">SUMIF('Production '!$C$4:$AI$4407,'Tracking Sheet'!B1137,'Production '!$F$4:$F$4407)</f>
        <v>3230621.3283604058</v>
      </c>
      <c r="I1137" s="76">
        <f ca="1">SUMIF('Production '!$C$4:$AI$4407,'Tracking Sheet'!B1137,'Production '!$V$4:$V$4407)</f>
        <v>-489.86487791182844</v>
      </c>
      <c r="J1137" s="76">
        <f ca="1">SUMIF('Production '!$C$4:$AI$4407,'Tracking Sheet'!B1137,'Production '!$AG$4:$AG$4407)</f>
        <v>0</v>
      </c>
    </row>
    <row r="1138" spans="2:10" x14ac:dyDescent="0.3">
      <c r="B1138" s="277">
        <f>'Production '!C1141</f>
        <v>48015</v>
      </c>
      <c r="C1138" s="76">
        <f ca="1">SUMIF('Production '!$C$4:$AI$4407,'Tracking Sheet'!B1138,'Production '!$M$4:$M$4407)</f>
        <v>1042</v>
      </c>
      <c r="D1138" s="76">
        <f ca="1">SUMIF('Production '!$C$4:$AI$4407,'Tracking Sheet'!B1138,'Production '!$Q$4:$Q$4407)</f>
        <v>1042</v>
      </c>
      <c r="E1138" s="76">
        <f ca="1">SUMIF('Production '!$C$4:$AI$4407,'Tracking Sheet'!B1138,'Production '!$S$4:$S$4407)</f>
        <v>1041</v>
      </c>
      <c r="F1138" s="76">
        <f ca="1">SUMIF('Production '!$C$4:$AI$4407,'Tracking Sheet'!B1138,'Production '!$U$4:$U$4407)</f>
        <v>3</v>
      </c>
      <c r="G1138" s="76">
        <f ca="1">SUMIF('Production '!$C$4:$AI$4407,'Tracking Sheet'!B1138,'Production '!$W$4:$W$4407)</f>
        <v>1038</v>
      </c>
      <c r="H1138" s="76">
        <f ca="1">SUMIF('Production '!$C$4:$AI$4407,'Tracking Sheet'!B1138,'Production '!$F$4:$F$4407)</f>
        <v>1010</v>
      </c>
      <c r="I1138" s="76">
        <f ca="1">SUMIF('Production '!$C$4:$AI$4407,'Tracking Sheet'!B1138,'Production '!$V$4:$V$4407)</f>
        <v>0</v>
      </c>
      <c r="J1138" s="76">
        <f ca="1">SUMIF('Production '!$C$4:$AI$4407,'Tracking Sheet'!B1138,'Production '!$AG$4:$AG$4407)</f>
        <v>0</v>
      </c>
    </row>
    <row r="1139" spans="2:10" x14ac:dyDescent="0.3">
      <c r="B1139" s="277">
        <f>'Production '!C1142</f>
        <v>0</v>
      </c>
      <c r="C1139" s="76" t="e">
        <f ca="1">SUMIF('Production '!$C$4:$AI$4407,'Tracking Sheet'!B1139,'Production '!$M$4:$M$4407)</f>
        <v>#DIV/0!</v>
      </c>
      <c r="D1139" s="76" t="e">
        <f ca="1">SUMIF('Production '!$C$4:$AI$4407,'Tracking Sheet'!B1139,'Production '!$Q$4:$Q$4407)</f>
        <v>#DIV/0!</v>
      </c>
      <c r="E1139" s="76">
        <f ca="1">SUMIF('Production '!$C$4:$AI$4407,'Tracking Sheet'!B1139,'Production '!$S$4:$S$4407)</f>
        <v>-1268218.9828305368</v>
      </c>
      <c r="F1139" s="76">
        <f ca="1">SUMIF('Production '!$C$4:$AI$4407,'Tracking Sheet'!B1139,'Production '!$U$4:$U$4407)</f>
        <v>-10620.435600016917</v>
      </c>
      <c r="G1139" s="76" t="e">
        <f ca="1">SUMIF('Production '!$C$4:$AI$4407,'Tracking Sheet'!B1139,'Production '!$W$4:$W$4407)</f>
        <v>#DIV/0!</v>
      </c>
      <c r="H1139" s="76">
        <f ca="1">SUMIF('Production '!$C$4:$AI$4407,'Tracking Sheet'!B1139,'Production '!$F$4:$F$4407)</f>
        <v>3230621.3283604058</v>
      </c>
      <c r="I1139" s="76">
        <f ca="1">SUMIF('Production '!$C$4:$AI$4407,'Tracking Sheet'!B1139,'Production '!$V$4:$V$4407)</f>
        <v>-489.86487791182844</v>
      </c>
      <c r="J1139" s="76">
        <f ca="1">SUMIF('Production '!$C$4:$AI$4407,'Tracking Sheet'!B1139,'Production '!$AG$4:$AG$4407)</f>
        <v>0</v>
      </c>
    </row>
    <row r="1140" spans="2:10" x14ac:dyDescent="0.3">
      <c r="B1140" s="277">
        <f>'Production '!C1143</f>
        <v>48111</v>
      </c>
      <c r="C1140" s="76">
        <f ca="1">SUMIF('Production '!$C$4:$AI$4407,'Tracking Sheet'!B1140,'Production '!$M$4:$M$4407)</f>
        <v>7596</v>
      </c>
      <c r="D1140" s="76">
        <f ca="1">SUMIF('Production '!$C$4:$AI$4407,'Tracking Sheet'!B1140,'Production '!$Q$4:$Q$4407)</f>
        <v>7854</v>
      </c>
      <c r="E1140" s="76">
        <f ca="1">SUMIF('Production '!$C$4:$AI$4407,'Tracking Sheet'!B1140,'Production '!$S$4:$S$4407)</f>
        <v>0</v>
      </c>
      <c r="F1140" s="76">
        <f ca="1">SUMIF('Production '!$C$4:$AI$4407,'Tracking Sheet'!B1140,'Production '!$U$4:$U$4407)</f>
        <v>0</v>
      </c>
      <c r="G1140" s="76">
        <f ca="1">SUMIF('Production '!$C$4:$AI$4407,'Tracking Sheet'!B1140,'Production '!$W$4:$W$4407)</f>
        <v>0</v>
      </c>
      <c r="H1140" s="76">
        <f ca="1">SUMIF('Production '!$C$4:$AI$4407,'Tracking Sheet'!B1140,'Production '!$F$4:$F$4407)</f>
        <v>7620</v>
      </c>
      <c r="I1140" s="76">
        <f ca="1">SUMIF('Production '!$C$4:$AI$4407,'Tracking Sheet'!B1140,'Production '!$V$4:$V$4407)</f>
        <v>0</v>
      </c>
      <c r="J1140" s="76">
        <f ca="1">SUMIF('Production '!$C$4:$AI$4407,'Tracking Sheet'!B1140,'Production '!$AG$4:$AG$4407)</f>
        <v>-24</v>
      </c>
    </row>
    <row r="1141" spans="2:10" x14ac:dyDescent="0.3">
      <c r="B1141" s="277">
        <f>'Production '!C1144</f>
        <v>0</v>
      </c>
      <c r="C1141" s="76" t="e">
        <f ca="1">SUMIF('Production '!$C$4:$AI$4407,'Tracking Sheet'!B1141,'Production '!$M$4:$M$4407)</f>
        <v>#DIV/0!</v>
      </c>
      <c r="D1141" s="76" t="e">
        <f ca="1">SUMIF('Production '!$C$4:$AI$4407,'Tracking Sheet'!B1141,'Production '!$Q$4:$Q$4407)</f>
        <v>#DIV/0!</v>
      </c>
      <c r="E1141" s="76">
        <f ca="1">SUMIF('Production '!$C$4:$AI$4407,'Tracking Sheet'!B1141,'Production '!$S$4:$S$4407)</f>
        <v>-1268218.9828305368</v>
      </c>
      <c r="F1141" s="76">
        <f ca="1">SUMIF('Production '!$C$4:$AI$4407,'Tracking Sheet'!B1141,'Production '!$U$4:$U$4407)</f>
        <v>-10620.435600016917</v>
      </c>
      <c r="G1141" s="76" t="e">
        <f ca="1">SUMIF('Production '!$C$4:$AI$4407,'Tracking Sheet'!B1141,'Production '!$W$4:$W$4407)</f>
        <v>#DIV/0!</v>
      </c>
      <c r="H1141" s="76">
        <f ca="1">SUMIF('Production '!$C$4:$AI$4407,'Tracking Sheet'!B1141,'Production '!$F$4:$F$4407)</f>
        <v>3230621.3283604058</v>
      </c>
      <c r="I1141" s="76">
        <f ca="1">SUMIF('Production '!$C$4:$AI$4407,'Tracking Sheet'!B1141,'Production '!$V$4:$V$4407)</f>
        <v>-489.86487791182844</v>
      </c>
      <c r="J1141" s="76">
        <f ca="1">SUMIF('Production '!$C$4:$AI$4407,'Tracking Sheet'!B1141,'Production '!$AG$4:$AG$4407)</f>
        <v>0</v>
      </c>
    </row>
    <row r="1142" spans="2:10" x14ac:dyDescent="0.3">
      <c r="B1142" s="277">
        <f>'Production '!C1145</f>
        <v>48268</v>
      </c>
      <c r="C1142" s="76">
        <f ca="1">SUMIF('Production '!$C$4:$AI$4407,'Tracking Sheet'!B1142,'Production '!$M$4:$M$4407)</f>
        <v>1324</v>
      </c>
      <c r="D1142" s="76">
        <f ca="1">SUMIF('Production '!$C$4:$AI$4407,'Tracking Sheet'!B1142,'Production '!$Q$4:$Q$4407)</f>
        <v>1324</v>
      </c>
      <c r="E1142" s="76">
        <f ca="1">SUMIF('Production '!$C$4:$AI$4407,'Tracking Sheet'!B1142,'Production '!$S$4:$S$4407)</f>
        <v>1289</v>
      </c>
      <c r="F1142" s="76">
        <f ca="1">SUMIF('Production '!$C$4:$AI$4407,'Tracking Sheet'!B1142,'Production '!$U$4:$U$4407)</f>
        <v>1289</v>
      </c>
      <c r="G1142" s="76">
        <f ca="1">SUMIF('Production '!$C$4:$AI$4407,'Tracking Sheet'!B1142,'Production '!$W$4:$W$4407)</f>
        <v>0</v>
      </c>
      <c r="H1142" s="76">
        <f ca="1">SUMIF('Production '!$C$4:$AI$4407,'Tracking Sheet'!B1142,'Production '!$F$4:$F$4407)</f>
        <v>1285</v>
      </c>
      <c r="I1142" s="76">
        <f ca="1">SUMIF('Production '!$C$4:$AI$4407,'Tracking Sheet'!B1142,'Production '!$V$4:$V$4407)</f>
        <v>0</v>
      </c>
      <c r="J1142" s="76">
        <f ca="1">SUMIF('Production '!$C$4:$AI$4407,'Tracking Sheet'!B1142,'Production '!$AG$4:$AG$4407)</f>
        <v>0</v>
      </c>
    </row>
    <row r="1143" spans="2:10" x14ac:dyDescent="0.3">
      <c r="B1143" s="277">
        <f>'Production '!C1146</f>
        <v>0</v>
      </c>
      <c r="C1143" s="76" t="e">
        <f ca="1">SUMIF('Production '!$C$4:$AI$4407,'Tracking Sheet'!B1143,'Production '!$M$4:$M$4407)</f>
        <v>#DIV/0!</v>
      </c>
      <c r="D1143" s="76" t="e">
        <f ca="1">SUMIF('Production '!$C$4:$AI$4407,'Tracking Sheet'!B1143,'Production '!$Q$4:$Q$4407)</f>
        <v>#DIV/0!</v>
      </c>
      <c r="E1143" s="76">
        <f ca="1">SUMIF('Production '!$C$4:$AI$4407,'Tracking Sheet'!B1143,'Production '!$S$4:$S$4407)</f>
        <v>-1268218.9828305368</v>
      </c>
      <c r="F1143" s="76">
        <f ca="1">SUMIF('Production '!$C$4:$AI$4407,'Tracking Sheet'!B1143,'Production '!$U$4:$U$4407)</f>
        <v>-10620.435600016917</v>
      </c>
      <c r="G1143" s="76" t="e">
        <f ca="1">SUMIF('Production '!$C$4:$AI$4407,'Tracking Sheet'!B1143,'Production '!$W$4:$W$4407)</f>
        <v>#DIV/0!</v>
      </c>
      <c r="H1143" s="76">
        <f ca="1">SUMIF('Production '!$C$4:$AI$4407,'Tracking Sheet'!B1143,'Production '!$F$4:$F$4407)</f>
        <v>3230621.3283604058</v>
      </c>
      <c r="I1143" s="76">
        <f ca="1">SUMIF('Production '!$C$4:$AI$4407,'Tracking Sheet'!B1143,'Production '!$V$4:$V$4407)</f>
        <v>-489.86487791182844</v>
      </c>
      <c r="J1143" s="76">
        <f ca="1">SUMIF('Production '!$C$4:$AI$4407,'Tracking Sheet'!B1143,'Production '!$AG$4:$AG$4407)</f>
        <v>0</v>
      </c>
    </row>
    <row r="1144" spans="2:10" x14ac:dyDescent="0.3">
      <c r="B1144" s="277">
        <f>'Production '!C1147</f>
        <v>47978</v>
      </c>
      <c r="C1144" s="76">
        <f ca="1">SUMIF('Production '!$C$4:$AI$4407,'Tracking Sheet'!B1144,'Production '!$M$4:$M$4407)</f>
        <v>1665</v>
      </c>
      <c r="D1144" s="76">
        <f ca="1">SUMIF('Production '!$C$4:$AI$4407,'Tracking Sheet'!B1144,'Production '!$Q$4:$Q$4407)</f>
        <v>1665</v>
      </c>
      <c r="E1144" s="76">
        <f ca="1">SUMIF('Production '!$C$4:$AI$4407,'Tracking Sheet'!B1144,'Production '!$S$4:$S$4407)</f>
        <v>1647</v>
      </c>
      <c r="F1144" s="76">
        <f ca="1">SUMIF('Production '!$C$4:$AI$4407,'Tracking Sheet'!B1144,'Production '!$U$4:$U$4407)</f>
        <v>7</v>
      </c>
      <c r="G1144" s="76">
        <f ca="1">SUMIF('Production '!$C$4:$AI$4407,'Tracking Sheet'!B1144,'Production '!$W$4:$W$4407)</f>
        <v>1640</v>
      </c>
      <c r="H1144" s="76">
        <f ca="1">SUMIF('Production '!$C$4:$AI$4407,'Tracking Sheet'!B1144,'Production '!$F$4:$F$4407)</f>
        <v>1602</v>
      </c>
      <c r="I1144" s="76">
        <f ca="1">SUMIF('Production '!$C$4:$AI$4407,'Tracking Sheet'!B1144,'Production '!$V$4:$V$4407)</f>
        <v>0</v>
      </c>
      <c r="J1144" s="76">
        <f ca="1">SUMIF('Production '!$C$4:$AI$4407,'Tracking Sheet'!B1144,'Production '!$AG$4:$AG$4407)</f>
        <v>0</v>
      </c>
    </row>
    <row r="1145" spans="2:10" x14ac:dyDescent="0.3">
      <c r="B1145" s="277">
        <f>'Production '!C1148</f>
        <v>0</v>
      </c>
      <c r="C1145" s="76" t="e">
        <f ca="1">SUMIF('Production '!$C$4:$AI$4407,'Tracking Sheet'!B1145,'Production '!$M$4:$M$4407)</f>
        <v>#DIV/0!</v>
      </c>
      <c r="D1145" s="76" t="e">
        <f ca="1">SUMIF('Production '!$C$4:$AI$4407,'Tracking Sheet'!B1145,'Production '!$Q$4:$Q$4407)</f>
        <v>#DIV/0!</v>
      </c>
      <c r="E1145" s="76">
        <f ca="1">SUMIF('Production '!$C$4:$AI$4407,'Tracking Sheet'!B1145,'Production '!$S$4:$S$4407)</f>
        <v>-1268218.9828305368</v>
      </c>
      <c r="F1145" s="76">
        <f ca="1">SUMIF('Production '!$C$4:$AI$4407,'Tracking Sheet'!B1145,'Production '!$U$4:$U$4407)</f>
        <v>-10620.435600016917</v>
      </c>
      <c r="G1145" s="76" t="e">
        <f ca="1">SUMIF('Production '!$C$4:$AI$4407,'Tracking Sheet'!B1145,'Production '!$W$4:$W$4407)</f>
        <v>#DIV/0!</v>
      </c>
      <c r="H1145" s="76">
        <f ca="1">SUMIF('Production '!$C$4:$AI$4407,'Tracking Sheet'!B1145,'Production '!$F$4:$F$4407)</f>
        <v>3230621.3283604058</v>
      </c>
      <c r="I1145" s="76">
        <f ca="1">SUMIF('Production '!$C$4:$AI$4407,'Tracking Sheet'!B1145,'Production '!$V$4:$V$4407)</f>
        <v>-489.86487791182844</v>
      </c>
      <c r="J1145" s="76">
        <f ca="1">SUMIF('Production '!$C$4:$AI$4407,'Tracking Sheet'!B1145,'Production '!$AG$4:$AG$4407)</f>
        <v>0</v>
      </c>
    </row>
    <row r="1146" spans="2:10" x14ac:dyDescent="0.3">
      <c r="B1146" s="277">
        <f>'Production '!C1149</f>
        <v>48046</v>
      </c>
      <c r="C1146" s="76">
        <f ca="1">SUMIF('Production '!$C$4:$AI$4407,'Tracking Sheet'!B1146,'Production '!$M$4:$M$4407)</f>
        <v>5714</v>
      </c>
      <c r="D1146" s="76">
        <f ca="1">SUMIF('Production '!$C$4:$AI$4407,'Tracking Sheet'!B1146,'Production '!$Q$4:$Q$4407)</f>
        <v>0</v>
      </c>
      <c r="E1146" s="76">
        <f ca="1">SUMIF('Production '!$C$4:$AI$4407,'Tracking Sheet'!B1146,'Production '!$S$4:$S$4407)</f>
        <v>0</v>
      </c>
      <c r="F1146" s="76">
        <f ca="1">SUMIF('Production '!$C$4:$AI$4407,'Tracking Sheet'!B1146,'Production '!$U$4:$U$4407)</f>
        <v>2</v>
      </c>
      <c r="G1146" s="76">
        <f ca="1">SUMIF('Production '!$C$4:$AI$4407,'Tracking Sheet'!B1146,'Production '!$W$4:$W$4407)</f>
        <v>5712</v>
      </c>
      <c r="H1146" s="76">
        <f ca="1">SUMIF('Production '!$C$4:$AI$4407,'Tracking Sheet'!B1146,'Production '!$F$4:$F$4407)</f>
        <v>5531</v>
      </c>
      <c r="I1146" s="76">
        <f ca="1">SUMIF('Production '!$C$4:$AI$4407,'Tracking Sheet'!B1146,'Production '!$V$4:$V$4407)</f>
        <v>0</v>
      </c>
      <c r="J1146" s="76">
        <f ca="1">SUMIF('Production '!$C$4:$AI$4407,'Tracking Sheet'!B1146,'Production '!$AG$4:$AG$4407)</f>
        <v>0</v>
      </c>
    </row>
    <row r="1147" spans="2:10" x14ac:dyDescent="0.3">
      <c r="B1147" s="277">
        <f>'Production '!C1150</f>
        <v>48046</v>
      </c>
      <c r="C1147" s="76">
        <f ca="1">SUMIF('Production '!$C$4:$AI$4407,'Tracking Sheet'!B1147,'Production '!$M$4:$M$4407)</f>
        <v>5714</v>
      </c>
      <c r="D1147" s="76">
        <f ca="1">SUMIF('Production '!$C$4:$AI$4407,'Tracking Sheet'!B1147,'Production '!$Q$4:$Q$4407)</f>
        <v>0</v>
      </c>
      <c r="E1147" s="76">
        <f ca="1">SUMIF('Production '!$C$4:$AI$4407,'Tracking Sheet'!B1147,'Production '!$S$4:$S$4407)</f>
        <v>0</v>
      </c>
      <c r="F1147" s="76">
        <f ca="1">SUMIF('Production '!$C$4:$AI$4407,'Tracking Sheet'!B1147,'Production '!$U$4:$U$4407)</f>
        <v>2</v>
      </c>
      <c r="G1147" s="76">
        <f ca="1">SUMIF('Production '!$C$4:$AI$4407,'Tracking Sheet'!B1147,'Production '!$W$4:$W$4407)</f>
        <v>5712</v>
      </c>
      <c r="H1147" s="76">
        <f ca="1">SUMIF('Production '!$C$4:$AI$4407,'Tracking Sheet'!B1147,'Production '!$F$4:$F$4407)</f>
        <v>5531</v>
      </c>
      <c r="I1147" s="76">
        <f ca="1">SUMIF('Production '!$C$4:$AI$4407,'Tracking Sheet'!B1147,'Production '!$V$4:$V$4407)</f>
        <v>0</v>
      </c>
      <c r="J1147" s="76">
        <f ca="1">SUMIF('Production '!$C$4:$AI$4407,'Tracking Sheet'!B1147,'Production '!$AG$4:$AG$4407)</f>
        <v>0</v>
      </c>
    </row>
    <row r="1148" spans="2:10" x14ac:dyDescent="0.3">
      <c r="B1148" s="277">
        <f>'Production '!C1151</f>
        <v>48046</v>
      </c>
      <c r="C1148" s="76">
        <f ca="1">SUMIF('Production '!$C$4:$AI$4407,'Tracking Sheet'!B1148,'Production '!$M$4:$M$4407)</f>
        <v>5714</v>
      </c>
      <c r="D1148" s="76">
        <f ca="1">SUMIF('Production '!$C$4:$AI$4407,'Tracking Sheet'!B1148,'Production '!$Q$4:$Q$4407)</f>
        <v>0</v>
      </c>
      <c r="E1148" s="76">
        <f ca="1">SUMIF('Production '!$C$4:$AI$4407,'Tracking Sheet'!B1148,'Production '!$S$4:$S$4407)</f>
        <v>0</v>
      </c>
      <c r="F1148" s="76">
        <f ca="1">SUMIF('Production '!$C$4:$AI$4407,'Tracking Sheet'!B1148,'Production '!$U$4:$U$4407)</f>
        <v>2</v>
      </c>
      <c r="G1148" s="76">
        <f ca="1">SUMIF('Production '!$C$4:$AI$4407,'Tracking Sheet'!B1148,'Production '!$W$4:$W$4407)</f>
        <v>5712</v>
      </c>
      <c r="H1148" s="76">
        <f ca="1">SUMIF('Production '!$C$4:$AI$4407,'Tracking Sheet'!B1148,'Production '!$F$4:$F$4407)</f>
        <v>5531</v>
      </c>
      <c r="I1148" s="76">
        <f ca="1">SUMIF('Production '!$C$4:$AI$4407,'Tracking Sheet'!B1148,'Production '!$V$4:$V$4407)</f>
        <v>0</v>
      </c>
      <c r="J1148" s="76">
        <f ca="1">SUMIF('Production '!$C$4:$AI$4407,'Tracking Sheet'!B1148,'Production '!$AG$4:$AG$4407)</f>
        <v>0</v>
      </c>
    </row>
    <row r="1149" spans="2:10" x14ac:dyDescent="0.3">
      <c r="B1149" s="277">
        <f>'Production '!C1152</f>
        <v>48046</v>
      </c>
      <c r="C1149" s="76">
        <f ca="1">SUMIF('Production '!$C$4:$AI$4407,'Tracking Sheet'!B1149,'Production '!$M$4:$M$4407)</f>
        <v>5714</v>
      </c>
      <c r="D1149" s="76">
        <f ca="1">SUMIF('Production '!$C$4:$AI$4407,'Tracking Sheet'!B1149,'Production '!$Q$4:$Q$4407)</f>
        <v>0</v>
      </c>
      <c r="E1149" s="76">
        <f ca="1">SUMIF('Production '!$C$4:$AI$4407,'Tracking Sheet'!B1149,'Production '!$S$4:$S$4407)</f>
        <v>0</v>
      </c>
      <c r="F1149" s="76">
        <f ca="1">SUMIF('Production '!$C$4:$AI$4407,'Tracking Sheet'!B1149,'Production '!$U$4:$U$4407)</f>
        <v>2</v>
      </c>
      <c r="G1149" s="76">
        <f ca="1">SUMIF('Production '!$C$4:$AI$4407,'Tracking Sheet'!B1149,'Production '!$W$4:$W$4407)</f>
        <v>5712</v>
      </c>
      <c r="H1149" s="76">
        <f ca="1">SUMIF('Production '!$C$4:$AI$4407,'Tracking Sheet'!B1149,'Production '!$F$4:$F$4407)</f>
        <v>5531</v>
      </c>
      <c r="I1149" s="76">
        <f ca="1">SUMIF('Production '!$C$4:$AI$4407,'Tracking Sheet'!B1149,'Production '!$V$4:$V$4407)</f>
        <v>0</v>
      </c>
      <c r="J1149" s="76">
        <f ca="1">SUMIF('Production '!$C$4:$AI$4407,'Tracking Sheet'!B1149,'Production '!$AG$4:$AG$4407)</f>
        <v>0</v>
      </c>
    </row>
    <row r="1150" spans="2:10" x14ac:dyDescent="0.3">
      <c r="B1150" s="277">
        <f>'Production '!C1153</f>
        <v>0</v>
      </c>
      <c r="C1150" s="76" t="e">
        <f ca="1">SUMIF('Production '!$C$4:$AI$4407,'Tracking Sheet'!B1150,'Production '!$M$4:$M$4407)</f>
        <v>#DIV/0!</v>
      </c>
      <c r="D1150" s="76" t="e">
        <f ca="1">SUMIF('Production '!$C$4:$AI$4407,'Tracking Sheet'!B1150,'Production '!$Q$4:$Q$4407)</f>
        <v>#DIV/0!</v>
      </c>
      <c r="E1150" s="76">
        <f ca="1">SUMIF('Production '!$C$4:$AI$4407,'Tracking Sheet'!B1150,'Production '!$S$4:$S$4407)</f>
        <v>-1268218.9828305368</v>
      </c>
      <c r="F1150" s="76">
        <f ca="1">SUMIF('Production '!$C$4:$AI$4407,'Tracking Sheet'!B1150,'Production '!$U$4:$U$4407)</f>
        <v>-10620.435600016917</v>
      </c>
      <c r="G1150" s="76" t="e">
        <f ca="1">SUMIF('Production '!$C$4:$AI$4407,'Tracking Sheet'!B1150,'Production '!$W$4:$W$4407)</f>
        <v>#DIV/0!</v>
      </c>
      <c r="H1150" s="76">
        <f ca="1">SUMIF('Production '!$C$4:$AI$4407,'Tracking Sheet'!B1150,'Production '!$F$4:$F$4407)</f>
        <v>3230621.3283604058</v>
      </c>
      <c r="I1150" s="76">
        <f ca="1">SUMIF('Production '!$C$4:$AI$4407,'Tracking Sheet'!B1150,'Production '!$V$4:$V$4407)</f>
        <v>-489.86487791182844</v>
      </c>
      <c r="J1150" s="76">
        <f ca="1">SUMIF('Production '!$C$4:$AI$4407,'Tracking Sheet'!B1150,'Production '!$AG$4:$AG$4407)</f>
        <v>0</v>
      </c>
    </row>
    <row r="1151" spans="2:10" x14ac:dyDescent="0.3">
      <c r="B1151" s="277">
        <f>'Production '!C1154</f>
        <v>47953</v>
      </c>
      <c r="C1151" s="76">
        <f ca="1">SUMIF('Production '!$C$4:$AI$4407,'Tracking Sheet'!B1151,'Production '!$M$4:$M$4407)</f>
        <v>1695</v>
      </c>
      <c r="D1151" s="76">
        <f ca="1">SUMIF('Production '!$C$4:$AI$4407,'Tracking Sheet'!B1151,'Production '!$Q$4:$Q$4407)</f>
        <v>1695</v>
      </c>
      <c r="E1151" s="76">
        <f ca="1">SUMIF('Production '!$C$4:$AI$4407,'Tracking Sheet'!B1151,'Production '!$S$4:$S$4407)</f>
        <v>1690</v>
      </c>
      <c r="F1151" s="76">
        <f ca="1">SUMIF('Production '!$C$4:$AI$4407,'Tracking Sheet'!B1151,'Production '!$U$4:$U$4407)</f>
        <v>5</v>
      </c>
      <c r="G1151" s="76">
        <f ca="1">SUMIF('Production '!$C$4:$AI$4407,'Tracking Sheet'!B1151,'Production '!$W$4:$W$4407)</f>
        <v>1685</v>
      </c>
      <c r="H1151" s="76">
        <f ca="1">SUMIF('Production '!$C$4:$AI$4407,'Tracking Sheet'!B1151,'Production '!$F$4:$F$4407)</f>
        <v>1627</v>
      </c>
      <c r="I1151" s="76">
        <f ca="1">SUMIF('Production '!$C$4:$AI$4407,'Tracking Sheet'!B1151,'Production '!$V$4:$V$4407)</f>
        <v>0</v>
      </c>
      <c r="J1151" s="76">
        <f ca="1">SUMIF('Production '!$C$4:$AI$4407,'Tracking Sheet'!B1151,'Production '!$AG$4:$AG$4407)</f>
        <v>0</v>
      </c>
    </row>
    <row r="1152" spans="2:10" x14ac:dyDescent="0.3">
      <c r="B1152" s="277">
        <f>'Production '!C1155</f>
        <v>47953</v>
      </c>
      <c r="C1152" s="76">
        <f ca="1">SUMIF('Production '!$C$4:$AI$4407,'Tracking Sheet'!B1152,'Production '!$M$4:$M$4407)</f>
        <v>1695</v>
      </c>
      <c r="D1152" s="76">
        <f ca="1">SUMIF('Production '!$C$4:$AI$4407,'Tracking Sheet'!B1152,'Production '!$Q$4:$Q$4407)</f>
        <v>1695</v>
      </c>
      <c r="E1152" s="76">
        <f ca="1">SUMIF('Production '!$C$4:$AI$4407,'Tracking Sheet'!B1152,'Production '!$S$4:$S$4407)</f>
        <v>1690</v>
      </c>
      <c r="F1152" s="76">
        <f ca="1">SUMIF('Production '!$C$4:$AI$4407,'Tracking Sheet'!B1152,'Production '!$U$4:$U$4407)</f>
        <v>5</v>
      </c>
      <c r="G1152" s="76">
        <f ca="1">SUMIF('Production '!$C$4:$AI$4407,'Tracking Sheet'!B1152,'Production '!$W$4:$W$4407)</f>
        <v>1685</v>
      </c>
      <c r="H1152" s="76">
        <f ca="1">SUMIF('Production '!$C$4:$AI$4407,'Tracking Sheet'!B1152,'Production '!$F$4:$F$4407)</f>
        <v>1627</v>
      </c>
      <c r="I1152" s="76">
        <f ca="1">SUMIF('Production '!$C$4:$AI$4407,'Tracking Sheet'!B1152,'Production '!$V$4:$V$4407)</f>
        <v>0</v>
      </c>
      <c r="J1152" s="76">
        <f ca="1">SUMIF('Production '!$C$4:$AI$4407,'Tracking Sheet'!B1152,'Production '!$AG$4:$AG$4407)</f>
        <v>0</v>
      </c>
    </row>
    <row r="1153" spans="2:10" x14ac:dyDescent="0.3">
      <c r="B1153" s="277">
        <f>'Production '!C1156</f>
        <v>0</v>
      </c>
      <c r="C1153" s="76" t="e">
        <f ca="1">SUMIF('Production '!$C$4:$AI$4407,'Tracking Sheet'!B1153,'Production '!$M$4:$M$4407)</f>
        <v>#DIV/0!</v>
      </c>
      <c r="D1153" s="76" t="e">
        <f ca="1">SUMIF('Production '!$C$4:$AI$4407,'Tracking Sheet'!B1153,'Production '!$Q$4:$Q$4407)</f>
        <v>#DIV/0!</v>
      </c>
      <c r="E1153" s="76">
        <f ca="1">SUMIF('Production '!$C$4:$AI$4407,'Tracking Sheet'!B1153,'Production '!$S$4:$S$4407)</f>
        <v>-1268218.9828305368</v>
      </c>
      <c r="F1153" s="76">
        <f ca="1">SUMIF('Production '!$C$4:$AI$4407,'Tracking Sheet'!B1153,'Production '!$U$4:$U$4407)</f>
        <v>-10620.435600016917</v>
      </c>
      <c r="G1153" s="76" t="e">
        <f ca="1">SUMIF('Production '!$C$4:$AI$4407,'Tracking Sheet'!B1153,'Production '!$W$4:$W$4407)</f>
        <v>#DIV/0!</v>
      </c>
      <c r="H1153" s="76">
        <f ca="1">SUMIF('Production '!$C$4:$AI$4407,'Tracking Sheet'!B1153,'Production '!$F$4:$F$4407)</f>
        <v>3230621.3283604058</v>
      </c>
      <c r="I1153" s="76">
        <f ca="1">SUMIF('Production '!$C$4:$AI$4407,'Tracking Sheet'!B1153,'Production '!$V$4:$V$4407)</f>
        <v>-489.86487791182844</v>
      </c>
      <c r="J1153" s="76">
        <f ca="1">SUMIF('Production '!$C$4:$AI$4407,'Tracking Sheet'!B1153,'Production '!$AG$4:$AG$4407)</f>
        <v>0</v>
      </c>
    </row>
    <row r="1154" spans="2:10" x14ac:dyDescent="0.3">
      <c r="B1154" s="277">
        <f>'Production '!C1157</f>
        <v>48277</v>
      </c>
      <c r="C1154" s="76">
        <f ca="1">SUMIF('Production '!$C$4:$AI$4407,'Tracking Sheet'!B1154,'Production '!$M$4:$M$4407)</f>
        <v>0</v>
      </c>
      <c r="D1154" s="76">
        <f ca="1">SUMIF('Production '!$C$4:$AI$4407,'Tracking Sheet'!B1154,'Production '!$Q$4:$Q$4407)</f>
        <v>0</v>
      </c>
      <c r="E1154" s="76">
        <f ca="1">SUMIF('Production '!$C$4:$AI$4407,'Tracking Sheet'!B1154,'Production '!$S$4:$S$4407)</f>
        <v>0</v>
      </c>
      <c r="F1154" s="76">
        <f ca="1">SUMIF('Production '!$C$4:$AI$4407,'Tracking Sheet'!B1154,'Production '!$U$4:$U$4407)</f>
        <v>0</v>
      </c>
      <c r="G1154" s="76">
        <f ca="1">SUMIF('Production '!$C$4:$AI$4407,'Tracking Sheet'!B1154,'Production '!$W$4:$W$4407)</f>
        <v>0</v>
      </c>
      <c r="H1154" s="76">
        <f ca="1">SUMIF('Production '!$C$4:$AI$4407,'Tracking Sheet'!B1154,'Production '!$F$4:$F$4407)</f>
        <v>807</v>
      </c>
      <c r="I1154" s="76">
        <f ca="1">SUMIF('Production '!$C$4:$AI$4407,'Tracking Sheet'!B1154,'Production '!$V$4:$V$4407)</f>
        <v>0</v>
      </c>
      <c r="J1154" s="76">
        <f ca="1">SUMIF('Production '!$C$4:$AI$4407,'Tracking Sheet'!B1154,'Production '!$AG$4:$AG$4407)</f>
        <v>-807</v>
      </c>
    </row>
    <row r="1155" spans="2:10" x14ac:dyDescent="0.3">
      <c r="B1155" s="277">
        <f>'Production '!C1158</f>
        <v>0</v>
      </c>
      <c r="C1155" s="76" t="e">
        <f ca="1">SUMIF('Production '!$C$4:$AI$4407,'Tracking Sheet'!B1155,'Production '!$M$4:$M$4407)</f>
        <v>#DIV/0!</v>
      </c>
      <c r="D1155" s="76" t="e">
        <f ca="1">SUMIF('Production '!$C$4:$AI$4407,'Tracking Sheet'!B1155,'Production '!$Q$4:$Q$4407)</f>
        <v>#DIV/0!</v>
      </c>
      <c r="E1155" s="76">
        <f ca="1">SUMIF('Production '!$C$4:$AI$4407,'Tracking Sheet'!B1155,'Production '!$S$4:$S$4407)</f>
        <v>-1268218.9828305368</v>
      </c>
      <c r="F1155" s="76">
        <f ca="1">SUMIF('Production '!$C$4:$AI$4407,'Tracking Sheet'!B1155,'Production '!$U$4:$U$4407)</f>
        <v>-10620.435600016917</v>
      </c>
      <c r="G1155" s="76" t="e">
        <f ca="1">SUMIF('Production '!$C$4:$AI$4407,'Tracking Sheet'!B1155,'Production '!$W$4:$W$4407)</f>
        <v>#DIV/0!</v>
      </c>
      <c r="H1155" s="76">
        <f ca="1">SUMIF('Production '!$C$4:$AI$4407,'Tracking Sheet'!B1155,'Production '!$F$4:$F$4407)</f>
        <v>3230621.3283604058</v>
      </c>
      <c r="I1155" s="76">
        <f ca="1">SUMIF('Production '!$C$4:$AI$4407,'Tracking Sheet'!B1155,'Production '!$V$4:$V$4407)</f>
        <v>-489.86487791182844</v>
      </c>
      <c r="J1155" s="76">
        <f ca="1">SUMIF('Production '!$C$4:$AI$4407,'Tracking Sheet'!B1155,'Production '!$AG$4:$AG$4407)</f>
        <v>0</v>
      </c>
    </row>
    <row r="1156" spans="2:10" x14ac:dyDescent="0.3">
      <c r="B1156" s="277">
        <f>'Production '!C1159</f>
        <v>48272</v>
      </c>
      <c r="C1156" s="76">
        <f ca="1">SUMIF('Production '!$C$4:$AI$4407,'Tracking Sheet'!B1156,'Production '!$M$4:$M$4407)</f>
        <v>0</v>
      </c>
      <c r="D1156" s="76">
        <f ca="1">SUMIF('Production '!$C$4:$AI$4407,'Tracking Sheet'!B1156,'Production '!$Q$4:$Q$4407)</f>
        <v>0</v>
      </c>
      <c r="E1156" s="76">
        <f ca="1">SUMIF('Production '!$C$4:$AI$4407,'Tracking Sheet'!B1156,'Production '!$S$4:$S$4407)</f>
        <v>0</v>
      </c>
      <c r="F1156" s="76">
        <f ca="1">SUMIF('Production '!$C$4:$AI$4407,'Tracking Sheet'!B1156,'Production '!$U$4:$U$4407)</f>
        <v>0</v>
      </c>
      <c r="G1156" s="76">
        <f ca="1">SUMIF('Production '!$C$4:$AI$4407,'Tracking Sheet'!B1156,'Production '!$W$4:$W$4407)</f>
        <v>0</v>
      </c>
      <c r="H1156" s="76">
        <f ca="1">SUMIF('Production '!$C$4:$AI$4407,'Tracking Sheet'!B1156,'Production '!$F$4:$F$4407)</f>
        <v>1440</v>
      </c>
      <c r="I1156" s="76">
        <f ca="1">SUMIF('Production '!$C$4:$AI$4407,'Tracking Sheet'!B1156,'Production '!$V$4:$V$4407)</f>
        <v>0</v>
      </c>
      <c r="J1156" s="76">
        <f ca="1">SUMIF('Production '!$C$4:$AI$4407,'Tracking Sheet'!B1156,'Production '!$AG$4:$AG$4407)</f>
        <v>-1440</v>
      </c>
    </row>
    <row r="1157" spans="2:10" x14ac:dyDescent="0.3">
      <c r="B1157" s="277">
        <f>'Production '!C1160</f>
        <v>0</v>
      </c>
      <c r="C1157" s="76" t="e">
        <f ca="1">SUMIF('Production '!$C$4:$AI$4407,'Tracking Sheet'!B1157,'Production '!$M$4:$M$4407)</f>
        <v>#DIV/0!</v>
      </c>
      <c r="D1157" s="76" t="e">
        <f ca="1">SUMIF('Production '!$C$4:$AI$4407,'Tracking Sheet'!B1157,'Production '!$Q$4:$Q$4407)</f>
        <v>#DIV/0!</v>
      </c>
      <c r="E1157" s="76">
        <f ca="1">SUMIF('Production '!$C$4:$AI$4407,'Tracking Sheet'!B1157,'Production '!$S$4:$S$4407)</f>
        <v>-1268218.9828305368</v>
      </c>
      <c r="F1157" s="76">
        <f ca="1">SUMIF('Production '!$C$4:$AI$4407,'Tracking Sheet'!B1157,'Production '!$U$4:$U$4407)</f>
        <v>-10620.435600016917</v>
      </c>
      <c r="G1157" s="76" t="e">
        <f ca="1">SUMIF('Production '!$C$4:$AI$4407,'Tracking Sheet'!B1157,'Production '!$W$4:$W$4407)</f>
        <v>#DIV/0!</v>
      </c>
      <c r="H1157" s="76">
        <f ca="1">SUMIF('Production '!$C$4:$AI$4407,'Tracking Sheet'!B1157,'Production '!$F$4:$F$4407)</f>
        <v>3230621.3283604058</v>
      </c>
      <c r="I1157" s="76">
        <f ca="1">SUMIF('Production '!$C$4:$AI$4407,'Tracking Sheet'!B1157,'Production '!$V$4:$V$4407)</f>
        <v>-489.86487791182844</v>
      </c>
      <c r="J1157" s="76">
        <f ca="1">SUMIF('Production '!$C$4:$AI$4407,'Tracking Sheet'!B1157,'Production '!$AG$4:$AG$4407)</f>
        <v>0</v>
      </c>
    </row>
    <row r="1158" spans="2:10" x14ac:dyDescent="0.3">
      <c r="B1158" s="277">
        <f>'Production '!C1161</f>
        <v>48072</v>
      </c>
      <c r="C1158" s="76">
        <f ca="1">SUMIF('Production '!$C$4:$AI$4407,'Tracking Sheet'!B1158,'Production '!$M$4:$M$4407)</f>
        <v>982</v>
      </c>
      <c r="D1158" s="76">
        <f ca="1">SUMIF('Production '!$C$4:$AI$4407,'Tracking Sheet'!B1158,'Production '!$Q$4:$Q$4407)</f>
        <v>0</v>
      </c>
      <c r="E1158" s="76">
        <f ca="1">SUMIF('Production '!$C$4:$AI$4407,'Tracking Sheet'!B1158,'Production '!$S$4:$S$4407)</f>
        <v>0</v>
      </c>
      <c r="F1158" s="76">
        <f ca="1">SUMIF('Production '!$C$4:$AI$4407,'Tracking Sheet'!B1158,'Production '!$U$4:$U$4407)</f>
        <v>21</v>
      </c>
      <c r="G1158" s="76">
        <f ca="1">SUMIF('Production '!$C$4:$AI$4407,'Tracking Sheet'!B1158,'Production '!$W$4:$W$4407)</f>
        <v>961</v>
      </c>
      <c r="H1158" s="76">
        <f ca="1">SUMIF('Production '!$C$4:$AI$4407,'Tracking Sheet'!B1158,'Production '!$F$4:$F$4407)</f>
        <v>996</v>
      </c>
      <c r="I1158" s="76">
        <f ca="1">SUMIF('Production '!$C$4:$AI$4407,'Tracking Sheet'!B1158,'Production '!$V$4:$V$4407)</f>
        <v>0</v>
      </c>
      <c r="J1158" s="76">
        <f ca="1">SUMIF('Production '!$C$4:$AI$4407,'Tracking Sheet'!B1158,'Production '!$AG$4:$AG$4407)</f>
        <v>-14</v>
      </c>
    </row>
    <row r="1159" spans="2:10" x14ac:dyDescent="0.3">
      <c r="B1159" s="277">
        <f>'Production '!C1162</f>
        <v>0</v>
      </c>
      <c r="C1159" s="76" t="e">
        <f ca="1">SUMIF('Production '!$C$4:$AI$4407,'Tracking Sheet'!B1159,'Production '!$M$4:$M$4407)</f>
        <v>#DIV/0!</v>
      </c>
      <c r="D1159" s="76" t="e">
        <f ca="1">SUMIF('Production '!$C$4:$AI$4407,'Tracking Sheet'!B1159,'Production '!$Q$4:$Q$4407)</f>
        <v>#DIV/0!</v>
      </c>
      <c r="E1159" s="76">
        <f ca="1">SUMIF('Production '!$C$4:$AI$4407,'Tracking Sheet'!B1159,'Production '!$S$4:$S$4407)</f>
        <v>-1268218.9828305368</v>
      </c>
      <c r="F1159" s="76">
        <f ca="1">SUMIF('Production '!$C$4:$AI$4407,'Tracking Sheet'!B1159,'Production '!$U$4:$U$4407)</f>
        <v>-10620.435600016917</v>
      </c>
      <c r="G1159" s="76" t="e">
        <f ca="1">SUMIF('Production '!$C$4:$AI$4407,'Tracking Sheet'!B1159,'Production '!$W$4:$W$4407)</f>
        <v>#DIV/0!</v>
      </c>
      <c r="H1159" s="76">
        <f ca="1">SUMIF('Production '!$C$4:$AI$4407,'Tracking Sheet'!B1159,'Production '!$F$4:$F$4407)</f>
        <v>3230621.3283604058</v>
      </c>
      <c r="I1159" s="76">
        <f ca="1">SUMIF('Production '!$C$4:$AI$4407,'Tracking Sheet'!B1159,'Production '!$V$4:$V$4407)</f>
        <v>-489.86487791182844</v>
      </c>
      <c r="J1159" s="76">
        <f ca="1">SUMIF('Production '!$C$4:$AI$4407,'Tracking Sheet'!B1159,'Production '!$AG$4:$AG$4407)</f>
        <v>0</v>
      </c>
    </row>
    <row r="1160" spans="2:10" x14ac:dyDescent="0.3">
      <c r="B1160" s="277">
        <f>'Production '!C1163</f>
        <v>48005</v>
      </c>
      <c r="C1160" s="76">
        <f ca="1">SUMIF('Production '!$C$4:$AI$4407,'Tracking Sheet'!B1160,'Production '!$M$4:$M$4407)</f>
        <v>2560</v>
      </c>
      <c r="D1160" s="76">
        <f ca="1">SUMIF('Production '!$C$4:$AI$4407,'Tracking Sheet'!B1160,'Production '!$Q$4:$Q$4407)</f>
        <v>2560</v>
      </c>
      <c r="E1160" s="76">
        <f ca="1">SUMIF('Production '!$C$4:$AI$4407,'Tracking Sheet'!B1160,'Production '!$S$4:$S$4407)</f>
        <v>0</v>
      </c>
      <c r="F1160" s="76">
        <f ca="1">SUMIF('Production '!$C$4:$AI$4407,'Tracking Sheet'!B1160,'Production '!$U$4:$U$4407)</f>
        <v>0</v>
      </c>
      <c r="G1160" s="76">
        <f ca="1">SUMIF('Production '!$C$4:$AI$4407,'Tracking Sheet'!B1160,'Production '!$W$4:$W$4407)</f>
        <v>0</v>
      </c>
      <c r="H1160" s="76">
        <f ca="1">SUMIF('Production '!$C$4:$AI$4407,'Tracking Sheet'!B1160,'Production '!$F$4:$F$4407)</f>
        <v>2421</v>
      </c>
      <c r="I1160" s="76">
        <f ca="1">SUMIF('Production '!$C$4:$AI$4407,'Tracking Sheet'!B1160,'Production '!$V$4:$V$4407)</f>
        <v>0</v>
      </c>
      <c r="J1160" s="76">
        <f ca="1">SUMIF('Production '!$C$4:$AI$4407,'Tracking Sheet'!B1160,'Production '!$AG$4:$AG$4407)</f>
        <v>0</v>
      </c>
    </row>
    <row r="1161" spans="2:10" x14ac:dyDescent="0.3">
      <c r="B1161" s="277">
        <f>'Production '!C1164</f>
        <v>0</v>
      </c>
      <c r="C1161" s="76" t="e">
        <f ca="1">SUMIF('Production '!$C$4:$AI$4407,'Tracking Sheet'!B1161,'Production '!$M$4:$M$4407)</f>
        <v>#DIV/0!</v>
      </c>
      <c r="D1161" s="76" t="e">
        <f ca="1">SUMIF('Production '!$C$4:$AI$4407,'Tracking Sheet'!B1161,'Production '!$Q$4:$Q$4407)</f>
        <v>#DIV/0!</v>
      </c>
      <c r="E1161" s="76">
        <f ca="1">SUMIF('Production '!$C$4:$AI$4407,'Tracking Sheet'!B1161,'Production '!$S$4:$S$4407)</f>
        <v>-1268218.9828305368</v>
      </c>
      <c r="F1161" s="76">
        <f ca="1">SUMIF('Production '!$C$4:$AI$4407,'Tracking Sheet'!B1161,'Production '!$U$4:$U$4407)</f>
        <v>-10620.435600016917</v>
      </c>
      <c r="G1161" s="76" t="e">
        <f ca="1">SUMIF('Production '!$C$4:$AI$4407,'Tracking Sheet'!B1161,'Production '!$W$4:$W$4407)</f>
        <v>#DIV/0!</v>
      </c>
      <c r="H1161" s="76">
        <f ca="1">SUMIF('Production '!$C$4:$AI$4407,'Tracking Sheet'!B1161,'Production '!$F$4:$F$4407)</f>
        <v>3230621.3283604058</v>
      </c>
      <c r="I1161" s="76">
        <f ca="1">SUMIF('Production '!$C$4:$AI$4407,'Tracking Sheet'!B1161,'Production '!$V$4:$V$4407)</f>
        <v>-489.86487791182844</v>
      </c>
      <c r="J1161" s="76">
        <f ca="1">SUMIF('Production '!$C$4:$AI$4407,'Tracking Sheet'!B1161,'Production '!$AG$4:$AG$4407)</f>
        <v>0</v>
      </c>
    </row>
    <row r="1162" spans="2:10" x14ac:dyDescent="0.3">
      <c r="B1162" s="277">
        <f>'Production '!C1165</f>
        <v>48006</v>
      </c>
      <c r="C1162" s="76">
        <f ca="1">SUMIF('Production '!$C$4:$AI$4407,'Tracking Sheet'!B1162,'Production '!$M$4:$M$4407)</f>
        <v>0</v>
      </c>
      <c r="D1162" s="76">
        <f ca="1">SUMIF('Production '!$C$4:$AI$4407,'Tracking Sheet'!B1162,'Production '!$Q$4:$Q$4407)</f>
        <v>0</v>
      </c>
      <c r="E1162" s="76">
        <f ca="1">SUMIF('Production '!$C$4:$AI$4407,'Tracking Sheet'!B1162,'Production '!$S$4:$S$4407)</f>
        <v>0</v>
      </c>
      <c r="F1162" s="76">
        <f ca="1">SUMIF('Production '!$C$4:$AI$4407,'Tracking Sheet'!B1162,'Production '!$U$4:$U$4407)</f>
        <v>0</v>
      </c>
      <c r="G1162" s="76">
        <f ca="1">SUMIF('Production '!$C$4:$AI$4407,'Tracking Sheet'!B1162,'Production '!$W$4:$W$4407)</f>
        <v>0</v>
      </c>
      <c r="H1162" s="76">
        <f ca="1">SUMIF('Production '!$C$4:$AI$4407,'Tracking Sheet'!B1162,'Production '!$F$4:$F$4407)</f>
        <v>2141</v>
      </c>
      <c r="I1162" s="76">
        <f ca="1">SUMIF('Production '!$C$4:$AI$4407,'Tracking Sheet'!B1162,'Production '!$V$4:$V$4407)</f>
        <v>0</v>
      </c>
      <c r="J1162" s="76">
        <f ca="1">SUMIF('Production '!$C$4:$AI$4407,'Tracking Sheet'!B1162,'Production '!$AG$4:$AG$4407)</f>
        <v>-2141</v>
      </c>
    </row>
    <row r="1163" spans="2:10" x14ac:dyDescent="0.3">
      <c r="B1163" s="277">
        <f>'Production '!C1166</f>
        <v>0</v>
      </c>
      <c r="C1163" s="76" t="e">
        <f ca="1">SUMIF('Production '!$C$4:$AI$4407,'Tracking Sheet'!B1163,'Production '!$M$4:$M$4407)</f>
        <v>#DIV/0!</v>
      </c>
      <c r="D1163" s="76" t="e">
        <f ca="1">SUMIF('Production '!$C$4:$AI$4407,'Tracking Sheet'!B1163,'Production '!$Q$4:$Q$4407)</f>
        <v>#DIV/0!</v>
      </c>
      <c r="E1163" s="76">
        <f ca="1">SUMIF('Production '!$C$4:$AI$4407,'Tracking Sheet'!B1163,'Production '!$S$4:$S$4407)</f>
        <v>-1268218.9828305368</v>
      </c>
      <c r="F1163" s="76">
        <f ca="1">SUMIF('Production '!$C$4:$AI$4407,'Tracking Sheet'!B1163,'Production '!$U$4:$U$4407)</f>
        <v>-10620.435600016917</v>
      </c>
      <c r="G1163" s="76" t="e">
        <f ca="1">SUMIF('Production '!$C$4:$AI$4407,'Tracking Sheet'!B1163,'Production '!$W$4:$W$4407)</f>
        <v>#DIV/0!</v>
      </c>
      <c r="H1163" s="76">
        <f ca="1">SUMIF('Production '!$C$4:$AI$4407,'Tracking Sheet'!B1163,'Production '!$F$4:$F$4407)</f>
        <v>3230621.3283604058</v>
      </c>
      <c r="I1163" s="76">
        <f ca="1">SUMIF('Production '!$C$4:$AI$4407,'Tracking Sheet'!B1163,'Production '!$V$4:$V$4407)</f>
        <v>-489.86487791182844</v>
      </c>
      <c r="J1163" s="76">
        <f ca="1">SUMIF('Production '!$C$4:$AI$4407,'Tracking Sheet'!B1163,'Production '!$AG$4:$AG$4407)</f>
        <v>0</v>
      </c>
    </row>
    <row r="1164" spans="2:10" x14ac:dyDescent="0.3">
      <c r="B1164" s="277">
        <f>'Production '!C1167</f>
        <v>0</v>
      </c>
      <c r="C1164" s="76" t="e">
        <f ca="1">SUMIF('Production '!$C$4:$AI$4407,'Tracking Sheet'!B1164,'Production '!$M$4:$M$4407)</f>
        <v>#DIV/0!</v>
      </c>
      <c r="D1164" s="76" t="e">
        <f ca="1">SUMIF('Production '!$C$4:$AI$4407,'Tracking Sheet'!B1164,'Production '!$Q$4:$Q$4407)</f>
        <v>#DIV/0!</v>
      </c>
      <c r="E1164" s="76">
        <f ca="1">SUMIF('Production '!$C$4:$AI$4407,'Tracking Sheet'!B1164,'Production '!$S$4:$S$4407)</f>
        <v>-1268218.9828305368</v>
      </c>
      <c r="F1164" s="76">
        <f ca="1">SUMIF('Production '!$C$4:$AI$4407,'Tracking Sheet'!B1164,'Production '!$U$4:$U$4407)</f>
        <v>-10620.435600016917</v>
      </c>
      <c r="G1164" s="76" t="e">
        <f ca="1">SUMIF('Production '!$C$4:$AI$4407,'Tracking Sheet'!B1164,'Production '!$W$4:$W$4407)</f>
        <v>#DIV/0!</v>
      </c>
      <c r="H1164" s="76">
        <f ca="1">SUMIF('Production '!$C$4:$AI$4407,'Tracking Sheet'!B1164,'Production '!$F$4:$F$4407)</f>
        <v>3230621.3283604058</v>
      </c>
      <c r="I1164" s="76">
        <f ca="1">SUMIF('Production '!$C$4:$AI$4407,'Tracking Sheet'!B1164,'Production '!$V$4:$V$4407)</f>
        <v>-489.86487791182844</v>
      </c>
      <c r="J1164" s="76">
        <f ca="1">SUMIF('Production '!$C$4:$AI$4407,'Tracking Sheet'!B1164,'Production '!$AG$4:$AG$4407)</f>
        <v>0</v>
      </c>
    </row>
    <row r="1165" spans="2:10" x14ac:dyDescent="0.3">
      <c r="B1165" s="277">
        <f>'Production '!C1168</f>
        <v>48194</v>
      </c>
      <c r="C1165" s="76">
        <f ca="1">SUMIF('Production '!$C$4:$AI$4407,'Tracking Sheet'!B1165,'Production '!$M$4:$M$4407)</f>
        <v>0</v>
      </c>
      <c r="D1165" s="76">
        <f ca="1">SUMIF('Production '!$C$4:$AI$4407,'Tracking Sheet'!B1165,'Production '!$Q$4:$Q$4407)</f>
        <v>0</v>
      </c>
      <c r="E1165" s="76">
        <f ca="1">SUMIF('Production '!$C$4:$AI$4407,'Tracking Sheet'!B1165,'Production '!$S$4:$S$4407)</f>
        <v>0</v>
      </c>
      <c r="F1165" s="76">
        <f ca="1">SUMIF('Production '!$C$4:$AI$4407,'Tracking Sheet'!B1165,'Production '!$U$4:$U$4407)</f>
        <v>0</v>
      </c>
      <c r="G1165" s="76">
        <f ca="1">SUMIF('Production '!$C$4:$AI$4407,'Tracking Sheet'!B1165,'Production '!$W$4:$W$4407)</f>
        <v>0</v>
      </c>
      <c r="H1165" s="76">
        <f ca="1">SUMIF('Production '!$C$4:$AI$4407,'Tracking Sheet'!B1165,'Production '!$F$4:$F$4407)</f>
        <v>822</v>
      </c>
      <c r="I1165" s="76">
        <f ca="1">SUMIF('Production '!$C$4:$AI$4407,'Tracking Sheet'!B1165,'Production '!$V$4:$V$4407)</f>
        <v>0</v>
      </c>
      <c r="J1165" s="76">
        <f ca="1">SUMIF('Production '!$C$4:$AI$4407,'Tracking Sheet'!B1165,'Production '!$AG$4:$AG$4407)</f>
        <v>-822</v>
      </c>
    </row>
    <row r="1166" spans="2:10" x14ac:dyDescent="0.3">
      <c r="B1166" s="277">
        <f>'Production '!C1169</f>
        <v>0</v>
      </c>
      <c r="C1166" s="76" t="e">
        <f ca="1">SUMIF('Production '!$C$4:$AI$4407,'Tracking Sheet'!B1166,'Production '!$M$4:$M$4407)</f>
        <v>#DIV/0!</v>
      </c>
      <c r="D1166" s="76" t="e">
        <f ca="1">SUMIF('Production '!$C$4:$AI$4407,'Tracking Sheet'!B1166,'Production '!$Q$4:$Q$4407)</f>
        <v>#DIV/0!</v>
      </c>
      <c r="E1166" s="76">
        <f ca="1">SUMIF('Production '!$C$4:$AI$4407,'Tracking Sheet'!B1166,'Production '!$S$4:$S$4407)</f>
        <v>-1268218.9828305368</v>
      </c>
      <c r="F1166" s="76">
        <f ca="1">SUMIF('Production '!$C$4:$AI$4407,'Tracking Sheet'!B1166,'Production '!$U$4:$U$4407)</f>
        <v>-10620.435600016917</v>
      </c>
      <c r="G1166" s="76" t="e">
        <f ca="1">SUMIF('Production '!$C$4:$AI$4407,'Tracking Sheet'!B1166,'Production '!$W$4:$W$4407)</f>
        <v>#DIV/0!</v>
      </c>
      <c r="H1166" s="76">
        <f ca="1">SUMIF('Production '!$C$4:$AI$4407,'Tracking Sheet'!B1166,'Production '!$F$4:$F$4407)</f>
        <v>3230621.3283604058</v>
      </c>
      <c r="I1166" s="76">
        <f ca="1">SUMIF('Production '!$C$4:$AI$4407,'Tracking Sheet'!B1166,'Production '!$V$4:$V$4407)</f>
        <v>-489.86487791182844</v>
      </c>
      <c r="J1166" s="76">
        <f ca="1">SUMIF('Production '!$C$4:$AI$4407,'Tracking Sheet'!B1166,'Production '!$AG$4:$AG$4407)</f>
        <v>0</v>
      </c>
    </row>
    <row r="1167" spans="2:10" x14ac:dyDescent="0.3">
      <c r="B1167" s="277">
        <f>'Production '!C1170</f>
        <v>48195</v>
      </c>
      <c r="C1167" s="76">
        <f ca="1">SUMIF('Production '!$C$4:$AI$4407,'Tracking Sheet'!B1167,'Production '!$M$4:$M$4407)</f>
        <v>0</v>
      </c>
      <c r="D1167" s="76">
        <f ca="1">SUMIF('Production '!$C$4:$AI$4407,'Tracking Sheet'!B1167,'Production '!$Q$4:$Q$4407)</f>
        <v>0</v>
      </c>
      <c r="E1167" s="76">
        <f ca="1">SUMIF('Production '!$C$4:$AI$4407,'Tracking Sheet'!B1167,'Production '!$S$4:$S$4407)</f>
        <v>0</v>
      </c>
      <c r="F1167" s="76">
        <f ca="1">SUMIF('Production '!$C$4:$AI$4407,'Tracking Sheet'!B1167,'Production '!$U$4:$U$4407)</f>
        <v>0</v>
      </c>
      <c r="G1167" s="76">
        <f ca="1">SUMIF('Production '!$C$4:$AI$4407,'Tracking Sheet'!B1167,'Production '!$W$4:$W$4407)</f>
        <v>0</v>
      </c>
      <c r="H1167" s="76">
        <f ca="1">SUMIF('Production '!$C$4:$AI$4407,'Tracking Sheet'!B1167,'Production '!$F$4:$F$4407)</f>
        <v>618</v>
      </c>
      <c r="I1167" s="76">
        <f ca="1">SUMIF('Production '!$C$4:$AI$4407,'Tracking Sheet'!B1167,'Production '!$V$4:$V$4407)</f>
        <v>0</v>
      </c>
      <c r="J1167" s="76">
        <f ca="1">SUMIF('Production '!$C$4:$AI$4407,'Tracking Sheet'!B1167,'Production '!$AG$4:$AG$4407)</f>
        <v>-618</v>
      </c>
    </row>
    <row r="1168" spans="2:10" x14ac:dyDescent="0.3">
      <c r="B1168" s="277">
        <f>'Production '!C1171</f>
        <v>0</v>
      </c>
      <c r="C1168" s="76" t="e">
        <f ca="1">SUMIF('Production '!$C$4:$AI$4407,'Tracking Sheet'!B1168,'Production '!$M$4:$M$4407)</f>
        <v>#DIV/0!</v>
      </c>
      <c r="D1168" s="76" t="e">
        <f ca="1">SUMIF('Production '!$C$4:$AI$4407,'Tracking Sheet'!B1168,'Production '!$Q$4:$Q$4407)</f>
        <v>#DIV/0!</v>
      </c>
      <c r="E1168" s="76">
        <f ca="1">SUMIF('Production '!$C$4:$AI$4407,'Tracking Sheet'!B1168,'Production '!$S$4:$S$4407)</f>
        <v>-1268218.9828305368</v>
      </c>
      <c r="F1168" s="76">
        <f ca="1">SUMIF('Production '!$C$4:$AI$4407,'Tracking Sheet'!B1168,'Production '!$U$4:$U$4407)</f>
        <v>-10620.435600016917</v>
      </c>
      <c r="G1168" s="76" t="e">
        <f ca="1">SUMIF('Production '!$C$4:$AI$4407,'Tracking Sheet'!B1168,'Production '!$W$4:$W$4407)</f>
        <v>#DIV/0!</v>
      </c>
      <c r="H1168" s="76">
        <f ca="1">SUMIF('Production '!$C$4:$AI$4407,'Tracking Sheet'!B1168,'Production '!$F$4:$F$4407)</f>
        <v>3230621.3283604058</v>
      </c>
      <c r="I1168" s="76">
        <f ca="1">SUMIF('Production '!$C$4:$AI$4407,'Tracking Sheet'!B1168,'Production '!$V$4:$V$4407)</f>
        <v>-489.86487791182844</v>
      </c>
      <c r="J1168" s="76">
        <f ca="1">SUMIF('Production '!$C$4:$AI$4407,'Tracking Sheet'!B1168,'Production '!$AG$4:$AG$4407)</f>
        <v>0</v>
      </c>
    </row>
    <row r="1169" spans="2:10" x14ac:dyDescent="0.3">
      <c r="B1169" s="277" t="str">
        <f>'Production '!C1172</f>
        <v>47819 2nd</v>
      </c>
      <c r="C1169" s="76">
        <f ca="1">SUMIF('Production '!$C$4:$AI$4407,'Tracking Sheet'!B1169,'Production '!$M$4:$M$4407)</f>
        <v>0</v>
      </c>
      <c r="D1169" s="76">
        <f ca="1">SUMIF('Production '!$C$4:$AI$4407,'Tracking Sheet'!B1169,'Production '!$Q$4:$Q$4407)</f>
        <v>0</v>
      </c>
      <c r="E1169" s="76">
        <f ca="1">SUMIF('Production '!$C$4:$AI$4407,'Tracking Sheet'!B1169,'Production '!$S$4:$S$4407)</f>
        <v>0</v>
      </c>
      <c r="F1169" s="76">
        <f ca="1">SUMIF('Production '!$C$4:$AI$4407,'Tracking Sheet'!B1169,'Production '!$U$4:$U$4407)</f>
        <v>0</v>
      </c>
      <c r="G1169" s="76">
        <f ca="1">SUMIF('Production '!$C$4:$AI$4407,'Tracking Sheet'!B1169,'Production '!$W$4:$W$4407)</f>
        <v>0</v>
      </c>
      <c r="H1169" s="76">
        <f ca="1">SUMIF('Production '!$C$4:$AI$4407,'Tracking Sheet'!B1169,'Production '!$F$4:$F$4407)</f>
        <v>950</v>
      </c>
      <c r="I1169" s="76">
        <f ca="1">SUMIF('Production '!$C$4:$AI$4407,'Tracking Sheet'!B1169,'Production '!$V$4:$V$4407)</f>
        <v>0</v>
      </c>
      <c r="J1169" s="76">
        <f ca="1">SUMIF('Production '!$C$4:$AI$4407,'Tracking Sheet'!B1169,'Production '!$AG$4:$AG$4407)</f>
        <v>-950</v>
      </c>
    </row>
    <row r="1170" spans="2:10" x14ac:dyDescent="0.3">
      <c r="B1170" s="277">
        <f>'Production '!C1173</f>
        <v>0</v>
      </c>
      <c r="C1170" s="76" t="e">
        <f ca="1">SUMIF('Production '!$C$4:$AI$4407,'Tracking Sheet'!B1170,'Production '!$M$4:$M$4407)</f>
        <v>#DIV/0!</v>
      </c>
      <c r="D1170" s="76" t="e">
        <f ca="1">SUMIF('Production '!$C$4:$AI$4407,'Tracking Sheet'!B1170,'Production '!$Q$4:$Q$4407)</f>
        <v>#DIV/0!</v>
      </c>
      <c r="E1170" s="76">
        <f ca="1">SUMIF('Production '!$C$4:$AI$4407,'Tracking Sheet'!B1170,'Production '!$S$4:$S$4407)</f>
        <v>-1268218.9828305368</v>
      </c>
      <c r="F1170" s="76">
        <f ca="1">SUMIF('Production '!$C$4:$AI$4407,'Tracking Sheet'!B1170,'Production '!$U$4:$U$4407)</f>
        <v>-10620.435600016917</v>
      </c>
      <c r="G1170" s="76" t="e">
        <f ca="1">SUMIF('Production '!$C$4:$AI$4407,'Tracking Sheet'!B1170,'Production '!$W$4:$W$4407)</f>
        <v>#DIV/0!</v>
      </c>
      <c r="H1170" s="76">
        <f ca="1">SUMIF('Production '!$C$4:$AI$4407,'Tracking Sheet'!B1170,'Production '!$F$4:$F$4407)</f>
        <v>3230621.3283604058</v>
      </c>
      <c r="I1170" s="76">
        <f ca="1">SUMIF('Production '!$C$4:$AI$4407,'Tracking Sheet'!B1170,'Production '!$V$4:$V$4407)</f>
        <v>-489.86487791182844</v>
      </c>
      <c r="J1170" s="76">
        <f ca="1">SUMIF('Production '!$C$4:$AI$4407,'Tracking Sheet'!B1170,'Production '!$AG$4:$AG$4407)</f>
        <v>0</v>
      </c>
    </row>
    <row r="1171" spans="2:10" x14ac:dyDescent="0.3">
      <c r="B1171" s="277">
        <f>'Production '!C1174</f>
        <v>48153</v>
      </c>
      <c r="C1171" s="76">
        <f ca="1">SUMIF('Production '!$C$4:$AI$4407,'Tracking Sheet'!B1171,'Production '!$M$4:$M$4407)</f>
        <v>0</v>
      </c>
      <c r="D1171" s="76">
        <f ca="1">SUMIF('Production '!$C$4:$AI$4407,'Tracking Sheet'!B1171,'Production '!$Q$4:$Q$4407)</f>
        <v>0</v>
      </c>
      <c r="E1171" s="76">
        <f ca="1">SUMIF('Production '!$C$4:$AI$4407,'Tracking Sheet'!B1171,'Production '!$S$4:$S$4407)</f>
        <v>0</v>
      </c>
      <c r="F1171" s="76">
        <f ca="1">SUMIF('Production '!$C$4:$AI$4407,'Tracking Sheet'!B1171,'Production '!$U$4:$U$4407)</f>
        <v>0</v>
      </c>
      <c r="G1171" s="76">
        <f ca="1">SUMIF('Production '!$C$4:$AI$4407,'Tracking Sheet'!B1171,'Production '!$W$4:$W$4407)</f>
        <v>0</v>
      </c>
      <c r="H1171" s="76">
        <f ca="1">SUMIF('Production '!$C$4:$AI$4407,'Tracking Sheet'!B1171,'Production '!$F$4:$F$4407)</f>
        <v>33733</v>
      </c>
      <c r="I1171" s="76">
        <f ca="1">SUMIF('Production '!$C$4:$AI$4407,'Tracking Sheet'!B1171,'Production '!$V$4:$V$4407)</f>
        <v>0</v>
      </c>
      <c r="J1171" s="76">
        <f ca="1">SUMIF('Production '!$C$4:$AI$4407,'Tracking Sheet'!B1171,'Production '!$AG$4:$AG$4407)</f>
        <v>-33733</v>
      </c>
    </row>
    <row r="1172" spans="2:10" x14ac:dyDescent="0.3">
      <c r="B1172" s="277">
        <f>'Production '!C1175</f>
        <v>48153</v>
      </c>
      <c r="C1172" s="76">
        <f ca="1">SUMIF('Production '!$C$4:$AI$4407,'Tracking Sheet'!B1172,'Production '!$M$4:$M$4407)</f>
        <v>0</v>
      </c>
      <c r="D1172" s="76">
        <f ca="1">SUMIF('Production '!$C$4:$AI$4407,'Tracking Sheet'!B1172,'Production '!$Q$4:$Q$4407)</f>
        <v>0</v>
      </c>
      <c r="E1172" s="76">
        <f ca="1">SUMIF('Production '!$C$4:$AI$4407,'Tracking Sheet'!B1172,'Production '!$S$4:$S$4407)</f>
        <v>0</v>
      </c>
      <c r="F1172" s="76">
        <f ca="1">SUMIF('Production '!$C$4:$AI$4407,'Tracking Sheet'!B1172,'Production '!$U$4:$U$4407)</f>
        <v>0</v>
      </c>
      <c r="G1172" s="76">
        <f ca="1">SUMIF('Production '!$C$4:$AI$4407,'Tracking Sheet'!B1172,'Production '!$W$4:$W$4407)</f>
        <v>0</v>
      </c>
      <c r="H1172" s="76">
        <f ca="1">SUMIF('Production '!$C$4:$AI$4407,'Tracking Sheet'!B1172,'Production '!$F$4:$F$4407)</f>
        <v>33733</v>
      </c>
      <c r="I1172" s="76">
        <f ca="1">SUMIF('Production '!$C$4:$AI$4407,'Tracking Sheet'!B1172,'Production '!$V$4:$V$4407)</f>
        <v>0</v>
      </c>
      <c r="J1172" s="76">
        <f ca="1">SUMIF('Production '!$C$4:$AI$4407,'Tracking Sheet'!B1172,'Production '!$AG$4:$AG$4407)</f>
        <v>-33733</v>
      </c>
    </row>
    <row r="1173" spans="2:10" x14ac:dyDescent="0.3">
      <c r="B1173" s="277">
        <f>'Production '!C1176</f>
        <v>48153</v>
      </c>
      <c r="C1173" s="76">
        <f ca="1">SUMIF('Production '!$C$4:$AI$4407,'Tracking Sheet'!B1173,'Production '!$M$4:$M$4407)</f>
        <v>0</v>
      </c>
      <c r="D1173" s="76">
        <f ca="1">SUMIF('Production '!$C$4:$AI$4407,'Tracking Sheet'!B1173,'Production '!$Q$4:$Q$4407)</f>
        <v>0</v>
      </c>
      <c r="E1173" s="76">
        <f ca="1">SUMIF('Production '!$C$4:$AI$4407,'Tracking Sheet'!B1173,'Production '!$S$4:$S$4407)</f>
        <v>0</v>
      </c>
      <c r="F1173" s="76">
        <f ca="1">SUMIF('Production '!$C$4:$AI$4407,'Tracking Sheet'!B1173,'Production '!$U$4:$U$4407)</f>
        <v>0</v>
      </c>
      <c r="G1173" s="76">
        <f ca="1">SUMIF('Production '!$C$4:$AI$4407,'Tracking Sheet'!B1173,'Production '!$W$4:$W$4407)</f>
        <v>0</v>
      </c>
      <c r="H1173" s="76">
        <f ca="1">SUMIF('Production '!$C$4:$AI$4407,'Tracking Sheet'!B1173,'Production '!$F$4:$F$4407)</f>
        <v>33733</v>
      </c>
      <c r="I1173" s="76">
        <f ca="1">SUMIF('Production '!$C$4:$AI$4407,'Tracking Sheet'!B1173,'Production '!$V$4:$V$4407)</f>
        <v>0</v>
      </c>
      <c r="J1173" s="76">
        <f ca="1">SUMIF('Production '!$C$4:$AI$4407,'Tracking Sheet'!B1173,'Production '!$AG$4:$AG$4407)</f>
        <v>-33733</v>
      </c>
    </row>
    <row r="1174" spans="2:10" x14ac:dyDescent="0.3">
      <c r="B1174" s="277">
        <f>'Production '!C1177</f>
        <v>48153</v>
      </c>
      <c r="C1174" s="76">
        <f ca="1">SUMIF('Production '!$C$4:$AI$4407,'Tracking Sheet'!B1174,'Production '!$M$4:$M$4407)</f>
        <v>0</v>
      </c>
      <c r="D1174" s="76">
        <f ca="1">SUMIF('Production '!$C$4:$AI$4407,'Tracking Sheet'!B1174,'Production '!$Q$4:$Q$4407)</f>
        <v>0</v>
      </c>
      <c r="E1174" s="76">
        <f ca="1">SUMIF('Production '!$C$4:$AI$4407,'Tracking Sheet'!B1174,'Production '!$S$4:$S$4407)</f>
        <v>0</v>
      </c>
      <c r="F1174" s="76">
        <f ca="1">SUMIF('Production '!$C$4:$AI$4407,'Tracking Sheet'!B1174,'Production '!$U$4:$U$4407)</f>
        <v>0</v>
      </c>
      <c r="G1174" s="76">
        <f ca="1">SUMIF('Production '!$C$4:$AI$4407,'Tracking Sheet'!B1174,'Production '!$W$4:$W$4407)</f>
        <v>0</v>
      </c>
      <c r="H1174" s="76">
        <f ca="1">SUMIF('Production '!$C$4:$AI$4407,'Tracking Sheet'!B1174,'Production '!$F$4:$F$4407)</f>
        <v>33733</v>
      </c>
      <c r="I1174" s="76">
        <f ca="1">SUMIF('Production '!$C$4:$AI$4407,'Tracking Sheet'!B1174,'Production '!$V$4:$V$4407)</f>
        <v>0</v>
      </c>
      <c r="J1174" s="76">
        <f ca="1">SUMIF('Production '!$C$4:$AI$4407,'Tracking Sheet'!B1174,'Production '!$AG$4:$AG$4407)</f>
        <v>-33733</v>
      </c>
    </row>
    <row r="1175" spans="2:10" x14ac:dyDescent="0.3">
      <c r="B1175" s="277">
        <f>'Production '!C1178</f>
        <v>48153</v>
      </c>
      <c r="C1175" s="76">
        <f ca="1">SUMIF('Production '!$C$4:$AI$4407,'Tracking Sheet'!B1175,'Production '!$M$4:$M$4407)</f>
        <v>0</v>
      </c>
      <c r="D1175" s="76">
        <f ca="1">SUMIF('Production '!$C$4:$AI$4407,'Tracking Sheet'!B1175,'Production '!$Q$4:$Q$4407)</f>
        <v>0</v>
      </c>
      <c r="E1175" s="76">
        <f ca="1">SUMIF('Production '!$C$4:$AI$4407,'Tracking Sheet'!B1175,'Production '!$S$4:$S$4407)</f>
        <v>0</v>
      </c>
      <c r="F1175" s="76">
        <f ca="1">SUMIF('Production '!$C$4:$AI$4407,'Tracking Sheet'!B1175,'Production '!$U$4:$U$4407)</f>
        <v>0</v>
      </c>
      <c r="G1175" s="76">
        <f ca="1">SUMIF('Production '!$C$4:$AI$4407,'Tracking Sheet'!B1175,'Production '!$W$4:$W$4407)</f>
        <v>0</v>
      </c>
      <c r="H1175" s="76">
        <f ca="1">SUMIF('Production '!$C$4:$AI$4407,'Tracking Sheet'!B1175,'Production '!$F$4:$F$4407)</f>
        <v>33733</v>
      </c>
      <c r="I1175" s="76">
        <f ca="1">SUMIF('Production '!$C$4:$AI$4407,'Tracking Sheet'!B1175,'Production '!$V$4:$V$4407)</f>
        <v>0</v>
      </c>
      <c r="J1175" s="76">
        <f ca="1">SUMIF('Production '!$C$4:$AI$4407,'Tracking Sheet'!B1175,'Production '!$AG$4:$AG$4407)</f>
        <v>-33733</v>
      </c>
    </row>
    <row r="1176" spans="2:10" x14ac:dyDescent="0.3">
      <c r="B1176" s="277">
        <f>'Production '!C1179</f>
        <v>48153</v>
      </c>
      <c r="C1176" s="76">
        <f ca="1">SUMIF('Production '!$C$4:$AI$4407,'Tracking Sheet'!B1176,'Production '!$M$4:$M$4407)</f>
        <v>0</v>
      </c>
      <c r="D1176" s="76">
        <f ca="1">SUMIF('Production '!$C$4:$AI$4407,'Tracking Sheet'!B1176,'Production '!$Q$4:$Q$4407)</f>
        <v>0</v>
      </c>
      <c r="E1176" s="76">
        <f ca="1">SUMIF('Production '!$C$4:$AI$4407,'Tracking Sheet'!B1176,'Production '!$S$4:$S$4407)</f>
        <v>0</v>
      </c>
      <c r="F1176" s="76">
        <f ca="1">SUMIF('Production '!$C$4:$AI$4407,'Tracking Sheet'!B1176,'Production '!$U$4:$U$4407)</f>
        <v>0</v>
      </c>
      <c r="G1176" s="76">
        <f ca="1">SUMIF('Production '!$C$4:$AI$4407,'Tracking Sheet'!B1176,'Production '!$W$4:$W$4407)</f>
        <v>0</v>
      </c>
      <c r="H1176" s="76">
        <f ca="1">SUMIF('Production '!$C$4:$AI$4407,'Tracking Sheet'!B1176,'Production '!$F$4:$F$4407)</f>
        <v>33733</v>
      </c>
      <c r="I1176" s="76">
        <f ca="1">SUMIF('Production '!$C$4:$AI$4407,'Tracking Sheet'!B1176,'Production '!$V$4:$V$4407)</f>
        <v>0</v>
      </c>
      <c r="J1176" s="76">
        <f ca="1">SUMIF('Production '!$C$4:$AI$4407,'Tracking Sheet'!B1176,'Production '!$AG$4:$AG$4407)</f>
        <v>-33733</v>
      </c>
    </row>
    <row r="1177" spans="2:10" x14ac:dyDescent="0.3">
      <c r="B1177" s="277">
        <f>'Production '!C1180</f>
        <v>0</v>
      </c>
      <c r="C1177" s="76" t="e">
        <f ca="1">SUMIF('Production '!$C$4:$AI$4407,'Tracking Sheet'!B1177,'Production '!$M$4:$M$4407)</f>
        <v>#DIV/0!</v>
      </c>
      <c r="D1177" s="76" t="e">
        <f ca="1">SUMIF('Production '!$C$4:$AI$4407,'Tracking Sheet'!B1177,'Production '!$Q$4:$Q$4407)</f>
        <v>#DIV/0!</v>
      </c>
      <c r="E1177" s="76">
        <f ca="1">SUMIF('Production '!$C$4:$AI$4407,'Tracking Sheet'!B1177,'Production '!$S$4:$S$4407)</f>
        <v>-1268218.9828305368</v>
      </c>
      <c r="F1177" s="76">
        <f ca="1">SUMIF('Production '!$C$4:$AI$4407,'Tracking Sheet'!B1177,'Production '!$U$4:$U$4407)</f>
        <v>-10620.435600016917</v>
      </c>
      <c r="G1177" s="76" t="e">
        <f ca="1">SUMIF('Production '!$C$4:$AI$4407,'Tracking Sheet'!B1177,'Production '!$W$4:$W$4407)</f>
        <v>#DIV/0!</v>
      </c>
      <c r="H1177" s="76">
        <f ca="1">SUMIF('Production '!$C$4:$AI$4407,'Tracking Sheet'!B1177,'Production '!$F$4:$F$4407)</f>
        <v>3230621.3283604058</v>
      </c>
      <c r="I1177" s="76">
        <f ca="1">SUMIF('Production '!$C$4:$AI$4407,'Tracking Sheet'!B1177,'Production '!$V$4:$V$4407)</f>
        <v>-489.86487791182844</v>
      </c>
      <c r="J1177" s="76">
        <f ca="1">SUMIF('Production '!$C$4:$AI$4407,'Tracking Sheet'!B1177,'Production '!$AG$4:$AG$4407)</f>
        <v>0</v>
      </c>
    </row>
    <row r="1178" spans="2:10" x14ac:dyDescent="0.3">
      <c r="B1178" s="277" t="str">
        <f>'Production '!C1181</f>
        <v>48153 2nd</v>
      </c>
      <c r="C1178" s="76">
        <f ca="1">SUMIF('Production '!$C$4:$AI$4407,'Tracking Sheet'!B1178,'Production '!$M$4:$M$4407)</f>
        <v>0</v>
      </c>
      <c r="D1178" s="76">
        <f ca="1">SUMIF('Production '!$C$4:$AI$4407,'Tracking Sheet'!B1178,'Production '!$Q$4:$Q$4407)</f>
        <v>0</v>
      </c>
      <c r="E1178" s="76">
        <f ca="1">SUMIF('Production '!$C$4:$AI$4407,'Tracking Sheet'!B1178,'Production '!$S$4:$S$4407)</f>
        <v>0</v>
      </c>
      <c r="F1178" s="76">
        <f ca="1">SUMIF('Production '!$C$4:$AI$4407,'Tracking Sheet'!B1178,'Production '!$U$4:$U$4407)</f>
        <v>0</v>
      </c>
      <c r="G1178" s="76">
        <f ca="1">SUMIF('Production '!$C$4:$AI$4407,'Tracking Sheet'!B1178,'Production '!$W$4:$W$4407)</f>
        <v>0</v>
      </c>
      <c r="H1178" s="76">
        <f ca="1">SUMIF('Production '!$C$4:$AI$4407,'Tracking Sheet'!B1178,'Production '!$F$4:$F$4407)</f>
        <v>450</v>
      </c>
      <c r="I1178" s="76">
        <f ca="1">SUMIF('Production '!$C$4:$AI$4407,'Tracking Sheet'!B1178,'Production '!$V$4:$V$4407)</f>
        <v>0</v>
      </c>
      <c r="J1178" s="76">
        <f ca="1">SUMIF('Production '!$C$4:$AI$4407,'Tracking Sheet'!B1178,'Production '!$AG$4:$AG$4407)</f>
        <v>-450</v>
      </c>
    </row>
    <row r="1179" spans="2:10" x14ac:dyDescent="0.3">
      <c r="B1179" s="277">
        <f>'Production '!C1182</f>
        <v>0</v>
      </c>
      <c r="C1179" s="76" t="e">
        <f ca="1">SUMIF('Production '!$C$4:$AI$4407,'Tracking Sheet'!B1179,'Production '!$M$4:$M$4407)</f>
        <v>#DIV/0!</v>
      </c>
      <c r="D1179" s="76" t="e">
        <f ca="1">SUMIF('Production '!$C$4:$AI$4407,'Tracking Sheet'!B1179,'Production '!$Q$4:$Q$4407)</f>
        <v>#DIV/0!</v>
      </c>
      <c r="E1179" s="76">
        <f ca="1">SUMIF('Production '!$C$4:$AI$4407,'Tracking Sheet'!B1179,'Production '!$S$4:$S$4407)</f>
        <v>-1268218.9828305368</v>
      </c>
      <c r="F1179" s="76">
        <f ca="1">SUMIF('Production '!$C$4:$AI$4407,'Tracking Sheet'!B1179,'Production '!$U$4:$U$4407)</f>
        <v>-10620.435600016917</v>
      </c>
      <c r="G1179" s="76" t="e">
        <f ca="1">SUMIF('Production '!$C$4:$AI$4407,'Tracking Sheet'!B1179,'Production '!$W$4:$W$4407)</f>
        <v>#DIV/0!</v>
      </c>
      <c r="H1179" s="76">
        <f ca="1">SUMIF('Production '!$C$4:$AI$4407,'Tracking Sheet'!B1179,'Production '!$F$4:$F$4407)</f>
        <v>3230621.3283604058</v>
      </c>
      <c r="I1179" s="76">
        <f ca="1">SUMIF('Production '!$C$4:$AI$4407,'Tracking Sheet'!B1179,'Production '!$V$4:$V$4407)</f>
        <v>-489.86487791182844</v>
      </c>
      <c r="J1179" s="76">
        <f ca="1">SUMIF('Production '!$C$4:$AI$4407,'Tracking Sheet'!B1179,'Production '!$AG$4:$AG$4407)</f>
        <v>0</v>
      </c>
    </row>
    <row r="1180" spans="2:10" x14ac:dyDescent="0.3">
      <c r="B1180" s="277" t="str">
        <f>'Production '!C1183</f>
        <v>26582 9th</v>
      </c>
      <c r="C1180" s="76">
        <f ca="1">SUMIF('Production '!$C$4:$AI$4407,'Tracking Sheet'!B1180,'Production '!$M$4:$M$4407)</f>
        <v>0</v>
      </c>
      <c r="D1180" s="76">
        <f ca="1">SUMIF('Production '!$C$4:$AI$4407,'Tracking Sheet'!B1180,'Production '!$Q$4:$Q$4407)</f>
        <v>0</v>
      </c>
      <c r="E1180" s="76">
        <f ca="1">SUMIF('Production '!$C$4:$AI$4407,'Tracking Sheet'!B1180,'Production '!$S$4:$S$4407)</f>
        <v>0</v>
      </c>
      <c r="F1180" s="76">
        <f ca="1">SUMIF('Production '!$C$4:$AI$4407,'Tracking Sheet'!B1180,'Production '!$U$4:$U$4407)</f>
        <v>0</v>
      </c>
      <c r="G1180" s="76">
        <f ca="1">SUMIF('Production '!$C$4:$AI$4407,'Tracking Sheet'!B1180,'Production '!$W$4:$W$4407)</f>
        <v>0</v>
      </c>
      <c r="H1180" s="76">
        <f ca="1">SUMIF('Production '!$C$4:$AI$4407,'Tracking Sheet'!B1180,'Production '!$F$4:$F$4407)</f>
        <v>4672</v>
      </c>
      <c r="I1180" s="76">
        <f ca="1">SUMIF('Production '!$C$4:$AI$4407,'Tracking Sheet'!B1180,'Production '!$V$4:$V$4407)</f>
        <v>0</v>
      </c>
      <c r="J1180" s="76">
        <f ca="1">SUMIF('Production '!$C$4:$AI$4407,'Tracking Sheet'!B1180,'Production '!$AG$4:$AG$4407)</f>
        <v>-4672</v>
      </c>
    </row>
    <row r="1181" spans="2:10" x14ac:dyDescent="0.3">
      <c r="B1181" s="277" t="str">
        <f>'Production '!C1184</f>
        <v>26582 9th</v>
      </c>
      <c r="C1181" s="76">
        <f ca="1">SUMIF('Production '!$C$4:$AI$4407,'Tracking Sheet'!B1181,'Production '!$M$4:$M$4407)</f>
        <v>0</v>
      </c>
      <c r="D1181" s="76">
        <f ca="1">SUMIF('Production '!$C$4:$AI$4407,'Tracking Sheet'!B1181,'Production '!$Q$4:$Q$4407)</f>
        <v>0</v>
      </c>
      <c r="E1181" s="76">
        <f ca="1">SUMIF('Production '!$C$4:$AI$4407,'Tracking Sheet'!B1181,'Production '!$S$4:$S$4407)</f>
        <v>0</v>
      </c>
      <c r="F1181" s="76">
        <f ca="1">SUMIF('Production '!$C$4:$AI$4407,'Tracking Sheet'!B1181,'Production '!$U$4:$U$4407)</f>
        <v>0</v>
      </c>
      <c r="G1181" s="76">
        <f ca="1">SUMIF('Production '!$C$4:$AI$4407,'Tracking Sheet'!B1181,'Production '!$W$4:$W$4407)</f>
        <v>0</v>
      </c>
      <c r="H1181" s="76">
        <f ca="1">SUMIF('Production '!$C$4:$AI$4407,'Tracking Sheet'!B1181,'Production '!$F$4:$F$4407)</f>
        <v>4672</v>
      </c>
      <c r="I1181" s="76">
        <f ca="1">SUMIF('Production '!$C$4:$AI$4407,'Tracking Sheet'!B1181,'Production '!$V$4:$V$4407)</f>
        <v>0</v>
      </c>
      <c r="J1181" s="76">
        <f ca="1">SUMIF('Production '!$C$4:$AI$4407,'Tracking Sheet'!B1181,'Production '!$AG$4:$AG$4407)</f>
        <v>-4672</v>
      </c>
    </row>
    <row r="1182" spans="2:10" x14ac:dyDescent="0.3">
      <c r="B1182" s="277" t="str">
        <f>'Production '!C1185</f>
        <v>26582 9th</v>
      </c>
      <c r="C1182" s="76">
        <f ca="1">SUMIF('Production '!$C$4:$AI$4407,'Tracking Sheet'!B1182,'Production '!$M$4:$M$4407)</f>
        <v>0</v>
      </c>
      <c r="D1182" s="76">
        <f ca="1">SUMIF('Production '!$C$4:$AI$4407,'Tracking Sheet'!B1182,'Production '!$Q$4:$Q$4407)</f>
        <v>0</v>
      </c>
      <c r="E1182" s="76">
        <f ca="1">SUMIF('Production '!$C$4:$AI$4407,'Tracking Sheet'!B1182,'Production '!$S$4:$S$4407)</f>
        <v>0</v>
      </c>
      <c r="F1182" s="76">
        <f ca="1">SUMIF('Production '!$C$4:$AI$4407,'Tracking Sheet'!B1182,'Production '!$U$4:$U$4407)</f>
        <v>0</v>
      </c>
      <c r="G1182" s="76">
        <f ca="1">SUMIF('Production '!$C$4:$AI$4407,'Tracking Sheet'!B1182,'Production '!$W$4:$W$4407)</f>
        <v>0</v>
      </c>
      <c r="H1182" s="76">
        <f ca="1">SUMIF('Production '!$C$4:$AI$4407,'Tracking Sheet'!B1182,'Production '!$F$4:$F$4407)</f>
        <v>4672</v>
      </c>
      <c r="I1182" s="76">
        <f ca="1">SUMIF('Production '!$C$4:$AI$4407,'Tracking Sheet'!B1182,'Production '!$V$4:$V$4407)</f>
        <v>0</v>
      </c>
      <c r="J1182" s="76">
        <f ca="1">SUMIF('Production '!$C$4:$AI$4407,'Tracking Sheet'!B1182,'Production '!$AG$4:$AG$4407)</f>
        <v>-4672</v>
      </c>
    </row>
    <row r="1183" spans="2:10" x14ac:dyDescent="0.3">
      <c r="B1183" s="277">
        <f>'Production '!C1186</f>
        <v>0</v>
      </c>
      <c r="C1183" s="76" t="e">
        <f ca="1">SUMIF('Production '!$C$4:$AI$4407,'Tracking Sheet'!B1183,'Production '!$M$4:$M$4407)</f>
        <v>#DIV/0!</v>
      </c>
      <c r="D1183" s="76" t="e">
        <f ca="1">SUMIF('Production '!$C$4:$AI$4407,'Tracking Sheet'!B1183,'Production '!$Q$4:$Q$4407)</f>
        <v>#DIV/0!</v>
      </c>
      <c r="E1183" s="76">
        <f ca="1">SUMIF('Production '!$C$4:$AI$4407,'Tracking Sheet'!B1183,'Production '!$S$4:$S$4407)</f>
        <v>-1268218.9828305368</v>
      </c>
      <c r="F1183" s="76">
        <f ca="1">SUMIF('Production '!$C$4:$AI$4407,'Tracking Sheet'!B1183,'Production '!$U$4:$U$4407)</f>
        <v>-10620.435600016917</v>
      </c>
      <c r="G1183" s="76" t="e">
        <f ca="1">SUMIF('Production '!$C$4:$AI$4407,'Tracking Sheet'!B1183,'Production '!$W$4:$W$4407)</f>
        <v>#DIV/0!</v>
      </c>
      <c r="H1183" s="76">
        <f ca="1">SUMIF('Production '!$C$4:$AI$4407,'Tracking Sheet'!B1183,'Production '!$F$4:$F$4407)</f>
        <v>3230621.3283604058</v>
      </c>
      <c r="I1183" s="76">
        <f ca="1">SUMIF('Production '!$C$4:$AI$4407,'Tracking Sheet'!B1183,'Production '!$V$4:$V$4407)</f>
        <v>-489.86487791182844</v>
      </c>
      <c r="J1183" s="76">
        <f ca="1">SUMIF('Production '!$C$4:$AI$4407,'Tracking Sheet'!B1183,'Production '!$AG$4:$AG$4407)</f>
        <v>0</v>
      </c>
    </row>
    <row r="1184" spans="2:10" x14ac:dyDescent="0.3">
      <c r="B1184" s="277" t="str">
        <f>'Production '!C1187</f>
        <v>47818 3rd</v>
      </c>
      <c r="C1184" s="76">
        <f ca="1">SUMIF('Production '!$C$4:$AI$4407,'Tracking Sheet'!B1184,'Production '!$M$4:$M$4407)</f>
        <v>3153</v>
      </c>
      <c r="D1184" s="76">
        <f ca="1">SUMIF('Production '!$C$4:$AI$4407,'Tracking Sheet'!B1184,'Production '!$Q$4:$Q$4407)</f>
        <v>0</v>
      </c>
      <c r="E1184" s="76">
        <f ca="1">SUMIF('Production '!$C$4:$AI$4407,'Tracking Sheet'!B1184,'Production '!$S$4:$S$4407)</f>
        <v>0</v>
      </c>
      <c r="F1184" s="76">
        <f ca="1">SUMIF('Production '!$C$4:$AI$4407,'Tracking Sheet'!B1184,'Production '!$U$4:$U$4407)</f>
        <v>61</v>
      </c>
      <c r="G1184" s="76">
        <f ca="1">SUMIF('Production '!$C$4:$AI$4407,'Tracking Sheet'!B1184,'Production '!$W$4:$W$4407)</f>
        <v>3092</v>
      </c>
      <c r="H1184" s="76">
        <f ca="1">SUMIF('Production '!$C$4:$AI$4407,'Tracking Sheet'!B1184,'Production '!$F$4:$F$4407)</f>
        <v>3051</v>
      </c>
      <c r="I1184" s="76">
        <f ca="1">SUMIF('Production '!$C$4:$AI$4407,'Tracking Sheet'!B1184,'Production '!$V$4:$V$4407)</f>
        <v>0</v>
      </c>
      <c r="J1184" s="76">
        <f ca="1">SUMIF('Production '!$C$4:$AI$4407,'Tracking Sheet'!B1184,'Production '!$AG$4:$AG$4407)</f>
        <v>0</v>
      </c>
    </row>
    <row r="1185" spans="2:10" x14ac:dyDescent="0.3">
      <c r="B1185" s="277">
        <f>'Production '!C1188</f>
        <v>0</v>
      </c>
      <c r="C1185" s="76" t="e">
        <f ca="1">SUMIF('Production '!$C$4:$AI$4407,'Tracking Sheet'!B1185,'Production '!$M$4:$M$4407)</f>
        <v>#DIV/0!</v>
      </c>
      <c r="D1185" s="76" t="e">
        <f ca="1">SUMIF('Production '!$C$4:$AI$4407,'Tracking Sheet'!B1185,'Production '!$Q$4:$Q$4407)</f>
        <v>#DIV/0!</v>
      </c>
      <c r="E1185" s="76">
        <f ca="1">SUMIF('Production '!$C$4:$AI$4407,'Tracking Sheet'!B1185,'Production '!$S$4:$S$4407)</f>
        <v>-1268218.9828305368</v>
      </c>
      <c r="F1185" s="76">
        <f ca="1">SUMIF('Production '!$C$4:$AI$4407,'Tracking Sheet'!B1185,'Production '!$U$4:$U$4407)</f>
        <v>-10620.435600016917</v>
      </c>
      <c r="G1185" s="76" t="e">
        <f ca="1">SUMIF('Production '!$C$4:$AI$4407,'Tracking Sheet'!B1185,'Production '!$W$4:$W$4407)</f>
        <v>#DIV/0!</v>
      </c>
      <c r="H1185" s="76">
        <f ca="1">SUMIF('Production '!$C$4:$AI$4407,'Tracking Sheet'!B1185,'Production '!$F$4:$F$4407)</f>
        <v>3230621.3283604058</v>
      </c>
      <c r="I1185" s="76">
        <f ca="1">SUMIF('Production '!$C$4:$AI$4407,'Tracking Sheet'!B1185,'Production '!$V$4:$V$4407)</f>
        <v>-489.86487791182844</v>
      </c>
      <c r="J1185" s="76">
        <f ca="1">SUMIF('Production '!$C$4:$AI$4407,'Tracking Sheet'!B1185,'Production '!$AG$4:$AG$4407)</f>
        <v>0</v>
      </c>
    </row>
    <row r="1186" spans="2:10" x14ac:dyDescent="0.3">
      <c r="B1186" s="277">
        <f>'Production '!C1189</f>
        <v>47794</v>
      </c>
      <c r="C1186" s="76">
        <f ca="1">SUMIF('Production '!$C$4:$AI$4407,'Tracking Sheet'!B1186,'Production '!$M$4:$M$4407)</f>
        <v>2141</v>
      </c>
      <c r="D1186" s="76">
        <f ca="1">SUMIF('Production '!$C$4:$AI$4407,'Tracking Sheet'!B1186,'Production '!$Q$4:$Q$4407)</f>
        <v>2141</v>
      </c>
      <c r="E1186" s="76">
        <f ca="1">SUMIF('Production '!$C$4:$AI$4407,'Tracking Sheet'!B1186,'Production '!$S$4:$S$4407)</f>
        <v>0</v>
      </c>
      <c r="F1186" s="76">
        <f ca="1">SUMIF('Production '!$C$4:$AI$4407,'Tracking Sheet'!B1186,'Production '!$U$4:$U$4407)</f>
        <v>0</v>
      </c>
      <c r="G1186" s="76">
        <f ca="1">SUMIF('Production '!$C$4:$AI$4407,'Tracking Sheet'!B1186,'Production '!$W$4:$W$4407)</f>
        <v>0</v>
      </c>
      <c r="H1186" s="76">
        <f ca="1">SUMIF('Production '!$C$4:$AI$4407,'Tracking Sheet'!B1186,'Production '!$F$4:$F$4407)</f>
        <v>4731</v>
      </c>
      <c r="I1186" s="76">
        <f ca="1">SUMIF('Production '!$C$4:$AI$4407,'Tracking Sheet'!B1186,'Production '!$V$4:$V$4407)</f>
        <v>0</v>
      </c>
      <c r="J1186" s="76">
        <f ca="1">SUMIF('Production '!$C$4:$AI$4407,'Tracking Sheet'!B1186,'Production '!$AG$4:$AG$4407)</f>
        <v>-2590</v>
      </c>
    </row>
    <row r="1187" spans="2:10" x14ac:dyDescent="0.3">
      <c r="B1187" s="277">
        <f>'Production '!C1190</f>
        <v>47794</v>
      </c>
      <c r="C1187" s="76">
        <f ca="1">SUMIF('Production '!$C$4:$AI$4407,'Tracking Sheet'!B1187,'Production '!$M$4:$M$4407)</f>
        <v>2141</v>
      </c>
      <c r="D1187" s="76">
        <f ca="1">SUMIF('Production '!$C$4:$AI$4407,'Tracking Sheet'!B1187,'Production '!$Q$4:$Q$4407)</f>
        <v>2141</v>
      </c>
      <c r="E1187" s="76">
        <f ca="1">SUMIF('Production '!$C$4:$AI$4407,'Tracking Sheet'!B1187,'Production '!$S$4:$S$4407)</f>
        <v>0</v>
      </c>
      <c r="F1187" s="76">
        <f ca="1">SUMIF('Production '!$C$4:$AI$4407,'Tracking Sheet'!B1187,'Production '!$U$4:$U$4407)</f>
        <v>0</v>
      </c>
      <c r="G1187" s="76">
        <f ca="1">SUMIF('Production '!$C$4:$AI$4407,'Tracking Sheet'!B1187,'Production '!$W$4:$W$4407)</f>
        <v>0</v>
      </c>
      <c r="H1187" s="76">
        <f ca="1">SUMIF('Production '!$C$4:$AI$4407,'Tracking Sheet'!B1187,'Production '!$F$4:$F$4407)</f>
        <v>4731</v>
      </c>
      <c r="I1187" s="76">
        <f ca="1">SUMIF('Production '!$C$4:$AI$4407,'Tracking Sheet'!B1187,'Production '!$V$4:$V$4407)</f>
        <v>0</v>
      </c>
      <c r="J1187" s="76">
        <f ca="1">SUMIF('Production '!$C$4:$AI$4407,'Tracking Sheet'!B1187,'Production '!$AG$4:$AG$4407)</f>
        <v>-2590</v>
      </c>
    </row>
    <row r="1188" spans="2:10" x14ac:dyDescent="0.3">
      <c r="B1188" s="277">
        <f>'Production '!C1191</f>
        <v>47794</v>
      </c>
      <c r="C1188" s="76">
        <f ca="1">SUMIF('Production '!$C$4:$AI$4407,'Tracking Sheet'!B1188,'Production '!$M$4:$M$4407)</f>
        <v>2141</v>
      </c>
      <c r="D1188" s="76">
        <f ca="1">SUMIF('Production '!$C$4:$AI$4407,'Tracking Sheet'!B1188,'Production '!$Q$4:$Q$4407)</f>
        <v>2141</v>
      </c>
      <c r="E1188" s="76">
        <f ca="1">SUMIF('Production '!$C$4:$AI$4407,'Tracking Sheet'!B1188,'Production '!$S$4:$S$4407)</f>
        <v>0</v>
      </c>
      <c r="F1188" s="76">
        <f ca="1">SUMIF('Production '!$C$4:$AI$4407,'Tracking Sheet'!B1188,'Production '!$U$4:$U$4407)</f>
        <v>0</v>
      </c>
      <c r="G1188" s="76">
        <f ca="1">SUMIF('Production '!$C$4:$AI$4407,'Tracking Sheet'!B1188,'Production '!$W$4:$W$4407)</f>
        <v>0</v>
      </c>
      <c r="H1188" s="76">
        <f ca="1">SUMIF('Production '!$C$4:$AI$4407,'Tracking Sheet'!B1188,'Production '!$F$4:$F$4407)</f>
        <v>4731</v>
      </c>
      <c r="I1188" s="76">
        <f ca="1">SUMIF('Production '!$C$4:$AI$4407,'Tracking Sheet'!B1188,'Production '!$V$4:$V$4407)</f>
        <v>0</v>
      </c>
      <c r="J1188" s="76">
        <f ca="1">SUMIF('Production '!$C$4:$AI$4407,'Tracking Sheet'!B1188,'Production '!$AG$4:$AG$4407)</f>
        <v>-2590</v>
      </c>
    </row>
    <row r="1189" spans="2:10" x14ac:dyDescent="0.3">
      <c r="B1189" s="277">
        <f>'Production '!C1192</f>
        <v>0</v>
      </c>
      <c r="C1189" s="76" t="e">
        <f ca="1">SUMIF('Production '!$C$4:$AI$4407,'Tracking Sheet'!B1189,'Production '!$M$4:$M$4407)</f>
        <v>#DIV/0!</v>
      </c>
      <c r="D1189" s="76" t="e">
        <f ca="1">SUMIF('Production '!$C$4:$AI$4407,'Tracking Sheet'!B1189,'Production '!$Q$4:$Q$4407)</f>
        <v>#DIV/0!</v>
      </c>
      <c r="E1189" s="76">
        <f ca="1">SUMIF('Production '!$C$4:$AI$4407,'Tracking Sheet'!B1189,'Production '!$S$4:$S$4407)</f>
        <v>-1268218.9828305368</v>
      </c>
      <c r="F1189" s="76">
        <f ca="1">SUMIF('Production '!$C$4:$AI$4407,'Tracking Sheet'!B1189,'Production '!$U$4:$U$4407)</f>
        <v>-10620.435600016917</v>
      </c>
      <c r="G1189" s="76" t="e">
        <f ca="1">SUMIF('Production '!$C$4:$AI$4407,'Tracking Sheet'!B1189,'Production '!$W$4:$W$4407)</f>
        <v>#DIV/0!</v>
      </c>
      <c r="H1189" s="76">
        <f ca="1">SUMIF('Production '!$C$4:$AI$4407,'Tracking Sheet'!B1189,'Production '!$F$4:$F$4407)</f>
        <v>3230621.3283604058</v>
      </c>
      <c r="I1189" s="76">
        <f ca="1">SUMIF('Production '!$C$4:$AI$4407,'Tracking Sheet'!B1189,'Production '!$V$4:$V$4407)</f>
        <v>-489.86487791182844</v>
      </c>
      <c r="J1189" s="76">
        <f ca="1">SUMIF('Production '!$C$4:$AI$4407,'Tracking Sheet'!B1189,'Production '!$AG$4:$AG$4407)</f>
        <v>0</v>
      </c>
    </row>
    <row r="1190" spans="2:10" x14ac:dyDescent="0.3">
      <c r="B1190" s="277">
        <f>'Production '!C1193</f>
        <v>48147</v>
      </c>
      <c r="C1190" s="76">
        <f ca="1">SUMIF('Production '!$C$4:$AI$4407,'Tracking Sheet'!B1190,'Production '!$M$4:$M$4407)</f>
        <v>0</v>
      </c>
      <c r="D1190" s="76">
        <f ca="1">SUMIF('Production '!$C$4:$AI$4407,'Tracking Sheet'!B1190,'Production '!$Q$4:$Q$4407)</f>
        <v>0</v>
      </c>
      <c r="E1190" s="76">
        <f ca="1">SUMIF('Production '!$C$4:$AI$4407,'Tracking Sheet'!B1190,'Production '!$S$4:$S$4407)</f>
        <v>0</v>
      </c>
      <c r="F1190" s="76">
        <f ca="1">SUMIF('Production '!$C$4:$AI$4407,'Tracking Sheet'!B1190,'Production '!$U$4:$U$4407)</f>
        <v>0</v>
      </c>
      <c r="G1190" s="76">
        <f ca="1">SUMIF('Production '!$C$4:$AI$4407,'Tracking Sheet'!B1190,'Production '!$W$4:$W$4407)</f>
        <v>0</v>
      </c>
      <c r="H1190" s="76">
        <f ca="1">SUMIF('Production '!$C$4:$AI$4407,'Tracking Sheet'!B1190,'Production '!$F$4:$F$4407)</f>
        <v>1678</v>
      </c>
      <c r="I1190" s="76">
        <f ca="1">SUMIF('Production '!$C$4:$AI$4407,'Tracking Sheet'!B1190,'Production '!$V$4:$V$4407)</f>
        <v>0</v>
      </c>
      <c r="J1190" s="76">
        <f ca="1">SUMIF('Production '!$C$4:$AI$4407,'Tracking Sheet'!B1190,'Production '!$AG$4:$AG$4407)</f>
        <v>-1678</v>
      </c>
    </row>
    <row r="1191" spans="2:10" x14ac:dyDescent="0.3">
      <c r="B1191" s="277">
        <f>'Production '!C1194</f>
        <v>48147</v>
      </c>
      <c r="C1191" s="76">
        <f ca="1">SUMIF('Production '!$C$4:$AI$4407,'Tracking Sheet'!B1191,'Production '!$M$4:$M$4407)</f>
        <v>0</v>
      </c>
      <c r="D1191" s="76">
        <f ca="1">SUMIF('Production '!$C$4:$AI$4407,'Tracking Sheet'!B1191,'Production '!$Q$4:$Q$4407)</f>
        <v>0</v>
      </c>
      <c r="E1191" s="76">
        <f ca="1">SUMIF('Production '!$C$4:$AI$4407,'Tracking Sheet'!B1191,'Production '!$S$4:$S$4407)</f>
        <v>0</v>
      </c>
      <c r="F1191" s="76">
        <f ca="1">SUMIF('Production '!$C$4:$AI$4407,'Tracking Sheet'!B1191,'Production '!$U$4:$U$4407)</f>
        <v>0</v>
      </c>
      <c r="G1191" s="76">
        <f ca="1">SUMIF('Production '!$C$4:$AI$4407,'Tracking Sheet'!B1191,'Production '!$W$4:$W$4407)</f>
        <v>0</v>
      </c>
      <c r="H1191" s="76">
        <f ca="1">SUMIF('Production '!$C$4:$AI$4407,'Tracking Sheet'!B1191,'Production '!$F$4:$F$4407)</f>
        <v>1678</v>
      </c>
      <c r="I1191" s="76">
        <f ca="1">SUMIF('Production '!$C$4:$AI$4407,'Tracking Sheet'!B1191,'Production '!$V$4:$V$4407)</f>
        <v>0</v>
      </c>
      <c r="J1191" s="76">
        <f ca="1">SUMIF('Production '!$C$4:$AI$4407,'Tracking Sheet'!B1191,'Production '!$AG$4:$AG$4407)</f>
        <v>-1678</v>
      </c>
    </row>
    <row r="1192" spans="2:10" x14ac:dyDescent="0.3">
      <c r="B1192" s="277">
        <f>'Production '!C1195</f>
        <v>0</v>
      </c>
      <c r="C1192" s="76" t="e">
        <f ca="1">SUMIF('Production '!$C$4:$AI$4407,'Tracking Sheet'!B1192,'Production '!$M$4:$M$4407)</f>
        <v>#DIV/0!</v>
      </c>
      <c r="D1192" s="76" t="e">
        <f ca="1">SUMIF('Production '!$C$4:$AI$4407,'Tracking Sheet'!B1192,'Production '!$Q$4:$Q$4407)</f>
        <v>#DIV/0!</v>
      </c>
      <c r="E1192" s="76">
        <f ca="1">SUMIF('Production '!$C$4:$AI$4407,'Tracking Sheet'!B1192,'Production '!$S$4:$S$4407)</f>
        <v>-1268218.9828305368</v>
      </c>
      <c r="F1192" s="76">
        <f ca="1">SUMIF('Production '!$C$4:$AI$4407,'Tracking Sheet'!B1192,'Production '!$U$4:$U$4407)</f>
        <v>-10620.435600016917</v>
      </c>
      <c r="G1192" s="76" t="e">
        <f ca="1">SUMIF('Production '!$C$4:$AI$4407,'Tracking Sheet'!B1192,'Production '!$W$4:$W$4407)</f>
        <v>#DIV/0!</v>
      </c>
      <c r="H1192" s="76">
        <f ca="1">SUMIF('Production '!$C$4:$AI$4407,'Tracking Sheet'!B1192,'Production '!$F$4:$F$4407)</f>
        <v>3230621.3283604058</v>
      </c>
      <c r="I1192" s="76">
        <f ca="1">SUMIF('Production '!$C$4:$AI$4407,'Tracking Sheet'!B1192,'Production '!$V$4:$V$4407)</f>
        <v>-489.86487791182844</v>
      </c>
      <c r="J1192" s="76">
        <f ca="1">SUMIF('Production '!$C$4:$AI$4407,'Tracking Sheet'!B1192,'Production '!$AG$4:$AG$4407)</f>
        <v>0</v>
      </c>
    </row>
    <row r="1193" spans="2:10" x14ac:dyDescent="0.3">
      <c r="B1193" s="277" t="str">
        <f>'Production '!C1196</f>
        <v>48199 3rd</v>
      </c>
      <c r="C1193" s="76">
        <f ca="1">SUMIF('Production '!$C$4:$AI$4407,'Tracking Sheet'!B1193,'Production '!$M$4:$M$4407)</f>
        <v>65559</v>
      </c>
      <c r="D1193" s="76">
        <f ca="1">SUMIF('Production '!$C$4:$AI$4407,'Tracking Sheet'!B1193,'Production '!$Q$4:$Q$4407)</f>
        <v>0</v>
      </c>
      <c r="E1193" s="76">
        <f ca="1">SUMIF('Production '!$C$4:$AI$4407,'Tracking Sheet'!B1193,'Production '!$S$4:$S$4407)</f>
        <v>0</v>
      </c>
      <c r="F1193" s="76">
        <f ca="1">SUMIF('Production '!$C$4:$AI$4407,'Tracking Sheet'!B1193,'Production '!$U$4:$U$4407)</f>
        <v>382</v>
      </c>
      <c r="G1193" s="76">
        <f ca="1">SUMIF('Production '!$C$4:$AI$4407,'Tracking Sheet'!B1193,'Production '!$W$4:$W$4407)</f>
        <v>65177</v>
      </c>
      <c r="H1193" s="76">
        <f ca="1">SUMIF('Production '!$C$4:$AI$4407,'Tracking Sheet'!B1193,'Production '!$F$4:$F$4407)</f>
        <v>64084</v>
      </c>
      <c r="I1193" s="76">
        <f ca="1">SUMIF('Production '!$C$4:$AI$4407,'Tracking Sheet'!B1193,'Production '!$V$4:$V$4407)</f>
        <v>0</v>
      </c>
      <c r="J1193" s="76">
        <f ca="1">SUMIF('Production '!$C$4:$AI$4407,'Tracking Sheet'!B1193,'Production '!$AG$4:$AG$4407)</f>
        <v>0</v>
      </c>
    </row>
    <row r="1194" spans="2:10" x14ac:dyDescent="0.3">
      <c r="B1194" s="277" t="str">
        <f>'Production '!C1197</f>
        <v>48199 3rd</v>
      </c>
      <c r="C1194" s="76">
        <f ca="1">SUMIF('Production '!$C$4:$AI$4407,'Tracking Sheet'!B1194,'Production '!$M$4:$M$4407)</f>
        <v>65559</v>
      </c>
      <c r="D1194" s="76">
        <f ca="1">SUMIF('Production '!$C$4:$AI$4407,'Tracking Sheet'!B1194,'Production '!$Q$4:$Q$4407)</f>
        <v>0</v>
      </c>
      <c r="E1194" s="76">
        <f ca="1">SUMIF('Production '!$C$4:$AI$4407,'Tracking Sheet'!B1194,'Production '!$S$4:$S$4407)</f>
        <v>0</v>
      </c>
      <c r="F1194" s="76">
        <f ca="1">SUMIF('Production '!$C$4:$AI$4407,'Tracking Sheet'!B1194,'Production '!$U$4:$U$4407)</f>
        <v>382</v>
      </c>
      <c r="G1194" s="76">
        <f ca="1">SUMIF('Production '!$C$4:$AI$4407,'Tracking Sheet'!B1194,'Production '!$W$4:$W$4407)</f>
        <v>65177</v>
      </c>
      <c r="H1194" s="76">
        <f ca="1">SUMIF('Production '!$C$4:$AI$4407,'Tracking Sheet'!B1194,'Production '!$F$4:$F$4407)</f>
        <v>64084</v>
      </c>
      <c r="I1194" s="76">
        <f ca="1">SUMIF('Production '!$C$4:$AI$4407,'Tracking Sheet'!B1194,'Production '!$V$4:$V$4407)</f>
        <v>0</v>
      </c>
      <c r="J1194" s="76">
        <f ca="1">SUMIF('Production '!$C$4:$AI$4407,'Tracking Sheet'!B1194,'Production '!$AG$4:$AG$4407)</f>
        <v>0</v>
      </c>
    </row>
    <row r="1195" spans="2:10" x14ac:dyDescent="0.3">
      <c r="B1195" s="277" t="str">
        <f>'Production '!C1198</f>
        <v>48199 3rd</v>
      </c>
      <c r="C1195" s="76">
        <f ca="1">SUMIF('Production '!$C$4:$AI$4407,'Tracking Sheet'!B1195,'Production '!$M$4:$M$4407)</f>
        <v>65559</v>
      </c>
      <c r="D1195" s="76">
        <f ca="1">SUMIF('Production '!$C$4:$AI$4407,'Tracking Sheet'!B1195,'Production '!$Q$4:$Q$4407)</f>
        <v>0</v>
      </c>
      <c r="E1195" s="76">
        <f ca="1">SUMIF('Production '!$C$4:$AI$4407,'Tracking Sheet'!B1195,'Production '!$S$4:$S$4407)</f>
        <v>0</v>
      </c>
      <c r="F1195" s="76">
        <f ca="1">SUMIF('Production '!$C$4:$AI$4407,'Tracking Sheet'!B1195,'Production '!$U$4:$U$4407)</f>
        <v>382</v>
      </c>
      <c r="G1195" s="76">
        <f ca="1">SUMIF('Production '!$C$4:$AI$4407,'Tracking Sheet'!B1195,'Production '!$W$4:$W$4407)</f>
        <v>65177</v>
      </c>
      <c r="H1195" s="76">
        <f ca="1">SUMIF('Production '!$C$4:$AI$4407,'Tracking Sheet'!B1195,'Production '!$F$4:$F$4407)</f>
        <v>64084</v>
      </c>
      <c r="I1195" s="76">
        <f ca="1">SUMIF('Production '!$C$4:$AI$4407,'Tracking Sheet'!B1195,'Production '!$V$4:$V$4407)</f>
        <v>0</v>
      </c>
      <c r="J1195" s="76">
        <f ca="1">SUMIF('Production '!$C$4:$AI$4407,'Tracking Sheet'!B1195,'Production '!$AG$4:$AG$4407)</f>
        <v>0</v>
      </c>
    </row>
    <row r="1196" spans="2:10" x14ac:dyDescent="0.3">
      <c r="B1196" s="277" t="str">
        <f>'Production '!C1199</f>
        <v>48199 3rd</v>
      </c>
      <c r="C1196" s="76">
        <f ca="1">SUMIF('Production '!$C$4:$AI$4407,'Tracking Sheet'!B1196,'Production '!$M$4:$M$4407)</f>
        <v>65559</v>
      </c>
      <c r="D1196" s="76">
        <f ca="1">SUMIF('Production '!$C$4:$AI$4407,'Tracking Sheet'!B1196,'Production '!$Q$4:$Q$4407)</f>
        <v>0</v>
      </c>
      <c r="E1196" s="76">
        <f ca="1">SUMIF('Production '!$C$4:$AI$4407,'Tracking Sheet'!B1196,'Production '!$S$4:$S$4407)</f>
        <v>0</v>
      </c>
      <c r="F1196" s="76">
        <f ca="1">SUMIF('Production '!$C$4:$AI$4407,'Tracking Sheet'!B1196,'Production '!$U$4:$U$4407)</f>
        <v>382</v>
      </c>
      <c r="G1196" s="76">
        <f ca="1">SUMIF('Production '!$C$4:$AI$4407,'Tracking Sheet'!B1196,'Production '!$W$4:$W$4407)</f>
        <v>65177</v>
      </c>
      <c r="H1196" s="76">
        <f ca="1">SUMIF('Production '!$C$4:$AI$4407,'Tracking Sheet'!B1196,'Production '!$F$4:$F$4407)</f>
        <v>64084</v>
      </c>
      <c r="I1196" s="76">
        <f ca="1">SUMIF('Production '!$C$4:$AI$4407,'Tracking Sheet'!B1196,'Production '!$V$4:$V$4407)</f>
        <v>0</v>
      </c>
      <c r="J1196" s="76">
        <f ca="1">SUMIF('Production '!$C$4:$AI$4407,'Tracking Sheet'!B1196,'Production '!$AG$4:$AG$4407)</f>
        <v>0</v>
      </c>
    </row>
    <row r="1197" spans="2:10" x14ac:dyDescent="0.3">
      <c r="B1197" s="277" t="str">
        <f>'Production '!C1200</f>
        <v>48199 3rd</v>
      </c>
      <c r="C1197" s="76">
        <f ca="1">SUMIF('Production '!$C$4:$AI$4407,'Tracking Sheet'!B1197,'Production '!$M$4:$M$4407)</f>
        <v>65559</v>
      </c>
      <c r="D1197" s="76">
        <f ca="1">SUMIF('Production '!$C$4:$AI$4407,'Tracking Sheet'!B1197,'Production '!$Q$4:$Q$4407)</f>
        <v>0</v>
      </c>
      <c r="E1197" s="76">
        <f ca="1">SUMIF('Production '!$C$4:$AI$4407,'Tracking Sheet'!B1197,'Production '!$S$4:$S$4407)</f>
        <v>0</v>
      </c>
      <c r="F1197" s="76">
        <f ca="1">SUMIF('Production '!$C$4:$AI$4407,'Tracking Sheet'!B1197,'Production '!$U$4:$U$4407)</f>
        <v>382</v>
      </c>
      <c r="G1197" s="76">
        <f ca="1">SUMIF('Production '!$C$4:$AI$4407,'Tracking Sheet'!B1197,'Production '!$W$4:$W$4407)</f>
        <v>65177</v>
      </c>
      <c r="H1197" s="76">
        <f ca="1">SUMIF('Production '!$C$4:$AI$4407,'Tracking Sheet'!B1197,'Production '!$F$4:$F$4407)</f>
        <v>64084</v>
      </c>
      <c r="I1197" s="76">
        <f ca="1">SUMIF('Production '!$C$4:$AI$4407,'Tracking Sheet'!B1197,'Production '!$V$4:$V$4407)</f>
        <v>0</v>
      </c>
      <c r="J1197" s="76">
        <f ca="1">SUMIF('Production '!$C$4:$AI$4407,'Tracking Sheet'!B1197,'Production '!$AG$4:$AG$4407)</f>
        <v>0</v>
      </c>
    </row>
    <row r="1198" spans="2:10" x14ac:dyDescent="0.3">
      <c r="B1198" s="277" t="str">
        <f>'Production '!C1201</f>
        <v>48199 3rd</v>
      </c>
      <c r="C1198" s="76">
        <f ca="1">SUMIF('Production '!$C$4:$AI$4407,'Tracking Sheet'!B1198,'Production '!$M$4:$M$4407)</f>
        <v>65559</v>
      </c>
      <c r="D1198" s="76">
        <f ca="1">SUMIF('Production '!$C$4:$AI$4407,'Tracking Sheet'!B1198,'Production '!$Q$4:$Q$4407)</f>
        <v>0</v>
      </c>
      <c r="E1198" s="76">
        <f ca="1">SUMIF('Production '!$C$4:$AI$4407,'Tracking Sheet'!B1198,'Production '!$S$4:$S$4407)</f>
        <v>0</v>
      </c>
      <c r="F1198" s="76">
        <f ca="1">SUMIF('Production '!$C$4:$AI$4407,'Tracking Sheet'!B1198,'Production '!$U$4:$U$4407)</f>
        <v>382</v>
      </c>
      <c r="G1198" s="76">
        <f ca="1">SUMIF('Production '!$C$4:$AI$4407,'Tracking Sheet'!B1198,'Production '!$W$4:$W$4407)</f>
        <v>65177</v>
      </c>
      <c r="H1198" s="76">
        <f ca="1">SUMIF('Production '!$C$4:$AI$4407,'Tracking Sheet'!B1198,'Production '!$F$4:$F$4407)</f>
        <v>64084</v>
      </c>
      <c r="I1198" s="76">
        <f ca="1">SUMIF('Production '!$C$4:$AI$4407,'Tracking Sheet'!B1198,'Production '!$V$4:$V$4407)</f>
        <v>0</v>
      </c>
      <c r="J1198" s="76">
        <f ca="1">SUMIF('Production '!$C$4:$AI$4407,'Tracking Sheet'!B1198,'Production '!$AG$4:$AG$4407)</f>
        <v>0</v>
      </c>
    </row>
    <row r="1199" spans="2:10" x14ac:dyDescent="0.3">
      <c r="B1199" s="277" t="str">
        <f>'Production '!C1202</f>
        <v>48199 3rd</v>
      </c>
      <c r="C1199" s="76">
        <f ca="1">SUMIF('Production '!$C$4:$AI$4407,'Tracking Sheet'!B1199,'Production '!$M$4:$M$4407)</f>
        <v>65559</v>
      </c>
      <c r="D1199" s="76">
        <f ca="1">SUMIF('Production '!$C$4:$AI$4407,'Tracking Sheet'!B1199,'Production '!$Q$4:$Q$4407)</f>
        <v>0</v>
      </c>
      <c r="E1199" s="76">
        <f ca="1">SUMIF('Production '!$C$4:$AI$4407,'Tracking Sheet'!B1199,'Production '!$S$4:$S$4407)</f>
        <v>0</v>
      </c>
      <c r="F1199" s="76">
        <f ca="1">SUMIF('Production '!$C$4:$AI$4407,'Tracking Sheet'!B1199,'Production '!$U$4:$U$4407)</f>
        <v>382</v>
      </c>
      <c r="G1199" s="76">
        <f ca="1">SUMIF('Production '!$C$4:$AI$4407,'Tracking Sheet'!B1199,'Production '!$W$4:$W$4407)</f>
        <v>65177</v>
      </c>
      <c r="H1199" s="76">
        <f ca="1">SUMIF('Production '!$C$4:$AI$4407,'Tracking Sheet'!B1199,'Production '!$F$4:$F$4407)</f>
        <v>64084</v>
      </c>
      <c r="I1199" s="76">
        <f ca="1">SUMIF('Production '!$C$4:$AI$4407,'Tracking Sheet'!B1199,'Production '!$V$4:$V$4407)</f>
        <v>0</v>
      </c>
      <c r="J1199" s="76">
        <f ca="1">SUMIF('Production '!$C$4:$AI$4407,'Tracking Sheet'!B1199,'Production '!$AG$4:$AG$4407)</f>
        <v>0</v>
      </c>
    </row>
    <row r="1200" spans="2:10" x14ac:dyDescent="0.3">
      <c r="B1200" s="277" t="str">
        <f>'Production '!C1203</f>
        <v>48199 3rd</v>
      </c>
      <c r="C1200" s="76">
        <f ca="1">SUMIF('Production '!$C$4:$AI$4407,'Tracking Sheet'!B1200,'Production '!$M$4:$M$4407)</f>
        <v>65559</v>
      </c>
      <c r="D1200" s="76">
        <f ca="1">SUMIF('Production '!$C$4:$AI$4407,'Tracking Sheet'!B1200,'Production '!$Q$4:$Q$4407)</f>
        <v>0</v>
      </c>
      <c r="E1200" s="76">
        <f ca="1">SUMIF('Production '!$C$4:$AI$4407,'Tracking Sheet'!B1200,'Production '!$S$4:$S$4407)</f>
        <v>0</v>
      </c>
      <c r="F1200" s="76">
        <f ca="1">SUMIF('Production '!$C$4:$AI$4407,'Tracking Sheet'!B1200,'Production '!$U$4:$U$4407)</f>
        <v>382</v>
      </c>
      <c r="G1200" s="76">
        <f ca="1">SUMIF('Production '!$C$4:$AI$4407,'Tracking Sheet'!B1200,'Production '!$W$4:$W$4407)</f>
        <v>65177</v>
      </c>
      <c r="H1200" s="76">
        <f ca="1">SUMIF('Production '!$C$4:$AI$4407,'Tracking Sheet'!B1200,'Production '!$F$4:$F$4407)</f>
        <v>64084</v>
      </c>
      <c r="I1200" s="76">
        <f ca="1">SUMIF('Production '!$C$4:$AI$4407,'Tracking Sheet'!B1200,'Production '!$V$4:$V$4407)</f>
        <v>0</v>
      </c>
      <c r="J1200" s="76">
        <f ca="1">SUMIF('Production '!$C$4:$AI$4407,'Tracking Sheet'!B1200,'Production '!$AG$4:$AG$4407)</f>
        <v>0</v>
      </c>
    </row>
    <row r="1201" spans="2:10" x14ac:dyDescent="0.3">
      <c r="B1201" s="277" t="str">
        <f>'Production '!C1204</f>
        <v>48199 3rd</v>
      </c>
      <c r="C1201" s="76">
        <f ca="1">SUMIF('Production '!$C$4:$AI$4407,'Tracking Sheet'!B1201,'Production '!$M$4:$M$4407)</f>
        <v>65559</v>
      </c>
      <c r="D1201" s="76">
        <f ca="1">SUMIF('Production '!$C$4:$AI$4407,'Tracking Sheet'!B1201,'Production '!$Q$4:$Q$4407)</f>
        <v>0</v>
      </c>
      <c r="E1201" s="76">
        <f ca="1">SUMIF('Production '!$C$4:$AI$4407,'Tracking Sheet'!B1201,'Production '!$S$4:$S$4407)</f>
        <v>0</v>
      </c>
      <c r="F1201" s="76">
        <f ca="1">SUMIF('Production '!$C$4:$AI$4407,'Tracking Sheet'!B1201,'Production '!$U$4:$U$4407)</f>
        <v>382</v>
      </c>
      <c r="G1201" s="76">
        <f ca="1">SUMIF('Production '!$C$4:$AI$4407,'Tracking Sheet'!B1201,'Production '!$W$4:$W$4407)</f>
        <v>65177</v>
      </c>
      <c r="H1201" s="76">
        <f ca="1">SUMIF('Production '!$C$4:$AI$4407,'Tracking Sheet'!B1201,'Production '!$F$4:$F$4407)</f>
        <v>64084</v>
      </c>
      <c r="I1201" s="76">
        <f ca="1">SUMIF('Production '!$C$4:$AI$4407,'Tracking Sheet'!B1201,'Production '!$V$4:$V$4407)</f>
        <v>0</v>
      </c>
      <c r="J1201" s="76">
        <f ca="1">SUMIF('Production '!$C$4:$AI$4407,'Tracking Sheet'!B1201,'Production '!$AG$4:$AG$4407)</f>
        <v>0</v>
      </c>
    </row>
    <row r="1202" spans="2:10" x14ac:dyDescent="0.3">
      <c r="B1202" s="277" t="str">
        <f>'Production '!C1205</f>
        <v>48199 3rd</v>
      </c>
      <c r="C1202" s="76">
        <f ca="1">SUMIF('Production '!$C$4:$AI$4407,'Tracking Sheet'!B1202,'Production '!$M$4:$M$4407)</f>
        <v>65559</v>
      </c>
      <c r="D1202" s="76">
        <f ca="1">SUMIF('Production '!$C$4:$AI$4407,'Tracking Sheet'!B1202,'Production '!$Q$4:$Q$4407)</f>
        <v>0</v>
      </c>
      <c r="E1202" s="76">
        <f ca="1">SUMIF('Production '!$C$4:$AI$4407,'Tracking Sheet'!B1202,'Production '!$S$4:$S$4407)</f>
        <v>0</v>
      </c>
      <c r="F1202" s="76">
        <f ca="1">SUMIF('Production '!$C$4:$AI$4407,'Tracking Sheet'!B1202,'Production '!$U$4:$U$4407)</f>
        <v>382</v>
      </c>
      <c r="G1202" s="76">
        <f ca="1">SUMIF('Production '!$C$4:$AI$4407,'Tracking Sheet'!B1202,'Production '!$W$4:$W$4407)</f>
        <v>65177</v>
      </c>
      <c r="H1202" s="76">
        <f ca="1">SUMIF('Production '!$C$4:$AI$4407,'Tracking Sheet'!B1202,'Production '!$F$4:$F$4407)</f>
        <v>64084</v>
      </c>
      <c r="I1202" s="76">
        <f ca="1">SUMIF('Production '!$C$4:$AI$4407,'Tracking Sheet'!B1202,'Production '!$V$4:$V$4407)</f>
        <v>0</v>
      </c>
      <c r="J1202" s="76">
        <f ca="1">SUMIF('Production '!$C$4:$AI$4407,'Tracking Sheet'!B1202,'Production '!$AG$4:$AG$4407)</f>
        <v>0</v>
      </c>
    </row>
    <row r="1203" spans="2:10" x14ac:dyDescent="0.3">
      <c r="B1203" s="277" t="str">
        <f>'Production '!C1206</f>
        <v>48199 3rd</v>
      </c>
      <c r="C1203" s="76">
        <f ca="1">SUMIF('Production '!$C$4:$AI$4407,'Tracking Sheet'!B1203,'Production '!$M$4:$M$4407)</f>
        <v>65559</v>
      </c>
      <c r="D1203" s="76">
        <f ca="1">SUMIF('Production '!$C$4:$AI$4407,'Tracking Sheet'!B1203,'Production '!$Q$4:$Q$4407)</f>
        <v>0</v>
      </c>
      <c r="E1203" s="76">
        <f ca="1">SUMIF('Production '!$C$4:$AI$4407,'Tracking Sheet'!B1203,'Production '!$S$4:$S$4407)</f>
        <v>0</v>
      </c>
      <c r="F1203" s="76">
        <f ca="1">SUMIF('Production '!$C$4:$AI$4407,'Tracking Sheet'!B1203,'Production '!$U$4:$U$4407)</f>
        <v>382</v>
      </c>
      <c r="G1203" s="76">
        <f ca="1">SUMIF('Production '!$C$4:$AI$4407,'Tracking Sheet'!B1203,'Production '!$W$4:$W$4407)</f>
        <v>65177</v>
      </c>
      <c r="H1203" s="76">
        <f ca="1">SUMIF('Production '!$C$4:$AI$4407,'Tracking Sheet'!B1203,'Production '!$F$4:$F$4407)</f>
        <v>64084</v>
      </c>
      <c r="I1203" s="76">
        <f ca="1">SUMIF('Production '!$C$4:$AI$4407,'Tracking Sheet'!B1203,'Production '!$V$4:$V$4407)</f>
        <v>0</v>
      </c>
      <c r="J1203" s="76">
        <f ca="1">SUMIF('Production '!$C$4:$AI$4407,'Tracking Sheet'!B1203,'Production '!$AG$4:$AG$4407)</f>
        <v>0</v>
      </c>
    </row>
    <row r="1204" spans="2:10" x14ac:dyDescent="0.3">
      <c r="B1204" s="277" t="str">
        <f>'Production '!C1207</f>
        <v>48199 3rd</v>
      </c>
      <c r="C1204" s="76">
        <f ca="1">SUMIF('Production '!$C$4:$AI$4407,'Tracking Sheet'!B1204,'Production '!$M$4:$M$4407)</f>
        <v>65559</v>
      </c>
      <c r="D1204" s="76">
        <f ca="1">SUMIF('Production '!$C$4:$AI$4407,'Tracking Sheet'!B1204,'Production '!$Q$4:$Q$4407)</f>
        <v>0</v>
      </c>
      <c r="E1204" s="76">
        <f ca="1">SUMIF('Production '!$C$4:$AI$4407,'Tracking Sheet'!B1204,'Production '!$S$4:$S$4407)</f>
        <v>0</v>
      </c>
      <c r="F1204" s="76">
        <f ca="1">SUMIF('Production '!$C$4:$AI$4407,'Tracking Sheet'!B1204,'Production '!$U$4:$U$4407)</f>
        <v>382</v>
      </c>
      <c r="G1204" s="76">
        <f ca="1">SUMIF('Production '!$C$4:$AI$4407,'Tracking Sheet'!B1204,'Production '!$W$4:$W$4407)</f>
        <v>65177</v>
      </c>
      <c r="H1204" s="76">
        <f ca="1">SUMIF('Production '!$C$4:$AI$4407,'Tracking Sheet'!B1204,'Production '!$F$4:$F$4407)</f>
        <v>64084</v>
      </c>
      <c r="I1204" s="76">
        <f ca="1">SUMIF('Production '!$C$4:$AI$4407,'Tracking Sheet'!B1204,'Production '!$V$4:$V$4407)</f>
        <v>0</v>
      </c>
      <c r="J1204" s="76">
        <f ca="1">SUMIF('Production '!$C$4:$AI$4407,'Tracking Sheet'!B1204,'Production '!$AG$4:$AG$4407)</f>
        <v>0</v>
      </c>
    </row>
    <row r="1205" spans="2:10" x14ac:dyDescent="0.3">
      <c r="B1205" s="277" t="str">
        <f>'Production '!C1208</f>
        <v>48199 3rd</v>
      </c>
      <c r="C1205" s="76">
        <f ca="1">SUMIF('Production '!$C$4:$AI$4407,'Tracking Sheet'!B1205,'Production '!$M$4:$M$4407)</f>
        <v>65559</v>
      </c>
      <c r="D1205" s="76">
        <f ca="1">SUMIF('Production '!$C$4:$AI$4407,'Tracking Sheet'!B1205,'Production '!$Q$4:$Q$4407)</f>
        <v>0</v>
      </c>
      <c r="E1205" s="76">
        <f ca="1">SUMIF('Production '!$C$4:$AI$4407,'Tracking Sheet'!B1205,'Production '!$S$4:$S$4407)</f>
        <v>0</v>
      </c>
      <c r="F1205" s="76">
        <f ca="1">SUMIF('Production '!$C$4:$AI$4407,'Tracking Sheet'!B1205,'Production '!$U$4:$U$4407)</f>
        <v>382</v>
      </c>
      <c r="G1205" s="76">
        <f ca="1">SUMIF('Production '!$C$4:$AI$4407,'Tracking Sheet'!B1205,'Production '!$W$4:$W$4407)</f>
        <v>65177</v>
      </c>
      <c r="H1205" s="76">
        <f ca="1">SUMIF('Production '!$C$4:$AI$4407,'Tracking Sheet'!B1205,'Production '!$F$4:$F$4407)</f>
        <v>64084</v>
      </c>
      <c r="I1205" s="76">
        <f ca="1">SUMIF('Production '!$C$4:$AI$4407,'Tracking Sheet'!B1205,'Production '!$V$4:$V$4407)</f>
        <v>0</v>
      </c>
      <c r="J1205" s="76">
        <f ca="1">SUMIF('Production '!$C$4:$AI$4407,'Tracking Sheet'!B1205,'Production '!$AG$4:$AG$4407)</f>
        <v>0</v>
      </c>
    </row>
    <row r="1206" spans="2:10" x14ac:dyDescent="0.3">
      <c r="B1206" s="277" t="str">
        <f>'Production '!C1209</f>
        <v>48199 3rd</v>
      </c>
      <c r="C1206" s="76">
        <f ca="1">SUMIF('Production '!$C$4:$AI$4407,'Tracking Sheet'!B1206,'Production '!$M$4:$M$4407)</f>
        <v>65559</v>
      </c>
      <c r="D1206" s="76">
        <f ca="1">SUMIF('Production '!$C$4:$AI$4407,'Tracking Sheet'!B1206,'Production '!$Q$4:$Q$4407)</f>
        <v>0</v>
      </c>
      <c r="E1206" s="76">
        <f ca="1">SUMIF('Production '!$C$4:$AI$4407,'Tracking Sheet'!B1206,'Production '!$S$4:$S$4407)</f>
        <v>0</v>
      </c>
      <c r="F1206" s="76">
        <f ca="1">SUMIF('Production '!$C$4:$AI$4407,'Tracking Sheet'!B1206,'Production '!$U$4:$U$4407)</f>
        <v>382</v>
      </c>
      <c r="G1206" s="76">
        <f ca="1">SUMIF('Production '!$C$4:$AI$4407,'Tracking Sheet'!B1206,'Production '!$W$4:$W$4407)</f>
        <v>65177</v>
      </c>
      <c r="H1206" s="76">
        <f ca="1">SUMIF('Production '!$C$4:$AI$4407,'Tracking Sheet'!B1206,'Production '!$F$4:$F$4407)</f>
        <v>64084</v>
      </c>
      <c r="I1206" s="76">
        <f ca="1">SUMIF('Production '!$C$4:$AI$4407,'Tracking Sheet'!B1206,'Production '!$V$4:$V$4407)</f>
        <v>0</v>
      </c>
      <c r="J1206" s="76">
        <f ca="1">SUMIF('Production '!$C$4:$AI$4407,'Tracking Sheet'!B1206,'Production '!$AG$4:$AG$4407)</f>
        <v>0</v>
      </c>
    </row>
    <row r="1207" spans="2:10" x14ac:dyDescent="0.3">
      <c r="B1207" s="277">
        <f>'Production '!C1210</f>
        <v>0</v>
      </c>
      <c r="C1207" s="76" t="e">
        <f ca="1">SUMIF('Production '!$C$4:$AI$4407,'Tracking Sheet'!B1207,'Production '!$M$4:$M$4407)</f>
        <v>#DIV/0!</v>
      </c>
      <c r="D1207" s="76" t="e">
        <f ca="1">SUMIF('Production '!$C$4:$AI$4407,'Tracking Sheet'!B1207,'Production '!$Q$4:$Q$4407)</f>
        <v>#DIV/0!</v>
      </c>
      <c r="E1207" s="76">
        <f ca="1">SUMIF('Production '!$C$4:$AI$4407,'Tracking Sheet'!B1207,'Production '!$S$4:$S$4407)</f>
        <v>-1268218.9828305368</v>
      </c>
      <c r="F1207" s="76">
        <f ca="1">SUMIF('Production '!$C$4:$AI$4407,'Tracking Sheet'!B1207,'Production '!$U$4:$U$4407)</f>
        <v>-10620.435600016917</v>
      </c>
      <c r="G1207" s="76" t="e">
        <f ca="1">SUMIF('Production '!$C$4:$AI$4407,'Tracking Sheet'!B1207,'Production '!$W$4:$W$4407)</f>
        <v>#DIV/0!</v>
      </c>
      <c r="H1207" s="76">
        <f ca="1">SUMIF('Production '!$C$4:$AI$4407,'Tracking Sheet'!B1207,'Production '!$F$4:$F$4407)</f>
        <v>3230621.3283604058</v>
      </c>
      <c r="I1207" s="76">
        <f ca="1">SUMIF('Production '!$C$4:$AI$4407,'Tracking Sheet'!B1207,'Production '!$V$4:$V$4407)</f>
        <v>-489.86487791182844</v>
      </c>
      <c r="J1207" s="76">
        <f ca="1">SUMIF('Production '!$C$4:$AI$4407,'Tracking Sheet'!B1207,'Production '!$AG$4:$AG$4407)</f>
        <v>0</v>
      </c>
    </row>
    <row r="1208" spans="2:10" x14ac:dyDescent="0.3">
      <c r="B1208" s="277" t="str">
        <f>'Production '!C1211</f>
        <v>45691 2nd</v>
      </c>
      <c r="C1208" s="76">
        <f ca="1">SUMIF('Production '!$C$4:$AI$4407,'Tracking Sheet'!B1208,'Production '!$M$4:$M$4407)</f>
        <v>5817</v>
      </c>
      <c r="D1208" s="76">
        <f ca="1">SUMIF('Production '!$C$4:$AI$4407,'Tracking Sheet'!B1208,'Production '!$Q$4:$Q$4407)</f>
        <v>0</v>
      </c>
      <c r="E1208" s="76">
        <f ca="1">SUMIF('Production '!$C$4:$AI$4407,'Tracking Sheet'!B1208,'Production '!$S$4:$S$4407)</f>
        <v>0</v>
      </c>
      <c r="F1208" s="76">
        <f ca="1">SUMIF('Production '!$C$4:$AI$4407,'Tracking Sheet'!B1208,'Production '!$U$4:$U$4407)</f>
        <v>5817</v>
      </c>
      <c r="G1208" s="76">
        <f ca="1">SUMIF('Production '!$C$4:$AI$4407,'Tracking Sheet'!B1208,'Production '!$W$4:$W$4407)</f>
        <v>0</v>
      </c>
      <c r="H1208" s="76">
        <f ca="1">SUMIF('Production '!$C$4:$AI$4407,'Tracking Sheet'!B1208,'Production '!$F$4:$F$4407)</f>
        <v>7734</v>
      </c>
      <c r="I1208" s="76">
        <f ca="1">SUMIF('Production '!$C$4:$AI$4407,'Tracking Sheet'!B1208,'Production '!$V$4:$V$4407)</f>
        <v>0</v>
      </c>
      <c r="J1208" s="76">
        <f ca="1">SUMIF('Production '!$C$4:$AI$4407,'Tracking Sheet'!B1208,'Production '!$AG$4:$AG$4407)</f>
        <v>-1967</v>
      </c>
    </row>
    <row r="1209" spans="2:10" x14ac:dyDescent="0.3">
      <c r="B1209" s="277" t="str">
        <f>'Production '!C1212</f>
        <v>45691 2nd</v>
      </c>
      <c r="C1209" s="76">
        <f ca="1">SUMIF('Production '!$C$4:$AI$4407,'Tracking Sheet'!B1209,'Production '!$M$4:$M$4407)</f>
        <v>5817</v>
      </c>
      <c r="D1209" s="76">
        <f ca="1">SUMIF('Production '!$C$4:$AI$4407,'Tracking Sheet'!B1209,'Production '!$Q$4:$Q$4407)</f>
        <v>0</v>
      </c>
      <c r="E1209" s="76">
        <f ca="1">SUMIF('Production '!$C$4:$AI$4407,'Tracking Sheet'!B1209,'Production '!$S$4:$S$4407)</f>
        <v>0</v>
      </c>
      <c r="F1209" s="76">
        <f ca="1">SUMIF('Production '!$C$4:$AI$4407,'Tracking Sheet'!B1209,'Production '!$U$4:$U$4407)</f>
        <v>5817</v>
      </c>
      <c r="G1209" s="76">
        <f ca="1">SUMIF('Production '!$C$4:$AI$4407,'Tracking Sheet'!B1209,'Production '!$W$4:$W$4407)</f>
        <v>0</v>
      </c>
      <c r="H1209" s="76">
        <f ca="1">SUMIF('Production '!$C$4:$AI$4407,'Tracking Sheet'!B1209,'Production '!$F$4:$F$4407)</f>
        <v>7734</v>
      </c>
      <c r="I1209" s="76">
        <f ca="1">SUMIF('Production '!$C$4:$AI$4407,'Tracking Sheet'!B1209,'Production '!$V$4:$V$4407)</f>
        <v>0</v>
      </c>
      <c r="J1209" s="76">
        <f ca="1">SUMIF('Production '!$C$4:$AI$4407,'Tracking Sheet'!B1209,'Production '!$AG$4:$AG$4407)</f>
        <v>-1967</v>
      </c>
    </row>
    <row r="1210" spans="2:10" x14ac:dyDescent="0.3">
      <c r="B1210" s="277" t="str">
        <f>'Production '!C1213</f>
        <v>45691 2nd</v>
      </c>
      <c r="C1210" s="76">
        <f ca="1">SUMIF('Production '!$C$4:$AI$4407,'Tracking Sheet'!B1210,'Production '!$M$4:$M$4407)</f>
        <v>5817</v>
      </c>
      <c r="D1210" s="76">
        <f ca="1">SUMIF('Production '!$C$4:$AI$4407,'Tracking Sheet'!B1210,'Production '!$Q$4:$Q$4407)</f>
        <v>0</v>
      </c>
      <c r="E1210" s="76">
        <f ca="1">SUMIF('Production '!$C$4:$AI$4407,'Tracking Sheet'!B1210,'Production '!$S$4:$S$4407)</f>
        <v>0</v>
      </c>
      <c r="F1210" s="76">
        <f ca="1">SUMIF('Production '!$C$4:$AI$4407,'Tracking Sheet'!B1210,'Production '!$U$4:$U$4407)</f>
        <v>5817</v>
      </c>
      <c r="G1210" s="76">
        <f ca="1">SUMIF('Production '!$C$4:$AI$4407,'Tracking Sheet'!B1210,'Production '!$W$4:$W$4407)</f>
        <v>0</v>
      </c>
      <c r="H1210" s="76">
        <f ca="1">SUMIF('Production '!$C$4:$AI$4407,'Tracking Sheet'!B1210,'Production '!$F$4:$F$4407)</f>
        <v>7734</v>
      </c>
      <c r="I1210" s="76">
        <f ca="1">SUMIF('Production '!$C$4:$AI$4407,'Tracking Sheet'!B1210,'Production '!$V$4:$V$4407)</f>
        <v>0</v>
      </c>
      <c r="J1210" s="76">
        <f ca="1">SUMIF('Production '!$C$4:$AI$4407,'Tracking Sheet'!B1210,'Production '!$AG$4:$AG$4407)</f>
        <v>-1967</v>
      </c>
    </row>
    <row r="1211" spans="2:10" x14ac:dyDescent="0.3">
      <c r="B1211" s="277" t="str">
        <f>'Production '!C1214</f>
        <v>45691 2nd</v>
      </c>
      <c r="C1211" s="76">
        <f ca="1">SUMIF('Production '!$C$4:$AI$4407,'Tracking Sheet'!B1211,'Production '!$M$4:$M$4407)</f>
        <v>5817</v>
      </c>
      <c r="D1211" s="76">
        <f ca="1">SUMIF('Production '!$C$4:$AI$4407,'Tracking Sheet'!B1211,'Production '!$Q$4:$Q$4407)</f>
        <v>0</v>
      </c>
      <c r="E1211" s="76">
        <f ca="1">SUMIF('Production '!$C$4:$AI$4407,'Tracking Sheet'!B1211,'Production '!$S$4:$S$4407)</f>
        <v>0</v>
      </c>
      <c r="F1211" s="76">
        <f ca="1">SUMIF('Production '!$C$4:$AI$4407,'Tracking Sheet'!B1211,'Production '!$U$4:$U$4407)</f>
        <v>5817</v>
      </c>
      <c r="G1211" s="76">
        <f ca="1">SUMIF('Production '!$C$4:$AI$4407,'Tracking Sheet'!B1211,'Production '!$W$4:$W$4407)</f>
        <v>0</v>
      </c>
      <c r="H1211" s="76">
        <f ca="1">SUMIF('Production '!$C$4:$AI$4407,'Tracking Sheet'!B1211,'Production '!$F$4:$F$4407)</f>
        <v>7734</v>
      </c>
      <c r="I1211" s="76">
        <f ca="1">SUMIF('Production '!$C$4:$AI$4407,'Tracking Sheet'!B1211,'Production '!$V$4:$V$4407)</f>
        <v>0</v>
      </c>
      <c r="J1211" s="76">
        <f ca="1">SUMIF('Production '!$C$4:$AI$4407,'Tracking Sheet'!B1211,'Production '!$AG$4:$AG$4407)</f>
        <v>-1967</v>
      </c>
    </row>
    <row r="1212" spans="2:10" x14ac:dyDescent="0.3">
      <c r="B1212" s="277" t="str">
        <f>'Production '!C1215</f>
        <v>45691 2nd</v>
      </c>
      <c r="C1212" s="76">
        <f ca="1">SUMIF('Production '!$C$4:$AI$4407,'Tracking Sheet'!B1212,'Production '!$M$4:$M$4407)</f>
        <v>5817</v>
      </c>
      <c r="D1212" s="76">
        <f ca="1">SUMIF('Production '!$C$4:$AI$4407,'Tracking Sheet'!B1212,'Production '!$Q$4:$Q$4407)</f>
        <v>0</v>
      </c>
      <c r="E1212" s="76">
        <f ca="1">SUMIF('Production '!$C$4:$AI$4407,'Tracking Sheet'!B1212,'Production '!$S$4:$S$4407)</f>
        <v>0</v>
      </c>
      <c r="F1212" s="76">
        <f ca="1">SUMIF('Production '!$C$4:$AI$4407,'Tracking Sheet'!B1212,'Production '!$U$4:$U$4407)</f>
        <v>5817</v>
      </c>
      <c r="G1212" s="76">
        <f ca="1">SUMIF('Production '!$C$4:$AI$4407,'Tracking Sheet'!B1212,'Production '!$W$4:$W$4407)</f>
        <v>0</v>
      </c>
      <c r="H1212" s="76">
        <f ca="1">SUMIF('Production '!$C$4:$AI$4407,'Tracking Sheet'!B1212,'Production '!$F$4:$F$4407)</f>
        <v>7734</v>
      </c>
      <c r="I1212" s="76">
        <f ca="1">SUMIF('Production '!$C$4:$AI$4407,'Tracking Sheet'!B1212,'Production '!$V$4:$V$4407)</f>
        <v>0</v>
      </c>
      <c r="J1212" s="76">
        <f ca="1">SUMIF('Production '!$C$4:$AI$4407,'Tracking Sheet'!B1212,'Production '!$AG$4:$AG$4407)</f>
        <v>-1967</v>
      </c>
    </row>
    <row r="1213" spans="2:10" x14ac:dyDescent="0.3">
      <c r="B1213" s="277">
        <f>'Production '!C1216</f>
        <v>0</v>
      </c>
      <c r="C1213" s="76" t="e">
        <f ca="1">SUMIF('Production '!$C$4:$AI$4407,'Tracking Sheet'!B1213,'Production '!$M$4:$M$4407)</f>
        <v>#DIV/0!</v>
      </c>
      <c r="D1213" s="76" t="e">
        <f ca="1">SUMIF('Production '!$C$4:$AI$4407,'Tracking Sheet'!B1213,'Production '!$Q$4:$Q$4407)</f>
        <v>#DIV/0!</v>
      </c>
      <c r="E1213" s="76">
        <f ca="1">SUMIF('Production '!$C$4:$AI$4407,'Tracking Sheet'!B1213,'Production '!$S$4:$S$4407)</f>
        <v>-1268218.9828305368</v>
      </c>
      <c r="F1213" s="76">
        <f ca="1">SUMIF('Production '!$C$4:$AI$4407,'Tracking Sheet'!B1213,'Production '!$U$4:$U$4407)</f>
        <v>-10620.435600016917</v>
      </c>
      <c r="G1213" s="76" t="e">
        <f ca="1">SUMIF('Production '!$C$4:$AI$4407,'Tracking Sheet'!B1213,'Production '!$W$4:$W$4407)</f>
        <v>#DIV/0!</v>
      </c>
      <c r="H1213" s="76">
        <f ca="1">SUMIF('Production '!$C$4:$AI$4407,'Tracking Sheet'!B1213,'Production '!$F$4:$F$4407)</f>
        <v>3230621.3283604058</v>
      </c>
      <c r="I1213" s="76">
        <f ca="1">SUMIF('Production '!$C$4:$AI$4407,'Tracking Sheet'!B1213,'Production '!$V$4:$V$4407)</f>
        <v>-489.86487791182844</v>
      </c>
      <c r="J1213" s="76">
        <f ca="1">SUMIF('Production '!$C$4:$AI$4407,'Tracking Sheet'!B1213,'Production '!$AG$4:$AG$4407)</f>
        <v>0</v>
      </c>
    </row>
    <row r="1214" spans="2:10" x14ac:dyDescent="0.3">
      <c r="B1214" s="277">
        <f>'Production '!C1217</f>
        <v>48149</v>
      </c>
      <c r="C1214" s="76">
        <f ca="1">SUMIF('Production '!$C$4:$AI$4407,'Tracking Sheet'!B1214,'Production '!$M$4:$M$4407)</f>
        <v>0</v>
      </c>
      <c r="D1214" s="76">
        <f ca="1">SUMIF('Production '!$C$4:$AI$4407,'Tracking Sheet'!B1214,'Production '!$Q$4:$Q$4407)</f>
        <v>0</v>
      </c>
      <c r="E1214" s="76">
        <f ca="1">SUMIF('Production '!$C$4:$AI$4407,'Tracking Sheet'!B1214,'Production '!$S$4:$S$4407)</f>
        <v>0</v>
      </c>
      <c r="F1214" s="76">
        <f ca="1">SUMIF('Production '!$C$4:$AI$4407,'Tracking Sheet'!B1214,'Production '!$U$4:$U$4407)</f>
        <v>0</v>
      </c>
      <c r="G1214" s="76">
        <f ca="1">SUMIF('Production '!$C$4:$AI$4407,'Tracking Sheet'!B1214,'Production '!$W$4:$W$4407)</f>
        <v>0</v>
      </c>
      <c r="H1214" s="76">
        <f ca="1">SUMIF('Production '!$C$4:$AI$4407,'Tracking Sheet'!B1214,'Production '!$F$4:$F$4407)</f>
        <v>2170</v>
      </c>
      <c r="I1214" s="76">
        <f ca="1">SUMIF('Production '!$C$4:$AI$4407,'Tracking Sheet'!B1214,'Production '!$V$4:$V$4407)</f>
        <v>0</v>
      </c>
      <c r="J1214" s="76">
        <f ca="1">SUMIF('Production '!$C$4:$AI$4407,'Tracking Sheet'!B1214,'Production '!$AG$4:$AG$4407)</f>
        <v>-2170</v>
      </c>
    </row>
    <row r="1215" spans="2:10" x14ac:dyDescent="0.3">
      <c r="B1215" s="277">
        <f>'Production '!C1218</f>
        <v>48149</v>
      </c>
      <c r="C1215" s="76">
        <f ca="1">SUMIF('Production '!$C$4:$AI$4407,'Tracking Sheet'!B1215,'Production '!$M$4:$M$4407)</f>
        <v>0</v>
      </c>
      <c r="D1215" s="76">
        <f ca="1">SUMIF('Production '!$C$4:$AI$4407,'Tracking Sheet'!B1215,'Production '!$Q$4:$Q$4407)</f>
        <v>0</v>
      </c>
      <c r="E1215" s="76">
        <f ca="1">SUMIF('Production '!$C$4:$AI$4407,'Tracking Sheet'!B1215,'Production '!$S$4:$S$4407)</f>
        <v>0</v>
      </c>
      <c r="F1215" s="76">
        <f ca="1">SUMIF('Production '!$C$4:$AI$4407,'Tracking Sheet'!B1215,'Production '!$U$4:$U$4407)</f>
        <v>0</v>
      </c>
      <c r="G1215" s="76">
        <f ca="1">SUMIF('Production '!$C$4:$AI$4407,'Tracking Sheet'!B1215,'Production '!$W$4:$W$4407)</f>
        <v>0</v>
      </c>
      <c r="H1215" s="76">
        <f ca="1">SUMIF('Production '!$C$4:$AI$4407,'Tracking Sheet'!B1215,'Production '!$F$4:$F$4407)</f>
        <v>2170</v>
      </c>
      <c r="I1215" s="76">
        <f ca="1">SUMIF('Production '!$C$4:$AI$4407,'Tracking Sheet'!B1215,'Production '!$V$4:$V$4407)</f>
        <v>0</v>
      </c>
      <c r="J1215" s="76">
        <f ca="1">SUMIF('Production '!$C$4:$AI$4407,'Tracking Sheet'!B1215,'Production '!$AG$4:$AG$4407)</f>
        <v>-2170</v>
      </c>
    </row>
    <row r="1216" spans="2:10" x14ac:dyDescent="0.3">
      <c r="B1216" s="277">
        <f>'Production '!C1219</f>
        <v>48149</v>
      </c>
      <c r="C1216" s="76">
        <f ca="1">SUMIF('Production '!$C$4:$AI$4407,'Tracking Sheet'!B1216,'Production '!$M$4:$M$4407)</f>
        <v>0</v>
      </c>
      <c r="D1216" s="76">
        <f ca="1">SUMIF('Production '!$C$4:$AI$4407,'Tracking Sheet'!B1216,'Production '!$Q$4:$Q$4407)</f>
        <v>0</v>
      </c>
      <c r="E1216" s="76">
        <f ca="1">SUMIF('Production '!$C$4:$AI$4407,'Tracking Sheet'!B1216,'Production '!$S$4:$S$4407)</f>
        <v>0</v>
      </c>
      <c r="F1216" s="76">
        <f ca="1">SUMIF('Production '!$C$4:$AI$4407,'Tracking Sheet'!B1216,'Production '!$U$4:$U$4407)</f>
        <v>0</v>
      </c>
      <c r="G1216" s="76">
        <f ca="1">SUMIF('Production '!$C$4:$AI$4407,'Tracking Sheet'!B1216,'Production '!$W$4:$W$4407)</f>
        <v>0</v>
      </c>
      <c r="H1216" s="76">
        <f ca="1">SUMIF('Production '!$C$4:$AI$4407,'Tracking Sheet'!B1216,'Production '!$F$4:$F$4407)</f>
        <v>2170</v>
      </c>
      <c r="I1216" s="76">
        <f ca="1">SUMIF('Production '!$C$4:$AI$4407,'Tracking Sheet'!B1216,'Production '!$V$4:$V$4407)</f>
        <v>0</v>
      </c>
      <c r="J1216" s="76">
        <f ca="1">SUMIF('Production '!$C$4:$AI$4407,'Tracking Sheet'!B1216,'Production '!$AG$4:$AG$4407)</f>
        <v>-2170</v>
      </c>
    </row>
    <row r="1217" spans="2:10" x14ac:dyDescent="0.3">
      <c r="B1217" s="277">
        <f>'Production '!C1220</f>
        <v>0</v>
      </c>
      <c r="C1217" s="76" t="e">
        <f ca="1">SUMIF('Production '!$C$4:$AI$4407,'Tracking Sheet'!B1217,'Production '!$M$4:$M$4407)</f>
        <v>#DIV/0!</v>
      </c>
      <c r="D1217" s="76" t="e">
        <f ca="1">SUMIF('Production '!$C$4:$AI$4407,'Tracking Sheet'!B1217,'Production '!$Q$4:$Q$4407)</f>
        <v>#DIV/0!</v>
      </c>
      <c r="E1217" s="76">
        <f ca="1">SUMIF('Production '!$C$4:$AI$4407,'Tracking Sheet'!B1217,'Production '!$S$4:$S$4407)</f>
        <v>-1268218.9828305368</v>
      </c>
      <c r="F1217" s="76">
        <f ca="1">SUMIF('Production '!$C$4:$AI$4407,'Tracking Sheet'!B1217,'Production '!$U$4:$U$4407)</f>
        <v>-10620.435600016917</v>
      </c>
      <c r="G1217" s="76" t="e">
        <f ca="1">SUMIF('Production '!$C$4:$AI$4407,'Tracking Sheet'!B1217,'Production '!$W$4:$W$4407)</f>
        <v>#DIV/0!</v>
      </c>
      <c r="H1217" s="76">
        <f ca="1">SUMIF('Production '!$C$4:$AI$4407,'Tracking Sheet'!B1217,'Production '!$F$4:$F$4407)</f>
        <v>3230621.3283604058</v>
      </c>
      <c r="I1217" s="76">
        <f ca="1">SUMIF('Production '!$C$4:$AI$4407,'Tracking Sheet'!B1217,'Production '!$V$4:$V$4407)</f>
        <v>-489.86487791182844</v>
      </c>
      <c r="J1217" s="76">
        <f ca="1">SUMIF('Production '!$C$4:$AI$4407,'Tracking Sheet'!B1217,'Production '!$AG$4:$AG$4407)</f>
        <v>0</v>
      </c>
    </row>
    <row r="1218" spans="2:10" x14ac:dyDescent="0.3">
      <c r="B1218" s="277" t="str">
        <f>'Production '!C1221</f>
        <v>44076 18th</v>
      </c>
      <c r="C1218" s="76">
        <f ca="1">SUMIF('Production '!$C$4:$AI$4407,'Tracking Sheet'!B1218,'Production '!$M$4:$M$4407)</f>
        <v>14630</v>
      </c>
      <c r="D1218" s="76">
        <f ca="1">SUMIF('Production '!$C$4:$AI$4407,'Tracking Sheet'!B1218,'Production '!$Q$4:$Q$4407)</f>
        <v>0</v>
      </c>
      <c r="E1218" s="76">
        <f ca="1">SUMIF('Production '!$C$4:$AI$4407,'Tracking Sheet'!B1218,'Production '!$S$4:$S$4407)</f>
        <v>0</v>
      </c>
      <c r="F1218" s="76">
        <f ca="1">SUMIF('Production '!$C$4:$AI$4407,'Tracking Sheet'!B1218,'Production '!$U$4:$U$4407)</f>
        <v>330</v>
      </c>
      <c r="G1218" s="76">
        <f ca="1">SUMIF('Production '!$C$4:$AI$4407,'Tracking Sheet'!B1218,'Production '!$W$4:$W$4407)</f>
        <v>14300</v>
      </c>
      <c r="H1218" s="76">
        <f ca="1">SUMIF('Production '!$C$4:$AI$4407,'Tracking Sheet'!B1218,'Production '!$F$4:$F$4407)</f>
        <v>14238</v>
      </c>
      <c r="I1218" s="76">
        <f ca="1">SUMIF('Production '!$C$4:$AI$4407,'Tracking Sheet'!B1218,'Production '!$V$4:$V$4407)</f>
        <v>666</v>
      </c>
      <c r="J1218" s="76">
        <f ca="1">SUMIF('Production '!$C$4:$AI$4407,'Tracking Sheet'!B1218,'Production '!$AG$4:$AG$4407)</f>
        <v>0</v>
      </c>
    </row>
    <row r="1219" spans="2:10" x14ac:dyDescent="0.3">
      <c r="B1219" s="277" t="str">
        <f>'Production '!C1222</f>
        <v>44076 18th</v>
      </c>
      <c r="C1219" s="76">
        <f ca="1">SUMIF('Production '!$C$4:$AI$4407,'Tracking Sheet'!B1219,'Production '!$M$4:$M$4407)</f>
        <v>14630</v>
      </c>
      <c r="D1219" s="76">
        <f ca="1">SUMIF('Production '!$C$4:$AI$4407,'Tracking Sheet'!B1219,'Production '!$Q$4:$Q$4407)</f>
        <v>0</v>
      </c>
      <c r="E1219" s="76">
        <f ca="1">SUMIF('Production '!$C$4:$AI$4407,'Tracking Sheet'!B1219,'Production '!$S$4:$S$4407)</f>
        <v>0</v>
      </c>
      <c r="F1219" s="76">
        <f ca="1">SUMIF('Production '!$C$4:$AI$4407,'Tracking Sheet'!B1219,'Production '!$U$4:$U$4407)</f>
        <v>330</v>
      </c>
      <c r="G1219" s="76">
        <f ca="1">SUMIF('Production '!$C$4:$AI$4407,'Tracking Sheet'!B1219,'Production '!$W$4:$W$4407)</f>
        <v>14300</v>
      </c>
      <c r="H1219" s="76">
        <f ca="1">SUMIF('Production '!$C$4:$AI$4407,'Tracking Sheet'!B1219,'Production '!$F$4:$F$4407)</f>
        <v>14238</v>
      </c>
      <c r="I1219" s="76">
        <f ca="1">SUMIF('Production '!$C$4:$AI$4407,'Tracking Sheet'!B1219,'Production '!$V$4:$V$4407)</f>
        <v>666</v>
      </c>
      <c r="J1219" s="76">
        <f ca="1">SUMIF('Production '!$C$4:$AI$4407,'Tracking Sheet'!B1219,'Production '!$AG$4:$AG$4407)</f>
        <v>0</v>
      </c>
    </row>
    <row r="1220" spans="2:10" x14ac:dyDescent="0.3">
      <c r="B1220" s="277" t="str">
        <f>'Production '!C1223</f>
        <v>44076 18th</v>
      </c>
      <c r="C1220" s="76">
        <f ca="1">SUMIF('Production '!$C$4:$AI$4407,'Tracking Sheet'!B1220,'Production '!$M$4:$M$4407)</f>
        <v>14630</v>
      </c>
      <c r="D1220" s="76">
        <f ca="1">SUMIF('Production '!$C$4:$AI$4407,'Tracking Sheet'!B1220,'Production '!$Q$4:$Q$4407)</f>
        <v>0</v>
      </c>
      <c r="E1220" s="76">
        <f ca="1">SUMIF('Production '!$C$4:$AI$4407,'Tracking Sheet'!B1220,'Production '!$S$4:$S$4407)</f>
        <v>0</v>
      </c>
      <c r="F1220" s="76">
        <f ca="1">SUMIF('Production '!$C$4:$AI$4407,'Tracking Sheet'!B1220,'Production '!$U$4:$U$4407)</f>
        <v>330</v>
      </c>
      <c r="G1220" s="76">
        <f ca="1">SUMIF('Production '!$C$4:$AI$4407,'Tracking Sheet'!B1220,'Production '!$W$4:$W$4407)</f>
        <v>14300</v>
      </c>
      <c r="H1220" s="76">
        <f ca="1">SUMIF('Production '!$C$4:$AI$4407,'Tracking Sheet'!B1220,'Production '!$F$4:$F$4407)</f>
        <v>14238</v>
      </c>
      <c r="I1220" s="76">
        <f ca="1">SUMIF('Production '!$C$4:$AI$4407,'Tracking Sheet'!B1220,'Production '!$V$4:$V$4407)</f>
        <v>666</v>
      </c>
      <c r="J1220" s="76">
        <f ca="1">SUMIF('Production '!$C$4:$AI$4407,'Tracking Sheet'!B1220,'Production '!$AG$4:$AG$4407)</f>
        <v>0</v>
      </c>
    </row>
    <row r="1221" spans="2:10" x14ac:dyDescent="0.3">
      <c r="B1221" s="277" t="str">
        <f>'Production '!C1224</f>
        <v>44076 18th</v>
      </c>
      <c r="C1221" s="76">
        <f ca="1">SUMIF('Production '!$C$4:$AI$4407,'Tracking Sheet'!B1221,'Production '!$M$4:$M$4407)</f>
        <v>14630</v>
      </c>
      <c r="D1221" s="76">
        <f ca="1">SUMIF('Production '!$C$4:$AI$4407,'Tracking Sheet'!B1221,'Production '!$Q$4:$Q$4407)</f>
        <v>0</v>
      </c>
      <c r="E1221" s="76">
        <f ca="1">SUMIF('Production '!$C$4:$AI$4407,'Tracking Sheet'!B1221,'Production '!$S$4:$S$4407)</f>
        <v>0</v>
      </c>
      <c r="F1221" s="76">
        <f ca="1">SUMIF('Production '!$C$4:$AI$4407,'Tracking Sheet'!B1221,'Production '!$U$4:$U$4407)</f>
        <v>330</v>
      </c>
      <c r="G1221" s="76">
        <f ca="1">SUMIF('Production '!$C$4:$AI$4407,'Tracking Sheet'!B1221,'Production '!$W$4:$W$4407)</f>
        <v>14300</v>
      </c>
      <c r="H1221" s="76">
        <f ca="1">SUMIF('Production '!$C$4:$AI$4407,'Tracking Sheet'!B1221,'Production '!$F$4:$F$4407)</f>
        <v>14238</v>
      </c>
      <c r="I1221" s="76">
        <f ca="1">SUMIF('Production '!$C$4:$AI$4407,'Tracking Sheet'!B1221,'Production '!$V$4:$V$4407)</f>
        <v>666</v>
      </c>
      <c r="J1221" s="76">
        <f ca="1">SUMIF('Production '!$C$4:$AI$4407,'Tracking Sheet'!B1221,'Production '!$AG$4:$AG$4407)</f>
        <v>0</v>
      </c>
    </row>
    <row r="1222" spans="2:10" x14ac:dyDescent="0.3">
      <c r="B1222" s="277" t="str">
        <f>'Production '!C1225</f>
        <v>44076 18th</v>
      </c>
      <c r="C1222" s="76">
        <f ca="1">SUMIF('Production '!$C$4:$AI$4407,'Tracking Sheet'!B1222,'Production '!$M$4:$M$4407)</f>
        <v>14630</v>
      </c>
      <c r="D1222" s="76">
        <f ca="1">SUMIF('Production '!$C$4:$AI$4407,'Tracking Sheet'!B1222,'Production '!$Q$4:$Q$4407)</f>
        <v>0</v>
      </c>
      <c r="E1222" s="76">
        <f ca="1">SUMIF('Production '!$C$4:$AI$4407,'Tracking Sheet'!B1222,'Production '!$S$4:$S$4407)</f>
        <v>0</v>
      </c>
      <c r="F1222" s="76">
        <f ca="1">SUMIF('Production '!$C$4:$AI$4407,'Tracking Sheet'!B1222,'Production '!$U$4:$U$4407)</f>
        <v>330</v>
      </c>
      <c r="G1222" s="76">
        <f ca="1">SUMIF('Production '!$C$4:$AI$4407,'Tracking Sheet'!B1222,'Production '!$W$4:$W$4407)</f>
        <v>14300</v>
      </c>
      <c r="H1222" s="76">
        <f ca="1">SUMIF('Production '!$C$4:$AI$4407,'Tracking Sheet'!B1222,'Production '!$F$4:$F$4407)</f>
        <v>14238</v>
      </c>
      <c r="I1222" s="76">
        <f ca="1">SUMIF('Production '!$C$4:$AI$4407,'Tracking Sheet'!B1222,'Production '!$V$4:$V$4407)</f>
        <v>666</v>
      </c>
      <c r="J1222" s="76">
        <f ca="1">SUMIF('Production '!$C$4:$AI$4407,'Tracking Sheet'!B1222,'Production '!$AG$4:$AG$4407)</f>
        <v>0</v>
      </c>
    </row>
    <row r="1223" spans="2:10" x14ac:dyDescent="0.3">
      <c r="B1223" s="277" t="str">
        <f>'Production '!C1226</f>
        <v>44076 18th</v>
      </c>
      <c r="C1223" s="76">
        <f ca="1">SUMIF('Production '!$C$4:$AI$4407,'Tracking Sheet'!B1223,'Production '!$M$4:$M$4407)</f>
        <v>14630</v>
      </c>
      <c r="D1223" s="76">
        <f ca="1">SUMIF('Production '!$C$4:$AI$4407,'Tracking Sheet'!B1223,'Production '!$Q$4:$Q$4407)</f>
        <v>0</v>
      </c>
      <c r="E1223" s="76">
        <f ca="1">SUMIF('Production '!$C$4:$AI$4407,'Tracking Sheet'!B1223,'Production '!$S$4:$S$4407)</f>
        <v>0</v>
      </c>
      <c r="F1223" s="76">
        <f ca="1">SUMIF('Production '!$C$4:$AI$4407,'Tracking Sheet'!B1223,'Production '!$U$4:$U$4407)</f>
        <v>330</v>
      </c>
      <c r="G1223" s="76">
        <f ca="1">SUMIF('Production '!$C$4:$AI$4407,'Tracking Sheet'!B1223,'Production '!$W$4:$W$4407)</f>
        <v>14300</v>
      </c>
      <c r="H1223" s="76">
        <f ca="1">SUMIF('Production '!$C$4:$AI$4407,'Tracking Sheet'!B1223,'Production '!$F$4:$F$4407)</f>
        <v>14238</v>
      </c>
      <c r="I1223" s="76">
        <f ca="1">SUMIF('Production '!$C$4:$AI$4407,'Tracking Sheet'!B1223,'Production '!$V$4:$V$4407)</f>
        <v>666</v>
      </c>
      <c r="J1223" s="76">
        <f ca="1">SUMIF('Production '!$C$4:$AI$4407,'Tracking Sheet'!B1223,'Production '!$AG$4:$AG$4407)</f>
        <v>0</v>
      </c>
    </row>
    <row r="1224" spans="2:10" x14ac:dyDescent="0.3">
      <c r="B1224" s="277" t="str">
        <f>'Production '!C1227</f>
        <v>44076 18th</v>
      </c>
      <c r="C1224" s="76">
        <f ca="1">SUMIF('Production '!$C$4:$AI$4407,'Tracking Sheet'!B1224,'Production '!$M$4:$M$4407)</f>
        <v>14630</v>
      </c>
      <c r="D1224" s="76">
        <f ca="1">SUMIF('Production '!$C$4:$AI$4407,'Tracking Sheet'!B1224,'Production '!$Q$4:$Q$4407)</f>
        <v>0</v>
      </c>
      <c r="E1224" s="76">
        <f ca="1">SUMIF('Production '!$C$4:$AI$4407,'Tracking Sheet'!B1224,'Production '!$S$4:$S$4407)</f>
        <v>0</v>
      </c>
      <c r="F1224" s="76">
        <f ca="1">SUMIF('Production '!$C$4:$AI$4407,'Tracking Sheet'!B1224,'Production '!$U$4:$U$4407)</f>
        <v>330</v>
      </c>
      <c r="G1224" s="76">
        <f ca="1">SUMIF('Production '!$C$4:$AI$4407,'Tracking Sheet'!B1224,'Production '!$W$4:$W$4407)</f>
        <v>14300</v>
      </c>
      <c r="H1224" s="76">
        <f ca="1">SUMIF('Production '!$C$4:$AI$4407,'Tracking Sheet'!B1224,'Production '!$F$4:$F$4407)</f>
        <v>14238</v>
      </c>
      <c r="I1224" s="76">
        <f ca="1">SUMIF('Production '!$C$4:$AI$4407,'Tracking Sheet'!B1224,'Production '!$V$4:$V$4407)</f>
        <v>666</v>
      </c>
      <c r="J1224" s="76">
        <f ca="1">SUMIF('Production '!$C$4:$AI$4407,'Tracking Sheet'!B1224,'Production '!$AG$4:$AG$4407)</f>
        <v>0</v>
      </c>
    </row>
    <row r="1225" spans="2:10" x14ac:dyDescent="0.3">
      <c r="B1225" s="277" t="str">
        <f>'Production '!C1228</f>
        <v>44076 18th</v>
      </c>
      <c r="C1225" s="76">
        <f ca="1">SUMIF('Production '!$C$4:$AI$4407,'Tracking Sheet'!B1225,'Production '!$M$4:$M$4407)</f>
        <v>14630</v>
      </c>
      <c r="D1225" s="76">
        <f ca="1">SUMIF('Production '!$C$4:$AI$4407,'Tracking Sheet'!B1225,'Production '!$Q$4:$Q$4407)</f>
        <v>0</v>
      </c>
      <c r="E1225" s="76">
        <f ca="1">SUMIF('Production '!$C$4:$AI$4407,'Tracking Sheet'!B1225,'Production '!$S$4:$S$4407)</f>
        <v>0</v>
      </c>
      <c r="F1225" s="76">
        <f ca="1">SUMIF('Production '!$C$4:$AI$4407,'Tracking Sheet'!B1225,'Production '!$U$4:$U$4407)</f>
        <v>330</v>
      </c>
      <c r="G1225" s="76">
        <f ca="1">SUMIF('Production '!$C$4:$AI$4407,'Tracking Sheet'!B1225,'Production '!$W$4:$W$4407)</f>
        <v>14300</v>
      </c>
      <c r="H1225" s="76">
        <f ca="1">SUMIF('Production '!$C$4:$AI$4407,'Tracking Sheet'!B1225,'Production '!$F$4:$F$4407)</f>
        <v>14238</v>
      </c>
      <c r="I1225" s="76">
        <f ca="1">SUMIF('Production '!$C$4:$AI$4407,'Tracking Sheet'!B1225,'Production '!$V$4:$V$4407)</f>
        <v>666</v>
      </c>
      <c r="J1225" s="76">
        <f ca="1">SUMIF('Production '!$C$4:$AI$4407,'Tracking Sheet'!B1225,'Production '!$AG$4:$AG$4407)</f>
        <v>0</v>
      </c>
    </row>
    <row r="1226" spans="2:10" x14ac:dyDescent="0.3">
      <c r="B1226" s="277" t="str">
        <f>'Production '!C1229</f>
        <v>44076 18th</v>
      </c>
      <c r="C1226" s="76">
        <f ca="1">SUMIF('Production '!$C$4:$AI$4407,'Tracking Sheet'!B1226,'Production '!$M$4:$M$4407)</f>
        <v>14630</v>
      </c>
      <c r="D1226" s="76">
        <f ca="1">SUMIF('Production '!$C$4:$AI$4407,'Tracking Sheet'!B1226,'Production '!$Q$4:$Q$4407)</f>
        <v>0</v>
      </c>
      <c r="E1226" s="76">
        <f ca="1">SUMIF('Production '!$C$4:$AI$4407,'Tracking Sheet'!B1226,'Production '!$S$4:$S$4407)</f>
        <v>0</v>
      </c>
      <c r="F1226" s="76">
        <f ca="1">SUMIF('Production '!$C$4:$AI$4407,'Tracking Sheet'!B1226,'Production '!$U$4:$U$4407)</f>
        <v>330</v>
      </c>
      <c r="G1226" s="76">
        <f ca="1">SUMIF('Production '!$C$4:$AI$4407,'Tracking Sheet'!B1226,'Production '!$W$4:$W$4407)</f>
        <v>14300</v>
      </c>
      <c r="H1226" s="76">
        <f ca="1">SUMIF('Production '!$C$4:$AI$4407,'Tracking Sheet'!B1226,'Production '!$F$4:$F$4407)</f>
        <v>14238</v>
      </c>
      <c r="I1226" s="76">
        <f ca="1">SUMIF('Production '!$C$4:$AI$4407,'Tracking Sheet'!B1226,'Production '!$V$4:$V$4407)</f>
        <v>666</v>
      </c>
      <c r="J1226" s="76">
        <f ca="1">SUMIF('Production '!$C$4:$AI$4407,'Tracking Sheet'!B1226,'Production '!$AG$4:$AG$4407)</f>
        <v>0</v>
      </c>
    </row>
    <row r="1227" spans="2:10" x14ac:dyDescent="0.3">
      <c r="B1227" s="277" t="str">
        <f>'Production '!C1230</f>
        <v>44076 18th</v>
      </c>
      <c r="C1227" s="76">
        <f ca="1">SUMIF('Production '!$C$4:$AI$4407,'Tracking Sheet'!B1227,'Production '!$M$4:$M$4407)</f>
        <v>14630</v>
      </c>
      <c r="D1227" s="76">
        <f ca="1">SUMIF('Production '!$C$4:$AI$4407,'Tracking Sheet'!B1227,'Production '!$Q$4:$Q$4407)</f>
        <v>0</v>
      </c>
      <c r="E1227" s="76">
        <f ca="1">SUMIF('Production '!$C$4:$AI$4407,'Tracking Sheet'!B1227,'Production '!$S$4:$S$4407)</f>
        <v>0</v>
      </c>
      <c r="F1227" s="76">
        <f ca="1">SUMIF('Production '!$C$4:$AI$4407,'Tracking Sheet'!B1227,'Production '!$U$4:$U$4407)</f>
        <v>330</v>
      </c>
      <c r="G1227" s="76">
        <f ca="1">SUMIF('Production '!$C$4:$AI$4407,'Tracking Sheet'!B1227,'Production '!$W$4:$W$4407)</f>
        <v>14300</v>
      </c>
      <c r="H1227" s="76">
        <f ca="1">SUMIF('Production '!$C$4:$AI$4407,'Tracking Sheet'!B1227,'Production '!$F$4:$F$4407)</f>
        <v>14238</v>
      </c>
      <c r="I1227" s="76">
        <f ca="1">SUMIF('Production '!$C$4:$AI$4407,'Tracking Sheet'!B1227,'Production '!$V$4:$V$4407)</f>
        <v>666</v>
      </c>
      <c r="J1227" s="76">
        <f ca="1">SUMIF('Production '!$C$4:$AI$4407,'Tracking Sheet'!B1227,'Production '!$AG$4:$AG$4407)</f>
        <v>0</v>
      </c>
    </row>
    <row r="1228" spans="2:10" x14ac:dyDescent="0.3">
      <c r="B1228" s="277" t="str">
        <f>'Production '!C1231</f>
        <v>44076 18th</v>
      </c>
      <c r="C1228" s="76">
        <f ca="1">SUMIF('Production '!$C$4:$AI$4407,'Tracking Sheet'!B1228,'Production '!$M$4:$M$4407)</f>
        <v>14630</v>
      </c>
      <c r="D1228" s="76">
        <f ca="1">SUMIF('Production '!$C$4:$AI$4407,'Tracking Sheet'!B1228,'Production '!$Q$4:$Q$4407)</f>
        <v>0</v>
      </c>
      <c r="E1228" s="76">
        <f ca="1">SUMIF('Production '!$C$4:$AI$4407,'Tracking Sheet'!B1228,'Production '!$S$4:$S$4407)</f>
        <v>0</v>
      </c>
      <c r="F1228" s="76">
        <f ca="1">SUMIF('Production '!$C$4:$AI$4407,'Tracking Sheet'!B1228,'Production '!$U$4:$U$4407)</f>
        <v>330</v>
      </c>
      <c r="G1228" s="76">
        <f ca="1">SUMIF('Production '!$C$4:$AI$4407,'Tracking Sheet'!B1228,'Production '!$W$4:$W$4407)</f>
        <v>14300</v>
      </c>
      <c r="H1228" s="76">
        <f ca="1">SUMIF('Production '!$C$4:$AI$4407,'Tracking Sheet'!B1228,'Production '!$F$4:$F$4407)</f>
        <v>14238</v>
      </c>
      <c r="I1228" s="76">
        <f ca="1">SUMIF('Production '!$C$4:$AI$4407,'Tracking Sheet'!B1228,'Production '!$V$4:$V$4407)</f>
        <v>666</v>
      </c>
      <c r="J1228" s="76">
        <f ca="1">SUMIF('Production '!$C$4:$AI$4407,'Tracking Sheet'!B1228,'Production '!$AG$4:$AG$4407)</f>
        <v>0</v>
      </c>
    </row>
    <row r="1229" spans="2:10" x14ac:dyDescent="0.3">
      <c r="B1229" s="277" t="str">
        <f>'Production '!C1232</f>
        <v>44076 18th</v>
      </c>
      <c r="C1229" s="76">
        <f ca="1">SUMIF('Production '!$C$4:$AI$4407,'Tracking Sheet'!B1229,'Production '!$M$4:$M$4407)</f>
        <v>14630</v>
      </c>
      <c r="D1229" s="76">
        <f ca="1">SUMIF('Production '!$C$4:$AI$4407,'Tracking Sheet'!B1229,'Production '!$Q$4:$Q$4407)</f>
        <v>0</v>
      </c>
      <c r="E1229" s="76">
        <f ca="1">SUMIF('Production '!$C$4:$AI$4407,'Tracking Sheet'!B1229,'Production '!$S$4:$S$4407)</f>
        <v>0</v>
      </c>
      <c r="F1229" s="76">
        <f ca="1">SUMIF('Production '!$C$4:$AI$4407,'Tracking Sheet'!B1229,'Production '!$U$4:$U$4407)</f>
        <v>330</v>
      </c>
      <c r="G1229" s="76">
        <f ca="1">SUMIF('Production '!$C$4:$AI$4407,'Tracking Sheet'!B1229,'Production '!$W$4:$W$4407)</f>
        <v>14300</v>
      </c>
      <c r="H1229" s="76">
        <f ca="1">SUMIF('Production '!$C$4:$AI$4407,'Tracking Sheet'!B1229,'Production '!$F$4:$F$4407)</f>
        <v>14238</v>
      </c>
      <c r="I1229" s="76">
        <f ca="1">SUMIF('Production '!$C$4:$AI$4407,'Tracking Sheet'!B1229,'Production '!$V$4:$V$4407)</f>
        <v>666</v>
      </c>
      <c r="J1229" s="76">
        <f ca="1">SUMIF('Production '!$C$4:$AI$4407,'Tracking Sheet'!B1229,'Production '!$AG$4:$AG$4407)</f>
        <v>0</v>
      </c>
    </row>
    <row r="1230" spans="2:10" x14ac:dyDescent="0.3">
      <c r="B1230" s="277" t="str">
        <f>'Production '!C1233</f>
        <v>44076 18th</v>
      </c>
      <c r="C1230" s="76">
        <f ca="1">SUMIF('Production '!$C$4:$AI$4407,'Tracking Sheet'!B1230,'Production '!$M$4:$M$4407)</f>
        <v>14630</v>
      </c>
      <c r="D1230" s="76">
        <f ca="1">SUMIF('Production '!$C$4:$AI$4407,'Tracking Sheet'!B1230,'Production '!$Q$4:$Q$4407)</f>
        <v>0</v>
      </c>
      <c r="E1230" s="76">
        <f ca="1">SUMIF('Production '!$C$4:$AI$4407,'Tracking Sheet'!B1230,'Production '!$S$4:$S$4407)</f>
        <v>0</v>
      </c>
      <c r="F1230" s="76">
        <f ca="1">SUMIF('Production '!$C$4:$AI$4407,'Tracking Sheet'!B1230,'Production '!$U$4:$U$4407)</f>
        <v>330</v>
      </c>
      <c r="G1230" s="76">
        <f ca="1">SUMIF('Production '!$C$4:$AI$4407,'Tracking Sheet'!B1230,'Production '!$W$4:$W$4407)</f>
        <v>14300</v>
      </c>
      <c r="H1230" s="76">
        <f ca="1">SUMIF('Production '!$C$4:$AI$4407,'Tracking Sheet'!B1230,'Production '!$F$4:$F$4407)</f>
        <v>14238</v>
      </c>
      <c r="I1230" s="76">
        <f ca="1">SUMIF('Production '!$C$4:$AI$4407,'Tracking Sheet'!B1230,'Production '!$V$4:$V$4407)</f>
        <v>666</v>
      </c>
      <c r="J1230" s="76">
        <f ca="1">SUMIF('Production '!$C$4:$AI$4407,'Tracking Sheet'!B1230,'Production '!$AG$4:$AG$4407)</f>
        <v>0</v>
      </c>
    </row>
    <row r="1231" spans="2:10" x14ac:dyDescent="0.3">
      <c r="B1231" s="277" t="str">
        <f>'Production '!C1234</f>
        <v>44076 18th</v>
      </c>
      <c r="C1231" s="76">
        <f ca="1">SUMIF('Production '!$C$4:$AI$4407,'Tracking Sheet'!B1231,'Production '!$M$4:$M$4407)</f>
        <v>14630</v>
      </c>
      <c r="D1231" s="76">
        <f ca="1">SUMIF('Production '!$C$4:$AI$4407,'Tracking Sheet'!B1231,'Production '!$Q$4:$Q$4407)</f>
        <v>0</v>
      </c>
      <c r="E1231" s="76">
        <f ca="1">SUMIF('Production '!$C$4:$AI$4407,'Tracking Sheet'!B1231,'Production '!$S$4:$S$4407)</f>
        <v>0</v>
      </c>
      <c r="F1231" s="76">
        <f ca="1">SUMIF('Production '!$C$4:$AI$4407,'Tracking Sheet'!B1231,'Production '!$U$4:$U$4407)</f>
        <v>330</v>
      </c>
      <c r="G1231" s="76">
        <f ca="1">SUMIF('Production '!$C$4:$AI$4407,'Tracking Sheet'!B1231,'Production '!$W$4:$W$4407)</f>
        <v>14300</v>
      </c>
      <c r="H1231" s="76">
        <f ca="1">SUMIF('Production '!$C$4:$AI$4407,'Tracking Sheet'!B1231,'Production '!$F$4:$F$4407)</f>
        <v>14238</v>
      </c>
      <c r="I1231" s="76">
        <f ca="1">SUMIF('Production '!$C$4:$AI$4407,'Tracking Sheet'!B1231,'Production '!$V$4:$V$4407)</f>
        <v>666</v>
      </c>
      <c r="J1231" s="76">
        <f ca="1">SUMIF('Production '!$C$4:$AI$4407,'Tracking Sheet'!B1231,'Production '!$AG$4:$AG$4407)</f>
        <v>0</v>
      </c>
    </row>
    <row r="1232" spans="2:10" x14ac:dyDescent="0.3">
      <c r="B1232" s="277" t="str">
        <f>'Production '!C1235</f>
        <v>44076 18th</v>
      </c>
      <c r="C1232" s="76">
        <f ca="1">SUMIF('Production '!$C$4:$AI$4407,'Tracking Sheet'!B1232,'Production '!$M$4:$M$4407)</f>
        <v>14630</v>
      </c>
      <c r="D1232" s="76">
        <f ca="1">SUMIF('Production '!$C$4:$AI$4407,'Tracking Sheet'!B1232,'Production '!$Q$4:$Q$4407)</f>
        <v>0</v>
      </c>
      <c r="E1232" s="76">
        <f ca="1">SUMIF('Production '!$C$4:$AI$4407,'Tracking Sheet'!B1232,'Production '!$S$4:$S$4407)</f>
        <v>0</v>
      </c>
      <c r="F1232" s="76">
        <f ca="1">SUMIF('Production '!$C$4:$AI$4407,'Tracking Sheet'!B1232,'Production '!$U$4:$U$4407)</f>
        <v>330</v>
      </c>
      <c r="G1232" s="76">
        <f ca="1">SUMIF('Production '!$C$4:$AI$4407,'Tracking Sheet'!B1232,'Production '!$W$4:$W$4407)</f>
        <v>14300</v>
      </c>
      <c r="H1232" s="76">
        <f ca="1">SUMIF('Production '!$C$4:$AI$4407,'Tracking Sheet'!B1232,'Production '!$F$4:$F$4407)</f>
        <v>14238</v>
      </c>
      <c r="I1232" s="76">
        <f ca="1">SUMIF('Production '!$C$4:$AI$4407,'Tracking Sheet'!B1232,'Production '!$V$4:$V$4407)</f>
        <v>666</v>
      </c>
      <c r="J1232" s="76">
        <f ca="1">SUMIF('Production '!$C$4:$AI$4407,'Tracking Sheet'!B1232,'Production '!$AG$4:$AG$4407)</f>
        <v>0</v>
      </c>
    </row>
    <row r="1233" spans="2:10" x14ac:dyDescent="0.3">
      <c r="B1233" s="277" t="str">
        <f>'Production '!C1236</f>
        <v>44076 18th</v>
      </c>
      <c r="C1233" s="76">
        <f ca="1">SUMIF('Production '!$C$4:$AI$4407,'Tracking Sheet'!B1233,'Production '!$M$4:$M$4407)</f>
        <v>14630</v>
      </c>
      <c r="D1233" s="76">
        <f ca="1">SUMIF('Production '!$C$4:$AI$4407,'Tracking Sheet'!B1233,'Production '!$Q$4:$Q$4407)</f>
        <v>0</v>
      </c>
      <c r="E1233" s="76">
        <f ca="1">SUMIF('Production '!$C$4:$AI$4407,'Tracking Sheet'!B1233,'Production '!$S$4:$S$4407)</f>
        <v>0</v>
      </c>
      <c r="F1233" s="76">
        <f ca="1">SUMIF('Production '!$C$4:$AI$4407,'Tracking Sheet'!B1233,'Production '!$U$4:$U$4407)</f>
        <v>330</v>
      </c>
      <c r="G1233" s="76">
        <f ca="1">SUMIF('Production '!$C$4:$AI$4407,'Tracking Sheet'!B1233,'Production '!$W$4:$W$4407)</f>
        <v>14300</v>
      </c>
      <c r="H1233" s="76">
        <f ca="1">SUMIF('Production '!$C$4:$AI$4407,'Tracking Sheet'!B1233,'Production '!$F$4:$F$4407)</f>
        <v>14238</v>
      </c>
      <c r="I1233" s="76">
        <f ca="1">SUMIF('Production '!$C$4:$AI$4407,'Tracking Sheet'!B1233,'Production '!$V$4:$V$4407)</f>
        <v>666</v>
      </c>
      <c r="J1233" s="76">
        <f ca="1">SUMIF('Production '!$C$4:$AI$4407,'Tracking Sheet'!B1233,'Production '!$AG$4:$AG$4407)</f>
        <v>0</v>
      </c>
    </row>
    <row r="1234" spans="2:10" x14ac:dyDescent="0.3">
      <c r="B1234" s="277">
        <f>'Production '!C1237</f>
        <v>0</v>
      </c>
      <c r="C1234" s="76" t="e">
        <f ca="1">SUMIF('Production '!$C$4:$AI$4407,'Tracking Sheet'!B1234,'Production '!$M$4:$M$4407)</f>
        <v>#DIV/0!</v>
      </c>
      <c r="D1234" s="76" t="e">
        <f ca="1">SUMIF('Production '!$C$4:$AI$4407,'Tracking Sheet'!B1234,'Production '!$Q$4:$Q$4407)</f>
        <v>#DIV/0!</v>
      </c>
      <c r="E1234" s="76">
        <f ca="1">SUMIF('Production '!$C$4:$AI$4407,'Tracking Sheet'!B1234,'Production '!$S$4:$S$4407)</f>
        <v>-1268218.9828305368</v>
      </c>
      <c r="F1234" s="76">
        <f ca="1">SUMIF('Production '!$C$4:$AI$4407,'Tracking Sheet'!B1234,'Production '!$U$4:$U$4407)</f>
        <v>-10620.435600016917</v>
      </c>
      <c r="G1234" s="76" t="e">
        <f ca="1">SUMIF('Production '!$C$4:$AI$4407,'Tracking Sheet'!B1234,'Production '!$W$4:$W$4407)</f>
        <v>#DIV/0!</v>
      </c>
      <c r="H1234" s="76">
        <f ca="1">SUMIF('Production '!$C$4:$AI$4407,'Tracking Sheet'!B1234,'Production '!$F$4:$F$4407)</f>
        <v>3230621.3283604058</v>
      </c>
      <c r="I1234" s="76">
        <f ca="1">SUMIF('Production '!$C$4:$AI$4407,'Tracking Sheet'!B1234,'Production '!$V$4:$V$4407)</f>
        <v>-489.86487791182844</v>
      </c>
      <c r="J1234" s="76">
        <f ca="1">SUMIF('Production '!$C$4:$AI$4407,'Tracking Sheet'!B1234,'Production '!$AG$4:$AG$4407)</f>
        <v>0</v>
      </c>
    </row>
    <row r="1235" spans="2:10" x14ac:dyDescent="0.3">
      <c r="B1235" s="277" t="str">
        <f>'Production '!C1238</f>
        <v>44076 19th</v>
      </c>
      <c r="C1235" s="76">
        <f ca="1">SUMIF('Production '!$C$4:$AI$4407,'Tracking Sheet'!B1235,'Production '!$M$4:$M$4407)</f>
        <v>0</v>
      </c>
      <c r="D1235" s="76">
        <f ca="1">SUMIF('Production '!$C$4:$AI$4407,'Tracking Sheet'!B1235,'Production '!$Q$4:$Q$4407)</f>
        <v>0</v>
      </c>
      <c r="E1235" s="76">
        <f ca="1">SUMIF('Production '!$C$4:$AI$4407,'Tracking Sheet'!B1235,'Production '!$S$4:$S$4407)</f>
        <v>0</v>
      </c>
      <c r="F1235" s="76">
        <f ca="1">SUMIF('Production '!$C$4:$AI$4407,'Tracking Sheet'!B1235,'Production '!$U$4:$U$4407)</f>
        <v>0</v>
      </c>
      <c r="G1235" s="76">
        <f ca="1">SUMIF('Production '!$C$4:$AI$4407,'Tracking Sheet'!B1235,'Production '!$W$4:$W$4407)</f>
        <v>0</v>
      </c>
      <c r="H1235" s="76">
        <f ca="1">SUMIF('Production '!$C$4:$AI$4407,'Tracking Sheet'!B1235,'Production '!$F$4:$F$4407)</f>
        <v>9792</v>
      </c>
      <c r="I1235" s="76">
        <f ca="1">SUMIF('Production '!$C$4:$AI$4407,'Tracking Sheet'!B1235,'Production '!$V$4:$V$4407)</f>
        <v>0</v>
      </c>
      <c r="J1235" s="76">
        <f ca="1">SUMIF('Production '!$C$4:$AI$4407,'Tracking Sheet'!B1235,'Production '!$AG$4:$AG$4407)</f>
        <v>-9792</v>
      </c>
    </row>
    <row r="1236" spans="2:10" x14ac:dyDescent="0.3">
      <c r="B1236" s="277" t="str">
        <f>'Production '!C1239</f>
        <v>44076 19th</v>
      </c>
      <c r="C1236" s="76">
        <f ca="1">SUMIF('Production '!$C$4:$AI$4407,'Tracking Sheet'!B1236,'Production '!$M$4:$M$4407)</f>
        <v>0</v>
      </c>
      <c r="D1236" s="76">
        <f ca="1">SUMIF('Production '!$C$4:$AI$4407,'Tracking Sheet'!B1236,'Production '!$Q$4:$Q$4407)</f>
        <v>0</v>
      </c>
      <c r="E1236" s="76">
        <f ca="1">SUMIF('Production '!$C$4:$AI$4407,'Tracking Sheet'!B1236,'Production '!$S$4:$S$4407)</f>
        <v>0</v>
      </c>
      <c r="F1236" s="76">
        <f ca="1">SUMIF('Production '!$C$4:$AI$4407,'Tracking Sheet'!B1236,'Production '!$U$4:$U$4407)</f>
        <v>0</v>
      </c>
      <c r="G1236" s="76">
        <f ca="1">SUMIF('Production '!$C$4:$AI$4407,'Tracking Sheet'!B1236,'Production '!$W$4:$W$4407)</f>
        <v>0</v>
      </c>
      <c r="H1236" s="76">
        <f ca="1">SUMIF('Production '!$C$4:$AI$4407,'Tracking Sheet'!B1236,'Production '!$F$4:$F$4407)</f>
        <v>9792</v>
      </c>
      <c r="I1236" s="76">
        <f ca="1">SUMIF('Production '!$C$4:$AI$4407,'Tracking Sheet'!B1236,'Production '!$V$4:$V$4407)</f>
        <v>0</v>
      </c>
      <c r="J1236" s="76">
        <f ca="1">SUMIF('Production '!$C$4:$AI$4407,'Tracking Sheet'!B1236,'Production '!$AG$4:$AG$4407)</f>
        <v>-9792</v>
      </c>
    </row>
    <row r="1237" spans="2:10" x14ac:dyDescent="0.3">
      <c r="B1237" s="277" t="str">
        <f>'Production '!C1240</f>
        <v>44076 19th</v>
      </c>
      <c r="C1237" s="76">
        <f ca="1">SUMIF('Production '!$C$4:$AI$4407,'Tracking Sheet'!B1237,'Production '!$M$4:$M$4407)</f>
        <v>0</v>
      </c>
      <c r="D1237" s="76">
        <f ca="1">SUMIF('Production '!$C$4:$AI$4407,'Tracking Sheet'!B1237,'Production '!$Q$4:$Q$4407)</f>
        <v>0</v>
      </c>
      <c r="E1237" s="76">
        <f ca="1">SUMIF('Production '!$C$4:$AI$4407,'Tracking Sheet'!B1237,'Production '!$S$4:$S$4407)</f>
        <v>0</v>
      </c>
      <c r="F1237" s="76">
        <f ca="1">SUMIF('Production '!$C$4:$AI$4407,'Tracking Sheet'!B1237,'Production '!$U$4:$U$4407)</f>
        <v>0</v>
      </c>
      <c r="G1237" s="76">
        <f ca="1">SUMIF('Production '!$C$4:$AI$4407,'Tracking Sheet'!B1237,'Production '!$W$4:$W$4407)</f>
        <v>0</v>
      </c>
      <c r="H1237" s="76">
        <f ca="1">SUMIF('Production '!$C$4:$AI$4407,'Tracking Sheet'!B1237,'Production '!$F$4:$F$4407)</f>
        <v>9792</v>
      </c>
      <c r="I1237" s="76">
        <f ca="1">SUMIF('Production '!$C$4:$AI$4407,'Tracking Sheet'!B1237,'Production '!$V$4:$V$4407)</f>
        <v>0</v>
      </c>
      <c r="J1237" s="76">
        <f ca="1">SUMIF('Production '!$C$4:$AI$4407,'Tracking Sheet'!B1237,'Production '!$AG$4:$AG$4407)</f>
        <v>-9792</v>
      </c>
    </row>
    <row r="1238" spans="2:10" x14ac:dyDescent="0.3">
      <c r="B1238" s="277" t="str">
        <f>'Production '!C1241</f>
        <v>44076 19th</v>
      </c>
      <c r="C1238" s="76">
        <f ca="1">SUMIF('Production '!$C$4:$AI$4407,'Tracking Sheet'!B1238,'Production '!$M$4:$M$4407)</f>
        <v>0</v>
      </c>
      <c r="D1238" s="76">
        <f ca="1">SUMIF('Production '!$C$4:$AI$4407,'Tracking Sheet'!B1238,'Production '!$Q$4:$Q$4407)</f>
        <v>0</v>
      </c>
      <c r="E1238" s="76">
        <f ca="1">SUMIF('Production '!$C$4:$AI$4407,'Tracking Sheet'!B1238,'Production '!$S$4:$S$4407)</f>
        <v>0</v>
      </c>
      <c r="F1238" s="76">
        <f ca="1">SUMIF('Production '!$C$4:$AI$4407,'Tracking Sheet'!B1238,'Production '!$U$4:$U$4407)</f>
        <v>0</v>
      </c>
      <c r="G1238" s="76">
        <f ca="1">SUMIF('Production '!$C$4:$AI$4407,'Tracking Sheet'!B1238,'Production '!$W$4:$W$4407)</f>
        <v>0</v>
      </c>
      <c r="H1238" s="76">
        <f ca="1">SUMIF('Production '!$C$4:$AI$4407,'Tracking Sheet'!B1238,'Production '!$F$4:$F$4407)</f>
        <v>9792</v>
      </c>
      <c r="I1238" s="76">
        <f ca="1">SUMIF('Production '!$C$4:$AI$4407,'Tracking Sheet'!B1238,'Production '!$V$4:$V$4407)</f>
        <v>0</v>
      </c>
      <c r="J1238" s="76">
        <f ca="1">SUMIF('Production '!$C$4:$AI$4407,'Tracking Sheet'!B1238,'Production '!$AG$4:$AG$4407)</f>
        <v>-9792</v>
      </c>
    </row>
    <row r="1239" spans="2:10" x14ac:dyDescent="0.3">
      <c r="B1239" s="277" t="str">
        <f>'Production '!C1242</f>
        <v>44076 19th</v>
      </c>
      <c r="C1239" s="76">
        <f ca="1">SUMIF('Production '!$C$4:$AI$4407,'Tracking Sheet'!B1239,'Production '!$M$4:$M$4407)</f>
        <v>0</v>
      </c>
      <c r="D1239" s="76">
        <f ca="1">SUMIF('Production '!$C$4:$AI$4407,'Tracking Sheet'!B1239,'Production '!$Q$4:$Q$4407)</f>
        <v>0</v>
      </c>
      <c r="E1239" s="76">
        <f ca="1">SUMIF('Production '!$C$4:$AI$4407,'Tracking Sheet'!B1239,'Production '!$S$4:$S$4407)</f>
        <v>0</v>
      </c>
      <c r="F1239" s="76">
        <f ca="1">SUMIF('Production '!$C$4:$AI$4407,'Tracking Sheet'!B1239,'Production '!$U$4:$U$4407)</f>
        <v>0</v>
      </c>
      <c r="G1239" s="76">
        <f ca="1">SUMIF('Production '!$C$4:$AI$4407,'Tracking Sheet'!B1239,'Production '!$W$4:$W$4407)</f>
        <v>0</v>
      </c>
      <c r="H1239" s="76">
        <f ca="1">SUMIF('Production '!$C$4:$AI$4407,'Tracking Sheet'!B1239,'Production '!$F$4:$F$4407)</f>
        <v>9792</v>
      </c>
      <c r="I1239" s="76">
        <f ca="1">SUMIF('Production '!$C$4:$AI$4407,'Tracking Sheet'!B1239,'Production '!$V$4:$V$4407)</f>
        <v>0</v>
      </c>
      <c r="J1239" s="76">
        <f ca="1">SUMIF('Production '!$C$4:$AI$4407,'Tracking Sheet'!B1239,'Production '!$AG$4:$AG$4407)</f>
        <v>-9792</v>
      </c>
    </row>
    <row r="1240" spans="2:10" x14ac:dyDescent="0.3">
      <c r="B1240" s="277" t="str">
        <f>'Production '!C1243</f>
        <v>44076 19th</v>
      </c>
      <c r="C1240" s="76">
        <f ca="1">SUMIF('Production '!$C$4:$AI$4407,'Tracking Sheet'!B1240,'Production '!$M$4:$M$4407)</f>
        <v>0</v>
      </c>
      <c r="D1240" s="76">
        <f ca="1">SUMIF('Production '!$C$4:$AI$4407,'Tracking Sheet'!B1240,'Production '!$Q$4:$Q$4407)</f>
        <v>0</v>
      </c>
      <c r="E1240" s="76">
        <f ca="1">SUMIF('Production '!$C$4:$AI$4407,'Tracking Sheet'!B1240,'Production '!$S$4:$S$4407)</f>
        <v>0</v>
      </c>
      <c r="F1240" s="76">
        <f ca="1">SUMIF('Production '!$C$4:$AI$4407,'Tracking Sheet'!B1240,'Production '!$U$4:$U$4407)</f>
        <v>0</v>
      </c>
      <c r="G1240" s="76">
        <f ca="1">SUMIF('Production '!$C$4:$AI$4407,'Tracking Sheet'!B1240,'Production '!$W$4:$W$4407)</f>
        <v>0</v>
      </c>
      <c r="H1240" s="76">
        <f ca="1">SUMIF('Production '!$C$4:$AI$4407,'Tracking Sheet'!B1240,'Production '!$F$4:$F$4407)</f>
        <v>9792</v>
      </c>
      <c r="I1240" s="76">
        <f ca="1">SUMIF('Production '!$C$4:$AI$4407,'Tracking Sheet'!B1240,'Production '!$V$4:$V$4407)</f>
        <v>0</v>
      </c>
      <c r="J1240" s="76">
        <f ca="1">SUMIF('Production '!$C$4:$AI$4407,'Tracking Sheet'!B1240,'Production '!$AG$4:$AG$4407)</f>
        <v>-9792</v>
      </c>
    </row>
    <row r="1241" spans="2:10" x14ac:dyDescent="0.3">
      <c r="B1241" s="277" t="str">
        <f>'Production '!C1244</f>
        <v>44076 19th</v>
      </c>
      <c r="C1241" s="76">
        <f ca="1">SUMIF('Production '!$C$4:$AI$4407,'Tracking Sheet'!B1241,'Production '!$M$4:$M$4407)</f>
        <v>0</v>
      </c>
      <c r="D1241" s="76">
        <f ca="1">SUMIF('Production '!$C$4:$AI$4407,'Tracking Sheet'!B1241,'Production '!$Q$4:$Q$4407)</f>
        <v>0</v>
      </c>
      <c r="E1241" s="76">
        <f ca="1">SUMIF('Production '!$C$4:$AI$4407,'Tracking Sheet'!B1241,'Production '!$S$4:$S$4407)</f>
        <v>0</v>
      </c>
      <c r="F1241" s="76">
        <f ca="1">SUMIF('Production '!$C$4:$AI$4407,'Tracking Sheet'!B1241,'Production '!$U$4:$U$4407)</f>
        <v>0</v>
      </c>
      <c r="G1241" s="76">
        <f ca="1">SUMIF('Production '!$C$4:$AI$4407,'Tracking Sheet'!B1241,'Production '!$W$4:$W$4407)</f>
        <v>0</v>
      </c>
      <c r="H1241" s="76">
        <f ca="1">SUMIF('Production '!$C$4:$AI$4407,'Tracking Sheet'!B1241,'Production '!$F$4:$F$4407)</f>
        <v>9792</v>
      </c>
      <c r="I1241" s="76">
        <f ca="1">SUMIF('Production '!$C$4:$AI$4407,'Tracking Sheet'!B1241,'Production '!$V$4:$V$4407)</f>
        <v>0</v>
      </c>
      <c r="J1241" s="76">
        <f ca="1">SUMIF('Production '!$C$4:$AI$4407,'Tracking Sheet'!B1241,'Production '!$AG$4:$AG$4407)</f>
        <v>-9792</v>
      </c>
    </row>
    <row r="1242" spans="2:10" x14ac:dyDescent="0.3">
      <c r="B1242" s="277" t="str">
        <f>'Production '!C1245</f>
        <v>44076 19th</v>
      </c>
      <c r="C1242" s="76">
        <f ca="1">SUMIF('Production '!$C$4:$AI$4407,'Tracking Sheet'!B1242,'Production '!$M$4:$M$4407)</f>
        <v>0</v>
      </c>
      <c r="D1242" s="76">
        <f ca="1">SUMIF('Production '!$C$4:$AI$4407,'Tracking Sheet'!B1242,'Production '!$Q$4:$Q$4407)</f>
        <v>0</v>
      </c>
      <c r="E1242" s="76">
        <f ca="1">SUMIF('Production '!$C$4:$AI$4407,'Tracking Sheet'!B1242,'Production '!$S$4:$S$4407)</f>
        <v>0</v>
      </c>
      <c r="F1242" s="76">
        <f ca="1">SUMIF('Production '!$C$4:$AI$4407,'Tracking Sheet'!B1242,'Production '!$U$4:$U$4407)</f>
        <v>0</v>
      </c>
      <c r="G1242" s="76">
        <f ca="1">SUMIF('Production '!$C$4:$AI$4407,'Tracking Sheet'!B1242,'Production '!$W$4:$W$4407)</f>
        <v>0</v>
      </c>
      <c r="H1242" s="76">
        <f ca="1">SUMIF('Production '!$C$4:$AI$4407,'Tracking Sheet'!B1242,'Production '!$F$4:$F$4407)</f>
        <v>9792</v>
      </c>
      <c r="I1242" s="76">
        <f ca="1">SUMIF('Production '!$C$4:$AI$4407,'Tracking Sheet'!B1242,'Production '!$V$4:$V$4407)</f>
        <v>0</v>
      </c>
      <c r="J1242" s="76">
        <f ca="1">SUMIF('Production '!$C$4:$AI$4407,'Tracking Sheet'!B1242,'Production '!$AG$4:$AG$4407)</f>
        <v>-9792</v>
      </c>
    </row>
    <row r="1243" spans="2:10" x14ac:dyDescent="0.3">
      <c r="B1243" s="277" t="str">
        <f>'Production '!C1246</f>
        <v>44076 19th</v>
      </c>
      <c r="C1243" s="76">
        <f ca="1">SUMIF('Production '!$C$4:$AI$4407,'Tracking Sheet'!B1243,'Production '!$M$4:$M$4407)</f>
        <v>0</v>
      </c>
      <c r="D1243" s="76">
        <f ca="1">SUMIF('Production '!$C$4:$AI$4407,'Tracking Sheet'!B1243,'Production '!$Q$4:$Q$4407)</f>
        <v>0</v>
      </c>
      <c r="E1243" s="76">
        <f ca="1">SUMIF('Production '!$C$4:$AI$4407,'Tracking Sheet'!B1243,'Production '!$S$4:$S$4407)</f>
        <v>0</v>
      </c>
      <c r="F1243" s="76">
        <f ca="1">SUMIF('Production '!$C$4:$AI$4407,'Tracking Sheet'!B1243,'Production '!$U$4:$U$4407)</f>
        <v>0</v>
      </c>
      <c r="G1243" s="76">
        <f ca="1">SUMIF('Production '!$C$4:$AI$4407,'Tracking Sheet'!B1243,'Production '!$W$4:$W$4407)</f>
        <v>0</v>
      </c>
      <c r="H1243" s="76">
        <f ca="1">SUMIF('Production '!$C$4:$AI$4407,'Tracking Sheet'!B1243,'Production '!$F$4:$F$4407)</f>
        <v>9792</v>
      </c>
      <c r="I1243" s="76">
        <f ca="1">SUMIF('Production '!$C$4:$AI$4407,'Tracking Sheet'!B1243,'Production '!$V$4:$V$4407)</f>
        <v>0</v>
      </c>
      <c r="J1243" s="76">
        <f ca="1">SUMIF('Production '!$C$4:$AI$4407,'Tracking Sheet'!B1243,'Production '!$AG$4:$AG$4407)</f>
        <v>-9792</v>
      </c>
    </row>
    <row r="1244" spans="2:10" x14ac:dyDescent="0.3">
      <c r="B1244" s="277" t="str">
        <f>'Production '!C1247</f>
        <v>44076 19th</v>
      </c>
      <c r="C1244" s="76">
        <f ca="1">SUMIF('Production '!$C$4:$AI$4407,'Tracking Sheet'!B1244,'Production '!$M$4:$M$4407)</f>
        <v>0</v>
      </c>
      <c r="D1244" s="76">
        <f ca="1">SUMIF('Production '!$C$4:$AI$4407,'Tracking Sheet'!B1244,'Production '!$Q$4:$Q$4407)</f>
        <v>0</v>
      </c>
      <c r="E1244" s="76">
        <f ca="1">SUMIF('Production '!$C$4:$AI$4407,'Tracking Sheet'!B1244,'Production '!$S$4:$S$4407)</f>
        <v>0</v>
      </c>
      <c r="F1244" s="76">
        <f ca="1">SUMIF('Production '!$C$4:$AI$4407,'Tracking Sheet'!B1244,'Production '!$U$4:$U$4407)</f>
        <v>0</v>
      </c>
      <c r="G1244" s="76">
        <f ca="1">SUMIF('Production '!$C$4:$AI$4407,'Tracking Sheet'!B1244,'Production '!$W$4:$W$4407)</f>
        <v>0</v>
      </c>
      <c r="H1244" s="76">
        <f ca="1">SUMIF('Production '!$C$4:$AI$4407,'Tracking Sheet'!B1244,'Production '!$F$4:$F$4407)</f>
        <v>9792</v>
      </c>
      <c r="I1244" s="76">
        <f ca="1">SUMIF('Production '!$C$4:$AI$4407,'Tracking Sheet'!B1244,'Production '!$V$4:$V$4407)</f>
        <v>0</v>
      </c>
      <c r="J1244" s="76">
        <f ca="1">SUMIF('Production '!$C$4:$AI$4407,'Tracking Sheet'!B1244,'Production '!$AG$4:$AG$4407)</f>
        <v>-9792</v>
      </c>
    </row>
    <row r="1245" spans="2:10" x14ac:dyDescent="0.3">
      <c r="B1245" s="277" t="str">
        <f>'Production '!C1248</f>
        <v>44076 19th</v>
      </c>
      <c r="C1245" s="76">
        <f ca="1">SUMIF('Production '!$C$4:$AI$4407,'Tracking Sheet'!B1245,'Production '!$M$4:$M$4407)</f>
        <v>0</v>
      </c>
      <c r="D1245" s="76">
        <f ca="1">SUMIF('Production '!$C$4:$AI$4407,'Tracking Sheet'!B1245,'Production '!$Q$4:$Q$4407)</f>
        <v>0</v>
      </c>
      <c r="E1245" s="76">
        <f ca="1">SUMIF('Production '!$C$4:$AI$4407,'Tracking Sheet'!B1245,'Production '!$S$4:$S$4407)</f>
        <v>0</v>
      </c>
      <c r="F1245" s="76">
        <f ca="1">SUMIF('Production '!$C$4:$AI$4407,'Tracking Sheet'!B1245,'Production '!$U$4:$U$4407)</f>
        <v>0</v>
      </c>
      <c r="G1245" s="76">
        <f ca="1">SUMIF('Production '!$C$4:$AI$4407,'Tracking Sheet'!B1245,'Production '!$W$4:$W$4407)</f>
        <v>0</v>
      </c>
      <c r="H1245" s="76">
        <f ca="1">SUMIF('Production '!$C$4:$AI$4407,'Tracking Sheet'!B1245,'Production '!$F$4:$F$4407)</f>
        <v>9792</v>
      </c>
      <c r="I1245" s="76">
        <f ca="1">SUMIF('Production '!$C$4:$AI$4407,'Tracking Sheet'!B1245,'Production '!$V$4:$V$4407)</f>
        <v>0</v>
      </c>
      <c r="J1245" s="76">
        <f ca="1">SUMIF('Production '!$C$4:$AI$4407,'Tracking Sheet'!B1245,'Production '!$AG$4:$AG$4407)</f>
        <v>-9792</v>
      </c>
    </row>
    <row r="1246" spans="2:10" x14ac:dyDescent="0.3">
      <c r="B1246" s="277" t="str">
        <f>'Production '!C1249</f>
        <v>44076 19th</v>
      </c>
      <c r="C1246" s="76">
        <f ca="1">SUMIF('Production '!$C$4:$AI$4407,'Tracking Sheet'!B1246,'Production '!$M$4:$M$4407)</f>
        <v>0</v>
      </c>
      <c r="D1246" s="76">
        <f ca="1">SUMIF('Production '!$C$4:$AI$4407,'Tracking Sheet'!B1246,'Production '!$Q$4:$Q$4407)</f>
        <v>0</v>
      </c>
      <c r="E1246" s="76">
        <f ca="1">SUMIF('Production '!$C$4:$AI$4407,'Tracking Sheet'!B1246,'Production '!$S$4:$S$4407)</f>
        <v>0</v>
      </c>
      <c r="F1246" s="76">
        <f ca="1">SUMIF('Production '!$C$4:$AI$4407,'Tracking Sheet'!B1246,'Production '!$U$4:$U$4407)</f>
        <v>0</v>
      </c>
      <c r="G1246" s="76">
        <f ca="1">SUMIF('Production '!$C$4:$AI$4407,'Tracking Sheet'!B1246,'Production '!$W$4:$W$4407)</f>
        <v>0</v>
      </c>
      <c r="H1246" s="76">
        <f ca="1">SUMIF('Production '!$C$4:$AI$4407,'Tracking Sheet'!B1246,'Production '!$F$4:$F$4407)</f>
        <v>9792</v>
      </c>
      <c r="I1246" s="76">
        <f ca="1">SUMIF('Production '!$C$4:$AI$4407,'Tracking Sheet'!B1246,'Production '!$V$4:$V$4407)</f>
        <v>0</v>
      </c>
      <c r="J1246" s="76">
        <f ca="1">SUMIF('Production '!$C$4:$AI$4407,'Tracking Sheet'!B1246,'Production '!$AG$4:$AG$4407)</f>
        <v>-9792</v>
      </c>
    </row>
    <row r="1247" spans="2:10" x14ac:dyDescent="0.3">
      <c r="B1247" s="277" t="str">
        <f>'Production '!C1250</f>
        <v>44076 19th</v>
      </c>
      <c r="C1247" s="76">
        <f ca="1">SUMIF('Production '!$C$4:$AI$4407,'Tracking Sheet'!B1247,'Production '!$M$4:$M$4407)</f>
        <v>0</v>
      </c>
      <c r="D1247" s="76">
        <f ca="1">SUMIF('Production '!$C$4:$AI$4407,'Tracking Sheet'!B1247,'Production '!$Q$4:$Q$4407)</f>
        <v>0</v>
      </c>
      <c r="E1247" s="76">
        <f ca="1">SUMIF('Production '!$C$4:$AI$4407,'Tracking Sheet'!B1247,'Production '!$S$4:$S$4407)</f>
        <v>0</v>
      </c>
      <c r="F1247" s="76">
        <f ca="1">SUMIF('Production '!$C$4:$AI$4407,'Tracking Sheet'!B1247,'Production '!$U$4:$U$4407)</f>
        <v>0</v>
      </c>
      <c r="G1247" s="76">
        <f ca="1">SUMIF('Production '!$C$4:$AI$4407,'Tracking Sheet'!B1247,'Production '!$W$4:$W$4407)</f>
        <v>0</v>
      </c>
      <c r="H1247" s="76">
        <f ca="1">SUMIF('Production '!$C$4:$AI$4407,'Tracking Sheet'!B1247,'Production '!$F$4:$F$4407)</f>
        <v>9792</v>
      </c>
      <c r="I1247" s="76">
        <f ca="1">SUMIF('Production '!$C$4:$AI$4407,'Tracking Sheet'!B1247,'Production '!$V$4:$V$4407)</f>
        <v>0</v>
      </c>
      <c r="J1247" s="76">
        <f ca="1">SUMIF('Production '!$C$4:$AI$4407,'Tracking Sheet'!B1247,'Production '!$AG$4:$AG$4407)</f>
        <v>-9792</v>
      </c>
    </row>
    <row r="1248" spans="2:10" x14ac:dyDescent="0.3">
      <c r="B1248" s="277" t="str">
        <f>'Production '!C1251</f>
        <v>44076 19th</v>
      </c>
      <c r="C1248" s="76">
        <f ca="1">SUMIF('Production '!$C$4:$AI$4407,'Tracking Sheet'!B1248,'Production '!$M$4:$M$4407)</f>
        <v>0</v>
      </c>
      <c r="D1248" s="76">
        <f ca="1">SUMIF('Production '!$C$4:$AI$4407,'Tracking Sheet'!B1248,'Production '!$Q$4:$Q$4407)</f>
        <v>0</v>
      </c>
      <c r="E1248" s="76">
        <f ca="1">SUMIF('Production '!$C$4:$AI$4407,'Tracking Sheet'!B1248,'Production '!$S$4:$S$4407)</f>
        <v>0</v>
      </c>
      <c r="F1248" s="76">
        <f ca="1">SUMIF('Production '!$C$4:$AI$4407,'Tracking Sheet'!B1248,'Production '!$U$4:$U$4407)</f>
        <v>0</v>
      </c>
      <c r="G1248" s="76">
        <f ca="1">SUMIF('Production '!$C$4:$AI$4407,'Tracking Sheet'!B1248,'Production '!$W$4:$W$4407)</f>
        <v>0</v>
      </c>
      <c r="H1248" s="76">
        <f ca="1">SUMIF('Production '!$C$4:$AI$4407,'Tracking Sheet'!B1248,'Production '!$F$4:$F$4407)</f>
        <v>9792</v>
      </c>
      <c r="I1248" s="76">
        <f ca="1">SUMIF('Production '!$C$4:$AI$4407,'Tracking Sheet'!B1248,'Production '!$V$4:$V$4407)</f>
        <v>0</v>
      </c>
      <c r="J1248" s="76">
        <f ca="1">SUMIF('Production '!$C$4:$AI$4407,'Tracking Sheet'!B1248,'Production '!$AG$4:$AG$4407)</f>
        <v>-9792</v>
      </c>
    </row>
    <row r="1249" spans="2:10" x14ac:dyDescent="0.3">
      <c r="B1249" s="277">
        <f>'Production '!C1252</f>
        <v>0</v>
      </c>
      <c r="C1249" s="76" t="e">
        <f ca="1">SUMIF('Production '!$C$4:$AI$4407,'Tracking Sheet'!B1249,'Production '!$M$4:$M$4407)</f>
        <v>#DIV/0!</v>
      </c>
      <c r="D1249" s="76" t="e">
        <f ca="1">SUMIF('Production '!$C$4:$AI$4407,'Tracking Sheet'!B1249,'Production '!$Q$4:$Q$4407)</f>
        <v>#DIV/0!</v>
      </c>
      <c r="E1249" s="76">
        <f ca="1">SUMIF('Production '!$C$4:$AI$4407,'Tracking Sheet'!B1249,'Production '!$S$4:$S$4407)</f>
        <v>-1268218.9828305368</v>
      </c>
      <c r="F1249" s="76">
        <f ca="1">SUMIF('Production '!$C$4:$AI$4407,'Tracking Sheet'!B1249,'Production '!$U$4:$U$4407)</f>
        <v>-10620.435600016917</v>
      </c>
      <c r="G1249" s="76" t="e">
        <f ca="1">SUMIF('Production '!$C$4:$AI$4407,'Tracking Sheet'!B1249,'Production '!$W$4:$W$4407)</f>
        <v>#DIV/0!</v>
      </c>
      <c r="H1249" s="76">
        <f ca="1">SUMIF('Production '!$C$4:$AI$4407,'Tracking Sheet'!B1249,'Production '!$F$4:$F$4407)</f>
        <v>3230621.3283604058</v>
      </c>
      <c r="I1249" s="76">
        <f ca="1">SUMIF('Production '!$C$4:$AI$4407,'Tracking Sheet'!B1249,'Production '!$V$4:$V$4407)</f>
        <v>-489.86487791182844</v>
      </c>
      <c r="J1249" s="76">
        <f ca="1">SUMIF('Production '!$C$4:$AI$4407,'Tracking Sheet'!B1249,'Production '!$AG$4:$AG$4407)</f>
        <v>0</v>
      </c>
    </row>
    <row r="1250" spans="2:10" x14ac:dyDescent="0.3">
      <c r="B1250" s="277" t="str">
        <f>'Production '!C1253</f>
        <v>44076 20th</v>
      </c>
      <c r="C1250" s="76">
        <f ca="1">SUMIF('Production '!$C$4:$AI$4407,'Tracking Sheet'!B1250,'Production '!$M$4:$M$4407)</f>
        <v>0</v>
      </c>
      <c r="D1250" s="76">
        <f ca="1">SUMIF('Production '!$C$4:$AI$4407,'Tracking Sheet'!B1250,'Production '!$Q$4:$Q$4407)</f>
        <v>0</v>
      </c>
      <c r="E1250" s="76">
        <f ca="1">SUMIF('Production '!$C$4:$AI$4407,'Tracking Sheet'!B1250,'Production '!$S$4:$S$4407)</f>
        <v>0</v>
      </c>
      <c r="F1250" s="76">
        <f ca="1">SUMIF('Production '!$C$4:$AI$4407,'Tracking Sheet'!B1250,'Production '!$U$4:$U$4407)</f>
        <v>0</v>
      </c>
      <c r="G1250" s="76">
        <f ca="1">SUMIF('Production '!$C$4:$AI$4407,'Tracking Sheet'!B1250,'Production '!$W$4:$W$4407)</f>
        <v>0</v>
      </c>
      <c r="H1250" s="76">
        <f ca="1">SUMIF('Production '!$C$4:$AI$4407,'Tracking Sheet'!B1250,'Production '!$F$4:$F$4407)</f>
        <v>4074</v>
      </c>
      <c r="I1250" s="76">
        <f ca="1">SUMIF('Production '!$C$4:$AI$4407,'Tracking Sheet'!B1250,'Production '!$V$4:$V$4407)</f>
        <v>0</v>
      </c>
      <c r="J1250" s="76">
        <f ca="1">SUMIF('Production '!$C$4:$AI$4407,'Tracking Sheet'!B1250,'Production '!$AG$4:$AG$4407)</f>
        <v>-4074</v>
      </c>
    </row>
    <row r="1251" spans="2:10" x14ac:dyDescent="0.3">
      <c r="B1251" s="277" t="str">
        <f>'Production '!C1254</f>
        <v>44076 20th</v>
      </c>
      <c r="C1251" s="76">
        <f ca="1">SUMIF('Production '!$C$4:$AI$4407,'Tracking Sheet'!B1251,'Production '!$M$4:$M$4407)</f>
        <v>0</v>
      </c>
      <c r="D1251" s="76">
        <f ca="1">SUMIF('Production '!$C$4:$AI$4407,'Tracking Sheet'!B1251,'Production '!$Q$4:$Q$4407)</f>
        <v>0</v>
      </c>
      <c r="E1251" s="76">
        <f ca="1">SUMIF('Production '!$C$4:$AI$4407,'Tracking Sheet'!B1251,'Production '!$S$4:$S$4407)</f>
        <v>0</v>
      </c>
      <c r="F1251" s="76">
        <f ca="1">SUMIF('Production '!$C$4:$AI$4407,'Tracking Sheet'!B1251,'Production '!$U$4:$U$4407)</f>
        <v>0</v>
      </c>
      <c r="G1251" s="76">
        <f ca="1">SUMIF('Production '!$C$4:$AI$4407,'Tracking Sheet'!B1251,'Production '!$W$4:$W$4407)</f>
        <v>0</v>
      </c>
      <c r="H1251" s="76">
        <f ca="1">SUMIF('Production '!$C$4:$AI$4407,'Tracking Sheet'!B1251,'Production '!$F$4:$F$4407)</f>
        <v>4074</v>
      </c>
      <c r="I1251" s="76">
        <f ca="1">SUMIF('Production '!$C$4:$AI$4407,'Tracking Sheet'!B1251,'Production '!$V$4:$V$4407)</f>
        <v>0</v>
      </c>
      <c r="J1251" s="76">
        <f ca="1">SUMIF('Production '!$C$4:$AI$4407,'Tracking Sheet'!B1251,'Production '!$AG$4:$AG$4407)</f>
        <v>-4074</v>
      </c>
    </row>
    <row r="1252" spans="2:10" x14ac:dyDescent="0.3">
      <c r="B1252" s="277" t="str">
        <f>'Production '!C1255</f>
        <v>44076 20th</v>
      </c>
      <c r="C1252" s="76">
        <f ca="1">SUMIF('Production '!$C$4:$AI$4407,'Tracking Sheet'!B1252,'Production '!$M$4:$M$4407)</f>
        <v>0</v>
      </c>
      <c r="D1252" s="76">
        <f ca="1">SUMIF('Production '!$C$4:$AI$4407,'Tracking Sheet'!B1252,'Production '!$Q$4:$Q$4407)</f>
        <v>0</v>
      </c>
      <c r="E1252" s="76">
        <f ca="1">SUMIF('Production '!$C$4:$AI$4407,'Tracking Sheet'!B1252,'Production '!$S$4:$S$4407)</f>
        <v>0</v>
      </c>
      <c r="F1252" s="76">
        <f ca="1">SUMIF('Production '!$C$4:$AI$4407,'Tracking Sheet'!B1252,'Production '!$U$4:$U$4407)</f>
        <v>0</v>
      </c>
      <c r="G1252" s="76">
        <f ca="1">SUMIF('Production '!$C$4:$AI$4407,'Tracking Sheet'!B1252,'Production '!$W$4:$W$4407)</f>
        <v>0</v>
      </c>
      <c r="H1252" s="76">
        <f ca="1">SUMIF('Production '!$C$4:$AI$4407,'Tracking Sheet'!B1252,'Production '!$F$4:$F$4407)</f>
        <v>4074</v>
      </c>
      <c r="I1252" s="76">
        <f ca="1">SUMIF('Production '!$C$4:$AI$4407,'Tracking Sheet'!B1252,'Production '!$V$4:$V$4407)</f>
        <v>0</v>
      </c>
      <c r="J1252" s="76">
        <f ca="1">SUMIF('Production '!$C$4:$AI$4407,'Tracking Sheet'!B1252,'Production '!$AG$4:$AG$4407)</f>
        <v>-4074</v>
      </c>
    </row>
    <row r="1253" spans="2:10" x14ac:dyDescent="0.3">
      <c r="B1253" s="277">
        <f>'Production '!C1256</f>
        <v>0</v>
      </c>
      <c r="C1253" s="76" t="e">
        <f ca="1">SUMIF('Production '!$C$4:$AI$4407,'Tracking Sheet'!B1253,'Production '!$M$4:$M$4407)</f>
        <v>#DIV/0!</v>
      </c>
      <c r="D1253" s="76" t="e">
        <f ca="1">SUMIF('Production '!$C$4:$AI$4407,'Tracking Sheet'!B1253,'Production '!$Q$4:$Q$4407)</f>
        <v>#DIV/0!</v>
      </c>
      <c r="E1253" s="76">
        <f ca="1">SUMIF('Production '!$C$4:$AI$4407,'Tracking Sheet'!B1253,'Production '!$S$4:$S$4407)</f>
        <v>-1268218.9828305368</v>
      </c>
      <c r="F1253" s="76">
        <f ca="1">SUMIF('Production '!$C$4:$AI$4407,'Tracking Sheet'!B1253,'Production '!$U$4:$U$4407)</f>
        <v>-10620.435600016917</v>
      </c>
      <c r="G1253" s="76" t="e">
        <f ca="1">SUMIF('Production '!$C$4:$AI$4407,'Tracking Sheet'!B1253,'Production '!$W$4:$W$4407)</f>
        <v>#DIV/0!</v>
      </c>
      <c r="H1253" s="76">
        <f ca="1">SUMIF('Production '!$C$4:$AI$4407,'Tracking Sheet'!B1253,'Production '!$F$4:$F$4407)</f>
        <v>3230621.3283604058</v>
      </c>
      <c r="I1253" s="76">
        <f ca="1">SUMIF('Production '!$C$4:$AI$4407,'Tracking Sheet'!B1253,'Production '!$V$4:$V$4407)</f>
        <v>-489.86487791182844</v>
      </c>
      <c r="J1253" s="76">
        <f ca="1">SUMIF('Production '!$C$4:$AI$4407,'Tracking Sheet'!B1253,'Production '!$AG$4:$AG$4407)</f>
        <v>0</v>
      </c>
    </row>
    <row r="1254" spans="2:10" x14ac:dyDescent="0.3">
      <c r="B1254" s="277" t="str">
        <f>'Production '!C1257</f>
        <v>41626 26th</v>
      </c>
      <c r="C1254" s="76">
        <f ca="1">SUMIF('Production '!$C$4:$AI$4407,'Tracking Sheet'!B1254,'Production '!$M$4:$M$4407)</f>
        <v>3127</v>
      </c>
      <c r="D1254" s="76">
        <f ca="1">SUMIF('Production '!$C$4:$AI$4407,'Tracking Sheet'!B1254,'Production '!$Q$4:$Q$4407)</f>
        <v>0</v>
      </c>
      <c r="E1254" s="76">
        <f ca="1">SUMIF('Production '!$C$4:$AI$4407,'Tracking Sheet'!B1254,'Production '!$S$4:$S$4407)</f>
        <v>0</v>
      </c>
      <c r="F1254" s="76">
        <f ca="1">SUMIF('Production '!$C$4:$AI$4407,'Tracking Sheet'!B1254,'Production '!$U$4:$U$4407)</f>
        <v>34</v>
      </c>
      <c r="G1254" s="76">
        <f ca="1">SUMIF('Production '!$C$4:$AI$4407,'Tracking Sheet'!B1254,'Production '!$W$4:$W$4407)</f>
        <v>3093</v>
      </c>
      <c r="H1254" s="76">
        <f ca="1">SUMIF('Production '!$C$4:$AI$4407,'Tracking Sheet'!B1254,'Production '!$F$4:$F$4407)</f>
        <v>3046</v>
      </c>
      <c r="I1254" s="76">
        <f ca="1">SUMIF('Production '!$C$4:$AI$4407,'Tracking Sheet'!B1254,'Production '!$V$4:$V$4407)</f>
        <v>0</v>
      </c>
      <c r="J1254" s="76">
        <f ca="1">SUMIF('Production '!$C$4:$AI$4407,'Tracking Sheet'!B1254,'Production '!$AG$4:$AG$4407)</f>
        <v>0</v>
      </c>
    </row>
    <row r="1255" spans="2:10" x14ac:dyDescent="0.3">
      <c r="B1255" s="277" t="str">
        <f>'Production '!C1258</f>
        <v>41626 26th</v>
      </c>
      <c r="C1255" s="76">
        <f ca="1">SUMIF('Production '!$C$4:$AI$4407,'Tracking Sheet'!B1255,'Production '!$M$4:$M$4407)</f>
        <v>3127</v>
      </c>
      <c r="D1255" s="76">
        <f ca="1">SUMIF('Production '!$C$4:$AI$4407,'Tracking Sheet'!B1255,'Production '!$Q$4:$Q$4407)</f>
        <v>0</v>
      </c>
      <c r="E1255" s="76">
        <f ca="1">SUMIF('Production '!$C$4:$AI$4407,'Tracking Sheet'!B1255,'Production '!$S$4:$S$4407)</f>
        <v>0</v>
      </c>
      <c r="F1255" s="76">
        <f ca="1">SUMIF('Production '!$C$4:$AI$4407,'Tracking Sheet'!B1255,'Production '!$U$4:$U$4407)</f>
        <v>34</v>
      </c>
      <c r="G1255" s="76">
        <f ca="1">SUMIF('Production '!$C$4:$AI$4407,'Tracking Sheet'!B1255,'Production '!$W$4:$W$4407)</f>
        <v>3093</v>
      </c>
      <c r="H1255" s="76">
        <f ca="1">SUMIF('Production '!$C$4:$AI$4407,'Tracking Sheet'!B1255,'Production '!$F$4:$F$4407)</f>
        <v>3046</v>
      </c>
      <c r="I1255" s="76">
        <f ca="1">SUMIF('Production '!$C$4:$AI$4407,'Tracking Sheet'!B1255,'Production '!$V$4:$V$4407)</f>
        <v>0</v>
      </c>
      <c r="J1255" s="76">
        <f ca="1">SUMIF('Production '!$C$4:$AI$4407,'Tracking Sheet'!B1255,'Production '!$AG$4:$AG$4407)</f>
        <v>0</v>
      </c>
    </row>
    <row r="1256" spans="2:10" x14ac:dyDescent="0.3">
      <c r="B1256" s="277">
        <f>'Production '!C1259</f>
        <v>0</v>
      </c>
      <c r="C1256" s="76" t="e">
        <f ca="1">SUMIF('Production '!$C$4:$AI$4407,'Tracking Sheet'!B1256,'Production '!$M$4:$M$4407)</f>
        <v>#DIV/0!</v>
      </c>
      <c r="D1256" s="76" t="e">
        <f ca="1">SUMIF('Production '!$C$4:$AI$4407,'Tracking Sheet'!B1256,'Production '!$Q$4:$Q$4407)</f>
        <v>#DIV/0!</v>
      </c>
      <c r="E1256" s="76">
        <f ca="1">SUMIF('Production '!$C$4:$AI$4407,'Tracking Sheet'!B1256,'Production '!$S$4:$S$4407)</f>
        <v>-1268218.9828305368</v>
      </c>
      <c r="F1256" s="76">
        <f ca="1">SUMIF('Production '!$C$4:$AI$4407,'Tracking Sheet'!B1256,'Production '!$U$4:$U$4407)</f>
        <v>-10620.435600016917</v>
      </c>
      <c r="G1256" s="76" t="e">
        <f ca="1">SUMIF('Production '!$C$4:$AI$4407,'Tracking Sheet'!B1256,'Production '!$W$4:$W$4407)</f>
        <v>#DIV/0!</v>
      </c>
      <c r="H1256" s="76">
        <f ca="1">SUMIF('Production '!$C$4:$AI$4407,'Tracking Sheet'!B1256,'Production '!$F$4:$F$4407)</f>
        <v>3230621.3283604058</v>
      </c>
      <c r="I1256" s="76">
        <f ca="1">SUMIF('Production '!$C$4:$AI$4407,'Tracking Sheet'!B1256,'Production '!$V$4:$V$4407)</f>
        <v>-489.86487791182844</v>
      </c>
      <c r="J1256" s="76">
        <f ca="1">SUMIF('Production '!$C$4:$AI$4407,'Tracking Sheet'!B1256,'Production '!$AG$4:$AG$4407)</f>
        <v>0</v>
      </c>
    </row>
    <row r="1257" spans="2:10" x14ac:dyDescent="0.3">
      <c r="B1257" s="277" t="str">
        <f>'Production '!C1260</f>
        <v>41626 27th</v>
      </c>
      <c r="C1257" s="76">
        <f ca="1">SUMIF('Production '!$C$4:$AI$4407,'Tracking Sheet'!B1257,'Production '!$M$4:$M$4407)</f>
        <v>745</v>
      </c>
      <c r="D1257" s="76">
        <f ca="1">SUMIF('Production '!$C$4:$AI$4407,'Tracking Sheet'!B1257,'Production '!$Q$4:$Q$4407)</f>
        <v>0</v>
      </c>
      <c r="E1257" s="76">
        <f ca="1">SUMIF('Production '!$C$4:$AI$4407,'Tracking Sheet'!B1257,'Production '!$S$4:$S$4407)</f>
        <v>0</v>
      </c>
      <c r="F1257" s="76">
        <f ca="1">SUMIF('Production '!$C$4:$AI$4407,'Tracking Sheet'!B1257,'Production '!$U$4:$U$4407)</f>
        <v>745</v>
      </c>
      <c r="G1257" s="76">
        <f ca="1">SUMIF('Production '!$C$4:$AI$4407,'Tracking Sheet'!B1257,'Production '!$W$4:$W$4407)</f>
        <v>0</v>
      </c>
      <c r="H1257" s="76">
        <f ca="1">SUMIF('Production '!$C$4:$AI$4407,'Tracking Sheet'!B1257,'Production '!$F$4:$F$4407)</f>
        <v>1028</v>
      </c>
      <c r="I1257" s="76">
        <f ca="1">SUMIF('Production '!$C$4:$AI$4407,'Tracking Sheet'!B1257,'Production '!$V$4:$V$4407)</f>
        <v>0</v>
      </c>
      <c r="J1257" s="76">
        <f ca="1">SUMIF('Production '!$C$4:$AI$4407,'Tracking Sheet'!B1257,'Production '!$AG$4:$AG$4407)</f>
        <v>-283</v>
      </c>
    </row>
    <row r="1258" spans="2:10" x14ac:dyDescent="0.3">
      <c r="B1258" s="277">
        <f>'Production '!C1261</f>
        <v>0</v>
      </c>
      <c r="C1258" s="76" t="e">
        <f ca="1">SUMIF('Production '!$C$4:$AI$4407,'Tracking Sheet'!B1258,'Production '!$M$4:$M$4407)</f>
        <v>#DIV/0!</v>
      </c>
      <c r="D1258" s="76" t="e">
        <f ca="1">SUMIF('Production '!$C$4:$AI$4407,'Tracking Sheet'!B1258,'Production '!$Q$4:$Q$4407)</f>
        <v>#DIV/0!</v>
      </c>
      <c r="E1258" s="76">
        <f ca="1">SUMIF('Production '!$C$4:$AI$4407,'Tracking Sheet'!B1258,'Production '!$S$4:$S$4407)</f>
        <v>-1268218.9828305368</v>
      </c>
      <c r="F1258" s="76">
        <f ca="1">SUMIF('Production '!$C$4:$AI$4407,'Tracking Sheet'!B1258,'Production '!$U$4:$U$4407)</f>
        <v>-10620.435600016917</v>
      </c>
      <c r="G1258" s="76" t="e">
        <f ca="1">SUMIF('Production '!$C$4:$AI$4407,'Tracking Sheet'!B1258,'Production '!$W$4:$W$4407)</f>
        <v>#DIV/0!</v>
      </c>
      <c r="H1258" s="76">
        <f ca="1">SUMIF('Production '!$C$4:$AI$4407,'Tracking Sheet'!B1258,'Production '!$F$4:$F$4407)</f>
        <v>3230621.3283604058</v>
      </c>
      <c r="I1258" s="76">
        <f ca="1">SUMIF('Production '!$C$4:$AI$4407,'Tracking Sheet'!B1258,'Production '!$V$4:$V$4407)</f>
        <v>-489.86487791182844</v>
      </c>
      <c r="J1258" s="76">
        <f ca="1">SUMIF('Production '!$C$4:$AI$4407,'Tracking Sheet'!B1258,'Production '!$AG$4:$AG$4407)</f>
        <v>0</v>
      </c>
    </row>
    <row r="1259" spans="2:10" x14ac:dyDescent="0.3">
      <c r="B1259" s="277" t="str">
        <f>'Production '!C1262</f>
        <v>48283 2nd</v>
      </c>
      <c r="C1259" s="76">
        <f ca="1">SUMIF('Production '!$C$4:$AI$4407,'Tracking Sheet'!B1259,'Production '!$M$4:$M$4407)</f>
        <v>0</v>
      </c>
      <c r="D1259" s="76">
        <f ca="1">SUMIF('Production '!$C$4:$AI$4407,'Tracking Sheet'!B1259,'Production '!$Q$4:$Q$4407)</f>
        <v>0</v>
      </c>
      <c r="E1259" s="76">
        <f ca="1">SUMIF('Production '!$C$4:$AI$4407,'Tracking Sheet'!B1259,'Production '!$S$4:$S$4407)</f>
        <v>0</v>
      </c>
      <c r="F1259" s="76">
        <f ca="1">SUMIF('Production '!$C$4:$AI$4407,'Tracking Sheet'!B1259,'Production '!$U$4:$U$4407)</f>
        <v>0</v>
      </c>
      <c r="G1259" s="76">
        <f ca="1">SUMIF('Production '!$C$4:$AI$4407,'Tracking Sheet'!B1259,'Production '!$W$4:$W$4407)</f>
        <v>0</v>
      </c>
      <c r="H1259" s="76">
        <f ca="1">SUMIF('Production '!$C$4:$AI$4407,'Tracking Sheet'!B1259,'Production '!$F$4:$F$4407)</f>
        <v>6016</v>
      </c>
      <c r="I1259" s="76">
        <f ca="1">SUMIF('Production '!$C$4:$AI$4407,'Tracking Sheet'!B1259,'Production '!$V$4:$V$4407)</f>
        <v>0</v>
      </c>
      <c r="J1259" s="76">
        <f ca="1">SUMIF('Production '!$C$4:$AI$4407,'Tracking Sheet'!B1259,'Production '!$AG$4:$AG$4407)</f>
        <v>-6016</v>
      </c>
    </row>
    <row r="1260" spans="2:10" x14ac:dyDescent="0.3">
      <c r="B1260" s="277" t="str">
        <f>'Production '!C1263</f>
        <v>48283 2nd</v>
      </c>
      <c r="C1260" s="76">
        <f ca="1">SUMIF('Production '!$C$4:$AI$4407,'Tracking Sheet'!B1260,'Production '!$M$4:$M$4407)</f>
        <v>0</v>
      </c>
      <c r="D1260" s="76">
        <f ca="1">SUMIF('Production '!$C$4:$AI$4407,'Tracking Sheet'!B1260,'Production '!$Q$4:$Q$4407)</f>
        <v>0</v>
      </c>
      <c r="E1260" s="76">
        <f ca="1">SUMIF('Production '!$C$4:$AI$4407,'Tracking Sheet'!B1260,'Production '!$S$4:$S$4407)</f>
        <v>0</v>
      </c>
      <c r="F1260" s="76">
        <f ca="1">SUMIF('Production '!$C$4:$AI$4407,'Tracking Sheet'!B1260,'Production '!$U$4:$U$4407)</f>
        <v>0</v>
      </c>
      <c r="G1260" s="76">
        <f ca="1">SUMIF('Production '!$C$4:$AI$4407,'Tracking Sheet'!B1260,'Production '!$W$4:$W$4407)</f>
        <v>0</v>
      </c>
      <c r="H1260" s="76">
        <f ca="1">SUMIF('Production '!$C$4:$AI$4407,'Tracking Sheet'!B1260,'Production '!$F$4:$F$4407)</f>
        <v>6016</v>
      </c>
      <c r="I1260" s="76">
        <f ca="1">SUMIF('Production '!$C$4:$AI$4407,'Tracking Sheet'!B1260,'Production '!$V$4:$V$4407)</f>
        <v>0</v>
      </c>
      <c r="J1260" s="76">
        <f ca="1">SUMIF('Production '!$C$4:$AI$4407,'Tracking Sheet'!B1260,'Production '!$AG$4:$AG$4407)</f>
        <v>-6016</v>
      </c>
    </row>
    <row r="1261" spans="2:10" x14ac:dyDescent="0.3">
      <c r="B1261" s="277">
        <f>'Production '!C1264</f>
        <v>0</v>
      </c>
      <c r="C1261" s="76" t="e">
        <f ca="1">SUMIF('Production '!$C$4:$AI$4407,'Tracking Sheet'!B1261,'Production '!$M$4:$M$4407)</f>
        <v>#DIV/0!</v>
      </c>
      <c r="D1261" s="76" t="e">
        <f ca="1">SUMIF('Production '!$C$4:$AI$4407,'Tracking Sheet'!B1261,'Production '!$Q$4:$Q$4407)</f>
        <v>#DIV/0!</v>
      </c>
      <c r="E1261" s="76">
        <f ca="1">SUMIF('Production '!$C$4:$AI$4407,'Tracking Sheet'!B1261,'Production '!$S$4:$S$4407)</f>
        <v>-1268218.9828305368</v>
      </c>
      <c r="F1261" s="76">
        <f ca="1">SUMIF('Production '!$C$4:$AI$4407,'Tracking Sheet'!B1261,'Production '!$U$4:$U$4407)</f>
        <v>-10620.435600016917</v>
      </c>
      <c r="G1261" s="76" t="e">
        <f ca="1">SUMIF('Production '!$C$4:$AI$4407,'Tracking Sheet'!B1261,'Production '!$W$4:$W$4407)</f>
        <v>#DIV/0!</v>
      </c>
      <c r="H1261" s="76">
        <f ca="1">SUMIF('Production '!$C$4:$AI$4407,'Tracking Sheet'!B1261,'Production '!$F$4:$F$4407)</f>
        <v>3230621.3283604058</v>
      </c>
      <c r="I1261" s="76">
        <f ca="1">SUMIF('Production '!$C$4:$AI$4407,'Tracking Sheet'!B1261,'Production '!$V$4:$V$4407)</f>
        <v>-489.86487791182844</v>
      </c>
      <c r="J1261" s="76">
        <f ca="1">SUMIF('Production '!$C$4:$AI$4407,'Tracking Sheet'!B1261,'Production '!$AG$4:$AG$4407)</f>
        <v>0</v>
      </c>
    </row>
    <row r="1262" spans="2:10" x14ac:dyDescent="0.3">
      <c r="B1262" s="277" t="str">
        <f>'Production '!C1265</f>
        <v>48283 3rd</v>
      </c>
      <c r="C1262" s="76">
        <f ca="1">SUMIF('Production '!$C$4:$AI$4407,'Tracking Sheet'!B1262,'Production '!$M$4:$M$4407)</f>
        <v>0</v>
      </c>
      <c r="D1262" s="76">
        <f ca="1">SUMIF('Production '!$C$4:$AI$4407,'Tracking Sheet'!B1262,'Production '!$Q$4:$Q$4407)</f>
        <v>0</v>
      </c>
      <c r="E1262" s="76">
        <f ca="1">SUMIF('Production '!$C$4:$AI$4407,'Tracking Sheet'!B1262,'Production '!$S$4:$S$4407)</f>
        <v>0</v>
      </c>
      <c r="F1262" s="76">
        <f ca="1">SUMIF('Production '!$C$4:$AI$4407,'Tracking Sheet'!B1262,'Production '!$U$4:$U$4407)</f>
        <v>0</v>
      </c>
      <c r="G1262" s="76">
        <f ca="1">SUMIF('Production '!$C$4:$AI$4407,'Tracking Sheet'!B1262,'Production '!$W$4:$W$4407)</f>
        <v>0</v>
      </c>
      <c r="H1262" s="76">
        <f ca="1">SUMIF('Production '!$C$4:$AI$4407,'Tracking Sheet'!B1262,'Production '!$F$4:$F$4407)</f>
        <v>4876</v>
      </c>
      <c r="I1262" s="76">
        <f ca="1">SUMIF('Production '!$C$4:$AI$4407,'Tracking Sheet'!B1262,'Production '!$V$4:$V$4407)</f>
        <v>0</v>
      </c>
      <c r="J1262" s="76">
        <f ca="1">SUMIF('Production '!$C$4:$AI$4407,'Tracking Sheet'!B1262,'Production '!$AG$4:$AG$4407)</f>
        <v>-4876</v>
      </c>
    </row>
    <row r="1263" spans="2:10" x14ac:dyDescent="0.3">
      <c r="B1263" s="277" t="str">
        <f>'Production '!C1266</f>
        <v>48283 3rd</v>
      </c>
      <c r="C1263" s="76">
        <f ca="1">SUMIF('Production '!$C$4:$AI$4407,'Tracking Sheet'!B1263,'Production '!$M$4:$M$4407)</f>
        <v>0</v>
      </c>
      <c r="D1263" s="76">
        <f ca="1">SUMIF('Production '!$C$4:$AI$4407,'Tracking Sheet'!B1263,'Production '!$Q$4:$Q$4407)</f>
        <v>0</v>
      </c>
      <c r="E1263" s="76">
        <f ca="1">SUMIF('Production '!$C$4:$AI$4407,'Tracking Sheet'!B1263,'Production '!$S$4:$S$4407)</f>
        <v>0</v>
      </c>
      <c r="F1263" s="76">
        <f ca="1">SUMIF('Production '!$C$4:$AI$4407,'Tracking Sheet'!B1263,'Production '!$U$4:$U$4407)</f>
        <v>0</v>
      </c>
      <c r="G1263" s="76">
        <f ca="1">SUMIF('Production '!$C$4:$AI$4407,'Tracking Sheet'!B1263,'Production '!$W$4:$W$4407)</f>
        <v>0</v>
      </c>
      <c r="H1263" s="76">
        <f ca="1">SUMIF('Production '!$C$4:$AI$4407,'Tracking Sheet'!B1263,'Production '!$F$4:$F$4407)</f>
        <v>4876</v>
      </c>
      <c r="I1263" s="76">
        <f ca="1">SUMIF('Production '!$C$4:$AI$4407,'Tracking Sheet'!B1263,'Production '!$V$4:$V$4407)</f>
        <v>0</v>
      </c>
      <c r="J1263" s="76">
        <f ca="1">SUMIF('Production '!$C$4:$AI$4407,'Tracking Sheet'!B1263,'Production '!$AG$4:$AG$4407)</f>
        <v>-4876</v>
      </c>
    </row>
    <row r="1264" spans="2:10" x14ac:dyDescent="0.3">
      <c r="B1264" s="277">
        <f>'Production '!C1267</f>
        <v>0</v>
      </c>
      <c r="C1264" s="76" t="e">
        <f ca="1">SUMIF('Production '!$C$4:$AI$4407,'Tracking Sheet'!B1264,'Production '!$M$4:$M$4407)</f>
        <v>#DIV/0!</v>
      </c>
      <c r="D1264" s="76" t="e">
        <f ca="1">SUMIF('Production '!$C$4:$AI$4407,'Tracking Sheet'!B1264,'Production '!$Q$4:$Q$4407)</f>
        <v>#DIV/0!</v>
      </c>
      <c r="E1264" s="76">
        <f ca="1">SUMIF('Production '!$C$4:$AI$4407,'Tracking Sheet'!B1264,'Production '!$S$4:$S$4407)</f>
        <v>-1268218.9828305368</v>
      </c>
      <c r="F1264" s="76">
        <f ca="1">SUMIF('Production '!$C$4:$AI$4407,'Tracking Sheet'!B1264,'Production '!$U$4:$U$4407)</f>
        <v>-10620.435600016917</v>
      </c>
      <c r="G1264" s="76" t="e">
        <f ca="1">SUMIF('Production '!$C$4:$AI$4407,'Tracking Sheet'!B1264,'Production '!$W$4:$W$4407)</f>
        <v>#DIV/0!</v>
      </c>
      <c r="H1264" s="76">
        <f ca="1">SUMIF('Production '!$C$4:$AI$4407,'Tracking Sheet'!B1264,'Production '!$F$4:$F$4407)</f>
        <v>3230621.3283604058</v>
      </c>
      <c r="I1264" s="76">
        <f ca="1">SUMIF('Production '!$C$4:$AI$4407,'Tracking Sheet'!B1264,'Production '!$V$4:$V$4407)</f>
        <v>-489.86487791182844</v>
      </c>
      <c r="J1264" s="76">
        <f ca="1">SUMIF('Production '!$C$4:$AI$4407,'Tracking Sheet'!B1264,'Production '!$AG$4:$AG$4407)</f>
        <v>0</v>
      </c>
    </row>
    <row r="1265" spans="2:10" x14ac:dyDescent="0.3">
      <c r="B1265" s="277">
        <f>'Production '!C1268</f>
        <v>48191</v>
      </c>
      <c r="C1265" s="76">
        <f ca="1">SUMIF('Production '!$C$4:$AI$4407,'Tracking Sheet'!B1265,'Production '!$M$4:$M$4407)</f>
        <v>1711</v>
      </c>
      <c r="D1265" s="76">
        <f ca="1">SUMIF('Production '!$C$4:$AI$4407,'Tracking Sheet'!B1265,'Production '!$Q$4:$Q$4407)</f>
        <v>1711</v>
      </c>
      <c r="E1265" s="76">
        <f ca="1">SUMIF('Production '!$C$4:$AI$4407,'Tracking Sheet'!B1265,'Production '!$S$4:$S$4407)</f>
        <v>1699</v>
      </c>
      <c r="F1265" s="76">
        <f ca="1">SUMIF('Production '!$C$4:$AI$4407,'Tracking Sheet'!B1265,'Production '!$U$4:$U$4407)</f>
        <v>0</v>
      </c>
      <c r="G1265" s="76">
        <f ca="1">SUMIF('Production '!$C$4:$AI$4407,'Tracking Sheet'!B1265,'Production '!$W$4:$W$4407)</f>
        <v>1699</v>
      </c>
      <c r="H1265" s="76">
        <f ca="1">SUMIF('Production '!$C$4:$AI$4407,'Tracking Sheet'!B1265,'Production '!$F$4:$F$4407)</f>
        <v>1647</v>
      </c>
      <c r="I1265" s="76">
        <f ca="1">SUMIF('Production '!$C$4:$AI$4407,'Tracking Sheet'!B1265,'Production '!$V$4:$V$4407)</f>
        <v>0</v>
      </c>
      <c r="J1265" s="76">
        <f ca="1">SUMIF('Production '!$C$4:$AI$4407,'Tracking Sheet'!B1265,'Production '!$AG$4:$AG$4407)</f>
        <v>0</v>
      </c>
    </row>
    <row r="1266" spans="2:10" x14ac:dyDescent="0.3">
      <c r="B1266" s="277">
        <f>'Production '!C1269</f>
        <v>48191</v>
      </c>
      <c r="C1266" s="76">
        <f ca="1">SUMIF('Production '!$C$4:$AI$4407,'Tracking Sheet'!B1266,'Production '!$M$4:$M$4407)</f>
        <v>1711</v>
      </c>
      <c r="D1266" s="76">
        <f ca="1">SUMIF('Production '!$C$4:$AI$4407,'Tracking Sheet'!B1266,'Production '!$Q$4:$Q$4407)</f>
        <v>1711</v>
      </c>
      <c r="E1266" s="76">
        <f ca="1">SUMIF('Production '!$C$4:$AI$4407,'Tracking Sheet'!B1266,'Production '!$S$4:$S$4407)</f>
        <v>1699</v>
      </c>
      <c r="F1266" s="76">
        <f ca="1">SUMIF('Production '!$C$4:$AI$4407,'Tracking Sheet'!B1266,'Production '!$U$4:$U$4407)</f>
        <v>0</v>
      </c>
      <c r="G1266" s="76">
        <f ca="1">SUMIF('Production '!$C$4:$AI$4407,'Tracking Sheet'!B1266,'Production '!$W$4:$W$4407)</f>
        <v>1699</v>
      </c>
      <c r="H1266" s="76">
        <f ca="1">SUMIF('Production '!$C$4:$AI$4407,'Tracking Sheet'!B1266,'Production '!$F$4:$F$4407)</f>
        <v>1647</v>
      </c>
      <c r="I1266" s="76">
        <f ca="1">SUMIF('Production '!$C$4:$AI$4407,'Tracking Sheet'!B1266,'Production '!$V$4:$V$4407)</f>
        <v>0</v>
      </c>
      <c r="J1266" s="76">
        <f ca="1">SUMIF('Production '!$C$4:$AI$4407,'Tracking Sheet'!B1266,'Production '!$AG$4:$AG$4407)</f>
        <v>0</v>
      </c>
    </row>
    <row r="1267" spans="2:10" x14ac:dyDescent="0.3">
      <c r="B1267" s="277">
        <f>'Production '!C1270</f>
        <v>48191</v>
      </c>
      <c r="C1267" s="76">
        <f ca="1">SUMIF('Production '!$C$4:$AI$4407,'Tracking Sheet'!B1267,'Production '!$M$4:$M$4407)</f>
        <v>1711</v>
      </c>
      <c r="D1267" s="76">
        <f ca="1">SUMIF('Production '!$C$4:$AI$4407,'Tracking Sheet'!B1267,'Production '!$Q$4:$Q$4407)</f>
        <v>1711</v>
      </c>
      <c r="E1267" s="76">
        <f ca="1">SUMIF('Production '!$C$4:$AI$4407,'Tracking Sheet'!B1267,'Production '!$S$4:$S$4407)</f>
        <v>1699</v>
      </c>
      <c r="F1267" s="76">
        <f ca="1">SUMIF('Production '!$C$4:$AI$4407,'Tracking Sheet'!B1267,'Production '!$U$4:$U$4407)</f>
        <v>0</v>
      </c>
      <c r="G1267" s="76">
        <f ca="1">SUMIF('Production '!$C$4:$AI$4407,'Tracking Sheet'!B1267,'Production '!$W$4:$W$4407)</f>
        <v>1699</v>
      </c>
      <c r="H1267" s="76">
        <f ca="1">SUMIF('Production '!$C$4:$AI$4407,'Tracking Sheet'!B1267,'Production '!$F$4:$F$4407)</f>
        <v>1647</v>
      </c>
      <c r="I1267" s="76">
        <f ca="1">SUMIF('Production '!$C$4:$AI$4407,'Tracking Sheet'!B1267,'Production '!$V$4:$V$4407)</f>
        <v>0</v>
      </c>
      <c r="J1267" s="76">
        <f ca="1">SUMIF('Production '!$C$4:$AI$4407,'Tracking Sheet'!B1267,'Production '!$AG$4:$AG$4407)</f>
        <v>0</v>
      </c>
    </row>
    <row r="1268" spans="2:10" x14ac:dyDescent="0.3">
      <c r="B1268" s="277">
        <f>'Production '!C1271</f>
        <v>0</v>
      </c>
      <c r="C1268" s="76" t="e">
        <f ca="1">SUMIF('Production '!$C$4:$AI$4407,'Tracking Sheet'!B1268,'Production '!$M$4:$M$4407)</f>
        <v>#DIV/0!</v>
      </c>
      <c r="D1268" s="76" t="e">
        <f ca="1">SUMIF('Production '!$C$4:$AI$4407,'Tracking Sheet'!B1268,'Production '!$Q$4:$Q$4407)</f>
        <v>#DIV/0!</v>
      </c>
      <c r="E1268" s="76">
        <f ca="1">SUMIF('Production '!$C$4:$AI$4407,'Tracking Sheet'!B1268,'Production '!$S$4:$S$4407)</f>
        <v>-1268218.9828305368</v>
      </c>
      <c r="F1268" s="76">
        <f ca="1">SUMIF('Production '!$C$4:$AI$4407,'Tracking Sheet'!B1268,'Production '!$U$4:$U$4407)</f>
        <v>-10620.435600016917</v>
      </c>
      <c r="G1268" s="76" t="e">
        <f ca="1">SUMIF('Production '!$C$4:$AI$4407,'Tracking Sheet'!B1268,'Production '!$W$4:$W$4407)</f>
        <v>#DIV/0!</v>
      </c>
      <c r="H1268" s="76">
        <f ca="1">SUMIF('Production '!$C$4:$AI$4407,'Tracking Sheet'!B1268,'Production '!$F$4:$F$4407)</f>
        <v>3230621.3283604058</v>
      </c>
      <c r="I1268" s="76">
        <f ca="1">SUMIF('Production '!$C$4:$AI$4407,'Tracking Sheet'!B1268,'Production '!$V$4:$V$4407)</f>
        <v>-489.86487791182844</v>
      </c>
      <c r="J1268" s="76">
        <f ca="1">SUMIF('Production '!$C$4:$AI$4407,'Tracking Sheet'!B1268,'Production '!$AG$4:$AG$4407)</f>
        <v>0</v>
      </c>
    </row>
    <row r="1269" spans="2:10" x14ac:dyDescent="0.3">
      <c r="B1269" s="277">
        <f>'Production '!C1272</f>
        <v>48190</v>
      </c>
      <c r="C1269" s="76">
        <f ca="1">SUMIF('Production '!$C$4:$AI$4407,'Tracking Sheet'!B1269,'Production '!$M$4:$M$4407)</f>
        <v>1301</v>
      </c>
      <c r="D1269" s="76">
        <f ca="1">SUMIF('Production '!$C$4:$AI$4407,'Tracking Sheet'!B1269,'Production '!$Q$4:$Q$4407)</f>
        <v>1301</v>
      </c>
      <c r="E1269" s="76">
        <f ca="1">SUMIF('Production '!$C$4:$AI$4407,'Tracking Sheet'!B1269,'Production '!$S$4:$S$4407)</f>
        <v>1301</v>
      </c>
      <c r="F1269" s="76">
        <f ca="1">SUMIF('Production '!$C$4:$AI$4407,'Tracking Sheet'!B1269,'Production '!$U$4:$U$4407)</f>
        <v>11</v>
      </c>
      <c r="G1269" s="76">
        <f ca="1">SUMIF('Production '!$C$4:$AI$4407,'Tracking Sheet'!B1269,'Production '!$W$4:$W$4407)</f>
        <v>1290</v>
      </c>
      <c r="H1269" s="76">
        <f ca="1">SUMIF('Production '!$C$4:$AI$4407,'Tracking Sheet'!B1269,'Production '!$F$4:$F$4407)</f>
        <v>1259</v>
      </c>
      <c r="I1269" s="76">
        <f ca="1">SUMIF('Production '!$C$4:$AI$4407,'Tracking Sheet'!B1269,'Production '!$V$4:$V$4407)</f>
        <v>0</v>
      </c>
      <c r="J1269" s="76">
        <f ca="1">SUMIF('Production '!$C$4:$AI$4407,'Tracking Sheet'!B1269,'Production '!$AG$4:$AG$4407)</f>
        <v>0</v>
      </c>
    </row>
    <row r="1270" spans="2:10" x14ac:dyDescent="0.3">
      <c r="B1270" s="277">
        <f>'Production '!C1273</f>
        <v>48190</v>
      </c>
      <c r="C1270" s="76">
        <f ca="1">SUMIF('Production '!$C$4:$AI$4407,'Tracking Sheet'!B1270,'Production '!$M$4:$M$4407)</f>
        <v>1301</v>
      </c>
      <c r="D1270" s="76">
        <f ca="1">SUMIF('Production '!$C$4:$AI$4407,'Tracking Sheet'!B1270,'Production '!$Q$4:$Q$4407)</f>
        <v>1301</v>
      </c>
      <c r="E1270" s="76">
        <f ca="1">SUMIF('Production '!$C$4:$AI$4407,'Tracking Sheet'!B1270,'Production '!$S$4:$S$4407)</f>
        <v>1301</v>
      </c>
      <c r="F1270" s="76">
        <f ca="1">SUMIF('Production '!$C$4:$AI$4407,'Tracking Sheet'!B1270,'Production '!$U$4:$U$4407)</f>
        <v>11</v>
      </c>
      <c r="G1270" s="76">
        <f ca="1">SUMIF('Production '!$C$4:$AI$4407,'Tracking Sheet'!B1270,'Production '!$W$4:$W$4407)</f>
        <v>1290</v>
      </c>
      <c r="H1270" s="76">
        <f ca="1">SUMIF('Production '!$C$4:$AI$4407,'Tracking Sheet'!B1270,'Production '!$F$4:$F$4407)</f>
        <v>1259</v>
      </c>
      <c r="I1270" s="76">
        <f ca="1">SUMIF('Production '!$C$4:$AI$4407,'Tracking Sheet'!B1270,'Production '!$V$4:$V$4407)</f>
        <v>0</v>
      </c>
      <c r="J1270" s="76">
        <f ca="1">SUMIF('Production '!$C$4:$AI$4407,'Tracking Sheet'!B1270,'Production '!$AG$4:$AG$4407)</f>
        <v>0</v>
      </c>
    </row>
    <row r="1271" spans="2:10" x14ac:dyDescent="0.3">
      <c r="B1271" s="277">
        <f>'Production '!C1274</f>
        <v>0</v>
      </c>
      <c r="C1271" s="76" t="e">
        <f ca="1">SUMIF('Production '!$C$4:$AI$4407,'Tracking Sheet'!B1271,'Production '!$M$4:$M$4407)</f>
        <v>#DIV/0!</v>
      </c>
      <c r="D1271" s="76" t="e">
        <f ca="1">SUMIF('Production '!$C$4:$AI$4407,'Tracking Sheet'!B1271,'Production '!$Q$4:$Q$4407)</f>
        <v>#DIV/0!</v>
      </c>
      <c r="E1271" s="76">
        <f ca="1">SUMIF('Production '!$C$4:$AI$4407,'Tracking Sheet'!B1271,'Production '!$S$4:$S$4407)</f>
        <v>-1268218.9828305368</v>
      </c>
      <c r="F1271" s="76">
        <f ca="1">SUMIF('Production '!$C$4:$AI$4407,'Tracking Sheet'!B1271,'Production '!$U$4:$U$4407)</f>
        <v>-10620.435600016917</v>
      </c>
      <c r="G1271" s="76" t="e">
        <f ca="1">SUMIF('Production '!$C$4:$AI$4407,'Tracking Sheet'!B1271,'Production '!$W$4:$W$4407)</f>
        <v>#DIV/0!</v>
      </c>
      <c r="H1271" s="76">
        <f ca="1">SUMIF('Production '!$C$4:$AI$4407,'Tracking Sheet'!B1271,'Production '!$F$4:$F$4407)</f>
        <v>3230621.3283604058</v>
      </c>
      <c r="I1271" s="76">
        <f ca="1">SUMIF('Production '!$C$4:$AI$4407,'Tracking Sheet'!B1271,'Production '!$V$4:$V$4407)</f>
        <v>-489.86487791182844</v>
      </c>
      <c r="J1271" s="76">
        <f ca="1">SUMIF('Production '!$C$4:$AI$4407,'Tracking Sheet'!B1271,'Production '!$AG$4:$AG$4407)</f>
        <v>0</v>
      </c>
    </row>
    <row r="1272" spans="2:10" x14ac:dyDescent="0.3">
      <c r="B1272" s="277" t="str">
        <f>'Production '!C1275</f>
        <v>42483 7th</v>
      </c>
      <c r="C1272" s="76">
        <f ca="1">SUMIF('Production '!$C$4:$AI$4407,'Tracking Sheet'!B1272,'Production '!$M$4:$M$4407)</f>
        <v>7571</v>
      </c>
      <c r="D1272" s="76">
        <f ca="1">SUMIF('Production '!$C$4:$AI$4407,'Tracking Sheet'!B1272,'Production '!$Q$4:$Q$4407)</f>
        <v>7509</v>
      </c>
      <c r="E1272" s="76">
        <f ca="1">SUMIF('Production '!$C$4:$AI$4407,'Tracking Sheet'!B1272,'Production '!$S$4:$S$4407)</f>
        <v>4011</v>
      </c>
      <c r="F1272" s="76">
        <f ca="1">SUMIF('Production '!$C$4:$AI$4407,'Tracking Sheet'!B1272,'Production '!$U$4:$U$4407)</f>
        <v>4011</v>
      </c>
      <c r="G1272" s="76">
        <f ca="1">SUMIF('Production '!$C$4:$AI$4407,'Tracking Sheet'!B1272,'Production '!$W$4:$W$4407)</f>
        <v>0</v>
      </c>
      <c r="H1272" s="76">
        <f ca="1">SUMIF('Production '!$C$4:$AI$4407,'Tracking Sheet'!B1272,'Production '!$F$4:$F$4407)</f>
        <v>7548</v>
      </c>
      <c r="I1272" s="76">
        <f ca="1">SUMIF('Production '!$C$4:$AI$4407,'Tracking Sheet'!B1272,'Production '!$V$4:$V$4407)</f>
        <v>0</v>
      </c>
      <c r="J1272" s="76">
        <f ca="1">SUMIF('Production '!$C$4:$AI$4407,'Tracking Sheet'!B1272,'Production '!$AG$4:$AG$4407)</f>
        <v>-200</v>
      </c>
    </row>
    <row r="1273" spans="2:10" x14ac:dyDescent="0.3">
      <c r="B1273" s="277" t="str">
        <f>'Production '!C1276</f>
        <v>42483 7th</v>
      </c>
      <c r="C1273" s="76">
        <f ca="1">SUMIF('Production '!$C$4:$AI$4407,'Tracking Sheet'!B1273,'Production '!$M$4:$M$4407)</f>
        <v>7571</v>
      </c>
      <c r="D1273" s="76">
        <f ca="1">SUMIF('Production '!$C$4:$AI$4407,'Tracking Sheet'!B1273,'Production '!$Q$4:$Q$4407)</f>
        <v>7509</v>
      </c>
      <c r="E1273" s="76">
        <f ca="1">SUMIF('Production '!$C$4:$AI$4407,'Tracking Sheet'!B1273,'Production '!$S$4:$S$4407)</f>
        <v>4011</v>
      </c>
      <c r="F1273" s="76">
        <f ca="1">SUMIF('Production '!$C$4:$AI$4407,'Tracking Sheet'!B1273,'Production '!$U$4:$U$4407)</f>
        <v>4011</v>
      </c>
      <c r="G1273" s="76">
        <f ca="1">SUMIF('Production '!$C$4:$AI$4407,'Tracking Sheet'!B1273,'Production '!$W$4:$W$4407)</f>
        <v>0</v>
      </c>
      <c r="H1273" s="76">
        <f ca="1">SUMIF('Production '!$C$4:$AI$4407,'Tracking Sheet'!B1273,'Production '!$F$4:$F$4407)</f>
        <v>7548</v>
      </c>
      <c r="I1273" s="76">
        <f ca="1">SUMIF('Production '!$C$4:$AI$4407,'Tracking Sheet'!B1273,'Production '!$V$4:$V$4407)</f>
        <v>0</v>
      </c>
      <c r="J1273" s="76">
        <f ca="1">SUMIF('Production '!$C$4:$AI$4407,'Tracking Sheet'!B1273,'Production '!$AG$4:$AG$4407)</f>
        <v>-200</v>
      </c>
    </row>
    <row r="1274" spans="2:10" x14ac:dyDescent="0.3">
      <c r="B1274" s="277" t="str">
        <f>'Production '!C1277</f>
        <v>42483 7th</v>
      </c>
      <c r="C1274" s="76">
        <f ca="1">SUMIF('Production '!$C$4:$AI$4407,'Tracking Sheet'!B1274,'Production '!$M$4:$M$4407)</f>
        <v>7571</v>
      </c>
      <c r="D1274" s="76">
        <f ca="1">SUMIF('Production '!$C$4:$AI$4407,'Tracking Sheet'!B1274,'Production '!$Q$4:$Q$4407)</f>
        <v>7509</v>
      </c>
      <c r="E1274" s="76">
        <f ca="1">SUMIF('Production '!$C$4:$AI$4407,'Tracking Sheet'!B1274,'Production '!$S$4:$S$4407)</f>
        <v>4011</v>
      </c>
      <c r="F1274" s="76">
        <f ca="1">SUMIF('Production '!$C$4:$AI$4407,'Tracking Sheet'!B1274,'Production '!$U$4:$U$4407)</f>
        <v>4011</v>
      </c>
      <c r="G1274" s="76">
        <f ca="1">SUMIF('Production '!$C$4:$AI$4407,'Tracking Sheet'!B1274,'Production '!$W$4:$W$4407)</f>
        <v>0</v>
      </c>
      <c r="H1274" s="76">
        <f ca="1">SUMIF('Production '!$C$4:$AI$4407,'Tracking Sheet'!B1274,'Production '!$F$4:$F$4407)</f>
        <v>7548</v>
      </c>
      <c r="I1274" s="76">
        <f ca="1">SUMIF('Production '!$C$4:$AI$4407,'Tracking Sheet'!B1274,'Production '!$V$4:$V$4407)</f>
        <v>0</v>
      </c>
      <c r="J1274" s="76">
        <f ca="1">SUMIF('Production '!$C$4:$AI$4407,'Tracking Sheet'!B1274,'Production '!$AG$4:$AG$4407)</f>
        <v>-200</v>
      </c>
    </row>
    <row r="1275" spans="2:10" x14ac:dyDescent="0.3">
      <c r="B1275" s="277" t="str">
        <f>'Production '!C1278</f>
        <v>42483 7th</v>
      </c>
      <c r="C1275" s="76">
        <f ca="1">SUMIF('Production '!$C$4:$AI$4407,'Tracking Sheet'!B1275,'Production '!$M$4:$M$4407)</f>
        <v>7571</v>
      </c>
      <c r="D1275" s="76">
        <f ca="1">SUMIF('Production '!$C$4:$AI$4407,'Tracking Sheet'!B1275,'Production '!$Q$4:$Q$4407)</f>
        <v>7509</v>
      </c>
      <c r="E1275" s="76">
        <f ca="1">SUMIF('Production '!$C$4:$AI$4407,'Tracking Sheet'!B1275,'Production '!$S$4:$S$4407)</f>
        <v>4011</v>
      </c>
      <c r="F1275" s="76">
        <f ca="1">SUMIF('Production '!$C$4:$AI$4407,'Tracking Sheet'!B1275,'Production '!$U$4:$U$4407)</f>
        <v>4011</v>
      </c>
      <c r="G1275" s="76">
        <f ca="1">SUMIF('Production '!$C$4:$AI$4407,'Tracking Sheet'!B1275,'Production '!$W$4:$W$4407)</f>
        <v>0</v>
      </c>
      <c r="H1275" s="76">
        <f ca="1">SUMIF('Production '!$C$4:$AI$4407,'Tracking Sheet'!B1275,'Production '!$F$4:$F$4407)</f>
        <v>7548</v>
      </c>
      <c r="I1275" s="76">
        <f ca="1">SUMIF('Production '!$C$4:$AI$4407,'Tracking Sheet'!B1275,'Production '!$V$4:$V$4407)</f>
        <v>0</v>
      </c>
      <c r="J1275" s="76">
        <f ca="1">SUMIF('Production '!$C$4:$AI$4407,'Tracking Sheet'!B1275,'Production '!$AG$4:$AG$4407)</f>
        <v>-200</v>
      </c>
    </row>
    <row r="1276" spans="2:10" x14ac:dyDescent="0.3">
      <c r="B1276" s="277" t="str">
        <f>'Production '!C1279</f>
        <v>42483 7th</v>
      </c>
      <c r="C1276" s="76">
        <f ca="1">SUMIF('Production '!$C$4:$AI$4407,'Tracking Sheet'!B1276,'Production '!$M$4:$M$4407)</f>
        <v>7571</v>
      </c>
      <c r="D1276" s="76">
        <f ca="1">SUMIF('Production '!$C$4:$AI$4407,'Tracking Sheet'!B1276,'Production '!$Q$4:$Q$4407)</f>
        <v>7509</v>
      </c>
      <c r="E1276" s="76">
        <f ca="1">SUMIF('Production '!$C$4:$AI$4407,'Tracking Sheet'!B1276,'Production '!$S$4:$S$4407)</f>
        <v>4011</v>
      </c>
      <c r="F1276" s="76">
        <f ca="1">SUMIF('Production '!$C$4:$AI$4407,'Tracking Sheet'!B1276,'Production '!$U$4:$U$4407)</f>
        <v>4011</v>
      </c>
      <c r="G1276" s="76">
        <f ca="1">SUMIF('Production '!$C$4:$AI$4407,'Tracking Sheet'!B1276,'Production '!$W$4:$W$4407)</f>
        <v>0</v>
      </c>
      <c r="H1276" s="76">
        <f ca="1">SUMIF('Production '!$C$4:$AI$4407,'Tracking Sheet'!B1276,'Production '!$F$4:$F$4407)</f>
        <v>7548</v>
      </c>
      <c r="I1276" s="76">
        <f ca="1">SUMIF('Production '!$C$4:$AI$4407,'Tracking Sheet'!B1276,'Production '!$V$4:$V$4407)</f>
        <v>0</v>
      </c>
      <c r="J1276" s="76">
        <f ca="1">SUMIF('Production '!$C$4:$AI$4407,'Tracking Sheet'!B1276,'Production '!$AG$4:$AG$4407)</f>
        <v>-200</v>
      </c>
    </row>
    <row r="1277" spans="2:10" x14ac:dyDescent="0.3">
      <c r="B1277" s="277" t="str">
        <f>'Production '!C1280</f>
        <v>42483 7th</v>
      </c>
      <c r="C1277" s="76">
        <f ca="1">SUMIF('Production '!$C$4:$AI$4407,'Tracking Sheet'!B1277,'Production '!$M$4:$M$4407)</f>
        <v>7571</v>
      </c>
      <c r="D1277" s="76">
        <f ca="1">SUMIF('Production '!$C$4:$AI$4407,'Tracking Sheet'!B1277,'Production '!$Q$4:$Q$4407)</f>
        <v>7509</v>
      </c>
      <c r="E1277" s="76">
        <f ca="1">SUMIF('Production '!$C$4:$AI$4407,'Tracking Sheet'!B1277,'Production '!$S$4:$S$4407)</f>
        <v>4011</v>
      </c>
      <c r="F1277" s="76">
        <f ca="1">SUMIF('Production '!$C$4:$AI$4407,'Tracking Sheet'!B1277,'Production '!$U$4:$U$4407)</f>
        <v>4011</v>
      </c>
      <c r="G1277" s="76">
        <f ca="1">SUMIF('Production '!$C$4:$AI$4407,'Tracking Sheet'!B1277,'Production '!$W$4:$W$4407)</f>
        <v>0</v>
      </c>
      <c r="H1277" s="76">
        <f ca="1">SUMIF('Production '!$C$4:$AI$4407,'Tracking Sheet'!B1277,'Production '!$F$4:$F$4407)</f>
        <v>7548</v>
      </c>
      <c r="I1277" s="76">
        <f ca="1">SUMIF('Production '!$C$4:$AI$4407,'Tracking Sheet'!B1277,'Production '!$V$4:$V$4407)</f>
        <v>0</v>
      </c>
      <c r="J1277" s="76">
        <f ca="1">SUMIF('Production '!$C$4:$AI$4407,'Tracking Sheet'!B1277,'Production '!$AG$4:$AG$4407)</f>
        <v>-200</v>
      </c>
    </row>
    <row r="1278" spans="2:10" x14ac:dyDescent="0.3">
      <c r="B1278" s="277" t="str">
        <f>'Production '!C1281</f>
        <v>42483 7th</v>
      </c>
      <c r="C1278" s="76">
        <f ca="1">SUMIF('Production '!$C$4:$AI$4407,'Tracking Sheet'!B1278,'Production '!$M$4:$M$4407)</f>
        <v>7571</v>
      </c>
      <c r="D1278" s="76">
        <f ca="1">SUMIF('Production '!$C$4:$AI$4407,'Tracking Sheet'!B1278,'Production '!$Q$4:$Q$4407)</f>
        <v>7509</v>
      </c>
      <c r="E1278" s="76">
        <f ca="1">SUMIF('Production '!$C$4:$AI$4407,'Tracking Sheet'!B1278,'Production '!$S$4:$S$4407)</f>
        <v>4011</v>
      </c>
      <c r="F1278" s="76">
        <f ca="1">SUMIF('Production '!$C$4:$AI$4407,'Tracking Sheet'!B1278,'Production '!$U$4:$U$4407)</f>
        <v>4011</v>
      </c>
      <c r="G1278" s="76">
        <f ca="1">SUMIF('Production '!$C$4:$AI$4407,'Tracking Sheet'!B1278,'Production '!$W$4:$W$4407)</f>
        <v>0</v>
      </c>
      <c r="H1278" s="76">
        <f ca="1">SUMIF('Production '!$C$4:$AI$4407,'Tracking Sheet'!B1278,'Production '!$F$4:$F$4407)</f>
        <v>7548</v>
      </c>
      <c r="I1278" s="76">
        <f ca="1">SUMIF('Production '!$C$4:$AI$4407,'Tracking Sheet'!B1278,'Production '!$V$4:$V$4407)</f>
        <v>0</v>
      </c>
      <c r="J1278" s="76">
        <f ca="1">SUMIF('Production '!$C$4:$AI$4407,'Tracking Sheet'!B1278,'Production '!$AG$4:$AG$4407)</f>
        <v>-200</v>
      </c>
    </row>
    <row r="1279" spans="2:10" x14ac:dyDescent="0.3">
      <c r="B1279" s="277" t="str">
        <f>'Production '!C1282</f>
        <v>42483 7th</v>
      </c>
      <c r="C1279" s="76">
        <f ca="1">SUMIF('Production '!$C$4:$AI$4407,'Tracking Sheet'!B1279,'Production '!$M$4:$M$4407)</f>
        <v>7571</v>
      </c>
      <c r="D1279" s="76">
        <f ca="1">SUMIF('Production '!$C$4:$AI$4407,'Tracking Sheet'!B1279,'Production '!$Q$4:$Q$4407)</f>
        <v>7509</v>
      </c>
      <c r="E1279" s="76">
        <f ca="1">SUMIF('Production '!$C$4:$AI$4407,'Tracking Sheet'!B1279,'Production '!$S$4:$S$4407)</f>
        <v>4011</v>
      </c>
      <c r="F1279" s="76">
        <f ca="1">SUMIF('Production '!$C$4:$AI$4407,'Tracking Sheet'!B1279,'Production '!$U$4:$U$4407)</f>
        <v>4011</v>
      </c>
      <c r="G1279" s="76">
        <f ca="1">SUMIF('Production '!$C$4:$AI$4407,'Tracking Sheet'!B1279,'Production '!$W$4:$W$4407)</f>
        <v>0</v>
      </c>
      <c r="H1279" s="76">
        <f ca="1">SUMIF('Production '!$C$4:$AI$4407,'Tracking Sheet'!B1279,'Production '!$F$4:$F$4407)</f>
        <v>7548</v>
      </c>
      <c r="I1279" s="76">
        <f ca="1">SUMIF('Production '!$C$4:$AI$4407,'Tracking Sheet'!B1279,'Production '!$V$4:$V$4407)</f>
        <v>0</v>
      </c>
      <c r="J1279" s="76">
        <f ca="1">SUMIF('Production '!$C$4:$AI$4407,'Tracking Sheet'!B1279,'Production '!$AG$4:$AG$4407)</f>
        <v>-200</v>
      </c>
    </row>
    <row r="1280" spans="2:10" x14ac:dyDescent="0.3">
      <c r="B1280" s="277">
        <f>'Production '!C1283</f>
        <v>0</v>
      </c>
      <c r="C1280" s="76" t="e">
        <f ca="1">SUMIF('Production '!$C$4:$AI$4407,'Tracking Sheet'!B1280,'Production '!$M$4:$M$4407)</f>
        <v>#DIV/0!</v>
      </c>
      <c r="D1280" s="76" t="e">
        <f ca="1">SUMIF('Production '!$C$4:$AI$4407,'Tracking Sheet'!B1280,'Production '!$Q$4:$Q$4407)</f>
        <v>#DIV/0!</v>
      </c>
      <c r="E1280" s="76">
        <f ca="1">SUMIF('Production '!$C$4:$AI$4407,'Tracking Sheet'!B1280,'Production '!$S$4:$S$4407)</f>
        <v>-1268218.9828305368</v>
      </c>
      <c r="F1280" s="76">
        <f ca="1">SUMIF('Production '!$C$4:$AI$4407,'Tracking Sheet'!B1280,'Production '!$U$4:$U$4407)</f>
        <v>-10620.435600016917</v>
      </c>
      <c r="G1280" s="76" t="e">
        <f ca="1">SUMIF('Production '!$C$4:$AI$4407,'Tracking Sheet'!B1280,'Production '!$W$4:$W$4407)</f>
        <v>#DIV/0!</v>
      </c>
      <c r="H1280" s="76">
        <f ca="1">SUMIF('Production '!$C$4:$AI$4407,'Tracking Sheet'!B1280,'Production '!$F$4:$F$4407)</f>
        <v>3230621.3283604058</v>
      </c>
      <c r="I1280" s="76">
        <f ca="1">SUMIF('Production '!$C$4:$AI$4407,'Tracking Sheet'!B1280,'Production '!$V$4:$V$4407)</f>
        <v>-489.86487791182844</v>
      </c>
      <c r="J1280" s="76">
        <f ca="1">SUMIF('Production '!$C$4:$AI$4407,'Tracking Sheet'!B1280,'Production '!$AG$4:$AG$4407)</f>
        <v>0</v>
      </c>
    </row>
    <row r="1281" spans="2:10" x14ac:dyDescent="0.3">
      <c r="B1281" s="277" t="str">
        <f>'Production '!C1284</f>
        <v>45964 8th</v>
      </c>
      <c r="C1281" s="76">
        <f ca="1">SUMIF('Production '!$C$4:$AI$4407,'Tracking Sheet'!B1281,'Production '!$M$4:$M$4407)</f>
        <v>2251</v>
      </c>
      <c r="D1281" s="76">
        <f ca="1">SUMIF('Production '!$C$4:$AI$4407,'Tracking Sheet'!B1281,'Production '!$Q$4:$Q$4407)</f>
        <v>0</v>
      </c>
      <c r="E1281" s="76">
        <f ca="1">SUMIF('Production '!$C$4:$AI$4407,'Tracking Sheet'!B1281,'Production '!$S$4:$S$4407)</f>
        <v>0</v>
      </c>
      <c r="F1281" s="76">
        <f ca="1">SUMIF('Production '!$C$4:$AI$4407,'Tracking Sheet'!B1281,'Production '!$U$4:$U$4407)</f>
        <v>0</v>
      </c>
      <c r="G1281" s="76">
        <f ca="1">SUMIF('Production '!$C$4:$AI$4407,'Tracking Sheet'!B1281,'Production '!$W$4:$W$4407)</f>
        <v>2251</v>
      </c>
      <c r="H1281" s="76">
        <f ca="1">SUMIF('Production '!$C$4:$AI$4407,'Tracking Sheet'!B1281,'Production '!$F$4:$F$4407)</f>
        <v>2213</v>
      </c>
      <c r="I1281" s="76">
        <f ca="1">SUMIF('Production '!$C$4:$AI$4407,'Tracking Sheet'!B1281,'Production '!$V$4:$V$4407)</f>
        <v>0</v>
      </c>
      <c r="J1281" s="76">
        <f ca="1">SUMIF('Production '!$C$4:$AI$4407,'Tracking Sheet'!B1281,'Production '!$AG$4:$AG$4407)</f>
        <v>0</v>
      </c>
    </row>
    <row r="1282" spans="2:10" x14ac:dyDescent="0.3">
      <c r="B1282" s="277">
        <f>'Production '!C1285</f>
        <v>0</v>
      </c>
      <c r="C1282" s="76" t="e">
        <f ca="1">SUMIF('Production '!$C$4:$AI$4407,'Tracking Sheet'!B1282,'Production '!$M$4:$M$4407)</f>
        <v>#DIV/0!</v>
      </c>
      <c r="D1282" s="76" t="e">
        <f ca="1">SUMIF('Production '!$C$4:$AI$4407,'Tracking Sheet'!B1282,'Production '!$Q$4:$Q$4407)</f>
        <v>#DIV/0!</v>
      </c>
      <c r="E1282" s="76">
        <f ca="1">SUMIF('Production '!$C$4:$AI$4407,'Tracking Sheet'!B1282,'Production '!$S$4:$S$4407)</f>
        <v>-1268218.9828305368</v>
      </c>
      <c r="F1282" s="76">
        <f ca="1">SUMIF('Production '!$C$4:$AI$4407,'Tracking Sheet'!B1282,'Production '!$U$4:$U$4407)</f>
        <v>-10620.435600016917</v>
      </c>
      <c r="G1282" s="76" t="e">
        <f ca="1">SUMIF('Production '!$C$4:$AI$4407,'Tracking Sheet'!B1282,'Production '!$W$4:$W$4407)</f>
        <v>#DIV/0!</v>
      </c>
      <c r="H1282" s="76">
        <f ca="1">SUMIF('Production '!$C$4:$AI$4407,'Tracking Sheet'!B1282,'Production '!$F$4:$F$4407)</f>
        <v>3230621.3283604058</v>
      </c>
      <c r="I1282" s="76">
        <f ca="1">SUMIF('Production '!$C$4:$AI$4407,'Tracking Sheet'!B1282,'Production '!$V$4:$V$4407)</f>
        <v>-489.86487791182844</v>
      </c>
      <c r="J1282" s="76">
        <f ca="1">SUMIF('Production '!$C$4:$AI$4407,'Tracking Sheet'!B1282,'Production '!$AG$4:$AG$4407)</f>
        <v>0</v>
      </c>
    </row>
    <row r="1283" spans="2:10" x14ac:dyDescent="0.3">
      <c r="B1283" s="277">
        <f>'Production '!C1286</f>
        <v>48192</v>
      </c>
      <c r="C1283" s="76">
        <f ca="1">SUMIF('Production '!$C$4:$AI$4407,'Tracking Sheet'!B1283,'Production '!$M$4:$M$4407)</f>
        <v>0</v>
      </c>
      <c r="D1283" s="76">
        <f ca="1">SUMIF('Production '!$C$4:$AI$4407,'Tracking Sheet'!B1283,'Production '!$Q$4:$Q$4407)</f>
        <v>0</v>
      </c>
      <c r="E1283" s="76">
        <f ca="1">SUMIF('Production '!$C$4:$AI$4407,'Tracking Sheet'!B1283,'Production '!$S$4:$S$4407)</f>
        <v>0</v>
      </c>
      <c r="F1283" s="76">
        <f ca="1">SUMIF('Production '!$C$4:$AI$4407,'Tracking Sheet'!B1283,'Production '!$U$4:$U$4407)</f>
        <v>0</v>
      </c>
      <c r="G1283" s="76">
        <f ca="1">SUMIF('Production '!$C$4:$AI$4407,'Tracking Sheet'!B1283,'Production '!$W$4:$W$4407)</f>
        <v>0</v>
      </c>
      <c r="H1283" s="76">
        <f ca="1">SUMIF('Production '!$C$4:$AI$4407,'Tracking Sheet'!B1283,'Production '!$F$4:$F$4407)</f>
        <v>846</v>
      </c>
      <c r="I1283" s="76">
        <f ca="1">SUMIF('Production '!$C$4:$AI$4407,'Tracking Sheet'!B1283,'Production '!$V$4:$V$4407)</f>
        <v>0</v>
      </c>
      <c r="J1283" s="76">
        <f ca="1">SUMIF('Production '!$C$4:$AI$4407,'Tracking Sheet'!B1283,'Production '!$AG$4:$AG$4407)</f>
        <v>-846</v>
      </c>
    </row>
    <row r="1284" spans="2:10" x14ac:dyDescent="0.3">
      <c r="B1284" s="277">
        <f>'Production '!C1287</f>
        <v>48192</v>
      </c>
      <c r="C1284" s="76">
        <f ca="1">SUMIF('Production '!$C$4:$AI$4407,'Tracking Sheet'!B1284,'Production '!$M$4:$M$4407)</f>
        <v>0</v>
      </c>
      <c r="D1284" s="76">
        <f ca="1">SUMIF('Production '!$C$4:$AI$4407,'Tracking Sheet'!B1284,'Production '!$Q$4:$Q$4407)</f>
        <v>0</v>
      </c>
      <c r="E1284" s="76">
        <f ca="1">SUMIF('Production '!$C$4:$AI$4407,'Tracking Sheet'!B1284,'Production '!$S$4:$S$4407)</f>
        <v>0</v>
      </c>
      <c r="F1284" s="76">
        <f ca="1">SUMIF('Production '!$C$4:$AI$4407,'Tracking Sheet'!B1284,'Production '!$U$4:$U$4407)</f>
        <v>0</v>
      </c>
      <c r="G1284" s="76">
        <f ca="1">SUMIF('Production '!$C$4:$AI$4407,'Tracking Sheet'!B1284,'Production '!$W$4:$W$4407)</f>
        <v>0</v>
      </c>
      <c r="H1284" s="76">
        <f ca="1">SUMIF('Production '!$C$4:$AI$4407,'Tracking Sheet'!B1284,'Production '!$F$4:$F$4407)</f>
        <v>846</v>
      </c>
      <c r="I1284" s="76">
        <f ca="1">SUMIF('Production '!$C$4:$AI$4407,'Tracking Sheet'!B1284,'Production '!$V$4:$V$4407)</f>
        <v>0</v>
      </c>
      <c r="J1284" s="76">
        <f ca="1">SUMIF('Production '!$C$4:$AI$4407,'Tracking Sheet'!B1284,'Production '!$AG$4:$AG$4407)</f>
        <v>-846</v>
      </c>
    </row>
    <row r="1285" spans="2:10" x14ac:dyDescent="0.3">
      <c r="B1285" s="277">
        <f>'Production '!C1288</f>
        <v>48192</v>
      </c>
      <c r="C1285" s="76">
        <f ca="1">SUMIF('Production '!$C$4:$AI$4407,'Tracking Sheet'!B1285,'Production '!$M$4:$M$4407)</f>
        <v>0</v>
      </c>
      <c r="D1285" s="76">
        <f ca="1">SUMIF('Production '!$C$4:$AI$4407,'Tracking Sheet'!B1285,'Production '!$Q$4:$Q$4407)</f>
        <v>0</v>
      </c>
      <c r="E1285" s="76">
        <f ca="1">SUMIF('Production '!$C$4:$AI$4407,'Tracking Sheet'!B1285,'Production '!$S$4:$S$4407)</f>
        <v>0</v>
      </c>
      <c r="F1285" s="76">
        <f ca="1">SUMIF('Production '!$C$4:$AI$4407,'Tracking Sheet'!B1285,'Production '!$U$4:$U$4407)</f>
        <v>0</v>
      </c>
      <c r="G1285" s="76">
        <f ca="1">SUMIF('Production '!$C$4:$AI$4407,'Tracking Sheet'!B1285,'Production '!$W$4:$W$4407)</f>
        <v>0</v>
      </c>
      <c r="H1285" s="76">
        <f ca="1">SUMIF('Production '!$C$4:$AI$4407,'Tracking Sheet'!B1285,'Production '!$F$4:$F$4407)</f>
        <v>846</v>
      </c>
      <c r="I1285" s="76">
        <f ca="1">SUMIF('Production '!$C$4:$AI$4407,'Tracking Sheet'!B1285,'Production '!$V$4:$V$4407)</f>
        <v>0</v>
      </c>
      <c r="J1285" s="76">
        <f ca="1">SUMIF('Production '!$C$4:$AI$4407,'Tracking Sheet'!B1285,'Production '!$AG$4:$AG$4407)</f>
        <v>-846</v>
      </c>
    </row>
    <row r="1286" spans="2:10" x14ac:dyDescent="0.3">
      <c r="B1286" s="277">
        <f>'Production '!C1289</f>
        <v>0</v>
      </c>
      <c r="C1286" s="76" t="e">
        <f ca="1">SUMIF('Production '!$C$4:$AI$4407,'Tracking Sheet'!B1286,'Production '!$M$4:$M$4407)</f>
        <v>#DIV/0!</v>
      </c>
      <c r="D1286" s="76" t="e">
        <f ca="1">SUMIF('Production '!$C$4:$AI$4407,'Tracking Sheet'!B1286,'Production '!$Q$4:$Q$4407)</f>
        <v>#DIV/0!</v>
      </c>
      <c r="E1286" s="76">
        <f ca="1">SUMIF('Production '!$C$4:$AI$4407,'Tracking Sheet'!B1286,'Production '!$S$4:$S$4407)</f>
        <v>-1268218.9828305368</v>
      </c>
      <c r="F1286" s="76">
        <f ca="1">SUMIF('Production '!$C$4:$AI$4407,'Tracking Sheet'!B1286,'Production '!$U$4:$U$4407)</f>
        <v>-10620.435600016917</v>
      </c>
      <c r="G1286" s="76" t="e">
        <f ca="1">SUMIF('Production '!$C$4:$AI$4407,'Tracking Sheet'!B1286,'Production '!$W$4:$W$4407)</f>
        <v>#DIV/0!</v>
      </c>
      <c r="H1286" s="76">
        <f ca="1">SUMIF('Production '!$C$4:$AI$4407,'Tracking Sheet'!B1286,'Production '!$F$4:$F$4407)</f>
        <v>3230621.3283604058</v>
      </c>
      <c r="I1286" s="76">
        <f ca="1">SUMIF('Production '!$C$4:$AI$4407,'Tracking Sheet'!B1286,'Production '!$V$4:$V$4407)</f>
        <v>-489.86487791182844</v>
      </c>
      <c r="J1286" s="76">
        <f ca="1">SUMIF('Production '!$C$4:$AI$4407,'Tracking Sheet'!B1286,'Production '!$AG$4:$AG$4407)</f>
        <v>0</v>
      </c>
    </row>
    <row r="1287" spans="2:10" x14ac:dyDescent="0.3">
      <c r="B1287" s="277" t="str">
        <f>'Production '!C1290</f>
        <v>45964 9th</v>
      </c>
      <c r="C1287" s="76">
        <f ca="1">SUMIF('Production '!$C$4:$AI$4407,'Tracking Sheet'!B1287,'Production '!$M$4:$M$4407)</f>
        <v>4028</v>
      </c>
      <c r="D1287" s="76">
        <f ca="1">SUMIF('Production '!$C$4:$AI$4407,'Tracking Sheet'!B1287,'Production '!$Q$4:$Q$4407)</f>
        <v>0</v>
      </c>
      <c r="E1287" s="76">
        <f ca="1">SUMIF('Production '!$C$4:$AI$4407,'Tracking Sheet'!B1287,'Production '!$S$4:$S$4407)</f>
        <v>0</v>
      </c>
      <c r="F1287" s="76">
        <f ca="1">SUMIF('Production '!$C$4:$AI$4407,'Tracking Sheet'!B1287,'Production '!$U$4:$U$4407)</f>
        <v>18</v>
      </c>
      <c r="G1287" s="76">
        <f ca="1">SUMIF('Production '!$C$4:$AI$4407,'Tracking Sheet'!B1287,'Production '!$W$4:$W$4407)</f>
        <v>4010</v>
      </c>
      <c r="H1287" s="76">
        <f ca="1">SUMIF('Production '!$C$4:$AI$4407,'Tracking Sheet'!B1287,'Production '!$F$4:$F$4407)</f>
        <v>3954</v>
      </c>
      <c r="I1287" s="76">
        <f ca="1">SUMIF('Production '!$C$4:$AI$4407,'Tracking Sheet'!B1287,'Production '!$V$4:$V$4407)</f>
        <v>0</v>
      </c>
      <c r="J1287" s="76">
        <f ca="1">SUMIF('Production '!$C$4:$AI$4407,'Tracking Sheet'!B1287,'Production '!$AG$4:$AG$4407)</f>
        <v>0</v>
      </c>
    </row>
    <row r="1288" spans="2:10" x14ac:dyDescent="0.3">
      <c r="B1288" s="277" t="str">
        <f>'Production '!C1291</f>
        <v>45964 9th</v>
      </c>
      <c r="C1288" s="76">
        <f ca="1">SUMIF('Production '!$C$4:$AI$4407,'Tracking Sheet'!B1288,'Production '!$M$4:$M$4407)</f>
        <v>4028</v>
      </c>
      <c r="D1288" s="76">
        <f ca="1">SUMIF('Production '!$C$4:$AI$4407,'Tracking Sheet'!B1288,'Production '!$Q$4:$Q$4407)</f>
        <v>0</v>
      </c>
      <c r="E1288" s="76">
        <f ca="1">SUMIF('Production '!$C$4:$AI$4407,'Tracking Sheet'!B1288,'Production '!$S$4:$S$4407)</f>
        <v>0</v>
      </c>
      <c r="F1288" s="76">
        <f ca="1">SUMIF('Production '!$C$4:$AI$4407,'Tracking Sheet'!B1288,'Production '!$U$4:$U$4407)</f>
        <v>18</v>
      </c>
      <c r="G1288" s="76">
        <f ca="1">SUMIF('Production '!$C$4:$AI$4407,'Tracking Sheet'!B1288,'Production '!$W$4:$W$4407)</f>
        <v>4010</v>
      </c>
      <c r="H1288" s="76">
        <f ca="1">SUMIF('Production '!$C$4:$AI$4407,'Tracking Sheet'!B1288,'Production '!$F$4:$F$4407)</f>
        <v>3954</v>
      </c>
      <c r="I1288" s="76">
        <f ca="1">SUMIF('Production '!$C$4:$AI$4407,'Tracking Sheet'!B1288,'Production '!$V$4:$V$4407)</f>
        <v>0</v>
      </c>
      <c r="J1288" s="76">
        <f ca="1">SUMIF('Production '!$C$4:$AI$4407,'Tracking Sheet'!B1288,'Production '!$AG$4:$AG$4407)</f>
        <v>0</v>
      </c>
    </row>
    <row r="1289" spans="2:10" x14ac:dyDescent="0.3">
      <c r="B1289" s="277" t="str">
        <f>'Production '!C1292</f>
        <v>45964 9th</v>
      </c>
      <c r="C1289" s="76">
        <f ca="1">SUMIF('Production '!$C$4:$AI$4407,'Tracking Sheet'!B1289,'Production '!$M$4:$M$4407)</f>
        <v>4028</v>
      </c>
      <c r="D1289" s="76">
        <f ca="1">SUMIF('Production '!$C$4:$AI$4407,'Tracking Sheet'!B1289,'Production '!$Q$4:$Q$4407)</f>
        <v>0</v>
      </c>
      <c r="E1289" s="76">
        <f ca="1">SUMIF('Production '!$C$4:$AI$4407,'Tracking Sheet'!B1289,'Production '!$S$4:$S$4407)</f>
        <v>0</v>
      </c>
      <c r="F1289" s="76">
        <f ca="1">SUMIF('Production '!$C$4:$AI$4407,'Tracking Sheet'!B1289,'Production '!$U$4:$U$4407)</f>
        <v>18</v>
      </c>
      <c r="G1289" s="76">
        <f ca="1">SUMIF('Production '!$C$4:$AI$4407,'Tracking Sheet'!B1289,'Production '!$W$4:$W$4407)</f>
        <v>4010</v>
      </c>
      <c r="H1289" s="76">
        <f ca="1">SUMIF('Production '!$C$4:$AI$4407,'Tracking Sheet'!B1289,'Production '!$F$4:$F$4407)</f>
        <v>3954</v>
      </c>
      <c r="I1289" s="76">
        <f ca="1">SUMIF('Production '!$C$4:$AI$4407,'Tracking Sheet'!B1289,'Production '!$V$4:$V$4407)</f>
        <v>0</v>
      </c>
      <c r="J1289" s="76">
        <f ca="1">SUMIF('Production '!$C$4:$AI$4407,'Tracking Sheet'!B1289,'Production '!$AG$4:$AG$4407)</f>
        <v>0</v>
      </c>
    </row>
    <row r="1290" spans="2:10" x14ac:dyDescent="0.3">
      <c r="B1290" s="277">
        <f>'Production '!C1293</f>
        <v>0</v>
      </c>
      <c r="C1290" s="76" t="e">
        <f ca="1">SUMIF('Production '!$C$4:$AI$4407,'Tracking Sheet'!B1290,'Production '!$M$4:$M$4407)</f>
        <v>#DIV/0!</v>
      </c>
      <c r="D1290" s="76" t="e">
        <f ca="1">SUMIF('Production '!$C$4:$AI$4407,'Tracking Sheet'!B1290,'Production '!$Q$4:$Q$4407)</f>
        <v>#DIV/0!</v>
      </c>
      <c r="E1290" s="76">
        <f ca="1">SUMIF('Production '!$C$4:$AI$4407,'Tracking Sheet'!B1290,'Production '!$S$4:$S$4407)</f>
        <v>-1268218.9828305368</v>
      </c>
      <c r="F1290" s="76">
        <f ca="1">SUMIF('Production '!$C$4:$AI$4407,'Tracking Sheet'!B1290,'Production '!$U$4:$U$4407)</f>
        <v>-10620.435600016917</v>
      </c>
      <c r="G1290" s="76" t="e">
        <f ca="1">SUMIF('Production '!$C$4:$AI$4407,'Tracking Sheet'!B1290,'Production '!$W$4:$W$4407)</f>
        <v>#DIV/0!</v>
      </c>
      <c r="H1290" s="76">
        <f ca="1">SUMIF('Production '!$C$4:$AI$4407,'Tracking Sheet'!B1290,'Production '!$F$4:$F$4407)</f>
        <v>3230621.3283604058</v>
      </c>
      <c r="I1290" s="76">
        <f ca="1">SUMIF('Production '!$C$4:$AI$4407,'Tracking Sheet'!B1290,'Production '!$V$4:$V$4407)</f>
        <v>-489.86487791182844</v>
      </c>
      <c r="J1290" s="76">
        <f ca="1">SUMIF('Production '!$C$4:$AI$4407,'Tracking Sheet'!B1290,'Production '!$AG$4:$AG$4407)</f>
        <v>0</v>
      </c>
    </row>
    <row r="1291" spans="2:10" x14ac:dyDescent="0.3">
      <c r="B1291" s="277" t="str">
        <f>'Production '!C1294</f>
        <v>45964 13th</v>
      </c>
      <c r="C1291" s="76">
        <f ca="1">SUMIF('Production '!$C$4:$AI$4407,'Tracking Sheet'!B1291,'Production '!$M$4:$M$4407)</f>
        <v>4065</v>
      </c>
      <c r="D1291" s="76">
        <f ca="1">SUMIF('Production '!$C$4:$AI$4407,'Tracking Sheet'!B1291,'Production '!$Q$4:$Q$4407)</f>
        <v>0</v>
      </c>
      <c r="E1291" s="76">
        <f ca="1">SUMIF('Production '!$C$4:$AI$4407,'Tracking Sheet'!B1291,'Production '!$S$4:$S$4407)</f>
        <v>0</v>
      </c>
      <c r="F1291" s="76">
        <f ca="1">SUMIF('Production '!$C$4:$AI$4407,'Tracking Sheet'!B1291,'Production '!$U$4:$U$4407)</f>
        <v>2051</v>
      </c>
      <c r="G1291" s="76">
        <f ca="1">SUMIF('Production '!$C$4:$AI$4407,'Tracking Sheet'!B1291,'Production '!$W$4:$W$4407)</f>
        <v>2014</v>
      </c>
      <c r="H1291" s="76">
        <f ca="1">SUMIF('Production '!$C$4:$AI$4407,'Tracking Sheet'!B1291,'Production '!$F$4:$F$4407)</f>
        <v>6024</v>
      </c>
      <c r="I1291" s="76">
        <f ca="1">SUMIF('Production '!$C$4:$AI$4407,'Tracking Sheet'!B1291,'Production '!$V$4:$V$4407)</f>
        <v>1402</v>
      </c>
      <c r="J1291" s="76">
        <f ca="1">SUMIF('Production '!$C$4:$AI$4407,'Tracking Sheet'!B1291,'Production '!$AG$4:$AG$4407)</f>
        <v>-2008</v>
      </c>
    </row>
    <row r="1292" spans="2:10" x14ac:dyDescent="0.3">
      <c r="B1292" s="277" t="str">
        <f>'Production '!C1295</f>
        <v>45964 13th</v>
      </c>
      <c r="C1292" s="76">
        <f ca="1">SUMIF('Production '!$C$4:$AI$4407,'Tracking Sheet'!B1292,'Production '!$M$4:$M$4407)</f>
        <v>4065</v>
      </c>
      <c r="D1292" s="76">
        <f ca="1">SUMIF('Production '!$C$4:$AI$4407,'Tracking Sheet'!B1292,'Production '!$Q$4:$Q$4407)</f>
        <v>0</v>
      </c>
      <c r="E1292" s="76">
        <f ca="1">SUMIF('Production '!$C$4:$AI$4407,'Tracking Sheet'!B1292,'Production '!$S$4:$S$4407)</f>
        <v>0</v>
      </c>
      <c r="F1292" s="76">
        <f ca="1">SUMIF('Production '!$C$4:$AI$4407,'Tracking Sheet'!B1292,'Production '!$U$4:$U$4407)</f>
        <v>2051</v>
      </c>
      <c r="G1292" s="76">
        <f ca="1">SUMIF('Production '!$C$4:$AI$4407,'Tracking Sheet'!B1292,'Production '!$W$4:$W$4407)</f>
        <v>2014</v>
      </c>
      <c r="H1292" s="76">
        <f ca="1">SUMIF('Production '!$C$4:$AI$4407,'Tracking Sheet'!B1292,'Production '!$F$4:$F$4407)</f>
        <v>6024</v>
      </c>
      <c r="I1292" s="76">
        <f ca="1">SUMIF('Production '!$C$4:$AI$4407,'Tracking Sheet'!B1292,'Production '!$V$4:$V$4407)</f>
        <v>1402</v>
      </c>
      <c r="J1292" s="76">
        <f ca="1">SUMIF('Production '!$C$4:$AI$4407,'Tracking Sheet'!B1292,'Production '!$AG$4:$AG$4407)</f>
        <v>-2008</v>
      </c>
    </row>
    <row r="1293" spans="2:10" x14ac:dyDescent="0.3">
      <c r="B1293" s="277" t="str">
        <f>'Production '!C1296</f>
        <v>45964 13th</v>
      </c>
      <c r="C1293" s="76">
        <f ca="1">SUMIF('Production '!$C$4:$AI$4407,'Tracking Sheet'!B1293,'Production '!$M$4:$M$4407)</f>
        <v>4065</v>
      </c>
      <c r="D1293" s="76">
        <f ca="1">SUMIF('Production '!$C$4:$AI$4407,'Tracking Sheet'!B1293,'Production '!$Q$4:$Q$4407)</f>
        <v>0</v>
      </c>
      <c r="E1293" s="76">
        <f ca="1">SUMIF('Production '!$C$4:$AI$4407,'Tracking Sheet'!B1293,'Production '!$S$4:$S$4407)</f>
        <v>0</v>
      </c>
      <c r="F1293" s="76">
        <f ca="1">SUMIF('Production '!$C$4:$AI$4407,'Tracking Sheet'!B1293,'Production '!$U$4:$U$4407)</f>
        <v>2051</v>
      </c>
      <c r="G1293" s="76">
        <f ca="1">SUMIF('Production '!$C$4:$AI$4407,'Tracking Sheet'!B1293,'Production '!$W$4:$W$4407)</f>
        <v>2014</v>
      </c>
      <c r="H1293" s="76">
        <f ca="1">SUMIF('Production '!$C$4:$AI$4407,'Tracking Sheet'!B1293,'Production '!$F$4:$F$4407)</f>
        <v>6024</v>
      </c>
      <c r="I1293" s="76">
        <f ca="1">SUMIF('Production '!$C$4:$AI$4407,'Tracking Sheet'!B1293,'Production '!$V$4:$V$4407)</f>
        <v>1402</v>
      </c>
      <c r="J1293" s="76">
        <f ca="1">SUMIF('Production '!$C$4:$AI$4407,'Tracking Sheet'!B1293,'Production '!$AG$4:$AG$4407)</f>
        <v>-2008</v>
      </c>
    </row>
    <row r="1294" spans="2:10" x14ac:dyDescent="0.3">
      <c r="B1294" s="277">
        <f>'Production '!C1297</f>
        <v>0</v>
      </c>
      <c r="C1294" s="76" t="e">
        <f ca="1">SUMIF('Production '!$C$4:$AI$4407,'Tracking Sheet'!B1294,'Production '!$M$4:$M$4407)</f>
        <v>#DIV/0!</v>
      </c>
      <c r="D1294" s="76" t="e">
        <f ca="1">SUMIF('Production '!$C$4:$AI$4407,'Tracking Sheet'!B1294,'Production '!$Q$4:$Q$4407)</f>
        <v>#DIV/0!</v>
      </c>
      <c r="E1294" s="76">
        <f ca="1">SUMIF('Production '!$C$4:$AI$4407,'Tracking Sheet'!B1294,'Production '!$S$4:$S$4407)</f>
        <v>-1268218.9828305368</v>
      </c>
      <c r="F1294" s="76">
        <f ca="1">SUMIF('Production '!$C$4:$AI$4407,'Tracking Sheet'!B1294,'Production '!$U$4:$U$4407)</f>
        <v>-10620.435600016917</v>
      </c>
      <c r="G1294" s="76" t="e">
        <f ca="1">SUMIF('Production '!$C$4:$AI$4407,'Tracking Sheet'!B1294,'Production '!$W$4:$W$4407)</f>
        <v>#DIV/0!</v>
      </c>
      <c r="H1294" s="76">
        <f ca="1">SUMIF('Production '!$C$4:$AI$4407,'Tracking Sheet'!B1294,'Production '!$F$4:$F$4407)</f>
        <v>3230621.3283604058</v>
      </c>
      <c r="I1294" s="76">
        <f ca="1">SUMIF('Production '!$C$4:$AI$4407,'Tracking Sheet'!B1294,'Production '!$V$4:$V$4407)</f>
        <v>-489.86487791182844</v>
      </c>
      <c r="J1294" s="76">
        <f ca="1">SUMIF('Production '!$C$4:$AI$4407,'Tracking Sheet'!B1294,'Production '!$AG$4:$AG$4407)</f>
        <v>0</v>
      </c>
    </row>
    <row r="1295" spans="2:10" x14ac:dyDescent="0.3">
      <c r="B1295" s="277" t="str">
        <f>'Production '!C1298</f>
        <v>45964 14th</v>
      </c>
      <c r="C1295" s="76">
        <f ca="1">SUMIF('Production '!$C$4:$AI$4407,'Tracking Sheet'!B1295,'Production '!$M$4:$M$4407)</f>
        <v>3088</v>
      </c>
      <c r="D1295" s="76">
        <f ca="1">SUMIF('Production '!$C$4:$AI$4407,'Tracking Sheet'!B1295,'Production '!$Q$4:$Q$4407)</f>
        <v>0</v>
      </c>
      <c r="E1295" s="76">
        <f ca="1">SUMIF('Production '!$C$4:$AI$4407,'Tracking Sheet'!B1295,'Production '!$S$4:$S$4407)</f>
        <v>0</v>
      </c>
      <c r="F1295" s="76">
        <f ca="1">SUMIF('Production '!$C$4:$AI$4407,'Tracking Sheet'!B1295,'Production '!$U$4:$U$4407)</f>
        <v>2052</v>
      </c>
      <c r="G1295" s="76">
        <f ca="1">SUMIF('Production '!$C$4:$AI$4407,'Tracking Sheet'!B1295,'Production '!$W$4:$W$4407)</f>
        <v>1036</v>
      </c>
      <c r="H1295" s="76">
        <f ca="1">SUMIF('Production '!$C$4:$AI$4407,'Tracking Sheet'!B1295,'Production '!$F$4:$F$4407)</f>
        <v>5024</v>
      </c>
      <c r="I1295" s="76">
        <f ca="1">SUMIF('Production '!$C$4:$AI$4407,'Tracking Sheet'!B1295,'Production '!$V$4:$V$4407)</f>
        <v>0</v>
      </c>
      <c r="J1295" s="76">
        <f ca="1">SUMIF('Production '!$C$4:$AI$4407,'Tracking Sheet'!B1295,'Production '!$AG$4:$AG$4407)</f>
        <v>-1972</v>
      </c>
    </row>
    <row r="1296" spans="2:10" x14ac:dyDescent="0.3">
      <c r="B1296" s="277" t="str">
        <f>'Production '!C1299</f>
        <v>45964 14th</v>
      </c>
      <c r="C1296" s="76">
        <f ca="1">SUMIF('Production '!$C$4:$AI$4407,'Tracking Sheet'!B1296,'Production '!$M$4:$M$4407)</f>
        <v>3088</v>
      </c>
      <c r="D1296" s="76">
        <f ca="1">SUMIF('Production '!$C$4:$AI$4407,'Tracking Sheet'!B1296,'Production '!$Q$4:$Q$4407)</f>
        <v>0</v>
      </c>
      <c r="E1296" s="76">
        <f ca="1">SUMIF('Production '!$C$4:$AI$4407,'Tracking Sheet'!B1296,'Production '!$S$4:$S$4407)</f>
        <v>0</v>
      </c>
      <c r="F1296" s="76">
        <f ca="1">SUMIF('Production '!$C$4:$AI$4407,'Tracking Sheet'!B1296,'Production '!$U$4:$U$4407)</f>
        <v>2052</v>
      </c>
      <c r="G1296" s="76">
        <f ca="1">SUMIF('Production '!$C$4:$AI$4407,'Tracking Sheet'!B1296,'Production '!$W$4:$W$4407)</f>
        <v>1036</v>
      </c>
      <c r="H1296" s="76">
        <f ca="1">SUMIF('Production '!$C$4:$AI$4407,'Tracking Sheet'!B1296,'Production '!$F$4:$F$4407)</f>
        <v>5024</v>
      </c>
      <c r="I1296" s="76">
        <f ca="1">SUMIF('Production '!$C$4:$AI$4407,'Tracking Sheet'!B1296,'Production '!$V$4:$V$4407)</f>
        <v>0</v>
      </c>
      <c r="J1296" s="76">
        <f ca="1">SUMIF('Production '!$C$4:$AI$4407,'Tracking Sheet'!B1296,'Production '!$AG$4:$AG$4407)</f>
        <v>-1972</v>
      </c>
    </row>
    <row r="1297" spans="2:10" x14ac:dyDescent="0.3">
      <c r="B1297" s="277" t="str">
        <f>'Production '!C1300</f>
        <v>45964 14th</v>
      </c>
      <c r="C1297" s="76">
        <f ca="1">SUMIF('Production '!$C$4:$AI$4407,'Tracking Sheet'!B1297,'Production '!$M$4:$M$4407)</f>
        <v>3088</v>
      </c>
      <c r="D1297" s="76">
        <f ca="1">SUMIF('Production '!$C$4:$AI$4407,'Tracking Sheet'!B1297,'Production '!$Q$4:$Q$4407)</f>
        <v>0</v>
      </c>
      <c r="E1297" s="76">
        <f ca="1">SUMIF('Production '!$C$4:$AI$4407,'Tracking Sheet'!B1297,'Production '!$S$4:$S$4407)</f>
        <v>0</v>
      </c>
      <c r="F1297" s="76">
        <f ca="1">SUMIF('Production '!$C$4:$AI$4407,'Tracking Sheet'!B1297,'Production '!$U$4:$U$4407)</f>
        <v>2052</v>
      </c>
      <c r="G1297" s="76">
        <f ca="1">SUMIF('Production '!$C$4:$AI$4407,'Tracking Sheet'!B1297,'Production '!$W$4:$W$4407)</f>
        <v>1036</v>
      </c>
      <c r="H1297" s="76">
        <f ca="1">SUMIF('Production '!$C$4:$AI$4407,'Tracking Sheet'!B1297,'Production '!$F$4:$F$4407)</f>
        <v>5024</v>
      </c>
      <c r="I1297" s="76">
        <f ca="1">SUMIF('Production '!$C$4:$AI$4407,'Tracking Sheet'!B1297,'Production '!$V$4:$V$4407)</f>
        <v>0</v>
      </c>
      <c r="J1297" s="76">
        <f ca="1">SUMIF('Production '!$C$4:$AI$4407,'Tracking Sheet'!B1297,'Production '!$AG$4:$AG$4407)</f>
        <v>-1972</v>
      </c>
    </row>
    <row r="1298" spans="2:10" x14ac:dyDescent="0.3">
      <c r="B1298" s="277">
        <f>'Production '!C1301</f>
        <v>0</v>
      </c>
      <c r="C1298" s="76" t="e">
        <f ca="1">SUMIF('Production '!$C$4:$AI$4407,'Tracking Sheet'!B1298,'Production '!$M$4:$M$4407)</f>
        <v>#DIV/0!</v>
      </c>
      <c r="D1298" s="76" t="e">
        <f ca="1">SUMIF('Production '!$C$4:$AI$4407,'Tracking Sheet'!B1298,'Production '!$Q$4:$Q$4407)</f>
        <v>#DIV/0!</v>
      </c>
      <c r="E1298" s="76">
        <f ca="1">SUMIF('Production '!$C$4:$AI$4407,'Tracking Sheet'!B1298,'Production '!$S$4:$S$4407)</f>
        <v>-1268218.9828305368</v>
      </c>
      <c r="F1298" s="76">
        <f ca="1">SUMIF('Production '!$C$4:$AI$4407,'Tracking Sheet'!B1298,'Production '!$U$4:$U$4407)</f>
        <v>-10620.435600016917</v>
      </c>
      <c r="G1298" s="76" t="e">
        <f ca="1">SUMIF('Production '!$C$4:$AI$4407,'Tracking Sheet'!B1298,'Production '!$W$4:$W$4407)</f>
        <v>#DIV/0!</v>
      </c>
      <c r="H1298" s="76">
        <f ca="1">SUMIF('Production '!$C$4:$AI$4407,'Tracking Sheet'!B1298,'Production '!$F$4:$F$4407)</f>
        <v>3230621.3283604058</v>
      </c>
      <c r="I1298" s="76">
        <f ca="1">SUMIF('Production '!$C$4:$AI$4407,'Tracking Sheet'!B1298,'Production '!$V$4:$V$4407)</f>
        <v>-489.86487791182844</v>
      </c>
      <c r="J1298" s="76">
        <f ca="1">SUMIF('Production '!$C$4:$AI$4407,'Tracking Sheet'!B1298,'Production '!$AG$4:$AG$4407)</f>
        <v>0</v>
      </c>
    </row>
    <row r="1299" spans="2:10" x14ac:dyDescent="0.3">
      <c r="B1299" s="277" t="str">
        <f>'Production '!C1302</f>
        <v>45964 15th</v>
      </c>
      <c r="C1299" s="76">
        <f ca="1">SUMIF('Production '!$C$4:$AI$4407,'Tracking Sheet'!B1299,'Production '!$M$4:$M$4407)</f>
        <v>0</v>
      </c>
      <c r="D1299" s="76">
        <f ca="1">SUMIF('Production '!$C$4:$AI$4407,'Tracking Sheet'!B1299,'Production '!$Q$4:$Q$4407)</f>
        <v>0</v>
      </c>
      <c r="E1299" s="76">
        <f ca="1">SUMIF('Production '!$C$4:$AI$4407,'Tracking Sheet'!B1299,'Production '!$S$4:$S$4407)</f>
        <v>0</v>
      </c>
      <c r="F1299" s="76">
        <f ca="1">SUMIF('Production '!$C$4:$AI$4407,'Tracking Sheet'!B1299,'Production '!$U$4:$U$4407)</f>
        <v>0</v>
      </c>
      <c r="G1299" s="76">
        <f ca="1">SUMIF('Production '!$C$4:$AI$4407,'Tracking Sheet'!B1299,'Production '!$W$4:$W$4407)</f>
        <v>0</v>
      </c>
      <c r="H1299" s="76">
        <f ca="1">SUMIF('Production '!$C$4:$AI$4407,'Tracking Sheet'!B1299,'Production '!$F$4:$F$4407)</f>
        <v>6024</v>
      </c>
      <c r="I1299" s="76">
        <f ca="1">SUMIF('Production '!$C$4:$AI$4407,'Tracking Sheet'!B1299,'Production '!$V$4:$V$4407)</f>
        <v>0</v>
      </c>
      <c r="J1299" s="76">
        <f ca="1">SUMIF('Production '!$C$4:$AI$4407,'Tracking Sheet'!B1299,'Production '!$AG$4:$AG$4407)</f>
        <v>-6024</v>
      </c>
    </row>
    <row r="1300" spans="2:10" x14ac:dyDescent="0.3">
      <c r="B1300" s="277" t="str">
        <f>'Production '!C1303</f>
        <v>45964 15th</v>
      </c>
      <c r="C1300" s="76">
        <f ca="1">SUMIF('Production '!$C$4:$AI$4407,'Tracking Sheet'!B1300,'Production '!$M$4:$M$4407)</f>
        <v>0</v>
      </c>
      <c r="D1300" s="76">
        <f ca="1">SUMIF('Production '!$C$4:$AI$4407,'Tracking Sheet'!B1300,'Production '!$Q$4:$Q$4407)</f>
        <v>0</v>
      </c>
      <c r="E1300" s="76">
        <f ca="1">SUMIF('Production '!$C$4:$AI$4407,'Tracking Sheet'!B1300,'Production '!$S$4:$S$4407)</f>
        <v>0</v>
      </c>
      <c r="F1300" s="76">
        <f ca="1">SUMIF('Production '!$C$4:$AI$4407,'Tracking Sheet'!B1300,'Production '!$U$4:$U$4407)</f>
        <v>0</v>
      </c>
      <c r="G1300" s="76">
        <f ca="1">SUMIF('Production '!$C$4:$AI$4407,'Tracking Sheet'!B1300,'Production '!$W$4:$W$4407)</f>
        <v>0</v>
      </c>
      <c r="H1300" s="76">
        <f ca="1">SUMIF('Production '!$C$4:$AI$4407,'Tracking Sheet'!B1300,'Production '!$F$4:$F$4407)</f>
        <v>6024</v>
      </c>
      <c r="I1300" s="76">
        <f ca="1">SUMIF('Production '!$C$4:$AI$4407,'Tracking Sheet'!B1300,'Production '!$V$4:$V$4407)</f>
        <v>0</v>
      </c>
      <c r="J1300" s="76">
        <f ca="1">SUMIF('Production '!$C$4:$AI$4407,'Tracking Sheet'!B1300,'Production '!$AG$4:$AG$4407)</f>
        <v>-6024</v>
      </c>
    </row>
    <row r="1301" spans="2:10" x14ac:dyDescent="0.3">
      <c r="B1301" s="277" t="str">
        <f>'Production '!C1304</f>
        <v>45964 15th</v>
      </c>
      <c r="C1301" s="76">
        <f ca="1">SUMIF('Production '!$C$4:$AI$4407,'Tracking Sheet'!B1301,'Production '!$M$4:$M$4407)</f>
        <v>0</v>
      </c>
      <c r="D1301" s="76">
        <f ca="1">SUMIF('Production '!$C$4:$AI$4407,'Tracking Sheet'!B1301,'Production '!$Q$4:$Q$4407)</f>
        <v>0</v>
      </c>
      <c r="E1301" s="76">
        <f ca="1">SUMIF('Production '!$C$4:$AI$4407,'Tracking Sheet'!B1301,'Production '!$S$4:$S$4407)</f>
        <v>0</v>
      </c>
      <c r="F1301" s="76">
        <f ca="1">SUMIF('Production '!$C$4:$AI$4407,'Tracking Sheet'!B1301,'Production '!$U$4:$U$4407)</f>
        <v>0</v>
      </c>
      <c r="G1301" s="76">
        <f ca="1">SUMIF('Production '!$C$4:$AI$4407,'Tracking Sheet'!B1301,'Production '!$W$4:$W$4407)</f>
        <v>0</v>
      </c>
      <c r="H1301" s="76">
        <f ca="1">SUMIF('Production '!$C$4:$AI$4407,'Tracking Sheet'!B1301,'Production '!$F$4:$F$4407)</f>
        <v>6024</v>
      </c>
      <c r="I1301" s="76">
        <f ca="1">SUMIF('Production '!$C$4:$AI$4407,'Tracking Sheet'!B1301,'Production '!$V$4:$V$4407)</f>
        <v>0</v>
      </c>
      <c r="J1301" s="76">
        <f ca="1">SUMIF('Production '!$C$4:$AI$4407,'Tracking Sheet'!B1301,'Production '!$AG$4:$AG$4407)</f>
        <v>-6024</v>
      </c>
    </row>
    <row r="1302" spans="2:10" x14ac:dyDescent="0.3">
      <c r="B1302" s="277">
        <f>'Production '!C1305</f>
        <v>0</v>
      </c>
      <c r="C1302" s="76" t="e">
        <f ca="1">SUMIF('Production '!$C$4:$AI$4407,'Tracking Sheet'!B1302,'Production '!$M$4:$M$4407)</f>
        <v>#DIV/0!</v>
      </c>
      <c r="D1302" s="76" t="e">
        <f ca="1">SUMIF('Production '!$C$4:$AI$4407,'Tracking Sheet'!B1302,'Production '!$Q$4:$Q$4407)</f>
        <v>#DIV/0!</v>
      </c>
      <c r="E1302" s="76">
        <f ca="1">SUMIF('Production '!$C$4:$AI$4407,'Tracking Sheet'!B1302,'Production '!$S$4:$S$4407)</f>
        <v>-1268218.9828305368</v>
      </c>
      <c r="F1302" s="76">
        <f ca="1">SUMIF('Production '!$C$4:$AI$4407,'Tracking Sheet'!B1302,'Production '!$U$4:$U$4407)</f>
        <v>-10620.435600016917</v>
      </c>
      <c r="G1302" s="76" t="e">
        <f ca="1">SUMIF('Production '!$C$4:$AI$4407,'Tracking Sheet'!B1302,'Production '!$W$4:$W$4407)</f>
        <v>#DIV/0!</v>
      </c>
      <c r="H1302" s="76">
        <f ca="1">SUMIF('Production '!$C$4:$AI$4407,'Tracking Sheet'!B1302,'Production '!$F$4:$F$4407)</f>
        <v>3230621.3283604058</v>
      </c>
      <c r="I1302" s="76">
        <f ca="1">SUMIF('Production '!$C$4:$AI$4407,'Tracking Sheet'!B1302,'Production '!$V$4:$V$4407)</f>
        <v>-489.86487791182844</v>
      </c>
      <c r="J1302" s="76">
        <f ca="1">SUMIF('Production '!$C$4:$AI$4407,'Tracking Sheet'!B1302,'Production '!$AG$4:$AG$4407)</f>
        <v>0</v>
      </c>
    </row>
    <row r="1303" spans="2:10" x14ac:dyDescent="0.3">
      <c r="B1303" s="277" t="str">
        <f>'Production '!C1306</f>
        <v>45964 16th</v>
      </c>
      <c r="C1303" s="76">
        <f ca="1">SUMIF('Production '!$C$4:$AI$4407,'Tracking Sheet'!B1303,'Production '!$M$4:$M$4407)</f>
        <v>0</v>
      </c>
      <c r="D1303" s="76">
        <f ca="1">SUMIF('Production '!$C$4:$AI$4407,'Tracking Sheet'!B1303,'Production '!$Q$4:$Q$4407)</f>
        <v>0</v>
      </c>
      <c r="E1303" s="76">
        <f ca="1">SUMIF('Production '!$C$4:$AI$4407,'Tracking Sheet'!B1303,'Production '!$S$4:$S$4407)</f>
        <v>0</v>
      </c>
      <c r="F1303" s="76">
        <f ca="1">SUMIF('Production '!$C$4:$AI$4407,'Tracking Sheet'!B1303,'Production '!$U$4:$U$4407)</f>
        <v>0</v>
      </c>
      <c r="G1303" s="76">
        <f ca="1">SUMIF('Production '!$C$4:$AI$4407,'Tracking Sheet'!B1303,'Production '!$W$4:$W$4407)</f>
        <v>0</v>
      </c>
      <c r="H1303" s="76">
        <f ca="1">SUMIF('Production '!$C$4:$AI$4407,'Tracking Sheet'!B1303,'Production '!$F$4:$F$4407)</f>
        <v>4008</v>
      </c>
      <c r="I1303" s="76">
        <f ca="1">SUMIF('Production '!$C$4:$AI$4407,'Tracking Sheet'!B1303,'Production '!$V$4:$V$4407)</f>
        <v>0</v>
      </c>
      <c r="J1303" s="76">
        <f ca="1">SUMIF('Production '!$C$4:$AI$4407,'Tracking Sheet'!B1303,'Production '!$AG$4:$AG$4407)</f>
        <v>-4008</v>
      </c>
    </row>
    <row r="1304" spans="2:10" x14ac:dyDescent="0.3">
      <c r="B1304" s="277">
        <f>'Production '!C1307</f>
        <v>0</v>
      </c>
      <c r="C1304" s="76" t="e">
        <f ca="1">SUMIF('Production '!$C$4:$AI$4407,'Tracking Sheet'!B1304,'Production '!$M$4:$M$4407)</f>
        <v>#DIV/0!</v>
      </c>
      <c r="D1304" s="76" t="e">
        <f ca="1">SUMIF('Production '!$C$4:$AI$4407,'Tracking Sheet'!B1304,'Production '!$Q$4:$Q$4407)</f>
        <v>#DIV/0!</v>
      </c>
      <c r="E1304" s="76">
        <f ca="1">SUMIF('Production '!$C$4:$AI$4407,'Tracking Sheet'!B1304,'Production '!$S$4:$S$4407)</f>
        <v>-1268218.9828305368</v>
      </c>
      <c r="F1304" s="76">
        <f ca="1">SUMIF('Production '!$C$4:$AI$4407,'Tracking Sheet'!B1304,'Production '!$U$4:$U$4407)</f>
        <v>-10620.435600016917</v>
      </c>
      <c r="G1304" s="76" t="e">
        <f ca="1">SUMIF('Production '!$C$4:$AI$4407,'Tracking Sheet'!B1304,'Production '!$W$4:$W$4407)</f>
        <v>#DIV/0!</v>
      </c>
      <c r="H1304" s="76">
        <f ca="1">SUMIF('Production '!$C$4:$AI$4407,'Tracking Sheet'!B1304,'Production '!$F$4:$F$4407)</f>
        <v>3230621.3283604058</v>
      </c>
      <c r="I1304" s="76">
        <f ca="1">SUMIF('Production '!$C$4:$AI$4407,'Tracking Sheet'!B1304,'Production '!$V$4:$V$4407)</f>
        <v>-489.86487791182844</v>
      </c>
      <c r="J1304" s="76">
        <f ca="1">SUMIF('Production '!$C$4:$AI$4407,'Tracking Sheet'!B1304,'Production '!$AG$4:$AG$4407)</f>
        <v>0</v>
      </c>
    </row>
    <row r="1305" spans="2:10" x14ac:dyDescent="0.3">
      <c r="B1305" s="277" t="str">
        <f>'Production '!C1308</f>
        <v>44077 8th</v>
      </c>
      <c r="C1305" s="76">
        <f ca="1">SUMIF('Production '!$C$4:$AI$4407,'Tracking Sheet'!B1305,'Production '!$M$4:$M$4407)</f>
        <v>50770</v>
      </c>
      <c r="D1305" s="76">
        <f ca="1">SUMIF('Production '!$C$4:$AI$4407,'Tracking Sheet'!B1305,'Production '!$Q$4:$Q$4407)</f>
        <v>0</v>
      </c>
      <c r="E1305" s="76">
        <f ca="1">SUMIF('Production '!$C$4:$AI$4407,'Tracking Sheet'!B1305,'Production '!$S$4:$S$4407)</f>
        <v>0</v>
      </c>
      <c r="F1305" s="76">
        <f ca="1">SUMIF('Production '!$C$4:$AI$4407,'Tracking Sheet'!B1305,'Production '!$U$4:$U$4407)</f>
        <v>4326</v>
      </c>
      <c r="G1305" s="76">
        <f ca="1">SUMIF('Production '!$C$4:$AI$4407,'Tracking Sheet'!B1305,'Production '!$W$4:$W$4407)</f>
        <v>46444</v>
      </c>
      <c r="H1305" s="76">
        <f ca="1">SUMIF('Production '!$C$4:$AI$4407,'Tracking Sheet'!B1305,'Production '!$F$4:$F$4407)</f>
        <v>49920</v>
      </c>
      <c r="I1305" s="76">
        <f ca="1">SUMIF('Production '!$C$4:$AI$4407,'Tracking Sheet'!B1305,'Production '!$V$4:$V$4407)</f>
        <v>0</v>
      </c>
      <c r="J1305" s="76">
        <f ca="1">SUMIF('Production '!$C$4:$AI$4407,'Tracking Sheet'!B1305,'Production '!$AG$4:$AG$4407)</f>
        <v>0</v>
      </c>
    </row>
    <row r="1306" spans="2:10" x14ac:dyDescent="0.3">
      <c r="B1306" s="277" t="str">
        <f>'Production '!C1309</f>
        <v>44077 8th</v>
      </c>
      <c r="C1306" s="76">
        <f ca="1">SUMIF('Production '!$C$4:$AI$4407,'Tracking Sheet'!B1306,'Production '!$M$4:$M$4407)</f>
        <v>50770</v>
      </c>
      <c r="D1306" s="76">
        <f ca="1">SUMIF('Production '!$C$4:$AI$4407,'Tracking Sheet'!B1306,'Production '!$Q$4:$Q$4407)</f>
        <v>0</v>
      </c>
      <c r="E1306" s="76">
        <f ca="1">SUMIF('Production '!$C$4:$AI$4407,'Tracking Sheet'!B1306,'Production '!$S$4:$S$4407)</f>
        <v>0</v>
      </c>
      <c r="F1306" s="76">
        <f ca="1">SUMIF('Production '!$C$4:$AI$4407,'Tracking Sheet'!B1306,'Production '!$U$4:$U$4407)</f>
        <v>4326</v>
      </c>
      <c r="G1306" s="76">
        <f ca="1">SUMIF('Production '!$C$4:$AI$4407,'Tracking Sheet'!B1306,'Production '!$W$4:$W$4407)</f>
        <v>46444</v>
      </c>
      <c r="H1306" s="76">
        <f ca="1">SUMIF('Production '!$C$4:$AI$4407,'Tracking Sheet'!B1306,'Production '!$F$4:$F$4407)</f>
        <v>49920</v>
      </c>
      <c r="I1306" s="76">
        <f ca="1">SUMIF('Production '!$C$4:$AI$4407,'Tracking Sheet'!B1306,'Production '!$V$4:$V$4407)</f>
        <v>0</v>
      </c>
      <c r="J1306" s="76">
        <f ca="1">SUMIF('Production '!$C$4:$AI$4407,'Tracking Sheet'!B1306,'Production '!$AG$4:$AG$4407)</f>
        <v>0</v>
      </c>
    </row>
    <row r="1307" spans="2:10" x14ac:dyDescent="0.3">
      <c r="B1307" s="277" t="str">
        <f>'Production '!C1310</f>
        <v>44077 8th</v>
      </c>
      <c r="C1307" s="76">
        <f ca="1">SUMIF('Production '!$C$4:$AI$4407,'Tracking Sheet'!B1307,'Production '!$M$4:$M$4407)</f>
        <v>50770</v>
      </c>
      <c r="D1307" s="76">
        <f ca="1">SUMIF('Production '!$C$4:$AI$4407,'Tracking Sheet'!B1307,'Production '!$Q$4:$Q$4407)</f>
        <v>0</v>
      </c>
      <c r="E1307" s="76">
        <f ca="1">SUMIF('Production '!$C$4:$AI$4407,'Tracking Sheet'!B1307,'Production '!$S$4:$S$4407)</f>
        <v>0</v>
      </c>
      <c r="F1307" s="76">
        <f ca="1">SUMIF('Production '!$C$4:$AI$4407,'Tracking Sheet'!B1307,'Production '!$U$4:$U$4407)</f>
        <v>4326</v>
      </c>
      <c r="G1307" s="76">
        <f ca="1">SUMIF('Production '!$C$4:$AI$4407,'Tracking Sheet'!B1307,'Production '!$W$4:$W$4407)</f>
        <v>46444</v>
      </c>
      <c r="H1307" s="76">
        <f ca="1">SUMIF('Production '!$C$4:$AI$4407,'Tracking Sheet'!B1307,'Production '!$F$4:$F$4407)</f>
        <v>49920</v>
      </c>
      <c r="I1307" s="76">
        <f ca="1">SUMIF('Production '!$C$4:$AI$4407,'Tracking Sheet'!B1307,'Production '!$V$4:$V$4407)</f>
        <v>0</v>
      </c>
      <c r="J1307" s="76">
        <f ca="1">SUMIF('Production '!$C$4:$AI$4407,'Tracking Sheet'!B1307,'Production '!$AG$4:$AG$4407)</f>
        <v>0</v>
      </c>
    </row>
    <row r="1308" spans="2:10" x14ac:dyDescent="0.3">
      <c r="B1308" s="277" t="str">
        <f>'Production '!C1311</f>
        <v>44077 8th</v>
      </c>
      <c r="C1308" s="76">
        <f ca="1">SUMIF('Production '!$C$4:$AI$4407,'Tracking Sheet'!B1308,'Production '!$M$4:$M$4407)</f>
        <v>50770</v>
      </c>
      <c r="D1308" s="76">
        <f ca="1">SUMIF('Production '!$C$4:$AI$4407,'Tracking Sheet'!B1308,'Production '!$Q$4:$Q$4407)</f>
        <v>0</v>
      </c>
      <c r="E1308" s="76">
        <f ca="1">SUMIF('Production '!$C$4:$AI$4407,'Tracking Sheet'!B1308,'Production '!$S$4:$S$4407)</f>
        <v>0</v>
      </c>
      <c r="F1308" s="76">
        <f ca="1">SUMIF('Production '!$C$4:$AI$4407,'Tracking Sheet'!B1308,'Production '!$U$4:$U$4407)</f>
        <v>4326</v>
      </c>
      <c r="G1308" s="76">
        <f ca="1">SUMIF('Production '!$C$4:$AI$4407,'Tracking Sheet'!B1308,'Production '!$W$4:$W$4407)</f>
        <v>46444</v>
      </c>
      <c r="H1308" s="76">
        <f ca="1">SUMIF('Production '!$C$4:$AI$4407,'Tracking Sheet'!B1308,'Production '!$F$4:$F$4407)</f>
        <v>49920</v>
      </c>
      <c r="I1308" s="76">
        <f ca="1">SUMIF('Production '!$C$4:$AI$4407,'Tracking Sheet'!B1308,'Production '!$V$4:$V$4407)</f>
        <v>0</v>
      </c>
      <c r="J1308" s="76">
        <f ca="1">SUMIF('Production '!$C$4:$AI$4407,'Tracking Sheet'!B1308,'Production '!$AG$4:$AG$4407)</f>
        <v>0</v>
      </c>
    </row>
    <row r="1309" spans="2:10" x14ac:dyDescent="0.3">
      <c r="B1309" s="277" t="str">
        <f>'Production '!C1312</f>
        <v>44077 8th</v>
      </c>
      <c r="C1309" s="76">
        <f ca="1">SUMIF('Production '!$C$4:$AI$4407,'Tracking Sheet'!B1309,'Production '!$M$4:$M$4407)</f>
        <v>50770</v>
      </c>
      <c r="D1309" s="76">
        <f ca="1">SUMIF('Production '!$C$4:$AI$4407,'Tracking Sheet'!B1309,'Production '!$Q$4:$Q$4407)</f>
        <v>0</v>
      </c>
      <c r="E1309" s="76">
        <f ca="1">SUMIF('Production '!$C$4:$AI$4407,'Tracking Sheet'!B1309,'Production '!$S$4:$S$4407)</f>
        <v>0</v>
      </c>
      <c r="F1309" s="76">
        <f ca="1">SUMIF('Production '!$C$4:$AI$4407,'Tracking Sheet'!B1309,'Production '!$U$4:$U$4407)</f>
        <v>4326</v>
      </c>
      <c r="G1309" s="76">
        <f ca="1">SUMIF('Production '!$C$4:$AI$4407,'Tracking Sheet'!B1309,'Production '!$W$4:$W$4407)</f>
        <v>46444</v>
      </c>
      <c r="H1309" s="76">
        <f ca="1">SUMIF('Production '!$C$4:$AI$4407,'Tracking Sheet'!B1309,'Production '!$F$4:$F$4407)</f>
        <v>49920</v>
      </c>
      <c r="I1309" s="76">
        <f ca="1">SUMIF('Production '!$C$4:$AI$4407,'Tracking Sheet'!B1309,'Production '!$V$4:$V$4407)</f>
        <v>0</v>
      </c>
      <c r="J1309" s="76">
        <f ca="1">SUMIF('Production '!$C$4:$AI$4407,'Tracking Sheet'!B1309,'Production '!$AG$4:$AG$4407)</f>
        <v>0</v>
      </c>
    </row>
    <row r="1310" spans="2:10" x14ac:dyDescent="0.3">
      <c r="B1310" s="277" t="str">
        <f>'Production '!C1313</f>
        <v>44077 8th</v>
      </c>
      <c r="C1310" s="76">
        <f ca="1">SUMIF('Production '!$C$4:$AI$4407,'Tracking Sheet'!B1310,'Production '!$M$4:$M$4407)</f>
        <v>50770</v>
      </c>
      <c r="D1310" s="76">
        <f ca="1">SUMIF('Production '!$C$4:$AI$4407,'Tracking Sheet'!B1310,'Production '!$Q$4:$Q$4407)</f>
        <v>0</v>
      </c>
      <c r="E1310" s="76">
        <f ca="1">SUMIF('Production '!$C$4:$AI$4407,'Tracking Sheet'!B1310,'Production '!$S$4:$S$4407)</f>
        <v>0</v>
      </c>
      <c r="F1310" s="76">
        <f ca="1">SUMIF('Production '!$C$4:$AI$4407,'Tracking Sheet'!B1310,'Production '!$U$4:$U$4407)</f>
        <v>4326</v>
      </c>
      <c r="G1310" s="76">
        <f ca="1">SUMIF('Production '!$C$4:$AI$4407,'Tracking Sheet'!B1310,'Production '!$W$4:$W$4407)</f>
        <v>46444</v>
      </c>
      <c r="H1310" s="76">
        <f ca="1">SUMIF('Production '!$C$4:$AI$4407,'Tracking Sheet'!B1310,'Production '!$F$4:$F$4407)</f>
        <v>49920</v>
      </c>
      <c r="I1310" s="76">
        <f ca="1">SUMIF('Production '!$C$4:$AI$4407,'Tracking Sheet'!B1310,'Production '!$V$4:$V$4407)</f>
        <v>0</v>
      </c>
      <c r="J1310" s="76">
        <f ca="1">SUMIF('Production '!$C$4:$AI$4407,'Tracking Sheet'!B1310,'Production '!$AG$4:$AG$4407)</f>
        <v>0</v>
      </c>
    </row>
    <row r="1311" spans="2:10" x14ac:dyDescent="0.3">
      <c r="B1311" s="277" t="str">
        <f>'Production '!C1314</f>
        <v>44077 8th</v>
      </c>
      <c r="C1311" s="76">
        <f ca="1">SUMIF('Production '!$C$4:$AI$4407,'Tracking Sheet'!B1311,'Production '!$M$4:$M$4407)</f>
        <v>50770</v>
      </c>
      <c r="D1311" s="76">
        <f ca="1">SUMIF('Production '!$C$4:$AI$4407,'Tracking Sheet'!B1311,'Production '!$Q$4:$Q$4407)</f>
        <v>0</v>
      </c>
      <c r="E1311" s="76">
        <f ca="1">SUMIF('Production '!$C$4:$AI$4407,'Tracking Sheet'!B1311,'Production '!$S$4:$S$4407)</f>
        <v>0</v>
      </c>
      <c r="F1311" s="76">
        <f ca="1">SUMIF('Production '!$C$4:$AI$4407,'Tracking Sheet'!B1311,'Production '!$U$4:$U$4407)</f>
        <v>4326</v>
      </c>
      <c r="G1311" s="76">
        <f ca="1">SUMIF('Production '!$C$4:$AI$4407,'Tracking Sheet'!B1311,'Production '!$W$4:$W$4407)</f>
        <v>46444</v>
      </c>
      <c r="H1311" s="76">
        <f ca="1">SUMIF('Production '!$C$4:$AI$4407,'Tracking Sheet'!B1311,'Production '!$F$4:$F$4407)</f>
        <v>49920</v>
      </c>
      <c r="I1311" s="76">
        <f ca="1">SUMIF('Production '!$C$4:$AI$4407,'Tracking Sheet'!B1311,'Production '!$V$4:$V$4407)</f>
        <v>0</v>
      </c>
      <c r="J1311" s="76">
        <f ca="1">SUMIF('Production '!$C$4:$AI$4407,'Tracking Sheet'!B1311,'Production '!$AG$4:$AG$4407)</f>
        <v>0</v>
      </c>
    </row>
    <row r="1312" spans="2:10" x14ac:dyDescent="0.3">
      <c r="B1312" s="277" t="str">
        <f>'Production '!C1315</f>
        <v>44077 8th</v>
      </c>
      <c r="C1312" s="76">
        <f ca="1">SUMIF('Production '!$C$4:$AI$4407,'Tracking Sheet'!B1312,'Production '!$M$4:$M$4407)</f>
        <v>50770</v>
      </c>
      <c r="D1312" s="76">
        <f ca="1">SUMIF('Production '!$C$4:$AI$4407,'Tracking Sheet'!B1312,'Production '!$Q$4:$Q$4407)</f>
        <v>0</v>
      </c>
      <c r="E1312" s="76">
        <f ca="1">SUMIF('Production '!$C$4:$AI$4407,'Tracking Sheet'!B1312,'Production '!$S$4:$S$4407)</f>
        <v>0</v>
      </c>
      <c r="F1312" s="76">
        <f ca="1">SUMIF('Production '!$C$4:$AI$4407,'Tracking Sheet'!B1312,'Production '!$U$4:$U$4407)</f>
        <v>4326</v>
      </c>
      <c r="G1312" s="76">
        <f ca="1">SUMIF('Production '!$C$4:$AI$4407,'Tracking Sheet'!B1312,'Production '!$W$4:$W$4407)</f>
        <v>46444</v>
      </c>
      <c r="H1312" s="76">
        <f ca="1">SUMIF('Production '!$C$4:$AI$4407,'Tracking Sheet'!B1312,'Production '!$F$4:$F$4407)</f>
        <v>49920</v>
      </c>
      <c r="I1312" s="76">
        <f ca="1">SUMIF('Production '!$C$4:$AI$4407,'Tracking Sheet'!B1312,'Production '!$V$4:$V$4407)</f>
        <v>0</v>
      </c>
      <c r="J1312" s="76">
        <f ca="1">SUMIF('Production '!$C$4:$AI$4407,'Tracking Sheet'!B1312,'Production '!$AG$4:$AG$4407)</f>
        <v>0</v>
      </c>
    </row>
    <row r="1313" spans="2:10" x14ac:dyDescent="0.3">
      <c r="B1313" s="277" t="str">
        <f>'Production '!C1316</f>
        <v>44077 8th</v>
      </c>
      <c r="C1313" s="76">
        <f ca="1">SUMIF('Production '!$C$4:$AI$4407,'Tracking Sheet'!B1313,'Production '!$M$4:$M$4407)</f>
        <v>50770</v>
      </c>
      <c r="D1313" s="76">
        <f ca="1">SUMIF('Production '!$C$4:$AI$4407,'Tracking Sheet'!B1313,'Production '!$Q$4:$Q$4407)</f>
        <v>0</v>
      </c>
      <c r="E1313" s="76">
        <f ca="1">SUMIF('Production '!$C$4:$AI$4407,'Tracking Sheet'!B1313,'Production '!$S$4:$S$4407)</f>
        <v>0</v>
      </c>
      <c r="F1313" s="76">
        <f ca="1">SUMIF('Production '!$C$4:$AI$4407,'Tracking Sheet'!B1313,'Production '!$U$4:$U$4407)</f>
        <v>4326</v>
      </c>
      <c r="G1313" s="76">
        <f ca="1">SUMIF('Production '!$C$4:$AI$4407,'Tracking Sheet'!B1313,'Production '!$W$4:$W$4407)</f>
        <v>46444</v>
      </c>
      <c r="H1313" s="76">
        <f ca="1">SUMIF('Production '!$C$4:$AI$4407,'Tracking Sheet'!B1313,'Production '!$F$4:$F$4407)</f>
        <v>49920</v>
      </c>
      <c r="I1313" s="76">
        <f ca="1">SUMIF('Production '!$C$4:$AI$4407,'Tracking Sheet'!B1313,'Production '!$V$4:$V$4407)</f>
        <v>0</v>
      </c>
      <c r="J1313" s="76">
        <f ca="1">SUMIF('Production '!$C$4:$AI$4407,'Tracking Sheet'!B1313,'Production '!$AG$4:$AG$4407)</f>
        <v>0</v>
      </c>
    </row>
    <row r="1314" spans="2:10" x14ac:dyDescent="0.3">
      <c r="B1314" s="277" t="str">
        <f>'Production '!C1317</f>
        <v>44077 8th</v>
      </c>
      <c r="C1314" s="76">
        <f ca="1">SUMIF('Production '!$C$4:$AI$4407,'Tracking Sheet'!B1314,'Production '!$M$4:$M$4407)</f>
        <v>50770</v>
      </c>
      <c r="D1314" s="76">
        <f ca="1">SUMIF('Production '!$C$4:$AI$4407,'Tracking Sheet'!B1314,'Production '!$Q$4:$Q$4407)</f>
        <v>0</v>
      </c>
      <c r="E1314" s="76">
        <f ca="1">SUMIF('Production '!$C$4:$AI$4407,'Tracking Sheet'!B1314,'Production '!$S$4:$S$4407)</f>
        <v>0</v>
      </c>
      <c r="F1314" s="76">
        <f ca="1">SUMIF('Production '!$C$4:$AI$4407,'Tracking Sheet'!B1314,'Production '!$U$4:$U$4407)</f>
        <v>4326</v>
      </c>
      <c r="G1314" s="76">
        <f ca="1">SUMIF('Production '!$C$4:$AI$4407,'Tracking Sheet'!B1314,'Production '!$W$4:$W$4407)</f>
        <v>46444</v>
      </c>
      <c r="H1314" s="76">
        <f ca="1">SUMIF('Production '!$C$4:$AI$4407,'Tracking Sheet'!B1314,'Production '!$F$4:$F$4407)</f>
        <v>49920</v>
      </c>
      <c r="I1314" s="76">
        <f ca="1">SUMIF('Production '!$C$4:$AI$4407,'Tracking Sheet'!B1314,'Production '!$V$4:$V$4407)</f>
        <v>0</v>
      </c>
      <c r="J1314" s="76">
        <f ca="1">SUMIF('Production '!$C$4:$AI$4407,'Tracking Sheet'!B1314,'Production '!$AG$4:$AG$4407)</f>
        <v>0</v>
      </c>
    </row>
    <row r="1315" spans="2:10" x14ac:dyDescent="0.3">
      <c r="B1315" s="277" t="str">
        <f>'Production '!C1318</f>
        <v>44077 8th</v>
      </c>
      <c r="C1315" s="76">
        <f ca="1">SUMIF('Production '!$C$4:$AI$4407,'Tracking Sheet'!B1315,'Production '!$M$4:$M$4407)</f>
        <v>50770</v>
      </c>
      <c r="D1315" s="76">
        <f ca="1">SUMIF('Production '!$C$4:$AI$4407,'Tracking Sheet'!B1315,'Production '!$Q$4:$Q$4407)</f>
        <v>0</v>
      </c>
      <c r="E1315" s="76">
        <f ca="1">SUMIF('Production '!$C$4:$AI$4407,'Tracking Sheet'!B1315,'Production '!$S$4:$S$4407)</f>
        <v>0</v>
      </c>
      <c r="F1315" s="76">
        <f ca="1">SUMIF('Production '!$C$4:$AI$4407,'Tracking Sheet'!B1315,'Production '!$U$4:$U$4407)</f>
        <v>4326</v>
      </c>
      <c r="G1315" s="76">
        <f ca="1">SUMIF('Production '!$C$4:$AI$4407,'Tracking Sheet'!B1315,'Production '!$W$4:$W$4407)</f>
        <v>46444</v>
      </c>
      <c r="H1315" s="76">
        <f ca="1">SUMIF('Production '!$C$4:$AI$4407,'Tracking Sheet'!B1315,'Production '!$F$4:$F$4407)</f>
        <v>49920</v>
      </c>
      <c r="I1315" s="76">
        <f ca="1">SUMIF('Production '!$C$4:$AI$4407,'Tracking Sheet'!B1315,'Production '!$V$4:$V$4407)</f>
        <v>0</v>
      </c>
      <c r="J1315" s="76">
        <f ca="1">SUMIF('Production '!$C$4:$AI$4407,'Tracking Sheet'!B1315,'Production '!$AG$4:$AG$4407)</f>
        <v>0</v>
      </c>
    </row>
    <row r="1316" spans="2:10" x14ac:dyDescent="0.3">
      <c r="B1316" s="277" t="str">
        <f>'Production '!C1319</f>
        <v>44077 8th</v>
      </c>
      <c r="C1316" s="76">
        <f ca="1">SUMIF('Production '!$C$4:$AI$4407,'Tracking Sheet'!B1316,'Production '!$M$4:$M$4407)</f>
        <v>50770</v>
      </c>
      <c r="D1316" s="76">
        <f ca="1">SUMIF('Production '!$C$4:$AI$4407,'Tracking Sheet'!B1316,'Production '!$Q$4:$Q$4407)</f>
        <v>0</v>
      </c>
      <c r="E1316" s="76">
        <f ca="1">SUMIF('Production '!$C$4:$AI$4407,'Tracking Sheet'!B1316,'Production '!$S$4:$S$4407)</f>
        <v>0</v>
      </c>
      <c r="F1316" s="76">
        <f ca="1">SUMIF('Production '!$C$4:$AI$4407,'Tracking Sheet'!B1316,'Production '!$U$4:$U$4407)</f>
        <v>4326</v>
      </c>
      <c r="G1316" s="76">
        <f ca="1">SUMIF('Production '!$C$4:$AI$4407,'Tracking Sheet'!B1316,'Production '!$W$4:$W$4407)</f>
        <v>46444</v>
      </c>
      <c r="H1316" s="76">
        <f ca="1">SUMIF('Production '!$C$4:$AI$4407,'Tracking Sheet'!B1316,'Production '!$F$4:$F$4407)</f>
        <v>49920</v>
      </c>
      <c r="I1316" s="76">
        <f ca="1">SUMIF('Production '!$C$4:$AI$4407,'Tracking Sheet'!B1316,'Production '!$V$4:$V$4407)</f>
        <v>0</v>
      </c>
      <c r="J1316" s="76">
        <f ca="1">SUMIF('Production '!$C$4:$AI$4407,'Tracking Sheet'!B1316,'Production '!$AG$4:$AG$4407)</f>
        <v>0</v>
      </c>
    </row>
    <row r="1317" spans="2:10" x14ac:dyDescent="0.3">
      <c r="B1317" s="277" t="str">
        <f>'Production '!C1320</f>
        <v>44077 8th</v>
      </c>
      <c r="C1317" s="76">
        <f ca="1">SUMIF('Production '!$C$4:$AI$4407,'Tracking Sheet'!B1317,'Production '!$M$4:$M$4407)</f>
        <v>50770</v>
      </c>
      <c r="D1317" s="76">
        <f ca="1">SUMIF('Production '!$C$4:$AI$4407,'Tracking Sheet'!B1317,'Production '!$Q$4:$Q$4407)</f>
        <v>0</v>
      </c>
      <c r="E1317" s="76">
        <f ca="1">SUMIF('Production '!$C$4:$AI$4407,'Tracking Sheet'!B1317,'Production '!$S$4:$S$4407)</f>
        <v>0</v>
      </c>
      <c r="F1317" s="76">
        <f ca="1">SUMIF('Production '!$C$4:$AI$4407,'Tracking Sheet'!B1317,'Production '!$U$4:$U$4407)</f>
        <v>4326</v>
      </c>
      <c r="G1317" s="76">
        <f ca="1">SUMIF('Production '!$C$4:$AI$4407,'Tracking Sheet'!B1317,'Production '!$W$4:$W$4407)</f>
        <v>46444</v>
      </c>
      <c r="H1317" s="76">
        <f ca="1">SUMIF('Production '!$C$4:$AI$4407,'Tracking Sheet'!B1317,'Production '!$F$4:$F$4407)</f>
        <v>49920</v>
      </c>
      <c r="I1317" s="76">
        <f ca="1">SUMIF('Production '!$C$4:$AI$4407,'Tracking Sheet'!B1317,'Production '!$V$4:$V$4407)</f>
        <v>0</v>
      </c>
      <c r="J1317" s="76">
        <f ca="1">SUMIF('Production '!$C$4:$AI$4407,'Tracking Sheet'!B1317,'Production '!$AG$4:$AG$4407)</f>
        <v>0</v>
      </c>
    </row>
    <row r="1318" spans="2:10" x14ac:dyDescent="0.3">
      <c r="B1318" s="277" t="str">
        <f>'Production '!C1321</f>
        <v>44077 8th</v>
      </c>
      <c r="C1318" s="76">
        <f ca="1">SUMIF('Production '!$C$4:$AI$4407,'Tracking Sheet'!B1318,'Production '!$M$4:$M$4407)</f>
        <v>50770</v>
      </c>
      <c r="D1318" s="76">
        <f ca="1">SUMIF('Production '!$C$4:$AI$4407,'Tracking Sheet'!B1318,'Production '!$Q$4:$Q$4407)</f>
        <v>0</v>
      </c>
      <c r="E1318" s="76">
        <f ca="1">SUMIF('Production '!$C$4:$AI$4407,'Tracking Sheet'!B1318,'Production '!$S$4:$S$4407)</f>
        <v>0</v>
      </c>
      <c r="F1318" s="76">
        <f ca="1">SUMIF('Production '!$C$4:$AI$4407,'Tracking Sheet'!B1318,'Production '!$U$4:$U$4407)</f>
        <v>4326</v>
      </c>
      <c r="G1318" s="76">
        <f ca="1">SUMIF('Production '!$C$4:$AI$4407,'Tracking Sheet'!B1318,'Production '!$W$4:$W$4407)</f>
        <v>46444</v>
      </c>
      <c r="H1318" s="76">
        <f ca="1">SUMIF('Production '!$C$4:$AI$4407,'Tracking Sheet'!B1318,'Production '!$F$4:$F$4407)</f>
        <v>49920</v>
      </c>
      <c r="I1318" s="76">
        <f ca="1">SUMIF('Production '!$C$4:$AI$4407,'Tracking Sheet'!B1318,'Production '!$V$4:$V$4407)</f>
        <v>0</v>
      </c>
      <c r="J1318" s="76">
        <f ca="1">SUMIF('Production '!$C$4:$AI$4407,'Tracking Sheet'!B1318,'Production '!$AG$4:$AG$4407)</f>
        <v>0</v>
      </c>
    </row>
    <row r="1319" spans="2:10" x14ac:dyDescent="0.3">
      <c r="B1319" s="277" t="str">
        <f>'Production '!C1322</f>
        <v>44077 8th</v>
      </c>
      <c r="C1319" s="76">
        <f ca="1">SUMIF('Production '!$C$4:$AI$4407,'Tracking Sheet'!B1319,'Production '!$M$4:$M$4407)</f>
        <v>50770</v>
      </c>
      <c r="D1319" s="76">
        <f ca="1">SUMIF('Production '!$C$4:$AI$4407,'Tracking Sheet'!B1319,'Production '!$Q$4:$Q$4407)</f>
        <v>0</v>
      </c>
      <c r="E1319" s="76">
        <f ca="1">SUMIF('Production '!$C$4:$AI$4407,'Tracking Sheet'!B1319,'Production '!$S$4:$S$4407)</f>
        <v>0</v>
      </c>
      <c r="F1319" s="76">
        <f ca="1">SUMIF('Production '!$C$4:$AI$4407,'Tracking Sheet'!B1319,'Production '!$U$4:$U$4407)</f>
        <v>4326</v>
      </c>
      <c r="G1319" s="76">
        <f ca="1">SUMIF('Production '!$C$4:$AI$4407,'Tracking Sheet'!B1319,'Production '!$W$4:$W$4407)</f>
        <v>46444</v>
      </c>
      <c r="H1319" s="76">
        <f ca="1">SUMIF('Production '!$C$4:$AI$4407,'Tracking Sheet'!B1319,'Production '!$F$4:$F$4407)</f>
        <v>49920</v>
      </c>
      <c r="I1319" s="76">
        <f ca="1">SUMIF('Production '!$C$4:$AI$4407,'Tracking Sheet'!B1319,'Production '!$V$4:$V$4407)</f>
        <v>0</v>
      </c>
      <c r="J1319" s="76">
        <f ca="1">SUMIF('Production '!$C$4:$AI$4407,'Tracking Sheet'!B1319,'Production '!$AG$4:$AG$4407)</f>
        <v>0</v>
      </c>
    </row>
    <row r="1320" spans="2:10" x14ac:dyDescent="0.3">
      <c r="B1320" s="277" t="str">
        <f>'Production '!C1323</f>
        <v>44077 8th</v>
      </c>
      <c r="C1320" s="76">
        <f ca="1">SUMIF('Production '!$C$4:$AI$4407,'Tracking Sheet'!B1320,'Production '!$M$4:$M$4407)</f>
        <v>50770</v>
      </c>
      <c r="D1320" s="76">
        <f ca="1">SUMIF('Production '!$C$4:$AI$4407,'Tracking Sheet'!B1320,'Production '!$Q$4:$Q$4407)</f>
        <v>0</v>
      </c>
      <c r="E1320" s="76">
        <f ca="1">SUMIF('Production '!$C$4:$AI$4407,'Tracking Sheet'!B1320,'Production '!$S$4:$S$4407)</f>
        <v>0</v>
      </c>
      <c r="F1320" s="76">
        <f ca="1">SUMIF('Production '!$C$4:$AI$4407,'Tracking Sheet'!B1320,'Production '!$U$4:$U$4407)</f>
        <v>4326</v>
      </c>
      <c r="G1320" s="76">
        <f ca="1">SUMIF('Production '!$C$4:$AI$4407,'Tracking Sheet'!B1320,'Production '!$W$4:$W$4407)</f>
        <v>46444</v>
      </c>
      <c r="H1320" s="76">
        <f ca="1">SUMIF('Production '!$C$4:$AI$4407,'Tracking Sheet'!B1320,'Production '!$F$4:$F$4407)</f>
        <v>49920</v>
      </c>
      <c r="I1320" s="76">
        <f ca="1">SUMIF('Production '!$C$4:$AI$4407,'Tracking Sheet'!B1320,'Production '!$V$4:$V$4407)</f>
        <v>0</v>
      </c>
      <c r="J1320" s="76">
        <f ca="1">SUMIF('Production '!$C$4:$AI$4407,'Tracking Sheet'!B1320,'Production '!$AG$4:$AG$4407)</f>
        <v>0</v>
      </c>
    </row>
    <row r="1321" spans="2:10" x14ac:dyDescent="0.3">
      <c r="B1321" s="277" t="str">
        <f>'Production '!C1324</f>
        <v>44077 8th</v>
      </c>
      <c r="C1321" s="76">
        <f ca="1">SUMIF('Production '!$C$4:$AI$4407,'Tracking Sheet'!B1321,'Production '!$M$4:$M$4407)</f>
        <v>50770</v>
      </c>
      <c r="D1321" s="76">
        <f ca="1">SUMIF('Production '!$C$4:$AI$4407,'Tracking Sheet'!B1321,'Production '!$Q$4:$Q$4407)</f>
        <v>0</v>
      </c>
      <c r="E1321" s="76">
        <f ca="1">SUMIF('Production '!$C$4:$AI$4407,'Tracking Sheet'!B1321,'Production '!$S$4:$S$4407)</f>
        <v>0</v>
      </c>
      <c r="F1321" s="76">
        <f ca="1">SUMIF('Production '!$C$4:$AI$4407,'Tracking Sheet'!B1321,'Production '!$U$4:$U$4407)</f>
        <v>4326</v>
      </c>
      <c r="G1321" s="76">
        <f ca="1">SUMIF('Production '!$C$4:$AI$4407,'Tracking Sheet'!B1321,'Production '!$W$4:$W$4407)</f>
        <v>46444</v>
      </c>
      <c r="H1321" s="76">
        <f ca="1">SUMIF('Production '!$C$4:$AI$4407,'Tracking Sheet'!B1321,'Production '!$F$4:$F$4407)</f>
        <v>49920</v>
      </c>
      <c r="I1321" s="76">
        <f ca="1">SUMIF('Production '!$C$4:$AI$4407,'Tracking Sheet'!B1321,'Production '!$V$4:$V$4407)</f>
        <v>0</v>
      </c>
      <c r="J1321" s="76">
        <f ca="1">SUMIF('Production '!$C$4:$AI$4407,'Tracking Sheet'!B1321,'Production '!$AG$4:$AG$4407)</f>
        <v>0</v>
      </c>
    </row>
    <row r="1322" spans="2:10" x14ac:dyDescent="0.3">
      <c r="B1322" s="277" t="str">
        <f>'Production '!C1325</f>
        <v>44077 8th</v>
      </c>
      <c r="C1322" s="76">
        <f ca="1">SUMIF('Production '!$C$4:$AI$4407,'Tracking Sheet'!B1322,'Production '!$M$4:$M$4407)</f>
        <v>50770</v>
      </c>
      <c r="D1322" s="76">
        <f ca="1">SUMIF('Production '!$C$4:$AI$4407,'Tracking Sheet'!B1322,'Production '!$Q$4:$Q$4407)</f>
        <v>0</v>
      </c>
      <c r="E1322" s="76">
        <f ca="1">SUMIF('Production '!$C$4:$AI$4407,'Tracking Sheet'!B1322,'Production '!$S$4:$S$4407)</f>
        <v>0</v>
      </c>
      <c r="F1322" s="76">
        <f ca="1">SUMIF('Production '!$C$4:$AI$4407,'Tracking Sheet'!B1322,'Production '!$U$4:$U$4407)</f>
        <v>4326</v>
      </c>
      <c r="G1322" s="76">
        <f ca="1">SUMIF('Production '!$C$4:$AI$4407,'Tracking Sheet'!B1322,'Production '!$W$4:$W$4407)</f>
        <v>46444</v>
      </c>
      <c r="H1322" s="76">
        <f ca="1">SUMIF('Production '!$C$4:$AI$4407,'Tracking Sheet'!B1322,'Production '!$F$4:$F$4407)</f>
        <v>49920</v>
      </c>
      <c r="I1322" s="76">
        <f ca="1">SUMIF('Production '!$C$4:$AI$4407,'Tracking Sheet'!B1322,'Production '!$V$4:$V$4407)</f>
        <v>0</v>
      </c>
      <c r="J1322" s="76">
        <f ca="1">SUMIF('Production '!$C$4:$AI$4407,'Tracking Sheet'!B1322,'Production '!$AG$4:$AG$4407)</f>
        <v>0</v>
      </c>
    </row>
    <row r="1323" spans="2:10" x14ac:dyDescent="0.3">
      <c r="B1323" s="277" t="str">
        <f>'Production '!C1326</f>
        <v>44077 8th</v>
      </c>
      <c r="C1323" s="76">
        <f ca="1">SUMIF('Production '!$C$4:$AI$4407,'Tracking Sheet'!B1323,'Production '!$M$4:$M$4407)</f>
        <v>50770</v>
      </c>
      <c r="D1323" s="76">
        <f ca="1">SUMIF('Production '!$C$4:$AI$4407,'Tracking Sheet'!B1323,'Production '!$Q$4:$Q$4407)</f>
        <v>0</v>
      </c>
      <c r="E1323" s="76">
        <f ca="1">SUMIF('Production '!$C$4:$AI$4407,'Tracking Sheet'!B1323,'Production '!$S$4:$S$4407)</f>
        <v>0</v>
      </c>
      <c r="F1323" s="76">
        <f ca="1">SUMIF('Production '!$C$4:$AI$4407,'Tracking Sheet'!B1323,'Production '!$U$4:$U$4407)</f>
        <v>4326</v>
      </c>
      <c r="G1323" s="76">
        <f ca="1">SUMIF('Production '!$C$4:$AI$4407,'Tracking Sheet'!B1323,'Production '!$W$4:$W$4407)</f>
        <v>46444</v>
      </c>
      <c r="H1323" s="76">
        <f ca="1">SUMIF('Production '!$C$4:$AI$4407,'Tracking Sheet'!B1323,'Production '!$F$4:$F$4407)</f>
        <v>49920</v>
      </c>
      <c r="I1323" s="76">
        <f ca="1">SUMIF('Production '!$C$4:$AI$4407,'Tracking Sheet'!B1323,'Production '!$V$4:$V$4407)</f>
        <v>0</v>
      </c>
      <c r="J1323" s="76">
        <f ca="1">SUMIF('Production '!$C$4:$AI$4407,'Tracking Sheet'!B1323,'Production '!$AG$4:$AG$4407)</f>
        <v>0</v>
      </c>
    </row>
    <row r="1324" spans="2:10" x14ac:dyDescent="0.3">
      <c r="B1324" s="277" t="str">
        <f>'Production '!C1327</f>
        <v>44077 8th</v>
      </c>
      <c r="C1324" s="76">
        <f ca="1">SUMIF('Production '!$C$4:$AI$4407,'Tracking Sheet'!B1324,'Production '!$M$4:$M$4407)</f>
        <v>50770</v>
      </c>
      <c r="D1324" s="76">
        <f ca="1">SUMIF('Production '!$C$4:$AI$4407,'Tracking Sheet'!B1324,'Production '!$Q$4:$Q$4407)</f>
        <v>0</v>
      </c>
      <c r="E1324" s="76">
        <f ca="1">SUMIF('Production '!$C$4:$AI$4407,'Tracking Sheet'!B1324,'Production '!$S$4:$S$4407)</f>
        <v>0</v>
      </c>
      <c r="F1324" s="76">
        <f ca="1">SUMIF('Production '!$C$4:$AI$4407,'Tracking Sheet'!B1324,'Production '!$U$4:$U$4407)</f>
        <v>4326</v>
      </c>
      <c r="G1324" s="76">
        <f ca="1">SUMIF('Production '!$C$4:$AI$4407,'Tracking Sheet'!B1324,'Production '!$W$4:$W$4407)</f>
        <v>46444</v>
      </c>
      <c r="H1324" s="76">
        <f ca="1">SUMIF('Production '!$C$4:$AI$4407,'Tracking Sheet'!B1324,'Production '!$F$4:$F$4407)</f>
        <v>49920</v>
      </c>
      <c r="I1324" s="76">
        <f ca="1">SUMIF('Production '!$C$4:$AI$4407,'Tracking Sheet'!B1324,'Production '!$V$4:$V$4407)</f>
        <v>0</v>
      </c>
      <c r="J1324" s="76">
        <f ca="1">SUMIF('Production '!$C$4:$AI$4407,'Tracking Sheet'!B1324,'Production '!$AG$4:$AG$4407)</f>
        <v>0</v>
      </c>
    </row>
    <row r="1325" spans="2:10" x14ac:dyDescent="0.3">
      <c r="B1325" s="277" t="str">
        <f>'Production '!C1328</f>
        <v>44077 8th</v>
      </c>
      <c r="C1325" s="76">
        <f ca="1">SUMIF('Production '!$C$4:$AI$4407,'Tracking Sheet'!B1325,'Production '!$M$4:$M$4407)</f>
        <v>50770</v>
      </c>
      <c r="D1325" s="76">
        <f ca="1">SUMIF('Production '!$C$4:$AI$4407,'Tracking Sheet'!B1325,'Production '!$Q$4:$Q$4407)</f>
        <v>0</v>
      </c>
      <c r="E1325" s="76">
        <f ca="1">SUMIF('Production '!$C$4:$AI$4407,'Tracking Sheet'!B1325,'Production '!$S$4:$S$4407)</f>
        <v>0</v>
      </c>
      <c r="F1325" s="76">
        <f ca="1">SUMIF('Production '!$C$4:$AI$4407,'Tracking Sheet'!B1325,'Production '!$U$4:$U$4407)</f>
        <v>4326</v>
      </c>
      <c r="G1325" s="76">
        <f ca="1">SUMIF('Production '!$C$4:$AI$4407,'Tracking Sheet'!B1325,'Production '!$W$4:$W$4407)</f>
        <v>46444</v>
      </c>
      <c r="H1325" s="76">
        <f ca="1">SUMIF('Production '!$C$4:$AI$4407,'Tracking Sheet'!B1325,'Production '!$F$4:$F$4407)</f>
        <v>49920</v>
      </c>
      <c r="I1325" s="76">
        <f ca="1">SUMIF('Production '!$C$4:$AI$4407,'Tracking Sheet'!B1325,'Production '!$V$4:$V$4407)</f>
        <v>0</v>
      </c>
      <c r="J1325" s="76">
        <f ca="1">SUMIF('Production '!$C$4:$AI$4407,'Tracking Sheet'!B1325,'Production '!$AG$4:$AG$4407)</f>
        <v>0</v>
      </c>
    </row>
    <row r="1326" spans="2:10" x14ac:dyDescent="0.3">
      <c r="B1326" s="277" t="str">
        <f>'Production '!C1329</f>
        <v>44077 8th</v>
      </c>
      <c r="C1326" s="76">
        <f ca="1">SUMIF('Production '!$C$4:$AI$4407,'Tracking Sheet'!B1326,'Production '!$M$4:$M$4407)</f>
        <v>50770</v>
      </c>
      <c r="D1326" s="76">
        <f ca="1">SUMIF('Production '!$C$4:$AI$4407,'Tracking Sheet'!B1326,'Production '!$Q$4:$Q$4407)</f>
        <v>0</v>
      </c>
      <c r="E1326" s="76">
        <f ca="1">SUMIF('Production '!$C$4:$AI$4407,'Tracking Sheet'!B1326,'Production '!$S$4:$S$4407)</f>
        <v>0</v>
      </c>
      <c r="F1326" s="76">
        <f ca="1">SUMIF('Production '!$C$4:$AI$4407,'Tracking Sheet'!B1326,'Production '!$U$4:$U$4407)</f>
        <v>4326</v>
      </c>
      <c r="G1326" s="76">
        <f ca="1">SUMIF('Production '!$C$4:$AI$4407,'Tracking Sheet'!B1326,'Production '!$W$4:$W$4407)</f>
        <v>46444</v>
      </c>
      <c r="H1326" s="76">
        <f ca="1">SUMIF('Production '!$C$4:$AI$4407,'Tracking Sheet'!B1326,'Production '!$F$4:$F$4407)</f>
        <v>49920</v>
      </c>
      <c r="I1326" s="76">
        <f ca="1">SUMIF('Production '!$C$4:$AI$4407,'Tracking Sheet'!B1326,'Production '!$V$4:$V$4407)</f>
        <v>0</v>
      </c>
      <c r="J1326" s="76">
        <f ca="1">SUMIF('Production '!$C$4:$AI$4407,'Tracking Sheet'!B1326,'Production '!$AG$4:$AG$4407)</f>
        <v>0</v>
      </c>
    </row>
    <row r="1327" spans="2:10" x14ac:dyDescent="0.3">
      <c r="B1327" s="277" t="str">
        <f>'Production '!C1330</f>
        <v>44077 8th</v>
      </c>
      <c r="C1327" s="76">
        <f ca="1">SUMIF('Production '!$C$4:$AI$4407,'Tracking Sheet'!B1327,'Production '!$M$4:$M$4407)</f>
        <v>50770</v>
      </c>
      <c r="D1327" s="76">
        <f ca="1">SUMIF('Production '!$C$4:$AI$4407,'Tracking Sheet'!B1327,'Production '!$Q$4:$Q$4407)</f>
        <v>0</v>
      </c>
      <c r="E1327" s="76">
        <f ca="1">SUMIF('Production '!$C$4:$AI$4407,'Tracking Sheet'!B1327,'Production '!$S$4:$S$4407)</f>
        <v>0</v>
      </c>
      <c r="F1327" s="76">
        <f ca="1">SUMIF('Production '!$C$4:$AI$4407,'Tracking Sheet'!B1327,'Production '!$U$4:$U$4407)</f>
        <v>4326</v>
      </c>
      <c r="G1327" s="76">
        <f ca="1">SUMIF('Production '!$C$4:$AI$4407,'Tracking Sheet'!B1327,'Production '!$W$4:$W$4407)</f>
        <v>46444</v>
      </c>
      <c r="H1327" s="76">
        <f ca="1">SUMIF('Production '!$C$4:$AI$4407,'Tracking Sheet'!B1327,'Production '!$F$4:$F$4407)</f>
        <v>49920</v>
      </c>
      <c r="I1327" s="76">
        <f ca="1">SUMIF('Production '!$C$4:$AI$4407,'Tracking Sheet'!B1327,'Production '!$V$4:$V$4407)</f>
        <v>0</v>
      </c>
      <c r="J1327" s="76">
        <f ca="1">SUMIF('Production '!$C$4:$AI$4407,'Tracking Sheet'!B1327,'Production '!$AG$4:$AG$4407)</f>
        <v>0</v>
      </c>
    </row>
    <row r="1328" spans="2:10" x14ac:dyDescent="0.3">
      <c r="B1328" s="277">
        <f>'Production '!C1331</f>
        <v>0</v>
      </c>
      <c r="C1328" s="76" t="e">
        <f ca="1">SUMIF('Production '!$C$4:$AI$4407,'Tracking Sheet'!B1328,'Production '!$M$4:$M$4407)</f>
        <v>#DIV/0!</v>
      </c>
      <c r="D1328" s="76" t="e">
        <f ca="1">SUMIF('Production '!$C$4:$AI$4407,'Tracking Sheet'!B1328,'Production '!$Q$4:$Q$4407)</f>
        <v>#DIV/0!</v>
      </c>
      <c r="E1328" s="76">
        <f ca="1">SUMIF('Production '!$C$4:$AI$4407,'Tracking Sheet'!B1328,'Production '!$S$4:$S$4407)</f>
        <v>-1268218.9828305368</v>
      </c>
      <c r="F1328" s="76">
        <f ca="1">SUMIF('Production '!$C$4:$AI$4407,'Tracking Sheet'!B1328,'Production '!$U$4:$U$4407)</f>
        <v>-10620.435600016917</v>
      </c>
      <c r="G1328" s="76" t="e">
        <f ca="1">SUMIF('Production '!$C$4:$AI$4407,'Tracking Sheet'!B1328,'Production '!$W$4:$W$4407)</f>
        <v>#DIV/0!</v>
      </c>
      <c r="H1328" s="76">
        <f ca="1">SUMIF('Production '!$C$4:$AI$4407,'Tracking Sheet'!B1328,'Production '!$F$4:$F$4407)</f>
        <v>3230621.3283604058</v>
      </c>
      <c r="I1328" s="76">
        <f ca="1">SUMIF('Production '!$C$4:$AI$4407,'Tracking Sheet'!B1328,'Production '!$V$4:$V$4407)</f>
        <v>-489.86487791182844</v>
      </c>
      <c r="J1328" s="76">
        <f ca="1">SUMIF('Production '!$C$4:$AI$4407,'Tracking Sheet'!B1328,'Production '!$AG$4:$AG$4407)</f>
        <v>0</v>
      </c>
    </row>
    <row r="1329" spans="2:10" x14ac:dyDescent="0.3">
      <c r="B1329" s="277" t="str">
        <f>'Production '!C1332</f>
        <v>44077 9th</v>
      </c>
      <c r="C1329" s="76">
        <f ca="1">SUMIF('Production '!$C$4:$AI$4407,'Tracking Sheet'!B1329,'Production '!$M$4:$M$4407)</f>
        <v>6973</v>
      </c>
      <c r="D1329" s="76">
        <f ca="1">SUMIF('Production '!$C$4:$AI$4407,'Tracking Sheet'!B1329,'Production '!$Q$4:$Q$4407)</f>
        <v>0</v>
      </c>
      <c r="E1329" s="76">
        <f ca="1">SUMIF('Production '!$C$4:$AI$4407,'Tracking Sheet'!B1329,'Production '!$S$4:$S$4407)</f>
        <v>0</v>
      </c>
      <c r="F1329" s="76">
        <f ca="1">SUMIF('Production '!$C$4:$AI$4407,'Tracking Sheet'!B1329,'Production '!$U$4:$U$4407)</f>
        <v>6973</v>
      </c>
      <c r="G1329" s="76">
        <f ca="1">SUMIF('Production '!$C$4:$AI$4407,'Tracking Sheet'!B1329,'Production '!$W$4:$W$4407)</f>
        <v>0</v>
      </c>
      <c r="H1329" s="76">
        <f ca="1">SUMIF('Production '!$C$4:$AI$4407,'Tracking Sheet'!B1329,'Production '!$F$4:$F$4407)</f>
        <v>10125</v>
      </c>
      <c r="I1329" s="76">
        <f ca="1">SUMIF('Production '!$C$4:$AI$4407,'Tracking Sheet'!B1329,'Production '!$V$4:$V$4407)</f>
        <v>0</v>
      </c>
      <c r="J1329" s="76">
        <f ca="1">SUMIF('Production '!$C$4:$AI$4407,'Tracking Sheet'!B1329,'Production '!$AG$4:$AG$4407)</f>
        <v>-3240</v>
      </c>
    </row>
    <row r="1330" spans="2:10" x14ac:dyDescent="0.3">
      <c r="B1330" s="277" t="str">
        <f>'Production '!C1333</f>
        <v>44077 9th</v>
      </c>
      <c r="C1330" s="76">
        <f ca="1">SUMIF('Production '!$C$4:$AI$4407,'Tracking Sheet'!B1330,'Production '!$M$4:$M$4407)</f>
        <v>6973</v>
      </c>
      <c r="D1330" s="76">
        <f ca="1">SUMIF('Production '!$C$4:$AI$4407,'Tracking Sheet'!B1330,'Production '!$Q$4:$Q$4407)</f>
        <v>0</v>
      </c>
      <c r="E1330" s="76">
        <f ca="1">SUMIF('Production '!$C$4:$AI$4407,'Tracking Sheet'!B1330,'Production '!$S$4:$S$4407)</f>
        <v>0</v>
      </c>
      <c r="F1330" s="76">
        <f ca="1">SUMIF('Production '!$C$4:$AI$4407,'Tracking Sheet'!B1330,'Production '!$U$4:$U$4407)</f>
        <v>6973</v>
      </c>
      <c r="G1330" s="76">
        <f ca="1">SUMIF('Production '!$C$4:$AI$4407,'Tracking Sheet'!B1330,'Production '!$W$4:$W$4407)</f>
        <v>0</v>
      </c>
      <c r="H1330" s="76">
        <f ca="1">SUMIF('Production '!$C$4:$AI$4407,'Tracking Sheet'!B1330,'Production '!$F$4:$F$4407)</f>
        <v>10125</v>
      </c>
      <c r="I1330" s="76">
        <f ca="1">SUMIF('Production '!$C$4:$AI$4407,'Tracking Sheet'!B1330,'Production '!$V$4:$V$4407)</f>
        <v>0</v>
      </c>
      <c r="J1330" s="76">
        <f ca="1">SUMIF('Production '!$C$4:$AI$4407,'Tracking Sheet'!B1330,'Production '!$AG$4:$AG$4407)</f>
        <v>-3240</v>
      </c>
    </row>
    <row r="1331" spans="2:10" x14ac:dyDescent="0.3">
      <c r="B1331" s="277" t="str">
        <f>'Production '!C1334</f>
        <v>44077 9th</v>
      </c>
      <c r="C1331" s="76">
        <f ca="1">SUMIF('Production '!$C$4:$AI$4407,'Tracking Sheet'!B1331,'Production '!$M$4:$M$4407)</f>
        <v>6973</v>
      </c>
      <c r="D1331" s="76">
        <f ca="1">SUMIF('Production '!$C$4:$AI$4407,'Tracking Sheet'!B1331,'Production '!$Q$4:$Q$4407)</f>
        <v>0</v>
      </c>
      <c r="E1331" s="76">
        <f ca="1">SUMIF('Production '!$C$4:$AI$4407,'Tracking Sheet'!B1331,'Production '!$S$4:$S$4407)</f>
        <v>0</v>
      </c>
      <c r="F1331" s="76">
        <f ca="1">SUMIF('Production '!$C$4:$AI$4407,'Tracking Sheet'!B1331,'Production '!$U$4:$U$4407)</f>
        <v>6973</v>
      </c>
      <c r="G1331" s="76">
        <f ca="1">SUMIF('Production '!$C$4:$AI$4407,'Tracking Sheet'!B1331,'Production '!$W$4:$W$4407)</f>
        <v>0</v>
      </c>
      <c r="H1331" s="76">
        <f ca="1">SUMIF('Production '!$C$4:$AI$4407,'Tracking Sheet'!B1331,'Production '!$F$4:$F$4407)</f>
        <v>10125</v>
      </c>
      <c r="I1331" s="76">
        <f ca="1">SUMIF('Production '!$C$4:$AI$4407,'Tracking Sheet'!B1331,'Production '!$V$4:$V$4407)</f>
        <v>0</v>
      </c>
      <c r="J1331" s="76">
        <f ca="1">SUMIF('Production '!$C$4:$AI$4407,'Tracking Sheet'!B1331,'Production '!$AG$4:$AG$4407)</f>
        <v>-3240</v>
      </c>
    </row>
    <row r="1332" spans="2:10" x14ac:dyDescent="0.3">
      <c r="B1332" s="277" t="str">
        <f>'Production '!C1335</f>
        <v>44077 9th</v>
      </c>
      <c r="C1332" s="76">
        <f ca="1">SUMIF('Production '!$C$4:$AI$4407,'Tracking Sheet'!B1332,'Production '!$M$4:$M$4407)</f>
        <v>6973</v>
      </c>
      <c r="D1332" s="76">
        <f ca="1">SUMIF('Production '!$C$4:$AI$4407,'Tracking Sheet'!B1332,'Production '!$Q$4:$Q$4407)</f>
        <v>0</v>
      </c>
      <c r="E1332" s="76">
        <f ca="1">SUMIF('Production '!$C$4:$AI$4407,'Tracking Sheet'!B1332,'Production '!$S$4:$S$4407)</f>
        <v>0</v>
      </c>
      <c r="F1332" s="76">
        <f ca="1">SUMIF('Production '!$C$4:$AI$4407,'Tracking Sheet'!B1332,'Production '!$U$4:$U$4407)</f>
        <v>6973</v>
      </c>
      <c r="G1332" s="76">
        <f ca="1">SUMIF('Production '!$C$4:$AI$4407,'Tracking Sheet'!B1332,'Production '!$W$4:$W$4407)</f>
        <v>0</v>
      </c>
      <c r="H1332" s="76">
        <f ca="1">SUMIF('Production '!$C$4:$AI$4407,'Tracking Sheet'!B1332,'Production '!$F$4:$F$4407)</f>
        <v>10125</v>
      </c>
      <c r="I1332" s="76">
        <f ca="1">SUMIF('Production '!$C$4:$AI$4407,'Tracking Sheet'!B1332,'Production '!$V$4:$V$4407)</f>
        <v>0</v>
      </c>
      <c r="J1332" s="76">
        <f ca="1">SUMIF('Production '!$C$4:$AI$4407,'Tracking Sheet'!B1332,'Production '!$AG$4:$AG$4407)</f>
        <v>-3240</v>
      </c>
    </row>
    <row r="1333" spans="2:10" x14ac:dyDescent="0.3">
      <c r="B1333" s="277" t="str">
        <f>'Production '!C1336</f>
        <v>44077 9th</v>
      </c>
      <c r="C1333" s="76">
        <f ca="1">SUMIF('Production '!$C$4:$AI$4407,'Tracking Sheet'!B1333,'Production '!$M$4:$M$4407)</f>
        <v>6973</v>
      </c>
      <c r="D1333" s="76">
        <f ca="1">SUMIF('Production '!$C$4:$AI$4407,'Tracking Sheet'!B1333,'Production '!$Q$4:$Q$4407)</f>
        <v>0</v>
      </c>
      <c r="E1333" s="76">
        <f ca="1">SUMIF('Production '!$C$4:$AI$4407,'Tracking Sheet'!B1333,'Production '!$S$4:$S$4407)</f>
        <v>0</v>
      </c>
      <c r="F1333" s="76">
        <f ca="1">SUMIF('Production '!$C$4:$AI$4407,'Tracking Sheet'!B1333,'Production '!$U$4:$U$4407)</f>
        <v>6973</v>
      </c>
      <c r="G1333" s="76">
        <f ca="1">SUMIF('Production '!$C$4:$AI$4407,'Tracking Sheet'!B1333,'Production '!$W$4:$W$4407)</f>
        <v>0</v>
      </c>
      <c r="H1333" s="76">
        <f ca="1">SUMIF('Production '!$C$4:$AI$4407,'Tracking Sheet'!B1333,'Production '!$F$4:$F$4407)</f>
        <v>10125</v>
      </c>
      <c r="I1333" s="76">
        <f ca="1">SUMIF('Production '!$C$4:$AI$4407,'Tracking Sheet'!B1333,'Production '!$V$4:$V$4407)</f>
        <v>0</v>
      </c>
      <c r="J1333" s="76">
        <f ca="1">SUMIF('Production '!$C$4:$AI$4407,'Tracking Sheet'!B1333,'Production '!$AG$4:$AG$4407)</f>
        <v>-3240</v>
      </c>
    </row>
    <row r="1334" spans="2:10" x14ac:dyDescent="0.3">
      <c r="B1334" s="277" t="str">
        <f>'Production '!C1337</f>
        <v>44077 9th</v>
      </c>
      <c r="C1334" s="76">
        <f ca="1">SUMIF('Production '!$C$4:$AI$4407,'Tracking Sheet'!B1334,'Production '!$M$4:$M$4407)</f>
        <v>6973</v>
      </c>
      <c r="D1334" s="76">
        <f ca="1">SUMIF('Production '!$C$4:$AI$4407,'Tracking Sheet'!B1334,'Production '!$Q$4:$Q$4407)</f>
        <v>0</v>
      </c>
      <c r="E1334" s="76">
        <f ca="1">SUMIF('Production '!$C$4:$AI$4407,'Tracking Sheet'!B1334,'Production '!$S$4:$S$4407)</f>
        <v>0</v>
      </c>
      <c r="F1334" s="76">
        <f ca="1">SUMIF('Production '!$C$4:$AI$4407,'Tracking Sheet'!B1334,'Production '!$U$4:$U$4407)</f>
        <v>6973</v>
      </c>
      <c r="G1334" s="76">
        <f ca="1">SUMIF('Production '!$C$4:$AI$4407,'Tracking Sheet'!B1334,'Production '!$W$4:$W$4407)</f>
        <v>0</v>
      </c>
      <c r="H1334" s="76">
        <f ca="1">SUMIF('Production '!$C$4:$AI$4407,'Tracking Sheet'!B1334,'Production '!$F$4:$F$4407)</f>
        <v>10125</v>
      </c>
      <c r="I1334" s="76">
        <f ca="1">SUMIF('Production '!$C$4:$AI$4407,'Tracking Sheet'!B1334,'Production '!$V$4:$V$4407)</f>
        <v>0</v>
      </c>
      <c r="J1334" s="76">
        <f ca="1">SUMIF('Production '!$C$4:$AI$4407,'Tracking Sheet'!B1334,'Production '!$AG$4:$AG$4407)</f>
        <v>-3240</v>
      </c>
    </row>
    <row r="1335" spans="2:10" x14ac:dyDescent="0.3">
      <c r="B1335" s="277" t="str">
        <f>'Production '!C1338</f>
        <v>44077 9th</v>
      </c>
      <c r="C1335" s="76">
        <f ca="1">SUMIF('Production '!$C$4:$AI$4407,'Tracking Sheet'!B1335,'Production '!$M$4:$M$4407)</f>
        <v>6973</v>
      </c>
      <c r="D1335" s="76">
        <f ca="1">SUMIF('Production '!$C$4:$AI$4407,'Tracking Sheet'!B1335,'Production '!$Q$4:$Q$4407)</f>
        <v>0</v>
      </c>
      <c r="E1335" s="76">
        <f ca="1">SUMIF('Production '!$C$4:$AI$4407,'Tracking Sheet'!B1335,'Production '!$S$4:$S$4407)</f>
        <v>0</v>
      </c>
      <c r="F1335" s="76">
        <f ca="1">SUMIF('Production '!$C$4:$AI$4407,'Tracking Sheet'!B1335,'Production '!$U$4:$U$4407)</f>
        <v>6973</v>
      </c>
      <c r="G1335" s="76">
        <f ca="1">SUMIF('Production '!$C$4:$AI$4407,'Tracking Sheet'!B1335,'Production '!$W$4:$W$4407)</f>
        <v>0</v>
      </c>
      <c r="H1335" s="76">
        <f ca="1">SUMIF('Production '!$C$4:$AI$4407,'Tracking Sheet'!B1335,'Production '!$F$4:$F$4407)</f>
        <v>10125</v>
      </c>
      <c r="I1335" s="76">
        <f ca="1">SUMIF('Production '!$C$4:$AI$4407,'Tracking Sheet'!B1335,'Production '!$V$4:$V$4407)</f>
        <v>0</v>
      </c>
      <c r="J1335" s="76">
        <f ca="1">SUMIF('Production '!$C$4:$AI$4407,'Tracking Sheet'!B1335,'Production '!$AG$4:$AG$4407)</f>
        <v>-3240</v>
      </c>
    </row>
    <row r="1336" spans="2:10" x14ac:dyDescent="0.3">
      <c r="B1336" s="277" t="str">
        <f>'Production '!C1339</f>
        <v>44077 9th</v>
      </c>
      <c r="C1336" s="76">
        <f ca="1">SUMIF('Production '!$C$4:$AI$4407,'Tracking Sheet'!B1336,'Production '!$M$4:$M$4407)</f>
        <v>6973</v>
      </c>
      <c r="D1336" s="76">
        <f ca="1">SUMIF('Production '!$C$4:$AI$4407,'Tracking Sheet'!B1336,'Production '!$Q$4:$Q$4407)</f>
        <v>0</v>
      </c>
      <c r="E1336" s="76">
        <f ca="1">SUMIF('Production '!$C$4:$AI$4407,'Tracking Sheet'!B1336,'Production '!$S$4:$S$4407)</f>
        <v>0</v>
      </c>
      <c r="F1336" s="76">
        <f ca="1">SUMIF('Production '!$C$4:$AI$4407,'Tracking Sheet'!B1336,'Production '!$U$4:$U$4407)</f>
        <v>6973</v>
      </c>
      <c r="G1336" s="76">
        <f ca="1">SUMIF('Production '!$C$4:$AI$4407,'Tracking Sheet'!B1336,'Production '!$W$4:$W$4407)</f>
        <v>0</v>
      </c>
      <c r="H1336" s="76">
        <f ca="1">SUMIF('Production '!$C$4:$AI$4407,'Tracking Sheet'!B1336,'Production '!$F$4:$F$4407)</f>
        <v>10125</v>
      </c>
      <c r="I1336" s="76">
        <f ca="1">SUMIF('Production '!$C$4:$AI$4407,'Tracking Sheet'!B1336,'Production '!$V$4:$V$4407)</f>
        <v>0</v>
      </c>
      <c r="J1336" s="76">
        <f ca="1">SUMIF('Production '!$C$4:$AI$4407,'Tracking Sheet'!B1336,'Production '!$AG$4:$AG$4407)</f>
        <v>-3240</v>
      </c>
    </row>
    <row r="1337" spans="2:10" x14ac:dyDescent="0.3">
      <c r="B1337" s="277" t="str">
        <f>'Production '!C1340</f>
        <v>44077 9th</v>
      </c>
      <c r="C1337" s="76">
        <f ca="1">SUMIF('Production '!$C$4:$AI$4407,'Tracking Sheet'!B1337,'Production '!$M$4:$M$4407)</f>
        <v>6973</v>
      </c>
      <c r="D1337" s="76">
        <f ca="1">SUMIF('Production '!$C$4:$AI$4407,'Tracking Sheet'!B1337,'Production '!$Q$4:$Q$4407)</f>
        <v>0</v>
      </c>
      <c r="E1337" s="76">
        <f ca="1">SUMIF('Production '!$C$4:$AI$4407,'Tracking Sheet'!B1337,'Production '!$S$4:$S$4407)</f>
        <v>0</v>
      </c>
      <c r="F1337" s="76">
        <f ca="1">SUMIF('Production '!$C$4:$AI$4407,'Tracking Sheet'!B1337,'Production '!$U$4:$U$4407)</f>
        <v>6973</v>
      </c>
      <c r="G1337" s="76">
        <f ca="1">SUMIF('Production '!$C$4:$AI$4407,'Tracking Sheet'!B1337,'Production '!$W$4:$W$4407)</f>
        <v>0</v>
      </c>
      <c r="H1337" s="76">
        <f ca="1">SUMIF('Production '!$C$4:$AI$4407,'Tracking Sheet'!B1337,'Production '!$F$4:$F$4407)</f>
        <v>10125</v>
      </c>
      <c r="I1337" s="76">
        <f ca="1">SUMIF('Production '!$C$4:$AI$4407,'Tracking Sheet'!B1337,'Production '!$V$4:$V$4407)</f>
        <v>0</v>
      </c>
      <c r="J1337" s="76">
        <f ca="1">SUMIF('Production '!$C$4:$AI$4407,'Tracking Sheet'!B1337,'Production '!$AG$4:$AG$4407)</f>
        <v>-3240</v>
      </c>
    </row>
    <row r="1338" spans="2:10" x14ac:dyDescent="0.3">
      <c r="B1338" s="277" t="str">
        <f>'Production '!C1341</f>
        <v>44077 9th</v>
      </c>
      <c r="C1338" s="76">
        <f ca="1">SUMIF('Production '!$C$4:$AI$4407,'Tracking Sheet'!B1338,'Production '!$M$4:$M$4407)</f>
        <v>6973</v>
      </c>
      <c r="D1338" s="76">
        <f ca="1">SUMIF('Production '!$C$4:$AI$4407,'Tracking Sheet'!B1338,'Production '!$Q$4:$Q$4407)</f>
        <v>0</v>
      </c>
      <c r="E1338" s="76">
        <f ca="1">SUMIF('Production '!$C$4:$AI$4407,'Tracking Sheet'!B1338,'Production '!$S$4:$S$4407)</f>
        <v>0</v>
      </c>
      <c r="F1338" s="76">
        <f ca="1">SUMIF('Production '!$C$4:$AI$4407,'Tracking Sheet'!B1338,'Production '!$U$4:$U$4407)</f>
        <v>6973</v>
      </c>
      <c r="G1338" s="76">
        <f ca="1">SUMIF('Production '!$C$4:$AI$4407,'Tracking Sheet'!B1338,'Production '!$W$4:$W$4407)</f>
        <v>0</v>
      </c>
      <c r="H1338" s="76">
        <f ca="1">SUMIF('Production '!$C$4:$AI$4407,'Tracking Sheet'!B1338,'Production '!$F$4:$F$4407)</f>
        <v>10125</v>
      </c>
      <c r="I1338" s="76">
        <f ca="1">SUMIF('Production '!$C$4:$AI$4407,'Tracking Sheet'!B1338,'Production '!$V$4:$V$4407)</f>
        <v>0</v>
      </c>
      <c r="J1338" s="76">
        <f ca="1">SUMIF('Production '!$C$4:$AI$4407,'Tracking Sheet'!B1338,'Production '!$AG$4:$AG$4407)</f>
        <v>-3240</v>
      </c>
    </row>
    <row r="1339" spans="2:10" x14ac:dyDescent="0.3">
      <c r="B1339" s="277" t="str">
        <f>'Production '!C1342</f>
        <v>44077 9th</v>
      </c>
      <c r="C1339" s="76">
        <f ca="1">SUMIF('Production '!$C$4:$AI$4407,'Tracking Sheet'!B1339,'Production '!$M$4:$M$4407)</f>
        <v>6973</v>
      </c>
      <c r="D1339" s="76">
        <f ca="1">SUMIF('Production '!$C$4:$AI$4407,'Tracking Sheet'!B1339,'Production '!$Q$4:$Q$4407)</f>
        <v>0</v>
      </c>
      <c r="E1339" s="76">
        <f ca="1">SUMIF('Production '!$C$4:$AI$4407,'Tracking Sheet'!B1339,'Production '!$S$4:$S$4407)</f>
        <v>0</v>
      </c>
      <c r="F1339" s="76">
        <f ca="1">SUMIF('Production '!$C$4:$AI$4407,'Tracking Sheet'!B1339,'Production '!$U$4:$U$4407)</f>
        <v>6973</v>
      </c>
      <c r="G1339" s="76">
        <f ca="1">SUMIF('Production '!$C$4:$AI$4407,'Tracking Sheet'!B1339,'Production '!$W$4:$W$4407)</f>
        <v>0</v>
      </c>
      <c r="H1339" s="76">
        <f ca="1">SUMIF('Production '!$C$4:$AI$4407,'Tracking Sheet'!B1339,'Production '!$F$4:$F$4407)</f>
        <v>10125</v>
      </c>
      <c r="I1339" s="76">
        <f ca="1">SUMIF('Production '!$C$4:$AI$4407,'Tracking Sheet'!B1339,'Production '!$V$4:$V$4407)</f>
        <v>0</v>
      </c>
      <c r="J1339" s="76">
        <f ca="1">SUMIF('Production '!$C$4:$AI$4407,'Tracking Sheet'!B1339,'Production '!$AG$4:$AG$4407)</f>
        <v>-3240</v>
      </c>
    </row>
    <row r="1340" spans="2:10" x14ac:dyDescent="0.3">
      <c r="B1340" s="277" t="str">
        <f>'Production '!C1343</f>
        <v>44077 9th</v>
      </c>
      <c r="C1340" s="76">
        <f ca="1">SUMIF('Production '!$C$4:$AI$4407,'Tracking Sheet'!B1340,'Production '!$M$4:$M$4407)</f>
        <v>6973</v>
      </c>
      <c r="D1340" s="76">
        <f ca="1">SUMIF('Production '!$C$4:$AI$4407,'Tracking Sheet'!B1340,'Production '!$Q$4:$Q$4407)</f>
        <v>0</v>
      </c>
      <c r="E1340" s="76">
        <f ca="1">SUMIF('Production '!$C$4:$AI$4407,'Tracking Sheet'!B1340,'Production '!$S$4:$S$4407)</f>
        <v>0</v>
      </c>
      <c r="F1340" s="76">
        <f ca="1">SUMIF('Production '!$C$4:$AI$4407,'Tracking Sheet'!B1340,'Production '!$U$4:$U$4407)</f>
        <v>6973</v>
      </c>
      <c r="G1340" s="76">
        <f ca="1">SUMIF('Production '!$C$4:$AI$4407,'Tracking Sheet'!B1340,'Production '!$W$4:$W$4407)</f>
        <v>0</v>
      </c>
      <c r="H1340" s="76">
        <f ca="1">SUMIF('Production '!$C$4:$AI$4407,'Tracking Sheet'!B1340,'Production '!$F$4:$F$4407)</f>
        <v>10125</v>
      </c>
      <c r="I1340" s="76">
        <f ca="1">SUMIF('Production '!$C$4:$AI$4407,'Tracking Sheet'!B1340,'Production '!$V$4:$V$4407)</f>
        <v>0</v>
      </c>
      <c r="J1340" s="76">
        <f ca="1">SUMIF('Production '!$C$4:$AI$4407,'Tracking Sheet'!B1340,'Production '!$AG$4:$AG$4407)</f>
        <v>-3240</v>
      </c>
    </row>
    <row r="1341" spans="2:10" x14ac:dyDescent="0.3">
      <c r="B1341" s="277" t="str">
        <f>'Production '!C1344</f>
        <v>44077 9th</v>
      </c>
      <c r="C1341" s="76">
        <f ca="1">SUMIF('Production '!$C$4:$AI$4407,'Tracking Sheet'!B1341,'Production '!$M$4:$M$4407)</f>
        <v>6973</v>
      </c>
      <c r="D1341" s="76">
        <f ca="1">SUMIF('Production '!$C$4:$AI$4407,'Tracking Sheet'!B1341,'Production '!$Q$4:$Q$4407)</f>
        <v>0</v>
      </c>
      <c r="E1341" s="76">
        <f ca="1">SUMIF('Production '!$C$4:$AI$4407,'Tracking Sheet'!B1341,'Production '!$S$4:$S$4407)</f>
        <v>0</v>
      </c>
      <c r="F1341" s="76">
        <f ca="1">SUMIF('Production '!$C$4:$AI$4407,'Tracking Sheet'!B1341,'Production '!$U$4:$U$4407)</f>
        <v>6973</v>
      </c>
      <c r="G1341" s="76">
        <f ca="1">SUMIF('Production '!$C$4:$AI$4407,'Tracking Sheet'!B1341,'Production '!$W$4:$W$4407)</f>
        <v>0</v>
      </c>
      <c r="H1341" s="76">
        <f ca="1">SUMIF('Production '!$C$4:$AI$4407,'Tracking Sheet'!B1341,'Production '!$F$4:$F$4407)</f>
        <v>10125</v>
      </c>
      <c r="I1341" s="76">
        <f ca="1">SUMIF('Production '!$C$4:$AI$4407,'Tracking Sheet'!B1341,'Production '!$V$4:$V$4407)</f>
        <v>0</v>
      </c>
      <c r="J1341" s="76">
        <f ca="1">SUMIF('Production '!$C$4:$AI$4407,'Tracking Sheet'!B1341,'Production '!$AG$4:$AG$4407)</f>
        <v>-3240</v>
      </c>
    </row>
    <row r="1342" spans="2:10" x14ac:dyDescent="0.3">
      <c r="B1342" s="277" t="str">
        <f>'Production '!C1345</f>
        <v>44077 9th</v>
      </c>
      <c r="C1342" s="76">
        <f ca="1">SUMIF('Production '!$C$4:$AI$4407,'Tracking Sheet'!B1342,'Production '!$M$4:$M$4407)</f>
        <v>6973</v>
      </c>
      <c r="D1342" s="76">
        <f ca="1">SUMIF('Production '!$C$4:$AI$4407,'Tracking Sheet'!B1342,'Production '!$Q$4:$Q$4407)</f>
        <v>0</v>
      </c>
      <c r="E1342" s="76">
        <f ca="1">SUMIF('Production '!$C$4:$AI$4407,'Tracking Sheet'!B1342,'Production '!$S$4:$S$4407)</f>
        <v>0</v>
      </c>
      <c r="F1342" s="76">
        <f ca="1">SUMIF('Production '!$C$4:$AI$4407,'Tracking Sheet'!B1342,'Production '!$U$4:$U$4407)</f>
        <v>6973</v>
      </c>
      <c r="G1342" s="76">
        <f ca="1">SUMIF('Production '!$C$4:$AI$4407,'Tracking Sheet'!B1342,'Production '!$W$4:$W$4407)</f>
        <v>0</v>
      </c>
      <c r="H1342" s="76">
        <f ca="1">SUMIF('Production '!$C$4:$AI$4407,'Tracking Sheet'!B1342,'Production '!$F$4:$F$4407)</f>
        <v>10125</v>
      </c>
      <c r="I1342" s="76">
        <f ca="1">SUMIF('Production '!$C$4:$AI$4407,'Tracking Sheet'!B1342,'Production '!$V$4:$V$4407)</f>
        <v>0</v>
      </c>
      <c r="J1342" s="76">
        <f ca="1">SUMIF('Production '!$C$4:$AI$4407,'Tracking Sheet'!B1342,'Production '!$AG$4:$AG$4407)</f>
        <v>-3240</v>
      </c>
    </row>
    <row r="1343" spans="2:10" x14ac:dyDescent="0.3">
      <c r="B1343" s="277" t="str">
        <f>'Production '!C1346</f>
        <v>44077 9th</v>
      </c>
      <c r="C1343" s="76">
        <f ca="1">SUMIF('Production '!$C$4:$AI$4407,'Tracking Sheet'!B1343,'Production '!$M$4:$M$4407)</f>
        <v>6973</v>
      </c>
      <c r="D1343" s="76">
        <f ca="1">SUMIF('Production '!$C$4:$AI$4407,'Tracking Sheet'!B1343,'Production '!$Q$4:$Q$4407)</f>
        <v>0</v>
      </c>
      <c r="E1343" s="76">
        <f ca="1">SUMIF('Production '!$C$4:$AI$4407,'Tracking Sheet'!B1343,'Production '!$S$4:$S$4407)</f>
        <v>0</v>
      </c>
      <c r="F1343" s="76">
        <f ca="1">SUMIF('Production '!$C$4:$AI$4407,'Tracking Sheet'!B1343,'Production '!$U$4:$U$4407)</f>
        <v>6973</v>
      </c>
      <c r="G1343" s="76">
        <f ca="1">SUMIF('Production '!$C$4:$AI$4407,'Tracking Sheet'!B1343,'Production '!$W$4:$W$4407)</f>
        <v>0</v>
      </c>
      <c r="H1343" s="76">
        <f ca="1">SUMIF('Production '!$C$4:$AI$4407,'Tracking Sheet'!B1343,'Production '!$F$4:$F$4407)</f>
        <v>10125</v>
      </c>
      <c r="I1343" s="76">
        <f ca="1">SUMIF('Production '!$C$4:$AI$4407,'Tracking Sheet'!B1343,'Production '!$V$4:$V$4407)</f>
        <v>0</v>
      </c>
      <c r="J1343" s="76">
        <f ca="1">SUMIF('Production '!$C$4:$AI$4407,'Tracking Sheet'!B1343,'Production '!$AG$4:$AG$4407)</f>
        <v>-3240</v>
      </c>
    </row>
    <row r="1344" spans="2:10" x14ac:dyDescent="0.3">
      <c r="B1344" s="277" t="str">
        <f>'Production '!C1347</f>
        <v>44077 9th</v>
      </c>
      <c r="C1344" s="76">
        <f ca="1">SUMIF('Production '!$C$4:$AI$4407,'Tracking Sheet'!B1344,'Production '!$M$4:$M$4407)</f>
        <v>6973</v>
      </c>
      <c r="D1344" s="76">
        <f ca="1">SUMIF('Production '!$C$4:$AI$4407,'Tracking Sheet'!B1344,'Production '!$Q$4:$Q$4407)</f>
        <v>0</v>
      </c>
      <c r="E1344" s="76">
        <f ca="1">SUMIF('Production '!$C$4:$AI$4407,'Tracking Sheet'!B1344,'Production '!$S$4:$S$4407)</f>
        <v>0</v>
      </c>
      <c r="F1344" s="76">
        <f ca="1">SUMIF('Production '!$C$4:$AI$4407,'Tracking Sheet'!B1344,'Production '!$U$4:$U$4407)</f>
        <v>6973</v>
      </c>
      <c r="G1344" s="76">
        <f ca="1">SUMIF('Production '!$C$4:$AI$4407,'Tracking Sheet'!B1344,'Production '!$W$4:$W$4407)</f>
        <v>0</v>
      </c>
      <c r="H1344" s="76">
        <f ca="1">SUMIF('Production '!$C$4:$AI$4407,'Tracking Sheet'!B1344,'Production '!$F$4:$F$4407)</f>
        <v>10125</v>
      </c>
      <c r="I1344" s="76">
        <f ca="1">SUMIF('Production '!$C$4:$AI$4407,'Tracking Sheet'!B1344,'Production '!$V$4:$V$4407)</f>
        <v>0</v>
      </c>
      <c r="J1344" s="76">
        <f ca="1">SUMIF('Production '!$C$4:$AI$4407,'Tracking Sheet'!B1344,'Production '!$AG$4:$AG$4407)</f>
        <v>-3240</v>
      </c>
    </row>
    <row r="1345" spans="2:10" x14ac:dyDescent="0.3">
      <c r="B1345" s="277" t="str">
        <f>'Production '!C1348</f>
        <v>44077 9th</v>
      </c>
      <c r="C1345" s="76">
        <f ca="1">SUMIF('Production '!$C$4:$AI$4407,'Tracking Sheet'!B1345,'Production '!$M$4:$M$4407)</f>
        <v>6973</v>
      </c>
      <c r="D1345" s="76">
        <f ca="1">SUMIF('Production '!$C$4:$AI$4407,'Tracking Sheet'!B1345,'Production '!$Q$4:$Q$4407)</f>
        <v>0</v>
      </c>
      <c r="E1345" s="76">
        <f ca="1">SUMIF('Production '!$C$4:$AI$4407,'Tracking Sheet'!B1345,'Production '!$S$4:$S$4407)</f>
        <v>0</v>
      </c>
      <c r="F1345" s="76">
        <f ca="1">SUMIF('Production '!$C$4:$AI$4407,'Tracking Sheet'!B1345,'Production '!$U$4:$U$4407)</f>
        <v>6973</v>
      </c>
      <c r="G1345" s="76">
        <f ca="1">SUMIF('Production '!$C$4:$AI$4407,'Tracking Sheet'!B1345,'Production '!$W$4:$W$4407)</f>
        <v>0</v>
      </c>
      <c r="H1345" s="76">
        <f ca="1">SUMIF('Production '!$C$4:$AI$4407,'Tracking Sheet'!B1345,'Production '!$F$4:$F$4407)</f>
        <v>10125</v>
      </c>
      <c r="I1345" s="76">
        <f ca="1">SUMIF('Production '!$C$4:$AI$4407,'Tracking Sheet'!B1345,'Production '!$V$4:$V$4407)</f>
        <v>0</v>
      </c>
      <c r="J1345" s="76">
        <f ca="1">SUMIF('Production '!$C$4:$AI$4407,'Tracking Sheet'!B1345,'Production '!$AG$4:$AG$4407)</f>
        <v>-3240</v>
      </c>
    </row>
    <row r="1346" spans="2:10" x14ac:dyDescent="0.3">
      <c r="B1346" s="277" t="str">
        <f>'Production '!C1349</f>
        <v>44077 9th</v>
      </c>
      <c r="C1346" s="76">
        <f ca="1">SUMIF('Production '!$C$4:$AI$4407,'Tracking Sheet'!B1346,'Production '!$M$4:$M$4407)</f>
        <v>6973</v>
      </c>
      <c r="D1346" s="76">
        <f ca="1">SUMIF('Production '!$C$4:$AI$4407,'Tracking Sheet'!B1346,'Production '!$Q$4:$Q$4407)</f>
        <v>0</v>
      </c>
      <c r="E1346" s="76">
        <f ca="1">SUMIF('Production '!$C$4:$AI$4407,'Tracking Sheet'!B1346,'Production '!$S$4:$S$4407)</f>
        <v>0</v>
      </c>
      <c r="F1346" s="76">
        <f ca="1">SUMIF('Production '!$C$4:$AI$4407,'Tracking Sheet'!B1346,'Production '!$U$4:$U$4407)</f>
        <v>6973</v>
      </c>
      <c r="G1346" s="76">
        <f ca="1">SUMIF('Production '!$C$4:$AI$4407,'Tracking Sheet'!B1346,'Production '!$W$4:$W$4407)</f>
        <v>0</v>
      </c>
      <c r="H1346" s="76">
        <f ca="1">SUMIF('Production '!$C$4:$AI$4407,'Tracking Sheet'!B1346,'Production '!$F$4:$F$4407)</f>
        <v>10125</v>
      </c>
      <c r="I1346" s="76">
        <f ca="1">SUMIF('Production '!$C$4:$AI$4407,'Tracking Sheet'!B1346,'Production '!$V$4:$V$4407)</f>
        <v>0</v>
      </c>
      <c r="J1346" s="76">
        <f ca="1">SUMIF('Production '!$C$4:$AI$4407,'Tracking Sheet'!B1346,'Production '!$AG$4:$AG$4407)</f>
        <v>-3240</v>
      </c>
    </row>
    <row r="1347" spans="2:10" x14ac:dyDescent="0.3">
      <c r="B1347" s="277" t="str">
        <f>'Production '!C1350</f>
        <v>44077 9th</v>
      </c>
      <c r="C1347" s="76">
        <f ca="1">SUMIF('Production '!$C$4:$AI$4407,'Tracking Sheet'!B1347,'Production '!$M$4:$M$4407)</f>
        <v>6973</v>
      </c>
      <c r="D1347" s="76">
        <f ca="1">SUMIF('Production '!$C$4:$AI$4407,'Tracking Sheet'!B1347,'Production '!$Q$4:$Q$4407)</f>
        <v>0</v>
      </c>
      <c r="E1347" s="76">
        <f ca="1">SUMIF('Production '!$C$4:$AI$4407,'Tracking Sheet'!B1347,'Production '!$S$4:$S$4407)</f>
        <v>0</v>
      </c>
      <c r="F1347" s="76">
        <f ca="1">SUMIF('Production '!$C$4:$AI$4407,'Tracking Sheet'!B1347,'Production '!$U$4:$U$4407)</f>
        <v>6973</v>
      </c>
      <c r="G1347" s="76">
        <f ca="1">SUMIF('Production '!$C$4:$AI$4407,'Tracking Sheet'!B1347,'Production '!$W$4:$W$4407)</f>
        <v>0</v>
      </c>
      <c r="H1347" s="76">
        <f ca="1">SUMIF('Production '!$C$4:$AI$4407,'Tracking Sheet'!B1347,'Production '!$F$4:$F$4407)</f>
        <v>10125</v>
      </c>
      <c r="I1347" s="76">
        <f ca="1">SUMIF('Production '!$C$4:$AI$4407,'Tracking Sheet'!B1347,'Production '!$V$4:$V$4407)</f>
        <v>0</v>
      </c>
      <c r="J1347" s="76">
        <f ca="1">SUMIF('Production '!$C$4:$AI$4407,'Tracking Sheet'!B1347,'Production '!$AG$4:$AG$4407)</f>
        <v>-3240</v>
      </c>
    </row>
    <row r="1348" spans="2:10" x14ac:dyDescent="0.3">
      <c r="B1348" s="277" t="str">
        <f>'Production '!C1351</f>
        <v>44077 9th</v>
      </c>
      <c r="C1348" s="76">
        <f ca="1">SUMIF('Production '!$C$4:$AI$4407,'Tracking Sheet'!B1348,'Production '!$M$4:$M$4407)</f>
        <v>6973</v>
      </c>
      <c r="D1348" s="76">
        <f ca="1">SUMIF('Production '!$C$4:$AI$4407,'Tracking Sheet'!B1348,'Production '!$Q$4:$Q$4407)</f>
        <v>0</v>
      </c>
      <c r="E1348" s="76">
        <f ca="1">SUMIF('Production '!$C$4:$AI$4407,'Tracking Sheet'!B1348,'Production '!$S$4:$S$4407)</f>
        <v>0</v>
      </c>
      <c r="F1348" s="76">
        <f ca="1">SUMIF('Production '!$C$4:$AI$4407,'Tracking Sheet'!B1348,'Production '!$U$4:$U$4407)</f>
        <v>6973</v>
      </c>
      <c r="G1348" s="76">
        <f ca="1">SUMIF('Production '!$C$4:$AI$4407,'Tracking Sheet'!B1348,'Production '!$W$4:$W$4407)</f>
        <v>0</v>
      </c>
      <c r="H1348" s="76">
        <f ca="1">SUMIF('Production '!$C$4:$AI$4407,'Tracking Sheet'!B1348,'Production '!$F$4:$F$4407)</f>
        <v>10125</v>
      </c>
      <c r="I1348" s="76">
        <f ca="1">SUMIF('Production '!$C$4:$AI$4407,'Tracking Sheet'!B1348,'Production '!$V$4:$V$4407)</f>
        <v>0</v>
      </c>
      <c r="J1348" s="76">
        <f ca="1">SUMIF('Production '!$C$4:$AI$4407,'Tracking Sheet'!B1348,'Production '!$AG$4:$AG$4407)</f>
        <v>-3240</v>
      </c>
    </row>
    <row r="1349" spans="2:10" x14ac:dyDescent="0.3">
      <c r="B1349" s="277" t="str">
        <f>'Production '!C1352</f>
        <v>44077 9th</v>
      </c>
      <c r="C1349" s="76">
        <f ca="1">SUMIF('Production '!$C$4:$AI$4407,'Tracking Sheet'!B1349,'Production '!$M$4:$M$4407)</f>
        <v>6973</v>
      </c>
      <c r="D1349" s="76">
        <f ca="1">SUMIF('Production '!$C$4:$AI$4407,'Tracking Sheet'!B1349,'Production '!$Q$4:$Q$4407)</f>
        <v>0</v>
      </c>
      <c r="E1349" s="76">
        <f ca="1">SUMIF('Production '!$C$4:$AI$4407,'Tracking Sheet'!B1349,'Production '!$S$4:$S$4407)</f>
        <v>0</v>
      </c>
      <c r="F1349" s="76">
        <f ca="1">SUMIF('Production '!$C$4:$AI$4407,'Tracking Sheet'!B1349,'Production '!$U$4:$U$4407)</f>
        <v>6973</v>
      </c>
      <c r="G1349" s="76">
        <f ca="1">SUMIF('Production '!$C$4:$AI$4407,'Tracking Sheet'!B1349,'Production '!$W$4:$W$4407)</f>
        <v>0</v>
      </c>
      <c r="H1349" s="76">
        <f ca="1">SUMIF('Production '!$C$4:$AI$4407,'Tracking Sheet'!B1349,'Production '!$F$4:$F$4407)</f>
        <v>10125</v>
      </c>
      <c r="I1349" s="76">
        <f ca="1">SUMIF('Production '!$C$4:$AI$4407,'Tracking Sheet'!B1349,'Production '!$V$4:$V$4407)</f>
        <v>0</v>
      </c>
      <c r="J1349" s="76">
        <f ca="1">SUMIF('Production '!$C$4:$AI$4407,'Tracking Sheet'!B1349,'Production '!$AG$4:$AG$4407)</f>
        <v>-3240</v>
      </c>
    </row>
    <row r="1350" spans="2:10" x14ac:dyDescent="0.3">
      <c r="B1350" s="277" t="str">
        <f>'Production '!C1353</f>
        <v>44077 9th</v>
      </c>
      <c r="C1350" s="76">
        <f ca="1">SUMIF('Production '!$C$4:$AI$4407,'Tracking Sheet'!B1350,'Production '!$M$4:$M$4407)</f>
        <v>6973</v>
      </c>
      <c r="D1350" s="76">
        <f ca="1">SUMIF('Production '!$C$4:$AI$4407,'Tracking Sheet'!B1350,'Production '!$Q$4:$Q$4407)</f>
        <v>0</v>
      </c>
      <c r="E1350" s="76">
        <f ca="1">SUMIF('Production '!$C$4:$AI$4407,'Tracking Sheet'!B1350,'Production '!$S$4:$S$4407)</f>
        <v>0</v>
      </c>
      <c r="F1350" s="76">
        <f ca="1">SUMIF('Production '!$C$4:$AI$4407,'Tracking Sheet'!B1350,'Production '!$U$4:$U$4407)</f>
        <v>6973</v>
      </c>
      <c r="G1350" s="76">
        <f ca="1">SUMIF('Production '!$C$4:$AI$4407,'Tracking Sheet'!B1350,'Production '!$W$4:$W$4407)</f>
        <v>0</v>
      </c>
      <c r="H1350" s="76">
        <f ca="1">SUMIF('Production '!$C$4:$AI$4407,'Tracking Sheet'!B1350,'Production '!$F$4:$F$4407)</f>
        <v>10125</v>
      </c>
      <c r="I1350" s="76">
        <f ca="1">SUMIF('Production '!$C$4:$AI$4407,'Tracking Sheet'!B1350,'Production '!$V$4:$V$4407)</f>
        <v>0</v>
      </c>
      <c r="J1350" s="76">
        <f ca="1">SUMIF('Production '!$C$4:$AI$4407,'Tracking Sheet'!B1350,'Production '!$AG$4:$AG$4407)</f>
        <v>-3240</v>
      </c>
    </row>
    <row r="1351" spans="2:10" x14ac:dyDescent="0.3">
      <c r="B1351" s="277" t="str">
        <f>'Production '!C1354</f>
        <v>44077 9th</v>
      </c>
      <c r="C1351" s="76">
        <f ca="1">SUMIF('Production '!$C$4:$AI$4407,'Tracking Sheet'!B1351,'Production '!$M$4:$M$4407)</f>
        <v>6973</v>
      </c>
      <c r="D1351" s="76">
        <f ca="1">SUMIF('Production '!$C$4:$AI$4407,'Tracking Sheet'!B1351,'Production '!$Q$4:$Q$4407)</f>
        <v>0</v>
      </c>
      <c r="E1351" s="76">
        <f ca="1">SUMIF('Production '!$C$4:$AI$4407,'Tracking Sheet'!B1351,'Production '!$S$4:$S$4407)</f>
        <v>0</v>
      </c>
      <c r="F1351" s="76">
        <f ca="1">SUMIF('Production '!$C$4:$AI$4407,'Tracking Sheet'!B1351,'Production '!$U$4:$U$4407)</f>
        <v>6973</v>
      </c>
      <c r="G1351" s="76">
        <f ca="1">SUMIF('Production '!$C$4:$AI$4407,'Tracking Sheet'!B1351,'Production '!$W$4:$W$4407)</f>
        <v>0</v>
      </c>
      <c r="H1351" s="76">
        <f ca="1">SUMIF('Production '!$C$4:$AI$4407,'Tracking Sheet'!B1351,'Production '!$F$4:$F$4407)</f>
        <v>10125</v>
      </c>
      <c r="I1351" s="76">
        <f ca="1">SUMIF('Production '!$C$4:$AI$4407,'Tracking Sheet'!B1351,'Production '!$V$4:$V$4407)</f>
        <v>0</v>
      </c>
      <c r="J1351" s="76">
        <f ca="1">SUMIF('Production '!$C$4:$AI$4407,'Tracking Sheet'!B1351,'Production '!$AG$4:$AG$4407)</f>
        <v>-3240</v>
      </c>
    </row>
    <row r="1352" spans="2:10" x14ac:dyDescent="0.3">
      <c r="B1352" s="277">
        <f>'Production '!C1355</f>
        <v>0</v>
      </c>
      <c r="C1352" s="76" t="e">
        <f ca="1">SUMIF('Production '!$C$4:$AI$4407,'Tracking Sheet'!B1352,'Production '!$M$4:$M$4407)</f>
        <v>#DIV/0!</v>
      </c>
      <c r="D1352" s="76" t="e">
        <f ca="1">SUMIF('Production '!$C$4:$AI$4407,'Tracking Sheet'!B1352,'Production '!$Q$4:$Q$4407)</f>
        <v>#DIV/0!</v>
      </c>
      <c r="E1352" s="76">
        <f ca="1">SUMIF('Production '!$C$4:$AI$4407,'Tracking Sheet'!B1352,'Production '!$S$4:$S$4407)</f>
        <v>-1268218.9828305368</v>
      </c>
      <c r="F1352" s="76">
        <f ca="1">SUMIF('Production '!$C$4:$AI$4407,'Tracking Sheet'!B1352,'Production '!$U$4:$U$4407)</f>
        <v>-10620.435600016917</v>
      </c>
      <c r="G1352" s="76" t="e">
        <f ca="1">SUMIF('Production '!$C$4:$AI$4407,'Tracking Sheet'!B1352,'Production '!$W$4:$W$4407)</f>
        <v>#DIV/0!</v>
      </c>
      <c r="H1352" s="76">
        <f ca="1">SUMIF('Production '!$C$4:$AI$4407,'Tracking Sheet'!B1352,'Production '!$F$4:$F$4407)</f>
        <v>3230621.3283604058</v>
      </c>
      <c r="I1352" s="76">
        <f ca="1">SUMIF('Production '!$C$4:$AI$4407,'Tracking Sheet'!B1352,'Production '!$V$4:$V$4407)</f>
        <v>-489.86487791182844</v>
      </c>
      <c r="J1352" s="76">
        <f ca="1">SUMIF('Production '!$C$4:$AI$4407,'Tracking Sheet'!B1352,'Production '!$AG$4:$AG$4407)</f>
        <v>0</v>
      </c>
    </row>
    <row r="1353" spans="2:10" x14ac:dyDescent="0.3">
      <c r="B1353" s="277" t="str">
        <f>'Production '!C1356</f>
        <v>44945 5th</v>
      </c>
      <c r="C1353" s="76">
        <f ca="1">SUMIF('Production '!$C$4:$AI$4407,'Tracking Sheet'!B1353,'Production '!$M$4:$M$4407)</f>
        <v>0</v>
      </c>
      <c r="D1353" s="76">
        <f ca="1">SUMIF('Production '!$C$4:$AI$4407,'Tracking Sheet'!B1353,'Production '!$Q$4:$Q$4407)</f>
        <v>0</v>
      </c>
      <c r="E1353" s="76">
        <f ca="1">SUMIF('Production '!$C$4:$AI$4407,'Tracking Sheet'!B1353,'Production '!$S$4:$S$4407)</f>
        <v>0</v>
      </c>
      <c r="F1353" s="76">
        <f ca="1">SUMIF('Production '!$C$4:$AI$4407,'Tracking Sheet'!B1353,'Production '!$U$4:$U$4407)</f>
        <v>0</v>
      </c>
      <c r="G1353" s="76">
        <f ca="1">SUMIF('Production '!$C$4:$AI$4407,'Tracking Sheet'!B1353,'Production '!$W$4:$W$4407)</f>
        <v>0</v>
      </c>
      <c r="H1353" s="76">
        <f ca="1">SUMIF('Production '!$C$4:$AI$4407,'Tracking Sheet'!B1353,'Production '!$F$4:$F$4407)</f>
        <v>1892</v>
      </c>
      <c r="I1353" s="76">
        <f ca="1">SUMIF('Production '!$C$4:$AI$4407,'Tracking Sheet'!B1353,'Production '!$V$4:$V$4407)</f>
        <v>0</v>
      </c>
      <c r="J1353" s="76">
        <f ca="1">SUMIF('Production '!$C$4:$AI$4407,'Tracking Sheet'!B1353,'Production '!$AG$4:$AG$4407)</f>
        <v>-1892</v>
      </c>
    </row>
    <row r="1354" spans="2:10" x14ac:dyDescent="0.3">
      <c r="B1354" s="277" t="str">
        <f>'Production '!C1357</f>
        <v>44945 5th</v>
      </c>
      <c r="C1354" s="76">
        <f ca="1">SUMIF('Production '!$C$4:$AI$4407,'Tracking Sheet'!B1354,'Production '!$M$4:$M$4407)</f>
        <v>0</v>
      </c>
      <c r="D1354" s="76">
        <f ca="1">SUMIF('Production '!$C$4:$AI$4407,'Tracking Sheet'!B1354,'Production '!$Q$4:$Q$4407)</f>
        <v>0</v>
      </c>
      <c r="E1354" s="76">
        <f ca="1">SUMIF('Production '!$C$4:$AI$4407,'Tracking Sheet'!B1354,'Production '!$S$4:$S$4407)</f>
        <v>0</v>
      </c>
      <c r="F1354" s="76">
        <f ca="1">SUMIF('Production '!$C$4:$AI$4407,'Tracking Sheet'!B1354,'Production '!$U$4:$U$4407)</f>
        <v>0</v>
      </c>
      <c r="G1354" s="76">
        <f ca="1">SUMIF('Production '!$C$4:$AI$4407,'Tracking Sheet'!B1354,'Production '!$W$4:$W$4407)</f>
        <v>0</v>
      </c>
      <c r="H1354" s="76">
        <f ca="1">SUMIF('Production '!$C$4:$AI$4407,'Tracking Sheet'!B1354,'Production '!$F$4:$F$4407)</f>
        <v>1892</v>
      </c>
      <c r="I1354" s="76">
        <f ca="1">SUMIF('Production '!$C$4:$AI$4407,'Tracking Sheet'!B1354,'Production '!$V$4:$V$4407)</f>
        <v>0</v>
      </c>
      <c r="J1354" s="76">
        <f ca="1">SUMIF('Production '!$C$4:$AI$4407,'Tracking Sheet'!B1354,'Production '!$AG$4:$AG$4407)</f>
        <v>-1892</v>
      </c>
    </row>
    <row r="1355" spans="2:10" x14ac:dyDescent="0.3">
      <c r="B1355" s="277">
        <f>'Production '!C1358</f>
        <v>0</v>
      </c>
      <c r="C1355" s="76" t="e">
        <f ca="1">SUMIF('Production '!$C$4:$AI$4407,'Tracking Sheet'!B1355,'Production '!$M$4:$M$4407)</f>
        <v>#DIV/0!</v>
      </c>
      <c r="D1355" s="76" t="e">
        <f ca="1">SUMIF('Production '!$C$4:$AI$4407,'Tracking Sheet'!B1355,'Production '!$Q$4:$Q$4407)</f>
        <v>#DIV/0!</v>
      </c>
      <c r="E1355" s="76">
        <f ca="1">SUMIF('Production '!$C$4:$AI$4407,'Tracking Sheet'!B1355,'Production '!$S$4:$S$4407)</f>
        <v>-1268218.9828305368</v>
      </c>
      <c r="F1355" s="76">
        <f ca="1">SUMIF('Production '!$C$4:$AI$4407,'Tracking Sheet'!B1355,'Production '!$U$4:$U$4407)</f>
        <v>-10620.435600016917</v>
      </c>
      <c r="G1355" s="76" t="e">
        <f ca="1">SUMIF('Production '!$C$4:$AI$4407,'Tracking Sheet'!B1355,'Production '!$W$4:$W$4407)</f>
        <v>#DIV/0!</v>
      </c>
      <c r="H1355" s="76">
        <f ca="1">SUMIF('Production '!$C$4:$AI$4407,'Tracking Sheet'!B1355,'Production '!$F$4:$F$4407)</f>
        <v>3230621.3283604058</v>
      </c>
      <c r="I1355" s="76">
        <f ca="1">SUMIF('Production '!$C$4:$AI$4407,'Tracking Sheet'!B1355,'Production '!$V$4:$V$4407)</f>
        <v>-489.86487791182844</v>
      </c>
      <c r="J1355" s="76">
        <f ca="1">SUMIF('Production '!$C$4:$AI$4407,'Tracking Sheet'!B1355,'Production '!$AG$4:$AG$4407)</f>
        <v>0</v>
      </c>
    </row>
    <row r="1356" spans="2:10" x14ac:dyDescent="0.3">
      <c r="B1356" s="277">
        <f>'Production '!C1359</f>
        <v>48146</v>
      </c>
      <c r="C1356" s="76">
        <f ca="1">SUMIF('Production '!$C$4:$AI$4407,'Tracking Sheet'!B1356,'Production '!$M$4:$M$4407)</f>
        <v>0</v>
      </c>
      <c r="D1356" s="76">
        <f ca="1">SUMIF('Production '!$C$4:$AI$4407,'Tracking Sheet'!B1356,'Production '!$Q$4:$Q$4407)</f>
        <v>0</v>
      </c>
      <c r="E1356" s="76">
        <f ca="1">SUMIF('Production '!$C$4:$AI$4407,'Tracking Sheet'!B1356,'Production '!$S$4:$S$4407)</f>
        <v>0</v>
      </c>
      <c r="F1356" s="76">
        <f ca="1">SUMIF('Production '!$C$4:$AI$4407,'Tracking Sheet'!B1356,'Production '!$U$4:$U$4407)</f>
        <v>0</v>
      </c>
      <c r="G1356" s="76">
        <f ca="1">SUMIF('Production '!$C$4:$AI$4407,'Tracking Sheet'!B1356,'Production '!$W$4:$W$4407)</f>
        <v>0</v>
      </c>
      <c r="H1356" s="76">
        <f ca="1">SUMIF('Production '!$C$4:$AI$4407,'Tracking Sheet'!B1356,'Production '!$F$4:$F$4407)</f>
        <v>7039</v>
      </c>
      <c r="I1356" s="76">
        <f ca="1">SUMIF('Production '!$C$4:$AI$4407,'Tracking Sheet'!B1356,'Production '!$V$4:$V$4407)</f>
        <v>0</v>
      </c>
      <c r="J1356" s="76">
        <f ca="1">SUMIF('Production '!$C$4:$AI$4407,'Tracking Sheet'!B1356,'Production '!$AG$4:$AG$4407)</f>
        <v>-7039</v>
      </c>
    </row>
    <row r="1357" spans="2:10" x14ac:dyDescent="0.3">
      <c r="B1357" s="277">
        <f>'Production '!C1360</f>
        <v>48146</v>
      </c>
      <c r="C1357" s="76">
        <f ca="1">SUMIF('Production '!$C$4:$AI$4407,'Tracking Sheet'!B1357,'Production '!$M$4:$M$4407)</f>
        <v>0</v>
      </c>
      <c r="D1357" s="76">
        <f ca="1">SUMIF('Production '!$C$4:$AI$4407,'Tracking Sheet'!B1357,'Production '!$Q$4:$Q$4407)</f>
        <v>0</v>
      </c>
      <c r="E1357" s="76">
        <f ca="1">SUMIF('Production '!$C$4:$AI$4407,'Tracking Sheet'!B1357,'Production '!$S$4:$S$4407)</f>
        <v>0</v>
      </c>
      <c r="F1357" s="76">
        <f ca="1">SUMIF('Production '!$C$4:$AI$4407,'Tracking Sheet'!B1357,'Production '!$U$4:$U$4407)</f>
        <v>0</v>
      </c>
      <c r="G1357" s="76">
        <f ca="1">SUMIF('Production '!$C$4:$AI$4407,'Tracking Sheet'!B1357,'Production '!$W$4:$W$4407)</f>
        <v>0</v>
      </c>
      <c r="H1357" s="76">
        <f ca="1">SUMIF('Production '!$C$4:$AI$4407,'Tracking Sheet'!B1357,'Production '!$F$4:$F$4407)</f>
        <v>7039</v>
      </c>
      <c r="I1357" s="76">
        <f ca="1">SUMIF('Production '!$C$4:$AI$4407,'Tracking Sheet'!B1357,'Production '!$V$4:$V$4407)</f>
        <v>0</v>
      </c>
      <c r="J1357" s="76">
        <f ca="1">SUMIF('Production '!$C$4:$AI$4407,'Tracking Sheet'!B1357,'Production '!$AG$4:$AG$4407)</f>
        <v>-7039</v>
      </c>
    </row>
    <row r="1358" spans="2:10" x14ac:dyDescent="0.3">
      <c r="B1358" s="277">
        <f>'Production '!C1361</f>
        <v>48146</v>
      </c>
      <c r="C1358" s="76">
        <f ca="1">SUMIF('Production '!$C$4:$AI$4407,'Tracking Sheet'!B1358,'Production '!$M$4:$M$4407)</f>
        <v>0</v>
      </c>
      <c r="D1358" s="76">
        <f ca="1">SUMIF('Production '!$C$4:$AI$4407,'Tracking Sheet'!B1358,'Production '!$Q$4:$Q$4407)</f>
        <v>0</v>
      </c>
      <c r="E1358" s="76">
        <f ca="1">SUMIF('Production '!$C$4:$AI$4407,'Tracking Sheet'!B1358,'Production '!$S$4:$S$4407)</f>
        <v>0</v>
      </c>
      <c r="F1358" s="76">
        <f ca="1">SUMIF('Production '!$C$4:$AI$4407,'Tracking Sheet'!B1358,'Production '!$U$4:$U$4407)</f>
        <v>0</v>
      </c>
      <c r="G1358" s="76">
        <f ca="1">SUMIF('Production '!$C$4:$AI$4407,'Tracking Sheet'!B1358,'Production '!$W$4:$W$4407)</f>
        <v>0</v>
      </c>
      <c r="H1358" s="76">
        <f ca="1">SUMIF('Production '!$C$4:$AI$4407,'Tracking Sheet'!B1358,'Production '!$F$4:$F$4407)</f>
        <v>7039</v>
      </c>
      <c r="I1358" s="76">
        <f ca="1">SUMIF('Production '!$C$4:$AI$4407,'Tracking Sheet'!B1358,'Production '!$V$4:$V$4407)</f>
        <v>0</v>
      </c>
      <c r="J1358" s="76">
        <f ca="1">SUMIF('Production '!$C$4:$AI$4407,'Tracking Sheet'!B1358,'Production '!$AG$4:$AG$4407)</f>
        <v>-7039</v>
      </c>
    </row>
    <row r="1359" spans="2:10" x14ac:dyDescent="0.3">
      <c r="B1359" s="277">
        <f>'Production '!C1362</f>
        <v>0</v>
      </c>
      <c r="C1359" s="76" t="e">
        <f ca="1">SUMIF('Production '!$C$4:$AI$4407,'Tracking Sheet'!B1359,'Production '!$M$4:$M$4407)</f>
        <v>#DIV/0!</v>
      </c>
      <c r="D1359" s="76" t="e">
        <f ca="1">SUMIF('Production '!$C$4:$AI$4407,'Tracking Sheet'!B1359,'Production '!$Q$4:$Q$4407)</f>
        <v>#DIV/0!</v>
      </c>
      <c r="E1359" s="76">
        <f ca="1">SUMIF('Production '!$C$4:$AI$4407,'Tracking Sheet'!B1359,'Production '!$S$4:$S$4407)</f>
        <v>-1268218.9828305368</v>
      </c>
      <c r="F1359" s="76">
        <f ca="1">SUMIF('Production '!$C$4:$AI$4407,'Tracking Sheet'!B1359,'Production '!$U$4:$U$4407)</f>
        <v>-10620.435600016917</v>
      </c>
      <c r="G1359" s="76" t="e">
        <f ca="1">SUMIF('Production '!$C$4:$AI$4407,'Tracking Sheet'!B1359,'Production '!$W$4:$W$4407)</f>
        <v>#DIV/0!</v>
      </c>
      <c r="H1359" s="76">
        <f ca="1">SUMIF('Production '!$C$4:$AI$4407,'Tracking Sheet'!B1359,'Production '!$F$4:$F$4407)</f>
        <v>3230621.3283604058</v>
      </c>
      <c r="I1359" s="76">
        <f ca="1">SUMIF('Production '!$C$4:$AI$4407,'Tracking Sheet'!B1359,'Production '!$V$4:$V$4407)</f>
        <v>-489.86487791182844</v>
      </c>
      <c r="J1359" s="76">
        <f ca="1">SUMIF('Production '!$C$4:$AI$4407,'Tracking Sheet'!B1359,'Production '!$AG$4:$AG$4407)</f>
        <v>0</v>
      </c>
    </row>
    <row r="1360" spans="2:10" x14ac:dyDescent="0.3">
      <c r="B1360" s="277">
        <f>'Production '!C1363</f>
        <v>48152</v>
      </c>
      <c r="C1360" s="76">
        <f ca="1">SUMIF('Production '!$C$4:$AI$4407,'Tracking Sheet'!B1360,'Production '!$M$4:$M$4407)</f>
        <v>0</v>
      </c>
      <c r="D1360" s="76">
        <f ca="1">SUMIF('Production '!$C$4:$AI$4407,'Tracking Sheet'!B1360,'Production '!$Q$4:$Q$4407)</f>
        <v>0</v>
      </c>
      <c r="E1360" s="76">
        <f ca="1">SUMIF('Production '!$C$4:$AI$4407,'Tracking Sheet'!B1360,'Production '!$S$4:$S$4407)</f>
        <v>0</v>
      </c>
      <c r="F1360" s="76">
        <f ca="1">SUMIF('Production '!$C$4:$AI$4407,'Tracking Sheet'!B1360,'Production '!$U$4:$U$4407)</f>
        <v>0</v>
      </c>
      <c r="G1360" s="76">
        <f ca="1">SUMIF('Production '!$C$4:$AI$4407,'Tracking Sheet'!B1360,'Production '!$W$4:$W$4407)</f>
        <v>0</v>
      </c>
      <c r="H1360" s="76">
        <f ca="1">SUMIF('Production '!$C$4:$AI$4407,'Tracking Sheet'!B1360,'Production '!$F$4:$F$4407)</f>
        <v>3192</v>
      </c>
      <c r="I1360" s="76">
        <f ca="1">SUMIF('Production '!$C$4:$AI$4407,'Tracking Sheet'!B1360,'Production '!$V$4:$V$4407)</f>
        <v>0</v>
      </c>
      <c r="J1360" s="76">
        <f ca="1">SUMIF('Production '!$C$4:$AI$4407,'Tracking Sheet'!B1360,'Production '!$AG$4:$AG$4407)</f>
        <v>-3192</v>
      </c>
    </row>
    <row r="1361" spans="2:10" x14ac:dyDescent="0.3">
      <c r="B1361" s="277">
        <f>'Production '!C1364</f>
        <v>48152</v>
      </c>
      <c r="C1361" s="76">
        <f ca="1">SUMIF('Production '!$C$4:$AI$4407,'Tracking Sheet'!B1361,'Production '!$M$4:$M$4407)</f>
        <v>0</v>
      </c>
      <c r="D1361" s="76">
        <f ca="1">SUMIF('Production '!$C$4:$AI$4407,'Tracking Sheet'!B1361,'Production '!$Q$4:$Q$4407)</f>
        <v>0</v>
      </c>
      <c r="E1361" s="76">
        <f ca="1">SUMIF('Production '!$C$4:$AI$4407,'Tracking Sheet'!B1361,'Production '!$S$4:$S$4407)</f>
        <v>0</v>
      </c>
      <c r="F1361" s="76">
        <f ca="1">SUMIF('Production '!$C$4:$AI$4407,'Tracking Sheet'!B1361,'Production '!$U$4:$U$4407)</f>
        <v>0</v>
      </c>
      <c r="G1361" s="76">
        <f ca="1">SUMIF('Production '!$C$4:$AI$4407,'Tracking Sheet'!B1361,'Production '!$W$4:$W$4407)</f>
        <v>0</v>
      </c>
      <c r="H1361" s="76">
        <f ca="1">SUMIF('Production '!$C$4:$AI$4407,'Tracking Sheet'!B1361,'Production '!$F$4:$F$4407)</f>
        <v>3192</v>
      </c>
      <c r="I1361" s="76">
        <f ca="1">SUMIF('Production '!$C$4:$AI$4407,'Tracking Sheet'!B1361,'Production '!$V$4:$V$4407)</f>
        <v>0</v>
      </c>
      <c r="J1361" s="76">
        <f ca="1">SUMIF('Production '!$C$4:$AI$4407,'Tracking Sheet'!B1361,'Production '!$AG$4:$AG$4407)</f>
        <v>-3192</v>
      </c>
    </row>
    <row r="1362" spans="2:10" x14ac:dyDescent="0.3">
      <c r="B1362" s="277">
        <f>'Production '!C1365</f>
        <v>48152</v>
      </c>
      <c r="C1362" s="76">
        <f ca="1">SUMIF('Production '!$C$4:$AI$4407,'Tracking Sheet'!B1362,'Production '!$M$4:$M$4407)</f>
        <v>0</v>
      </c>
      <c r="D1362" s="76">
        <f ca="1">SUMIF('Production '!$C$4:$AI$4407,'Tracking Sheet'!B1362,'Production '!$Q$4:$Q$4407)</f>
        <v>0</v>
      </c>
      <c r="E1362" s="76">
        <f ca="1">SUMIF('Production '!$C$4:$AI$4407,'Tracking Sheet'!B1362,'Production '!$S$4:$S$4407)</f>
        <v>0</v>
      </c>
      <c r="F1362" s="76">
        <f ca="1">SUMIF('Production '!$C$4:$AI$4407,'Tracking Sheet'!B1362,'Production '!$U$4:$U$4407)</f>
        <v>0</v>
      </c>
      <c r="G1362" s="76">
        <f ca="1">SUMIF('Production '!$C$4:$AI$4407,'Tracking Sheet'!B1362,'Production '!$W$4:$W$4407)</f>
        <v>0</v>
      </c>
      <c r="H1362" s="76">
        <f ca="1">SUMIF('Production '!$C$4:$AI$4407,'Tracking Sheet'!B1362,'Production '!$F$4:$F$4407)</f>
        <v>3192</v>
      </c>
      <c r="I1362" s="76">
        <f ca="1">SUMIF('Production '!$C$4:$AI$4407,'Tracking Sheet'!B1362,'Production '!$V$4:$V$4407)</f>
        <v>0</v>
      </c>
      <c r="J1362" s="76">
        <f ca="1">SUMIF('Production '!$C$4:$AI$4407,'Tracking Sheet'!B1362,'Production '!$AG$4:$AG$4407)</f>
        <v>-3192</v>
      </c>
    </row>
    <row r="1363" spans="2:10" x14ac:dyDescent="0.3">
      <c r="B1363" s="277">
        <f>'Production '!C1366</f>
        <v>0</v>
      </c>
      <c r="C1363" s="76" t="e">
        <f ca="1">SUMIF('Production '!$C$4:$AI$4407,'Tracking Sheet'!B1363,'Production '!$M$4:$M$4407)</f>
        <v>#DIV/0!</v>
      </c>
      <c r="D1363" s="76" t="e">
        <f ca="1">SUMIF('Production '!$C$4:$AI$4407,'Tracking Sheet'!B1363,'Production '!$Q$4:$Q$4407)</f>
        <v>#DIV/0!</v>
      </c>
      <c r="E1363" s="76">
        <f ca="1">SUMIF('Production '!$C$4:$AI$4407,'Tracking Sheet'!B1363,'Production '!$S$4:$S$4407)</f>
        <v>-1268218.9828305368</v>
      </c>
      <c r="F1363" s="76">
        <f ca="1">SUMIF('Production '!$C$4:$AI$4407,'Tracking Sheet'!B1363,'Production '!$U$4:$U$4407)</f>
        <v>-10620.435600016917</v>
      </c>
      <c r="G1363" s="76" t="e">
        <f ca="1">SUMIF('Production '!$C$4:$AI$4407,'Tracking Sheet'!B1363,'Production '!$W$4:$W$4407)</f>
        <v>#DIV/0!</v>
      </c>
      <c r="H1363" s="76">
        <f ca="1">SUMIF('Production '!$C$4:$AI$4407,'Tracking Sheet'!B1363,'Production '!$F$4:$F$4407)</f>
        <v>3230621.3283604058</v>
      </c>
      <c r="I1363" s="76">
        <f ca="1">SUMIF('Production '!$C$4:$AI$4407,'Tracking Sheet'!B1363,'Production '!$V$4:$V$4407)</f>
        <v>-489.86487791182844</v>
      </c>
      <c r="J1363" s="76">
        <f ca="1">SUMIF('Production '!$C$4:$AI$4407,'Tracking Sheet'!B1363,'Production '!$AG$4:$AG$4407)</f>
        <v>0</v>
      </c>
    </row>
    <row r="1364" spans="2:10" x14ac:dyDescent="0.3">
      <c r="B1364" s="277">
        <f>'Production '!C1367</f>
        <v>48193</v>
      </c>
      <c r="C1364" s="76">
        <f ca="1">SUMIF('Production '!$C$4:$AI$4407,'Tracking Sheet'!B1364,'Production '!$M$4:$M$4407)</f>
        <v>0</v>
      </c>
      <c r="D1364" s="76">
        <f ca="1">SUMIF('Production '!$C$4:$AI$4407,'Tracking Sheet'!B1364,'Production '!$Q$4:$Q$4407)</f>
        <v>0</v>
      </c>
      <c r="E1364" s="76">
        <f ca="1">SUMIF('Production '!$C$4:$AI$4407,'Tracking Sheet'!B1364,'Production '!$S$4:$S$4407)</f>
        <v>0</v>
      </c>
      <c r="F1364" s="76">
        <f ca="1">SUMIF('Production '!$C$4:$AI$4407,'Tracking Sheet'!B1364,'Production '!$U$4:$U$4407)</f>
        <v>0</v>
      </c>
      <c r="G1364" s="76">
        <f ca="1">SUMIF('Production '!$C$4:$AI$4407,'Tracking Sheet'!B1364,'Production '!$W$4:$W$4407)</f>
        <v>0</v>
      </c>
      <c r="H1364" s="76">
        <f ca="1">SUMIF('Production '!$C$4:$AI$4407,'Tracking Sheet'!B1364,'Production '!$F$4:$F$4407)</f>
        <v>543</v>
      </c>
      <c r="I1364" s="76">
        <f ca="1">SUMIF('Production '!$C$4:$AI$4407,'Tracking Sheet'!B1364,'Production '!$V$4:$V$4407)</f>
        <v>0</v>
      </c>
      <c r="J1364" s="76">
        <f ca="1">SUMIF('Production '!$C$4:$AI$4407,'Tracking Sheet'!B1364,'Production '!$AG$4:$AG$4407)</f>
        <v>-543</v>
      </c>
    </row>
    <row r="1365" spans="2:10" x14ac:dyDescent="0.3">
      <c r="B1365" s="277">
        <f>'Production '!C1368</f>
        <v>48193</v>
      </c>
      <c r="C1365" s="76">
        <f ca="1">SUMIF('Production '!$C$4:$AI$4407,'Tracking Sheet'!B1365,'Production '!$M$4:$M$4407)</f>
        <v>0</v>
      </c>
      <c r="D1365" s="76">
        <f ca="1">SUMIF('Production '!$C$4:$AI$4407,'Tracking Sheet'!B1365,'Production '!$Q$4:$Q$4407)</f>
        <v>0</v>
      </c>
      <c r="E1365" s="76">
        <f ca="1">SUMIF('Production '!$C$4:$AI$4407,'Tracking Sheet'!B1365,'Production '!$S$4:$S$4407)</f>
        <v>0</v>
      </c>
      <c r="F1365" s="76">
        <f ca="1">SUMIF('Production '!$C$4:$AI$4407,'Tracking Sheet'!B1365,'Production '!$U$4:$U$4407)</f>
        <v>0</v>
      </c>
      <c r="G1365" s="76">
        <f ca="1">SUMIF('Production '!$C$4:$AI$4407,'Tracking Sheet'!B1365,'Production '!$W$4:$W$4407)</f>
        <v>0</v>
      </c>
      <c r="H1365" s="76">
        <f ca="1">SUMIF('Production '!$C$4:$AI$4407,'Tracking Sheet'!B1365,'Production '!$F$4:$F$4407)</f>
        <v>543</v>
      </c>
      <c r="I1365" s="76">
        <f ca="1">SUMIF('Production '!$C$4:$AI$4407,'Tracking Sheet'!B1365,'Production '!$V$4:$V$4407)</f>
        <v>0</v>
      </c>
      <c r="J1365" s="76">
        <f ca="1">SUMIF('Production '!$C$4:$AI$4407,'Tracking Sheet'!B1365,'Production '!$AG$4:$AG$4407)</f>
        <v>-543</v>
      </c>
    </row>
    <row r="1366" spans="2:10" x14ac:dyDescent="0.3">
      <c r="B1366" s="277">
        <f>'Production '!C1369</f>
        <v>48193</v>
      </c>
      <c r="C1366" s="76">
        <f ca="1">SUMIF('Production '!$C$4:$AI$4407,'Tracking Sheet'!B1366,'Production '!$M$4:$M$4407)</f>
        <v>0</v>
      </c>
      <c r="D1366" s="76">
        <f ca="1">SUMIF('Production '!$C$4:$AI$4407,'Tracking Sheet'!B1366,'Production '!$Q$4:$Q$4407)</f>
        <v>0</v>
      </c>
      <c r="E1366" s="76">
        <f ca="1">SUMIF('Production '!$C$4:$AI$4407,'Tracking Sheet'!B1366,'Production '!$S$4:$S$4407)</f>
        <v>0</v>
      </c>
      <c r="F1366" s="76">
        <f ca="1">SUMIF('Production '!$C$4:$AI$4407,'Tracking Sheet'!B1366,'Production '!$U$4:$U$4407)</f>
        <v>0</v>
      </c>
      <c r="G1366" s="76">
        <f ca="1">SUMIF('Production '!$C$4:$AI$4407,'Tracking Sheet'!B1366,'Production '!$W$4:$W$4407)</f>
        <v>0</v>
      </c>
      <c r="H1366" s="76">
        <f ca="1">SUMIF('Production '!$C$4:$AI$4407,'Tracking Sheet'!B1366,'Production '!$F$4:$F$4407)</f>
        <v>543</v>
      </c>
      <c r="I1366" s="76">
        <f ca="1">SUMIF('Production '!$C$4:$AI$4407,'Tracking Sheet'!B1366,'Production '!$V$4:$V$4407)</f>
        <v>0</v>
      </c>
      <c r="J1366" s="76">
        <f ca="1">SUMIF('Production '!$C$4:$AI$4407,'Tracking Sheet'!B1366,'Production '!$AG$4:$AG$4407)</f>
        <v>-543</v>
      </c>
    </row>
    <row r="1367" spans="2:10" x14ac:dyDescent="0.3">
      <c r="B1367" s="277">
        <f>'Production '!C1370</f>
        <v>0</v>
      </c>
      <c r="C1367" s="76" t="e">
        <f ca="1">SUMIF('Production '!$C$4:$AI$4407,'Tracking Sheet'!B1367,'Production '!$M$4:$M$4407)</f>
        <v>#DIV/0!</v>
      </c>
      <c r="D1367" s="76" t="e">
        <f ca="1">SUMIF('Production '!$C$4:$AI$4407,'Tracking Sheet'!B1367,'Production '!$Q$4:$Q$4407)</f>
        <v>#DIV/0!</v>
      </c>
      <c r="E1367" s="76">
        <f ca="1">SUMIF('Production '!$C$4:$AI$4407,'Tracking Sheet'!B1367,'Production '!$S$4:$S$4407)</f>
        <v>-1268218.9828305368</v>
      </c>
      <c r="F1367" s="76">
        <f ca="1">SUMIF('Production '!$C$4:$AI$4407,'Tracking Sheet'!B1367,'Production '!$U$4:$U$4407)</f>
        <v>-10620.435600016917</v>
      </c>
      <c r="G1367" s="76" t="e">
        <f ca="1">SUMIF('Production '!$C$4:$AI$4407,'Tracking Sheet'!B1367,'Production '!$W$4:$W$4407)</f>
        <v>#DIV/0!</v>
      </c>
      <c r="H1367" s="76">
        <f ca="1">SUMIF('Production '!$C$4:$AI$4407,'Tracking Sheet'!B1367,'Production '!$F$4:$F$4407)</f>
        <v>3230621.3283604058</v>
      </c>
      <c r="I1367" s="76">
        <f ca="1">SUMIF('Production '!$C$4:$AI$4407,'Tracking Sheet'!B1367,'Production '!$V$4:$V$4407)</f>
        <v>-489.86487791182844</v>
      </c>
      <c r="J1367" s="76">
        <f ca="1">SUMIF('Production '!$C$4:$AI$4407,'Tracking Sheet'!B1367,'Production '!$AG$4:$AG$4407)</f>
        <v>0</v>
      </c>
    </row>
    <row r="1368" spans="2:10" x14ac:dyDescent="0.3">
      <c r="B1368" s="277" t="str">
        <f>'Production '!C1371</f>
        <v>26970 60th</v>
      </c>
      <c r="C1368" s="76">
        <f ca="1">SUMIF('Production '!$C$4:$AI$4407,'Tracking Sheet'!B1368,'Production '!$M$4:$M$4407)</f>
        <v>0</v>
      </c>
      <c r="D1368" s="76">
        <f ca="1">SUMIF('Production '!$C$4:$AI$4407,'Tracking Sheet'!B1368,'Production '!$Q$4:$Q$4407)</f>
        <v>0</v>
      </c>
      <c r="E1368" s="76">
        <f ca="1">SUMIF('Production '!$C$4:$AI$4407,'Tracking Sheet'!B1368,'Production '!$S$4:$S$4407)</f>
        <v>0</v>
      </c>
      <c r="F1368" s="76">
        <f ca="1">SUMIF('Production '!$C$4:$AI$4407,'Tracking Sheet'!B1368,'Production '!$U$4:$U$4407)</f>
        <v>0</v>
      </c>
      <c r="G1368" s="76">
        <f ca="1">SUMIF('Production '!$C$4:$AI$4407,'Tracking Sheet'!B1368,'Production '!$W$4:$W$4407)</f>
        <v>0</v>
      </c>
      <c r="H1368" s="76">
        <f ca="1">SUMIF('Production '!$C$4:$AI$4407,'Tracking Sheet'!B1368,'Production '!$F$4:$F$4407)</f>
        <v>2004</v>
      </c>
      <c r="I1368" s="76">
        <f ca="1">SUMIF('Production '!$C$4:$AI$4407,'Tracking Sheet'!B1368,'Production '!$V$4:$V$4407)</f>
        <v>0</v>
      </c>
      <c r="J1368" s="76">
        <f ca="1">SUMIF('Production '!$C$4:$AI$4407,'Tracking Sheet'!B1368,'Production '!$AG$4:$AG$4407)</f>
        <v>-2004</v>
      </c>
    </row>
    <row r="1369" spans="2:10" x14ac:dyDescent="0.3">
      <c r="B1369" s="277">
        <f>'Production '!C1372</f>
        <v>0</v>
      </c>
      <c r="C1369" s="76" t="e">
        <f ca="1">SUMIF('Production '!$C$4:$AI$4407,'Tracking Sheet'!B1369,'Production '!$M$4:$M$4407)</f>
        <v>#DIV/0!</v>
      </c>
      <c r="D1369" s="76" t="e">
        <f ca="1">SUMIF('Production '!$C$4:$AI$4407,'Tracking Sheet'!B1369,'Production '!$Q$4:$Q$4407)</f>
        <v>#DIV/0!</v>
      </c>
      <c r="E1369" s="76">
        <f ca="1">SUMIF('Production '!$C$4:$AI$4407,'Tracking Sheet'!B1369,'Production '!$S$4:$S$4407)</f>
        <v>-1268218.9828305368</v>
      </c>
      <c r="F1369" s="76">
        <f ca="1">SUMIF('Production '!$C$4:$AI$4407,'Tracking Sheet'!B1369,'Production '!$U$4:$U$4407)</f>
        <v>-10620.435600016917</v>
      </c>
      <c r="G1369" s="76" t="e">
        <f ca="1">SUMIF('Production '!$C$4:$AI$4407,'Tracking Sheet'!B1369,'Production '!$W$4:$W$4407)</f>
        <v>#DIV/0!</v>
      </c>
      <c r="H1369" s="76">
        <f ca="1">SUMIF('Production '!$C$4:$AI$4407,'Tracking Sheet'!B1369,'Production '!$F$4:$F$4407)</f>
        <v>3230621.3283604058</v>
      </c>
      <c r="I1369" s="76">
        <f ca="1">SUMIF('Production '!$C$4:$AI$4407,'Tracking Sheet'!B1369,'Production '!$V$4:$V$4407)</f>
        <v>-489.86487791182844</v>
      </c>
      <c r="J1369" s="76">
        <f ca="1">SUMIF('Production '!$C$4:$AI$4407,'Tracking Sheet'!B1369,'Production '!$AG$4:$AG$4407)</f>
        <v>0</v>
      </c>
    </row>
    <row r="1370" spans="2:10" x14ac:dyDescent="0.3">
      <c r="B1370" s="277" t="str">
        <f>'Production '!C1373</f>
        <v>26970 61th</v>
      </c>
      <c r="C1370" s="76">
        <f ca="1">SUMIF('Production '!$C$4:$AI$4407,'Tracking Sheet'!B1370,'Production '!$M$4:$M$4407)</f>
        <v>0</v>
      </c>
      <c r="D1370" s="76">
        <f ca="1">SUMIF('Production '!$C$4:$AI$4407,'Tracking Sheet'!B1370,'Production '!$Q$4:$Q$4407)</f>
        <v>0</v>
      </c>
      <c r="E1370" s="76">
        <f ca="1">SUMIF('Production '!$C$4:$AI$4407,'Tracking Sheet'!B1370,'Production '!$S$4:$S$4407)</f>
        <v>0</v>
      </c>
      <c r="F1370" s="76">
        <f ca="1">SUMIF('Production '!$C$4:$AI$4407,'Tracking Sheet'!B1370,'Production '!$U$4:$U$4407)</f>
        <v>0</v>
      </c>
      <c r="G1370" s="76">
        <f ca="1">SUMIF('Production '!$C$4:$AI$4407,'Tracking Sheet'!B1370,'Production '!$W$4:$W$4407)</f>
        <v>0</v>
      </c>
      <c r="H1370" s="76">
        <f ca="1">SUMIF('Production '!$C$4:$AI$4407,'Tracking Sheet'!B1370,'Production '!$F$4:$F$4407)</f>
        <v>1048</v>
      </c>
      <c r="I1370" s="76">
        <f ca="1">SUMIF('Production '!$C$4:$AI$4407,'Tracking Sheet'!B1370,'Production '!$V$4:$V$4407)</f>
        <v>0</v>
      </c>
      <c r="J1370" s="76">
        <f ca="1">SUMIF('Production '!$C$4:$AI$4407,'Tracking Sheet'!B1370,'Production '!$AG$4:$AG$4407)</f>
        <v>-1048</v>
      </c>
    </row>
    <row r="1371" spans="2:10" x14ac:dyDescent="0.3">
      <c r="B1371" s="277">
        <f>'Production '!C1374</f>
        <v>0</v>
      </c>
      <c r="C1371" s="76" t="e">
        <f ca="1">SUMIF('Production '!$C$4:$AI$4407,'Tracking Sheet'!B1371,'Production '!$M$4:$M$4407)</f>
        <v>#DIV/0!</v>
      </c>
      <c r="D1371" s="76" t="e">
        <f ca="1">SUMIF('Production '!$C$4:$AI$4407,'Tracking Sheet'!B1371,'Production '!$Q$4:$Q$4407)</f>
        <v>#DIV/0!</v>
      </c>
      <c r="E1371" s="76">
        <f ca="1">SUMIF('Production '!$C$4:$AI$4407,'Tracking Sheet'!B1371,'Production '!$S$4:$S$4407)</f>
        <v>-1268218.9828305368</v>
      </c>
      <c r="F1371" s="76">
        <f ca="1">SUMIF('Production '!$C$4:$AI$4407,'Tracking Sheet'!B1371,'Production '!$U$4:$U$4407)</f>
        <v>-10620.435600016917</v>
      </c>
      <c r="G1371" s="76" t="e">
        <f ca="1">SUMIF('Production '!$C$4:$AI$4407,'Tracking Sheet'!B1371,'Production '!$W$4:$W$4407)</f>
        <v>#DIV/0!</v>
      </c>
      <c r="H1371" s="76">
        <f ca="1">SUMIF('Production '!$C$4:$AI$4407,'Tracking Sheet'!B1371,'Production '!$F$4:$F$4407)</f>
        <v>3230621.3283604058</v>
      </c>
      <c r="I1371" s="76">
        <f ca="1">SUMIF('Production '!$C$4:$AI$4407,'Tracking Sheet'!B1371,'Production '!$V$4:$V$4407)</f>
        <v>-489.86487791182844</v>
      </c>
      <c r="J1371" s="76">
        <f ca="1">SUMIF('Production '!$C$4:$AI$4407,'Tracking Sheet'!B1371,'Production '!$AG$4:$AG$4407)</f>
        <v>0</v>
      </c>
    </row>
    <row r="1372" spans="2:10" x14ac:dyDescent="0.3">
      <c r="B1372" s="277" t="str">
        <f>'Production '!C1375</f>
        <v>26827 56th</v>
      </c>
      <c r="C1372" s="76">
        <f ca="1">SUMIF('Production '!$C$4:$AI$4407,'Tracking Sheet'!B1372,'Production '!$M$4:$M$4407)</f>
        <v>1037</v>
      </c>
      <c r="D1372" s="76">
        <f ca="1">SUMIF('Production '!$C$4:$AI$4407,'Tracking Sheet'!B1372,'Production '!$Q$4:$Q$4407)</f>
        <v>0</v>
      </c>
      <c r="E1372" s="76">
        <f ca="1">SUMIF('Production '!$C$4:$AI$4407,'Tracking Sheet'!B1372,'Production '!$S$4:$S$4407)</f>
        <v>0</v>
      </c>
      <c r="F1372" s="76">
        <f ca="1">SUMIF('Production '!$C$4:$AI$4407,'Tracking Sheet'!B1372,'Production '!$U$4:$U$4407)</f>
        <v>0</v>
      </c>
      <c r="G1372" s="76">
        <f ca="1">SUMIF('Production '!$C$4:$AI$4407,'Tracking Sheet'!B1372,'Production '!$W$4:$W$4407)</f>
        <v>1037</v>
      </c>
      <c r="H1372" s="76">
        <f ca="1">SUMIF('Production '!$C$4:$AI$4407,'Tracking Sheet'!B1372,'Production '!$F$4:$F$4407)</f>
        <v>1008</v>
      </c>
      <c r="I1372" s="76">
        <f ca="1">SUMIF('Production '!$C$4:$AI$4407,'Tracking Sheet'!B1372,'Production '!$V$4:$V$4407)</f>
        <v>0</v>
      </c>
      <c r="J1372" s="76">
        <f ca="1">SUMIF('Production '!$C$4:$AI$4407,'Tracking Sheet'!B1372,'Production '!$AG$4:$AG$4407)</f>
        <v>0</v>
      </c>
    </row>
    <row r="1373" spans="2:10" x14ac:dyDescent="0.3">
      <c r="B1373" s="277">
        <f>'Production '!C1376</f>
        <v>0</v>
      </c>
      <c r="C1373" s="76" t="e">
        <f ca="1">SUMIF('Production '!$C$4:$AI$4407,'Tracking Sheet'!B1373,'Production '!$M$4:$M$4407)</f>
        <v>#DIV/0!</v>
      </c>
      <c r="D1373" s="76" t="e">
        <f ca="1">SUMIF('Production '!$C$4:$AI$4407,'Tracking Sheet'!B1373,'Production '!$Q$4:$Q$4407)</f>
        <v>#DIV/0!</v>
      </c>
      <c r="E1373" s="76">
        <f ca="1">SUMIF('Production '!$C$4:$AI$4407,'Tracking Sheet'!B1373,'Production '!$S$4:$S$4407)</f>
        <v>-1268218.9828305368</v>
      </c>
      <c r="F1373" s="76">
        <f ca="1">SUMIF('Production '!$C$4:$AI$4407,'Tracking Sheet'!B1373,'Production '!$U$4:$U$4407)</f>
        <v>-10620.435600016917</v>
      </c>
      <c r="G1373" s="76" t="e">
        <f ca="1">SUMIF('Production '!$C$4:$AI$4407,'Tracking Sheet'!B1373,'Production '!$W$4:$W$4407)</f>
        <v>#DIV/0!</v>
      </c>
      <c r="H1373" s="76">
        <f ca="1">SUMIF('Production '!$C$4:$AI$4407,'Tracking Sheet'!B1373,'Production '!$F$4:$F$4407)</f>
        <v>3230621.3283604058</v>
      </c>
      <c r="I1373" s="76">
        <f ca="1">SUMIF('Production '!$C$4:$AI$4407,'Tracking Sheet'!B1373,'Production '!$V$4:$V$4407)</f>
        <v>-489.86487791182844</v>
      </c>
      <c r="J1373" s="76">
        <f ca="1">SUMIF('Production '!$C$4:$AI$4407,'Tracking Sheet'!B1373,'Production '!$AG$4:$AG$4407)</f>
        <v>0</v>
      </c>
    </row>
    <row r="1374" spans="2:10" x14ac:dyDescent="0.3">
      <c r="B1374" s="277" t="str">
        <f>'Production '!C1377</f>
        <v>26827 57th</v>
      </c>
      <c r="C1374" s="76">
        <f ca="1">SUMIF('Production '!$C$4:$AI$4407,'Tracking Sheet'!B1374,'Production '!$M$4:$M$4407)</f>
        <v>0</v>
      </c>
      <c r="D1374" s="76">
        <f ca="1">SUMIF('Production '!$C$4:$AI$4407,'Tracking Sheet'!B1374,'Production '!$Q$4:$Q$4407)</f>
        <v>0</v>
      </c>
      <c r="E1374" s="76">
        <f ca="1">SUMIF('Production '!$C$4:$AI$4407,'Tracking Sheet'!B1374,'Production '!$S$4:$S$4407)</f>
        <v>0</v>
      </c>
      <c r="F1374" s="76">
        <f ca="1">SUMIF('Production '!$C$4:$AI$4407,'Tracking Sheet'!B1374,'Production '!$U$4:$U$4407)</f>
        <v>0</v>
      </c>
      <c r="G1374" s="76">
        <f ca="1">SUMIF('Production '!$C$4:$AI$4407,'Tracking Sheet'!B1374,'Production '!$W$4:$W$4407)</f>
        <v>0</v>
      </c>
      <c r="H1374" s="76">
        <f ca="1">SUMIF('Production '!$C$4:$AI$4407,'Tracking Sheet'!B1374,'Production '!$F$4:$F$4407)</f>
        <v>1208</v>
      </c>
      <c r="I1374" s="76">
        <f ca="1">SUMIF('Production '!$C$4:$AI$4407,'Tracking Sheet'!B1374,'Production '!$V$4:$V$4407)</f>
        <v>0</v>
      </c>
      <c r="J1374" s="76">
        <f ca="1">SUMIF('Production '!$C$4:$AI$4407,'Tracking Sheet'!B1374,'Production '!$AG$4:$AG$4407)</f>
        <v>-1208</v>
      </c>
    </row>
    <row r="1375" spans="2:10" x14ac:dyDescent="0.3">
      <c r="B1375" s="277">
        <f>'Production '!C1378</f>
        <v>0</v>
      </c>
      <c r="C1375" s="76" t="e">
        <f ca="1">SUMIF('Production '!$C$4:$AI$4407,'Tracking Sheet'!B1375,'Production '!$M$4:$M$4407)</f>
        <v>#DIV/0!</v>
      </c>
      <c r="D1375" s="76" t="e">
        <f ca="1">SUMIF('Production '!$C$4:$AI$4407,'Tracking Sheet'!B1375,'Production '!$Q$4:$Q$4407)</f>
        <v>#DIV/0!</v>
      </c>
      <c r="E1375" s="76">
        <f ca="1">SUMIF('Production '!$C$4:$AI$4407,'Tracking Sheet'!B1375,'Production '!$S$4:$S$4407)</f>
        <v>-1268218.9828305368</v>
      </c>
      <c r="F1375" s="76">
        <f ca="1">SUMIF('Production '!$C$4:$AI$4407,'Tracking Sheet'!B1375,'Production '!$U$4:$U$4407)</f>
        <v>-10620.435600016917</v>
      </c>
      <c r="G1375" s="76" t="e">
        <f ca="1">SUMIF('Production '!$C$4:$AI$4407,'Tracking Sheet'!B1375,'Production '!$W$4:$W$4407)</f>
        <v>#DIV/0!</v>
      </c>
      <c r="H1375" s="76">
        <f ca="1">SUMIF('Production '!$C$4:$AI$4407,'Tracking Sheet'!B1375,'Production '!$F$4:$F$4407)</f>
        <v>3230621.3283604058</v>
      </c>
      <c r="I1375" s="76">
        <f ca="1">SUMIF('Production '!$C$4:$AI$4407,'Tracking Sheet'!B1375,'Production '!$V$4:$V$4407)</f>
        <v>-489.86487791182844</v>
      </c>
      <c r="J1375" s="76">
        <f ca="1">SUMIF('Production '!$C$4:$AI$4407,'Tracking Sheet'!B1375,'Production '!$AG$4:$AG$4407)</f>
        <v>0</v>
      </c>
    </row>
    <row r="1376" spans="2:10" x14ac:dyDescent="0.3">
      <c r="B1376" s="277" t="str">
        <f>'Production '!C1379</f>
        <v>26827 52th</v>
      </c>
      <c r="C1376" s="76">
        <f ca="1">SUMIF('Production '!$C$4:$AI$4407,'Tracking Sheet'!B1376,'Production '!$M$4:$M$4407)</f>
        <v>5224</v>
      </c>
      <c r="D1376" s="76">
        <f ca="1">SUMIF('Production '!$C$4:$AI$4407,'Tracking Sheet'!B1376,'Production '!$Q$4:$Q$4407)</f>
        <v>0</v>
      </c>
      <c r="E1376" s="76">
        <f ca="1">SUMIF('Production '!$C$4:$AI$4407,'Tracking Sheet'!B1376,'Production '!$S$4:$S$4407)</f>
        <v>0</v>
      </c>
      <c r="F1376" s="76">
        <f ca="1">SUMIF('Production '!$C$4:$AI$4407,'Tracking Sheet'!B1376,'Production '!$U$4:$U$4407)</f>
        <v>0</v>
      </c>
      <c r="G1376" s="76">
        <f ca="1">SUMIF('Production '!$C$4:$AI$4407,'Tracking Sheet'!B1376,'Production '!$W$4:$W$4407)</f>
        <v>5224</v>
      </c>
      <c r="H1376" s="76">
        <f ca="1">SUMIF('Production '!$C$4:$AI$4407,'Tracking Sheet'!B1376,'Production '!$F$4:$F$4407)</f>
        <v>5116</v>
      </c>
      <c r="I1376" s="76">
        <f ca="1">SUMIF('Production '!$C$4:$AI$4407,'Tracking Sheet'!B1376,'Production '!$V$4:$V$4407)</f>
        <v>0</v>
      </c>
      <c r="J1376" s="76">
        <f ca="1">SUMIF('Production '!$C$4:$AI$4407,'Tracking Sheet'!B1376,'Production '!$AG$4:$AG$4407)</f>
        <v>0</v>
      </c>
    </row>
    <row r="1377" spans="2:10" x14ac:dyDescent="0.3">
      <c r="B1377" s="277" t="str">
        <f>'Production '!C1380</f>
        <v>26827 52th</v>
      </c>
      <c r="C1377" s="76">
        <f ca="1">SUMIF('Production '!$C$4:$AI$4407,'Tracking Sheet'!B1377,'Production '!$M$4:$M$4407)</f>
        <v>5224</v>
      </c>
      <c r="D1377" s="76">
        <f ca="1">SUMIF('Production '!$C$4:$AI$4407,'Tracking Sheet'!B1377,'Production '!$Q$4:$Q$4407)</f>
        <v>0</v>
      </c>
      <c r="E1377" s="76">
        <f ca="1">SUMIF('Production '!$C$4:$AI$4407,'Tracking Sheet'!B1377,'Production '!$S$4:$S$4407)</f>
        <v>0</v>
      </c>
      <c r="F1377" s="76">
        <f ca="1">SUMIF('Production '!$C$4:$AI$4407,'Tracking Sheet'!B1377,'Production '!$U$4:$U$4407)</f>
        <v>0</v>
      </c>
      <c r="G1377" s="76">
        <f ca="1">SUMIF('Production '!$C$4:$AI$4407,'Tracking Sheet'!B1377,'Production '!$W$4:$W$4407)</f>
        <v>5224</v>
      </c>
      <c r="H1377" s="76">
        <f ca="1">SUMIF('Production '!$C$4:$AI$4407,'Tracking Sheet'!B1377,'Production '!$F$4:$F$4407)</f>
        <v>5116</v>
      </c>
      <c r="I1377" s="76">
        <f ca="1">SUMIF('Production '!$C$4:$AI$4407,'Tracking Sheet'!B1377,'Production '!$V$4:$V$4407)</f>
        <v>0</v>
      </c>
      <c r="J1377" s="76">
        <f ca="1">SUMIF('Production '!$C$4:$AI$4407,'Tracking Sheet'!B1377,'Production '!$AG$4:$AG$4407)</f>
        <v>0</v>
      </c>
    </row>
    <row r="1378" spans="2:10" x14ac:dyDescent="0.3">
      <c r="B1378" s="277" t="str">
        <f>'Production '!C1381</f>
        <v>26827 52th</v>
      </c>
      <c r="C1378" s="76">
        <f ca="1">SUMIF('Production '!$C$4:$AI$4407,'Tracking Sheet'!B1378,'Production '!$M$4:$M$4407)</f>
        <v>5224</v>
      </c>
      <c r="D1378" s="76">
        <f ca="1">SUMIF('Production '!$C$4:$AI$4407,'Tracking Sheet'!B1378,'Production '!$Q$4:$Q$4407)</f>
        <v>0</v>
      </c>
      <c r="E1378" s="76">
        <f ca="1">SUMIF('Production '!$C$4:$AI$4407,'Tracking Sheet'!B1378,'Production '!$S$4:$S$4407)</f>
        <v>0</v>
      </c>
      <c r="F1378" s="76">
        <f ca="1">SUMIF('Production '!$C$4:$AI$4407,'Tracking Sheet'!B1378,'Production '!$U$4:$U$4407)</f>
        <v>0</v>
      </c>
      <c r="G1378" s="76">
        <f ca="1">SUMIF('Production '!$C$4:$AI$4407,'Tracking Sheet'!B1378,'Production '!$W$4:$W$4407)</f>
        <v>5224</v>
      </c>
      <c r="H1378" s="76">
        <f ca="1">SUMIF('Production '!$C$4:$AI$4407,'Tracking Sheet'!B1378,'Production '!$F$4:$F$4407)</f>
        <v>5116</v>
      </c>
      <c r="I1378" s="76">
        <f ca="1">SUMIF('Production '!$C$4:$AI$4407,'Tracking Sheet'!B1378,'Production '!$V$4:$V$4407)</f>
        <v>0</v>
      </c>
      <c r="J1378" s="76">
        <f ca="1">SUMIF('Production '!$C$4:$AI$4407,'Tracking Sheet'!B1378,'Production '!$AG$4:$AG$4407)</f>
        <v>0</v>
      </c>
    </row>
    <row r="1379" spans="2:10" x14ac:dyDescent="0.3">
      <c r="B1379" s="277" t="str">
        <f>'Production '!C1382</f>
        <v>26827 52th</v>
      </c>
      <c r="C1379" s="76">
        <f ca="1">SUMIF('Production '!$C$4:$AI$4407,'Tracking Sheet'!B1379,'Production '!$M$4:$M$4407)</f>
        <v>5224</v>
      </c>
      <c r="D1379" s="76">
        <f ca="1">SUMIF('Production '!$C$4:$AI$4407,'Tracking Sheet'!B1379,'Production '!$Q$4:$Q$4407)</f>
        <v>0</v>
      </c>
      <c r="E1379" s="76">
        <f ca="1">SUMIF('Production '!$C$4:$AI$4407,'Tracking Sheet'!B1379,'Production '!$S$4:$S$4407)</f>
        <v>0</v>
      </c>
      <c r="F1379" s="76">
        <f ca="1">SUMIF('Production '!$C$4:$AI$4407,'Tracking Sheet'!B1379,'Production '!$U$4:$U$4407)</f>
        <v>0</v>
      </c>
      <c r="G1379" s="76">
        <f ca="1">SUMIF('Production '!$C$4:$AI$4407,'Tracking Sheet'!B1379,'Production '!$W$4:$W$4407)</f>
        <v>5224</v>
      </c>
      <c r="H1379" s="76">
        <f ca="1">SUMIF('Production '!$C$4:$AI$4407,'Tracking Sheet'!B1379,'Production '!$F$4:$F$4407)</f>
        <v>5116</v>
      </c>
      <c r="I1379" s="76">
        <f ca="1">SUMIF('Production '!$C$4:$AI$4407,'Tracking Sheet'!B1379,'Production '!$V$4:$V$4407)</f>
        <v>0</v>
      </c>
      <c r="J1379" s="76">
        <f ca="1">SUMIF('Production '!$C$4:$AI$4407,'Tracking Sheet'!B1379,'Production '!$AG$4:$AG$4407)</f>
        <v>0</v>
      </c>
    </row>
    <row r="1380" spans="2:10" x14ac:dyDescent="0.3">
      <c r="B1380" s="277" t="str">
        <f>'Production '!C1383</f>
        <v>26827 52th</v>
      </c>
      <c r="C1380" s="76">
        <f ca="1">SUMIF('Production '!$C$4:$AI$4407,'Tracking Sheet'!B1380,'Production '!$M$4:$M$4407)</f>
        <v>5224</v>
      </c>
      <c r="D1380" s="76">
        <f ca="1">SUMIF('Production '!$C$4:$AI$4407,'Tracking Sheet'!B1380,'Production '!$Q$4:$Q$4407)</f>
        <v>0</v>
      </c>
      <c r="E1380" s="76">
        <f ca="1">SUMIF('Production '!$C$4:$AI$4407,'Tracking Sheet'!B1380,'Production '!$S$4:$S$4407)</f>
        <v>0</v>
      </c>
      <c r="F1380" s="76">
        <f ca="1">SUMIF('Production '!$C$4:$AI$4407,'Tracking Sheet'!B1380,'Production '!$U$4:$U$4407)</f>
        <v>0</v>
      </c>
      <c r="G1380" s="76">
        <f ca="1">SUMIF('Production '!$C$4:$AI$4407,'Tracking Sheet'!B1380,'Production '!$W$4:$W$4407)</f>
        <v>5224</v>
      </c>
      <c r="H1380" s="76">
        <f ca="1">SUMIF('Production '!$C$4:$AI$4407,'Tracking Sheet'!B1380,'Production '!$F$4:$F$4407)</f>
        <v>5116</v>
      </c>
      <c r="I1380" s="76">
        <f ca="1">SUMIF('Production '!$C$4:$AI$4407,'Tracking Sheet'!B1380,'Production '!$V$4:$V$4407)</f>
        <v>0</v>
      </c>
      <c r="J1380" s="76">
        <f ca="1">SUMIF('Production '!$C$4:$AI$4407,'Tracking Sheet'!B1380,'Production '!$AG$4:$AG$4407)</f>
        <v>0</v>
      </c>
    </row>
    <row r="1381" spans="2:10" x14ac:dyDescent="0.3">
      <c r="B1381" s="277">
        <f>'Production '!C1384</f>
        <v>0</v>
      </c>
      <c r="C1381" s="76" t="e">
        <f ca="1">SUMIF('Production '!$C$4:$AI$4407,'Tracking Sheet'!B1381,'Production '!$M$4:$M$4407)</f>
        <v>#DIV/0!</v>
      </c>
      <c r="D1381" s="76" t="e">
        <f ca="1">SUMIF('Production '!$C$4:$AI$4407,'Tracking Sheet'!B1381,'Production '!$Q$4:$Q$4407)</f>
        <v>#DIV/0!</v>
      </c>
      <c r="E1381" s="76">
        <f ca="1">SUMIF('Production '!$C$4:$AI$4407,'Tracking Sheet'!B1381,'Production '!$S$4:$S$4407)</f>
        <v>-1268218.9828305368</v>
      </c>
      <c r="F1381" s="76">
        <f ca="1">SUMIF('Production '!$C$4:$AI$4407,'Tracking Sheet'!B1381,'Production '!$U$4:$U$4407)</f>
        <v>-10620.435600016917</v>
      </c>
      <c r="G1381" s="76" t="e">
        <f ca="1">SUMIF('Production '!$C$4:$AI$4407,'Tracking Sheet'!B1381,'Production '!$W$4:$W$4407)</f>
        <v>#DIV/0!</v>
      </c>
      <c r="H1381" s="76">
        <f ca="1">SUMIF('Production '!$C$4:$AI$4407,'Tracking Sheet'!B1381,'Production '!$F$4:$F$4407)</f>
        <v>3230621.3283604058</v>
      </c>
      <c r="I1381" s="76">
        <f ca="1">SUMIF('Production '!$C$4:$AI$4407,'Tracking Sheet'!B1381,'Production '!$V$4:$V$4407)</f>
        <v>-489.86487791182844</v>
      </c>
      <c r="J1381" s="76">
        <f ca="1">SUMIF('Production '!$C$4:$AI$4407,'Tracking Sheet'!B1381,'Production '!$AG$4:$AG$4407)</f>
        <v>0</v>
      </c>
    </row>
    <row r="1382" spans="2:10" x14ac:dyDescent="0.3">
      <c r="B1382" s="277" t="str">
        <f>'Production '!C1385</f>
        <v>26827 55th</v>
      </c>
      <c r="C1382" s="76">
        <f ca="1">SUMIF('Production '!$C$4:$AI$4407,'Tracking Sheet'!B1382,'Production '!$M$4:$M$4407)</f>
        <v>6242</v>
      </c>
      <c r="D1382" s="76">
        <f ca="1">SUMIF('Production '!$C$4:$AI$4407,'Tracking Sheet'!B1382,'Production '!$Q$4:$Q$4407)</f>
        <v>0</v>
      </c>
      <c r="E1382" s="76">
        <f ca="1">SUMIF('Production '!$C$4:$AI$4407,'Tracking Sheet'!B1382,'Production '!$S$4:$S$4407)</f>
        <v>0</v>
      </c>
      <c r="F1382" s="76">
        <f ca="1">SUMIF('Production '!$C$4:$AI$4407,'Tracking Sheet'!B1382,'Production '!$U$4:$U$4407)</f>
        <v>0</v>
      </c>
      <c r="G1382" s="76">
        <f ca="1">SUMIF('Production '!$C$4:$AI$4407,'Tracking Sheet'!B1382,'Production '!$W$4:$W$4407)</f>
        <v>6242</v>
      </c>
      <c r="H1382" s="76">
        <f ca="1">SUMIF('Production '!$C$4:$AI$4407,'Tracking Sheet'!B1382,'Production '!$F$4:$F$4407)</f>
        <v>6140</v>
      </c>
      <c r="I1382" s="76">
        <f ca="1">SUMIF('Production '!$C$4:$AI$4407,'Tracking Sheet'!B1382,'Production '!$V$4:$V$4407)</f>
        <v>0</v>
      </c>
      <c r="J1382" s="76">
        <f ca="1">SUMIF('Production '!$C$4:$AI$4407,'Tracking Sheet'!B1382,'Production '!$AG$4:$AG$4407)</f>
        <v>0</v>
      </c>
    </row>
    <row r="1383" spans="2:10" x14ac:dyDescent="0.3">
      <c r="B1383" s="277" t="str">
        <f>'Production '!C1386</f>
        <v>26827 55th</v>
      </c>
      <c r="C1383" s="76">
        <f ca="1">SUMIF('Production '!$C$4:$AI$4407,'Tracking Sheet'!B1383,'Production '!$M$4:$M$4407)</f>
        <v>6242</v>
      </c>
      <c r="D1383" s="76">
        <f ca="1">SUMIF('Production '!$C$4:$AI$4407,'Tracking Sheet'!B1383,'Production '!$Q$4:$Q$4407)</f>
        <v>0</v>
      </c>
      <c r="E1383" s="76">
        <f ca="1">SUMIF('Production '!$C$4:$AI$4407,'Tracking Sheet'!B1383,'Production '!$S$4:$S$4407)</f>
        <v>0</v>
      </c>
      <c r="F1383" s="76">
        <f ca="1">SUMIF('Production '!$C$4:$AI$4407,'Tracking Sheet'!B1383,'Production '!$U$4:$U$4407)</f>
        <v>0</v>
      </c>
      <c r="G1383" s="76">
        <f ca="1">SUMIF('Production '!$C$4:$AI$4407,'Tracking Sheet'!B1383,'Production '!$W$4:$W$4407)</f>
        <v>6242</v>
      </c>
      <c r="H1383" s="76">
        <f ca="1">SUMIF('Production '!$C$4:$AI$4407,'Tracking Sheet'!B1383,'Production '!$F$4:$F$4407)</f>
        <v>6140</v>
      </c>
      <c r="I1383" s="76">
        <f ca="1">SUMIF('Production '!$C$4:$AI$4407,'Tracking Sheet'!B1383,'Production '!$V$4:$V$4407)</f>
        <v>0</v>
      </c>
      <c r="J1383" s="76">
        <f ca="1">SUMIF('Production '!$C$4:$AI$4407,'Tracking Sheet'!B1383,'Production '!$AG$4:$AG$4407)</f>
        <v>0</v>
      </c>
    </row>
    <row r="1384" spans="2:10" x14ac:dyDescent="0.3">
      <c r="B1384" s="277" t="str">
        <f>'Production '!C1387</f>
        <v>26827 55th</v>
      </c>
      <c r="C1384" s="76">
        <f ca="1">SUMIF('Production '!$C$4:$AI$4407,'Tracking Sheet'!B1384,'Production '!$M$4:$M$4407)</f>
        <v>6242</v>
      </c>
      <c r="D1384" s="76">
        <f ca="1">SUMIF('Production '!$C$4:$AI$4407,'Tracking Sheet'!B1384,'Production '!$Q$4:$Q$4407)</f>
        <v>0</v>
      </c>
      <c r="E1384" s="76">
        <f ca="1">SUMIF('Production '!$C$4:$AI$4407,'Tracking Sheet'!B1384,'Production '!$S$4:$S$4407)</f>
        <v>0</v>
      </c>
      <c r="F1384" s="76">
        <f ca="1">SUMIF('Production '!$C$4:$AI$4407,'Tracking Sheet'!B1384,'Production '!$U$4:$U$4407)</f>
        <v>0</v>
      </c>
      <c r="G1384" s="76">
        <f ca="1">SUMIF('Production '!$C$4:$AI$4407,'Tracking Sheet'!B1384,'Production '!$W$4:$W$4407)</f>
        <v>6242</v>
      </c>
      <c r="H1384" s="76">
        <f ca="1">SUMIF('Production '!$C$4:$AI$4407,'Tracking Sheet'!B1384,'Production '!$F$4:$F$4407)</f>
        <v>6140</v>
      </c>
      <c r="I1384" s="76">
        <f ca="1">SUMIF('Production '!$C$4:$AI$4407,'Tracking Sheet'!B1384,'Production '!$V$4:$V$4407)</f>
        <v>0</v>
      </c>
      <c r="J1384" s="76">
        <f ca="1">SUMIF('Production '!$C$4:$AI$4407,'Tracking Sheet'!B1384,'Production '!$AG$4:$AG$4407)</f>
        <v>0</v>
      </c>
    </row>
    <row r="1385" spans="2:10" x14ac:dyDescent="0.3">
      <c r="B1385" s="277" t="str">
        <f>'Production '!C1388</f>
        <v>26827 55th</v>
      </c>
      <c r="C1385" s="76">
        <f ca="1">SUMIF('Production '!$C$4:$AI$4407,'Tracking Sheet'!B1385,'Production '!$M$4:$M$4407)</f>
        <v>6242</v>
      </c>
      <c r="D1385" s="76">
        <f ca="1">SUMIF('Production '!$C$4:$AI$4407,'Tracking Sheet'!B1385,'Production '!$Q$4:$Q$4407)</f>
        <v>0</v>
      </c>
      <c r="E1385" s="76">
        <f ca="1">SUMIF('Production '!$C$4:$AI$4407,'Tracking Sheet'!B1385,'Production '!$S$4:$S$4407)</f>
        <v>0</v>
      </c>
      <c r="F1385" s="76">
        <f ca="1">SUMIF('Production '!$C$4:$AI$4407,'Tracking Sheet'!B1385,'Production '!$U$4:$U$4407)</f>
        <v>0</v>
      </c>
      <c r="G1385" s="76">
        <f ca="1">SUMIF('Production '!$C$4:$AI$4407,'Tracking Sheet'!B1385,'Production '!$W$4:$W$4407)</f>
        <v>6242</v>
      </c>
      <c r="H1385" s="76">
        <f ca="1">SUMIF('Production '!$C$4:$AI$4407,'Tracking Sheet'!B1385,'Production '!$F$4:$F$4407)</f>
        <v>6140</v>
      </c>
      <c r="I1385" s="76">
        <f ca="1">SUMIF('Production '!$C$4:$AI$4407,'Tracking Sheet'!B1385,'Production '!$V$4:$V$4407)</f>
        <v>0</v>
      </c>
      <c r="J1385" s="76">
        <f ca="1">SUMIF('Production '!$C$4:$AI$4407,'Tracking Sheet'!B1385,'Production '!$AG$4:$AG$4407)</f>
        <v>0</v>
      </c>
    </row>
    <row r="1386" spans="2:10" x14ac:dyDescent="0.3">
      <c r="B1386" s="277" t="str">
        <f>'Production '!C1389</f>
        <v>26827 55th</v>
      </c>
      <c r="C1386" s="76">
        <f ca="1">SUMIF('Production '!$C$4:$AI$4407,'Tracking Sheet'!B1386,'Production '!$M$4:$M$4407)</f>
        <v>6242</v>
      </c>
      <c r="D1386" s="76">
        <f ca="1">SUMIF('Production '!$C$4:$AI$4407,'Tracking Sheet'!B1386,'Production '!$Q$4:$Q$4407)</f>
        <v>0</v>
      </c>
      <c r="E1386" s="76">
        <f ca="1">SUMIF('Production '!$C$4:$AI$4407,'Tracking Sheet'!B1386,'Production '!$S$4:$S$4407)</f>
        <v>0</v>
      </c>
      <c r="F1386" s="76">
        <f ca="1">SUMIF('Production '!$C$4:$AI$4407,'Tracking Sheet'!B1386,'Production '!$U$4:$U$4407)</f>
        <v>0</v>
      </c>
      <c r="G1386" s="76">
        <f ca="1">SUMIF('Production '!$C$4:$AI$4407,'Tracking Sheet'!B1386,'Production '!$W$4:$W$4407)</f>
        <v>6242</v>
      </c>
      <c r="H1386" s="76">
        <f ca="1">SUMIF('Production '!$C$4:$AI$4407,'Tracking Sheet'!B1386,'Production '!$F$4:$F$4407)</f>
        <v>6140</v>
      </c>
      <c r="I1386" s="76">
        <f ca="1">SUMIF('Production '!$C$4:$AI$4407,'Tracking Sheet'!B1386,'Production '!$V$4:$V$4407)</f>
        <v>0</v>
      </c>
      <c r="J1386" s="76">
        <f ca="1">SUMIF('Production '!$C$4:$AI$4407,'Tracking Sheet'!B1386,'Production '!$AG$4:$AG$4407)</f>
        <v>0</v>
      </c>
    </row>
    <row r="1387" spans="2:10" x14ac:dyDescent="0.3">
      <c r="B1387" s="277">
        <f>'Production '!C1390</f>
        <v>0</v>
      </c>
      <c r="C1387" s="76" t="e">
        <f ca="1">SUMIF('Production '!$C$4:$AI$4407,'Tracking Sheet'!B1387,'Production '!$M$4:$M$4407)</f>
        <v>#DIV/0!</v>
      </c>
      <c r="D1387" s="76" t="e">
        <f ca="1">SUMIF('Production '!$C$4:$AI$4407,'Tracking Sheet'!B1387,'Production '!$Q$4:$Q$4407)</f>
        <v>#DIV/0!</v>
      </c>
      <c r="E1387" s="76">
        <f ca="1">SUMIF('Production '!$C$4:$AI$4407,'Tracking Sheet'!B1387,'Production '!$S$4:$S$4407)</f>
        <v>-1268218.9828305368</v>
      </c>
      <c r="F1387" s="76">
        <f ca="1">SUMIF('Production '!$C$4:$AI$4407,'Tracking Sheet'!B1387,'Production '!$U$4:$U$4407)</f>
        <v>-10620.435600016917</v>
      </c>
      <c r="G1387" s="76" t="e">
        <f ca="1">SUMIF('Production '!$C$4:$AI$4407,'Tracking Sheet'!B1387,'Production '!$W$4:$W$4407)</f>
        <v>#DIV/0!</v>
      </c>
      <c r="H1387" s="76">
        <f ca="1">SUMIF('Production '!$C$4:$AI$4407,'Tracking Sheet'!B1387,'Production '!$F$4:$F$4407)</f>
        <v>3230621.3283604058</v>
      </c>
      <c r="I1387" s="76">
        <f ca="1">SUMIF('Production '!$C$4:$AI$4407,'Tracking Sheet'!B1387,'Production '!$V$4:$V$4407)</f>
        <v>-489.86487791182844</v>
      </c>
      <c r="J1387" s="76">
        <f ca="1">SUMIF('Production '!$C$4:$AI$4407,'Tracking Sheet'!B1387,'Production '!$AG$4:$AG$4407)</f>
        <v>0</v>
      </c>
    </row>
    <row r="1388" spans="2:10" x14ac:dyDescent="0.3">
      <c r="B1388" s="277" t="str">
        <f>'Production '!C1391</f>
        <v>26827 58th</v>
      </c>
      <c r="C1388" s="76">
        <f ca="1">SUMIF('Production '!$C$4:$AI$4407,'Tracking Sheet'!B1388,'Production '!$M$4:$M$4407)</f>
        <v>0</v>
      </c>
      <c r="D1388" s="76">
        <f ca="1">SUMIF('Production '!$C$4:$AI$4407,'Tracking Sheet'!B1388,'Production '!$Q$4:$Q$4407)</f>
        <v>0</v>
      </c>
      <c r="E1388" s="76">
        <f ca="1">SUMIF('Production '!$C$4:$AI$4407,'Tracking Sheet'!B1388,'Production '!$S$4:$S$4407)</f>
        <v>0</v>
      </c>
      <c r="F1388" s="76">
        <f ca="1">SUMIF('Production '!$C$4:$AI$4407,'Tracking Sheet'!B1388,'Production '!$U$4:$U$4407)</f>
        <v>0</v>
      </c>
      <c r="G1388" s="76">
        <f ca="1">SUMIF('Production '!$C$4:$AI$4407,'Tracking Sheet'!B1388,'Production '!$W$4:$W$4407)</f>
        <v>0</v>
      </c>
      <c r="H1388" s="76">
        <f ca="1">SUMIF('Production '!$C$4:$AI$4407,'Tracking Sheet'!B1388,'Production '!$F$4:$F$4407)</f>
        <v>6032</v>
      </c>
      <c r="I1388" s="76">
        <f ca="1">SUMIF('Production '!$C$4:$AI$4407,'Tracking Sheet'!B1388,'Production '!$V$4:$V$4407)</f>
        <v>0</v>
      </c>
      <c r="J1388" s="76">
        <f ca="1">SUMIF('Production '!$C$4:$AI$4407,'Tracking Sheet'!B1388,'Production '!$AG$4:$AG$4407)</f>
        <v>-6032</v>
      </c>
    </row>
    <row r="1389" spans="2:10" x14ac:dyDescent="0.3">
      <c r="B1389" s="277" t="str">
        <f>'Production '!C1392</f>
        <v>26827 58th</v>
      </c>
      <c r="C1389" s="76">
        <f ca="1">SUMIF('Production '!$C$4:$AI$4407,'Tracking Sheet'!B1389,'Production '!$M$4:$M$4407)</f>
        <v>0</v>
      </c>
      <c r="D1389" s="76">
        <f ca="1">SUMIF('Production '!$C$4:$AI$4407,'Tracking Sheet'!B1389,'Production '!$Q$4:$Q$4407)</f>
        <v>0</v>
      </c>
      <c r="E1389" s="76">
        <f ca="1">SUMIF('Production '!$C$4:$AI$4407,'Tracking Sheet'!B1389,'Production '!$S$4:$S$4407)</f>
        <v>0</v>
      </c>
      <c r="F1389" s="76">
        <f ca="1">SUMIF('Production '!$C$4:$AI$4407,'Tracking Sheet'!B1389,'Production '!$U$4:$U$4407)</f>
        <v>0</v>
      </c>
      <c r="G1389" s="76">
        <f ca="1">SUMIF('Production '!$C$4:$AI$4407,'Tracking Sheet'!B1389,'Production '!$W$4:$W$4407)</f>
        <v>0</v>
      </c>
      <c r="H1389" s="76">
        <f ca="1">SUMIF('Production '!$C$4:$AI$4407,'Tracking Sheet'!B1389,'Production '!$F$4:$F$4407)</f>
        <v>6032</v>
      </c>
      <c r="I1389" s="76">
        <f ca="1">SUMIF('Production '!$C$4:$AI$4407,'Tracking Sheet'!B1389,'Production '!$V$4:$V$4407)</f>
        <v>0</v>
      </c>
      <c r="J1389" s="76">
        <f ca="1">SUMIF('Production '!$C$4:$AI$4407,'Tracking Sheet'!B1389,'Production '!$AG$4:$AG$4407)</f>
        <v>-6032</v>
      </c>
    </row>
    <row r="1390" spans="2:10" x14ac:dyDescent="0.3">
      <c r="B1390" s="277" t="str">
        <f>'Production '!C1393</f>
        <v>26827 58th</v>
      </c>
      <c r="C1390" s="76">
        <f ca="1">SUMIF('Production '!$C$4:$AI$4407,'Tracking Sheet'!B1390,'Production '!$M$4:$M$4407)</f>
        <v>0</v>
      </c>
      <c r="D1390" s="76">
        <f ca="1">SUMIF('Production '!$C$4:$AI$4407,'Tracking Sheet'!B1390,'Production '!$Q$4:$Q$4407)</f>
        <v>0</v>
      </c>
      <c r="E1390" s="76">
        <f ca="1">SUMIF('Production '!$C$4:$AI$4407,'Tracking Sheet'!B1390,'Production '!$S$4:$S$4407)</f>
        <v>0</v>
      </c>
      <c r="F1390" s="76">
        <f ca="1">SUMIF('Production '!$C$4:$AI$4407,'Tracking Sheet'!B1390,'Production '!$U$4:$U$4407)</f>
        <v>0</v>
      </c>
      <c r="G1390" s="76">
        <f ca="1">SUMIF('Production '!$C$4:$AI$4407,'Tracking Sheet'!B1390,'Production '!$W$4:$W$4407)</f>
        <v>0</v>
      </c>
      <c r="H1390" s="76">
        <f ca="1">SUMIF('Production '!$C$4:$AI$4407,'Tracking Sheet'!B1390,'Production '!$F$4:$F$4407)</f>
        <v>6032</v>
      </c>
      <c r="I1390" s="76">
        <f ca="1">SUMIF('Production '!$C$4:$AI$4407,'Tracking Sheet'!B1390,'Production '!$V$4:$V$4407)</f>
        <v>0</v>
      </c>
      <c r="J1390" s="76">
        <f ca="1">SUMIF('Production '!$C$4:$AI$4407,'Tracking Sheet'!B1390,'Production '!$AG$4:$AG$4407)</f>
        <v>-6032</v>
      </c>
    </row>
    <row r="1391" spans="2:10" x14ac:dyDescent="0.3">
      <c r="B1391" s="277" t="str">
        <f>'Production '!C1394</f>
        <v>26827 58th</v>
      </c>
      <c r="C1391" s="76">
        <f ca="1">SUMIF('Production '!$C$4:$AI$4407,'Tracking Sheet'!B1391,'Production '!$M$4:$M$4407)</f>
        <v>0</v>
      </c>
      <c r="D1391" s="76">
        <f ca="1">SUMIF('Production '!$C$4:$AI$4407,'Tracking Sheet'!B1391,'Production '!$Q$4:$Q$4407)</f>
        <v>0</v>
      </c>
      <c r="E1391" s="76">
        <f ca="1">SUMIF('Production '!$C$4:$AI$4407,'Tracking Sheet'!B1391,'Production '!$S$4:$S$4407)</f>
        <v>0</v>
      </c>
      <c r="F1391" s="76">
        <f ca="1">SUMIF('Production '!$C$4:$AI$4407,'Tracking Sheet'!B1391,'Production '!$U$4:$U$4407)</f>
        <v>0</v>
      </c>
      <c r="G1391" s="76">
        <f ca="1">SUMIF('Production '!$C$4:$AI$4407,'Tracking Sheet'!B1391,'Production '!$W$4:$W$4407)</f>
        <v>0</v>
      </c>
      <c r="H1391" s="76">
        <f ca="1">SUMIF('Production '!$C$4:$AI$4407,'Tracking Sheet'!B1391,'Production '!$F$4:$F$4407)</f>
        <v>6032</v>
      </c>
      <c r="I1391" s="76">
        <f ca="1">SUMIF('Production '!$C$4:$AI$4407,'Tracking Sheet'!B1391,'Production '!$V$4:$V$4407)</f>
        <v>0</v>
      </c>
      <c r="J1391" s="76">
        <f ca="1">SUMIF('Production '!$C$4:$AI$4407,'Tracking Sheet'!B1391,'Production '!$AG$4:$AG$4407)</f>
        <v>-6032</v>
      </c>
    </row>
    <row r="1392" spans="2:10" x14ac:dyDescent="0.3">
      <c r="B1392" s="277">
        <f>'Production '!C1395</f>
        <v>0</v>
      </c>
      <c r="C1392" s="76" t="e">
        <f ca="1">SUMIF('Production '!$C$4:$AI$4407,'Tracking Sheet'!B1392,'Production '!$M$4:$M$4407)</f>
        <v>#DIV/0!</v>
      </c>
      <c r="D1392" s="76" t="e">
        <f ca="1">SUMIF('Production '!$C$4:$AI$4407,'Tracking Sheet'!B1392,'Production '!$Q$4:$Q$4407)</f>
        <v>#DIV/0!</v>
      </c>
      <c r="E1392" s="76">
        <f ca="1">SUMIF('Production '!$C$4:$AI$4407,'Tracking Sheet'!B1392,'Production '!$S$4:$S$4407)</f>
        <v>-1268218.9828305368</v>
      </c>
      <c r="F1392" s="76">
        <f ca="1">SUMIF('Production '!$C$4:$AI$4407,'Tracking Sheet'!B1392,'Production '!$U$4:$U$4407)</f>
        <v>-10620.435600016917</v>
      </c>
      <c r="G1392" s="76" t="e">
        <f ca="1">SUMIF('Production '!$C$4:$AI$4407,'Tracking Sheet'!B1392,'Production '!$W$4:$W$4407)</f>
        <v>#DIV/0!</v>
      </c>
      <c r="H1392" s="76">
        <f ca="1">SUMIF('Production '!$C$4:$AI$4407,'Tracking Sheet'!B1392,'Production '!$F$4:$F$4407)</f>
        <v>3230621.3283604058</v>
      </c>
      <c r="I1392" s="76">
        <f ca="1">SUMIF('Production '!$C$4:$AI$4407,'Tracking Sheet'!B1392,'Production '!$V$4:$V$4407)</f>
        <v>-489.86487791182844</v>
      </c>
      <c r="J1392" s="76">
        <f ca="1">SUMIF('Production '!$C$4:$AI$4407,'Tracking Sheet'!B1392,'Production '!$AG$4:$AG$4407)</f>
        <v>0</v>
      </c>
    </row>
    <row r="1393" spans="2:10" x14ac:dyDescent="0.3">
      <c r="B1393" s="277" t="str">
        <f>'Production '!C1396</f>
        <v>30588 20th</v>
      </c>
      <c r="C1393" s="76">
        <f ca="1">SUMIF('Production '!$C$4:$AI$4407,'Tracking Sheet'!B1393,'Production '!$M$4:$M$4407)</f>
        <v>14301</v>
      </c>
      <c r="D1393" s="76">
        <f ca="1">SUMIF('Production '!$C$4:$AI$4407,'Tracking Sheet'!B1393,'Production '!$Q$4:$Q$4407)</f>
        <v>0</v>
      </c>
      <c r="E1393" s="76">
        <f ca="1">SUMIF('Production '!$C$4:$AI$4407,'Tracking Sheet'!B1393,'Production '!$S$4:$S$4407)</f>
        <v>0</v>
      </c>
      <c r="F1393" s="76">
        <f ca="1">SUMIF('Production '!$C$4:$AI$4407,'Tracking Sheet'!B1393,'Production '!$U$4:$U$4407)</f>
        <v>136</v>
      </c>
      <c r="G1393" s="76">
        <f ca="1">SUMIF('Production '!$C$4:$AI$4407,'Tracking Sheet'!B1393,'Production '!$W$4:$W$4407)</f>
        <v>14165</v>
      </c>
      <c r="H1393" s="76">
        <f ca="1">SUMIF('Production '!$C$4:$AI$4407,'Tracking Sheet'!B1393,'Production '!$F$4:$F$4407)</f>
        <v>14000</v>
      </c>
      <c r="I1393" s="76">
        <f ca="1">SUMIF('Production '!$C$4:$AI$4407,'Tracking Sheet'!B1393,'Production '!$V$4:$V$4407)</f>
        <v>0</v>
      </c>
      <c r="J1393" s="76">
        <f ca="1">SUMIF('Production '!$C$4:$AI$4407,'Tracking Sheet'!B1393,'Production '!$AG$4:$AG$4407)</f>
        <v>0</v>
      </c>
    </row>
    <row r="1394" spans="2:10" x14ac:dyDescent="0.3">
      <c r="B1394" s="277" t="str">
        <f>'Production '!C1397</f>
        <v>30588 20th</v>
      </c>
      <c r="C1394" s="76">
        <f ca="1">SUMIF('Production '!$C$4:$AI$4407,'Tracking Sheet'!B1394,'Production '!$M$4:$M$4407)</f>
        <v>14301</v>
      </c>
      <c r="D1394" s="76">
        <f ca="1">SUMIF('Production '!$C$4:$AI$4407,'Tracking Sheet'!B1394,'Production '!$Q$4:$Q$4407)</f>
        <v>0</v>
      </c>
      <c r="E1394" s="76">
        <f ca="1">SUMIF('Production '!$C$4:$AI$4407,'Tracking Sheet'!B1394,'Production '!$S$4:$S$4407)</f>
        <v>0</v>
      </c>
      <c r="F1394" s="76">
        <f ca="1">SUMIF('Production '!$C$4:$AI$4407,'Tracking Sheet'!B1394,'Production '!$U$4:$U$4407)</f>
        <v>136</v>
      </c>
      <c r="G1394" s="76">
        <f ca="1">SUMIF('Production '!$C$4:$AI$4407,'Tracking Sheet'!B1394,'Production '!$W$4:$W$4407)</f>
        <v>14165</v>
      </c>
      <c r="H1394" s="76">
        <f ca="1">SUMIF('Production '!$C$4:$AI$4407,'Tracking Sheet'!B1394,'Production '!$F$4:$F$4407)</f>
        <v>14000</v>
      </c>
      <c r="I1394" s="76">
        <f ca="1">SUMIF('Production '!$C$4:$AI$4407,'Tracking Sheet'!B1394,'Production '!$V$4:$V$4407)</f>
        <v>0</v>
      </c>
      <c r="J1394" s="76">
        <f ca="1">SUMIF('Production '!$C$4:$AI$4407,'Tracking Sheet'!B1394,'Production '!$AG$4:$AG$4407)</f>
        <v>0</v>
      </c>
    </row>
    <row r="1395" spans="2:10" x14ac:dyDescent="0.3">
      <c r="B1395" s="277" t="str">
        <f>'Production '!C1398</f>
        <v>30588 20th</v>
      </c>
      <c r="C1395" s="76">
        <f ca="1">SUMIF('Production '!$C$4:$AI$4407,'Tracking Sheet'!B1395,'Production '!$M$4:$M$4407)</f>
        <v>14301</v>
      </c>
      <c r="D1395" s="76">
        <f ca="1">SUMIF('Production '!$C$4:$AI$4407,'Tracking Sheet'!B1395,'Production '!$Q$4:$Q$4407)</f>
        <v>0</v>
      </c>
      <c r="E1395" s="76">
        <f ca="1">SUMIF('Production '!$C$4:$AI$4407,'Tracking Sheet'!B1395,'Production '!$S$4:$S$4407)</f>
        <v>0</v>
      </c>
      <c r="F1395" s="76">
        <f ca="1">SUMIF('Production '!$C$4:$AI$4407,'Tracking Sheet'!B1395,'Production '!$U$4:$U$4407)</f>
        <v>136</v>
      </c>
      <c r="G1395" s="76">
        <f ca="1">SUMIF('Production '!$C$4:$AI$4407,'Tracking Sheet'!B1395,'Production '!$W$4:$W$4407)</f>
        <v>14165</v>
      </c>
      <c r="H1395" s="76">
        <f ca="1">SUMIF('Production '!$C$4:$AI$4407,'Tracking Sheet'!B1395,'Production '!$F$4:$F$4407)</f>
        <v>14000</v>
      </c>
      <c r="I1395" s="76">
        <f ca="1">SUMIF('Production '!$C$4:$AI$4407,'Tracking Sheet'!B1395,'Production '!$V$4:$V$4407)</f>
        <v>0</v>
      </c>
      <c r="J1395" s="76">
        <f ca="1">SUMIF('Production '!$C$4:$AI$4407,'Tracking Sheet'!B1395,'Production '!$AG$4:$AG$4407)</f>
        <v>0</v>
      </c>
    </row>
    <row r="1396" spans="2:10" x14ac:dyDescent="0.3">
      <c r="B1396" s="277" t="str">
        <f>'Production '!C1399</f>
        <v>30588 20th</v>
      </c>
      <c r="C1396" s="76">
        <f ca="1">SUMIF('Production '!$C$4:$AI$4407,'Tracking Sheet'!B1396,'Production '!$M$4:$M$4407)</f>
        <v>14301</v>
      </c>
      <c r="D1396" s="76">
        <f ca="1">SUMIF('Production '!$C$4:$AI$4407,'Tracking Sheet'!B1396,'Production '!$Q$4:$Q$4407)</f>
        <v>0</v>
      </c>
      <c r="E1396" s="76">
        <f ca="1">SUMIF('Production '!$C$4:$AI$4407,'Tracking Sheet'!B1396,'Production '!$S$4:$S$4407)</f>
        <v>0</v>
      </c>
      <c r="F1396" s="76">
        <f ca="1">SUMIF('Production '!$C$4:$AI$4407,'Tracking Sheet'!B1396,'Production '!$U$4:$U$4407)</f>
        <v>136</v>
      </c>
      <c r="G1396" s="76">
        <f ca="1">SUMIF('Production '!$C$4:$AI$4407,'Tracking Sheet'!B1396,'Production '!$W$4:$W$4407)</f>
        <v>14165</v>
      </c>
      <c r="H1396" s="76">
        <f ca="1">SUMIF('Production '!$C$4:$AI$4407,'Tracking Sheet'!B1396,'Production '!$F$4:$F$4407)</f>
        <v>14000</v>
      </c>
      <c r="I1396" s="76">
        <f ca="1">SUMIF('Production '!$C$4:$AI$4407,'Tracking Sheet'!B1396,'Production '!$V$4:$V$4407)</f>
        <v>0</v>
      </c>
      <c r="J1396" s="76">
        <f ca="1">SUMIF('Production '!$C$4:$AI$4407,'Tracking Sheet'!B1396,'Production '!$AG$4:$AG$4407)</f>
        <v>0</v>
      </c>
    </row>
    <row r="1397" spans="2:10" x14ac:dyDescent="0.3">
      <c r="B1397" s="277">
        <f>'Production '!C1400</f>
        <v>0</v>
      </c>
      <c r="C1397" s="76" t="e">
        <f ca="1">SUMIF('Production '!$C$4:$AI$4407,'Tracking Sheet'!B1397,'Production '!$M$4:$M$4407)</f>
        <v>#DIV/0!</v>
      </c>
      <c r="D1397" s="76" t="e">
        <f ca="1">SUMIF('Production '!$C$4:$AI$4407,'Tracking Sheet'!B1397,'Production '!$Q$4:$Q$4407)</f>
        <v>#DIV/0!</v>
      </c>
      <c r="E1397" s="76">
        <f ca="1">SUMIF('Production '!$C$4:$AI$4407,'Tracking Sheet'!B1397,'Production '!$S$4:$S$4407)</f>
        <v>-1268218.9828305368</v>
      </c>
      <c r="F1397" s="76">
        <f ca="1">SUMIF('Production '!$C$4:$AI$4407,'Tracking Sheet'!B1397,'Production '!$U$4:$U$4407)</f>
        <v>-10620.435600016917</v>
      </c>
      <c r="G1397" s="76" t="e">
        <f ca="1">SUMIF('Production '!$C$4:$AI$4407,'Tracking Sheet'!B1397,'Production '!$W$4:$W$4407)</f>
        <v>#DIV/0!</v>
      </c>
      <c r="H1397" s="76">
        <f ca="1">SUMIF('Production '!$C$4:$AI$4407,'Tracking Sheet'!B1397,'Production '!$F$4:$F$4407)</f>
        <v>3230621.3283604058</v>
      </c>
      <c r="I1397" s="76">
        <f ca="1">SUMIF('Production '!$C$4:$AI$4407,'Tracking Sheet'!B1397,'Production '!$V$4:$V$4407)</f>
        <v>-489.86487791182844</v>
      </c>
      <c r="J1397" s="76">
        <f ca="1">SUMIF('Production '!$C$4:$AI$4407,'Tracking Sheet'!B1397,'Production '!$AG$4:$AG$4407)</f>
        <v>0</v>
      </c>
    </row>
    <row r="1398" spans="2:10" x14ac:dyDescent="0.3">
      <c r="B1398" s="277" t="str">
        <f>'Production '!C1401</f>
        <v>30588 19th</v>
      </c>
      <c r="C1398" s="76">
        <f ca="1">SUMIF('Production '!$C$4:$AI$4407,'Tracking Sheet'!B1398,'Production '!$M$4:$M$4407)</f>
        <v>3097</v>
      </c>
      <c r="D1398" s="76">
        <f ca="1">SUMIF('Production '!$C$4:$AI$4407,'Tracking Sheet'!B1398,'Production '!$Q$4:$Q$4407)</f>
        <v>0</v>
      </c>
      <c r="E1398" s="76">
        <f ca="1">SUMIF('Production '!$C$4:$AI$4407,'Tracking Sheet'!B1398,'Production '!$S$4:$S$4407)</f>
        <v>0</v>
      </c>
      <c r="F1398" s="76">
        <f ca="1">SUMIF('Production '!$C$4:$AI$4407,'Tracking Sheet'!B1398,'Production '!$U$4:$U$4407)</f>
        <v>45</v>
      </c>
      <c r="G1398" s="76">
        <f ca="1">SUMIF('Production '!$C$4:$AI$4407,'Tracking Sheet'!B1398,'Production '!$W$4:$W$4407)</f>
        <v>3052</v>
      </c>
      <c r="H1398" s="76">
        <f ca="1">SUMIF('Production '!$C$4:$AI$4407,'Tracking Sheet'!B1398,'Production '!$F$4:$F$4407)</f>
        <v>3000</v>
      </c>
      <c r="I1398" s="76">
        <f ca="1">SUMIF('Production '!$C$4:$AI$4407,'Tracking Sheet'!B1398,'Production '!$V$4:$V$4407)</f>
        <v>0</v>
      </c>
      <c r="J1398" s="76">
        <f ca="1">SUMIF('Production '!$C$4:$AI$4407,'Tracking Sheet'!B1398,'Production '!$AG$4:$AG$4407)</f>
        <v>0</v>
      </c>
    </row>
    <row r="1399" spans="2:10" x14ac:dyDescent="0.3">
      <c r="B1399" s="277">
        <f>'Production '!C1402</f>
        <v>0</v>
      </c>
      <c r="C1399" s="76" t="e">
        <f ca="1">SUMIF('Production '!$C$4:$AI$4407,'Tracking Sheet'!B1399,'Production '!$M$4:$M$4407)</f>
        <v>#DIV/0!</v>
      </c>
      <c r="D1399" s="76" t="e">
        <f ca="1">SUMIF('Production '!$C$4:$AI$4407,'Tracking Sheet'!B1399,'Production '!$Q$4:$Q$4407)</f>
        <v>#DIV/0!</v>
      </c>
      <c r="E1399" s="76">
        <f ca="1">SUMIF('Production '!$C$4:$AI$4407,'Tracking Sheet'!B1399,'Production '!$S$4:$S$4407)</f>
        <v>-1268218.9828305368</v>
      </c>
      <c r="F1399" s="76">
        <f ca="1">SUMIF('Production '!$C$4:$AI$4407,'Tracking Sheet'!B1399,'Production '!$U$4:$U$4407)</f>
        <v>-10620.435600016917</v>
      </c>
      <c r="G1399" s="76" t="e">
        <f ca="1">SUMIF('Production '!$C$4:$AI$4407,'Tracking Sheet'!B1399,'Production '!$W$4:$W$4407)</f>
        <v>#DIV/0!</v>
      </c>
      <c r="H1399" s="76">
        <f ca="1">SUMIF('Production '!$C$4:$AI$4407,'Tracking Sheet'!B1399,'Production '!$F$4:$F$4407)</f>
        <v>3230621.3283604058</v>
      </c>
      <c r="I1399" s="76">
        <f ca="1">SUMIF('Production '!$C$4:$AI$4407,'Tracking Sheet'!B1399,'Production '!$V$4:$V$4407)</f>
        <v>-489.86487791182844</v>
      </c>
      <c r="J1399" s="76">
        <f ca="1">SUMIF('Production '!$C$4:$AI$4407,'Tracking Sheet'!B1399,'Production '!$AG$4:$AG$4407)</f>
        <v>0</v>
      </c>
    </row>
    <row r="1400" spans="2:10" x14ac:dyDescent="0.3">
      <c r="B1400" s="277" t="str">
        <f>'Production '!C1403</f>
        <v>45750 2nd</v>
      </c>
      <c r="C1400" s="76">
        <f ca="1">SUMIF('Production '!$C$4:$AI$4407,'Tracking Sheet'!B1400,'Production '!$M$4:$M$4407)</f>
        <v>4534</v>
      </c>
      <c r="D1400" s="76">
        <f ca="1">SUMIF('Production '!$C$4:$AI$4407,'Tracking Sheet'!B1400,'Production '!$Q$4:$Q$4407)</f>
        <v>4477</v>
      </c>
      <c r="E1400" s="76">
        <f ca="1">SUMIF('Production '!$C$4:$AI$4407,'Tracking Sheet'!B1400,'Production '!$S$4:$S$4407)</f>
        <v>4471</v>
      </c>
      <c r="F1400" s="76">
        <f ca="1">SUMIF('Production '!$C$4:$AI$4407,'Tracking Sheet'!B1400,'Production '!$U$4:$U$4407)</f>
        <v>15</v>
      </c>
      <c r="G1400" s="76">
        <f ca="1">SUMIF('Production '!$C$4:$AI$4407,'Tracking Sheet'!B1400,'Production '!$W$4:$W$4407)</f>
        <v>4456</v>
      </c>
      <c r="H1400" s="76">
        <f ca="1">SUMIF('Production '!$C$4:$AI$4407,'Tracking Sheet'!B1400,'Production '!$F$4:$F$4407)</f>
        <v>4348</v>
      </c>
      <c r="I1400" s="76">
        <f ca="1">SUMIF('Production '!$C$4:$AI$4407,'Tracking Sheet'!B1400,'Production '!$V$4:$V$4407)</f>
        <v>0</v>
      </c>
      <c r="J1400" s="76">
        <f ca="1">SUMIF('Production '!$C$4:$AI$4407,'Tracking Sheet'!B1400,'Production '!$AG$4:$AG$4407)</f>
        <v>0</v>
      </c>
    </row>
    <row r="1401" spans="2:10" x14ac:dyDescent="0.3">
      <c r="B1401" s="277" t="str">
        <f>'Production '!C1404</f>
        <v>45750 2nd</v>
      </c>
      <c r="C1401" s="76">
        <f ca="1">SUMIF('Production '!$C$4:$AI$4407,'Tracking Sheet'!B1401,'Production '!$M$4:$M$4407)</f>
        <v>4534</v>
      </c>
      <c r="D1401" s="76">
        <f ca="1">SUMIF('Production '!$C$4:$AI$4407,'Tracking Sheet'!B1401,'Production '!$Q$4:$Q$4407)</f>
        <v>4477</v>
      </c>
      <c r="E1401" s="76">
        <f ca="1">SUMIF('Production '!$C$4:$AI$4407,'Tracking Sheet'!B1401,'Production '!$S$4:$S$4407)</f>
        <v>4471</v>
      </c>
      <c r="F1401" s="76">
        <f ca="1">SUMIF('Production '!$C$4:$AI$4407,'Tracking Sheet'!B1401,'Production '!$U$4:$U$4407)</f>
        <v>15</v>
      </c>
      <c r="G1401" s="76">
        <f ca="1">SUMIF('Production '!$C$4:$AI$4407,'Tracking Sheet'!B1401,'Production '!$W$4:$W$4407)</f>
        <v>4456</v>
      </c>
      <c r="H1401" s="76">
        <f ca="1">SUMIF('Production '!$C$4:$AI$4407,'Tracking Sheet'!B1401,'Production '!$F$4:$F$4407)</f>
        <v>4348</v>
      </c>
      <c r="I1401" s="76">
        <f ca="1">SUMIF('Production '!$C$4:$AI$4407,'Tracking Sheet'!B1401,'Production '!$V$4:$V$4407)</f>
        <v>0</v>
      </c>
      <c r="J1401" s="76">
        <f ca="1">SUMIF('Production '!$C$4:$AI$4407,'Tracking Sheet'!B1401,'Production '!$AG$4:$AG$4407)</f>
        <v>0</v>
      </c>
    </row>
    <row r="1402" spans="2:10" x14ac:dyDescent="0.3">
      <c r="B1402" s="277" t="str">
        <f>'Production '!C1405</f>
        <v>45750 2nd</v>
      </c>
      <c r="C1402" s="76">
        <f ca="1">SUMIF('Production '!$C$4:$AI$4407,'Tracking Sheet'!B1402,'Production '!$M$4:$M$4407)</f>
        <v>4534</v>
      </c>
      <c r="D1402" s="76">
        <f ca="1">SUMIF('Production '!$C$4:$AI$4407,'Tracking Sheet'!B1402,'Production '!$Q$4:$Q$4407)</f>
        <v>4477</v>
      </c>
      <c r="E1402" s="76">
        <f ca="1">SUMIF('Production '!$C$4:$AI$4407,'Tracking Sheet'!B1402,'Production '!$S$4:$S$4407)</f>
        <v>4471</v>
      </c>
      <c r="F1402" s="76">
        <f ca="1">SUMIF('Production '!$C$4:$AI$4407,'Tracking Sheet'!B1402,'Production '!$U$4:$U$4407)</f>
        <v>15</v>
      </c>
      <c r="G1402" s="76">
        <f ca="1">SUMIF('Production '!$C$4:$AI$4407,'Tracking Sheet'!B1402,'Production '!$W$4:$W$4407)</f>
        <v>4456</v>
      </c>
      <c r="H1402" s="76">
        <f ca="1">SUMIF('Production '!$C$4:$AI$4407,'Tracking Sheet'!B1402,'Production '!$F$4:$F$4407)</f>
        <v>4348</v>
      </c>
      <c r="I1402" s="76">
        <f ca="1">SUMIF('Production '!$C$4:$AI$4407,'Tracking Sheet'!B1402,'Production '!$V$4:$V$4407)</f>
        <v>0</v>
      </c>
      <c r="J1402" s="76">
        <f ca="1">SUMIF('Production '!$C$4:$AI$4407,'Tracking Sheet'!B1402,'Production '!$AG$4:$AG$4407)</f>
        <v>0</v>
      </c>
    </row>
    <row r="1403" spans="2:10" x14ac:dyDescent="0.3">
      <c r="B1403" s="277" t="str">
        <f>'Production '!C1406</f>
        <v>45750 2nd</v>
      </c>
      <c r="C1403" s="76">
        <f ca="1">SUMIF('Production '!$C$4:$AI$4407,'Tracking Sheet'!B1403,'Production '!$M$4:$M$4407)</f>
        <v>4534</v>
      </c>
      <c r="D1403" s="76">
        <f ca="1">SUMIF('Production '!$C$4:$AI$4407,'Tracking Sheet'!B1403,'Production '!$Q$4:$Q$4407)</f>
        <v>4477</v>
      </c>
      <c r="E1403" s="76">
        <f ca="1">SUMIF('Production '!$C$4:$AI$4407,'Tracking Sheet'!B1403,'Production '!$S$4:$S$4407)</f>
        <v>4471</v>
      </c>
      <c r="F1403" s="76">
        <f ca="1">SUMIF('Production '!$C$4:$AI$4407,'Tracking Sheet'!B1403,'Production '!$U$4:$U$4407)</f>
        <v>15</v>
      </c>
      <c r="G1403" s="76">
        <f ca="1">SUMIF('Production '!$C$4:$AI$4407,'Tracking Sheet'!B1403,'Production '!$W$4:$W$4407)</f>
        <v>4456</v>
      </c>
      <c r="H1403" s="76">
        <f ca="1">SUMIF('Production '!$C$4:$AI$4407,'Tracking Sheet'!B1403,'Production '!$F$4:$F$4407)</f>
        <v>4348</v>
      </c>
      <c r="I1403" s="76">
        <f ca="1">SUMIF('Production '!$C$4:$AI$4407,'Tracking Sheet'!B1403,'Production '!$V$4:$V$4407)</f>
        <v>0</v>
      </c>
      <c r="J1403" s="76">
        <f ca="1">SUMIF('Production '!$C$4:$AI$4407,'Tracking Sheet'!B1403,'Production '!$AG$4:$AG$4407)</f>
        <v>0</v>
      </c>
    </row>
    <row r="1404" spans="2:10" x14ac:dyDescent="0.3">
      <c r="B1404" s="277">
        <f>'Production '!C1407</f>
        <v>0</v>
      </c>
      <c r="C1404" s="76" t="e">
        <f ca="1">SUMIF('Production '!$C$4:$AI$4407,'Tracking Sheet'!B1404,'Production '!$M$4:$M$4407)</f>
        <v>#DIV/0!</v>
      </c>
      <c r="D1404" s="76" t="e">
        <f ca="1">SUMIF('Production '!$C$4:$AI$4407,'Tracking Sheet'!B1404,'Production '!$Q$4:$Q$4407)</f>
        <v>#DIV/0!</v>
      </c>
      <c r="E1404" s="76">
        <f ca="1">SUMIF('Production '!$C$4:$AI$4407,'Tracking Sheet'!B1404,'Production '!$S$4:$S$4407)</f>
        <v>-1268218.9828305368</v>
      </c>
      <c r="F1404" s="76">
        <f ca="1">SUMIF('Production '!$C$4:$AI$4407,'Tracking Sheet'!B1404,'Production '!$U$4:$U$4407)</f>
        <v>-10620.435600016917</v>
      </c>
      <c r="G1404" s="76" t="e">
        <f ca="1">SUMIF('Production '!$C$4:$AI$4407,'Tracking Sheet'!B1404,'Production '!$W$4:$W$4407)</f>
        <v>#DIV/0!</v>
      </c>
      <c r="H1404" s="76">
        <f ca="1">SUMIF('Production '!$C$4:$AI$4407,'Tracking Sheet'!B1404,'Production '!$F$4:$F$4407)</f>
        <v>3230621.3283604058</v>
      </c>
      <c r="I1404" s="76">
        <f ca="1">SUMIF('Production '!$C$4:$AI$4407,'Tracking Sheet'!B1404,'Production '!$V$4:$V$4407)</f>
        <v>-489.86487791182844</v>
      </c>
      <c r="J1404" s="76">
        <f ca="1">SUMIF('Production '!$C$4:$AI$4407,'Tracking Sheet'!B1404,'Production '!$AG$4:$AG$4407)</f>
        <v>0</v>
      </c>
    </row>
    <row r="1405" spans="2:10" x14ac:dyDescent="0.3">
      <c r="B1405" s="277" t="str">
        <f>'Production '!C1408</f>
        <v>43629 5th</v>
      </c>
      <c r="C1405" s="76">
        <f ca="1">SUMIF('Production '!$C$4:$AI$4407,'Tracking Sheet'!B1405,'Production '!$M$4:$M$4407)</f>
        <v>0</v>
      </c>
      <c r="D1405" s="76">
        <f ca="1">SUMIF('Production '!$C$4:$AI$4407,'Tracking Sheet'!B1405,'Production '!$Q$4:$Q$4407)</f>
        <v>0</v>
      </c>
      <c r="E1405" s="76">
        <f ca="1">SUMIF('Production '!$C$4:$AI$4407,'Tracking Sheet'!B1405,'Production '!$S$4:$S$4407)</f>
        <v>0</v>
      </c>
      <c r="F1405" s="76">
        <f ca="1">SUMIF('Production '!$C$4:$AI$4407,'Tracking Sheet'!B1405,'Production '!$U$4:$U$4407)</f>
        <v>0</v>
      </c>
      <c r="G1405" s="76">
        <f ca="1">SUMIF('Production '!$C$4:$AI$4407,'Tracking Sheet'!B1405,'Production '!$W$4:$W$4407)</f>
        <v>0</v>
      </c>
      <c r="H1405" s="76">
        <f ca="1">SUMIF('Production '!$C$4:$AI$4407,'Tracking Sheet'!B1405,'Production '!$F$4:$F$4407)</f>
        <v>7056</v>
      </c>
      <c r="I1405" s="76">
        <f ca="1">SUMIF('Production '!$C$4:$AI$4407,'Tracking Sheet'!B1405,'Production '!$V$4:$V$4407)</f>
        <v>0</v>
      </c>
      <c r="J1405" s="76">
        <f ca="1">SUMIF('Production '!$C$4:$AI$4407,'Tracking Sheet'!B1405,'Production '!$AG$4:$AG$4407)</f>
        <v>-7056</v>
      </c>
    </row>
    <row r="1406" spans="2:10" x14ac:dyDescent="0.3">
      <c r="B1406" s="277" t="str">
        <f>'Production '!C1409</f>
        <v>43629 5th</v>
      </c>
      <c r="C1406" s="76">
        <f ca="1">SUMIF('Production '!$C$4:$AI$4407,'Tracking Sheet'!B1406,'Production '!$M$4:$M$4407)</f>
        <v>0</v>
      </c>
      <c r="D1406" s="76">
        <f ca="1">SUMIF('Production '!$C$4:$AI$4407,'Tracking Sheet'!B1406,'Production '!$Q$4:$Q$4407)</f>
        <v>0</v>
      </c>
      <c r="E1406" s="76">
        <f ca="1">SUMIF('Production '!$C$4:$AI$4407,'Tracking Sheet'!B1406,'Production '!$S$4:$S$4407)</f>
        <v>0</v>
      </c>
      <c r="F1406" s="76">
        <f ca="1">SUMIF('Production '!$C$4:$AI$4407,'Tracking Sheet'!B1406,'Production '!$U$4:$U$4407)</f>
        <v>0</v>
      </c>
      <c r="G1406" s="76">
        <f ca="1">SUMIF('Production '!$C$4:$AI$4407,'Tracking Sheet'!B1406,'Production '!$W$4:$W$4407)</f>
        <v>0</v>
      </c>
      <c r="H1406" s="76">
        <f ca="1">SUMIF('Production '!$C$4:$AI$4407,'Tracking Sheet'!B1406,'Production '!$F$4:$F$4407)</f>
        <v>7056</v>
      </c>
      <c r="I1406" s="76">
        <f ca="1">SUMIF('Production '!$C$4:$AI$4407,'Tracking Sheet'!B1406,'Production '!$V$4:$V$4407)</f>
        <v>0</v>
      </c>
      <c r="J1406" s="76">
        <f ca="1">SUMIF('Production '!$C$4:$AI$4407,'Tracking Sheet'!B1406,'Production '!$AG$4:$AG$4407)</f>
        <v>-7056</v>
      </c>
    </row>
    <row r="1407" spans="2:10" x14ac:dyDescent="0.3">
      <c r="B1407" s="277">
        <f>'Production '!C1410</f>
        <v>0</v>
      </c>
      <c r="C1407" s="76" t="e">
        <f ca="1">SUMIF('Production '!$C$4:$AI$4407,'Tracking Sheet'!B1407,'Production '!$M$4:$M$4407)</f>
        <v>#DIV/0!</v>
      </c>
      <c r="D1407" s="76" t="e">
        <f ca="1">SUMIF('Production '!$C$4:$AI$4407,'Tracking Sheet'!B1407,'Production '!$Q$4:$Q$4407)</f>
        <v>#DIV/0!</v>
      </c>
      <c r="E1407" s="76">
        <f ca="1">SUMIF('Production '!$C$4:$AI$4407,'Tracking Sheet'!B1407,'Production '!$S$4:$S$4407)</f>
        <v>-1268218.9828305368</v>
      </c>
      <c r="F1407" s="76">
        <f ca="1">SUMIF('Production '!$C$4:$AI$4407,'Tracking Sheet'!B1407,'Production '!$U$4:$U$4407)</f>
        <v>-10620.435600016917</v>
      </c>
      <c r="G1407" s="76" t="e">
        <f ca="1">SUMIF('Production '!$C$4:$AI$4407,'Tracking Sheet'!B1407,'Production '!$W$4:$W$4407)</f>
        <v>#DIV/0!</v>
      </c>
      <c r="H1407" s="76">
        <f ca="1">SUMIF('Production '!$C$4:$AI$4407,'Tracking Sheet'!B1407,'Production '!$F$4:$F$4407)</f>
        <v>3230621.3283604058</v>
      </c>
      <c r="I1407" s="76">
        <f ca="1">SUMIF('Production '!$C$4:$AI$4407,'Tracking Sheet'!B1407,'Production '!$V$4:$V$4407)</f>
        <v>-489.86487791182844</v>
      </c>
      <c r="J1407" s="76">
        <f ca="1">SUMIF('Production '!$C$4:$AI$4407,'Tracking Sheet'!B1407,'Production '!$AG$4:$AG$4407)</f>
        <v>0</v>
      </c>
    </row>
    <row r="1408" spans="2:10" x14ac:dyDescent="0.3">
      <c r="B1408" s="277" t="str">
        <f>'Production '!C1411</f>
        <v>46616 4th</v>
      </c>
      <c r="C1408" s="76">
        <f ca="1">SUMIF('Production '!$C$4:$AI$4407,'Tracking Sheet'!B1408,'Production '!$M$4:$M$4407)</f>
        <v>5638</v>
      </c>
      <c r="D1408" s="76">
        <f ca="1">SUMIF('Production '!$C$4:$AI$4407,'Tracking Sheet'!B1408,'Production '!$Q$4:$Q$4407)</f>
        <v>5638</v>
      </c>
      <c r="E1408" s="76">
        <f ca="1">SUMIF('Production '!$C$4:$AI$4407,'Tracking Sheet'!B1408,'Production '!$S$4:$S$4407)</f>
        <v>5606</v>
      </c>
      <c r="F1408" s="76">
        <f ca="1">SUMIF('Production '!$C$4:$AI$4407,'Tracking Sheet'!B1408,'Production '!$U$4:$U$4407)</f>
        <v>0</v>
      </c>
      <c r="G1408" s="76">
        <f ca="1">SUMIF('Production '!$C$4:$AI$4407,'Tracking Sheet'!B1408,'Production '!$W$4:$W$4407)</f>
        <v>5606</v>
      </c>
      <c r="H1408" s="76">
        <f ca="1">SUMIF('Production '!$C$4:$AI$4407,'Tracking Sheet'!B1408,'Production '!$F$4:$F$4407)</f>
        <v>5524</v>
      </c>
      <c r="I1408" s="76">
        <f ca="1">SUMIF('Production '!$C$4:$AI$4407,'Tracking Sheet'!B1408,'Production '!$V$4:$V$4407)</f>
        <v>0</v>
      </c>
      <c r="J1408" s="76">
        <f ca="1">SUMIF('Production '!$C$4:$AI$4407,'Tracking Sheet'!B1408,'Production '!$AG$4:$AG$4407)</f>
        <v>0</v>
      </c>
    </row>
    <row r="1409" spans="2:10" x14ac:dyDescent="0.3">
      <c r="B1409" s="277" t="str">
        <f>'Production '!C1412</f>
        <v>46616 4th</v>
      </c>
      <c r="C1409" s="76">
        <f ca="1">SUMIF('Production '!$C$4:$AI$4407,'Tracking Sheet'!B1409,'Production '!$M$4:$M$4407)</f>
        <v>5638</v>
      </c>
      <c r="D1409" s="76">
        <f ca="1">SUMIF('Production '!$C$4:$AI$4407,'Tracking Sheet'!B1409,'Production '!$Q$4:$Q$4407)</f>
        <v>5638</v>
      </c>
      <c r="E1409" s="76">
        <f ca="1">SUMIF('Production '!$C$4:$AI$4407,'Tracking Sheet'!B1409,'Production '!$S$4:$S$4407)</f>
        <v>5606</v>
      </c>
      <c r="F1409" s="76">
        <f ca="1">SUMIF('Production '!$C$4:$AI$4407,'Tracking Sheet'!B1409,'Production '!$U$4:$U$4407)</f>
        <v>0</v>
      </c>
      <c r="G1409" s="76">
        <f ca="1">SUMIF('Production '!$C$4:$AI$4407,'Tracking Sheet'!B1409,'Production '!$W$4:$W$4407)</f>
        <v>5606</v>
      </c>
      <c r="H1409" s="76">
        <f ca="1">SUMIF('Production '!$C$4:$AI$4407,'Tracking Sheet'!B1409,'Production '!$F$4:$F$4407)</f>
        <v>5524</v>
      </c>
      <c r="I1409" s="76">
        <f ca="1">SUMIF('Production '!$C$4:$AI$4407,'Tracking Sheet'!B1409,'Production '!$V$4:$V$4407)</f>
        <v>0</v>
      </c>
      <c r="J1409" s="76">
        <f ca="1">SUMIF('Production '!$C$4:$AI$4407,'Tracking Sheet'!B1409,'Production '!$AG$4:$AG$4407)</f>
        <v>0</v>
      </c>
    </row>
    <row r="1410" spans="2:10" x14ac:dyDescent="0.3">
      <c r="B1410" s="277" t="str">
        <f>'Production '!C1413</f>
        <v>46616 4th</v>
      </c>
      <c r="C1410" s="76">
        <f ca="1">SUMIF('Production '!$C$4:$AI$4407,'Tracking Sheet'!B1410,'Production '!$M$4:$M$4407)</f>
        <v>5638</v>
      </c>
      <c r="D1410" s="76">
        <f ca="1">SUMIF('Production '!$C$4:$AI$4407,'Tracking Sheet'!B1410,'Production '!$Q$4:$Q$4407)</f>
        <v>5638</v>
      </c>
      <c r="E1410" s="76">
        <f ca="1">SUMIF('Production '!$C$4:$AI$4407,'Tracking Sheet'!B1410,'Production '!$S$4:$S$4407)</f>
        <v>5606</v>
      </c>
      <c r="F1410" s="76">
        <f ca="1">SUMIF('Production '!$C$4:$AI$4407,'Tracking Sheet'!B1410,'Production '!$U$4:$U$4407)</f>
        <v>0</v>
      </c>
      <c r="G1410" s="76">
        <f ca="1">SUMIF('Production '!$C$4:$AI$4407,'Tracking Sheet'!B1410,'Production '!$W$4:$W$4407)</f>
        <v>5606</v>
      </c>
      <c r="H1410" s="76">
        <f ca="1">SUMIF('Production '!$C$4:$AI$4407,'Tracking Sheet'!B1410,'Production '!$F$4:$F$4407)</f>
        <v>5524</v>
      </c>
      <c r="I1410" s="76">
        <f ca="1">SUMIF('Production '!$C$4:$AI$4407,'Tracking Sheet'!B1410,'Production '!$V$4:$V$4407)</f>
        <v>0</v>
      </c>
      <c r="J1410" s="76">
        <f ca="1">SUMIF('Production '!$C$4:$AI$4407,'Tracking Sheet'!B1410,'Production '!$AG$4:$AG$4407)</f>
        <v>0</v>
      </c>
    </row>
    <row r="1411" spans="2:10" x14ac:dyDescent="0.3">
      <c r="B1411" s="277">
        <f>'Production '!C1414</f>
        <v>0</v>
      </c>
      <c r="C1411" s="76" t="e">
        <f ca="1">SUMIF('Production '!$C$4:$AI$4407,'Tracking Sheet'!B1411,'Production '!$M$4:$M$4407)</f>
        <v>#DIV/0!</v>
      </c>
      <c r="D1411" s="76" t="e">
        <f ca="1">SUMIF('Production '!$C$4:$AI$4407,'Tracking Sheet'!B1411,'Production '!$Q$4:$Q$4407)</f>
        <v>#DIV/0!</v>
      </c>
      <c r="E1411" s="76">
        <f ca="1">SUMIF('Production '!$C$4:$AI$4407,'Tracking Sheet'!B1411,'Production '!$S$4:$S$4407)</f>
        <v>-1268218.9828305368</v>
      </c>
      <c r="F1411" s="76">
        <f ca="1">SUMIF('Production '!$C$4:$AI$4407,'Tracking Sheet'!B1411,'Production '!$U$4:$U$4407)</f>
        <v>-10620.435600016917</v>
      </c>
      <c r="G1411" s="76" t="e">
        <f ca="1">SUMIF('Production '!$C$4:$AI$4407,'Tracking Sheet'!B1411,'Production '!$W$4:$W$4407)</f>
        <v>#DIV/0!</v>
      </c>
      <c r="H1411" s="76">
        <f ca="1">SUMIF('Production '!$C$4:$AI$4407,'Tracking Sheet'!B1411,'Production '!$F$4:$F$4407)</f>
        <v>3230621.3283604058</v>
      </c>
      <c r="I1411" s="76">
        <f ca="1">SUMIF('Production '!$C$4:$AI$4407,'Tracking Sheet'!B1411,'Production '!$V$4:$V$4407)</f>
        <v>-489.86487791182844</v>
      </c>
      <c r="J1411" s="76">
        <f ca="1">SUMIF('Production '!$C$4:$AI$4407,'Tracking Sheet'!B1411,'Production '!$AG$4:$AG$4407)</f>
        <v>0</v>
      </c>
    </row>
    <row r="1412" spans="2:10" x14ac:dyDescent="0.3">
      <c r="B1412" s="277">
        <f>'Production '!C1415</f>
        <v>47811</v>
      </c>
      <c r="C1412" s="76">
        <f ca="1">SUMIF('Production '!$C$4:$AI$4407,'Tracking Sheet'!B1412,'Production '!$M$4:$M$4407)</f>
        <v>1969</v>
      </c>
      <c r="D1412" s="76">
        <f ca="1">SUMIF('Production '!$C$4:$AI$4407,'Tracking Sheet'!B1412,'Production '!$Q$4:$Q$4407)</f>
        <v>1957</v>
      </c>
      <c r="E1412" s="76">
        <f ca="1">SUMIF('Production '!$C$4:$AI$4407,'Tracking Sheet'!B1412,'Production '!$S$4:$S$4407)</f>
        <v>1841</v>
      </c>
      <c r="F1412" s="76">
        <f ca="1">SUMIF('Production '!$C$4:$AI$4407,'Tracking Sheet'!B1412,'Production '!$U$4:$U$4407)</f>
        <v>4</v>
      </c>
      <c r="G1412" s="76">
        <f ca="1">SUMIF('Production '!$C$4:$AI$4407,'Tracking Sheet'!B1412,'Production '!$W$4:$W$4407)</f>
        <v>1837</v>
      </c>
      <c r="H1412" s="76">
        <f ca="1">SUMIF('Production '!$C$4:$AI$4407,'Tracking Sheet'!B1412,'Production '!$F$4:$F$4407)</f>
        <v>2127</v>
      </c>
      <c r="I1412" s="76">
        <f ca="1">SUMIF('Production '!$C$4:$AI$4407,'Tracking Sheet'!B1412,'Production '!$V$4:$V$4407)</f>
        <v>0</v>
      </c>
      <c r="J1412" s="76">
        <f ca="1">SUMIF('Production '!$C$4:$AI$4407,'Tracking Sheet'!B1412,'Production '!$AG$4:$AG$4407)</f>
        <v>-158</v>
      </c>
    </row>
    <row r="1413" spans="2:10" x14ac:dyDescent="0.3">
      <c r="B1413" s="277">
        <f>'Production '!C1416</f>
        <v>47811</v>
      </c>
      <c r="C1413" s="76">
        <f ca="1">SUMIF('Production '!$C$4:$AI$4407,'Tracking Sheet'!B1413,'Production '!$M$4:$M$4407)</f>
        <v>1969</v>
      </c>
      <c r="D1413" s="76">
        <f ca="1">SUMIF('Production '!$C$4:$AI$4407,'Tracking Sheet'!B1413,'Production '!$Q$4:$Q$4407)</f>
        <v>1957</v>
      </c>
      <c r="E1413" s="76">
        <f ca="1">SUMIF('Production '!$C$4:$AI$4407,'Tracking Sheet'!B1413,'Production '!$S$4:$S$4407)</f>
        <v>1841</v>
      </c>
      <c r="F1413" s="76">
        <f ca="1">SUMIF('Production '!$C$4:$AI$4407,'Tracking Sheet'!B1413,'Production '!$U$4:$U$4407)</f>
        <v>4</v>
      </c>
      <c r="G1413" s="76">
        <f ca="1">SUMIF('Production '!$C$4:$AI$4407,'Tracking Sheet'!B1413,'Production '!$W$4:$W$4407)</f>
        <v>1837</v>
      </c>
      <c r="H1413" s="76">
        <f ca="1">SUMIF('Production '!$C$4:$AI$4407,'Tracking Sheet'!B1413,'Production '!$F$4:$F$4407)</f>
        <v>2127</v>
      </c>
      <c r="I1413" s="76">
        <f ca="1">SUMIF('Production '!$C$4:$AI$4407,'Tracking Sheet'!B1413,'Production '!$V$4:$V$4407)</f>
        <v>0</v>
      </c>
      <c r="J1413" s="76">
        <f ca="1">SUMIF('Production '!$C$4:$AI$4407,'Tracking Sheet'!B1413,'Production '!$AG$4:$AG$4407)</f>
        <v>-158</v>
      </c>
    </row>
    <row r="1414" spans="2:10" x14ac:dyDescent="0.3">
      <c r="B1414" s="277">
        <f>'Production '!C1417</f>
        <v>0</v>
      </c>
      <c r="C1414" s="76" t="e">
        <f ca="1">SUMIF('Production '!$C$4:$AI$4407,'Tracking Sheet'!B1414,'Production '!$M$4:$M$4407)</f>
        <v>#DIV/0!</v>
      </c>
      <c r="D1414" s="76" t="e">
        <f ca="1">SUMIF('Production '!$C$4:$AI$4407,'Tracking Sheet'!B1414,'Production '!$Q$4:$Q$4407)</f>
        <v>#DIV/0!</v>
      </c>
      <c r="E1414" s="76">
        <f ca="1">SUMIF('Production '!$C$4:$AI$4407,'Tracking Sheet'!B1414,'Production '!$S$4:$S$4407)</f>
        <v>-1268218.9828305368</v>
      </c>
      <c r="F1414" s="76">
        <f ca="1">SUMIF('Production '!$C$4:$AI$4407,'Tracking Sheet'!B1414,'Production '!$U$4:$U$4407)</f>
        <v>-10620.435600016917</v>
      </c>
      <c r="G1414" s="76" t="e">
        <f ca="1">SUMIF('Production '!$C$4:$AI$4407,'Tracking Sheet'!B1414,'Production '!$W$4:$W$4407)</f>
        <v>#DIV/0!</v>
      </c>
      <c r="H1414" s="76">
        <f ca="1">SUMIF('Production '!$C$4:$AI$4407,'Tracking Sheet'!B1414,'Production '!$F$4:$F$4407)</f>
        <v>3230621.3283604058</v>
      </c>
      <c r="I1414" s="76">
        <f ca="1">SUMIF('Production '!$C$4:$AI$4407,'Tracking Sheet'!B1414,'Production '!$V$4:$V$4407)</f>
        <v>-489.86487791182844</v>
      </c>
      <c r="J1414" s="76">
        <f ca="1">SUMIF('Production '!$C$4:$AI$4407,'Tracking Sheet'!B1414,'Production '!$AG$4:$AG$4407)</f>
        <v>0</v>
      </c>
    </row>
    <row r="1415" spans="2:10" x14ac:dyDescent="0.3">
      <c r="B1415" s="277">
        <f>'Production '!C1418</f>
        <v>47812</v>
      </c>
      <c r="C1415" s="76">
        <f ca="1">SUMIF('Production '!$C$4:$AI$4407,'Tracking Sheet'!B1415,'Production '!$M$4:$M$4407)</f>
        <v>513</v>
      </c>
      <c r="D1415" s="76">
        <f ca="1">SUMIF('Production '!$C$4:$AI$4407,'Tracking Sheet'!B1415,'Production '!$Q$4:$Q$4407)</f>
        <v>513</v>
      </c>
      <c r="E1415" s="76">
        <f ca="1">SUMIF('Production '!$C$4:$AI$4407,'Tracking Sheet'!B1415,'Production '!$S$4:$S$4407)</f>
        <v>513</v>
      </c>
      <c r="F1415" s="76">
        <f ca="1">SUMIF('Production '!$C$4:$AI$4407,'Tracking Sheet'!B1415,'Production '!$U$4:$U$4407)</f>
        <v>4</v>
      </c>
      <c r="G1415" s="76">
        <f ca="1">SUMIF('Production '!$C$4:$AI$4407,'Tracking Sheet'!B1415,'Production '!$W$4:$W$4407)</f>
        <v>509</v>
      </c>
      <c r="H1415" s="76">
        <f ca="1">SUMIF('Production '!$C$4:$AI$4407,'Tracking Sheet'!B1415,'Production '!$F$4:$F$4407)</f>
        <v>493</v>
      </c>
      <c r="I1415" s="76">
        <f ca="1">SUMIF('Production '!$C$4:$AI$4407,'Tracking Sheet'!B1415,'Production '!$V$4:$V$4407)</f>
        <v>0</v>
      </c>
      <c r="J1415" s="76">
        <f ca="1">SUMIF('Production '!$C$4:$AI$4407,'Tracking Sheet'!B1415,'Production '!$AG$4:$AG$4407)</f>
        <v>0</v>
      </c>
    </row>
    <row r="1416" spans="2:10" x14ac:dyDescent="0.3">
      <c r="B1416" s="277">
        <f>'Production '!C1419</f>
        <v>0</v>
      </c>
      <c r="C1416" s="76" t="e">
        <f ca="1">SUMIF('Production '!$C$4:$AI$4407,'Tracking Sheet'!B1416,'Production '!$M$4:$M$4407)</f>
        <v>#DIV/0!</v>
      </c>
      <c r="D1416" s="76" t="e">
        <f ca="1">SUMIF('Production '!$C$4:$AI$4407,'Tracking Sheet'!B1416,'Production '!$Q$4:$Q$4407)</f>
        <v>#DIV/0!</v>
      </c>
      <c r="E1416" s="76">
        <f ca="1">SUMIF('Production '!$C$4:$AI$4407,'Tracking Sheet'!B1416,'Production '!$S$4:$S$4407)</f>
        <v>-1268218.9828305368</v>
      </c>
      <c r="F1416" s="76">
        <f ca="1">SUMIF('Production '!$C$4:$AI$4407,'Tracking Sheet'!B1416,'Production '!$U$4:$U$4407)</f>
        <v>-10620.435600016917</v>
      </c>
      <c r="G1416" s="76" t="e">
        <f ca="1">SUMIF('Production '!$C$4:$AI$4407,'Tracking Sheet'!B1416,'Production '!$W$4:$W$4407)</f>
        <v>#DIV/0!</v>
      </c>
      <c r="H1416" s="76">
        <f ca="1">SUMIF('Production '!$C$4:$AI$4407,'Tracking Sheet'!B1416,'Production '!$F$4:$F$4407)</f>
        <v>3230621.3283604058</v>
      </c>
      <c r="I1416" s="76">
        <f ca="1">SUMIF('Production '!$C$4:$AI$4407,'Tracking Sheet'!B1416,'Production '!$V$4:$V$4407)</f>
        <v>-489.86487791182844</v>
      </c>
      <c r="J1416" s="76">
        <f ca="1">SUMIF('Production '!$C$4:$AI$4407,'Tracking Sheet'!B1416,'Production '!$AG$4:$AG$4407)</f>
        <v>0</v>
      </c>
    </row>
    <row r="1417" spans="2:10" x14ac:dyDescent="0.3">
      <c r="B1417" s="277" t="str">
        <f>'Production '!C1420</f>
        <v>26828 78th</v>
      </c>
      <c r="C1417" s="76">
        <f ca="1">SUMIF('Production '!$C$4:$AI$4407,'Tracking Sheet'!B1417,'Production '!$M$4:$M$4407)</f>
        <v>10914</v>
      </c>
      <c r="D1417" s="76">
        <f ca="1">SUMIF('Production '!$C$4:$AI$4407,'Tracking Sheet'!B1417,'Production '!$Q$4:$Q$4407)</f>
        <v>0</v>
      </c>
      <c r="E1417" s="76">
        <f ca="1">SUMIF('Production '!$C$4:$AI$4407,'Tracking Sheet'!B1417,'Production '!$S$4:$S$4407)</f>
        <v>0</v>
      </c>
      <c r="F1417" s="76">
        <f ca="1">SUMIF('Production '!$C$4:$AI$4407,'Tracking Sheet'!B1417,'Production '!$U$4:$U$4407)</f>
        <v>130</v>
      </c>
      <c r="G1417" s="76">
        <f ca="1">SUMIF('Production '!$C$4:$AI$4407,'Tracking Sheet'!B1417,'Production '!$W$4:$W$4407)</f>
        <v>10784</v>
      </c>
      <c r="H1417" s="76">
        <f ca="1">SUMIF('Production '!$C$4:$AI$4407,'Tracking Sheet'!B1417,'Production '!$F$4:$F$4407)</f>
        <v>11032</v>
      </c>
      <c r="I1417" s="76">
        <f ca="1">SUMIF('Production '!$C$4:$AI$4407,'Tracking Sheet'!B1417,'Production '!$V$4:$V$4407)</f>
        <v>0</v>
      </c>
      <c r="J1417" s="76">
        <f ca="1">SUMIF('Production '!$C$4:$AI$4407,'Tracking Sheet'!B1417,'Production '!$AG$4:$AG$4407)</f>
        <v>-285</v>
      </c>
    </row>
    <row r="1418" spans="2:10" x14ac:dyDescent="0.3">
      <c r="B1418" s="277" t="str">
        <f>'Production '!C1421</f>
        <v>26828 78th</v>
      </c>
      <c r="C1418" s="76">
        <f ca="1">SUMIF('Production '!$C$4:$AI$4407,'Tracking Sheet'!B1418,'Production '!$M$4:$M$4407)</f>
        <v>10914</v>
      </c>
      <c r="D1418" s="76">
        <f ca="1">SUMIF('Production '!$C$4:$AI$4407,'Tracking Sheet'!B1418,'Production '!$Q$4:$Q$4407)</f>
        <v>0</v>
      </c>
      <c r="E1418" s="76">
        <f ca="1">SUMIF('Production '!$C$4:$AI$4407,'Tracking Sheet'!B1418,'Production '!$S$4:$S$4407)</f>
        <v>0</v>
      </c>
      <c r="F1418" s="76">
        <f ca="1">SUMIF('Production '!$C$4:$AI$4407,'Tracking Sheet'!B1418,'Production '!$U$4:$U$4407)</f>
        <v>130</v>
      </c>
      <c r="G1418" s="76">
        <f ca="1">SUMIF('Production '!$C$4:$AI$4407,'Tracking Sheet'!B1418,'Production '!$W$4:$W$4407)</f>
        <v>10784</v>
      </c>
      <c r="H1418" s="76">
        <f ca="1">SUMIF('Production '!$C$4:$AI$4407,'Tracking Sheet'!B1418,'Production '!$F$4:$F$4407)</f>
        <v>11032</v>
      </c>
      <c r="I1418" s="76">
        <f ca="1">SUMIF('Production '!$C$4:$AI$4407,'Tracking Sheet'!B1418,'Production '!$V$4:$V$4407)</f>
        <v>0</v>
      </c>
      <c r="J1418" s="76">
        <f ca="1">SUMIF('Production '!$C$4:$AI$4407,'Tracking Sheet'!B1418,'Production '!$AG$4:$AG$4407)</f>
        <v>-285</v>
      </c>
    </row>
    <row r="1419" spans="2:10" x14ac:dyDescent="0.3">
      <c r="B1419" s="277" t="str">
        <f>'Production '!C1422</f>
        <v>26828 78th</v>
      </c>
      <c r="C1419" s="76">
        <f ca="1">SUMIF('Production '!$C$4:$AI$4407,'Tracking Sheet'!B1419,'Production '!$M$4:$M$4407)</f>
        <v>10914</v>
      </c>
      <c r="D1419" s="76">
        <f ca="1">SUMIF('Production '!$C$4:$AI$4407,'Tracking Sheet'!B1419,'Production '!$Q$4:$Q$4407)</f>
        <v>0</v>
      </c>
      <c r="E1419" s="76">
        <f ca="1">SUMIF('Production '!$C$4:$AI$4407,'Tracking Sheet'!B1419,'Production '!$S$4:$S$4407)</f>
        <v>0</v>
      </c>
      <c r="F1419" s="76">
        <f ca="1">SUMIF('Production '!$C$4:$AI$4407,'Tracking Sheet'!B1419,'Production '!$U$4:$U$4407)</f>
        <v>130</v>
      </c>
      <c r="G1419" s="76">
        <f ca="1">SUMIF('Production '!$C$4:$AI$4407,'Tracking Sheet'!B1419,'Production '!$W$4:$W$4407)</f>
        <v>10784</v>
      </c>
      <c r="H1419" s="76">
        <f ca="1">SUMIF('Production '!$C$4:$AI$4407,'Tracking Sheet'!B1419,'Production '!$F$4:$F$4407)</f>
        <v>11032</v>
      </c>
      <c r="I1419" s="76">
        <f ca="1">SUMIF('Production '!$C$4:$AI$4407,'Tracking Sheet'!B1419,'Production '!$V$4:$V$4407)</f>
        <v>0</v>
      </c>
      <c r="J1419" s="76">
        <f ca="1">SUMIF('Production '!$C$4:$AI$4407,'Tracking Sheet'!B1419,'Production '!$AG$4:$AG$4407)</f>
        <v>-285</v>
      </c>
    </row>
    <row r="1420" spans="2:10" x14ac:dyDescent="0.3">
      <c r="B1420" s="277" t="str">
        <f>'Production '!C1423</f>
        <v>26828 78th</v>
      </c>
      <c r="C1420" s="76">
        <f ca="1">SUMIF('Production '!$C$4:$AI$4407,'Tracking Sheet'!B1420,'Production '!$M$4:$M$4407)</f>
        <v>10914</v>
      </c>
      <c r="D1420" s="76">
        <f ca="1">SUMIF('Production '!$C$4:$AI$4407,'Tracking Sheet'!B1420,'Production '!$Q$4:$Q$4407)</f>
        <v>0</v>
      </c>
      <c r="E1420" s="76">
        <f ca="1">SUMIF('Production '!$C$4:$AI$4407,'Tracking Sheet'!B1420,'Production '!$S$4:$S$4407)</f>
        <v>0</v>
      </c>
      <c r="F1420" s="76">
        <f ca="1">SUMIF('Production '!$C$4:$AI$4407,'Tracking Sheet'!B1420,'Production '!$U$4:$U$4407)</f>
        <v>130</v>
      </c>
      <c r="G1420" s="76">
        <f ca="1">SUMIF('Production '!$C$4:$AI$4407,'Tracking Sheet'!B1420,'Production '!$W$4:$W$4407)</f>
        <v>10784</v>
      </c>
      <c r="H1420" s="76">
        <f ca="1">SUMIF('Production '!$C$4:$AI$4407,'Tracking Sheet'!B1420,'Production '!$F$4:$F$4407)</f>
        <v>11032</v>
      </c>
      <c r="I1420" s="76">
        <f ca="1">SUMIF('Production '!$C$4:$AI$4407,'Tracking Sheet'!B1420,'Production '!$V$4:$V$4407)</f>
        <v>0</v>
      </c>
      <c r="J1420" s="76">
        <f ca="1">SUMIF('Production '!$C$4:$AI$4407,'Tracking Sheet'!B1420,'Production '!$AG$4:$AG$4407)</f>
        <v>-285</v>
      </c>
    </row>
    <row r="1421" spans="2:10" x14ac:dyDescent="0.3">
      <c r="B1421" s="277">
        <f>'Production '!C1424</f>
        <v>0</v>
      </c>
      <c r="C1421" s="76" t="e">
        <f ca="1">SUMIF('Production '!$C$4:$AI$4407,'Tracking Sheet'!B1421,'Production '!$M$4:$M$4407)</f>
        <v>#DIV/0!</v>
      </c>
      <c r="D1421" s="76" t="e">
        <f ca="1">SUMIF('Production '!$C$4:$AI$4407,'Tracking Sheet'!B1421,'Production '!$Q$4:$Q$4407)</f>
        <v>#DIV/0!</v>
      </c>
      <c r="E1421" s="76">
        <f ca="1">SUMIF('Production '!$C$4:$AI$4407,'Tracking Sheet'!B1421,'Production '!$S$4:$S$4407)</f>
        <v>-1268218.9828305368</v>
      </c>
      <c r="F1421" s="76">
        <f ca="1">SUMIF('Production '!$C$4:$AI$4407,'Tracking Sheet'!B1421,'Production '!$U$4:$U$4407)</f>
        <v>-10620.435600016917</v>
      </c>
      <c r="G1421" s="76" t="e">
        <f ca="1">SUMIF('Production '!$C$4:$AI$4407,'Tracking Sheet'!B1421,'Production '!$W$4:$W$4407)</f>
        <v>#DIV/0!</v>
      </c>
      <c r="H1421" s="76">
        <f ca="1">SUMIF('Production '!$C$4:$AI$4407,'Tracking Sheet'!B1421,'Production '!$F$4:$F$4407)</f>
        <v>3230621.3283604058</v>
      </c>
      <c r="I1421" s="76">
        <f ca="1">SUMIF('Production '!$C$4:$AI$4407,'Tracking Sheet'!B1421,'Production '!$V$4:$V$4407)</f>
        <v>-489.86487791182844</v>
      </c>
      <c r="J1421" s="76">
        <f ca="1">SUMIF('Production '!$C$4:$AI$4407,'Tracking Sheet'!B1421,'Production '!$AG$4:$AG$4407)</f>
        <v>0</v>
      </c>
    </row>
    <row r="1422" spans="2:10" x14ac:dyDescent="0.3">
      <c r="B1422" s="277" t="str">
        <f>'Production '!C1425</f>
        <v>26828 79th</v>
      </c>
      <c r="C1422" s="76">
        <f ca="1">SUMIF('Production '!$C$4:$AI$4407,'Tracking Sheet'!B1422,'Production '!$M$4:$M$4407)</f>
        <v>0</v>
      </c>
      <c r="D1422" s="76">
        <f ca="1">SUMIF('Production '!$C$4:$AI$4407,'Tracking Sheet'!B1422,'Production '!$Q$4:$Q$4407)</f>
        <v>0</v>
      </c>
      <c r="E1422" s="76">
        <f ca="1">SUMIF('Production '!$C$4:$AI$4407,'Tracking Sheet'!B1422,'Production '!$S$4:$S$4407)</f>
        <v>0</v>
      </c>
      <c r="F1422" s="76">
        <f ca="1">SUMIF('Production '!$C$4:$AI$4407,'Tracking Sheet'!B1422,'Production '!$U$4:$U$4407)</f>
        <v>0</v>
      </c>
      <c r="G1422" s="76">
        <f ca="1">SUMIF('Production '!$C$4:$AI$4407,'Tracking Sheet'!B1422,'Production '!$W$4:$W$4407)</f>
        <v>0</v>
      </c>
      <c r="H1422" s="76">
        <f ca="1">SUMIF('Production '!$C$4:$AI$4407,'Tracking Sheet'!B1422,'Production '!$F$4:$F$4407)</f>
        <v>1508</v>
      </c>
      <c r="I1422" s="76">
        <f ca="1">SUMIF('Production '!$C$4:$AI$4407,'Tracking Sheet'!B1422,'Production '!$V$4:$V$4407)</f>
        <v>0</v>
      </c>
      <c r="J1422" s="76">
        <f ca="1">SUMIF('Production '!$C$4:$AI$4407,'Tracking Sheet'!B1422,'Production '!$AG$4:$AG$4407)</f>
        <v>-1508</v>
      </c>
    </row>
    <row r="1423" spans="2:10" x14ac:dyDescent="0.3">
      <c r="B1423" s="277">
        <f>'Production '!C1426</f>
        <v>0</v>
      </c>
      <c r="C1423" s="76" t="e">
        <f ca="1">SUMIF('Production '!$C$4:$AI$4407,'Tracking Sheet'!B1423,'Production '!$M$4:$M$4407)</f>
        <v>#DIV/0!</v>
      </c>
      <c r="D1423" s="76" t="e">
        <f ca="1">SUMIF('Production '!$C$4:$AI$4407,'Tracking Sheet'!B1423,'Production '!$Q$4:$Q$4407)</f>
        <v>#DIV/0!</v>
      </c>
      <c r="E1423" s="76">
        <f ca="1">SUMIF('Production '!$C$4:$AI$4407,'Tracking Sheet'!B1423,'Production '!$S$4:$S$4407)</f>
        <v>-1268218.9828305368</v>
      </c>
      <c r="F1423" s="76">
        <f ca="1">SUMIF('Production '!$C$4:$AI$4407,'Tracking Sheet'!B1423,'Production '!$U$4:$U$4407)</f>
        <v>-10620.435600016917</v>
      </c>
      <c r="G1423" s="76" t="e">
        <f ca="1">SUMIF('Production '!$C$4:$AI$4407,'Tracking Sheet'!B1423,'Production '!$W$4:$W$4407)</f>
        <v>#DIV/0!</v>
      </c>
      <c r="H1423" s="76">
        <f ca="1">SUMIF('Production '!$C$4:$AI$4407,'Tracking Sheet'!B1423,'Production '!$F$4:$F$4407)</f>
        <v>3230621.3283604058</v>
      </c>
      <c r="I1423" s="76">
        <f ca="1">SUMIF('Production '!$C$4:$AI$4407,'Tracking Sheet'!B1423,'Production '!$V$4:$V$4407)</f>
        <v>-489.86487791182844</v>
      </c>
      <c r="J1423" s="76">
        <f ca="1">SUMIF('Production '!$C$4:$AI$4407,'Tracking Sheet'!B1423,'Production '!$AG$4:$AG$4407)</f>
        <v>0</v>
      </c>
    </row>
    <row r="1424" spans="2:10" x14ac:dyDescent="0.3">
      <c r="B1424" s="277" t="str">
        <f>'Production '!C1427</f>
        <v>26828 80th</v>
      </c>
      <c r="C1424" s="76">
        <f ca="1">SUMIF('Production '!$C$4:$AI$4407,'Tracking Sheet'!B1424,'Production '!$M$4:$M$4407)</f>
        <v>0</v>
      </c>
      <c r="D1424" s="76">
        <f ca="1">SUMIF('Production '!$C$4:$AI$4407,'Tracking Sheet'!B1424,'Production '!$Q$4:$Q$4407)</f>
        <v>0</v>
      </c>
      <c r="E1424" s="76">
        <f ca="1">SUMIF('Production '!$C$4:$AI$4407,'Tracking Sheet'!B1424,'Production '!$S$4:$S$4407)</f>
        <v>0</v>
      </c>
      <c r="F1424" s="76">
        <f ca="1">SUMIF('Production '!$C$4:$AI$4407,'Tracking Sheet'!B1424,'Production '!$U$4:$U$4407)</f>
        <v>0</v>
      </c>
      <c r="G1424" s="76">
        <f ca="1">SUMIF('Production '!$C$4:$AI$4407,'Tracking Sheet'!B1424,'Production '!$W$4:$W$4407)</f>
        <v>0</v>
      </c>
      <c r="H1424" s="76">
        <f ca="1">SUMIF('Production '!$C$4:$AI$4407,'Tracking Sheet'!B1424,'Production '!$F$4:$F$4407)</f>
        <v>1008</v>
      </c>
      <c r="I1424" s="76">
        <f ca="1">SUMIF('Production '!$C$4:$AI$4407,'Tracking Sheet'!B1424,'Production '!$V$4:$V$4407)</f>
        <v>0</v>
      </c>
      <c r="J1424" s="76">
        <f ca="1">SUMIF('Production '!$C$4:$AI$4407,'Tracking Sheet'!B1424,'Production '!$AG$4:$AG$4407)</f>
        <v>-1008</v>
      </c>
    </row>
    <row r="1425" spans="2:10" x14ac:dyDescent="0.3">
      <c r="B1425" s="277">
        <f>'Production '!C1428</f>
        <v>0</v>
      </c>
      <c r="C1425" s="76" t="e">
        <f ca="1">SUMIF('Production '!$C$4:$AI$4407,'Tracking Sheet'!B1425,'Production '!$M$4:$M$4407)</f>
        <v>#DIV/0!</v>
      </c>
      <c r="D1425" s="76" t="e">
        <f ca="1">SUMIF('Production '!$C$4:$AI$4407,'Tracking Sheet'!B1425,'Production '!$Q$4:$Q$4407)</f>
        <v>#DIV/0!</v>
      </c>
      <c r="E1425" s="76">
        <f ca="1">SUMIF('Production '!$C$4:$AI$4407,'Tracking Sheet'!B1425,'Production '!$S$4:$S$4407)</f>
        <v>-1268218.9828305368</v>
      </c>
      <c r="F1425" s="76">
        <f ca="1">SUMIF('Production '!$C$4:$AI$4407,'Tracking Sheet'!B1425,'Production '!$U$4:$U$4407)</f>
        <v>-10620.435600016917</v>
      </c>
      <c r="G1425" s="76" t="e">
        <f ca="1">SUMIF('Production '!$C$4:$AI$4407,'Tracking Sheet'!B1425,'Production '!$W$4:$W$4407)</f>
        <v>#DIV/0!</v>
      </c>
      <c r="H1425" s="76">
        <f ca="1">SUMIF('Production '!$C$4:$AI$4407,'Tracking Sheet'!B1425,'Production '!$F$4:$F$4407)</f>
        <v>3230621.3283604058</v>
      </c>
      <c r="I1425" s="76">
        <f ca="1">SUMIF('Production '!$C$4:$AI$4407,'Tracking Sheet'!B1425,'Production '!$V$4:$V$4407)</f>
        <v>-489.86487791182844</v>
      </c>
      <c r="J1425" s="76">
        <f ca="1">SUMIF('Production '!$C$4:$AI$4407,'Tracking Sheet'!B1425,'Production '!$AG$4:$AG$4407)</f>
        <v>0</v>
      </c>
    </row>
    <row r="1426" spans="2:10" x14ac:dyDescent="0.3">
      <c r="B1426" s="277" t="str">
        <f>'Production '!C1429</f>
        <v>26828 81th</v>
      </c>
      <c r="C1426" s="76">
        <f ca="1">SUMIF('Production '!$C$4:$AI$4407,'Tracking Sheet'!B1426,'Production '!$M$4:$M$4407)</f>
        <v>0</v>
      </c>
      <c r="D1426" s="76">
        <f ca="1">SUMIF('Production '!$C$4:$AI$4407,'Tracking Sheet'!B1426,'Production '!$Q$4:$Q$4407)</f>
        <v>0</v>
      </c>
      <c r="E1426" s="76">
        <f ca="1">SUMIF('Production '!$C$4:$AI$4407,'Tracking Sheet'!B1426,'Production '!$S$4:$S$4407)</f>
        <v>0</v>
      </c>
      <c r="F1426" s="76">
        <f ca="1">SUMIF('Production '!$C$4:$AI$4407,'Tracking Sheet'!B1426,'Production '!$U$4:$U$4407)</f>
        <v>0</v>
      </c>
      <c r="G1426" s="76">
        <f ca="1">SUMIF('Production '!$C$4:$AI$4407,'Tracking Sheet'!B1426,'Production '!$W$4:$W$4407)</f>
        <v>0</v>
      </c>
      <c r="H1426" s="76">
        <f ca="1">SUMIF('Production '!$C$4:$AI$4407,'Tracking Sheet'!B1426,'Production '!$F$4:$F$4407)</f>
        <v>4024</v>
      </c>
      <c r="I1426" s="76">
        <f ca="1">SUMIF('Production '!$C$4:$AI$4407,'Tracking Sheet'!B1426,'Production '!$V$4:$V$4407)</f>
        <v>0</v>
      </c>
      <c r="J1426" s="76">
        <f ca="1">SUMIF('Production '!$C$4:$AI$4407,'Tracking Sheet'!B1426,'Production '!$AG$4:$AG$4407)</f>
        <v>-4024</v>
      </c>
    </row>
    <row r="1427" spans="2:10" x14ac:dyDescent="0.3">
      <c r="B1427" s="277" t="str">
        <f>'Production '!C1430</f>
        <v>26828 81th</v>
      </c>
      <c r="C1427" s="76">
        <f ca="1">SUMIF('Production '!$C$4:$AI$4407,'Tracking Sheet'!B1427,'Production '!$M$4:$M$4407)</f>
        <v>0</v>
      </c>
      <c r="D1427" s="76">
        <f ca="1">SUMIF('Production '!$C$4:$AI$4407,'Tracking Sheet'!B1427,'Production '!$Q$4:$Q$4407)</f>
        <v>0</v>
      </c>
      <c r="E1427" s="76">
        <f ca="1">SUMIF('Production '!$C$4:$AI$4407,'Tracking Sheet'!B1427,'Production '!$S$4:$S$4407)</f>
        <v>0</v>
      </c>
      <c r="F1427" s="76">
        <f ca="1">SUMIF('Production '!$C$4:$AI$4407,'Tracking Sheet'!B1427,'Production '!$U$4:$U$4407)</f>
        <v>0</v>
      </c>
      <c r="G1427" s="76">
        <f ca="1">SUMIF('Production '!$C$4:$AI$4407,'Tracking Sheet'!B1427,'Production '!$W$4:$W$4407)</f>
        <v>0</v>
      </c>
      <c r="H1427" s="76">
        <f ca="1">SUMIF('Production '!$C$4:$AI$4407,'Tracking Sheet'!B1427,'Production '!$F$4:$F$4407)</f>
        <v>4024</v>
      </c>
      <c r="I1427" s="76">
        <f ca="1">SUMIF('Production '!$C$4:$AI$4407,'Tracking Sheet'!B1427,'Production '!$V$4:$V$4407)</f>
        <v>0</v>
      </c>
      <c r="J1427" s="76">
        <f ca="1">SUMIF('Production '!$C$4:$AI$4407,'Tracking Sheet'!B1427,'Production '!$AG$4:$AG$4407)</f>
        <v>-4024</v>
      </c>
    </row>
    <row r="1428" spans="2:10" x14ac:dyDescent="0.3">
      <c r="B1428" s="277" t="str">
        <f>'Production '!C1431</f>
        <v>26828 81th</v>
      </c>
      <c r="C1428" s="76">
        <f ca="1">SUMIF('Production '!$C$4:$AI$4407,'Tracking Sheet'!B1428,'Production '!$M$4:$M$4407)</f>
        <v>0</v>
      </c>
      <c r="D1428" s="76">
        <f ca="1">SUMIF('Production '!$C$4:$AI$4407,'Tracking Sheet'!B1428,'Production '!$Q$4:$Q$4407)</f>
        <v>0</v>
      </c>
      <c r="E1428" s="76">
        <f ca="1">SUMIF('Production '!$C$4:$AI$4407,'Tracking Sheet'!B1428,'Production '!$S$4:$S$4407)</f>
        <v>0</v>
      </c>
      <c r="F1428" s="76">
        <f ca="1">SUMIF('Production '!$C$4:$AI$4407,'Tracking Sheet'!B1428,'Production '!$U$4:$U$4407)</f>
        <v>0</v>
      </c>
      <c r="G1428" s="76">
        <f ca="1">SUMIF('Production '!$C$4:$AI$4407,'Tracking Sheet'!B1428,'Production '!$W$4:$W$4407)</f>
        <v>0</v>
      </c>
      <c r="H1428" s="76">
        <f ca="1">SUMIF('Production '!$C$4:$AI$4407,'Tracking Sheet'!B1428,'Production '!$F$4:$F$4407)</f>
        <v>4024</v>
      </c>
      <c r="I1428" s="76">
        <f ca="1">SUMIF('Production '!$C$4:$AI$4407,'Tracking Sheet'!B1428,'Production '!$V$4:$V$4407)</f>
        <v>0</v>
      </c>
      <c r="J1428" s="76">
        <f ca="1">SUMIF('Production '!$C$4:$AI$4407,'Tracking Sheet'!B1428,'Production '!$AG$4:$AG$4407)</f>
        <v>-4024</v>
      </c>
    </row>
    <row r="1429" spans="2:10" x14ac:dyDescent="0.3">
      <c r="B1429" s="277">
        <f>'Production '!C1432</f>
        <v>0</v>
      </c>
      <c r="C1429" s="76" t="e">
        <f ca="1">SUMIF('Production '!$C$4:$AI$4407,'Tracking Sheet'!B1429,'Production '!$M$4:$M$4407)</f>
        <v>#DIV/0!</v>
      </c>
      <c r="D1429" s="76" t="e">
        <f ca="1">SUMIF('Production '!$C$4:$AI$4407,'Tracking Sheet'!B1429,'Production '!$Q$4:$Q$4407)</f>
        <v>#DIV/0!</v>
      </c>
      <c r="E1429" s="76">
        <f ca="1">SUMIF('Production '!$C$4:$AI$4407,'Tracking Sheet'!B1429,'Production '!$S$4:$S$4407)</f>
        <v>-1268218.9828305368</v>
      </c>
      <c r="F1429" s="76">
        <f ca="1">SUMIF('Production '!$C$4:$AI$4407,'Tracking Sheet'!B1429,'Production '!$U$4:$U$4407)</f>
        <v>-10620.435600016917</v>
      </c>
      <c r="G1429" s="76" t="e">
        <f ca="1">SUMIF('Production '!$C$4:$AI$4407,'Tracking Sheet'!B1429,'Production '!$W$4:$W$4407)</f>
        <v>#DIV/0!</v>
      </c>
      <c r="H1429" s="76">
        <f ca="1">SUMIF('Production '!$C$4:$AI$4407,'Tracking Sheet'!B1429,'Production '!$F$4:$F$4407)</f>
        <v>3230621.3283604058</v>
      </c>
      <c r="I1429" s="76">
        <f ca="1">SUMIF('Production '!$C$4:$AI$4407,'Tracking Sheet'!B1429,'Production '!$V$4:$V$4407)</f>
        <v>-489.86487791182844</v>
      </c>
      <c r="J1429" s="76">
        <f ca="1">SUMIF('Production '!$C$4:$AI$4407,'Tracking Sheet'!B1429,'Production '!$AG$4:$AG$4407)</f>
        <v>0</v>
      </c>
    </row>
    <row r="1430" spans="2:10" x14ac:dyDescent="0.3">
      <c r="B1430" s="277" t="str">
        <f>'Production '!C1433</f>
        <v>26828 82th</v>
      </c>
      <c r="C1430" s="76">
        <f ca="1">SUMIF('Production '!$C$4:$AI$4407,'Tracking Sheet'!B1430,'Production '!$M$4:$M$4407)</f>
        <v>0</v>
      </c>
      <c r="D1430" s="76">
        <f ca="1">SUMIF('Production '!$C$4:$AI$4407,'Tracking Sheet'!B1430,'Production '!$Q$4:$Q$4407)</f>
        <v>0</v>
      </c>
      <c r="E1430" s="76">
        <f ca="1">SUMIF('Production '!$C$4:$AI$4407,'Tracking Sheet'!B1430,'Production '!$S$4:$S$4407)</f>
        <v>0</v>
      </c>
      <c r="F1430" s="76">
        <f ca="1">SUMIF('Production '!$C$4:$AI$4407,'Tracking Sheet'!B1430,'Production '!$U$4:$U$4407)</f>
        <v>0</v>
      </c>
      <c r="G1430" s="76">
        <f ca="1">SUMIF('Production '!$C$4:$AI$4407,'Tracking Sheet'!B1430,'Production '!$W$4:$W$4407)</f>
        <v>0</v>
      </c>
      <c r="H1430" s="76">
        <f ca="1">SUMIF('Production '!$C$4:$AI$4407,'Tracking Sheet'!B1430,'Production '!$F$4:$F$4407)</f>
        <v>11040</v>
      </c>
      <c r="I1430" s="76">
        <f ca="1">SUMIF('Production '!$C$4:$AI$4407,'Tracking Sheet'!B1430,'Production '!$V$4:$V$4407)</f>
        <v>0</v>
      </c>
      <c r="J1430" s="76">
        <f ca="1">SUMIF('Production '!$C$4:$AI$4407,'Tracking Sheet'!B1430,'Production '!$AG$4:$AG$4407)</f>
        <v>-11040</v>
      </c>
    </row>
    <row r="1431" spans="2:10" x14ac:dyDescent="0.3">
      <c r="B1431" s="277" t="str">
        <f>'Production '!C1434</f>
        <v>26828 82th</v>
      </c>
      <c r="C1431" s="76">
        <f ca="1">SUMIF('Production '!$C$4:$AI$4407,'Tracking Sheet'!B1431,'Production '!$M$4:$M$4407)</f>
        <v>0</v>
      </c>
      <c r="D1431" s="76">
        <f ca="1">SUMIF('Production '!$C$4:$AI$4407,'Tracking Sheet'!B1431,'Production '!$Q$4:$Q$4407)</f>
        <v>0</v>
      </c>
      <c r="E1431" s="76">
        <f ca="1">SUMIF('Production '!$C$4:$AI$4407,'Tracking Sheet'!B1431,'Production '!$S$4:$S$4407)</f>
        <v>0</v>
      </c>
      <c r="F1431" s="76">
        <f ca="1">SUMIF('Production '!$C$4:$AI$4407,'Tracking Sheet'!B1431,'Production '!$U$4:$U$4407)</f>
        <v>0</v>
      </c>
      <c r="G1431" s="76">
        <f ca="1">SUMIF('Production '!$C$4:$AI$4407,'Tracking Sheet'!B1431,'Production '!$W$4:$W$4407)</f>
        <v>0</v>
      </c>
      <c r="H1431" s="76">
        <f ca="1">SUMIF('Production '!$C$4:$AI$4407,'Tracking Sheet'!B1431,'Production '!$F$4:$F$4407)</f>
        <v>11040</v>
      </c>
      <c r="I1431" s="76">
        <f ca="1">SUMIF('Production '!$C$4:$AI$4407,'Tracking Sheet'!B1431,'Production '!$V$4:$V$4407)</f>
        <v>0</v>
      </c>
      <c r="J1431" s="76">
        <f ca="1">SUMIF('Production '!$C$4:$AI$4407,'Tracking Sheet'!B1431,'Production '!$AG$4:$AG$4407)</f>
        <v>-11040</v>
      </c>
    </row>
    <row r="1432" spans="2:10" x14ac:dyDescent="0.3">
      <c r="B1432" s="277" t="str">
        <f>'Production '!C1435</f>
        <v>26828 82th</v>
      </c>
      <c r="C1432" s="76">
        <f ca="1">SUMIF('Production '!$C$4:$AI$4407,'Tracking Sheet'!B1432,'Production '!$M$4:$M$4407)</f>
        <v>0</v>
      </c>
      <c r="D1432" s="76">
        <f ca="1">SUMIF('Production '!$C$4:$AI$4407,'Tracking Sheet'!B1432,'Production '!$Q$4:$Q$4407)</f>
        <v>0</v>
      </c>
      <c r="E1432" s="76">
        <f ca="1">SUMIF('Production '!$C$4:$AI$4407,'Tracking Sheet'!B1432,'Production '!$S$4:$S$4407)</f>
        <v>0</v>
      </c>
      <c r="F1432" s="76">
        <f ca="1">SUMIF('Production '!$C$4:$AI$4407,'Tracking Sheet'!B1432,'Production '!$U$4:$U$4407)</f>
        <v>0</v>
      </c>
      <c r="G1432" s="76">
        <f ca="1">SUMIF('Production '!$C$4:$AI$4407,'Tracking Sheet'!B1432,'Production '!$W$4:$W$4407)</f>
        <v>0</v>
      </c>
      <c r="H1432" s="76">
        <f ca="1">SUMIF('Production '!$C$4:$AI$4407,'Tracking Sheet'!B1432,'Production '!$F$4:$F$4407)</f>
        <v>11040</v>
      </c>
      <c r="I1432" s="76">
        <f ca="1">SUMIF('Production '!$C$4:$AI$4407,'Tracking Sheet'!B1432,'Production '!$V$4:$V$4407)</f>
        <v>0</v>
      </c>
      <c r="J1432" s="76">
        <f ca="1">SUMIF('Production '!$C$4:$AI$4407,'Tracking Sheet'!B1432,'Production '!$AG$4:$AG$4407)</f>
        <v>-11040</v>
      </c>
    </row>
    <row r="1433" spans="2:10" x14ac:dyDescent="0.3">
      <c r="B1433" s="277" t="str">
        <f>'Production '!C1436</f>
        <v>26828 82th</v>
      </c>
      <c r="C1433" s="76">
        <f ca="1">SUMIF('Production '!$C$4:$AI$4407,'Tracking Sheet'!B1433,'Production '!$M$4:$M$4407)</f>
        <v>0</v>
      </c>
      <c r="D1433" s="76">
        <f ca="1">SUMIF('Production '!$C$4:$AI$4407,'Tracking Sheet'!B1433,'Production '!$Q$4:$Q$4407)</f>
        <v>0</v>
      </c>
      <c r="E1433" s="76">
        <f ca="1">SUMIF('Production '!$C$4:$AI$4407,'Tracking Sheet'!B1433,'Production '!$S$4:$S$4407)</f>
        <v>0</v>
      </c>
      <c r="F1433" s="76">
        <f ca="1">SUMIF('Production '!$C$4:$AI$4407,'Tracking Sheet'!B1433,'Production '!$U$4:$U$4407)</f>
        <v>0</v>
      </c>
      <c r="G1433" s="76">
        <f ca="1">SUMIF('Production '!$C$4:$AI$4407,'Tracking Sheet'!B1433,'Production '!$W$4:$W$4407)</f>
        <v>0</v>
      </c>
      <c r="H1433" s="76">
        <f ca="1">SUMIF('Production '!$C$4:$AI$4407,'Tracking Sheet'!B1433,'Production '!$F$4:$F$4407)</f>
        <v>11040</v>
      </c>
      <c r="I1433" s="76">
        <f ca="1">SUMIF('Production '!$C$4:$AI$4407,'Tracking Sheet'!B1433,'Production '!$V$4:$V$4407)</f>
        <v>0</v>
      </c>
      <c r="J1433" s="76">
        <f ca="1">SUMIF('Production '!$C$4:$AI$4407,'Tracking Sheet'!B1433,'Production '!$AG$4:$AG$4407)</f>
        <v>-11040</v>
      </c>
    </row>
    <row r="1434" spans="2:10" x14ac:dyDescent="0.3">
      <c r="B1434" s="277" t="str">
        <f>'Production '!C1437</f>
        <v>26828 82th</v>
      </c>
      <c r="C1434" s="76">
        <f ca="1">SUMIF('Production '!$C$4:$AI$4407,'Tracking Sheet'!B1434,'Production '!$M$4:$M$4407)</f>
        <v>0</v>
      </c>
      <c r="D1434" s="76">
        <f ca="1">SUMIF('Production '!$C$4:$AI$4407,'Tracking Sheet'!B1434,'Production '!$Q$4:$Q$4407)</f>
        <v>0</v>
      </c>
      <c r="E1434" s="76">
        <f ca="1">SUMIF('Production '!$C$4:$AI$4407,'Tracking Sheet'!B1434,'Production '!$S$4:$S$4407)</f>
        <v>0</v>
      </c>
      <c r="F1434" s="76">
        <f ca="1">SUMIF('Production '!$C$4:$AI$4407,'Tracking Sheet'!B1434,'Production '!$U$4:$U$4407)</f>
        <v>0</v>
      </c>
      <c r="G1434" s="76">
        <f ca="1">SUMIF('Production '!$C$4:$AI$4407,'Tracking Sheet'!B1434,'Production '!$W$4:$W$4407)</f>
        <v>0</v>
      </c>
      <c r="H1434" s="76">
        <f ca="1">SUMIF('Production '!$C$4:$AI$4407,'Tracking Sheet'!B1434,'Production '!$F$4:$F$4407)</f>
        <v>11040</v>
      </c>
      <c r="I1434" s="76">
        <f ca="1">SUMIF('Production '!$C$4:$AI$4407,'Tracking Sheet'!B1434,'Production '!$V$4:$V$4407)</f>
        <v>0</v>
      </c>
      <c r="J1434" s="76">
        <f ca="1">SUMIF('Production '!$C$4:$AI$4407,'Tracking Sheet'!B1434,'Production '!$AG$4:$AG$4407)</f>
        <v>-11040</v>
      </c>
    </row>
    <row r="1435" spans="2:10" x14ac:dyDescent="0.3">
      <c r="B1435" s="277">
        <f>'Production '!C1438</f>
        <v>0</v>
      </c>
      <c r="C1435" s="76" t="e">
        <f ca="1">SUMIF('Production '!$C$4:$AI$4407,'Tracking Sheet'!B1435,'Production '!$M$4:$M$4407)</f>
        <v>#DIV/0!</v>
      </c>
      <c r="D1435" s="76" t="e">
        <f ca="1">SUMIF('Production '!$C$4:$AI$4407,'Tracking Sheet'!B1435,'Production '!$Q$4:$Q$4407)</f>
        <v>#DIV/0!</v>
      </c>
      <c r="E1435" s="76">
        <f ca="1">SUMIF('Production '!$C$4:$AI$4407,'Tracking Sheet'!B1435,'Production '!$S$4:$S$4407)</f>
        <v>-1268218.9828305368</v>
      </c>
      <c r="F1435" s="76">
        <f ca="1">SUMIF('Production '!$C$4:$AI$4407,'Tracking Sheet'!B1435,'Production '!$U$4:$U$4407)</f>
        <v>-10620.435600016917</v>
      </c>
      <c r="G1435" s="76" t="e">
        <f ca="1">SUMIF('Production '!$C$4:$AI$4407,'Tracking Sheet'!B1435,'Production '!$W$4:$W$4407)</f>
        <v>#DIV/0!</v>
      </c>
      <c r="H1435" s="76">
        <f ca="1">SUMIF('Production '!$C$4:$AI$4407,'Tracking Sheet'!B1435,'Production '!$F$4:$F$4407)</f>
        <v>3230621.3283604058</v>
      </c>
      <c r="I1435" s="76">
        <f ca="1">SUMIF('Production '!$C$4:$AI$4407,'Tracking Sheet'!B1435,'Production '!$V$4:$V$4407)</f>
        <v>-489.86487791182844</v>
      </c>
      <c r="J1435" s="76">
        <f ca="1">SUMIF('Production '!$C$4:$AI$4407,'Tracking Sheet'!B1435,'Production '!$AG$4:$AG$4407)</f>
        <v>0</v>
      </c>
    </row>
    <row r="1436" spans="2:10" x14ac:dyDescent="0.3">
      <c r="B1436" s="277" t="str">
        <f>'Production '!C1439</f>
        <v>26828 68th</v>
      </c>
      <c r="C1436" s="76">
        <f ca="1">SUMIF('Production '!$C$4:$AI$4407,'Tracking Sheet'!B1436,'Production '!$M$4:$M$4407)</f>
        <v>3368</v>
      </c>
      <c r="D1436" s="76">
        <f ca="1">SUMIF('Production '!$C$4:$AI$4407,'Tracking Sheet'!B1436,'Production '!$Q$4:$Q$4407)</f>
        <v>0</v>
      </c>
      <c r="E1436" s="76">
        <f ca="1">SUMIF('Production '!$C$4:$AI$4407,'Tracking Sheet'!B1436,'Production '!$S$4:$S$4407)</f>
        <v>0</v>
      </c>
      <c r="F1436" s="76">
        <f ca="1">SUMIF('Production '!$C$4:$AI$4407,'Tracking Sheet'!B1436,'Production '!$U$4:$U$4407)</f>
        <v>5</v>
      </c>
      <c r="G1436" s="76">
        <f ca="1">SUMIF('Production '!$C$4:$AI$4407,'Tracking Sheet'!B1436,'Production '!$W$4:$W$4407)</f>
        <v>3363</v>
      </c>
      <c r="H1436" s="76">
        <f ca="1">SUMIF('Production '!$C$4:$AI$4407,'Tracking Sheet'!B1436,'Production '!$F$4:$F$4407)</f>
        <v>3293</v>
      </c>
      <c r="I1436" s="76">
        <f ca="1">SUMIF('Production '!$C$4:$AI$4407,'Tracking Sheet'!B1436,'Production '!$V$4:$V$4407)</f>
        <v>0</v>
      </c>
      <c r="J1436" s="76">
        <f ca="1">SUMIF('Production '!$C$4:$AI$4407,'Tracking Sheet'!B1436,'Production '!$AG$4:$AG$4407)</f>
        <v>0</v>
      </c>
    </row>
    <row r="1437" spans="2:10" x14ac:dyDescent="0.3">
      <c r="B1437" s="277" t="str">
        <f>'Production '!C1440</f>
        <v>26828 68th</v>
      </c>
      <c r="C1437" s="76">
        <f ca="1">SUMIF('Production '!$C$4:$AI$4407,'Tracking Sheet'!B1437,'Production '!$M$4:$M$4407)</f>
        <v>3368</v>
      </c>
      <c r="D1437" s="76">
        <f ca="1">SUMIF('Production '!$C$4:$AI$4407,'Tracking Sheet'!B1437,'Production '!$Q$4:$Q$4407)</f>
        <v>0</v>
      </c>
      <c r="E1437" s="76">
        <f ca="1">SUMIF('Production '!$C$4:$AI$4407,'Tracking Sheet'!B1437,'Production '!$S$4:$S$4407)</f>
        <v>0</v>
      </c>
      <c r="F1437" s="76">
        <f ca="1">SUMIF('Production '!$C$4:$AI$4407,'Tracking Sheet'!B1437,'Production '!$U$4:$U$4407)</f>
        <v>5</v>
      </c>
      <c r="G1437" s="76">
        <f ca="1">SUMIF('Production '!$C$4:$AI$4407,'Tracking Sheet'!B1437,'Production '!$W$4:$W$4407)</f>
        <v>3363</v>
      </c>
      <c r="H1437" s="76">
        <f ca="1">SUMIF('Production '!$C$4:$AI$4407,'Tracking Sheet'!B1437,'Production '!$F$4:$F$4407)</f>
        <v>3293</v>
      </c>
      <c r="I1437" s="76">
        <f ca="1">SUMIF('Production '!$C$4:$AI$4407,'Tracking Sheet'!B1437,'Production '!$V$4:$V$4407)</f>
        <v>0</v>
      </c>
      <c r="J1437" s="76">
        <f ca="1">SUMIF('Production '!$C$4:$AI$4407,'Tracking Sheet'!B1437,'Production '!$AG$4:$AG$4407)</f>
        <v>0</v>
      </c>
    </row>
    <row r="1438" spans="2:10" x14ac:dyDescent="0.3">
      <c r="B1438" s="277" t="str">
        <f>'Production '!C1441</f>
        <v>26828 68th</v>
      </c>
      <c r="C1438" s="76">
        <f ca="1">SUMIF('Production '!$C$4:$AI$4407,'Tracking Sheet'!B1438,'Production '!$M$4:$M$4407)</f>
        <v>3368</v>
      </c>
      <c r="D1438" s="76">
        <f ca="1">SUMIF('Production '!$C$4:$AI$4407,'Tracking Sheet'!B1438,'Production '!$Q$4:$Q$4407)</f>
        <v>0</v>
      </c>
      <c r="E1438" s="76">
        <f ca="1">SUMIF('Production '!$C$4:$AI$4407,'Tracking Sheet'!B1438,'Production '!$S$4:$S$4407)</f>
        <v>0</v>
      </c>
      <c r="F1438" s="76">
        <f ca="1">SUMIF('Production '!$C$4:$AI$4407,'Tracking Sheet'!B1438,'Production '!$U$4:$U$4407)</f>
        <v>5</v>
      </c>
      <c r="G1438" s="76">
        <f ca="1">SUMIF('Production '!$C$4:$AI$4407,'Tracking Sheet'!B1438,'Production '!$W$4:$W$4407)</f>
        <v>3363</v>
      </c>
      <c r="H1438" s="76">
        <f ca="1">SUMIF('Production '!$C$4:$AI$4407,'Tracking Sheet'!B1438,'Production '!$F$4:$F$4407)</f>
        <v>3293</v>
      </c>
      <c r="I1438" s="76">
        <f ca="1">SUMIF('Production '!$C$4:$AI$4407,'Tracking Sheet'!B1438,'Production '!$V$4:$V$4407)</f>
        <v>0</v>
      </c>
      <c r="J1438" s="76">
        <f ca="1">SUMIF('Production '!$C$4:$AI$4407,'Tracking Sheet'!B1438,'Production '!$AG$4:$AG$4407)</f>
        <v>0</v>
      </c>
    </row>
    <row r="1439" spans="2:10" x14ac:dyDescent="0.3">
      <c r="B1439" s="277" t="str">
        <f>'Production '!C1442</f>
        <v>26828 68th</v>
      </c>
      <c r="C1439" s="76">
        <f ca="1">SUMIF('Production '!$C$4:$AI$4407,'Tracking Sheet'!B1439,'Production '!$M$4:$M$4407)</f>
        <v>3368</v>
      </c>
      <c r="D1439" s="76">
        <f ca="1">SUMIF('Production '!$C$4:$AI$4407,'Tracking Sheet'!B1439,'Production '!$Q$4:$Q$4407)</f>
        <v>0</v>
      </c>
      <c r="E1439" s="76">
        <f ca="1">SUMIF('Production '!$C$4:$AI$4407,'Tracking Sheet'!B1439,'Production '!$S$4:$S$4407)</f>
        <v>0</v>
      </c>
      <c r="F1439" s="76">
        <f ca="1">SUMIF('Production '!$C$4:$AI$4407,'Tracking Sheet'!B1439,'Production '!$U$4:$U$4407)</f>
        <v>5</v>
      </c>
      <c r="G1439" s="76">
        <f ca="1">SUMIF('Production '!$C$4:$AI$4407,'Tracking Sheet'!B1439,'Production '!$W$4:$W$4407)</f>
        <v>3363</v>
      </c>
      <c r="H1439" s="76">
        <f ca="1">SUMIF('Production '!$C$4:$AI$4407,'Tracking Sheet'!B1439,'Production '!$F$4:$F$4407)</f>
        <v>3293</v>
      </c>
      <c r="I1439" s="76">
        <f ca="1">SUMIF('Production '!$C$4:$AI$4407,'Tracking Sheet'!B1439,'Production '!$V$4:$V$4407)</f>
        <v>0</v>
      </c>
      <c r="J1439" s="76">
        <f ca="1">SUMIF('Production '!$C$4:$AI$4407,'Tracking Sheet'!B1439,'Production '!$AG$4:$AG$4407)</f>
        <v>0</v>
      </c>
    </row>
    <row r="1440" spans="2:10" x14ac:dyDescent="0.3">
      <c r="B1440" s="277" t="str">
        <f>'Production '!C1443</f>
        <v>26828 68th</v>
      </c>
      <c r="C1440" s="76">
        <f ca="1">SUMIF('Production '!$C$4:$AI$4407,'Tracking Sheet'!B1440,'Production '!$M$4:$M$4407)</f>
        <v>3368</v>
      </c>
      <c r="D1440" s="76">
        <f ca="1">SUMIF('Production '!$C$4:$AI$4407,'Tracking Sheet'!B1440,'Production '!$Q$4:$Q$4407)</f>
        <v>0</v>
      </c>
      <c r="E1440" s="76">
        <f ca="1">SUMIF('Production '!$C$4:$AI$4407,'Tracking Sheet'!B1440,'Production '!$S$4:$S$4407)</f>
        <v>0</v>
      </c>
      <c r="F1440" s="76">
        <f ca="1">SUMIF('Production '!$C$4:$AI$4407,'Tracking Sheet'!B1440,'Production '!$U$4:$U$4407)</f>
        <v>5</v>
      </c>
      <c r="G1440" s="76">
        <f ca="1">SUMIF('Production '!$C$4:$AI$4407,'Tracking Sheet'!B1440,'Production '!$W$4:$W$4407)</f>
        <v>3363</v>
      </c>
      <c r="H1440" s="76">
        <f ca="1">SUMIF('Production '!$C$4:$AI$4407,'Tracking Sheet'!B1440,'Production '!$F$4:$F$4407)</f>
        <v>3293</v>
      </c>
      <c r="I1440" s="76">
        <f ca="1">SUMIF('Production '!$C$4:$AI$4407,'Tracking Sheet'!B1440,'Production '!$V$4:$V$4407)</f>
        <v>0</v>
      </c>
      <c r="J1440" s="76">
        <f ca="1">SUMIF('Production '!$C$4:$AI$4407,'Tracking Sheet'!B1440,'Production '!$AG$4:$AG$4407)</f>
        <v>0</v>
      </c>
    </row>
    <row r="1441" spans="2:10" x14ac:dyDescent="0.3">
      <c r="B1441" s="277" t="str">
        <f>'Production '!C1444</f>
        <v>26828 68th</v>
      </c>
      <c r="C1441" s="76">
        <f ca="1">SUMIF('Production '!$C$4:$AI$4407,'Tracking Sheet'!B1441,'Production '!$M$4:$M$4407)</f>
        <v>3368</v>
      </c>
      <c r="D1441" s="76">
        <f ca="1">SUMIF('Production '!$C$4:$AI$4407,'Tracking Sheet'!B1441,'Production '!$Q$4:$Q$4407)</f>
        <v>0</v>
      </c>
      <c r="E1441" s="76">
        <f ca="1">SUMIF('Production '!$C$4:$AI$4407,'Tracking Sheet'!B1441,'Production '!$S$4:$S$4407)</f>
        <v>0</v>
      </c>
      <c r="F1441" s="76">
        <f ca="1">SUMIF('Production '!$C$4:$AI$4407,'Tracking Sheet'!B1441,'Production '!$U$4:$U$4407)</f>
        <v>5</v>
      </c>
      <c r="G1441" s="76">
        <f ca="1">SUMIF('Production '!$C$4:$AI$4407,'Tracking Sheet'!B1441,'Production '!$W$4:$W$4407)</f>
        <v>3363</v>
      </c>
      <c r="H1441" s="76">
        <f ca="1">SUMIF('Production '!$C$4:$AI$4407,'Tracking Sheet'!B1441,'Production '!$F$4:$F$4407)</f>
        <v>3293</v>
      </c>
      <c r="I1441" s="76">
        <f ca="1">SUMIF('Production '!$C$4:$AI$4407,'Tracking Sheet'!B1441,'Production '!$V$4:$V$4407)</f>
        <v>0</v>
      </c>
      <c r="J1441" s="76">
        <f ca="1">SUMIF('Production '!$C$4:$AI$4407,'Tracking Sheet'!B1441,'Production '!$AG$4:$AG$4407)</f>
        <v>0</v>
      </c>
    </row>
    <row r="1442" spans="2:10" x14ac:dyDescent="0.3">
      <c r="B1442" s="277">
        <f>'Production '!C1445</f>
        <v>0</v>
      </c>
      <c r="C1442" s="76" t="e">
        <f ca="1">SUMIF('Production '!$C$4:$AI$4407,'Tracking Sheet'!B1442,'Production '!$M$4:$M$4407)</f>
        <v>#DIV/0!</v>
      </c>
      <c r="D1442" s="76" t="e">
        <f ca="1">SUMIF('Production '!$C$4:$AI$4407,'Tracking Sheet'!B1442,'Production '!$Q$4:$Q$4407)</f>
        <v>#DIV/0!</v>
      </c>
      <c r="E1442" s="76">
        <f ca="1">SUMIF('Production '!$C$4:$AI$4407,'Tracking Sheet'!B1442,'Production '!$S$4:$S$4407)</f>
        <v>-1268218.9828305368</v>
      </c>
      <c r="F1442" s="76">
        <f ca="1">SUMIF('Production '!$C$4:$AI$4407,'Tracking Sheet'!B1442,'Production '!$U$4:$U$4407)</f>
        <v>-10620.435600016917</v>
      </c>
      <c r="G1442" s="76" t="e">
        <f ca="1">SUMIF('Production '!$C$4:$AI$4407,'Tracking Sheet'!B1442,'Production '!$W$4:$W$4407)</f>
        <v>#DIV/0!</v>
      </c>
      <c r="H1442" s="76">
        <f ca="1">SUMIF('Production '!$C$4:$AI$4407,'Tracking Sheet'!B1442,'Production '!$F$4:$F$4407)</f>
        <v>3230621.3283604058</v>
      </c>
      <c r="I1442" s="76">
        <f ca="1">SUMIF('Production '!$C$4:$AI$4407,'Tracking Sheet'!B1442,'Production '!$V$4:$V$4407)</f>
        <v>-489.86487791182844</v>
      </c>
      <c r="J1442" s="76">
        <f ca="1">SUMIF('Production '!$C$4:$AI$4407,'Tracking Sheet'!B1442,'Production '!$AG$4:$AG$4407)</f>
        <v>0</v>
      </c>
    </row>
    <row r="1443" spans="2:10" x14ac:dyDescent="0.3">
      <c r="B1443" s="277" t="str">
        <f>'Production '!C1446</f>
        <v>26828 73th</v>
      </c>
      <c r="C1443" s="76">
        <f ca="1">SUMIF('Production '!$C$4:$AI$4407,'Tracking Sheet'!B1443,'Production '!$M$4:$M$4407)</f>
        <v>2035</v>
      </c>
      <c r="D1443" s="76">
        <f ca="1">SUMIF('Production '!$C$4:$AI$4407,'Tracking Sheet'!B1443,'Production '!$Q$4:$Q$4407)</f>
        <v>0</v>
      </c>
      <c r="E1443" s="76">
        <f ca="1">SUMIF('Production '!$C$4:$AI$4407,'Tracking Sheet'!B1443,'Production '!$S$4:$S$4407)</f>
        <v>0</v>
      </c>
      <c r="F1443" s="76">
        <f ca="1">SUMIF('Production '!$C$4:$AI$4407,'Tracking Sheet'!B1443,'Production '!$U$4:$U$4407)</f>
        <v>0</v>
      </c>
      <c r="G1443" s="76">
        <f ca="1">SUMIF('Production '!$C$4:$AI$4407,'Tracking Sheet'!B1443,'Production '!$W$4:$W$4407)</f>
        <v>2035</v>
      </c>
      <c r="H1443" s="76">
        <f ca="1">SUMIF('Production '!$C$4:$AI$4407,'Tracking Sheet'!B1443,'Production '!$F$4:$F$4407)</f>
        <v>2008</v>
      </c>
      <c r="I1443" s="76">
        <f ca="1">SUMIF('Production '!$C$4:$AI$4407,'Tracking Sheet'!B1443,'Production '!$V$4:$V$4407)</f>
        <v>0</v>
      </c>
      <c r="J1443" s="76">
        <f ca="1">SUMIF('Production '!$C$4:$AI$4407,'Tracking Sheet'!B1443,'Production '!$AG$4:$AG$4407)</f>
        <v>0</v>
      </c>
    </row>
    <row r="1444" spans="2:10" x14ac:dyDescent="0.3">
      <c r="B1444" s="277">
        <f>'Production '!C1447</f>
        <v>0</v>
      </c>
      <c r="C1444" s="76" t="e">
        <f ca="1">SUMIF('Production '!$C$4:$AI$4407,'Tracking Sheet'!B1444,'Production '!$M$4:$M$4407)</f>
        <v>#DIV/0!</v>
      </c>
      <c r="D1444" s="76" t="e">
        <f ca="1">SUMIF('Production '!$C$4:$AI$4407,'Tracking Sheet'!B1444,'Production '!$Q$4:$Q$4407)</f>
        <v>#DIV/0!</v>
      </c>
      <c r="E1444" s="76">
        <f ca="1">SUMIF('Production '!$C$4:$AI$4407,'Tracking Sheet'!B1444,'Production '!$S$4:$S$4407)</f>
        <v>-1268218.9828305368</v>
      </c>
      <c r="F1444" s="76">
        <f ca="1">SUMIF('Production '!$C$4:$AI$4407,'Tracking Sheet'!B1444,'Production '!$U$4:$U$4407)</f>
        <v>-10620.435600016917</v>
      </c>
      <c r="G1444" s="76" t="e">
        <f ca="1">SUMIF('Production '!$C$4:$AI$4407,'Tracking Sheet'!B1444,'Production '!$W$4:$W$4407)</f>
        <v>#DIV/0!</v>
      </c>
      <c r="H1444" s="76">
        <f ca="1">SUMIF('Production '!$C$4:$AI$4407,'Tracking Sheet'!B1444,'Production '!$F$4:$F$4407)</f>
        <v>3230621.3283604058</v>
      </c>
      <c r="I1444" s="76">
        <f ca="1">SUMIF('Production '!$C$4:$AI$4407,'Tracking Sheet'!B1444,'Production '!$V$4:$V$4407)</f>
        <v>-489.86487791182844</v>
      </c>
      <c r="J1444" s="76">
        <f ca="1">SUMIF('Production '!$C$4:$AI$4407,'Tracking Sheet'!B1444,'Production '!$AG$4:$AG$4407)</f>
        <v>0</v>
      </c>
    </row>
    <row r="1445" spans="2:10" x14ac:dyDescent="0.3">
      <c r="B1445" s="277" t="str">
        <f>'Production '!C1448</f>
        <v>26828 76th</v>
      </c>
      <c r="C1445" s="76">
        <f ca="1">SUMIF('Production '!$C$4:$AI$4407,'Tracking Sheet'!B1445,'Production '!$M$4:$M$4407)</f>
        <v>7098</v>
      </c>
      <c r="D1445" s="76">
        <f ca="1">SUMIF('Production '!$C$4:$AI$4407,'Tracking Sheet'!B1445,'Production '!$Q$4:$Q$4407)</f>
        <v>0</v>
      </c>
      <c r="E1445" s="76">
        <f ca="1">SUMIF('Production '!$C$4:$AI$4407,'Tracking Sheet'!B1445,'Production '!$S$4:$S$4407)</f>
        <v>0</v>
      </c>
      <c r="F1445" s="76">
        <f ca="1">SUMIF('Production '!$C$4:$AI$4407,'Tracking Sheet'!B1445,'Production '!$U$4:$U$4407)</f>
        <v>5490</v>
      </c>
      <c r="G1445" s="76">
        <f ca="1">SUMIF('Production '!$C$4:$AI$4407,'Tracking Sheet'!B1445,'Production '!$W$4:$W$4407)</f>
        <v>1608</v>
      </c>
      <c r="H1445" s="76">
        <f ca="1">SUMIF('Production '!$C$4:$AI$4407,'Tracking Sheet'!B1445,'Production '!$F$4:$F$4407)</f>
        <v>11016</v>
      </c>
      <c r="I1445" s="76">
        <f ca="1">SUMIF('Production '!$C$4:$AI$4407,'Tracking Sheet'!B1445,'Production '!$V$4:$V$4407)</f>
        <v>0</v>
      </c>
      <c r="J1445" s="76">
        <f ca="1">SUMIF('Production '!$C$4:$AI$4407,'Tracking Sheet'!B1445,'Production '!$AG$4:$AG$4407)</f>
        <v>-3918</v>
      </c>
    </row>
    <row r="1446" spans="2:10" x14ac:dyDescent="0.3">
      <c r="B1446" s="277" t="str">
        <f>'Production '!C1449</f>
        <v>26828 76th</v>
      </c>
      <c r="C1446" s="76">
        <f ca="1">SUMIF('Production '!$C$4:$AI$4407,'Tracking Sheet'!B1446,'Production '!$M$4:$M$4407)</f>
        <v>7098</v>
      </c>
      <c r="D1446" s="76">
        <f ca="1">SUMIF('Production '!$C$4:$AI$4407,'Tracking Sheet'!B1446,'Production '!$Q$4:$Q$4407)</f>
        <v>0</v>
      </c>
      <c r="E1446" s="76">
        <f ca="1">SUMIF('Production '!$C$4:$AI$4407,'Tracking Sheet'!B1446,'Production '!$S$4:$S$4407)</f>
        <v>0</v>
      </c>
      <c r="F1446" s="76">
        <f ca="1">SUMIF('Production '!$C$4:$AI$4407,'Tracking Sheet'!B1446,'Production '!$U$4:$U$4407)</f>
        <v>5490</v>
      </c>
      <c r="G1446" s="76">
        <f ca="1">SUMIF('Production '!$C$4:$AI$4407,'Tracking Sheet'!B1446,'Production '!$W$4:$W$4407)</f>
        <v>1608</v>
      </c>
      <c r="H1446" s="76">
        <f ca="1">SUMIF('Production '!$C$4:$AI$4407,'Tracking Sheet'!B1446,'Production '!$F$4:$F$4407)</f>
        <v>11016</v>
      </c>
      <c r="I1446" s="76">
        <f ca="1">SUMIF('Production '!$C$4:$AI$4407,'Tracking Sheet'!B1446,'Production '!$V$4:$V$4407)</f>
        <v>0</v>
      </c>
      <c r="J1446" s="76">
        <f ca="1">SUMIF('Production '!$C$4:$AI$4407,'Tracking Sheet'!B1446,'Production '!$AG$4:$AG$4407)</f>
        <v>-3918</v>
      </c>
    </row>
    <row r="1447" spans="2:10" x14ac:dyDescent="0.3">
      <c r="B1447" s="277" t="str">
        <f>'Production '!C1450</f>
        <v>26828 76th</v>
      </c>
      <c r="C1447" s="76">
        <f ca="1">SUMIF('Production '!$C$4:$AI$4407,'Tracking Sheet'!B1447,'Production '!$M$4:$M$4407)</f>
        <v>7098</v>
      </c>
      <c r="D1447" s="76">
        <f ca="1">SUMIF('Production '!$C$4:$AI$4407,'Tracking Sheet'!B1447,'Production '!$Q$4:$Q$4407)</f>
        <v>0</v>
      </c>
      <c r="E1447" s="76">
        <f ca="1">SUMIF('Production '!$C$4:$AI$4407,'Tracking Sheet'!B1447,'Production '!$S$4:$S$4407)</f>
        <v>0</v>
      </c>
      <c r="F1447" s="76">
        <f ca="1">SUMIF('Production '!$C$4:$AI$4407,'Tracking Sheet'!B1447,'Production '!$U$4:$U$4407)</f>
        <v>5490</v>
      </c>
      <c r="G1447" s="76">
        <f ca="1">SUMIF('Production '!$C$4:$AI$4407,'Tracking Sheet'!B1447,'Production '!$W$4:$W$4407)</f>
        <v>1608</v>
      </c>
      <c r="H1447" s="76">
        <f ca="1">SUMIF('Production '!$C$4:$AI$4407,'Tracking Sheet'!B1447,'Production '!$F$4:$F$4407)</f>
        <v>11016</v>
      </c>
      <c r="I1447" s="76">
        <f ca="1">SUMIF('Production '!$C$4:$AI$4407,'Tracking Sheet'!B1447,'Production '!$V$4:$V$4407)</f>
        <v>0</v>
      </c>
      <c r="J1447" s="76">
        <f ca="1">SUMIF('Production '!$C$4:$AI$4407,'Tracking Sheet'!B1447,'Production '!$AG$4:$AG$4407)</f>
        <v>-3918</v>
      </c>
    </row>
    <row r="1448" spans="2:10" x14ac:dyDescent="0.3">
      <c r="B1448" s="277" t="str">
        <f>'Production '!C1451</f>
        <v>26828 76th</v>
      </c>
      <c r="C1448" s="76">
        <f ca="1">SUMIF('Production '!$C$4:$AI$4407,'Tracking Sheet'!B1448,'Production '!$M$4:$M$4407)</f>
        <v>7098</v>
      </c>
      <c r="D1448" s="76">
        <f ca="1">SUMIF('Production '!$C$4:$AI$4407,'Tracking Sheet'!B1448,'Production '!$Q$4:$Q$4407)</f>
        <v>0</v>
      </c>
      <c r="E1448" s="76">
        <f ca="1">SUMIF('Production '!$C$4:$AI$4407,'Tracking Sheet'!B1448,'Production '!$S$4:$S$4407)</f>
        <v>0</v>
      </c>
      <c r="F1448" s="76">
        <f ca="1">SUMIF('Production '!$C$4:$AI$4407,'Tracking Sheet'!B1448,'Production '!$U$4:$U$4407)</f>
        <v>5490</v>
      </c>
      <c r="G1448" s="76">
        <f ca="1">SUMIF('Production '!$C$4:$AI$4407,'Tracking Sheet'!B1448,'Production '!$W$4:$W$4407)</f>
        <v>1608</v>
      </c>
      <c r="H1448" s="76">
        <f ca="1">SUMIF('Production '!$C$4:$AI$4407,'Tracking Sheet'!B1448,'Production '!$F$4:$F$4407)</f>
        <v>11016</v>
      </c>
      <c r="I1448" s="76">
        <f ca="1">SUMIF('Production '!$C$4:$AI$4407,'Tracking Sheet'!B1448,'Production '!$V$4:$V$4407)</f>
        <v>0</v>
      </c>
      <c r="J1448" s="76">
        <f ca="1">SUMIF('Production '!$C$4:$AI$4407,'Tracking Sheet'!B1448,'Production '!$AG$4:$AG$4407)</f>
        <v>-3918</v>
      </c>
    </row>
    <row r="1449" spans="2:10" x14ac:dyDescent="0.3">
      <c r="B1449" s="277">
        <f>'Production '!C1452</f>
        <v>0</v>
      </c>
      <c r="C1449" s="76" t="e">
        <f ca="1">SUMIF('Production '!$C$4:$AI$4407,'Tracking Sheet'!B1449,'Production '!$M$4:$M$4407)</f>
        <v>#DIV/0!</v>
      </c>
      <c r="D1449" s="76" t="e">
        <f ca="1">SUMIF('Production '!$C$4:$AI$4407,'Tracking Sheet'!B1449,'Production '!$Q$4:$Q$4407)</f>
        <v>#DIV/0!</v>
      </c>
      <c r="E1449" s="76">
        <f ca="1">SUMIF('Production '!$C$4:$AI$4407,'Tracking Sheet'!B1449,'Production '!$S$4:$S$4407)</f>
        <v>-1268218.9828305368</v>
      </c>
      <c r="F1449" s="76">
        <f ca="1">SUMIF('Production '!$C$4:$AI$4407,'Tracking Sheet'!B1449,'Production '!$U$4:$U$4407)</f>
        <v>-10620.435600016917</v>
      </c>
      <c r="G1449" s="76" t="e">
        <f ca="1">SUMIF('Production '!$C$4:$AI$4407,'Tracking Sheet'!B1449,'Production '!$W$4:$W$4407)</f>
        <v>#DIV/0!</v>
      </c>
      <c r="H1449" s="76">
        <f ca="1">SUMIF('Production '!$C$4:$AI$4407,'Tracking Sheet'!B1449,'Production '!$F$4:$F$4407)</f>
        <v>3230621.3283604058</v>
      </c>
      <c r="I1449" s="76">
        <f ca="1">SUMIF('Production '!$C$4:$AI$4407,'Tracking Sheet'!B1449,'Production '!$V$4:$V$4407)</f>
        <v>-489.86487791182844</v>
      </c>
      <c r="J1449" s="76">
        <f ca="1">SUMIF('Production '!$C$4:$AI$4407,'Tracking Sheet'!B1449,'Production '!$AG$4:$AG$4407)</f>
        <v>0</v>
      </c>
    </row>
    <row r="1450" spans="2:10" x14ac:dyDescent="0.3">
      <c r="B1450" s="277" t="str">
        <f>'Production '!C1453</f>
        <v>26828 75th</v>
      </c>
      <c r="C1450" s="76">
        <f ca="1">SUMIF('Production '!$C$4:$AI$4407,'Tracking Sheet'!B1450,'Production '!$M$4:$M$4407)</f>
        <v>10716</v>
      </c>
      <c r="D1450" s="76">
        <f ca="1">SUMIF('Production '!$C$4:$AI$4407,'Tracking Sheet'!B1450,'Production '!$Q$4:$Q$4407)</f>
        <v>0</v>
      </c>
      <c r="E1450" s="76">
        <f ca="1">SUMIF('Production '!$C$4:$AI$4407,'Tracking Sheet'!B1450,'Production '!$S$4:$S$4407)</f>
        <v>0</v>
      </c>
      <c r="F1450" s="76">
        <f ca="1">SUMIF('Production '!$C$4:$AI$4407,'Tracking Sheet'!B1450,'Production '!$U$4:$U$4407)</f>
        <v>217</v>
      </c>
      <c r="G1450" s="76">
        <f ca="1">SUMIF('Production '!$C$4:$AI$4407,'Tracking Sheet'!B1450,'Production '!$W$4:$W$4407)</f>
        <v>10499</v>
      </c>
      <c r="H1450" s="76">
        <f ca="1">SUMIF('Production '!$C$4:$AI$4407,'Tracking Sheet'!B1450,'Production '!$F$4:$F$4407)</f>
        <v>10356</v>
      </c>
      <c r="I1450" s="76">
        <f ca="1">SUMIF('Production '!$C$4:$AI$4407,'Tracking Sheet'!B1450,'Production '!$V$4:$V$4407)</f>
        <v>0</v>
      </c>
      <c r="J1450" s="76">
        <f ca="1">SUMIF('Production '!$C$4:$AI$4407,'Tracking Sheet'!B1450,'Production '!$AG$4:$AG$4407)</f>
        <v>0</v>
      </c>
    </row>
    <row r="1451" spans="2:10" x14ac:dyDescent="0.3">
      <c r="B1451" s="277" t="str">
        <f>'Production '!C1454</f>
        <v>26828 75th</v>
      </c>
      <c r="C1451" s="76">
        <f ca="1">SUMIF('Production '!$C$4:$AI$4407,'Tracking Sheet'!B1451,'Production '!$M$4:$M$4407)</f>
        <v>10716</v>
      </c>
      <c r="D1451" s="76">
        <f ca="1">SUMIF('Production '!$C$4:$AI$4407,'Tracking Sheet'!B1451,'Production '!$Q$4:$Q$4407)</f>
        <v>0</v>
      </c>
      <c r="E1451" s="76">
        <f ca="1">SUMIF('Production '!$C$4:$AI$4407,'Tracking Sheet'!B1451,'Production '!$S$4:$S$4407)</f>
        <v>0</v>
      </c>
      <c r="F1451" s="76">
        <f ca="1">SUMIF('Production '!$C$4:$AI$4407,'Tracking Sheet'!B1451,'Production '!$U$4:$U$4407)</f>
        <v>217</v>
      </c>
      <c r="G1451" s="76">
        <f ca="1">SUMIF('Production '!$C$4:$AI$4407,'Tracking Sheet'!B1451,'Production '!$W$4:$W$4407)</f>
        <v>10499</v>
      </c>
      <c r="H1451" s="76">
        <f ca="1">SUMIF('Production '!$C$4:$AI$4407,'Tracking Sheet'!B1451,'Production '!$F$4:$F$4407)</f>
        <v>10356</v>
      </c>
      <c r="I1451" s="76">
        <f ca="1">SUMIF('Production '!$C$4:$AI$4407,'Tracking Sheet'!B1451,'Production '!$V$4:$V$4407)</f>
        <v>0</v>
      </c>
      <c r="J1451" s="76">
        <f ca="1">SUMIF('Production '!$C$4:$AI$4407,'Tracking Sheet'!B1451,'Production '!$AG$4:$AG$4407)</f>
        <v>0</v>
      </c>
    </row>
    <row r="1452" spans="2:10" x14ac:dyDescent="0.3">
      <c r="B1452" s="277" t="str">
        <f>'Production '!C1455</f>
        <v>26828 75th</v>
      </c>
      <c r="C1452" s="76">
        <f ca="1">SUMIF('Production '!$C$4:$AI$4407,'Tracking Sheet'!B1452,'Production '!$M$4:$M$4407)</f>
        <v>10716</v>
      </c>
      <c r="D1452" s="76">
        <f ca="1">SUMIF('Production '!$C$4:$AI$4407,'Tracking Sheet'!B1452,'Production '!$Q$4:$Q$4407)</f>
        <v>0</v>
      </c>
      <c r="E1452" s="76">
        <f ca="1">SUMIF('Production '!$C$4:$AI$4407,'Tracking Sheet'!B1452,'Production '!$S$4:$S$4407)</f>
        <v>0</v>
      </c>
      <c r="F1452" s="76">
        <f ca="1">SUMIF('Production '!$C$4:$AI$4407,'Tracking Sheet'!B1452,'Production '!$U$4:$U$4407)</f>
        <v>217</v>
      </c>
      <c r="G1452" s="76">
        <f ca="1">SUMIF('Production '!$C$4:$AI$4407,'Tracking Sheet'!B1452,'Production '!$W$4:$W$4407)</f>
        <v>10499</v>
      </c>
      <c r="H1452" s="76">
        <f ca="1">SUMIF('Production '!$C$4:$AI$4407,'Tracking Sheet'!B1452,'Production '!$F$4:$F$4407)</f>
        <v>10356</v>
      </c>
      <c r="I1452" s="76">
        <f ca="1">SUMIF('Production '!$C$4:$AI$4407,'Tracking Sheet'!B1452,'Production '!$V$4:$V$4407)</f>
        <v>0</v>
      </c>
      <c r="J1452" s="76">
        <f ca="1">SUMIF('Production '!$C$4:$AI$4407,'Tracking Sheet'!B1452,'Production '!$AG$4:$AG$4407)</f>
        <v>0</v>
      </c>
    </row>
    <row r="1453" spans="2:10" x14ac:dyDescent="0.3">
      <c r="B1453" s="277" t="str">
        <f>'Production '!C1456</f>
        <v>26828 75th</v>
      </c>
      <c r="C1453" s="76">
        <f ca="1">SUMIF('Production '!$C$4:$AI$4407,'Tracking Sheet'!B1453,'Production '!$M$4:$M$4407)</f>
        <v>10716</v>
      </c>
      <c r="D1453" s="76">
        <f ca="1">SUMIF('Production '!$C$4:$AI$4407,'Tracking Sheet'!B1453,'Production '!$Q$4:$Q$4407)</f>
        <v>0</v>
      </c>
      <c r="E1453" s="76">
        <f ca="1">SUMIF('Production '!$C$4:$AI$4407,'Tracking Sheet'!B1453,'Production '!$S$4:$S$4407)</f>
        <v>0</v>
      </c>
      <c r="F1453" s="76">
        <f ca="1">SUMIF('Production '!$C$4:$AI$4407,'Tracking Sheet'!B1453,'Production '!$U$4:$U$4407)</f>
        <v>217</v>
      </c>
      <c r="G1453" s="76">
        <f ca="1">SUMIF('Production '!$C$4:$AI$4407,'Tracking Sheet'!B1453,'Production '!$W$4:$W$4407)</f>
        <v>10499</v>
      </c>
      <c r="H1453" s="76">
        <f ca="1">SUMIF('Production '!$C$4:$AI$4407,'Tracking Sheet'!B1453,'Production '!$F$4:$F$4407)</f>
        <v>10356</v>
      </c>
      <c r="I1453" s="76">
        <f ca="1">SUMIF('Production '!$C$4:$AI$4407,'Tracking Sheet'!B1453,'Production '!$V$4:$V$4407)</f>
        <v>0</v>
      </c>
      <c r="J1453" s="76">
        <f ca="1">SUMIF('Production '!$C$4:$AI$4407,'Tracking Sheet'!B1453,'Production '!$AG$4:$AG$4407)</f>
        <v>0</v>
      </c>
    </row>
    <row r="1454" spans="2:10" x14ac:dyDescent="0.3">
      <c r="B1454" s="277" t="str">
        <f>'Production '!C1457</f>
        <v>26828 75th</v>
      </c>
      <c r="C1454" s="76">
        <f ca="1">SUMIF('Production '!$C$4:$AI$4407,'Tracking Sheet'!B1454,'Production '!$M$4:$M$4407)</f>
        <v>10716</v>
      </c>
      <c r="D1454" s="76">
        <f ca="1">SUMIF('Production '!$C$4:$AI$4407,'Tracking Sheet'!B1454,'Production '!$Q$4:$Q$4407)</f>
        <v>0</v>
      </c>
      <c r="E1454" s="76">
        <f ca="1">SUMIF('Production '!$C$4:$AI$4407,'Tracking Sheet'!B1454,'Production '!$S$4:$S$4407)</f>
        <v>0</v>
      </c>
      <c r="F1454" s="76">
        <f ca="1">SUMIF('Production '!$C$4:$AI$4407,'Tracking Sheet'!B1454,'Production '!$U$4:$U$4407)</f>
        <v>217</v>
      </c>
      <c r="G1454" s="76">
        <f ca="1">SUMIF('Production '!$C$4:$AI$4407,'Tracking Sheet'!B1454,'Production '!$W$4:$W$4407)</f>
        <v>10499</v>
      </c>
      <c r="H1454" s="76">
        <f ca="1">SUMIF('Production '!$C$4:$AI$4407,'Tracking Sheet'!B1454,'Production '!$F$4:$F$4407)</f>
        <v>10356</v>
      </c>
      <c r="I1454" s="76">
        <f ca="1">SUMIF('Production '!$C$4:$AI$4407,'Tracking Sheet'!B1454,'Production '!$V$4:$V$4407)</f>
        <v>0</v>
      </c>
      <c r="J1454" s="76">
        <f ca="1">SUMIF('Production '!$C$4:$AI$4407,'Tracking Sheet'!B1454,'Production '!$AG$4:$AG$4407)</f>
        <v>0</v>
      </c>
    </row>
    <row r="1455" spans="2:10" x14ac:dyDescent="0.3">
      <c r="B1455" s="277" t="str">
        <f>'Production '!C1458</f>
        <v>26828 75th</v>
      </c>
      <c r="C1455" s="76">
        <f ca="1">SUMIF('Production '!$C$4:$AI$4407,'Tracking Sheet'!B1455,'Production '!$M$4:$M$4407)</f>
        <v>10716</v>
      </c>
      <c r="D1455" s="76">
        <f ca="1">SUMIF('Production '!$C$4:$AI$4407,'Tracking Sheet'!B1455,'Production '!$Q$4:$Q$4407)</f>
        <v>0</v>
      </c>
      <c r="E1455" s="76">
        <f ca="1">SUMIF('Production '!$C$4:$AI$4407,'Tracking Sheet'!B1455,'Production '!$S$4:$S$4407)</f>
        <v>0</v>
      </c>
      <c r="F1455" s="76">
        <f ca="1">SUMIF('Production '!$C$4:$AI$4407,'Tracking Sheet'!B1455,'Production '!$U$4:$U$4407)</f>
        <v>217</v>
      </c>
      <c r="G1455" s="76">
        <f ca="1">SUMIF('Production '!$C$4:$AI$4407,'Tracking Sheet'!B1455,'Production '!$W$4:$W$4407)</f>
        <v>10499</v>
      </c>
      <c r="H1455" s="76">
        <f ca="1">SUMIF('Production '!$C$4:$AI$4407,'Tracking Sheet'!B1455,'Production '!$F$4:$F$4407)</f>
        <v>10356</v>
      </c>
      <c r="I1455" s="76">
        <f ca="1">SUMIF('Production '!$C$4:$AI$4407,'Tracking Sheet'!B1455,'Production '!$V$4:$V$4407)</f>
        <v>0</v>
      </c>
      <c r="J1455" s="76">
        <f ca="1">SUMIF('Production '!$C$4:$AI$4407,'Tracking Sheet'!B1455,'Production '!$AG$4:$AG$4407)</f>
        <v>0</v>
      </c>
    </row>
    <row r="1456" spans="2:10" x14ac:dyDescent="0.3">
      <c r="B1456" s="277" t="str">
        <f>'Production '!C1459</f>
        <v>26828 75th</v>
      </c>
      <c r="C1456" s="76">
        <f ca="1">SUMIF('Production '!$C$4:$AI$4407,'Tracking Sheet'!B1456,'Production '!$M$4:$M$4407)</f>
        <v>10716</v>
      </c>
      <c r="D1456" s="76">
        <f ca="1">SUMIF('Production '!$C$4:$AI$4407,'Tracking Sheet'!B1456,'Production '!$Q$4:$Q$4407)</f>
        <v>0</v>
      </c>
      <c r="E1456" s="76">
        <f ca="1">SUMIF('Production '!$C$4:$AI$4407,'Tracking Sheet'!B1456,'Production '!$S$4:$S$4407)</f>
        <v>0</v>
      </c>
      <c r="F1456" s="76">
        <f ca="1">SUMIF('Production '!$C$4:$AI$4407,'Tracking Sheet'!B1456,'Production '!$U$4:$U$4407)</f>
        <v>217</v>
      </c>
      <c r="G1456" s="76">
        <f ca="1">SUMIF('Production '!$C$4:$AI$4407,'Tracking Sheet'!B1456,'Production '!$W$4:$W$4407)</f>
        <v>10499</v>
      </c>
      <c r="H1456" s="76">
        <f ca="1">SUMIF('Production '!$C$4:$AI$4407,'Tracking Sheet'!B1456,'Production '!$F$4:$F$4407)</f>
        <v>10356</v>
      </c>
      <c r="I1456" s="76">
        <f ca="1">SUMIF('Production '!$C$4:$AI$4407,'Tracking Sheet'!B1456,'Production '!$V$4:$V$4407)</f>
        <v>0</v>
      </c>
      <c r="J1456" s="76">
        <f ca="1">SUMIF('Production '!$C$4:$AI$4407,'Tracking Sheet'!B1456,'Production '!$AG$4:$AG$4407)</f>
        <v>0</v>
      </c>
    </row>
    <row r="1457" spans="2:10" x14ac:dyDescent="0.3">
      <c r="B1457" s="277">
        <f>'Production '!C1460</f>
        <v>0</v>
      </c>
      <c r="C1457" s="76" t="e">
        <f ca="1">SUMIF('Production '!$C$4:$AI$4407,'Tracking Sheet'!B1457,'Production '!$M$4:$M$4407)</f>
        <v>#DIV/0!</v>
      </c>
      <c r="D1457" s="76" t="e">
        <f ca="1">SUMIF('Production '!$C$4:$AI$4407,'Tracking Sheet'!B1457,'Production '!$Q$4:$Q$4407)</f>
        <v>#DIV/0!</v>
      </c>
      <c r="E1457" s="76">
        <f ca="1">SUMIF('Production '!$C$4:$AI$4407,'Tracking Sheet'!B1457,'Production '!$S$4:$S$4407)</f>
        <v>-1268218.9828305368</v>
      </c>
      <c r="F1457" s="76">
        <f ca="1">SUMIF('Production '!$C$4:$AI$4407,'Tracking Sheet'!B1457,'Production '!$U$4:$U$4407)</f>
        <v>-10620.435600016917</v>
      </c>
      <c r="G1457" s="76" t="e">
        <f ca="1">SUMIF('Production '!$C$4:$AI$4407,'Tracking Sheet'!B1457,'Production '!$W$4:$W$4407)</f>
        <v>#DIV/0!</v>
      </c>
      <c r="H1457" s="76">
        <f ca="1">SUMIF('Production '!$C$4:$AI$4407,'Tracking Sheet'!B1457,'Production '!$F$4:$F$4407)</f>
        <v>3230621.3283604058</v>
      </c>
      <c r="I1457" s="76">
        <f ca="1">SUMIF('Production '!$C$4:$AI$4407,'Tracking Sheet'!B1457,'Production '!$V$4:$V$4407)</f>
        <v>-489.86487791182844</v>
      </c>
      <c r="J1457" s="76">
        <f ca="1">SUMIF('Production '!$C$4:$AI$4407,'Tracking Sheet'!B1457,'Production '!$AG$4:$AG$4407)</f>
        <v>0</v>
      </c>
    </row>
    <row r="1458" spans="2:10" x14ac:dyDescent="0.3">
      <c r="B1458" s="277" t="str">
        <f>'Production '!C1461</f>
        <v>22041 62th</v>
      </c>
      <c r="C1458" s="76">
        <f ca="1">SUMIF('Production '!$C$4:$AI$4407,'Tracking Sheet'!B1458,'Production '!$M$4:$M$4407)</f>
        <v>3073</v>
      </c>
      <c r="D1458" s="76">
        <f ca="1">SUMIF('Production '!$C$4:$AI$4407,'Tracking Sheet'!B1458,'Production '!$Q$4:$Q$4407)</f>
        <v>0</v>
      </c>
      <c r="E1458" s="76">
        <f ca="1">SUMIF('Production '!$C$4:$AI$4407,'Tracking Sheet'!B1458,'Production '!$S$4:$S$4407)</f>
        <v>0</v>
      </c>
      <c r="F1458" s="76">
        <f ca="1">SUMIF('Production '!$C$4:$AI$4407,'Tracking Sheet'!B1458,'Production '!$U$4:$U$4407)</f>
        <v>0</v>
      </c>
      <c r="G1458" s="76">
        <f ca="1">SUMIF('Production '!$C$4:$AI$4407,'Tracking Sheet'!B1458,'Production '!$W$4:$W$4407)</f>
        <v>3073</v>
      </c>
      <c r="H1458" s="76">
        <f ca="1">SUMIF('Production '!$C$4:$AI$4407,'Tracking Sheet'!B1458,'Production '!$F$4:$F$4407)</f>
        <v>3040</v>
      </c>
      <c r="I1458" s="76">
        <f ca="1">SUMIF('Production '!$C$4:$AI$4407,'Tracking Sheet'!B1458,'Production '!$V$4:$V$4407)</f>
        <v>0</v>
      </c>
      <c r="J1458" s="76">
        <f ca="1">SUMIF('Production '!$C$4:$AI$4407,'Tracking Sheet'!B1458,'Production '!$AG$4:$AG$4407)</f>
        <v>0</v>
      </c>
    </row>
    <row r="1459" spans="2:10" x14ac:dyDescent="0.3">
      <c r="B1459" s="277">
        <f>'Production '!C1462</f>
        <v>0</v>
      </c>
      <c r="C1459" s="76" t="e">
        <f ca="1">SUMIF('Production '!$C$4:$AI$4407,'Tracking Sheet'!B1459,'Production '!$M$4:$M$4407)</f>
        <v>#DIV/0!</v>
      </c>
      <c r="D1459" s="76" t="e">
        <f ca="1">SUMIF('Production '!$C$4:$AI$4407,'Tracking Sheet'!B1459,'Production '!$Q$4:$Q$4407)</f>
        <v>#DIV/0!</v>
      </c>
      <c r="E1459" s="76">
        <f ca="1">SUMIF('Production '!$C$4:$AI$4407,'Tracking Sheet'!B1459,'Production '!$S$4:$S$4407)</f>
        <v>-1268218.9828305368</v>
      </c>
      <c r="F1459" s="76">
        <f ca="1">SUMIF('Production '!$C$4:$AI$4407,'Tracking Sheet'!B1459,'Production '!$U$4:$U$4407)</f>
        <v>-10620.435600016917</v>
      </c>
      <c r="G1459" s="76" t="e">
        <f ca="1">SUMIF('Production '!$C$4:$AI$4407,'Tracking Sheet'!B1459,'Production '!$W$4:$W$4407)</f>
        <v>#DIV/0!</v>
      </c>
      <c r="H1459" s="76">
        <f ca="1">SUMIF('Production '!$C$4:$AI$4407,'Tracking Sheet'!B1459,'Production '!$F$4:$F$4407)</f>
        <v>3230621.3283604058</v>
      </c>
      <c r="I1459" s="76">
        <f ca="1">SUMIF('Production '!$C$4:$AI$4407,'Tracking Sheet'!B1459,'Production '!$V$4:$V$4407)</f>
        <v>-489.86487791182844</v>
      </c>
      <c r="J1459" s="76">
        <f ca="1">SUMIF('Production '!$C$4:$AI$4407,'Tracking Sheet'!B1459,'Production '!$AG$4:$AG$4407)</f>
        <v>0</v>
      </c>
    </row>
    <row r="1460" spans="2:10" x14ac:dyDescent="0.3">
      <c r="B1460" s="277" t="str">
        <f>'Production '!C1463</f>
        <v>22041 64th</v>
      </c>
      <c r="C1460" s="76">
        <f ca="1">SUMIF('Production '!$C$4:$AI$4407,'Tracking Sheet'!B1460,'Production '!$M$4:$M$4407)</f>
        <v>10155</v>
      </c>
      <c r="D1460" s="76">
        <f ca="1">SUMIF('Production '!$C$4:$AI$4407,'Tracking Sheet'!B1460,'Production '!$Q$4:$Q$4407)</f>
        <v>0</v>
      </c>
      <c r="E1460" s="76">
        <f ca="1">SUMIF('Production '!$C$4:$AI$4407,'Tracking Sheet'!B1460,'Production '!$S$4:$S$4407)</f>
        <v>0</v>
      </c>
      <c r="F1460" s="76">
        <f ca="1">SUMIF('Production '!$C$4:$AI$4407,'Tracking Sheet'!B1460,'Production '!$U$4:$U$4407)</f>
        <v>0</v>
      </c>
      <c r="G1460" s="76">
        <f ca="1">SUMIF('Production '!$C$4:$AI$4407,'Tracking Sheet'!B1460,'Production '!$W$4:$W$4407)</f>
        <v>10155</v>
      </c>
      <c r="H1460" s="76">
        <f ca="1">SUMIF('Production '!$C$4:$AI$4407,'Tracking Sheet'!B1460,'Production '!$F$4:$F$4407)</f>
        <v>10061</v>
      </c>
      <c r="I1460" s="76">
        <f ca="1">SUMIF('Production '!$C$4:$AI$4407,'Tracking Sheet'!B1460,'Production '!$V$4:$V$4407)</f>
        <v>0</v>
      </c>
      <c r="J1460" s="76">
        <f ca="1">SUMIF('Production '!$C$4:$AI$4407,'Tracking Sheet'!B1460,'Production '!$AG$4:$AG$4407)</f>
        <v>0</v>
      </c>
    </row>
    <row r="1461" spans="2:10" x14ac:dyDescent="0.3">
      <c r="B1461" s="277">
        <f>'Production '!C1464</f>
        <v>0</v>
      </c>
      <c r="C1461" s="76" t="e">
        <f ca="1">SUMIF('Production '!$C$4:$AI$4407,'Tracking Sheet'!B1461,'Production '!$M$4:$M$4407)</f>
        <v>#DIV/0!</v>
      </c>
      <c r="D1461" s="76" t="e">
        <f ca="1">SUMIF('Production '!$C$4:$AI$4407,'Tracking Sheet'!B1461,'Production '!$Q$4:$Q$4407)</f>
        <v>#DIV/0!</v>
      </c>
      <c r="E1461" s="76">
        <f ca="1">SUMIF('Production '!$C$4:$AI$4407,'Tracking Sheet'!B1461,'Production '!$S$4:$S$4407)</f>
        <v>-1268218.9828305368</v>
      </c>
      <c r="F1461" s="76">
        <f ca="1">SUMIF('Production '!$C$4:$AI$4407,'Tracking Sheet'!B1461,'Production '!$U$4:$U$4407)</f>
        <v>-10620.435600016917</v>
      </c>
      <c r="G1461" s="76" t="e">
        <f ca="1">SUMIF('Production '!$C$4:$AI$4407,'Tracking Sheet'!B1461,'Production '!$W$4:$W$4407)</f>
        <v>#DIV/0!</v>
      </c>
      <c r="H1461" s="76">
        <f ca="1">SUMIF('Production '!$C$4:$AI$4407,'Tracking Sheet'!B1461,'Production '!$F$4:$F$4407)</f>
        <v>3230621.3283604058</v>
      </c>
      <c r="I1461" s="76">
        <f ca="1">SUMIF('Production '!$C$4:$AI$4407,'Tracking Sheet'!B1461,'Production '!$V$4:$V$4407)</f>
        <v>-489.86487791182844</v>
      </c>
      <c r="J1461" s="76">
        <f ca="1">SUMIF('Production '!$C$4:$AI$4407,'Tracking Sheet'!B1461,'Production '!$AG$4:$AG$4407)</f>
        <v>0</v>
      </c>
    </row>
    <row r="1462" spans="2:10" x14ac:dyDescent="0.3">
      <c r="B1462" s="277" t="str">
        <f>'Production '!C1465</f>
        <v>22041 65th</v>
      </c>
      <c r="C1462" s="76">
        <f ca="1">SUMIF('Production '!$C$4:$AI$4407,'Tracking Sheet'!B1462,'Production '!$M$4:$M$4407)</f>
        <v>9184</v>
      </c>
      <c r="D1462" s="76">
        <f ca="1">SUMIF('Production '!$C$4:$AI$4407,'Tracking Sheet'!B1462,'Production '!$Q$4:$Q$4407)</f>
        <v>0</v>
      </c>
      <c r="E1462" s="76">
        <f ca="1">SUMIF('Production '!$C$4:$AI$4407,'Tracking Sheet'!B1462,'Production '!$S$4:$S$4407)</f>
        <v>0</v>
      </c>
      <c r="F1462" s="76">
        <f ca="1">SUMIF('Production '!$C$4:$AI$4407,'Tracking Sheet'!B1462,'Production '!$U$4:$U$4407)</f>
        <v>27</v>
      </c>
      <c r="G1462" s="76">
        <f ca="1">SUMIF('Production '!$C$4:$AI$4407,'Tracking Sheet'!B1462,'Production '!$W$4:$W$4407)</f>
        <v>9157</v>
      </c>
      <c r="H1462" s="76">
        <f ca="1">SUMIF('Production '!$C$4:$AI$4407,'Tracking Sheet'!B1462,'Production '!$F$4:$F$4407)</f>
        <v>9070</v>
      </c>
      <c r="I1462" s="76">
        <f ca="1">SUMIF('Production '!$C$4:$AI$4407,'Tracking Sheet'!B1462,'Production '!$V$4:$V$4407)</f>
        <v>0</v>
      </c>
      <c r="J1462" s="76">
        <f ca="1">SUMIF('Production '!$C$4:$AI$4407,'Tracking Sheet'!B1462,'Production '!$AG$4:$AG$4407)</f>
        <v>0</v>
      </c>
    </row>
    <row r="1463" spans="2:10" x14ac:dyDescent="0.3">
      <c r="B1463" s="277">
        <f>'Production '!C1466</f>
        <v>0</v>
      </c>
      <c r="C1463" s="76" t="e">
        <f ca="1">SUMIF('Production '!$C$4:$AI$4407,'Tracking Sheet'!B1463,'Production '!$M$4:$M$4407)</f>
        <v>#DIV/0!</v>
      </c>
      <c r="D1463" s="76" t="e">
        <f ca="1">SUMIF('Production '!$C$4:$AI$4407,'Tracking Sheet'!B1463,'Production '!$Q$4:$Q$4407)</f>
        <v>#DIV/0!</v>
      </c>
      <c r="E1463" s="76">
        <f ca="1">SUMIF('Production '!$C$4:$AI$4407,'Tracking Sheet'!B1463,'Production '!$S$4:$S$4407)</f>
        <v>-1268218.9828305368</v>
      </c>
      <c r="F1463" s="76">
        <f ca="1">SUMIF('Production '!$C$4:$AI$4407,'Tracking Sheet'!B1463,'Production '!$U$4:$U$4407)</f>
        <v>-10620.435600016917</v>
      </c>
      <c r="G1463" s="76" t="e">
        <f ca="1">SUMIF('Production '!$C$4:$AI$4407,'Tracking Sheet'!B1463,'Production '!$W$4:$W$4407)</f>
        <v>#DIV/0!</v>
      </c>
      <c r="H1463" s="76">
        <f ca="1">SUMIF('Production '!$C$4:$AI$4407,'Tracking Sheet'!B1463,'Production '!$F$4:$F$4407)</f>
        <v>3230621.3283604058</v>
      </c>
      <c r="I1463" s="76">
        <f ca="1">SUMIF('Production '!$C$4:$AI$4407,'Tracking Sheet'!B1463,'Production '!$V$4:$V$4407)</f>
        <v>-489.86487791182844</v>
      </c>
      <c r="J1463" s="76">
        <f ca="1">SUMIF('Production '!$C$4:$AI$4407,'Tracking Sheet'!B1463,'Production '!$AG$4:$AG$4407)</f>
        <v>0</v>
      </c>
    </row>
    <row r="1464" spans="2:10" x14ac:dyDescent="0.3">
      <c r="B1464" s="277" t="str">
        <f>'Production '!C1467</f>
        <v>22041 63th</v>
      </c>
      <c r="C1464" s="76">
        <f ca="1">SUMIF('Production '!$C$4:$AI$4407,'Tracking Sheet'!B1464,'Production '!$M$4:$M$4407)</f>
        <v>1698</v>
      </c>
      <c r="D1464" s="76">
        <f ca="1">SUMIF('Production '!$C$4:$AI$4407,'Tracking Sheet'!B1464,'Production '!$Q$4:$Q$4407)</f>
        <v>0</v>
      </c>
      <c r="E1464" s="76">
        <f ca="1">SUMIF('Production '!$C$4:$AI$4407,'Tracking Sheet'!B1464,'Production '!$S$4:$S$4407)</f>
        <v>0</v>
      </c>
      <c r="F1464" s="76">
        <f ca="1">SUMIF('Production '!$C$4:$AI$4407,'Tracking Sheet'!B1464,'Production '!$U$4:$U$4407)</f>
        <v>0</v>
      </c>
      <c r="G1464" s="76">
        <f ca="1">SUMIF('Production '!$C$4:$AI$4407,'Tracking Sheet'!B1464,'Production '!$W$4:$W$4407)</f>
        <v>1698</v>
      </c>
      <c r="H1464" s="76">
        <f ca="1">SUMIF('Production '!$C$4:$AI$4407,'Tracking Sheet'!B1464,'Production '!$F$4:$F$4407)</f>
        <v>1656</v>
      </c>
      <c r="I1464" s="76">
        <f ca="1">SUMIF('Production '!$C$4:$AI$4407,'Tracking Sheet'!B1464,'Production '!$V$4:$V$4407)</f>
        <v>0</v>
      </c>
      <c r="J1464" s="76">
        <f ca="1">SUMIF('Production '!$C$4:$AI$4407,'Tracking Sheet'!B1464,'Production '!$AG$4:$AG$4407)</f>
        <v>0</v>
      </c>
    </row>
    <row r="1465" spans="2:10" x14ac:dyDescent="0.3">
      <c r="B1465" s="277" t="str">
        <f>'Production '!C1468</f>
        <v>22041 63th</v>
      </c>
      <c r="C1465" s="76">
        <f ca="1">SUMIF('Production '!$C$4:$AI$4407,'Tracking Sheet'!B1465,'Production '!$M$4:$M$4407)</f>
        <v>1698</v>
      </c>
      <c r="D1465" s="76">
        <f ca="1">SUMIF('Production '!$C$4:$AI$4407,'Tracking Sheet'!B1465,'Production '!$Q$4:$Q$4407)</f>
        <v>0</v>
      </c>
      <c r="E1465" s="76">
        <f ca="1">SUMIF('Production '!$C$4:$AI$4407,'Tracking Sheet'!B1465,'Production '!$S$4:$S$4407)</f>
        <v>0</v>
      </c>
      <c r="F1465" s="76">
        <f ca="1">SUMIF('Production '!$C$4:$AI$4407,'Tracking Sheet'!B1465,'Production '!$U$4:$U$4407)</f>
        <v>0</v>
      </c>
      <c r="G1465" s="76">
        <f ca="1">SUMIF('Production '!$C$4:$AI$4407,'Tracking Sheet'!B1465,'Production '!$W$4:$W$4407)</f>
        <v>1698</v>
      </c>
      <c r="H1465" s="76">
        <f ca="1">SUMIF('Production '!$C$4:$AI$4407,'Tracking Sheet'!B1465,'Production '!$F$4:$F$4407)</f>
        <v>1656</v>
      </c>
      <c r="I1465" s="76">
        <f ca="1">SUMIF('Production '!$C$4:$AI$4407,'Tracking Sheet'!B1465,'Production '!$V$4:$V$4407)</f>
        <v>0</v>
      </c>
      <c r="J1465" s="76">
        <f ca="1">SUMIF('Production '!$C$4:$AI$4407,'Tracking Sheet'!B1465,'Production '!$AG$4:$AG$4407)</f>
        <v>0</v>
      </c>
    </row>
    <row r="1466" spans="2:10" x14ac:dyDescent="0.3">
      <c r="B1466" s="277" t="str">
        <f>'Production '!C1469</f>
        <v>22041 63th</v>
      </c>
      <c r="C1466" s="76">
        <f ca="1">SUMIF('Production '!$C$4:$AI$4407,'Tracking Sheet'!B1466,'Production '!$M$4:$M$4407)</f>
        <v>1698</v>
      </c>
      <c r="D1466" s="76">
        <f ca="1">SUMIF('Production '!$C$4:$AI$4407,'Tracking Sheet'!B1466,'Production '!$Q$4:$Q$4407)</f>
        <v>0</v>
      </c>
      <c r="E1466" s="76">
        <f ca="1">SUMIF('Production '!$C$4:$AI$4407,'Tracking Sheet'!B1466,'Production '!$S$4:$S$4407)</f>
        <v>0</v>
      </c>
      <c r="F1466" s="76">
        <f ca="1">SUMIF('Production '!$C$4:$AI$4407,'Tracking Sheet'!B1466,'Production '!$U$4:$U$4407)</f>
        <v>0</v>
      </c>
      <c r="G1466" s="76">
        <f ca="1">SUMIF('Production '!$C$4:$AI$4407,'Tracking Sheet'!B1466,'Production '!$W$4:$W$4407)</f>
        <v>1698</v>
      </c>
      <c r="H1466" s="76">
        <f ca="1">SUMIF('Production '!$C$4:$AI$4407,'Tracking Sheet'!B1466,'Production '!$F$4:$F$4407)</f>
        <v>1656</v>
      </c>
      <c r="I1466" s="76">
        <f ca="1">SUMIF('Production '!$C$4:$AI$4407,'Tracking Sheet'!B1466,'Production '!$V$4:$V$4407)</f>
        <v>0</v>
      </c>
      <c r="J1466" s="76">
        <f ca="1">SUMIF('Production '!$C$4:$AI$4407,'Tracking Sheet'!B1466,'Production '!$AG$4:$AG$4407)</f>
        <v>0</v>
      </c>
    </row>
    <row r="1467" spans="2:10" x14ac:dyDescent="0.3">
      <c r="B1467" s="277">
        <f>'Production '!C1470</f>
        <v>0</v>
      </c>
      <c r="C1467" s="76" t="e">
        <f ca="1">SUMIF('Production '!$C$4:$AI$4407,'Tracking Sheet'!B1467,'Production '!$M$4:$M$4407)</f>
        <v>#DIV/0!</v>
      </c>
      <c r="D1467" s="76" t="e">
        <f ca="1">SUMIF('Production '!$C$4:$AI$4407,'Tracking Sheet'!B1467,'Production '!$Q$4:$Q$4407)</f>
        <v>#DIV/0!</v>
      </c>
      <c r="E1467" s="76">
        <f ca="1">SUMIF('Production '!$C$4:$AI$4407,'Tracking Sheet'!B1467,'Production '!$S$4:$S$4407)</f>
        <v>-1268218.9828305368</v>
      </c>
      <c r="F1467" s="76">
        <f ca="1">SUMIF('Production '!$C$4:$AI$4407,'Tracking Sheet'!B1467,'Production '!$U$4:$U$4407)</f>
        <v>-10620.435600016917</v>
      </c>
      <c r="G1467" s="76" t="e">
        <f ca="1">SUMIF('Production '!$C$4:$AI$4407,'Tracking Sheet'!B1467,'Production '!$W$4:$W$4407)</f>
        <v>#DIV/0!</v>
      </c>
      <c r="H1467" s="76">
        <f ca="1">SUMIF('Production '!$C$4:$AI$4407,'Tracking Sheet'!B1467,'Production '!$F$4:$F$4407)</f>
        <v>3230621.3283604058</v>
      </c>
      <c r="I1467" s="76">
        <f ca="1">SUMIF('Production '!$C$4:$AI$4407,'Tracking Sheet'!B1467,'Production '!$V$4:$V$4407)</f>
        <v>-489.86487791182844</v>
      </c>
      <c r="J1467" s="76">
        <f ca="1">SUMIF('Production '!$C$4:$AI$4407,'Tracking Sheet'!B1467,'Production '!$AG$4:$AG$4407)</f>
        <v>0</v>
      </c>
    </row>
    <row r="1468" spans="2:10" x14ac:dyDescent="0.3">
      <c r="B1468" s="277" t="str">
        <f>'Production '!C1471</f>
        <v>43969 40th</v>
      </c>
      <c r="C1468" s="76">
        <f ca="1">SUMIF('Production '!$C$4:$AI$4407,'Tracking Sheet'!B1468,'Production '!$M$4:$M$4407)</f>
        <v>0</v>
      </c>
      <c r="D1468" s="76">
        <f ca="1">SUMIF('Production '!$C$4:$AI$4407,'Tracking Sheet'!B1468,'Production '!$Q$4:$Q$4407)</f>
        <v>0</v>
      </c>
      <c r="E1468" s="76">
        <f ca="1">SUMIF('Production '!$C$4:$AI$4407,'Tracking Sheet'!B1468,'Production '!$S$4:$S$4407)</f>
        <v>0</v>
      </c>
      <c r="F1468" s="76">
        <f ca="1">SUMIF('Production '!$C$4:$AI$4407,'Tracking Sheet'!B1468,'Production '!$U$4:$U$4407)</f>
        <v>0</v>
      </c>
      <c r="G1468" s="76">
        <f ca="1">SUMIF('Production '!$C$4:$AI$4407,'Tracking Sheet'!B1468,'Production '!$W$4:$W$4407)</f>
        <v>0</v>
      </c>
      <c r="H1468" s="76">
        <f ca="1">SUMIF('Production '!$C$4:$AI$4407,'Tracking Sheet'!B1468,'Production '!$F$4:$F$4407)</f>
        <v>34943</v>
      </c>
      <c r="I1468" s="76">
        <f ca="1">SUMIF('Production '!$C$4:$AI$4407,'Tracking Sheet'!B1468,'Production '!$V$4:$V$4407)</f>
        <v>0</v>
      </c>
      <c r="J1468" s="76">
        <f ca="1">SUMIF('Production '!$C$4:$AI$4407,'Tracking Sheet'!B1468,'Production '!$AG$4:$AG$4407)</f>
        <v>-34943</v>
      </c>
    </row>
    <row r="1469" spans="2:10" x14ac:dyDescent="0.3">
      <c r="B1469" s="277" t="str">
        <f>'Production '!C1472</f>
        <v>43969 40th</v>
      </c>
      <c r="C1469" s="76">
        <f ca="1">SUMIF('Production '!$C$4:$AI$4407,'Tracking Sheet'!B1469,'Production '!$M$4:$M$4407)</f>
        <v>0</v>
      </c>
      <c r="D1469" s="76">
        <f ca="1">SUMIF('Production '!$C$4:$AI$4407,'Tracking Sheet'!B1469,'Production '!$Q$4:$Q$4407)</f>
        <v>0</v>
      </c>
      <c r="E1469" s="76">
        <f ca="1">SUMIF('Production '!$C$4:$AI$4407,'Tracking Sheet'!B1469,'Production '!$S$4:$S$4407)</f>
        <v>0</v>
      </c>
      <c r="F1469" s="76">
        <f ca="1">SUMIF('Production '!$C$4:$AI$4407,'Tracking Sheet'!B1469,'Production '!$U$4:$U$4407)</f>
        <v>0</v>
      </c>
      <c r="G1469" s="76">
        <f ca="1">SUMIF('Production '!$C$4:$AI$4407,'Tracking Sheet'!B1469,'Production '!$W$4:$W$4407)</f>
        <v>0</v>
      </c>
      <c r="H1469" s="76">
        <f ca="1">SUMIF('Production '!$C$4:$AI$4407,'Tracking Sheet'!B1469,'Production '!$F$4:$F$4407)</f>
        <v>34943</v>
      </c>
      <c r="I1469" s="76">
        <f ca="1">SUMIF('Production '!$C$4:$AI$4407,'Tracking Sheet'!B1469,'Production '!$V$4:$V$4407)</f>
        <v>0</v>
      </c>
      <c r="J1469" s="76">
        <f ca="1">SUMIF('Production '!$C$4:$AI$4407,'Tracking Sheet'!B1469,'Production '!$AG$4:$AG$4407)</f>
        <v>-34943</v>
      </c>
    </row>
    <row r="1470" spans="2:10" x14ac:dyDescent="0.3">
      <c r="B1470" s="277" t="str">
        <f>'Production '!C1473</f>
        <v>43969 40th</v>
      </c>
      <c r="C1470" s="76">
        <f ca="1">SUMIF('Production '!$C$4:$AI$4407,'Tracking Sheet'!B1470,'Production '!$M$4:$M$4407)</f>
        <v>0</v>
      </c>
      <c r="D1470" s="76">
        <f ca="1">SUMIF('Production '!$C$4:$AI$4407,'Tracking Sheet'!B1470,'Production '!$Q$4:$Q$4407)</f>
        <v>0</v>
      </c>
      <c r="E1470" s="76">
        <f ca="1">SUMIF('Production '!$C$4:$AI$4407,'Tracking Sheet'!B1470,'Production '!$S$4:$S$4407)</f>
        <v>0</v>
      </c>
      <c r="F1470" s="76">
        <f ca="1">SUMIF('Production '!$C$4:$AI$4407,'Tracking Sheet'!B1470,'Production '!$U$4:$U$4407)</f>
        <v>0</v>
      </c>
      <c r="G1470" s="76">
        <f ca="1">SUMIF('Production '!$C$4:$AI$4407,'Tracking Sheet'!B1470,'Production '!$W$4:$W$4407)</f>
        <v>0</v>
      </c>
      <c r="H1470" s="76">
        <f ca="1">SUMIF('Production '!$C$4:$AI$4407,'Tracking Sheet'!B1470,'Production '!$F$4:$F$4407)</f>
        <v>34943</v>
      </c>
      <c r="I1470" s="76">
        <f ca="1">SUMIF('Production '!$C$4:$AI$4407,'Tracking Sheet'!B1470,'Production '!$V$4:$V$4407)</f>
        <v>0</v>
      </c>
      <c r="J1470" s="76">
        <f ca="1">SUMIF('Production '!$C$4:$AI$4407,'Tracking Sheet'!B1470,'Production '!$AG$4:$AG$4407)</f>
        <v>-34943</v>
      </c>
    </row>
    <row r="1471" spans="2:10" x14ac:dyDescent="0.3">
      <c r="B1471" s="277" t="str">
        <f>'Production '!C1474</f>
        <v>43969 40th</v>
      </c>
      <c r="C1471" s="76">
        <f ca="1">SUMIF('Production '!$C$4:$AI$4407,'Tracking Sheet'!B1471,'Production '!$M$4:$M$4407)</f>
        <v>0</v>
      </c>
      <c r="D1471" s="76">
        <f ca="1">SUMIF('Production '!$C$4:$AI$4407,'Tracking Sheet'!B1471,'Production '!$Q$4:$Q$4407)</f>
        <v>0</v>
      </c>
      <c r="E1471" s="76">
        <f ca="1">SUMIF('Production '!$C$4:$AI$4407,'Tracking Sheet'!B1471,'Production '!$S$4:$S$4407)</f>
        <v>0</v>
      </c>
      <c r="F1471" s="76">
        <f ca="1">SUMIF('Production '!$C$4:$AI$4407,'Tracking Sheet'!B1471,'Production '!$U$4:$U$4407)</f>
        <v>0</v>
      </c>
      <c r="G1471" s="76">
        <f ca="1">SUMIF('Production '!$C$4:$AI$4407,'Tracking Sheet'!B1471,'Production '!$W$4:$W$4407)</f>
        <v>0</v>
      </c>
      <c r="H1471" s="76">
        <f ca="1">SUMIF('Production '!$C$4:$AI$4407,'Tracking Sheet'!B1471,'Production '!$F$4:$F$4407)</f>
        <v>34943</v>
      </c>
      <c r="I1471" s="76">
        <f ca="1">SUMIF('Production '!$C$4:$AI$4407,'Tracking Sheet'!B1471,'Production '!$V$4:$V$4407)</f>
        <v>0</v>
      </c>
      <c r="J1471" s="76">
        <f ca="1">SUMIF('Production '!$C$4:$AI$4407,'Tracking Sheet'!B1471,'Production '!$AG$4:$AG$4407)</f>
        <v>-34943</v>
      </c>
    </row>
    <row r="1472" spans="2:10" x14ac:dyDescent="0.3">
      <c r="B1472" s="277" t="str">
        <f>'Production '!C1475</f>
        <v>43969 40th</v>
      </c>
      <c r="C1472" s="76">
        <f ca="1">SUMIF('Production '!$C$4:$AI$4407,'Tracking Sheet'!B1472,'Production '!$M$4:$M$4407)</f>
        <v>0</v>
      </c>
      <c r="D1472" s="76">
        <f ca="1">SUMIF('Production '!$C$4:$AI$4407,'Tracking Sheet'!B1472,'Production '!$Q$4:$Q$4407)</f>
        <v>0</v>
      </c>
      <c r="E1472" s="76">
        <f ca="1">SUMIF('Production '!$C$4:$AI$4407,'Tracking Sheet'!B1472,'Production '!$S$4:$S$4407)</f>
        <v>0</v>
      </c>
      <c r="F1472" s="76">
        <f ca="1">SUMIF('Production '!$C$4:$AI$4407,'Tracking Sheet'!B1472,'Production '!$U$4:$U$4407)</f>
        <v>0</v>
      </c>
      <c r="G1472" s="76">
        <f ca="1">SUMIF('Production '!$C$4:$AI$4407,'Tracking Sheet'!B1472,'Production '!$W$4:$W$4407)</f>
        <v>0</v>
      </c>
      <c r="H1472" s="76">
        <f ca="1">SUMIF('Production '!$C$4:$AI$4407,'Tracking Sheet'!B1472,'Production '!$F$4:$F$4407)</f>
        <v>34943</v>
      </c>
      <c r="I1472" s="76">
        <f ca="1">SUMIF('Production '!$C$4:$AI$4407,'Tracking Sheet'!B1472,'Production '!$V$4:$V$4407)</f>
        <v>0</v>
      </c>
      <c r="J1472" s="76">
        <f ca="1">SUMIF('Production '!$C$4:$AI$4407,'Tracking Sheet'!B1472,'Production '!$AG$4:$AG$4407)</f>
        <v>-34943</v>
      </c>
    </row>
    <row r="1473" spans="2:10" x14ac:dyDescent="0.3">
      <c r="B1473" s="277" t="str">
        <f>'Production '!C1476</f>
        <v>43969 40th</v>
      </c>
      <c r="C1473" s="76">
        <f ca="1">SUMIF('Production '!$C$4:$AI$4407,'Tracking Sheet'!B1473,'Production '!$M$4:$M$4407)</f>
        <v>0</v>
      </c>
      <c r="D1473" s="76">
        <f ca="1">SUMIF('Production '!$C$4:$AI$4407,'Tracking Sheet'!B1473,'Production '!$Q$4:$Q$4407)</f>
        <v>0</v>
      </c>
      <c r="E1473" s="76">
        <f ca="1">SUMIF('Production '!$C$4:$AI$4407,'Tracking Sheet'!B1473,'Production '!$S$4:$S$4407)</f>
        <v>0</v>
      </c>
      <c r="F1473" s="76">
        <f ca="1">SUMIF('Production '!$C$4:$AI$4407,'Tracking Sheet'!B1473,'Production '!$U$4:$U$4407)</f>
        <v>0</v>
      </c>
      <c r="G1473" s="76">
        <f ca="1">SUMIF('Production '!$C$4:$AI$4407,'Tracking Sheet'!B1473,'Production '!$W$4:$W$4407)</f>
        <v>0</v>
      </c>
      <c r="H1473" s="76">
        <f ca="1">SUMIF('Production '!$C$4:$AI$4407,'Tracking Sheet'!B1473,'Production '!$F$4:$F$4407)</f>
        <v>34943</v>
      </c>
      <c r="I1473" s="76">
        <f ca="1">SUMIF('Production '!$C$4:$AI$4407,'Tracking Sheet'!B1473,'Production '!$V$4:$V$4407)</f>
        <v>0</v>
      </c>
      <c r="J1473" s="76">
        <f ca="1">SUMIF('Production '!$C$4:$AI$4407,'Tracking Sheet'!B1473,'Production '!$AG$4:$AG$4407)</f>
        <v>-34943</v>
      </c>
    </row>
    <row r="1474" spans="2:10" x14ac:dyDescent="0.3">
      <c r="B1474" s="277" t="str">
        <f>'Production '!C1477</f>
        <v>43969 40th</v>
      </c>
      <c r="C1474" s="76">
        <f ca="1">SUMIF('Production '!$C$4:$AI$4407,'Tracking Sheet'!B1474,'Production '!$M$4:$M$4407)</f>
        <v>0</v>
      </c>
      <c r="D1474" s="76">
        <f ca="1">SUMIF('Production '!$C$4:$AI$4407,'Tracking Sheet'!B1474,'Production '!$Q$4:$Q$4407)</f>
        <v>0</v>
      </c>
      <c r="E1474" s="76">
        <f ca="1">SUMIF('Production '!$C$4:$AI$4407,'Tracking Sheet'!B1474,'Production '!$S$4:$S$4407)</f>
        <v>0</v>
      </c>
      <c r="F1474" s="76">
        <f ca="1">SUMIF('Production '!$C$4:$AI$4407,'Tracking Sheet'!B1474,'Production '!$U$4:$U$4407)</f>
        <v>0</v>
      </c>
      <c r="G1474" s="76">
        <f ca="1">SUMIF('Production '!$C$4:$AI$4407,'Tracking Sheet'!B1474,'Production '!$W$4:$W$4407)</f>
        <v>0</v>
      </c>
      <c r="H1474" s="76">
        <f ca="1">SUMIF('Production '!$C$4:$AI$4407,'Tracking Sheet'!B1474,'Production '!$F$4:$F$4407)</f>
        <v>34943</v>
      </c>
      <c r="I1474" s="76">
        <f ca="1">SUMIF('Production '!$C$4:$AI$4407,'Tracking Sheet'!B1474,'Production '!$V$4:$V$4407)</f>
        <v>0</v>
      </c>
      <c r="J1474" s="76">
        <f ca="1">SUMIF('Production '!$C$4:$AI$4407,'Tracking Sheet'!B1474,'Production '!$AG$4:$AG$4407)</f>
        <v>-34943</v>
      </c>
    </row>
    <row r="1475" spans="2:10" x14ac:dyDescent="0.3">
      <c r="B1475" s="277" t="str">
        <f>'Production '!C1478</f>
        <v>43969 40th</v>
      </c>
      <c r="C1475" s="76">
        <f ca="1">SUMIF('Production '!$C$4:$AI$4407,'Tracking Sheet'!B1475,'Production '!$M$4:$M$4407)</f>
        <v>0</v>
      </c>
      <c r="D1475" s="76">
        <f ca="1">SUMIF('Production '!$C$4:$AI$4407,'Tracking Sheet'!B1475,'Production '!$Q$4:$Q$4407)</f>
        <v>0</v>
      </c>
      <c r="E1475" s="76">
        <f ca="1">SUMIF('Production '!$C$4:$AI$4407,'Tracking Sheet'!B1475,'Production '!$S$4:$S$4407)</f>
        <v>0</v>
      </c>
      <c r="F1475" s="76">
        <f ca="1">SUMIF('Production '!$C$4:$AI$4407,'Tracking Sheet'!B1475,'Production '!$U$4:$U$4407)</f>
        <v>0</v>
      </c>
      <c r="G1475" s="76">
        <f ca="1">SUMIF('Production '!$C$4:$AI$4407,'Tracking Sheet'!B1475,'Production '!$W$4:$W$4407)</f>
        <v>0</v>
      </c>
      <c r="H1475" s="76">
        <f ca="1">SUMIF('Production '!$C$4:$AI$4407,'Tracking Sheet'!B1475,'Production '!$F$4:$F$4407)</f>
        <v>34943</v>
      </c>
      <c r="I1475" s="76">
        <f ca="1">SUMIF('Production '!$C$4:$AI$4407,'Tracking Sheet'!B1475,'Production '!$V$4:$V$4407)</f>
        <v>0</v>
      </c>
      <c r="J1475" s="76">
        <f ca="1">SUMIF('Production '!$C$4:$AI$4407,'Tracking Sheet'!B1475,'Production '!$AG$4:$AG$4407)</f>
        <v>-34943</v>
      </c>
    </row>
    <row r="1476" spans="2:10" x14ac:dyDescent="0.3">
      <c r="B1476" s="277" t="str">
        <f>'Production '!C1479</f>
        <v>43969 40th</v>
      </c>
      <c r="C1476" s="76">
        <f ca="1">SUMIF('Production '!$C$4:$AI$4407,'Tracking Sheet'!B1476,'Production '!$M$4:$M$4407)</f>
        <v>0</v>
      </c>
      <c r="D1476" s="76">
        <f ca="1">SUMIF('Production '!$C$4:$AI$4407,'Tracking Sheet'!B1476,'Production '!$Q$4:$Q$4407)</f>
        <v>0</v>
      </c>
      <c r="E1476" s="76">
        <f ca="1">SUMIF('Production '!$C$4:$AI$4407,'Tracking Sheet'!B1476,'Production '!$S$4:$S$4407)</f>
        <v>0</v>
      </c>
      <c r="F1476" s="76">
        <f ca="1">SUMIF('Production '!$C$4:$AI$4407,'Tracking Sheet'!B1476,'Production '!$U$4:$U$4407)</f>
        <v>0</v>
      </c>
      <c r="G1476" s="76">
        <f ca="1">SUMIF('Production '!$C$4:$AI$4407,'Tracking Sheet'!B1476,'Production '!$W$4:$W$4407)</f>
        <v>0</v>
      </c>
      <c r="H1476" s="76">
        <f ca="1">SUMIF('Production '!$C$4:$AI$4407,'Tracking Sheet'!B1476,'Production '!$F$4:$F$4407)</f>
        <v>34943</v>
      </c>
      <c r="I1476" s="76">
        <f ca="1">SUMIF('Production '!$C$4:$AI$4407,'Tracking Sheet'!B1476,'Production '!$V$4:$V$4407)</f>
        <v>0</v>
      </c>
      <c r="J1476" s="76">
        <f ca="1">SUMIF('Production '!$C$4:$AI$4407,'Tracking Sheet'!B1476,'Production '!$AG$4:$AG$4407)</f>
        <v>-34943</v>
      </c>
    </row>
    <row r="1477" spans="2:10" x14ac:dyDescent="0.3">
      <c r="B1477" s="277" t="str">
        <f>'Production '!C1480</f>
        <v>43969 40th</v>
      </c>
      <c r="C1477" s="76">
        <f ca="1">SUMIF('Production '!$C$4:$AI$4407,'Tracking Sheet'!B1477,'Production '!$M$4:$M$4407)</f>
        <v>0</v>
      </c>
      <c r="D1477" s="76">
        <f ca="1">SUMIF('Production '!$C$4:$AI$4407,'Tracking Sheet'!B1477,'Production '!$Q$4:$Q$4407)</f>
        <v>0</v>
      </c>
      <c r="E1477" s="76">
        <f ca="1">SUMIF('Production '!$C$4:$AI$4407,'Tracking Sheet'!B1477,'Production '!$S$4:$S$4407)</f>
        <v>0</v>
      </c>
      <c r="F1477" s="76">
        <f ca="1">SUMIF('Production '!$C$4:$AI$4407,'Tracking Sheet'!B1477,'Production '!$U$4:$U$4407)</f>
        <v>0</v>
      </c>
      <c r="G1477" s="76">
        <f ca="1">SUMIF('Production '!$C$4:$AI$4407,'Tracking Sheet'!B1477,'Production '!$W$4:$W$4407)</f>
        <v>0</v>
      </c>
      <c r="H1477" s="76">
        <f ca="1">SUMIF('Production '!$C$4:$AI$4407,'Tracking Sheet'!B1477,'Production '!$F$4:$F$4407)</f>
        <v>34943</v>
      </c>
      <c r="I1477" s="76">
        <f ca="1">SUMIF('Production '!$C$4:$AI$4407,'Tracking Sheet'!B1477,'Production '!$V$4:$V$4407)</f>
        <v>0</v>
      </c>
      <c r="J1477" s="76">
        <f ca="1">SUMIF('Production '!$C$4:$AI$4407,'Tracking Sheet'!B1477,'Production '!$AG$4:$AG$4407)</f>
        <v>-34943</v>
      </c>
    </row>
    <row r="1478" spans="2:10" x14ac:dyDescent="0.3">
      <c r="B1478" s="277">
        <f>'Production '!C1481</f>
        <v>0</v>
      </c>
      <c r="C1478" s="76" t="e">
        <f ca="1">SUMIF('Production '!$C$4:$AI$4407,'Tracking Sheet'!B1478,'Production '!$M$4:$M$4407)</f>
        <v>#DIV/0!</v>
      </c>
      <c r="D1478" s="76" t="e">
        <f ca="1">SUMIF('Production '!$C$4:$AI$4407,'Tracking Sheet'!B1478,'Production '!$Q$4:$Q$4407)</f>
        <v>#DIV/0!</v>
      </c>
      <c r="E1478" s="76">
        <f ca="1">SUMIF('Production '!$C$4:$AI$4407,'Tracking Sheet'!B1478,'Production '!$S$4:$S$4407)</f>
        <v>-1268218.9828305368</v>
      </c>
      <c r="F1478" s="76">
        <f ca="1">SUMIF('Production '!$C$4:$AI$4407,'Tracking Sheet'!B1478,'Production '!$U$4:$U$4407)</f>
        <v>-10620.435600016917</v>
      </c>
      <c r="G1478" s="76" t="e">
        <f ca="1">SUMIF('Production '!$C$4:$AI$4407,'Tracking Sheet'!B1478,'Production '!$W$4:$W$4407)</f>
        <v>#DIV/0!</v>
      </c>
      <c r="H1478" s="76">
        <f ca="1">SUMIF('Production '!$C$4:$AI$4407,'Tracking Sheet'!B1478,'Production '!$F$4:$F$4407)</f>
        <v>3230621.3283604058</v>
      </c>
      <c r="I1478" s="76">
        <f ca="1">SUMIF('Production '!$C$4:$AI$4407,'Tracking Sheet'!B1478,'Production '!$V$4:$V$4407)</f>
        <v>-489.86487791182844</v>
      </c>
      <c r="J1478" s="76">
        <f ca="1">SUMIF('Production '!$C$4:$AI$4407,'Tracking Sheet'!B1478,'Production '!$AG$4:$AG$4407)</f>
        <v>0</v>
      </c>
    </row>
    <row r="1479" spans="2:10" x14ac:dyDescent="0.3">
      <c r="B1479" s="277" t="str">
        <f>'Production '!C1482</f>
        <v>43969 41th</v>
      </c>
      <c r="C1479" s="76">
        <f ca="1">SUMIF('Production '!$C$4:$AI$4407,'Tracking Sheet'!B1479,'Production '!$M$4:$M$4407)</f>
        <v>6721</v>
      </c>
      <c r="D1479" s="76">
        <f ca="1">SUMIF('Production '!$C$4:$AI$4407,'Tracking Sheet'!B1479,'Production '!$Q$4:$Q$4407)</f>
        <v>0</v>
      </c>
      <c r="E1479" s="76">
        <f ca="1">SUMIF('Production '!$C$4:$AI$4407,'Tracking Sheet'!B1479,'Production '!$S$4:$S$4407)</f>
        <v>0</v>
      </c>
      <c r="F1479" s="76">
        <f ca="1">SUMIF('Production '!$C$4:$AI$4407,'Tracking Sheet'!B1479,'Production '!$U$4:$U$4407)</f>
        <v>6721</v>
      </c>
      <c r="G1479" s="76">
        <f ca="1">SUMIF('Production '!$C$4:$AI$4407,'Tracking Sheet'!B1479,'Production '!$W$4:$W$4407)</f>
        <v>0</v>
      </c>
      <c r="H1479" s="76">
        <f ca="1">SUMIF('Production '!$C$4:$AI$4407,'Tracking Sheet'!B1479,'Production '!$F$4:$F$4407)</f>
        <v>20464</v>
      </c>
      <c r="I1479" s="76">
        <f ca="1">SUMIF('Production '!$C$4:$AI$4407,'Tracking Sheet'!B1479,'Production '!$V$4:$V$4407)</f>
        <v>0</v>
      </c>
      <c r="J1479" s="76">
        <f ca="1">SUMIF('Production '!$C$4:$AI$4407,'Tracking Sheet'!B1479,'Production '!$AG$4:$AG$4407)</f>
        <v>-13743</v>
      </c>
    </row>
    <row r="1480" spans="2:10" x14ac:dyDescent="0.3">
      <c r="B1480" s="277" t="str">
        <f>'Production '!C1483</f>
        <v>43969 41th</v>
      </c>
      <c r="C1480" s="76">
        <f ca="1">SUMIF('Production '!$C$4:$AI$4407,'Tracking Sheet'!B1480,'Production '!$M$4:$M$4407)</f>
        <v>6721</v>
      </c>
      <c r="D1480" s="76">
        <f ca="1">SUMIF('Production '!$C$4:$AI$4407,'Tracking Sheet'!B1480,'Production '!$Q$4:$Q$4407)</f>
        <v>0</v>
      </c>
      <c r="E1480" s="76">
        <f ca="1">SUMIF('Production '!$C$4:$AI$4407,'Tracking Sheet'!B1480,'Production '!$S$4:$S$4407)</f>
        <v>0</v>
      </c>
      <c r="F1480" s="76">
        <f ca="1">SUMIF('Production '!$C$4:$AI$4407,'Tracking Sheet'!B1480,'Production '!$U$4:$U$4407)</f>
        <v>6721</v>
      </c>
      <c r="G1480" s="76">
        <f ca="1">SUMIF('Production '!$C$4:$AI$4407,'Tracking Sheet'!B1480,'Production '!$W$4:$W$4407)</f>
        <v>0</v>
      </c>
      <c r="H1480" s="76">
        <f ca="1">SUMIF('Production '!$C$4:$AI$4407,'Tracking Sheet'!B1480,'Production '!$F$4:$F$4407)</f>
        <v>20464</v>
      </c>
      <c r="I1480" s="76">
        <f ca="1">SUMIF('Production '!$C$4:$AI$4407,'Tracking Sheet'!B1480,'Production '!$V$4:$V$4407)</f>
        <v>0</v>
      </c>
      <c r="J1480" s="76">
        <f ca="1">SUMIF('Production '!$C$4:$AI$4407,'Tracking Sheet'!B1480,'Production '!$AG$4:$AG$4407)</f>
        <v>-13743</v>
      </c>
    </row>
    <row r="1481" spans="2:10" x14ac:dyDescent="0.3">
      <c r="B1481" s="277" t="str">
        <f>'Production '!C1484</f>
        <v>43969 41th</v>
      </c>
      <c r="C1481" s="76">
        <f ca="1">SUMIF('Production '!$C$4:$AI$4407,'Tracking Sheet'!B1481,'Production '!$M$4:$M$4407)</f>
        <v>6721</v>
      </c>
      <c r="D1481" s="76">
        <f ca="1">SUMIF('Production '!$C$4:$AI$4407,'Tracking Sheet'!B1481,'Production '!$Q$4:$Q$4407)</f>
        <v>0</v>
      </c>
      <c r="E1481" s="76">
        <f ca="1">SUMIF('Production '!$C$4:$AI$4407,'Tracking Sheet'!B1481,'Production '!$S$4:$S$4407)</f>
        <v>0</v>
      </c>
      <c r="F1481" s="76">
        <f ca="1">SUMIF('Production '!$C$4:$AI$4407,'Tracking Sheet'!B1481,'Production '!$U$4:$U$4407)</f>
        <v>6721</v>
      </c>
      <c r="G1481" s="76">
        <f ca="1">SUMIF('Production '!$C$4:$AI$4407,'Tracking Sheet'!B1481,'Production '!$W$4:$W$4407)</f>
        <v>0</v>
      </c>
      <c r="H1481" s="76">
        <f ca="1">SUMIF('Production '!$C$4:$AI$4407,'Tracking Sheet'!B1481,'Production '!$F$4:$F$4407)</f>
        <v>20464</v>
      </c>
      <c r="I1481" s="76">
        <f ca="1">SUMIF('Production '!$C$4:$AI$4407,'Tracking Sheet'!B1481,'Production '!$V$4:$V$4407)</f>
        <v>0</v>
      </c>
      <c r="J1481" s="76">
        <f ca="1">SUMIF('Production '!$C$4:$AI$4407,'Tracking Sheet'!B1481,'Production '!$AG$4:$AG$4407)</f>
        <v>-13743</v>
      </c>
    </row>
    <row r="1482" spans="2:10" x14ac:dyDescent="0.3">
      <c r="B1482" s="277" t="str">
        <f>'Production '!C1485</f>
        <v>43969 41th</v>
      </c>
      <c r="C1482" s="76">
        <f ca="1">SUMIF('Production '!$C$4:$AI$4407,'Tracking Sheet'!B1482,'Production '!$M$4:$M$4407)</f>
        <v>6721</v>
      </c>
      <c r="D1482" s="76">
        <f ca="1">SUMIF('Production '!$C$4:$AI$4407,'Tracking Sheet'!B1482,'Production '!$Q$4:$Q$4407)</f>
        <v>0</v>
      </c>
      <c r="E1482" s="76">
        <f ca="1">SUMIF('Production '!$C$4:$AI$4407,'Tracking Sheet'!B1482,'Production '!$S$4:$S$4407)</f>
        <v>0</v>
      </c>
      <c r="F1482" s="76">
        <f ca="1">SUMIF('Production '!$C$4:$AI$4407,'Tracking Sheet'!B1482,'Production '!$U$4:$U$4407)</f>
        <v>6721</v>
      </c>
      <c r="G1482" s="76">
        <f ca="1">SUMIF('Production '!$C$4:$AI$4407,'Tracking Sheet'!B1482,'Production '!$W$4:$W$4407)</f>
        <v>0</v>
      </c>
      <c r="H1482" s="76">
        <f ca="1">SUMIF('Production '!$C$4:$AI$4407,'Tracking Sheet'!B1482,'Production '!$F$4:$F$4407)</f>
        <v>20464</v>
      </c>
      <c r="I1482" s="76">
        <f ca="1">SUMIF('Production '!$C$4:$AI$4407,'Tracking Sheet'!B1482,'Production '!$V$4:$V$4407)</f>
        <v>0</v>
      </c>
      <c r="J1482" s="76">
        <f ca="1">SUMIF('Production '!$C$4:$AI$4407,'Tracking Sheet'!B1482,'Production '!$AG$4:$AG$4407)</f>
        <v>-13743</v>
      </c>
    </row>
    <row r="1483" spans="2:10" x14ac:dyDescent="0.3">
      <c r="B1483" s="277" t="str">
        <f>'Production '!C1486</f>
        <v>43969 41th</v>
      </c>
      <c r="C1483" s="76">
        <f ca="1">SUMIF('Production '!$C$4:$AI$4407,'Tracking Sheet'!B1483,'Production '!$M$4:$M$4407)</f>
        <v>6721</v>
      </c>
      <c r="D1483" s="76">
        <f ca="1">SUMIF('Production '!$C$4:$AI$4407,'Tracking Sheet'!B1483,'Production '!$Q$4:$Q$4407)</f>
        <v>0</v>
      </c>
      <c r="E1483" s="76">
        <f ca="1">SUMIF('Production '!$C$4:$AI$4407,'Tracking Sheet'!B1483,'Production '!$S$4:$S$4407)</f>
        <v>0</v>
      </c>
      <c r="F1483" s="76">
        <f ca="1">SUMIF('Production '!$C$4:$AI$4407,'Tracking Sheet'!B1483,'Production '!$U$4:$U$4407)</f>
        <v>6721</v>
      </c>
      <c r="G1483" s="76">
        <f ca="1">SUMIF('Production '!$C$4:$AI$4407,'Tracking Sheet'!B1483,'Production '!$W$4:$W$4407)</f>
        <v>0</v>
      </c>
      <c r="H1483" s="76">
        <f ca="1">SUMIF('Production '!$C$4:$AI$4407,'Tracking Sheet'!B1483,'Production '!$F$4:$F$4407)</f>
        <v>20464</v>
      </c>
      <c r="I1483" s="76">
        <f ca="1">SUMIF('Production '!$C$4:$AI$4407,'Tracking Sheet'!B1483,'Production '!$V$4:$V$4407)</f>
        <v>0</v>
      </c>
      <c r="J1483" s="76">
        <f ca="1">SUMIF('Production '!$C$4:$AI$4407,'Tracking Sheet'!B1483,'Production '!$AG$4:$AG$4407)</f>
        <v>-13743</v>
      </c>
    </row>
    <row r="1484" spans="2:10" x14ac:dyDescent="0.3">
      <c r="B1484" s="277" t="str">
        <f>'Production '!C1487</f>
        <v>43969 41th</v>
      </c>
      <c r="C1484" s="76">
        <f ca="1">SUMIF('Production '!$C$4:$AI$4407,'Tracking Sheet'!B1484,'Production '!$M$4:$M$4407)</f>
        <v>6721</v>
      </c>
      <c r="D1484" s="76">
        <f ca="1">SUMIF('Production '!$C$4:$AI$4407,'Tracking Sheet'!B1484,'Production '!$Q$4:$Q$4407)</f>
        <v>0</v>
      </c>
      <c r="E1484" s="76">
        <f ca="1">SUMIF('Production '!$C$4:$AI$4407,'Tracking Sheet'!B1484,'Production '!$S$4:$S$4407)</f>
        <v>0</v>
      </c>
      <c r="F1484" s="76">
        <f ca="1">SUMIF('Production '!$C$4:$AI$4407,'Tracking Sheet'!B1484,'Production '!$U$4:$U$4407)</f>
        <v>6721</v>
      </c>
      <c r="G1484" s="76">
        <f ca="1">SUMIF('Production '!$C$4:$AI$4407,'Tracking Sheet'!B1484,'Production '!$W$4:$W$4407)</f>
        <v>0</v>
      </c>
      <c r="H1484" s="76">
        <f ca="1">SUMIF('Production '!$C$4:$AI$4407,'Tracking Sheet'!B1484,'Production '!$F$4:$F$4407)</f>
        <v>20464</v>
      </c>
      <c r="I1484" s="76">
        <f ca="1">SUMIF('Production '!$C$4:$AI$4407,'Tracking Sheet'!B1484,'Production '!$V$4:$V$4407)</f>
        <v>0</v>
      </c>
      <c r="J1484" s="76">
        <f ca="1">SUMIF('Production '!$C$4:$AI$4407,'Tracking Sheet'!B1484,'Production '!$AG$4:$AG$4407)</f>
        <v>-13743</v>
      </c>
    </row>
    <row r="1485" spans="2:10" x14ac:dyDescent="0.3">
      <c r="B1485" s="277" t="str">
        <f>'Production '!C1488</f>
        <v>43969 41th</v>
      </c>
      <c r="C1485" s="76">
        <f ca="1">SUMIF('Production '!$C$4:$AI$4407,'Tracking Sheet'!B1485,'Production '!$M$4:$M$4407)</f>
        <v>6721</v>
      </c>
      <c r="D1485" s="76">
        <f ca="1">SUMIF('Production '!$C$4:$AI$4407,'Tracking Sheet'!B1485,'Production '!$Q$4:$Q$4407)</f>
        <v>0</v>
      </c>
      <c r="E1485" s="76">
        <f ca="1">SUMIF('Production '!$C$4:$AI$4407,'Tracking Sheet'!B1485,'Production '!$S$4:$S$4407)</f>
        <v>0</v>
      </c>
      <c r="F1485" s="76">
        <f ca="1">SUMIF('Production '!$C$4:$AI$4407,'Tracking Sheet'!B1485,'Production '!$U$4:$U$4407)</f>
        <v>6721</v>
      </c>
      <c r="G1485" s="76">
        <f ca="1">SUMIF('Production '!$C$4:$AI$4407,'Tracking Sheet'!B1485,'Production '!$W$4:$W$4407)</f>
        <v>0</v>
      </c>
      <c r="H1485" s="76">
        <f ca="1">SUMIF('Production '!$C$4:$AI$4407,'Tracking Sheet'!B1485,'Production '!$F$4:$F$4407)</f>
        <v>20464</v>
      </c>
      <c r="I1485" s="76">
        <f ca="1">SUMIF('Production '!$C$4:$AI$4407,'Tracking Sheet'!B1485,'Production '!$V$4:$V$4407)</f>
        <v>0</v>
      </c>
      <c r="J1485" s="76">
        <f ca="1">SUMIF('Production '!$C$4:$AI$4407,'Tracking Sheet'!B1485,'Production '!$AG$4:$AG$4407)</f>
        <v>-13743</v>
      </c>
    </row>
    <row r="1486" spans="2:10" x14ac:dyDescent="0.3">
      <c r="B1486" s="277" t="str">
        <f>'Production '!C1489</f>
        <v>43969 41th</v>
      </c>
      <c r="C1486" s="76">
        <f ca="1">SUMIF('Production '!$C$4:$AI$4407,'Tracking Sheet'!B1486,'Production '!$M$4:$M$4407)</f>
        <v>6721</v>
      </c>
      <c r="D1486" s="76">
        <f ca="1">SUMIF('Production '!$C$4:$AI$4407,'Tracking Sheet'!B1486,'Production '!$Q$4:$Q$4407)</f>
        <v>0</v>
      </c>
      <c r="E1486" s="76">
        <f ca="1">SUMIF('Production '!$C$4:$AI$4407,'Tracking Sheet'!B1486,'Production '!$S$4:$S$4407)</f>
        <v>0</v>
      </c>
      <c r="F1486" s="76">
        <f ca="1">SUMIF('Production '!$C$4:$AI$4407,'Tracking Sheet'!B1486,'Production '!$U$4:$U$4407)</f>
        <v>6721</v>
      </c>
      <c r="G1486" s="76">
        <f ca="1">SUMIF('Production '!$C$4:$AI$4407,'Tracking Sheet'!B1486,'Production '!$W$4:$W$4407)</f>
        <v>0</v>
      </c>
      <c r="H1486" s="76">
        <f ca="1">SUMIF('Production '!$C$4:$AI$4407,'Tracking Sheet'!B1486,'Production '!$F$4:$F$4407)</f>
        <v>20464</v>
      </c>
      <c r="I1486" s="76">
        <f ca="1">SUMIF('Production '!$C$4:$AI$4407,'Tracking Sheet'!B1486,'Production '!$V$4:$V$4407)</f>
        <v>0</v>
      </c>
      <c r="J1486" s="76">
        <f ca="1">SUMIF('Production '!$C$4:$AI$4407,'Tracking Sheet'!B1486,'Production '!$AG$4:$AG$4407)</f>
        <v>-13743</v>
      </c>
    </row>
    <row r="1487" spans="2:10" x14ac:dyDescent="0.3">
      <c r="B1487" s="277">
        <f>'Production '!C1490</f>
        <v>0</v>
      </c>
      <c r="C1487" s="76" t="e">
        <f ca="1">SUMIF('Production '!$C$4:$AI$4407,'Tracking Sheet'!B1487,'Production '!$M$4:$M$4407)</f>
        <v>#DIV/0!</v>
      </c>
      <c r="D1487" s="76" t="e">
        <f ca="1">SUMIF('Production '!$C$4:$AI$4407,'Tracking Sheet'!B1487,'Production '!$Q$4:$Q$4407)</f>
        <v>#DIV/0!</v>
      </c>
      <c r="E1487" s="76">
        <f ca="1">SUMIF('Production '!$C$4:$AI$4407,'Tracking Sheet'!B1487,'Production '!$S$4:$S$4407)</f>
        <v>-1268218.9828305368</v>
      </c>
      <c r="F1487" s="76">
        <f ca="1">SUMIF('Production '!$C$4:$AI$4407,'Tracking Sheet'!B1487,'Production '!$U$4:$U$4407)</f>
        <v>-10620.435600016917</v>
      </c>
      <c r="G1487" s="76" t="e">
        <f ca="1">SUMIF('Production '!$C$4:$AI$4407,'Tracking Sheet'!B1487,'Production '!$W$4:$W$4407)</f>
        <v>#DIV/0!</v>
      </c>
      <c r="H1487" s="76">
        <f ca="1">SUMIF('Production '!$C$4:$AI$4407,'Tracking Sheet'!B1487,'Production '!$F$4:$F$4407)</f>
        <v>3230621.3283604058</v>
      </c>
      <c r="I1487" s="76">
        <f ca="1">SUMIF('Production '!$C$4:$AI$4407,'Tracking Sheet'!B1487,'Production '!$V$4:$V$4407)</f>
        <v>-489.86487791182844</v>
      </c>
      <c r="J1487" s="76">
        <f ca="1">SUMIF('Production '!$C$4:$AI$4407,'Tracking Sheet'!B1487,'Production '!$AG$4:$AG$4407)</f>
        <v>0</v>
      </c>
    </row>
    <row r="1488" spans="2:10" x14ac:dyDescent="0.3">
      <c r="B1488" s="277" t="str">
        <f>'Production '!C1491</f>
        <v>43969 38th</v>
      </c>
      <c r="C1488" s="76">
        <f ca="1">SUMIF('Production '!$C$4:$AI$4407,'Tracking Sheet'!B1488,'Production '!$M$4:$M$4407)</f>
        <v>3078</v>
      </c>
      <c r="D1488" s="76">
        <f ca="1">SUMIF('Production '!$C$4:$AI$4407,'Tracking Sheet'!B1488,'Production '!$Q$4:$Q$4407)</f>
        <v>0</v>
      </c>
      <c r="E1488" s="76">
        <f ca="1">SUMIF('Production '!$C$4:$AI$4407,'Tracking Sheet'!B1488,'Production '!$S$4:$S$4407)</f>
        <v>0</v>
      </c>
      <c r="F1488" s="76">
        <f ca="1">SUMIF('Production '!$C$4:$AI$4407,'Tracking Sheet'!B1488,'Production '!$U$4:$U$4407)</f>
        <v>0</v>
      </c>
      <c r="G1488" s="76">
        <f ca="1">SUMIF('Production '!$C$4:$AI$4407,'Tracking Sheet'!B1488,'Production '!$W$4:$W$4407)</f>
        <v>3078</v>
      </c>
      <c r="H1488" s="76">
        <f ca="1">SUMIF('Production '!$C$4:$AI$4407,'Tracking Sheet'!B1488,'Production '!$F$4:$F$4407)</f>
        <v>3040</v>
      </c>
      <c r="I1488" s="76">
        <f ca="1">SUMIF('Production '!$C$4:$AI$4407,'Tracking Sheet'!B1488,'Production '!$V$4:$V$4407)</f>
        <v>0</v>
      </c>
      <c r="J1488" s="76">
        <f ca="1">SUMIF('Production '!$C$4:$AI$4407,'Tracking Sheet'!B1488,'Production '!$AG$4:$AG$4407)</f>
        <v>0</v>
      </c>
    </row>
    <row r="1489" spans="2:10" x14ac:dyDescent="0.3">
      <c r="B1489" s="277">
        <f>'Production '!C1492</f>
        <v>0</v>
      </c>
      <c r="C1489" s="76" t="e">
        <f ca="1">SUMIF('Production '!$C$4:$AI$4407,'Tracking Sheet'!B1489,'Production '!$M$4:$M$4407)</f>
        <v>#DIV/0!</v>
      </c>
      <c r="D1489" s="76" t="e">
        <f ca="1">SUMIF('Production '!$C$4:$AI$4407,'Tracking Sheet'!B1489,'Production '!$Q$4:$Q$4407)</f>
        <v>#DIV/0!</v>
      </c>
      <c r="E1489" s="76">
        <f ca="1">SUMIF('Production '!$C$4:$AI$4407,'Tracking Sheet'!B1489,'Production '!$S$4:$S$4407)</f>
        <v>-1268218.9828305368</v>
      </c>
      <c r="F1489" s="76">
        <f ca="1">SUMIF('Production '!$C$4:$AI$4407,'Tracking Sheet'!B1489,'Production '!$U$4:$U$4407)</f>
        <v>-10620.435600016917</v>
      </c>
      <c r="G1489" s="76" t="e">
        <f ca="1">SUMIF('Production '!$C$4:$AI$4407,'Tracking Sheet'!B1489,'Production '!$W$4:$W$4407)</f>
        <v>#DIV/0!</v>
      </c>
      <c r="H1489" s="76">
        <f ca="1">SUMIF('Production '!$C$4:$AI$4407,'Tracking Sheet'!B1489,'Production '!$F$4:$F$4407)</f>
        <v>3230621.3283604058</v>
      </c>
      <c r="I1489" s="76">
        <f ca="1">SUMIF('Production '!$C$4:$AI$4407,'Tracking Sheet'!B1489,'Production '!$V$4:$V$4407)</f>
        <v>-489.86487791182844</v>
      </c>
      <c r="J1489" s="76">
        <f ca="1">SUMIF('Production '!$C$4:$AI$4407,'Tracking Sheet'!B1489,'Production '!$AG$4:$AG$4407)</f>
        <v>0</v>
      </c>
    </row>
    <row r="1490" spans="2:10" x14ac:dyDescent="0.3">
      <c r="B1490" s="277" t="str">
        <f>'Production '!C1493</f>
        <v>43969 39th</v>
      </c>
      <c r="C1490" s="76">
        <f ca="1">SUMIF('Production '!$C$4:$AI$4407,'Tracking Sheet'!B1490,'Production '!$M$4:$M$4407)</f>
        <v>3868</v>
      </c>
      <c r="D1490" s="76">
        <f ca="1">SUMIF('Production '!$C$4:$AI$4407,'Tracking Sheet'!B1490,'Production '!$Q$4:$Q$4407)</f>
        <v>0</v>
      </c>
      <c r="E1490" s="76">
        <f ca="1">SUMIF('Production '!$C$4:$AI$4407,'Tracking Sheet'!B1490,'Production '!$S$4:$S$4407)</f>
        <v>0</v>
      </c>
      <c r="F1490" s="76">
        <f ca="1">SUMIF('Production '!$C$4:$AI$4407,'Tracking Sheet'!B1490,'Production '!$U$4:$U$4407)</f>
        <v>0</v>
      </c>
      <c r="G1490" s="76">
        <f ca="1">SUMIF('Production '!$C$4:$AI$4407,'Tracking Sheet'!B1490,'Production '!$W$4:$W$4407)</f>
        <v>3868</v>
      </c>
      <c r="H1490" s="76">
        <f ca="1">SUMIF('Production '!$C$4:$AI$4407,'Tracking Sheet'!B1490,'Production '!$F$4:$F$4407)</f>
        <v>3840</v>
      </c>
      <c r="I1490" s="76">
        <f ca="1">SUMIF('Production '!$C$4:$AI$4407,'Tracking Sheet'!B1490,'Production '!$V$4:$V$4407)</f>
        <v>0</v>
      </c>
      <c r="J1490" s="76">
        <f ca="1">SUMIF('Production '!$C$4:$AI$4407,'Tracking Sheet'!B1490,'Production '!$AG$4:$AG$4407)</f>
        <v>0</v>
      </c>
    </row>
    <row r="1491" spans="2:10" x14ac:dyDescent="0.3">
      <c r="B1491" s="277">
        <f>'Production '!C1494</f>
        <v>0</v>
      </c>
      <c r="C1491" s="76" t="e">
        <f ca="1">SUMIF('Production '!$C$4:$AI$4407,'Tracking Sheet'!B1491,'Production '!$M$4:$M$4407)</f>
        <v>#DIV/0!</v>
      </c>
      <c r="D1491" s="76" t="e">
        <f ca="1">SUMIF('Production '!$C$4:$AI$4407,'Tracking Sheet'!B1491,'Production '!$Q$4:$Q$4407)</f>
        <v>#DIV/0!</v>
      </c>
      <c r="E1491" s="76">
        <f ca="1">SUMIF('Production '!$C$4:$AI$4407,'Tracking Sheet'!B1491,'Production '!$S$4:$S$4407)</f>
        <v>-1268218.9828305368</v>
      </c>
      <c r="F1491" s="76">
        <f ca="1">SUMIF('Production '!$C$4:$AI$4407,'Tracking Sheet'!B1491,'Production '!$U$4:$U$4407)</f>
        <v>-10620.435600016917</v>
      </c>
      <c r="G1491" s="76" t="e">
        <f ca="1">SUMIF('Production '!$C$4:$AI$4407,'Tracking Sheet'!B1491,'Production '!$W$4:$W$4407)</f>
        <v>#DIV/0!</v>
      </c>
      <c r="H1491" s="76">
        <f ca="1">SUMIF('Production '!$C$4:$AI$4407,'Tracking Sheet'!B1491,'Production '!$F$4:$F$4407)</f>
        <v>3230621.3283604058</v>
      </c>
      <c r="I1491" s="76">
        <f ca="1">SUMIF('Production '!$C$4:$AI$4407,'Tracking Sheet'!B1491,'Production '!$V$4:$V$4407)</f>
        <v>-489.86487791182844</v>
      </c>
      <c r="J1491" s="76">
        <f ca="1">SUMIF('Production '!$C$4:$AI$4407,'Tracking Sheet'!B1491,'Production '!$AG$4:$AG$4407)</f>
        <v>0</v>
      </c>
    </row>
    <row r="1492" spans="2:10" x14ac:dyDescent="0.3">
      <c r="B1492" s="277" t="str">
        <f>'Production '!C1495</f>
        <v>22035 71th</v>
      </c>
      <c r="C1492" s="76">
        <f ca="1">SUMIF('Production '!$C$4:$AI$4407,'Tracking Sheet'!B1492,'Production '!$M$4:$M$4407)</f>
        <v>3180</v>
      </c>
      <c r="D1492" s="76">
        <f ca="1">SUMIF('Production '!$C$4:$AI$4407,'Tracking Sheet'!B1492,'Production '!$Q$4:$Q$4407)</f>
        <v>0</v>
      </c>
      <c r="E1492" s="76">
        <f ca="1">SUMIF('Production '!$C$4:$AI$4407,'Tracking Sheet'!B1492,'Production '!$S$4:$S$4407)</f>
        <v>0</v>
      </c>
      <c r="F1492" s="76">
        <f ca="1">SUMIF('Production '!$C$4:$AI$4407,'Tracking Sheet'!B1492,'Production '!$U$4:$U$4407)</f>
        <v>9</v>
      </c>
      <c r="G1492" s="76">
        <f ca="1">SUMIF('Production '!$C$4:$AI$4407,'Tracking Sheet'!B1492,'Production '!$W$4:$W$4407)</f>
        <v>3171</v>
      </c>
      <c r="H1492" s="76">
        <f ca="1">SUMIF('Production '!$C$4:$AI$4407,'Tracking Sheet'!B1492,'Production '!$F$4:$F$4407)</f>
        <v>3096</v>
      </c>
      <c r="I1492" s="76">
        <f ca="1">SUMIF('Production '!$C$4:$AI$4407,'Tracking Sheet'!B1492,'Production '!$V$4:$V$4407)</f>
        <v>0</v>
      </c>
      <c r="J1492" s="76">
        <f ca="1">SUMIF('Production '!$C$4:$AI$4407,'Tracking Sheet'!B1492,'Production '!$AG$4:$AG$4407)</f>
        <v>0</v>
      </c>
    </row>
    <row r="1493" spans="2:10" x14ac:dyDescent="0.3">
      <c r="B1493" s="277" t="str">
        <f>'Production '!C1496</f>
        <v>22035 71th</v>
      </c>
      <c r="C1493" s="76">
        <f ca="1">SUMIF('Production '!$C$4:$AI$4407,'Tracking Sheet'!B1493,'Production '!$M$4:$M$4407)</f>
        <v>3180</v>
      </c>
      <c r="D1493" s="76">
        <f ca="1">SUMIF('Production '!$C$4:$AI$4407,'Tracking Sheet'!B1493,'Production '!$Q$4:$Q$4407)</f>
        <v>0</v>
      </c>
      <c r="E1493" s="76">
        <f ca="1">SUMIF('Production '!$C$4:$AI$4407,'Tracking Sheet'!B1493,'Production '!$S$4:$S$4407)</f>
        <v>0</v>
      </c>
      <c r="F1493" s="76">
        <f ca="1">SUMIF('Production '!$C$4:$AI$4407,'Tracking Sheet'!B1493,'Production '!$U$4:$U$4407)</f>
        <v>9</v>
      </c>
      <c r="G1493" s="76">
        <f ca="1">SUMIF('Production '!$C$4:$AI$4407,'Tracking Sheet'!B1493,'Production '!$W$4:$W$4407)</f>
        <v>3171</v>
      </c>
      <c r="H1493" s="76">
        <f ca="1">SUMIF('Production '!$C$4:$AI$4407,'Tracking Sheet'!B1493,'Production '!$F$4:$F$4407)</f>
        <v>3096</v>
      </c>
      <c r="I1493" s="76">
        <f ca="1">SUMIF('Production '!$C$4:$AI$4407,'Tracking Sheet'!B1493,'Production '!$V$4:$V$4407)</f>
        <v>0</v>
      </c>
      <c r="J1493" s="76">
        <f ca="1">SUMIF('Production '!$C$4:$AI$4407,'Tracking Sheet'!B1493,'Production '!$AG$4:$AG$4407)</f>
        <v>0</v>
      </c>
    </row>
    <row r="1494" spans="2:10" x14ac:dyDescent="0.3">
      <c r="B1494" s="277" t="str">
        <f>'Production '!C1497</f>
        <v>22035 71th</v>
      </c>
      <c r="C1494" s="76">
        <f ca="1">SUMIF('Production '!$C$4:$AI$4407,'Tracking Sheet'!B1494,'Production '!$M$4:$M$4407)</f>
        <v>3180</v>
      </c>
      <c r="D1494" s="76">
        <f ca="1">SUMIF('Production '!$C$4:$AI$4407,'Tracking Sheet'!B1494,'Production '!$Q$4:$Q$4407)</f>
        <v>0</v>
      </c>
      <c r="E1494" s="76">
        <f ca="1">SUMIF('Production '!$C$4:$AI$4407,'Tracking Sheet'!B1494,'Production '!$S$4:$S$4407)</f>
        <v>0</v>
      </c>
      <c r="F1494" s="76">
        <f ca="1">SUMIF('Production '!$C$4:$AI$4407,'Tracking Sheet'!B1494,'Production '!$U$4:$U$4407)</f>
        <v>9</v>
      </c>
      <c r="G1494" s="76">
        <f ca="1">SUMIF('Production '!$C$4:$AI$4407,'Tracking Sheet'!B1494,'Production '!$W$4:$W$4407)</f>
        <v>3171</v>
      </c>
      <c r="H1494" s="76">
        <f ca="1">SUMIF('Production '!$C$4:$AI$4407,'Tracking Sheet'!B1494,'Production '!$F$4:$F$4407)</f>
        <v>3096</v>
      </c>
      <c r="I1494" s="76">
        <f ca="1">SUMIF('Production '!$C$4:$AI$4407,'Tracking Sheet'!B1494,'Production '!$V$4:$V$4407)</f>
        <v>0</v>
      </c>
      <c r="J1494" s="76">
        <f ca="1">SUMIF('Production '!$C$4:$AI$4407,'Tracking Sheet'!B1494,'Production '!$AG$4:$AG$4407)</f>
        <v>0</v>
      </c>
    </row>
    <row r="1495" spans="2:10" x14ac:dyDescent="0.3">
      <c r="B1495" s="277">
        <f>'Production '!C1498</f>
        <v>0</v>
      </c>
      <c r="C1495" s="76" t="e">
        <f ca="1">SUMIF('Production '!$C$4:$AI$4407,'Tracking Sheet'!B1495,'Production '!$M$4:$M$4407)</f>
        <v>#DIV/0!</v>
      </c>
      <c r="D1495" s="76" t="e">
        <f ca="1">SUMIF('Production '!$C$4:$AI$4407,'Tracking Sheet'!B1495,'Production '!$Q$4:$Q$4407)</f>
        <v>#DIV/0!</v>
      </c>
      <c r="E1495" s="76">
        <f ca="1">SUMIF('Production '!$C$4:$AI$4407,'Tracking Sheet'!B1495,'Production '!$S$4:$S$4407)</f>
        <v>-1268218.9828305368</v>
      </c>
      <c r="F1495" s="76">
        <f ca="1">SUMIF('Production '!$C$4:$AI$4407,'Tracking Sheet'!B1495,'Production '!$U$4:$U$4407)</f>
        <v>-10620.435600016917</v>
      </c>
      <c r="G1495" s="76" t="e">
        <f ca="1">SUMIF('Production '!$C$4:$AI$4407,'Tracking Sheet'!B1495,'Production '!$W$4:$W$4407)</f>
        <v>#DIV/0!</v>
      </c>
      <c r="H1495" s="76">
        <f ca="1">SUMIF('Production '!$C$4:$AI$4407,'Tracking Sheet'!B1495,'Production '!$F$4:$F$4407)</f>
        <v>3230621.3283604058</v>
      </c>
      <c r="I1495" s="76">
        <f ca="1">SUMIF('Production '!$C$4:$AI$4407,'Tracking Sheet'!B1495,'Production '!$V$4:$V$4407)</f>
        <v>-489.86487791182844</v>
      </c>
      <c r="J1495" s="76">
        <f ca="1">SUMIF('Production '!$C$4:$AI$4407,'Tracking Sheet'!B1495,'Production '!$AG$4:$AG$4407)</f>
        <v>0</v>
      </c>
    </row>
    <row r="1496" spans="2:10" x14ac:dyDescent="0.3">
      <c r="B1496" s="277" t="str">
        <f>'Production '!C1499</f>
        <v>22035 74th</v>
      </c>
      <c r="C1496" s="76">
        <f ca="1">SUMIF('Production '!$C$4:$AI$4407,'Tracking Sheet'!B1496,'Production '!$M$4:$M$4407)</f>
        <v>0</v>
      </c>
      <c r="D1496" s="76">
        <f ca="1">SUMIF('Production '!$C$4:$AI$4407,'Tracking Sheet'!B1496,'Production '!$Q$4:$Q$4407)</f>
        <v>0</v>
      </c>
      <c r="E1496" s="76">
        <f ca="1">SUMIF('Production '!$C$4:$AI$4407,'Tracking Sheet'!B1496,'Production '!$S$4:$S$4407)</f>
        <v>0</v>
      </c>
      <c r="F1496" s="76">
        <f ca="1">SUMIF('Production '!$C$4:$AI$4407,'Tracking Sheet'!B1496,'Production '!$U$4:$U$4407)</f>
        <v>0</v>
      </c>
      <c r="G1496" s="76">
        <f ca="1">SUMIF('Production '!$C$4:$AI$4407,'Tracking Sheet'!B1496,'Production '!$W$4:$W$4407)</f>
        <v>0</v>
      </c>
      <c r="H1496" s="76">
        <f ca="1">SUMIF('Production '!$C$4:$AI$4407,'Tracking Sheet'!B1496,'Production '!$F$4:$F$4407)</f>
        <v>22048</v>
      </c>
      <c r="I1496" s="76">
        <f ca="1">SUMIF('Production '!$C$4:$AI$4407,'Tracking Sheet'!B1496,'Production '!$V$4:$V$4407)</f>
        <v>0</v>
      </c>
      <c r="J1496" s="76">
        <f ca="1">SUMIF('Production '!$C$4:$AI$4407,'Tracking Sheet'!B1496,'Production '!$AG$4:$AG$4407)</f>
        <v>-22048</v>
      </c>
    </row>
    <row r="1497" spans="2:10" x14ac:dyDescent="0.3">
      <c r="B1497" s="277" t="str">
        <f>'Production '!C1500</f>
        <v>22035 74th</v>
      </c>
      <c r="C1497" s="76">
        <f ca="1">SUMIF('Production '!$C$4:$AI$4407,'Tracking Sheet'!B1497,'Production '!$M$4:$M$4407)</f>
        <v>0</v>
      </c>
      <c r="D1497" s="76">
        <f ca="1">SUMIF('Production '!$C$4:$AI$4407,'Tracking Sheet'!B1497,'Production '!$Q$4:$Q$4407)</f>
        <v>0</v>
      </c>
      <c r="E1497" s="76">
        <f ca="1">SUMIF('Production '!$C$4:$AI$4407,'Tracking Sheet'!B1497,'Production '!$S$4:$S$4407)</f>
        <v>0</v>
      </c>
      <c r="F1497" s="76">
        <f ca="1">SUMIF('Production '!$C$4:$AI$4407,'Tracking Sheet'!B1497,'Production '!$U$4:$U$4407)</f>
        <v>0</v>
      </c>
      <c r="G1497" s="76">
        <f ca="1">SUMIF('Production '!$C$4:$AI$4407,'Tracking Sheet'!B1497,'Production '!$W$4:$W$4407)</f>
        <v>0</v>
      </c>
      <c r="H1497" s="76">
        <f ca="1">SUMIF('Production '!$C$4:$AI$4407,'Tracking Sheet'!B1497,'Production '!$F$4:$F$4407)</f>
        <v>22048</v>
      </c>
      <c r="I1497" s="76">
        <f ca="1">SUMIF('Production '!$C$4:$AI$4407,'Tracking Sheet'!B1497,'Production '!$V$4:$V$4407)</f>
        <v>0</v>
      </c>
      <c r="J1497" s="76">
        <f ca="1">SUMIF('Production '!$C$4:$AI$4407,'Tracking Sheet'!B1497,'Production '!$AG$4:$AG$4407)</f>
        <v>-22048</v>
      </c>
    </row>
    <row r="1498" spans="2:10" x14ac:dyDescent="0.3">
      <c r="B1498" s="277">
        <f>'Production '!C1501</f>
        <v>0</v>
      </c>
      <c r="C1498" s="76" t="e">
        <f ca="1">SUMIF('Production '!$C$4:$AI$4407,'Tracking Sheet'!B1498,'Production '!$M$4:$M$4407)</f>
        <v>#DIV/0!</v>
      </c>
      <c r="D1498" s="76" t="e">
        <f ca="1">SUMIF('Production '!$C$4:$AI$4407,'Tracking Sheet'!B1498,'Production '!$Q$4:$Q$4407)</f>
        <v>#DIV/0!</v>
      </c>
      <c r="E1498" s="76">
        <f ca="1">SUMIF('Production '!$C$4:$AI$4407,'Tracking Sheet'!B1498,'Production '!$S$4:$S$4407)</f>
        <v>-1268218.9828305368</v>
      </c>
      <c r="F1498" s="76">
        <f ca="1">SUMIF('Production '!$C$4:$AI$4407,'Tracking Sheet'!B1498,'Production '!$U$4:$U$4407)</f>
        <v>-10620.435600016917</v>
      </c>
      <c r="G1498" s="76" t="e">
        <f ca="1">SUMIF('Production '!$C$4:$AI$4407,'Tracking Sheet'!B1498,'Production '!$W$4:$W$4407)</f>
        <v>#DIV/0!</v>
      </c>
      <c r="H1498" s="76">
        <f ca="1">SUMIF('Production '!$C$4:$AI$4407,'Tracking Sheet'!B1498,'Production '!$F$4:$F$4407)</f>
        <v>3230621.3283604058</v>
      </c>
      <c r="I1498" s="76">
        <f ca="1">SUMIF('Production '!$C$4:$AI$4407,'Tracking Sheet'!B1498,'Production '!$V$4:$V$4407)</f>
        <v>-489.86487791182844</v>
      </c>
      <c r="J1498" s="76">
        <f ca="1">SUMIF('Production '!$C$4:$AI$4407,'Tracking Sheet'!B1498,'Production '!$AG$4:$AG$4407)</f>
        <v>0</v>
      </c>
    </row>
    <row r="1499" spans="2:10" x14ac:dyDescent="0.3">
      <c r="B1499" s="277" t="str">
        <f>'Production '!C1502</f>
        <v>22035 72th</v>
      </c>
      <c r="C1499" s="76">
        <f ca="1">SUMIF('Production '!$C$4:$AI$4407,'Tracking Sheet'!B1499,'Production '!$M$4:$M$4407)</f>
        <v>0</v>
      </c>
      <c r="D1499" s="76">
        <f ca="1">SUMIF('Production '!$C$4:$AI$4407,'Tracking Sheet'!B1499,'Production '!$Q$4:$Q$4407)</f>
        <v>0</v>
      </c>
      <c r="E1499" s="76">
        <f ca="1">SUMIF('Production '!$C$4:$AI$4407,'Tracking Sheet'!B1499,'Production '!$S$4:$S$4407)</f>
        <v>0</v>
      </c>
      <c r="F1499" s="76">
        <f ca="1">SUMIF('Production '!$C$4:$AI$4407,'Tracking Sheet'!B1499,'Production '!$U$4:$U$4407)</f>
        <v>0</v>
      </c>
      <c r="G1499" s="76">
        <f ca="1">SUMIF('Production '!$C$4:$AI$4407,'Tracking Sheet'!B1499,'Production '!$W$4:$W$4407)</f>
        <v>0</v>
      </c>
      <c r="H1499" s="76">
        <f ca="1">SUMIF('Production '!$C$4:$AI$4407,'Tracking Sheet'!B1499,'Production '!$F$4:$F$4407)</f>
        <v>2124</v>
      </c>
      <c r="I1499" s="76">
        <f ca="1">SUMIF('Production '!$C$4:$AI$4407,'Tracking Sheet'!B1499,'Production '!$V$4:$V$4407)</f>
        <v>0</v>
      </c>
      <c r="J1499" s="76">
        <f ca="1">SUMIF('Production '!$C$4:$AI$4407,'Tracking Sheet'!B1499,'Production '!$AG$4:$AG$4407)</f>
        <v>-2124</v>
      </c>
    </row>
    <row r="1500" spans="2:10" x14ac:dyDescent="0.3">
      <c r="B1500" s="277" t="str">
        <f>'Production '!C1503</f>
        <v>22035 72th</v>
      </c>
      <c r="C1500" s="76">
        <f ca="1">SUMIF('Production '!$C$4:$AI$4407,'Tracking Sheet'!B1500,'Production '!$M$4:$M$4407)</f>
        <v>0</v>
      </c>
      <c r="D1500" s="76">
        <f ca="1">SUMIF('Production '!$C$4:$AI$4407,'Tracking Sheet'!B1500,'Production '!$Q$4:$Q$4407)</f>
        <v>0</v>
      </c>
      <c r="E1500" s="76">
        <f ca="1">SUMIF('Production '!$C$4:$AI$4407,'Tracking Sheet'!B1500,'Production '!$S$4:$S$4407)</f>
        <v>0</v>
      </c>
      <c r="F1500" s="76">
        <f ca="1">SUMIF('Production '!$C$4:$AI$4407,'Tracking Sheet'!B1500,'Production '!$U$4:$U$4407)</f>
        <v>0</v>
      </c>
      <c r="G1500" s="76">
        <f ca="1">SUMIF('Production '!$C$4:$AI$4407,'Tracking Sheet'!B1500,'Production '!$W$4:$W$4407)</f>
        <v>0</v>
      </c>
      <c r="H1500" s="76">
        <f ca="1">SUMIF('Production '!$C$4:$AI$4407,'Tracking Sheet'!B1500,'Production '!$F$4:$F$4407)</f>
        <v>2124</v>
      </c>
      <c r="I1500" s="76">
        <f ca="1">SUMIF('Production '!$C$4:$AI$4407,'Tracking Sheet'!B1500,'Production '!$V$4:$V$4407)</f>
        <v>0</v>
      </c>
      <c r="J1500" s="76">
        <f ca="1">SUMIF('Production '!$C$4:$AI$4407,'Tracking Sheet'!B1500,'Production '!$AG$4:$AG$4407)</f>
        <v>-2124</v>
      </c>
    </row>
    <row r="1501" spans="2:10" x14ac:dyDescent="0.3">
      <c r="B1501" s="277" t="str">
        <f>'Production '!C1504</f>
        <v>22035 72th</v>
      </c>
      <c r="C1501" s="76">
        <f ca="1">SUMIF('Production '!$C$4:$AI$4407,'Tracking Sheet'!B1501,'Production '!$M$4:$M$4407)</f>
        <v>0</v>
      </c>
      <c r="D1501" s="76">
        <f ca="1">SUMIF('Production '!$C$4:$AI$4407,'Tracking Sheet'!B1501,'Production '!$Q$4:$Q$4407)</f>
        <v>0</v>
      </c>
      <c r="E1501" s="76">
        <f ca="1">SUMIF('Production '!$C$4:$AI$4407,'Tracking Sheet'!B1501,'Production '!$S$4:$S$4407)</f>
        <v>0</v>
      </c>
      <c r="F1501" s="76">
        <f ca="1">SUMIF('Production '!$C$4:$AI$4407,'Tracking Sheet'!B1501,'Production '!$U$4:$U$4407)</f>
        <v>0</v>
      </c>
      <c r="G1501" s="76">
        <f ca="1">SUMIF('Production '!$C$4:$AI$4407,'Tracking Sheet'!B1501,'Production '!$W$4:$W$4407)</f>
        <v>0</v>
      </c>
      <c r="H1501" s="76">
        <f ca="1">SUMIF('Production '!$C$4:$AI$4407,'Tracking Sheet'!B1501,'Production '!$F$4:$F$4407)</f>
        <v>2124</v>
      </c>
      <c r="I1501" s="76">
        <f ca="1">SUMIF('Production '!$C$4:$AI$4407,'Tracking Sheet'!B1501,'Production '!$V$4:$V$4407)</f>
        <v>0</v>
      </c>
      <c r="J1501" s="76">
        <f ca="1">SUMIF('Production '!$C$4:$AI$4407,'Tracking Sheet'!B1501,'Production '!$AG$4:$AG$4407)</f>
        <v>-2124</v>
      </c>
    </row>
    <row r="1502" spans="2:10" x14ac:dyDescent="0.3">
      <c r="B1502" s="277">
        <f>'Production '!C1505</f>
        <v>0</v>
      </c>
      <c r="C1502" s="76" t="e">
        <f ca="1">SUMIF('Production '!$C$4:$AI$4407,'Tracking Sheet'!B1502,'Production '!$M$4:$M$4407)</f>
        <v>#DIV/0!</v>
      </c>
      <c r="D1502" s="76" t="e">
        <f ca="1">SUMIF('Production '!$C$4:$AI$4407,'Tracking Sheet'!B1502,'Production '!$Q$4:$Q$4407)</f>
        <v>#DIV/0!</v>
      </c>
      <c r="E1502" s="76">
        <f ca="1">SUMIF('Production '!$C$4:$AI$4407,'Tracking Sheet'!B1502,'Production '!$S$4:$S$4407)</f>
        <v>-1268218.9828305368</v>
      </c>
      <c r="F1502" s="76">
        <f ca="1">SUMIF('Production '!$C$4:$AI$4407,'Tracking Sheet'!B1502,'Production '!$U$4:$U$4407)</f>
        <v>-10620.435600016917</v>
      </c>
      <c r="G1502" s="76" t="e">
        <f ca="1">SUMIF('Production '!$C$4:$AI$4407,'Tracking Sheet'!B1502,'Production '!$W$4:$W$4407)</f>
        <v>#DIV/0!</v>
      </c>
      <c r="H1502" s="76">
        <f ca="1">SUMIF('Production '!$C$4:$AI$4407,'Tracking Sheet'!B1502,'Production '!$F$4:$F$4407)</f>
        <v>3230621.3283604058</v>
      </c>
      <c r="I1502" s="76">
        <f ca="1">SUMIF('Production '!$C$4:$AI$4407,'Tracking Sheet'!B1502,'Production '!$V$4:$V$4407)</f>
        <v>-489.86487791182844</v>
      </c>
      <c r="J1502" s="76">
        <f ca="1">SUMIF('Production '!$C$4:$AI$4407,'Tracking Sheet'!B1502,'Production '!$AG$4:$AG$4407)</f>
        <v>0</v>
      </c>
    </row>
    <row r="1503" spans="2:10" x14ac:dyDescent="0.3">
      <c r="B1503" s="277" t="str">
        <f>'Production '!C1506</f>
        <v>22035 73th</v>
      </c>
      <c r="C1503" s="76">
        <f ca="1">SUMIF('Production '!$C$4:$AI$4407,'Tracking Sheet'!B1503,'Production '!$M$4:$M$4407)</f>
        <v>0</v>
      </c>
      <c r="D1503" s="76">
        <f ca="1">SUMIF('Production '!$C$4:$AI$4407,'Tracking Sheet'!B1503,'Production '!$Q$4:$Q$4407)</f>
        <v>0</v>
      </c>
      <c r="E1503" s="76">
        <f ca="1">SUMIF('Production '!$C$4:$AI$4407,'Tracking Sheet'!B1503,'Production '!$S$4:$S$4407)</f>
        <v>0</v>
      </c>
      <c r="F1503" s="76">
        <f ca="1">SUMIF('Production '!$C$4:$AI$4407,'Tracking Sheet'!B1503,'Production '!$U$4:$U$4407)</f>
        <v>0</v>
      </c>
      <c r="G1503" s="76">
        <f ca="1">SUMIF('Production '!$C$4:$AI$4407,'Tracking Sheet'!B1503,'Production '!$W$4:$W$4407)</f>
        <v>0</v>
      </c>
      <c r="H1503" s="76">
        <f ca="1">SUMIF('Production '!$C$4:$AI$4407,'Tracking Sheet'!B1503,'Production '!$F$4:$F$4407)</f>
        <v>2448</v>
      </c>
      <c r="I1503" s="76">
        <f ca="1">SUMIF('Production '!$C$4:$AI$4407,'Tracking Sheet'!B1503,'Production '!$V$4:$V$4407)</f>
        <v>0</v>
      </c>
      <c r="J1503" s="76">
        <f ca="1">SUMIF('Production '!$C$4:$AI$4407,'Tracking Sheet'!B1503,'Production '!$AG$4:$AG$4407)</f>
        <v>-2448</v>
      </c>
    </row>
    <row r="1504" spans="2:10" x14ac:dyDescent="0.3">
      <c r="B1504" s="277" t="str">
        <f>'Production '!C1507</f>
        <v>22035 73th</v>
      </c>
      <c r="C1504" s="76">
        <f ca="1">SUMIF('Production '!$C$4:$AI$4407,'Tracking Sheet'!B1504,'Production '!$M$4:$M$4407)</f>
        <v>0</v>
      </c>
      <c r="D1504" s="76">
        <f ca="1">SUMIF('Production '!$C$4:$AI$4407,'Tracking Sheet'!B1504,'Production '!$Q$4:$Q$4407)</f>
        <v>0</v>
      </c>
      <c r="E1504" s="76">
        <f ca="1">SUMIF('Production '!$C$4:$AI$4407,'Tracking Sheet'!B1504,'Production '!$S$4:$S$4407)</f>
        <v>0</v>
      </c>
      <c r="F1504" s="76">
        <f ca="1">SUMIF('Production '!$C$4:$AI$4407,'Tracking Sheet'!B1504,'Production '!$U$4:$U$4407)</f>
        <v>0</v>
      </c>
      <c r="G1504" s="76">
        <f ca="1">SUMIF('Production '!$C$4:$AI$4407,'Tracking Sheet'!B1504,'Production '!$W$4:$W$4407)</f>
        <v>0</v>
      </c>
      <c r="H1504" s="76">
        <f ca="1">SUMIF('Production '!$C$4:$AI$4407,'Tracking Sheet'!B1504,'Production '!$F$4:$F$4407)</f>
        <v>2448</v>
      </c>
      <c r="I1504" s="76">
        <f ca="1">SUMIF('Production '!$C$4:$AI$4407,'Tracking Sheet'!B1504,'Production '!$V$4:$V$4407)</f>
        <v>0</v>
      </c>
      <c r="J1504" s="76">
        <f ca="1">SUMIF('Production '!$C$4:$AI$4407,'Tracking Sheet'!B1504,'Production '!$AG$4:$AG$4407)</f>
        <v>-2448</v>
      </c>
    </row>
    <row r="1505" spans="2:10" x14ac:dyDescent="0.3">
      <c r="B1505" s="277" t="str">
        <f>'Production '!C1508</f>
        <v>22035 73th</v>
      </c>
      <c r="C1505" s="76">
        <f ca="1">SUMIF('Production '!$C$4:$AI$4407,'Tracking Sheet'!B1505,'Production '!$M$4:$M$4407)</f>
        <v>0</v>
      </c>
      <c r="D1505" s="76">
        <f ca="1">SUMIF('Production '!$C$4:$AI$4407,'Tracking Sheet'!B1505,'Production '!$Q$4:$Q$4407)</f>
        <v>0</v>
      </c>
      <c r="E1505" s="76">
        <f ca="1">SUMIF('Production '!$C$4:$AI$4407,'Tracking Sheet'!B1505,'Production '!$S$4:$S$4407)</f>
        <v>0</v>
      </c>
      <c r="F1505" s="76">
        <f ca="1">SUMIF('Production '!$C$4:$AI$4407,'Tracking Sheet'!B1505,'Production '!$U$4:$U$4407)</f>
        <v>0</v>
      </c>
      <c r="G1505" s="76">
        <f ca="1">SUMIF('Production '!$C$4:$AI$4407,'Tracking Sheet'!B1505,'Production '!$W$4:$W$4407)</f>
        <v>0</v>
      </c>
      <c r="H1505" s="76">
        <f ca="1">SUMIF('Production '!$C$4:$AI$4407,'Tracking Sheet'!B1505,'Production '!$F$4:$F$4407)</f>
        <v>2448</v>
      </c>
      <c r="I1505" s="76">
        <f ca="1">SUMIF('Production '!$C$4:$AI$4407,'Tracking Sheet'!B1505,'Production '!$V$4:$V$4407)</f>
        <v>0</v>
      </c>
      <c r="J1505" s="76">
        <f ca="1">SUMIF('Production '!$C$4:$AI$4407,'Tracking Sheet'!B1505,'Production '!$AG$4:$AG$4407)</f>
        <v>-2448</v>
      </c>
    </row>
    <row r="1506" spans="2:10" x14ac:dyDescent="0.3">
      <c r="B1506" s="277">
        <f>'Production '!C1509</f>
        <v>0</v>
      </c>
      <c r="C1506" s="76" t="e">
        <f ca="1">SUMIF('Production '!$C$4:$AI$4407,'Tracking Sheet'!B1506,'Production '!$M$4:$M$4407)</f>
        <v>#DIV/0!</v>
      </c>
      <c r="D1506" s="76" t="e">
        <f ca="1">SUMIF('Production '!$C$4:$AI$4407,'Tracking Sheet'!B1506,'Production '!$Q$4:$Q$4407)</f>
        <v>#DIV/0!</v>
      </c>
      <c r="E1506" s="76">
        <f ca="1">SUMIF('Production '!$C$4:$AI$4407,'Tracking Sheet'!B1506,'Production '!$S$4:$S$4407)</f>
        <v>-1268218.9828305368</v>
      </c>
      <c r="F1506" s="76">
        <f ca="1">SUMIF('Production '!$C$4:$AI$4407,'Tracking Sheet'!B1506,'Production '!$U$4:$U$4407)</f>
        <v>-10620.435600016917</v>
      </c>
      <c r="G1506" s="76" t="e">
        <f ca="1">SUMIF('Production '!$C$4:$AI$4407,'Tracking Sheet'!B1506,'Production '!$W$4:$W$4407)</f>
        <v>#DIV/0!</v>
      </c>
      <c r="H1506" s="76">
        <f ca="1">SUMIF('Production '!$C$4:$AI$4407,'Tracking Sheet'!B1506,'Production '!$F$4:$F$4407)</f>
        <v>3230621.3283604058</v>
      </c>
      <c r="I1506" s="76">
        <f ca="1">SUMIF('Production '!$C$4:$AI$4407,'Tracking Sheet'!B1506,'Production '!$V$4:$V$4407)</f>
        <v>-489.86487791182844</v>
      </c>
      <c r="J1506" s="76">
        <f ca="1">SUMIF('Production '!$C$4:$AI$4407,'Tracking Sheet'!B1506,'Production '!$AG$4:$AG$4407)</f>
        <v>0</v>
      </c>
    </row>
    <row r="1507" spans="2:10" x14ac:dyDescent="0.3">
      <c r="B1507" s="277" t="str">
        <f>'Production '!C1510</f>
        <v>29402 44th</v>
      </c>
      <c r="C1507" s="76">
        <f ca="1">SUMIF('Production '!$C$4:$AI$4407,'Tracking Sheet'!B1507,'Production '!$M$4:$M$4407)</f>
        <v>0</v>
      </c>
      <c r="D1507" s="76">
        <f ca="1">SUMIF('Production '!$C$4:$AI$4407,'Tracking Sheet'!B1507,'Production '!$Q$4:$Q$4407)</f>
        <v>0</v>
      </c>
      <c r="E1507" s="76">
        <f ca="1">SUMIF('Production '!$C$4:$AI$4407,'Tracking Sheet'!B1507,'Production '!$S$4:$S$4407)</f>
        <v>0</v>
      </c>
      <c r="F1507" s="76">
        <f ca="1">SUMIF('Production '!$C$4:$AI$4407,'Tracking Sheet'!B1507,'Production '!$U$4:$U$4407)</f>
        <v>0</v>
      </c>
      <c r="G1507" s="76">
        <f ca="1">SUMIF('Production '!$C$4:$AI$4407,'Tracking Sheet'!B1507,'Production '!$W$4:$W$4407)</f>
        <v>0</v>
      </c>
      <c r="H1507" s="76">
        <f ca="1">SUMIF('Production '!$C$4:$AI$4407,'Tracking Sheet'!B1507,'Production '!$F$4:$F$4407)</f>
        <v>3024</v>
      </c>
      <c r="I1507" s="76">
        <f ca="1">SUMIF('Production '!$C$4:$AI$4407,'Tracking Sheet'!B1507,'Production '!$V$4:$V$4407)</f>
        <v>0</v>
      </c>
      <c r="J1507" s="76">
        <f ca="1">SUMIF('Production '!$C$4:$AI$4407,'Tracking Sheet'!B1507,'Production '!$AG$4:$AG$4407)</f>
        <v>-3024</v>
      </c>
    </row>
    <row r="1508" spans="2:10" x14ac:dyDescent="0.3">
      <c r="B1508" s="277">
        <f>'Production '!C1511</f>
        <v>0</v>
      </c>
      <c r="C1508" s="76" t="e">
        <f ca="1">SUMIF('Production '!$C$4:$AI$4407,'Tracking Sheet'!B1508,'Production '!$M$4:$M$4407)</f>
        <v>#DIV/0!</v>
      </c>
      <c r="D1508" s="76" t="e">
        <f ca="1">SUMIF('Production '!$C$4:$AI$4407,'Tracking Sheet'!B1508,'Production '!$Q$4:$Q$4407)</f>
        <v>#DIV/0!</v>
      </c>
      <c r="E1508" s="76">
        <f ca="1">SUMIF('Production '!$C$4:$AI$4407,'Tracking Sheet'!B1508,'Production '!$S$4:$S$4407)</f>
        <v>-1268218.9828305368</v>
      </c>
      <c r="F1508" s="76">
        <f ca="1">SUMIF('Production '!$C$4:$AI$4407,'Tracking Sheet'!B1508,'Production '!$U$4:$U$4407)</f>
        <v>-10620.435600016917</v>
      </c>
      <c r="G1508" s="76" t="e">
        <f ca="1">SUMIF('Production '!$C$4:$AI$4407,'Tracking Sheet'!B1508,'Production '!$W$4:$W$4407)</f>
        <v>#DIV/0!</v>
      </c>
      <c r="H1508" s="76">
        <f ca="1">SUMIF('Production '!$C$4:$AI$4407,'Tracking Sheet'!B1508,'Production '!$F$4:$F$4407)</f>
        <v>3230621.3283604058</v>
      </c>
      <c r="I1508" s="76">
        <f ca="1">SUMIF('Production '!$C$4:$AI$4407,'Tracking Sheet'!B1508,'Production '!$V$4:$V$4407)</f>
        <v>-489.86487791182844</v>
      </c>
      <c r="J1508" s="76">
        <f ca="1">SUMIF('Production '!$C$4:$AI$4407,'Tracking Sheet'!B1508,'Production '!$AG$4:$AG$4407)</f>
        <v>0</v>
      </c>
    </row>
    <row r="1509" spans="2:10" x14ac:dyDescent="0.3">
      <c r="B1509" s="277" t="str">
        <f>'Production '!C1512</f>
        <v>29402 43th</v>
      </c>
      <c r="C1509" s="76">
        <f ca="1">SUMIF('Production '!$C$4:$AI$4407,'Tracking Sheet'!B1509,'Production '!$M$4:$M$4407)</f>
        <v>15342</v>
      </c>
      <c r="D1509" s="76">
        <f ca="1">SUMIF('Production '!$C$4:$AI$4407,'Tracking Sheet'!B1509,'Production '!$Q$4:$Q$4407)</f>
        <v>15289</v>
      </c>
      <c r="E1509" s="76">
        <f ca="1">SUMIF('Production '!$C$4:$AI$4407,'Tracking Sheet'!B1509,'Production '!$S$4:$S$4407)</f>
        <v>15279</v>
      </c>
      <c r="F1509" s="76">
        <f ca="1">SUMIF('Production '!$C$4:$AI$4407,'Tracking Sheet'!B1509,'Production '!$U$4:$U$4407)</f>
        <v>63</v>
      </c>
      <c r="G1509" s="76">
        <f ca="1">SUMIF('Production '!$C$4:$AI$4407,'Tracking Sheet'!B1509,'Production '!$W$4:$W$4407)</f>
        <v>15216</v>
      </c>
      <c r="H1509" s="76">
        <f ca="1">SUMIF('Production '!$C$4:$AI$4407,'Tracking Sheet'!B1509,'Production '!$F$4:$F$4407)</f>
        <v>15012</v>
      </c>
      <c r="I1509" s="76">
        <f ca="1">SUMIF('Production '!$C$4:$AI$4407,'Tracking Sheet'!B1509,'Production '!$V$4:$V$4407)</f>
        <v>0</v>
      </c>
      <c r="J1509" s="76">
        <f ca="1">SUMIF('Production '!$C$4:$AI$4407,'Tracking Sheet'!B1509,'Production '!$AG$4:$AG$4407)</f>
        <v>0</v>
      </c>
    </row>
    <row r="1510" spans="2:10" x14ac:dyDescent="0.3">
      <c r="B1510" s="277" t="str">
        <f>'Production '!C1513</f>
        <v>29402 43th</v>
      </c>
      <c r="C1510" s="76">
        <f ca="1">SUMIF('Production '!$C$4:$AI$4407,'Tracking Sheet'!B1510,'Production '!$M$4:$M$4407)</f>
        <v>15342</v>
      </c>
      <c r="D1510" s="76">
        <f ca="1">SUMIF('Production '!$C$4:$AI$4407,'Tracking Sheet'!B1510,'Production '!$Q$4:$Q$4407)</f>
        <v>15289</v>
      </c>
      <c r="E1510" s="76">
        <f ca="1">SUMIF('Production '!$C$4:$AI$4407,'Tracking Sheet'!B1510,'Production '!$S$4:$S$4407)</f>
        <v>15279</v>
      </c>
      <c r="F1510" s="76">
        <f ca="1">SUMIF('Production '!$C$4:$AI$4407,'Tracking Sheet'!B1510,'Production '!$U$4:$U$4407)</f>
        <v>63</v>
      </c>
      <c r="G1510" s="76">
        <f ca="1">SUMIF('Production '!$C$4:$AI$4407,'Tracking Sheet'!B1510,'Production '!$W$4:$W$4407)</f>
        <v>15216</v>
      </c>
      <c r="H1510" s="76">
        <f ca="1">SUMIF('Production '!$C$4:$AI$4407,'Tracking Sheet'!B1510,'Production '!$F$4:$F$4407)</f>
        <v>15012</v>
      </c>
      <c r="I1510" s="76">
        <f ca="1">SUMIF('Production '!$C$4:$AI$4407,'Tracking Sheet'!B1510,'Production '!$V$4:$V$4407)</f>
        <v>0</v>
      </c>
      <c r="J1510" s="76">
        <f ca="1">SUMIF('Production '!$C$4:$AI$4407,'Tracking Sheet'!B1510,'Production '!$AG$4:$AG$4407)</f>
        <v>0</v>
      </c>
    </row>
    <row r="1511" spans="2:10" x14ac:dyDescent="0.3">
      <c r="B1511" s="277" t="str">
        <f>'Production '!C1514</f>
        <v>29402 43th</v>
      </c>
      <c r="C1511" s="76">
        <f ca="1">SUMIF('Production '!$C$4:$AI$4407,'Tracking Sheet'!B1511,'Production '!$M$4:$M$4407)</f>
        <v>15342</v>
      </c>
      <c r="D1511" s="76">
        <f ca="1">SUMIF('Production '!$C$4:$AI$4407,'Tracking Sheet'!B1511,'Production '!$Q$4:$Q$4407)</f>
        <v>15289</v>
      </c>
      <c r="E1511" s="76">
        <f ca="1">SUMIF('Production '!$C$4:$AI$4407,'Tracking Sheet'!B1511,'Production '!$S$4:$S$4407)</f>
        <v>15279</v>
      </c>
      <c r="F1511" s="76">
        <f ca="1">SUMIF('Production '!$C$4:$AI$4407,'Tracking Sheet'!B1511,'Production '!$U$4:$U$4407)</f>
        <v>63</v>
      </c>
      <c r="G1511" s="76">
        <f ca="1">SUMIF('Production '!$C$4:$AI$4407,'Tracking Sheet'!B1511,'Production '!$W$4:$W$4407)</f>
        <v>15216</v>
      </c>
      <c r="H1511" s="76">
        <f ca="1">SUMIF('Production '!$C$4:$AI$4407,'Tracking Sheet'!B1511,'Production '!$F$4:$F$4407)</f>
        <v>15012</v>
      </c>
      <c r="I1511" s="76">
        <f ca="1">SUMIF('Production '!$C$4:$AI$4407,'Tracking Sheet'!B1511,'Production '!$V$4:$V$4407)</f>
        <v>0</v>
      </c>
      <c r="J1511" s="76">
        <f ca="1">SUMIF('Production '!$C$4:$AI$4407,'Tracking Sheet'!B1511,'Production '!$AG$4:$AG$4407)</f>
        <v>0</v>
      </c>
    </row>
    <row r="1512" spans="2:10" x14ac:dyDescent="0.3">
      <c r="B1512" s="277" t="str">
        <f>'Production '!C1515</f>
        <v>29402 43th</v>
      </c>
      <c r="C1512" s="76">
        <f ca="1">SUMIF('Production '!$C$4:$AI$4407,'Tracking Sheet'!B1512,'Production '!$M$4:$M$4407)</f>
        <v>15342</v>
      </c>
      <c r="D1512" s="76">
        <f ca="1">SUMIF('Production '!$C$4:$AI$4407,'Tracking Sheet'!B1512,'Production '!$Q$4:$Q$4407)</f>
        <v>15289</v>
      </c>
      <c r="E1512" s="76">
        <f ca="1">SUMIF('Production '!$C$4:$AI$4407,'Tracking Sheet'!B1512,'Production '!$S$4:$S$4407)</f>
        <v>15279</v>
      </c>
      <c r="F1512" s="76">
        <f ca="1">SUMIF('Production '!$C$4:$AI$4407,'Tracking Sheet'!B1512,'Production '!$U$4:$U$4407)</f>
        <v>63</v>
      </c>
      <c r="G1512" s="76">
        <f ca="1">SUMIF('Production '!$C$4:$AI$4407,'Tracking Sheet'!B1512,'Production '!$W$4:$W$4407)</f>
        <v>15216</v>
      </c>
      <c r="H1512" s="76">
        <f ca="1">SUMIF('Production '!$C$4:$AI$4407,'Tracking Sheet'!B1512,'Production '!$F$4:$F$4407)</f>
        <v>15012</v>
      </c>
      <c r="I1512" s="76">
        <f ca="1">SUMIF('Production '!$C$4:$AI$4407,'Tracking Sheet'!B1512,'Production '!$V$4:$V$4407)</f>
        <v>0</v>
      </c>
      <c r="J1512" s="76">
        <f ca="1">SUMIF('Production '!$C$4:$AI$4407,'Tracking Sheet'!B1512,'Production '!$AG$4:$AG$4407)</f>
        <v>0</v>
      </c>
    </row>
    <row r="1513" spans="2:10" x14ac:dyDescent="0.3">
      <c r="B1513" s="277" t="str">
        <f>'Production '!C1516</f>
        <v>29402 43th</v>
      </c>
      <c r="C1513" s="76">
        <f ca="1">SUMIF('Production '!$C$4:$AI$4407,'Tracking Sheet'!B1513,'Production '!$M$4:$M$4407)</f>
        <v>15342</v>
      </c>
      <c r="D1513" s="76">
        <f ca="1">SUMIF('Production '!$C$4:$AI$4407,'Tracking Sheet'!B1513,'Production '!$Q$4:$Q$4407)</f>
        <v>15289</v>
      </c>
      <c r="E1513" s="76">
        <f ca="1">SUMIF('Production '!$C$4:$AI$4407,'Tracking Sheet'!B1513,'Production '!$S$4:$S$4407)</f>
        <v>15279</v>
      </c>
      <c r="F1513" s="76">
        <f ca="1">SUMIF('Production '!$C$4:$AI$4407,'Tracking Sheet'!B1513,'Production '!$U$4:$U$4407)</f>
        <v>63</v>
      </c>
      <c r="G1513" s="76">
        <f ca="1">SUMIF('Production '!$C$4:$AI$4407,'Tracking Sheet'!B1513,'Production '!$W$4:$W$4407)</f>
        <v>15216</v>
      </c>
      <c r="H1513" s="76">
        <f ca="1">SUMIF('Production '!$C$4:$AI$4407,'Tracking Sheet'!B1513,'Production '!$F$4:$F$4407)</f>
        <v>15012</v>
      </c>
      <c r="I1513" s="76">
        <f ca="1">SUMIF('Production '!$C$4:$AI$4407,'Tracking Sheet'!B1513,'Production '!$V$4:$V$4407)</f>
        <v>0</v>
      </c>
      <c r="J1513" s="76">
        <f ca="1">SUMIF('Production '!$C$4:$AI$4407,'Tracking Sheet'!B1513,'Production '!$AG$4:$AG$4407)</f>
        <v>0</v>
      </c>
    </row>
    <row r="1514" spans="2:10" x14ac:dyDescent="0.3">
      <c r="B1514" s="277">
        <f>'Production '!C1517</f>
        <v>0</v>
      </c>
      <c r="C1514" s="76" t="e">
        <f ca="1">SUMIF('Production '!$C$4:$AI$4407,'Tracking Sheet'!B1514,'Production '!$M$4:$M$4407)</f>
        <v>#DIV/0!</v>
      </c>
      <c r="D1514" s="76" t="e">
        <f ca="1">SUMIF('Production '!$C$4:$AI$4407,'Tracking Sheet'!B1514,'Production '!$Q$4:$Q$4407)</f>
        <v>#DIV/0!</v>
      </c>
      <c r="E1514" s="76">
        <f ca="1">SUMIF('Production '!$C$4:$AI$4407,'Tracking Sheet'!B1514,'Production '!$S$4:$S$4407)</f>
        <v>-1268218.9828305368</v>
      </c>
      <c r="F1514" s="76">
        <f ca="1">SUMIF('Production '!$C$4:$AI$4407,'Tracking Sheet'!B1514,'Production '!$U$4:$U$4407)</f>
        <v>-10620.435600016917</v>
      </c>
      <c r="G1514" s="76" t="e">
        <f ca="1">SUMIF('Production '!$C$4:$AI$4407,'Tracking Sheet'!B1514,'Production '!$W$4:$W$4407)</f>
        <v>#DIV/0!</v>
      </c>
      <c r="H1514" s="76">
        <f ca="1">SUMIF('Production '!$C$4:$AI$4407,'Tracking Sheet'!B1514,'Production '!$F$4:$F$4407)</f>
        <v>3230621.3283604058</v>
      </c>
      <c r="I1514" s="76">
        <f ca="1">SUMIF('Production '!$C$4:$AI$4407,'Tracking Sheet'!B1514,'Production '!$V$4:$V$4407)</f>
        <v>-489.86487791182844</v>
      </c>
      <c r="J1514" s="76">
        <f ca="1">SUMIF('Production '!$C$4:$AI$4407,'Tracking Sheet'!B1514,'Production '!$AG$4:$AG$4407)</f>
        <v>0</v>
      </c>
    </row>
    <row r="1515" spans="2:10" x14ac:dyDescent="0.3">
      <c r="B1515" s="277" t="str">
        <f>'Production '!C1518</f>
        <v>29402 45th</v>
      </c>
      <c r="C1515" s="76">
        <f ca="1">SUMIF('Production '!$C$4:$AI$4407,'Tracking Sheet'!B1515,'Production '!$M$4:$M$4407)</f>
        <v>2196</v>
      </c>
      <c r="D1515" s="76">
        <f ca="1">SUMIF('Production '!$C$4:$AI$4407,'Tracking Sheet'!B1515,'Production '!$Q$4:$Q$4407)</f>
        <v>1806</v>
      </c>
      <c r="E1515" s="76">
        <f ca="1">SUMIF('Production '!$C$4:$AI$4407,'Tracking Sheet'!B1515,'Production '!$S$4:$S$4407)</f>
        <v>1800</v>
      </c>
      <c r="F1515" s="76">
        <f ca="1">SUMIF('Production '!$C$4:$AI$4407,'Tracking Sheet'!B1515,'Production '!$U$4:$U$4407)</f>
        <v>1800</v>
      </c>
      <c r="G1515" s="76">
        <f ca="1">SUMIF('Production '!$C$4:$AI$4407,'Tracking Sheet'!B1515,'Production '!$W$4:$W$4407)</f>
        <v>0</v>
      </c>
      <c r="H1515" s="76">
        <f ca="1">SUMIF('Production '!$C$4:$AI$4407,'Tracking Sheet'!B1515,'Production '!$F$4:$F$4407)</f>
        <v>6048</v>
      </c>
      <c r="I1515" s="76">
        <f ca="1">SUMIF('Production '!$C$4:$AI$4407,'Tracking Sheet'!B1515,'Production '!$V$4:$V$4407)</f>
        <v>0</v>
      </c>
      <c r="J1515" s="76">
        <f ca="1">SUMIF('Production '!$C$4:$AI$4407,'Tracking Sheet'!B1515,'Production '!$AG$4:$AG$4407)</f>
        <v>-3852</v>
      </c>
    </row>
    <row r="1516" spans="2:10" x14ac:dyDescent="0.3">
      <c r="B1516" s="277" t="str">
        <f>'Production '!C1519</f>
        <v>29402 45th</v>
      </c>
      <c r="C1516" s="76">
        <f ca="1">SUMIF('Production '!$C$4:$AI$4407,'Tracking Sheet'!B1516,'Production '!$M$4:$M$4407)</f>
        <v>2196</v>
      </c>
      <c r="D1516" s="76">
        <f ca="1">SUMIF('Production '!$C$4:$AI$4407,'Tracking Sheet'!B1516,'Production '!$Q$4:$Q$4407)</f>
        <v>1806</v>
      </c>
      <c r="E1516" s="76">
        <f ca="1">SUMIF('Production '!$C$4:$AI$4407,'Tracking Sheet'!B1516,'Production '!$S$4:$S$4407)</f>
        <v>1800</v>
      </c>
      <c r="F1516" s="76">
        <f ca="1">SUMIF('Production '!$C$4:$AI$4407,'Tracking Sheet'!B1516,'Production '!$U$4:$U$4407)</f>
        <v>1800</v>
      </c>
      <c r="G1516" s="76">
        <f ca="1">SUMIF('Production '!$C$4:$AI$4407,'Tracking Sheet'!B1516,'Production '!$W$4:$W$4407)</f>
        <v>0</v>
      </c>
      <c r="H1516" s="76">
        <f ca="1">SUMIF('Production '!$C$4:$AI$4407,'Tracking Sheet'!B1516,'Production '!$F$4:$F$4407)</f>
        <v>6048</v>
      </c>
      <c r="I1516" s="76">
        <f ca="1">SUMIF('Production '!$C$4:$AI$4407,'Tracking Sheet'!B1516,'Production '!$V$4:$V$4407)</f>
        <v>0</v>
      </c>
      <c r="J1516" s="76">
        <f ca="1">SUMIF('Production '!$C$4:$AI$4407,'Tracking Sheet'!B1516,'Production '!$AG$4:$AG$4407)</f>
        <v>-3852</v>
      </c>
    </row>
    <row r="1517" spans="2:10" x14ac:dyDescent="0.3">
      <c r="B1517" s="277">
        <f>'Production '!C1520</f>
        <v>0</v>
      </c>
      <c r="C1517" s="76" t="e">
        <f ca="1">SUMIF('Production '!$C$4:$AI$4407,'Tracking Sheet'!B1517,'Production '!$M$4:$M$4407)</f>
        <v>#DIV/0!</v>
      </c>
      <c r="D1517" s="76" t="e">
        <f ca="1">SUMIF('Production '!$C$4:$AI$4407,'Tracking Sheet'!B1517,'Production '!$Q$4:$Q$4407)</f>
        <v>#DIV/0!</v>
      </c>
      <c r="E1517" s="76">
        <f ca="1">SUMIF('Production '!$C$4:$AI$4407,'Tracking Sheet'!B1517,'Production '!$S$4:$S$4407)</f>
        <v>-1268218.9828305368</v>
      </c>
      <c r="F1517" s="76">
        <f ca="1">SUMIF('Production '!$C$4:$AI$4407,'Tracking Sheet'!B1517,'Production '!$U$4:$U$4407)</f>
        <v>-10620.435600016917</v>
      </c>
      <c r="G1517" s="76" t="e">
        <f ca="1">SUMIF('Production '!$C$4:$AI$4407,'Tracking Sheet'!B1517,'Production '!$W$4:$W$4407)</f>
        <v>#DIV/0!</v>
      </c>
      <c r="H1517" s="76">
        <f ca="1">SUMIF('Production '!$C$4:$AI$4407,'Tracking Sheet'!B1517,'Production '!$F$4:$F$4407)</f>
        <v>3230621.3283604058</v>
      </c>
      <c r="I1517" s="76">
        <f ca="1">SUMIF('Production '!$C$4:$AI$4407,'Tracking Sheet'!B1517,'Production '!$V$4:$V$4407)</f>
        <v>-489.86487791182844</v>
      </c>
      <c r="J1517" s="76">
        <f ca="1">SUMIF('Production '!$C$4:$AI$4407,'Tracking Sheet'!B1517,'Production '!$AG$4:$AG$4407)</f>
        <v>0</v>
      </c>
    </row>
    <row r="1518" spans="2:10" x14ac:dyDescent="0.3">
      <c r="B1518" s="277" t="str">
        <f>'Production '!C1521</f>
        <v>29402 46th</v>
      </c>
      <c r="C1518" s="76">
        <f ca="1">SUMIF('Production '!$C$4:$AI$4407,'Tracking Sheet'!B1518,'Production '!$M$4:$M$4407)</f>
        <v>0</v>
      </c>
      <c r="D1518" s="76">
        <f ca="1">SUMIF('Production '!$C$4:$AI$4407,'Tracking Sheet'!B1518,'Production '!$Q$4:$Q$4407)</f>
        <v>0</v>
      </c>
      <c r="E1518" s="76">
        <f ca="1">SUMIF('Production '!$C$4:$AI$4407,'Tracking Sheet'!B1518,'Production '!$S$4:$S$4407)</f>
        <v>0</v>
      </c>
      <c r="F1518" s="76">
        <f ca="1">SUMIF('Production '!$C$4:$AI$4407,'Tracking Sheet'!B1518,'Production '!$U$4:$U$4407)</f>
        <v>0</v>
      </c>
      <c r="G1518" s="76">
        <f ca="1">SUMIF('Production '!$C$4:$AI$4407,'Tracking Sheet'!B1518,'Production '!$W$4:$W$4407)</f>
        <v>0</v>
      </c>
      <c r="H1518" s="76">
        <f ca="1">SUMIF('Production '!$C$4:$AI$4407,'Tracking Sheet'!B1518,'Production '!$F$4:$F$4407)</f>
        <v>4032</v>
      </c>
      <c r="I1518" s="76">
        <f ca="1">SUMIF('Production '!$C$4:$AI$4407,'Tracking Sheet'!B1518,'Production '!$V$4:$V$4407)</f>
        <v>0</v>
      </c>
      <c r="J1518" s="76">
        <f ca="1">SUMIF('Production '!$C$4:$AI$4407,'Tracking Sheet'!B1518,'Production '!$AG$4:$AG$4407)</f>
        <v>-4032</v>
      </c>
    </row>
    <row r="1519" spans="2:10" x14ac:dyDescent="0.3">
      <c r="B1519" s="277" t="str">
        <f>'Production '!C1522</f>
        <v>29402 46th</v>
      </c>
      <c r="C1519" s="76">
        <f ca="1">SUMIF('Production '!$C$4:$AI$4407,'Tracking Sheet'!B1519,'Production '!$M$4:$M$4407)</f>
        <v>0</v>
      </c>
      <c r="D1519" s="76">
        <f ca="1">SUMIF('Production '!$C$4:$AI$4407,'Tracking Sheet'!B1519,'Production '!$Q$4:$Q$4407)</f>
        <v>0</v>
      </c>
      <c r="E1519" s="76">
        <f ca="1">SUMIF('Production '!$C$4:$AI$4407,'Tracking Sheet'!B1519,'Production '!$S$4:$S$4407)</f>
        <v>0</v>
      </c>
      <c r="F1519" s="76">
        <f ca="1">SUMIF('Production '!$C$4:$AI$4407,'Tracking Sheet'!B1519,'Production '!$U$4:$U$4407)</f>
        <v>0</v>
      </c>
      <c r="G1519" s="76">
        <f ca="1">SUMIF('Production '!$C$4:$AI$4407,'Tracking Sheet'!B1519,'Production '!$W$4:$W$4407)</f>
        <v>0</v>
      </c>
      <c r="H1519" s="76">
        <f ca="1">SUMIF('Production '!$C$4:$AI$4407,'Tracking Sheet'!B1519,'Production '!$F$4:$F$4407)</f>
        <v>4032</v>
      </c>
      <c r="I1519" s="76">
        <f ca="1">SUMIF('Production '!$C$4:$AI$4407,'Tracking Sheet'!B1519,'Production '!$V$4:$V$4407)</f>
        <v>0</v>
      </c>
      <c r="J1519" s="76">
        <f ca="1">SUMIF('Production '!$C$4:$AI$4407,'Tracking Sheet'!B1519,'Production '!$AG$4:$AG$4407)</f>
        <v>-4032</v>
      </c>
    </row>
    <row r="1520" spans="2:10" x14ac:dyDescent="0.3">
      <c r="B1520" s="277">
        <f>'Production '!C1523</f>
        <v>0</v>
      </c>
      <c r="C1520" s="76" t="e">
        <f ca="1">SUMIF('Production '!$C$4:$AI$4407,'Tracking Sheet'!B1520,'Production '!$M$4:$M$4407)</f>
        <v>#DIV/0!</v>
      </c>
      <c r="D1520" s="76" t="e">
        <f ca="1">SUMIF('Production '!$C$4:$AI$4407,'Tracking Sheet'!B1520,'Production '!$Q$4:$Q$4407)</f>
        <v>#DIV/0!</v>
      </c>
      <c r="E1520" s="76">
        <f ca="1">SUMIF('Production '!$C$4:$AI$4407,'Tracking Sheet'!B1520,'Production '!$S$4:$S$4407)</f>
        <v>-1268218.9828305368</v>
      </c>
      <c r="F1520" s="76">
        <f ca="1">SUMIF('Production '!$C$4:$AI$4407,'Tracking Sheet'!B1520,'Production '!$U$4:$U$4407)</f>
        <v>-10620.435600016917</v>
      </c>
      <c r="G1520" s="76" t="e">
        <f ca="1">SUMIF('Production '!$C$4:$AI$4407,'Tracking Sheet'!B1520,'Production '!$W$4:$W$4407)</f>
        <v>#DIV/0!</v>
      </c>
      <c r="H1520" s="76">
        <f ca="1">SUMIF('Production '!$C$4:$AI$4407,'Tracking Sheet'!B1520,'Production '!$F$4:$F$4407)</f>
        <v>3230621.3283604058</v>
      </c>
      <c r="I1520" s="76">
        <f ca="1">SUMIF('Production '!$C$4:$AI$4407,'Tracking Sheet'!B1520,'Production '!$V$4:$V$4407)</f>
        <v>-489.86487791182844</v>
      </c>
      <c r="J1520" s="76">
        <f ca="1">SUMIF('Production '!$C$4:$AI$4407,'Tracking Sheet'!B1520,'Production '!$AG$4:$AG$4407)</f>
        <v>0</v>
      </c>
    </row>
    <row r="1521" spans="2:10" x14ac:dyDescent="0.3">
      <c r="B1521" s="277" t="str">
        <f>'Production '!C1524</f>
        <v>46748 11th</v>
      </c>
      <c r="C1521" s="76">
        <f ca="1">SUMIF('Production '!$C$4:$AI$4407,'Tracking Sheet'!B1521,'Production '!$M$4:$M$4407)</f>
        <v>0</v>
      </c>
      <c r="D1521" s="76">
        <f ca="1">SUMIF('Production '!$C$4:$AI$4407,'Tracking Sheet'!B1521,'Production '!$Q$4:$Q$4407)</f>
        <v>0</v>
      </c>
      <c r="E1521" s="76">
        <f ca="1">SUMIF('Production '!$C$4:$AI$4407,'Tracking Sheet'!B1521,'Production '!$S$4:$S$4407)</f>
        <v>0</v>
      </c>
      <c r="F1521" s="76">
        <f ca="1">SUMIF('Production '!$C$4:$AI$4407,'Tracking Sheet'!B1521,'Production '!$U$4:$U$4407)</f>
        <v>0</v>
      </c>
      <c r="G1521" s="76">
        <f ca="1">SUMIF('Production '!$C$4:$AI$4407,'Tracking Sheet'!B1521,'Production '!$W$4:$W$4407)</f>
        <v>0</v>
      </c>
      <c r="H1521" s="76">
        <f ca="1">SUMIF('Production '!$C$4:$AI$4407,'Tracking Sheet'!B1521,'Production '!$F$4:$F$4407)</f>
        <v>1512</v>
      </c>
      <c r="I1521" s="76">
        <f ca="1">SUMIF('Production '!$C$4:$AI$4407,'Tracking Sheet'!B1521,'Production '!$V$4:$V$4407)</f>
        <v>0</v>
      </c>
      <c r="J1521" s="76">
        <f ca="1">SUMIF('Production '!$C$4:$AI$4407,'Tracking Sheet'!B1521,'Production '!$AG$4:$AG$4407)</f>
        <v>-1512</v>
      </c>
    </row>
    <row r="1522" spans="2:10" x14ac:dyDescent="0.3">
      <c r="B1522" s="277">
        <f>'Production '!C1525</f>
        <v>0</v>
      </c>
      <c r="C1522" s="76" t="e">
        <f ca="1">SUMIF('Production '!$C$4:$AI$4407,'Tracking Sheet'!B1522,'Production '!$M$4:$M$4407)</f>
        <v>#DIV/0!</v>
      </c>
      <c r="D1522" s="76" t="e">
        <f ca="1">SUMIF('Production '!$C$4:$AI$4407,'Tracking Sheet'!B1522,'Production '!$Q$4:$Q$4407)</f>
        <v>#DIV/0!</v>
      </c>
      <c r="E1522" s="76">
        <f ca="1">SUMIF('Production '!$C$4:$AI$4407,'Tracking Sheet'!B1522,'Production '!$S$4:$S$4407)</f>
        <v>-1268218.9828305368</v>
      </c>
      <c r="F1522" s="76">
        <f ca="1">SUMIF('Production '!$C$4:$AI$4407,'Tracking Sheet'!B1522,'Production '!$U$4:$U$4407)</f>
        <v>-10620.435600016917</v>
      </c>
      <c r="G1522" s="76" t="e">
        <f ca="1">SUMIF('Production '!$C$4:$AI$4407,'Tracking Sheet'!B1522,'Production '!$W$4:$W$4407)</f>
        <v>#DIV/0!</v>
      </c>
      <c r="H1522" s="76">
        <f ca="1">SUMIF('Production '!$C$4:$AI$4407,'Tracking Sheet'!B1522,'Production '!$F$4:$F$4407)</f>
        <v>3230621.3283604058</v>
      </c>
      <c r="I1522" s="76">
        <f ca="1">SUMIF('Production '!$C$4:$AI$4407,'Tracking Sheet'!B1522,'Production '!$V$4:$V$4407)</f>
        <v>-489.86487791182844</v>
      </c>
      <c r="J1522" s="76">
        <f ca="1">SUMIF('Production '!$C$4:$AI$4407,'Tracking Sheet'!B1522,'Production '!$AG$4:$AG$4407)</f>
        <v>0</v>
      </c>
    </row>
    <row r="1523" spans="2:10" x14ac:dyDescent="0.3">
      <c r="B1523" s="277" t="str">
        <f>'Production '!C1526</f>
        <v>46748 12th</v>
      </c>
      <c r="C1523" s="76">
        <f ca="1">SUMIF('Production '!$C$4:$AI$4407,'Tracking Sheet'!B1523,'Production '!$M$4:$M$4407)</f>
        <v>20249</v>
      </c>
      <c r="D1523" s="76">
        <f ca="1">SUMIF('Production '!$C$4:$AI$4407,'Tracking Sheet'!B1523,'Production '!$Q$4:$Q$4407)</f>
        <v>20241</v>
      </c>
      <c r="E1523" s="76">
        <f ca="1">SUMIF('Production '!$C$4:$AI$4407,'Tracking Sheet'!B1523,'Production '!$S$4:$S$4407)</f>
        <v>20237</v>
      </c>
      <c r="F1523" s="76">
        <f ca="1">SUMIF('Production '!$C$4:$AI$4407,'Tracking Sheet'!B1523,'Production '!$U$4:$U$4407)</f>
        <v>0</v>
      </c>
      <c r="G1523" s="76">
        <f ca="1">SUMIF('Production '!$C$4:$AI$4407,'Tracking Sheet'!B1523,'Production '!$W$4:$W$4407)</f>
        <v>20237</v>
      </c>
      <c r="H1523" s="76">
        <f ca="1">SUMIF('Production '!$C$4:$AI$4407,'Tracking Sheet'!B1523,'Production '!$F$4:$F$4407)</f>
        <v>19872</v>
      </c>
      <c r="I1523" s="76">
        <f ca="1">SUMIF('Production '!$C$4:$AI$4407,'Tracking Sheet'!B1523,'Production '!$V$4:$V$4407)</f>
        <v>0</v>
      </c>
      <c r="J1523" s="76">
        <f ca="1">SUMIF('Production '!$C$4:$AI$4407,'Tracking Sheet'!B1523,'Production '!$AG$4:$AG$4407)</f>
        <v>0</v>
      </c>
    </row>
    <row r="1524" spans="2:10" x14ac:dyDescent="0.3">
      <c r="B1524" s="277" t="str">
        <f>'Production '!C1527</f>
        <v>46748 12th</v>
      </c>
      <c r="C1524" s="76">
        <f ca="1">SUMIF('Production '!$C$4:$AI$4407,'Tracking Sheet'!B1524,'Production '!$M$4:$M$4407)</f>
        <v>20249</v>
      </c>
      <c r="D1524" s="76">
        <f ca="1">SUMIF('Production '!$C$4:$AI$4407,'Tracking Sheet'!B1524,'Production '!$Q$4:$Q$4407)</f>
        <v>20241</v>
      </c>
      <c r="E1524" s="76">
        <f ca="1">SUMIF('Production '!$C$4:$AI$4407,'Tracking Sheet'!B1524,'Production '!$S$4:$S$4407)</f>
        <v>20237</v>
      </c>
      <c r="F1524" s="76">
        <f ca="1">SUMIF('Production '!$C$4:$AI$4407,'Tracking Sheet'!B1524,'Production '!$U$4:$U$4407)</f>
        <v>0</v>
      </c>
      <c r="G1524" s="76">
        <f ca="1">SUMIF('Production '!$C$4:$AI$4407,'Tracking Sheet'!B1524,'Production '!$W$4:$W$4407)</f>
        <v>20237</v>
      </c>
      <c r="H1524" s="76">
        <f ca="1">SUMIF('Production '!$C$4:$AI$4407,'Tracking Sheet'!B1524,'Production '!$F$4:$F$4407)</f>
        <v>19872</v>
      </c>
      <c r="I1524" s="76">
        <f ca="1">SUMIF('Production '!$C$4:$AI$4407,'Tracking Sheet'!B1524,'Production '!$V$4:$V$4407)</f>
        <v>0</v>
      </c>
      <c r="J1524" s="76">
        <f ca="1">SUMIF('Production '!$C$4:$AI$4407,'Tracking Sheet'!B1524,'Production '!$AG$4:$AG$4407)</f>
        <v>0</v>
      </c>
    </row>
    <row r="1525" spans="2:10" x14ac:dyDescent="0.3">
      <c r="B1525" s="277" t="str">
        <f>'Production '!C1528</f>
        <v>46748 12th</v>
      </c>
      <c r="C1525" s="76">
        <f ca="1">SUMIF('Production '!$C$4:$AI$4407,'Tracking Sheet'!B1525,'Production '!$M$4:$M$4407)</f>
        <v>20249</v>
      </c>
      <c r="D1525" s="76">
        <f ca="1">SUMIF('Production '!$C$4:$AI$4407,'Tracking Sheet'!B1525,'Production '!$Q$4:$Q$4407)</f>
        <v>20241</v>
      </c>
      <c r="E1525" s="76">
        <f ca="1">SUMIF('Production '!$C$4:$AI$4407,'Tracking Sheet'!B1525,'Production '!$S$4:$S$4407)</f>
        <v>20237</v>
      </c>
      <c r="F1525" s="76">
        <f ca="1">SUMIF('Production '!$C$4:$AI$4407,'Tracking Sheet'!B1525,'Production '!$U$4:$U$4407)</f>
        <v>0</v>
      </c>
      <c r="G1525" s="76">
        <f ca="1">SUMIF('Production '!$C$4:$AI$4407,'Tracking Sheet'!B1525,'Production '!$W$4:$W$4407)</f>
        <v>20237</v>
      </c>
      <c r="H1525" s="76">
        <f ca="1">SUMIF('Production '!$C$4:$AI$4407,'Tracking Sheet'!B1525,'Production '!$F$4:$F$4407)</f>
        <v>19872</v>
      </c>
      <c r="I1525" s="76">
        <f ca="1">SUMIF('Production '!$C$4:$AI$4407,'Tracking Sheet'!B1525,'Production '!$V$4:$V$4407)</f>
        <v>0</v>
      </c>
      <c r="J1525" s="76">
        <f ca="1">SUMIF('Production '!$C$4:$AI$4407,'Tracking Sheet'!B1525,'Production '!$AG$4:$AG$4407)</f>
        <v>0</v>
      </c>
    </row>
    <row r="1526" spans="2:10" x14ac:dyDescent="0.3">
      <c r="B1526" s="277">
        <f>'Production '!C1529</f>
        <v>0</v>
      </c>
      <c r="C1526" s="76" t="e">
        <f ca="1">SUMIF('Production '!$C$4:$AI$4407,'Tracking Sheet'!B1526,'Production '!$M$4:$M$4407)</f>
        <v>#DIV/0!</v>
      </c>
      <c r="D1526" s="76" t="e">
        <f ca="1">SUMIF('Production '!$C$4:$AI$4407,'Tracking Sheet'!B1526,'Production '!$Q$4:$Q$4407)</f>
        <v>#DIV/0!</v>
      </c>
      <c r="E1526" s="76">
        <f ca="1">SUMIF('Production '!$C$4:$AI$4407,'Tracking Sheet'!B1526,'Production '!$S$4:$S$4407)</f>
        <v>-1268218.9828305368</v>
      </c>
      <c r="F1526" s="76">
        <f ca="1">SUMIF('Production '!$C$4:$AI$4407,'Tracking Sheet'!B1526,'Production '!$U$4:$U$4407)</f>
        <v>-10620.435600016917</v>
      </c>
      <c r="G1526" s="76" t="e">
        <f ca="1">SUMIF('Production '!$C$4:$AI$4407,'Tracking Sheet'!B1526,'Production '!$W$4:$W$4407)</f>
        <v>#DIV/0!</v>
      </c>
      <c r="H1526" s="76">
        <f ca="1">SUMIF('Production '!$C$4:$AI$4407,'Tracking Sheet'!B1526,'Production '!$F$4:$F$4407)</f>
        <v>3230621.3283604058</v>
      </c>
      <c r="I1526" s="76">
        <f ca="1">SUMIF('Production '!$C$4:$AI$4407,'Tracking Sheet'!B1526,'Production '!$V$4:$V$4407)</f>
        <v>-489.86487791182844</v>
      </c>
      <c r="J1526" s="76">
        <f ca="1">SUMIF('Production '!$C$4:$AI$4407,'Tracking Sheet'!B1526,'Production '!$AG$4:$AG$4407)</f>
        <v>0</v>
      </c>
    </row>
    <row r="1527" spans="2:10" x14ac:dyDescent="0.3">
      <c r="B1527" s="277" t="str">
        <f>'Production '!C1530</f>
        <v>46748 13th</v>
      </c>
      <c r="C1527" s="76">
        <f ca="1">SUMIF('Production '!$C$4:$AI$4407,'Tracking Sheet'!B1527,'Production '!$M$4:$M$4407)</f>
        <v>11426</v>
      </c>
      <c r="D1527" s="76">
        <f ca="1">SUMIF('Production '!$C$4:$AI$4407,'Tracking Sheet'!B1527,'Production '!$Q$4:$Q$4407)</f>
        <v>11426</v>
      </c>
      <c r="E1527" s="76">
        <f ca="1">SUMIF('Production '!$C$4:$AI$4407,'Tracking Sheet'!B1527,'Production '!$S$4:$S$4407)</f>
        <v>11419</v>
      </c>
      <c r="F1527" s="76">
        <f ca="1">SUMIF('Production '!$C$4:$AI$4407,'Tracking Sheet'!B1527,'Production '!$U$4:$U$4407)</f>
        <v>8</v>
      </c>
      <c r="G1527" s="76">
        <f ca="1">SUMIF('Production '!$C$4:$AI$4407,'Tracking Sheet'!B1527,'Production '!$W$4:$W$4407)</f>
        <v>11411</v>
      </c>
      <c r="H1527" s="76">
        <f ca="1">SUMIF('Production '!$C$4:$AI$4407,'Tracking Sheet'!B1527,'Production '!$F$4:$F$4407)</f>
        <v>11232</v>
      </c>
      <c r="I1527" s="76">
        <f ca="1">SUMIF('Production '!$C$4:$AI$4407,'Tracking Sheet'!B1527,'Production '!$V$4:$V$4407)</f>
        <v>0</v>
      </c>
      <c r="J1527" s="76">
        <f ca="1">SUMIF('Production '!$C$4:$AI$4407,'Tracking Sheet'!B1527,'Production '!$AG$4:$AG$4407)</f>
        <v>0</v>
      </c>
    </row>
    <row r="1528" spans="2:10" x14ac:dyDescent="0.3">
      <c r="B1528" s="277" t="str">
        <f>'Production '!C1531</f>
        <v>46748 13th</v>
      </c>
      <c r="C1528" s="76">
        <f ca="1">SUMIF('Production '!$C$4:$AI$4407,'Tracking Sheet'!B1528,'Production '!$M$4:$M$4407)</f>
        <v>11426</v>
      </c>
      <c r="D1528" s="76">
        <f ca="1">SUMIF('Production '!$C$4:$AI$4407,'Tracking Sheet'!B1528,'Production '!$Q$4:$Q$4407)</f>
        <v>11426</v>
      </c>
      <c r="E1528" s="76">
        <f ca="1">SUMIF('Production '!$C$4:$AI$4407,'Tracking Sheet'!B1528,'Production '!$S$4:$S$4407)</f>
        <v>11419</v>
      </c>
      <c r="F1528" s="76">
        <f ca="1">SUMIF('Production '!$C$4:$AI$4407,'Tracking Sheet'!B1528,'Production '!$U$4:$U$4407)</f>
        <v>8</v>
      </c>
      <c r="G1528" s="76">
        <f ca="1">SUMIF('Production '!$C$4:$AI$4407,'Tracking Sheet'!B1528,'Production '!$W$4:$W$4407)</f>
        <v>11411</v>
      </c>
      <c r="H1528" s="76">
        <f ca="1">SUMIF('Production '!$C$4:$AI$4407,'Tracking Sheet'!B1528,'Production '!$F$4:$F$4407)</f>
        <v>11232</v>
      </c>
      <c r="I1528" s="76">
        <f ca="1">SUMIF('Production '!$C$4:$AI$4407,'Tracking Sheet'!B1528,'Production '!$V$4:$V$4407)</f>
        <v>0</v>
      </c>
      <c r="J1528" s="76">
        <f ca="1">SUMIF('Production '!$C$4:$AI$4407,'Tracking Sheet'!B1528,'Production '!$AG$4:$AG$4407)</f>
        <v>0</v>
      </c>
    </row>
    <row r="1529" spans="2:10" x14ac:dyDescent="0.3">
      <c r="B1529" s="277">
        <f>'Production '!C1532</f>
        <v>0</v>
      </c>
      <c r="C1529" s="76" t="e">
        <f ca="1">SUMIF('Production '!$C$4:$AI$4407,'Tracking Sheet'!B1529,'Production '!$M$4:$M$4407)</f>
        <v>#DIV/0!</v>
      </c>
      <c r="D1529" s="76" t="e">
        <f ca="1">SUMIF('Production '!$C$4:$AI$4407,'Tracking Sheet'!B1529,'Production '!$Q$4:$Q$4407)</f>
        <v>#DIV/0!</v>
      </c>
      <c r="E1529" s="76">
        <f ca="1">SUMIF('Production '!$C$4:$AI$4407,'Tracking Sheet'!B1529,'Production '!$S$4:$S$4407)</f>
        <v>-1268218.9828305368</v>
      </c>
      <c r="F1529" s="76">
        <f ca="1">SUMIF('Production '!$C$4:$AI$4407,'Tracking Sheet'!B1529,'Production '!$U$4:$U$4407)</f>
        <v>-10620.435600016917</v>
      </c>
      <c r="G1529" s="76" t="e">
        <f ca="1">SUMIF('Production '!$C$4:$AI$4407,'Tracking Sheet'!B1529,'Production '!$W$4:$W$4407)</f>
        <v>#DIV/0!</v>
      </c>
      <c r="H1529" s="76">
        <f ca="1">SUMIF('Production '!$C$4:$AI$4407,'Tracking Sheet'!B1529,'Production '!$F$4:$F$4407)</f>
        <v>3230621.3283604058</v>
      </c>
      <c r="I1529" s="76">
        <f ca="1">SUMIF('Production '!$C$4:$AI$4407,'Tracking Sheet'!B1529,'Production '!$V$4:$V$4407)</f>
        <v>-489.86487791182844</v>
      </c>
      <c r="J1529" s="76">
        <f ca="1">SUMIF('Production '!$C$4:$AI$4407,'Tracking Sheet'!B1529,'Production '!$AG$4:$AG$4407)</f>
        <v>0</v>
      </c>
    </row>
    <row r="1530" spans="2:10" x14ac:dyDescent="0.3">
      <c r="B1530" s="277" t="str">
        <f>'Production '!C1533</f>
        <v>46748 16th</v>
      </c>
      <c r="C1530" s="76">
        <f ca="1">SUMIF('Production '!$C$4:$AI$4407,'Tracking Sheet'!B1530,'Production '!$M$4:$M$4407)</f>
        <v>0</v>
      </c>
      <c r="D1530" s="76">
        <f ca="1">SUMIF('Production '!$C$4:$AI$4407,'Tracking Sheet'!B1530,'Production '!$Q$4:$Q$4407)</f>
        <v>0</v>
      </c>
      <c r="E1530" s="76">
        <f ca="1">SUMIF('Production '!$C$4:$AI$4407,'Tracking Sheet'!B1530,'Production '!$S$4:$S$4407)</f>
        <v>0</v>
      </c>
      <c r="F1530" s="76">
        <f ca="1">SUMIF('Production '!$C$4:$AI$4407,'Tracking Sheet'!B1530,'Production '!$U$4:$U$4407)</f>
        <v>0</v>
      </c>
      <c r="G1530" s="76">
        <f ca="1">SUMIF('Production '!$C$4:$AI$4407,'Tracking Sheet'!B1530,'Production '!$W$4:$W$4407)</f>
        <v>0</v>
      </c>
      <c r="H1530" s="76">
        <f ca="1">SUMIF('Production '!$C$4:$AI$4407,'Tracking Sheet'!B1530,'Production '!$F$4:$F$4407)</f>
        <v>3024</v>
      </c>
      <c r="I1530" s="76">
        <f ca="1">SUMIF('Production '!$C$4:$AI$4407,'Tracking Sheet'!B1530,'Production '!$V$4:$V$4407)</f>
        <v>0</v>
      </c>
      <c r="J1530" s="76">
        <f ca="1">SUMIF('Production '!$C$4:$AI$4407,'Tracking Sheet'!B1530,'Production '!$AG$4:$AG$4407)</f>
        <v>-3024</v>
      </c>
    </row>
    <row r="1531" spans="2:10" x14ac:dyDescent="0.3">
      <c r="B1531" s="277">
        <f>'Production '!C1534</f>
        <v>0</v>
      </c>
      <c r="C1531" s="76" t="e">
        <f ca="1">SUMIF('Production '!$C$4:$AI$4407,'Tracking Sheet'!B1531,'Production '!$M$4:$M$4407)</f>
        <v>#DIV/0!</v>
      </c>
      <c r="D1531" s="76" t="e">
        <f ca="1">SUMIF('Production '!$C$4:$AI$4407,'Tracking Sheet'!B1531,'Production '!$Q$4:$Q$4407)</f>
        <v>#DIV/0!</v>
      </c>
      <c r="E1531" s="76">
        <f ca="1">SUMIF('Production '!$C$4:$AI$4407,'Tracking Sheet'!B1531,'Production '!$S$4:$S$4407)</f>
        <v>-1268218.9828305368</v>
      </c>
      <c r="F1531" s="76">
        <f ca="1">SUMIF('Production '!$C$4:$AI$4407,'Tracking Sheet'!B1531,'Production '!$U$4:$U$4407)</f>
        <v>-10620.435600016917</v>
      </c>
      <c r="G1531" s="76" t="e">
        <f ca="1">SUMIF('Production '!$C$4:$AI$4407,'Tracking Sheet'!B1531,'Production '!$W$4:$W$4407)</f>
        <v>#DIV/0!</v>
      </c>
      <c r="H1531" s="76">
        <f ca="1">SUMIF('Production '!$C$4:$AI$4407,'Tracking Sheet'!B1531,'Production '!$F$4:$F$4407)</f>
        <v>3230621.3283604058</v>
      </c>
      <c r="I1531" s="76">
        <f ca="1">SUMIF('Production '!$C$4:$AI$4407,'Tracking Sheet'!B1531,'Production '!$V$4:$V$4407)</f>
        <v>-489.86487791182844</v>
      </c>
      <c r="J1531" s="76">
        <f ca="1">SUMIF('Production '!$C$4:$AI$4407,'Tracking Sheet'!B1531,'Production '!$AG$4:$AG$4407)</f>
        <v>0</v>
      </c>
    </row>
    <row r="1532" spans="2:10" x14ac:dyDescent="0.3">
      <c r="B1532" s="277" t="str">
        <f>'Production '!C1535</f>
        <v>46748 14th</v>
      </c>
      <c r="C1532" s="76">
        <f ca="1">SUMIF('Production '!$C$4:$AI$4407,'Tracking Sheet'!B1532,'Production '!$M$4:$M$4407)</f>
        <v>0</v>
      </c>
      <c r="D1532" s="76">
        <f ca="1">SUMIF('Production '!$C$4:$AI$4407,'Tracking Sheet'!B1532,'Production '!$Q$4:$Q$4407)</f>
        <v>0</v>
      </c>
      <c r="E1532" s="76">
        <f ca="1">SUMIF('Production '!$C$4:$AI$4407,'Tracking Sheet'!B1532,'Production '!$S$4:$S$4407)</f>
        <v>0</v>
      </c>
      <c r="F1532" s="76">
        <f ca="1">SUMIF('Production '!$C$4:$AI$4407,'Tracking Sheet'!B1532,'Production '!$U$4:$U$4407)</f>
        <v>0</v>
      </c>
      <c r="G1532" s="76">
        <f ca="1">SUMIF('Production '!$C$4:$AI$4407,'Tracking Sheet'!B1532,'Production '!$W$4:$W$4407)</f>
        <v>0</v>
      </c>
      <c r="H1532" s="76">
        <f ca="1">SUMIF('Production '!$C$4:$AI$4407,'Tracking Sheet'!B1532,'Production '!$F$4:$F$4407)</f>
        <v>5640</v>
      </c>
      <c r="I1532" s="76">
        <f ca="1">SUMIF('Production '!$C$4:$AI$4407,'Tracking Sheet'!B1532,'Production '!$V$4:$V$4407)</f>
        <v>0</v>
      </c>
      <c r="J1532" s="76">
        <f ca="1">SUMIF('Production '!$C$4:$AI$4407,'Tracking Sheet'!B1532,'Production '!$AG$4:$AG$4407)</f>
        <v>-5640</v>
      </c>
    </row>
    <row r="1533" spans="2:10" x14ac:dyDescent="0.3">
      <c r="B1533" s="277" t="str">
        <f>'Production '!C1536</f>
        <v>46748 14th</v>
      </c>
      <c r="C1533" s="76">
        <f ca="1">SUMIF('Production '!$C$4:$AI$4407,'Tracking Sheet'!B1533,'Production '!$M$4:$M$4407)</f>
        <v>0</v>
      </c>
      <c r="D1533" s="76">
        <f ca="1">SUMIF('Production '!$C$4:$AI$4407,'Tracking Sheet'!B1533,'Production '!$Q$4:$Q$4407)</f>
        <v>0</v>
      </c>
      <c r="E1533" s="76">
        <f ca="1">SUMIF('Production '!$C$4:$AI$4407,'Tracking Sheet'!B1533,'Production '!$S$4:$S$4407)</f>
        <v>0</v>
      </c>
      <c r="F1533" s="76">
        <f ca="1">SUMIF('Production '!$C$4:$AI$4407,'Tracking Sheet'!B1533,'Production '!$U$4:$U$4407)</f>
        <v>0</v>
      </c>
      <c r="G1533" s="76">
        <f ca="1">SUMIF('Production '!$C$4:$AI$4407,'Tracking Sheet'!B1533,'Production '!$W$4:$W$4407)</f>
        <v>0</v>
      </c>
      <c r="H1533" s="76">
        <f ca="1">SUMIF('Production '!$C$4:$AI$4407,'Tracking Sheet'!B1533,'Production '!$F$4:$F$4407)</f>
        <v>5640</v>
      </c>
      <c r="I1533" s="76">
        <f ca="1">SUMIF('Production '!$C$4:$AI$4407,'Tracking Sheet'!B1533,'Production '!$V$4:$V$4407)</f>
        <v>0</v>
      </c>
      <c r="J1533" s="76">
        <f ca="1">SUMIF('Production '!$C$4:$AI$4407,'Tracking Sheet'!B1533,'Production '!$AG$4:$AG$4407)</f>
        <v>-5640</v>
      </c>
    </row>
    <row r="1534" spans="2:10" x14ac:dyDescent="0.3">
      <c r="B1534" s="277">
        <f>'Production '!C1537</f>
        <v>0</v>
      </c>
      <c r="C1534" s="76" t="e">
        <f ca="1">SUMIF('Production '!$C$4:$AI$4407,'Tracking Sheet'!B1534,'Production '!$M$4:$M$4407)</f>
        <v>#DIV/0!</v>
      </c>
      <c r="D1534" s="76" t="e">
        <f ca="1">SUMIF('Production '!$C$4:$AI$4407,'Tracking Sheet'!B1534,'Production '!$Q$4:$Q$4407)</f>
        <v>#DIV/0!</v>
      </c>
      <c r="E1534" s="76">
        <f ca="1">SUMIF('Production '!$C$4:$AI$4407,'Tracking Sheet'!B1534,'Production '!$S$4:$S$4407)</f>
        <v>-1268218.9828305368</v>
      </c>
      <c r="F1534" s="76">
        <f ca="1">SUMIF('Production '!$C$4:$AI$4407,'Tracking Sheet'!B1534,'Production '!$U$4:$U$4407)</f>
        <v>-10620.435600016917</v>
      </c>
      <c r="G1534" s="76" t="e">
        <f ca="1">SUMIF('Production '!$C$4:$AI$4407,'Tracking Sheet'!B1534,'Production '!$W$4:$W$4407)</f>
        <v>#DIV/0!</v>
      </c>
      <c r="H1534" s="76">
        <f ca="1">SUMIF('Production '!$C$4:$AI$4407,'Tracking Sheet'!B1534,'Production '!$F$4:$F$4407)</f>
        <v>3230621.3283604058</v>
      </c>
      <c r="I1534" s="76">
        <f ca="1">SUMIF('Production '!$C$4:$AI$4407,'Tracking Sheet'!B1534,'Production '!$V$4:$V$4407)</f>
        <v>-489.86487791182844</v>
      </c>
      <c r="J1534" s="76">
        <f ca="1">SUMIF('Production '!$C$4:$AI$4407,'Tracking Sheet'!B1534,'Production '!$AG$4:$AG$4407)</f>
        <v>0</v>
      </c>
    </row>
    <row r="1535" spans="2:10" x14ac:dyDescent="0.3">
      <c r="B1535" s="277" t="str">
        <f>'Production '!C1538</f>
        <v>46748 15th</v>
      </c>
      <c r="C1535" s="76">
        <f ca="1">SUMIF('Production '!$C$4:$AI$4407,'Tracking Sheet'!B1535,'Production '!$M$4:$M$4407)</f>
        <v>0</v>
      </c>
      <c r="D1535" s="76">
        <f ca="1">SUMIF('Production '!$C$4:$AI$4407,'Tracking Sheet'!B1535,'Production '!$Q$4:$Q$4407)</f>
        <v>0</v>
      </c>
      <c r="E1535" s="76">
        <f ca="1">SUMIF('Production '!$C$4:$AI$4407,'Tracking Sheet'!B1535,'Production '!$S$4:$S$4407)</f>
        <v>0</v>
      </c>
      <c r="F1535" s="76">
        <f ca="1">SUMIF('Production '!$C$4:$AI$4407,'Tracking Sheet'!B1535,'Production '!$U$4:$U$4407)</f>
        <v>0</v>
      </c>
      <c r="G1535" s="76">
        <f ca="1">SUMIF('Production '!$C$4:$AI$4407,'Tracking Sheet'!B1535,'Production '!$W$4:$W$4407)</f>
        <v>0</v>
      </c>
      <c r="H1535" s="76">
        <f ca="1">SUMIF('Production '!$C$4:$AI$4407,'Tracking Sheet'!B1535,'Production '!$F$4:$F$4407)</f>
        <v>7128</v>
      </c>
      <c r="I1535" s="76">
        <f ca="1">SUMIF('Production '!$C$4:$AI$4407,'Tracking Sheet'!B1535,'Production '!$V$4:$V$4407)</f>
        <v>0</v>
      </c>
      <c r="J1535" s="76">
        <f ca="1">SUMIF('Production '!$C$4:$AI$4407,'Tracking Sheet'!B1535,'Production '!$AG$4:$AG$4407)</f>
        <v>-7128</v>
      </c>
    </row>
    <row r="1536" spans="2:10" x14ac:dyDescent="0.3">
      <c r="B1536" s="277" t="str">
        <f>'Production '!C1539</f>
        <v>46748 15th</v>
      </c>
      <c r="C1536" s="76">
        <f ca="1">SUMIF('Production '!$C$4:$AI$4407,'Tracking Sheet'!B1536,'Production '!$M$4:$M$4407)</f>
        <v>0</v>
      </c>
      <c r="D1536" s="76">
        <f ca="1">SUMIF('Production '!$C$4:$AI$4407,'Tracking Sheet'!B1536,'Production '!$Q$4:$Q$4407)</f>
        <v>0</v>
      </c>
      <c r="E1536" s="76">
        <f ca="1">SUMIF('Production '!$C$4:$AI$4407,'Tracking Sheet'!B1536,'Production '!$S$4:$S$4407)</f>
        <v>0</v>
      </c>
      <c r="F1536" s="76">
        <f ca="1">SUMIF('Production '!$C$4:$AI$4407,'Tracking Sheet'!B1536,'Production '!$U$4:$U$4407)</f>
        <v>0</v>
      </c>
      <c r="G1536" s="76">
        <f ca="1">SUMIF('Production '!$C$4:$AI$4407,'Tracking Sheet'!B1536,'Production '!$W$4:$W$4407)</f>
        <v>0</v>
      </c>
      <c r="H1536" s="76">
        <f ca="1">SUMIF('Production '!$C$4:$AI$4407,'Tracking Sheet'!B1536,'Production '!$F$4:$F$4407)</f>
        <v>7128</v>
      </c>
      <c r="I1536" s="76">
        <f ca="1">SUMIF('Production '!$C$4:$AI$4407,'Tracking Sheet'!B1536,'Production '!$V$4:$V$4407)</f>
        <v>0</v>
      </c>
      <c r="J1536" s="76">
        <f ca="1">SUMIF('Production '!$C$4:$AI$4407,'Tracking Sheet'!B1536,'Production '!$AG$4:$AG$4407)</f>
        <v>-7128</v>
      </c>
    </row>
    <row r="1537" spans="2:10" x14ac:dyDescent="0.3">
      <c r="B1537" s="277">
        <f>'Production '!C1540</f>
        <v>0</v>
      </c>
      <c r="C1537" s="76" t="e">
        <f ca="1">SUMIF('Production '!$C$4:$AI$4407,'Tracking Sheet'!B1537,'Production '!$M$4:$M$4407)</f>
        <v>#DIV/0!</v>
      </c>
      <c r="D1537" s="76" t="e">
        <f ca="1">SUMIF('Production '!$C$4:$AI$4407,'Tracking Sheet'!B1537,'Production '!$Q$4:$Q$4407)</f>
        <v>#DIV/0!</v>
      </c>
      <c r="E1537" s="76">
        <f ca="1">SUMIF('Production '!$C$4:$AI$4407,'Tracking Sheet'!B1537,'Production '!$S$4:$S$4407)</f>
        <v>-1268218.9828305368</v>
      </c>
      <c r="F1537" s="76">
        <f ca="1">SUMIF('Production '!$C$4:$AI$4407,'Tracking Sheet'!B1537,'Production '!$U$4:$U$4407)</f>
        <v>-10620.435600016917</v>
      </c>
      <c r="G1537" s="76" t="e">
        <f ca="1">SUMIF('Production '!$C$4:$AI$4407,'Tracking Sheet'!B1537,'Production '!$W$4:$W$4407)</f>
        <v>#DIV/0!</v>
      </c>
      <c r="H1537" s="76">
        <f ca="1">SUMIF('Production '!$C$4:$AI$4407,'Tracking Sheet'!B1537,'Production '!$F$4:$F$4407)</f>
        <v>3230621.3283604058</v>
      </c>
      <c r="I1537" s="76">
        <f ca="1">SUMIF('Production '!$C$4:$AI$4407,'Tracking Sheet'!B1537,'Production '!$V$4:$V$4407)</f>
        <v>-489.86487791182844</v>
      </c>
      <c r="J1537" s="76">
        <f ca="1">SUMIF('Production '!$C$4:$AI$4407,'Tracking Sheet'!B1537,'Production '!$AG$4:$AG$4407)</f>
        <v>0</v>
      </c>
    </row>
    <row r="1538" spans="2:10" x14ac:dyDescent="0.3">
      <c r="B1538" s="277" t="str">
        <f>'Production '!C1541</f>
        <v>46322 2nd</v>
      </c>
      <c r="C1538" s="76">
        <f ca="1">SUMIF('Production '!$C$4:$AI$4407,'Tracking Sheet'!B1538,'Production '!$M$4:$M$4407)</f>
        <v>0</v>
      </c>
      <c r="D1538" s="76">
        <f ca="1">SUMIF('Production '!$C$4:$AI$4407,'Tracking Sheet'!B1538,'Production '!$Q$4:$Q$4407)</f>
        <v>0</v>
      </c>
      <c r="E1538" s="76">
        <f ca="1">SUMIF('Production '!$C$4:$AI$4407,'Tracking Sheet'!B1538,'Production '!$S$4:$S$4407)</f>
        <v>0</v>
      </c>
      <c r="F1538" s="76">
        <f ca="1">SUMIF('Production '!$C$4:$AI$4407,'Tracking Sheet'!B1538,'Production '!$U$4:$U$4407)</f>
        <v>0</v>
      </c>
      <c r="G1538" s="76">
        <f ca="1">SUMIF('Production '!$C$4:$AI$4407,'Tracking Sheet'!B1538,'Production '!$W$4:$W$4407)</f>
        <v>0</v>
      </c>
      <c r="H1538" s="76">
        <f ca="1">SUMIF('Production '!$C$4:$AI$4407,'Tracking Sheet'!B1538,'Production '!$F$4:$F$4407)</f>
        <v>840</v>
      </c>
      <c r="I1538" s="76">
        <f ca="1">SUMIF('Production '!$C$4:$AI$4407,'Tracking Sheet'!B1538,'Production '!$V$4:$V$4407)</f>
        <v>0</v>
      </c>
      <c r="J1538" s="76">
        <f ca="1">SUMIF('Production '!$C$4:$AI$4407,'Tracking Sheet'!B1538,'Production '!$AG$4:$AG$4407)</f>
        <v>-840</v>
      </c>
    </row>
    <row r="1539" spans="2:10" x14ac:dyDescent="0.3">
      <c r="B1539" s="277" t="str">
        <f>'Production '!C1542</f>
        <v>46322 2nd</v>
      </c>
      <c r="C1539" s="76">
        <f ca="1">SUMIF('Production '!$C$4:$AI$4407,'Tracking Sheet'!B1539,'Production '!$M$4:$M$4407)</f>
        <v>0</v>
      </c>
      <c r="D1539" s="76">
        <f ca="1">SUMIF('Production '!$C$4:$AI$4407,'Tracking Sheet'!B1539,'Production '!$Q$4:$Q$4407)</f>
        <v>0</v>
      </c>
      <c r="E1539" s="76">
        <f ca="1">SUMIF('Production '!$C$4:$AI$4407,'Tracking Sheet'!B1539,'Production '!$S$4:$S$4407)</f>
        <v>0</v>
      </c>
      <c r="F1539" s="76">
        <f ca="1">SUMIF('Production '!$C$4:$AI$4407,'Tracking Sheet'!B1539,'Production '!$U$4:$U$4407)</f>
        <v>0</v>
      </c>
      <c r="G1539" s="76">
        <f ca="1">SUMIF('Production '!$C$4:$AI$4407,'Tracking Sheet'!B1539,'Production '!$W$4:$W$4407)</f>
        <v>0</v>
      </c>
      <c r="H1539" s="76">
        <f ca="1">SUMIF('Production '!$C$4:$AI$4407,'Tracking Sheet'!B1539,'Production '!$F$4:$F$4407)</f>
        <v>840</v>
      </c>
      <c r="I1539" s="76">
        <f ca="1">SUMIF('Production '!$C$4:$AI$4407,'Tracking Sheet'!B1539,'Production '!$V$4:$V$4407)</f>
        <v>0</v>
      </c>
      <c r="J1539" s="76">
        <f ca="1">SUMIF('Production '!$C$4:$AI$4407,'Tracking Sheet'!B1539,'Production '!$AG$4:$AG$4407)</f>
        <v>-840</v>
      </c>
    </row>
    <row r="1540" spans="2:10" x14ac:dyDescent="0.3">
      <c r="B1540" s="277">
        <f>'Production '!C1543</f>
        <v>0</v>
      </c>
      <c r="C1540" s="76" t="e">
        <f ca="1">SUMIF('Production '!$C$4:$AI$4407,'Tracking Sheet'!B1540,'Production '!$M$4:$M$4407)</f>
        <v>#DIV/0!</v>
      </c>
      <c r="D1540" s="76" t="e">
        <f ca="1">SUMIF('Production '!$C$4:$AI$4407,'Tracking Sheet'!B1540,'Production '!$Q$4:$Q$4407)</f>
        <v>#DIV/0!</v>
      </c>
      <c r="E1540" s="76">
        <f ca="1">SUMIF('Production '!$C$4:$AI$4407,'Tracking Sheet'!B1540,'Production '!$S$4:$S$4407)</f>
        <v>-1268218.9828305368</v>
      </c>
      <c r="F1540" s="76">
        <f ca="1">SUMIF('Production '!$C$4:$AI$4407,'Tracking Sheet'!B1540,'Production '!$U$4:$U$4407)</f>
        <v>-10620.435600016917</v>
      </c>
      <c r="G1540" s="76" t="e">
        <f ca="1">SUMIF('Production '!$C$4:$AI$4407,'Tracking Sheet'!B1540,'Production '!$W$4:$W$4407)</f>
        <v>#DIV/0!</v>
      </c>
      <c r="H1540" s="76">
        <f ca="1">SUMIF('Production '!$C$4:$AI$4407,'Tracking Sheet'!B1540,'Production '!$F$4:$F$4407)</f>
        <v>3230621.3283604058</v>
      </c>
      <c r="I1540" s="76">
        <f ca="1">SUMIF('Production '!$C$4:$AI$4407,'Tracking Sheet'!B1540,'Production '!$V$4:$V$4407)</f>
        <v>-489.86487791182844</v>
      </c>
      <c r="J1540" s="76">
        <f ca="1">SUMIF('Production '!$C$4:$AI$4407,'Tracking Sheet'!B1540,'Production '!$AG$4:$AG$4407)</f>
        <v>0</v>
      </c>
    </row>
    <row r="1541" spans="2:10" x14ac:dyDescent="0.3">
      <c r="B1541" s="277">
        <f>'Production '!C1544</f>
        <v>47889</v>
      </c>
      <c r="C1541" s="76">
        <f ca="1">SUMIF('Production '!$C$4:$AI$4407,'Tracking Sheet'!B1541,'Production '!$M$4:$M$4407)</f>
        <v>5062</v>
      </c>
      <c r="D1541" s="76">
        <f ca="1">SUMIF('Production '!$C$4:$AI$4407,'Tracking Sheet'!B1541,'Production '!$Q$4:$Q$4407)</f>
        <v>5050</v>
      </c>
      <c r="E1541" s="76">
        <f ca="1">SUMIF('Production '!$C$4:$AI$4407,'Tracking Sheet'!B1541,'Production '!$S$4:$S$4407)</f>
        <v>5045</v>
      </c>
      <c r="F1541" s="76">
        <f ca="1">SUMIF('Production '!$C$4:$AI$4407,'Tracking Sheet'!B1541,'Production '!$U$4:$U$4407)</f>
        <v>522</v>
      </c>
      <c r="G1541" s="76">
        <f ca="1">SUMIF('Production '!$C$4:$AI$4407,'Tracking Sheet'!B1541,'Production '!$W$4:$W$4407)</f>
        <v>4523</v>
      </c>
      <c r="H1541" s="76">
        <f ca="1">SUMIF('Production '!$C$4:$AI$4407,'Tracking Sheet'!B1541,'Production '!$F$4:$F$4407)</f>
        <v>4935</v>
      </c>
      <c r="I1541" s="76">
        <f ca="1">SUMIF('Production '!$C$4:$AI$4407,'Tracking Sheet'!B1541,'Production '!$V$4:$V$4407)</f>
        <v>0</v>
      </c>
      <c r="J1541" s="76">
        <f ca="1">SUMIF('Production '!$C$4:$AI$4407,'Tracking Sheet'!B1541,'Production '!$AG$4:$AG$4407)</f>
        <v>0</v>
      </c>
    </row>
    <row r="1542" spans="2:10" x14ac:dyDescent="0.3">
      <c r="B1542" s="277">
        <f>'Production '!C1545</f>
        <v>47889</v>
      </c>
      <c r="C1542" s="76">
        <f ca="1">SUMIF('Production '!$C$4:$AI$4407,'Tracking Sheet'!B1542,'Production '!$M$4:$M$4407)</f>
        <v>5062</v>
      </c>
      <c r="D1542" s="76">
        <f ca="1">SUMIF('Production '!$C$4:$AI$4407,'Tracking Sheet'!B1542,'Production '!$Q$4:$Q$4407)</f>
        <v>5050</v>
      </c>
      <c r="E1542" s="76">
        <f ca="1">SUMIF('Production '!$C$4:$AI$4407,'Tracking Sheet'!B1542,'Production '!$S$4:$S$4407)</f>
        <v>5045</v>
      </c>
      <c r="F1542" s="76">
        <f ca="1">SUMIF('Production '!$C$4:$AI$4407,'Tracking Sheet'!B1542,'Production '!$U$4:$U$4407)</f>
        <v>522</v>
      </c>
      <c r="G1542" s="76">
        <f ca="1">SUMIF('Production '!$C$4:$AI$4407,'Tracking Sheet'!B1542,'Production '!$W$4:$W$4407)</f>
        <v>4523</v>
      </c>
      <c r="H1542" s="76">
        <f ca="1">SUMIF('Production '!$C$4:$AI$4407,'Tracking Sheet'!B1542,'Production '!$F$4:$F$4407)</f>
        <v>4935</v>
      </c>
      <c r="I1542" s="76">
        <f ca="1">SUMIF('Production '!$C$4:$AI$4407,'Tracking Sheet'!B1542,'Production '!$V$4:$V$4407)</f>
        <v>0</v>
      </c>
      <c r="J1542" s="76">
        <f ca="1">SUMIF('Production '!$C$4:$AI$4407,'Tracking Sheet'!B1542,'Production '!$AG$4:$AG$4407)</f>
        <v>0</v>
      </c>
    </row>
    <row r="1543" spans="2:10" x14ac:dyDescent="0.3">
      <c r="B1543" s="277">
        <f>'Production '!C1546</f>
        <v>0</v>
      </c>
      <c r="C1543" s="76" t="e">
        <f ca="1">SUMIF('Production '!$C$4:$AI$4407,'Tracking Sheet'!B1543,'Production '!$M$4:$M$4407)</f>
        <v>#DIV/0!</v>
      </c>
      <c r="D1543" s="76" t="e">
        <f ca="1">SUMIF('Production '!$C$4:$AI$4407,'Tracking Sheet'!B1543,'Production '!$Q$4:$Q$4407)</f>
        <v>#DIV/0!</v>
      </c>
      <c r="E1543" s="76">
        <f ca="1">SUMIF('Production '!$C$4:$AI$4407,'Tracking Sheet'!B1543,'Production '!$S$4:$S$4407)</f>
        <v>-1268218.9828305368</v>
      </c>
      <c r="F1543" s="76">
        <f ca="1">SUMIF('Production '!$C$4:$AI$4407,'Tracking Sheet'!B1543,'Production '!$U$4:$U$4407)</f>
        <v>-10620.435600016917</v>
      </c>
      <c r="G1543" s="76" t="e">
        <f ca="1">SUMIF('Production '!$C$4:$AI$4407,'Tracking Sheet'!B1543,'Production '!$W$4:$W$4407)</f>
        <v>#DIV/0!</v>
      </c>
      <c r="H1543" s="76">
        <f ca="1">SUMIF('Production '!$C$4:$AI$4407,'Tracking Sheet'!B1543,'Production '!$F$4:$F$4407)</f>
        <v>3230621.3283604058</v>
      </c>
      <c r="I1543" s="76">
        <f ca="1">SUMIF('Production '!$C$4:$AI$4407,'Tracking Sheet'!B1543,'Production '!$V$4:$V$4407)</f>
        <v>-489.86487791182844</v>
      </c>
      <c r="J1543" s="76">
        <f ca="1">SUMIF('Production '!$C$4:$AI$4407,'Tracking Sheet'!B1543,'Production '!$AG$4:$AG$4407)</f>
        <v>0</v>
      </c>
    </row>
    <row r="1544" spans="2:10" x14ac:dyDescent="0.3">
      <c r="B1544" s="277">
        <f>'Production '!C1547</f>
        <v>47890</v>
      </c>
      <c r="C1544" s="76">
        <f ca="1">SUMIF('Production '!$C$4:$AI$4407,'Tracking Sheet'!B1544,'Production '!$M$4:$M$4407)</f>
        <v>2002</v>
      </c>
      <c r="D1544" s="76">
        <f ca="1">SUMIF('Production '!$C$4:$AI$4407,'Tracking Sheet'!B1544,'Production '!$Q$4:$Q$4407)</f>
        <v>1970</v>
      </c>
      <c r="E1544" s="76">
        <f ca="1">SUMIF('Production '!$C$4:$AI$4407,'Tracking Sheet'!B1544,'Production '!$S$4:$S$4407)</f>
        <v>1969</v>
      </c>
      <c r="F1544" s="76">
        <f ca="1">SUMIF('Production '!$C$4:$AI$4407,'Tracking Sheet'!B1544,'Production '!$U$4:$U$4407)</f>
        <v>0</v>
      </c>
      <c r="G1544" s="76">
        <f ca="1">SUMIF('Production '!$C$4:$AI$4407,'Tracking Sheet'!B1544,'Production '!$W$4:$W$4407)</f>
        <v>1969</v>
      </c>
      <c r="H1544" s="76">
        <f ca="1">SUMIF('Production '!$C$4:$AI$4407,'Tracking Sheet'!B1544,'Production '!$F$4:$F$4407)</f>
        <v>2181</v>
      </c>
      <c r="I1544" s="76">
        <f ca="1">SUMIF('Production '!$C$4:$AI$4407,'Tracking Sheet'!B1544,'Production '!$V$4:$V$4407)</f>
        <v>0</v>
      </c>
      <c r="J1544" s="76">
        <f ca="1">SUMIF('Production '!$C$4:$AI$4407,'Tracking Sheet'!B1544,'Production '!$AG$4:$AG$4407)</f>
        <v>-228</v>
      </c>
    </row>
    <row r="1545" spans="2:10" x14ac:dyDescent="0.3">
      <c r="B1545" s="277">
        <f>'Production '!C1548</f>
        <v>47890</v>
      </c>
      <c r="C1545" s="76">
        <f ca="1">SUMIF('Production '!$C$4:$AI$4407,'Tracking Sheet'!B1545,'Production '!$M$4:$M$4407)</f>
        <v>2002</v>
      </c>
      <c r="D1545" s="76">
        <f ca="1">SUMIF('Production '!$C$4:$AI$4407,'Tracking Sheet'!B1545,'Production '!$Q$4:$Q$4407)</f>
        <v>1970</v>
      </c>
      <c r="E1545" s="76">
        <f ca="1">SUMIF('Production '!$C$4:$AI$4407,'Tracking Sheet'!B1545,'Production '!$S$4:$S$4407)</f>
        <v>1969</v>
      </c>
      <c r="F1545" s="76">
        <f ca="1">SUMIF('Production '!$C$4:$AI$4407,'Tracking Sheet'!B1545,'Production '!$U$4:$U$4407)</f>
        <v>0</v>
      </c>
      <c r="G1545" s="76">
        <f ca="1">SUMIF('Production '!$C$4:$AI$4407,'Tracking Sheet'!B1545,'Production '!$W$4:$W$4407)</f>
        <v>1969</v>
      </c>
      <c r="H1545" s="76">
        <f ca="1">SUMIF('Production '!$C$4:$AI$4407,'Tracking Sheet'!B1545,'Production '!$F$4:$F$4407)</f>
        <v>2181</v>
      </c>
      <c r="I1545" s="76">
        <f ca="1">SUMIF('Production '!$C$4:$AI$4407,'Tracking Sheet'!B1545,'Production '!$V$4:$V$4407)</f>
        <v>0</v>
      </c>
      <c r="J1545" s="76">
        <f ca="1">SUMIF('Production '!$C$4:$AI$4407,'Tracking Sheet'!B1545,'Production '!$AG$4:$AG$4407)</f>
        <v>-228</v>
      </c>
    </row>
    <row r="1546" spans="2:10" x14ac:dyDescent="0.3">
      <c r="B1546" s="277">
        <f>'Production '!C1549</f>
        <v>0</v>
      </c>
      <c r="C1546" s="76" t="e">
        <f ca="1">SUMIF('Production '!$C$4:$AI$4407,'Tracking Sheet'!B1546,'Production '!$M$4:$M$4407)</f>
        <v>#DIV/0!</v>
      </c>
      <c r="D1546" s="76" t="e">
        <f ca="1">SUMIF('Production '!$C$4:$AI$4407,'Tracking Sheet'!B1546,'Production '!$Q$4:$Q$4407)</f>
        <v>#DIV/0!</v>
      </c>
      <c r="E1546" s="76">
        <f ca="1">SUMIF('Production '!$C$4:$AI$4407,'Tracking Sheet'!B1546,'Production '!$S$4:$S$4407)</f>
        <v>-1268218.9828305368</v>
      </c>
      <c r="F1546" s="76">
        <f ca="1">SUMIF('Production '!$C$4:$AI$4407,'Tracking Sheet'!B1546,'Production '!$U$4:$U$4407)</f>
        <v>-10620.435600016917</v>
      </c>
      <c r="G1546" s="76" t="e">
        <f ca="1">SUMIF('Production '!$C$4:$AI$4407,'Tracking Sheet'!B1546,'Production '!$W$4:$W$4407)</f>
        <v>#DIV/0!</v>
      </c>
      <c r="H1546" s="76">
        <f ca="1">SUMIF('Production '!$C$4:$AI$4407,'Tracking Sheet'!B1546,'Production '!$F$4:$F$4407)</f>
        <v>3230621.3283604058</v>
      </c>
      <c r="I1546" s="76">
        <f ca="1">SUMIF('Production '!$C$4:$AI$4407,'Tracking Sheet'!B1546,'Production '!$V$4:$V$4407)</f>
        <v>-489.86487791182844</v>
      </c>
      <c r="J1546" s="76">
        <f ca="1">SUMIF('Production '!$C$4:$AI$4407,'Tracking Sheet'!B1546,'Production '!$AG$4:$AG$4407)</f>
        <v>0</v>
      </c>
    </row>
    <row r="1547" spans="2:10" x14ac:dyDescent="0.3">
      <c r="B1547" s="277" t="str">
        <f>'Production '!C1550</f>
        <v>46236 2nd</v>
      </c>
      <c r="C1547" s="76">
        <f ca="1">SUMIF('Production '!$C$4:$AI$4407,'Tracking Sheet'!B1547,'Production '!$M$4:$M$4407)</f>
        <v>0</v>
      </c>
      <c r="D1547" s="76">
        <f ca="1">SUMIF('Production '!$C$4:$AI$4407,'Tracking Sheet'!B1547,'Production '!$Q$4:$Q$4407)</f>
        <v>0</v>
      </c>
      <c r="E1547" s="76">
        <f ca="1">SUMIF('Production '!$C$4:$AI$4407,'Tracking Sheet'!B1547,'Production '!$S$4:$S$4407)</f>
        <v>0</v>
      </c>
      <c r="F1547" s="76">
        <f ca="1">SUMIF('Production '!$C$4:$AI$4407,'Tracking Sheet'!B1547,'Production '!$U$4:$U$4407)</f>
        <v>0</v>
      </c>
      <c r="G1547" s="76">
        <f ca="1">SUMIF('Production '!$C$4:$AI$4407,'Tracking Sheet'!B1547,'Production '!$W$4:$W$4407)</f>
        <v>0</v>
      </c>
      <c r="H1547" s="76">
        <f ca="1">SUMIF('Production '!$C$4:$AI$4407,'Tracking Sheet'!B1547,'Production '!$F$4:$F$4407)</f>
        <v>1480</v>
      </c>
      <c r="I1547" s="76">
        <f ca="1">SUMIF('Production '!$C$4:$AI$4407,'Tracking Sheet'!B1547,'Production '!$V$4:$V$4407)</f>
        <v>0</v>
      </c>
      <c r="J1547" s="76">
        <f ca="1">SUMIF('Production '!$C$4:$AI$4407,'Tracking Sheet'!B1547,'Production '!$AG$4:$AG$4407)</f>
        <v>-1480</v>
      </c>
    </row>
    <row r="1548" spans="2:10" x14ac:dyDescent="0.3">
      <c r="B1548" s="277" t="str">
        <f>'Production '!C1551</f>
        <v>46236 2nd</v>
      </c>
      <c r="C1548" s="76">
        <f ca="1">SUMIF('Production '!$C$4:$AI$4407,'Tracking Sheet'!B1548,'Production '!$M$4:$M$4407)</f>
        <v>0</v>
      </c>
      <c r="D1548" s="76">
        <f ca="1">SUMIF('Production '!$C$4:$AI$4407,'Tracking Sheet'!B1548,'Production '!$Q$4:$Q$4407)</f>
        <v>0</v>
      </c>
      <c r="E1548" s="76">
        <f ca="1">SUMIF('Production '!$C$4:$AI$4407,'Tracking Sheet'!B1548,'Production '!$S$4:$S$4407)</f>
        <v>0</v>
      </c>
      <c r="F1548" s="76">
        <f ca="1">SUMIF('Production '!$C$4:$AI$4407,'Tracking Sheet'!B1548,'Production '!$U$4:$U$4407)</f>
        <v>0</v>
      </c>
      <c r="G1548" s="76">
        <f ca="1">SUMIF('Production '!$C$4:$AI$4407,'Tracking Sheet'!B1548,'Production '!$W$4:$W$4407)</f>
        <v>0</v>
      </c>
      <c r="H1548" s="76">
        <f ca="1">SUMIF('Production '!$C$4:$AI$4407,'Tracking Sheet'!B1548,'Production '!$F$4:$F$4407)</f>
        <v>1480</v>
      </c>
      <c r="I1548" s="76">
        <f ca="1">SUMIF('Production '!$C$4:$AI$4407,'Tracking Sheet'!B1548,'Production '!$V$4:$V$4407)</f>
        <v>0</v>
      </c>
      <c r="J1548" s="76">
        <f ca="1">SUMIF('Production '!$C$4:$AI$4407,'Tracking Sheet'!B1548,'Production '!$AG$4:$AG$4407)</f>
        <v>-1480</v>
      </c>
    </row>
    <row r="1549" spans="2:10" x14ac:dyDescent="0.3">
      <c r="B1549" s="277">
        <f>'Production '!C1552</f>
        <v>0</v>
      </c>
      <c r="C1549" s="76" t="e">
        <f ca="1">SUMIF('Production '!$C$4:$AI$4407,'Tracking Sheet'!B1549,'Production '!$M$4:$M$4407)</f>
        <v>#DIV/0!</v>
      </c>
      <c r="D1549" s="76" t="e">
        <f ca="1">SUMIF('Production '!$C$4:$AI$4407,'Tracking Sheet'!B1549,'Production '!$Q$4:$Q$4407)</f>
        <v>#DIV/0!</v>
      </c>
      <c r="E1549" s="76">
        <f ca="1">SUMIF('Production '!$C$4:$AI$4407,'Tracking Sheet'!B1549,'Production '!$S$4:$S$4407)</f>
        <v>-1268218.9828305368</v>
      </c>
      <c r="F1549" s="76">
        <f ca="1">SUMIF('Production '!$C$4:$AI$4407,'Tracking Sheet'!B1549,'Production '!$U$4:$U$4407)</f>
        <v>-10620.435600016917</v>
      </c>
      <c r="G1549" s="76" t="e">
        <f ca="1">SUMIF('Production '!$C$4:$AI$4407,'Tracking Sheet'!B1549,'Production '!$W$4:$W$4407)</f>
        <v>#DIV/0!</v>
      </c>
      <c r="H1549" s="76">
        <f ca="1">SUMIF('Production '!$C$4:$AI$4407,'Tracking Sheet'!B1549,'Production '!$F$4:$F$4407)</f>
        <v>3230621.3283604058</v>
      </c>
      <c r="I1549" s="76">
        <f ca="1">SUMIF('Production '!$C$4:$AI$4407,'Tracking Sheet'!B1549,'Production '!$V$4:$V$4407)</f>
        <v>-489.86487791182844</v>
      </c>
      <c r="J1549" s="76">
        <f ca="1">SUMIF('Production '!$C$4:$AI$4407,'Tracking Sheet'!B1549,'Production '!$AG$4:$AG$4407)</f>
        <v>0</v>
      </c>
    </row>
    <row r="1550" spans="2:10" x14ac:dyDescent="0.3">
      <c r="B1550" s="277">
        <f>'Production '!C1553</f>
        <v>48168</v>
      </c>
      <c r="C1550" s="76">
        <f ca="1">SUMIF('Production '!$C$4:$AI$4407,'Tracking Sheet'!B1550,'Production '!$M$4:$M$4407)</f>
        <v>6600</v>
      </c>
      <c r="D1550" s="76">
        <f ca="1">SUMIF('Production '!$C$4:$AI$4407,'Tracking Sheet'!B1550,'Production '!$Q$4:$Q$4407)</f>
        <v>6600</v>
      </c>
      <c r="E1550" s="76">
        <f ca="1">SUMIF('Production '!$C$4:$AI$4407,'Tracking Sheet'!B1550,'Production '!$S$4:$S$4407)</f>
        <v>6600</v>
      </c>
      <c r="F1550" s="76">
        <f ca="1">SUMIF('Production '!$C$4:$AI$4407,'Tracking Sheet'!B1550,'Production '!$U$4:$U$4407)</f>
        <v>6600</v>
      </c>
      <c r="G1550" s="76">
        <f ca="1">SUMIF('Production '!$C$4:$AI$4407,'Tracking Sheet'!B1550,'Production '!$W$4:$W$4407)</f>
        <v>0</v>
      </c>
      <c r="H1550" s="76">
        <f ca="1">SUMIF('Production '!$C$4:$AI$4407,'Tracking Sheet'!B1550,'Production '!$F$4:$F$4407)</f>
        <v>13245</v>
      </c>
      <c r="I1550" s="76">
        <f ca="1">SUMIF('Production '!$C$4:$AI$4407,'Tracking Sheet'!B1550,'Production '!$V$4:$V$4407)</f>
        <v>0</v>
      </c>
      <c r="J1550" s="76">
        <f ca="1">SUMIF('Production '!$C$4:$AI$4407,'Tracking Sheet'!B1550,'Production '!$AG$4:$AG$4407)</f>
        <v>-6645</v>
      </c>
    </row>
    <row r="1551" spans="2:10" x14ac:dyDescent="0.3">
      <c r="B1551" s="277">
        <f>'Production '!C1554</f>
        <v>48168</v>
      </c>
      <c r="C1551" s="76">
        <f ca="1">SUMIF('Production '!$C$4:$AI$4407,'Tracking Sheet'!B1551,'Production '!$M$4:$M$4407)</f>
        <v>6600</v>
      </c>
      <c r="D1551" s="76">
        <f ca="1">SUMIF('Production '!$C$4:$AI$4407,'Tracking Sheet'!B1551,'Production '!$Q$4:$Q$4407)</f>
        <v>6600</v>
      </c>
      <c r="E1551" s="76">
        <f ca="1">SUMIF('Production '!$C$4:$AI$4407,'Tracking Sheet'!B1551,'Production '!$S$4:$S$4407)</f>
        <v>6600</v>
      </c>
      <c r="F1551" s="76">
        <f ca="1">SUMIF('Production '!$C$4:$AI$4407,'Tracking Sheet'!B1551,'Production '!$U$4:$U$4407)</f>
        <v>6600</v>
      </c>
      <c r="G1551" s="76">
        <f ca="1">SUMIF('Production '!$C$4:$AI$4407,'Tracking Sheet'!B1551,'Production '!$W$4:$W$4407)</f>
        <v>0</v>
      </c>
      <c r="H1551" s="76">
        <f ca="1">SUMIF('Production '!$C$4:$AI$4407,'Tracking Sheet'!B1551,'Production '!$F$4:$F$4407)</f>
        <v>13245</v>
      </c>
      <c r="I1551" s="76">
        <f ca="1">SUMIF('Production '!$C$4:$AI$4407,'Tracking Sheet'!B1551,'Production '!$V$4:$V$4407)</f>
        <v>0</v>
      </c>
      <c r="J1551" s="76">
        <f ca="1">SUMIF('Production '!$C$4:$AI$4407,'Tracking Sheet'!B1551,'Production '!$AG$4:$AG$4407)</f>
        <v>-6645</v>
      </c>
    </row>
    <row r="1552" spans="2:10" x14ac:dyDescent="0.3">
      <c r="B1552" s="277">
        <f>'Production '!C1555</f>
        <v>0</v>
      </c>
      <c r="C1552" s="76" t="e">
        <f ca="1">SUMIF('Production '!$C$4:$AI$4407,'Tracking Sheet'!B1552,'Production '!$M$4:$M$4407)</f>
        <v>#DIV/0!</v>
      </c>
      <c r="D1552" s="76" t="e">
        <f ca="1">SUMIF('Production '!$C$4:$AI$4407,'Tracking Sheet'!B1552,'Production '!$Q$4:$Q$4407)</f>
        <v>#DIV/0!</v>
      </c>
      <c r="E1552" s="76">
        <f ca="1">SUMIF('Production '!$C$4:$AI$4407,'Tracking Sheet'!B1552,'Production '!$S$4:$S$4407)</f>
        <v>-1268218.9828305368</v>
      </c>
      <c r="F1552" s="76">
        <f ca="1">SUMIF('Production '!$C$4:$AI$4407,'Tracking Sheet'!B1552,'Production '!$U$4:$U$4407)</f>
        <v>-10620.435600016917</v>
      </c>
      <c r="G1552" s="76" t="e">
        <f ca="1">SUMIF('Production '!$C$4:$AI$4407,'Tracking Sheet'!B1552,'Production '!$W$4:$W$4407)</f>
        <v>#DIV/0!</v>
      </c>
      <c r="H1552" s="76">
        <f ca="1">SUMIF('Production '!$C$4:$AI$4407,'Tracking Sheet'!B1552,'Production '!$F$4:$F$4407)</f>
        <v>3230621.3283604058</v>
      </c>
      <c r="I1552" s="76">
        <f ca="1">SUMIF('Production '!$C$4:$AI$4407,'Tracking Sheet'!B1552,'Production '!$V$4:$V$4407)</f>
        <v>-489.86487791182844</v>
      </c>
      <c r="J1552" s="76">
        <f ca="1">SUMIF('Production '!$C$4:$AI$4407,'Tracking Sheet'!B1552,'Production '!$AG$4:$AG$4407)</f>
        <v>0</v>
      </c>
    </row>
    <row r="1553" spans="2:10" x14ac:dyDescent="0.3">
      <c r="B1553" s="277">
        <f>'Production '!C1556</f>
        <v>48159</v>
      </c>
      <c r="C1553" s="76">
        <f ca="1">SUMIF('Production '!$C$4:$AI$4407,'Tracking Sheet'!B1553,'Production '!$M$4:$M$4407)</f>
        <v>2127</v>
      </c>
      <c r="D1553" s="76">
        <f ca="1">SUMIF('Production '!$C$4:$AI$4407,'Tracking Sheet'!B1553,'Production '!$Q$4:$Q$4407)</f>
        <v>2103</v>
      </c>
      <c r="E1553" s="76">
        <f ca="1">SUMIF('Production '!$C$4:$AI$4407,'Tracking Sheet'!B1553,'Production '!$S$4:$S$4407)</f>
        <v>2103</v>
      </c>
      <c r="F1553" s="76">
        <f ca="1">SUMIF('Production '!$C$4:$AI$4407,'Tracking Sheet'!B1553,'Production '!$U$4:$U$4407)</f>
        <v>41</v>
      </c>
      <c r="G1553" s="76">
        <f ca="1">SUMIF('Production '!$C$4:$AI$4407,'Tracking Sheet'!B1553,'Production '!$W$4:$W$4407)</f>
        <v>2062</v>
      </c>
      <c r="H1553" s="76">
        <f ca="1">SUMIF('Production '!$C$4:$AI$4407,'Tracking Sheet'!B1553,'Production '!$F$4:$F$4407)</f>
        <v>2010</v>
      </c>
      <c r="I1553" s="76">
        <f ca="1">SUMIF('Production '!$C$4:$AI$4407,'Tracking Sheet'!B1553,'Production '!$V$4:$V$4407)</f>
        <v>0</v>
      </c>
      <c r="J1553" s="76">
        <f ca="1">SUMIF('Production '!$C$4:$AI$4407,'Tracking Sheet'!B1553,'Production '!$AG$4:$AG$4407)</f>
        <v>0</v>
      </c>
    </row>
    <row r="1554" spans="2:10" x14ac:dyDescent="0.3">
      <c r="B1554" s="277">
        <f>'Production '!C1557</f>
        <v>48159</v>
      </c>
      <c r="C1554" s="76">
        <f ca="1">SUMIF('Production '!$C$4:$AI$4407,'Tracking Sheet'!B1554,'Production '!$M$4:$M$4407)</f>
        <v>2127</v>
      </c>
      <c r="D1554" s="76">
        <f ca="1">SUMIF('Production '!$C$4:$AI$4407,'Tracking Sheet'!B1554,'Production '!$Q$4:$Q$4407)</f>
        <v>2103</v>
      </c>
      <c r="E1554" s="76">
        <f ca="1">SUMIF('Production '!$C$4:$AI$4407,'Tracking Sheet'!B1554,'Production '!$S$4:$S$4407)</f>
        <v>2103</v>
      </c>
      <c r="F1554" s="76">
        <f ca="1">SUMIF('Production '!$C$4:$AI$4407,'Tracking Sheet'!B1554,'Production '!$U$4:$U$4407)</f>
        <v>41</v>
      </c>
      <c r="G1554" s="76">
        <f ca="1">SUMIF('Production '!$C$4:$AI$4407,'Tracking Sheet'!B1554,'Production '!$W$4:$W$4407)</f>
        <v>2062</v>
      </c>
      <c r="H1554" s="76">
        <f ca="1">SUMIF('Production '!$C$4:$AI$4407,'Tracking Sheet'!B1554,'Production '!$F$4:$F$4407)</f>
        <v>2010</v>
      </c>
      <c r="I1554" s="76">
        <f ca="1">SUMIF('Production '!$C$4:$AI$4407,'Tracking Sheet'!B1554,'Production '!$V$4:$V$4407)</f>
        <v>0</v>
      </c>
      <c r="J1554" s="76">
        <f ca="1">SUMIF('Production '!$C$4:$AI$4407,'Tracking Sheet'!B1554,'Production '!$AG$4:$AG$4407)</f>
        <v>0</v>
      </c>
    </row>
    <row r="1555" spans="2:10" x14ac:dyDescent="0.3">
      <c r="B1555" s="277">
        <f>'Production '!C1558</f>
        <v>0</v>
      </c>
      <c r="C1555" s="76" t="e">
        <f ca="1">SUMIF('Production '!$C$4:$AI$4407,'Tracking Sheet'!B1555,'Production '!$M$4:$M$4407)</f>
        <v>#DIV/0!</v>
      </c>
      <c r="D1555" s="76" t="e">
        <f ca="1">SUMIF('Production '!$C$4:$AI$4407,'Tracking Sheet'!B1555,'Production '!$Q$4:$Q$4407)</f>
        <v>#DIV/0!</v>
      </c>
      <c r="E1555" s="76">
        <f ca="1">SUMIF('Production '!$C$4:$AI$4407,'Tracking Sheet'!B1555,'Production '!$S$4:$S$4407)</f>
        <v>-1268218.9828305368</v>
      </c>
      <c r="F1555" s="76">
        <f ca="1">SUMIF('Production '!$C$4:$AI$4407,'Tracking Sheet'!B1555,'Production '!$U$4:$U$4407)</f>
        <v>-10620.435600016917</v>
      </c>
      <c r="G1555" s="76" t="e">
        <f ca="1">SUMIF('Production '!$C$4:$AI$4407,'Tracking Sheet'!B1555,'Production '!$W$4:$W$4407)</f>
        <v>#DIV/0!</v>
      </c>
      <c r="H1555" s="76">
        <f ca="1">SUMIF('Production '!$C$4:$AI$4407,'Tracking Sheet'!B1555,'Production '!$F$4:$F$4407)</f>
        <v>3230621.3283604058</v>
      </c>
      <c r="I1555" s="76">
        <f ca="1">SUMIF('Production '!$C$4:$AI$4407,'Tracking Sheet'!B1555,'Production '!$V$4:$V$4407)</f>
        <v>-489.86487791182844</v>
      </c>
      <c r="J1555" s="76">
        <f ca="1">SUMIF('Production '!$C$4:$AI$4407,'Tracking Sheet'!B1555,'Production '!$AG$4:$AG$4407)</f>
        <v>0</v>
      </c>
    </row>
    <row r="1556" spans="2:10" x14ac:dyDescent="0.3">
      <c r="B1556" s="277">
        <f>'Production '!C1559</f>
        <v>48184</v>
      </c>
      <c r="C1556" s="76">
        <f ca="1">SUMIF('Production '!$C$4:$AI$4407,'Tracking Sheet'!B1556,'Production '!$M$4:$M$4407)</f>
        <v>3484</v>
      </c>
      <c r="D1556" s="76">
        <f ca="1">SUMIF('Production '!$C$4:$AI$4407,'Tracking Sheet'!B1556,'Production '!$Q$4:$Q$4407)</f>
        <v>3468</v>
      </c>
      <c r="E1556" s="76">
        <f ca="1">SUMIF('Production '!$C$4:$AI$4407,'Tracking Sheet'!B1556,'Production '!$S$4:$S$4407)</f>
        <v>0</v>
      </c>
      <c r="F1556" s="76">
        <f ca="1">SUMIF('Production '!$C$4:$AI$4407,'Tracking Sheet'!B1556,'Production '!$U$4:$U$4407)</f>
        <v>0</v>
      </c>
      <c r="G1556" s="76">
        <f ca="1">SUMIF('Production '!$C$4:$AI$4407,'Tracking Sheet'!B1556,'Production '!$W$4:$W$4407)</f>
        <v>0</v>
      </c>
      <c r="H1556" s="76">
        <f ca="1">SUMIF('Production '!$C$4:$AI$4407,'Tracking Sheet'!B1556,'Production '!$F$4:$F$4407)</f>
        <v>3669</v>
      </c>
      <c r="I1556" s="76">
        <f ca="1">SUMIF('Production '!$C$4:$AI$4407,'Tracking Sheet'!B1556,'Production '!$V$4:$V$4407)</f>
        <v>0</v>
      </c>
      <c r="J1556" s="76">
        <f ca="1">SUMIF('Production '!$C$4:$AI$4407,'Tracking Sheet'!B1556,'Production '!$AG$4:$AG$4407)</f>
        <v>-201</v>
      </c>
    </row>
    <row r="1557" spans="2:10" x14ac:dyDescent="0.3">
      <c r="B1557" s="277">
        <f>'Production '!C1560</f>
        <v>48184</v>
      </c>
      <c r="C1557" s="76">
        <f ca="1">SUMIF('Production '!$C$4:$AI$4407,'Tracking Sheet'!B1557,'Production '!$M$4:$M$4407)</f>
        <v>3484</v>
      </c>
      <c r="D1557" s="76">
        <f ca="1">SUMIF('Production '!$C$4:$AI$4407,'Tracking Sheet'!B1557,'Production '!$Q$4:$Q$4407)</f>
        <v>3468</v>
      </c>
      <c r="E1557" s="76">
        <f ca="1">SUMIF('Production '!$C$4:$AI$4407,'Tracking Sheet'!B1557,'Production '!$S$4:$S$4407)</f>
        <v>0</v>
      </c>
      <c r="F1557" s="76">
        <f ca="1">SUMIF('Production '!$C$4:$AI$4407,'Tracking Sheet'!B1557,'Production '!$U$4:$U$4407)</f>
        <v>0</v>
      </c>
      <c r="G1557" s="76">
        <f ca="1">SUMIF('Production '!$C$4:$AI$4407,'Tracking Sheet'!B1557,'Production '!$W$4:$W$4407)</f>
        <v>0</v>
      </c>
      <c r="H1557" s="76">
        <f ca="1">SUMIF('Production '!$C$4:$AI$4407,'Tracking Sheet'!B1557,'Production '!$F$4:$F$4407)</f>
        <v>3669</v>
      </c>
      <c r="I1557" s="76">
        <f ca="1">SUMIF('Production '!$C$4:$AI$4407,'Tracking Sheet'!B1557,'Production '!$V$4:$V$4407)</f>
        <v>0</v>
      </c>
      <c r="J1557" s="76">
        <f ca="1">SUMIF('Production '!$C$4:$AI$4407,'Tracking Sheet'!B1557,'Production '!$AG$4:$AG$4407)</f>
        <v>-201</v>
      </c>
    </row>
    <row r="1558" spans="2:10" x14ac:dyDescent="0.3">
      <c r="B1558" s="277">
        <f>'Production '!C1561</f>
        <v>48184</v>
      </c>
      <c r="C1558" s="76">
        <f ca="1">SUMIF('Production '!$C$4:$AI$4407,'Tracking Sheet'!B1558,'Production '!$M$4:$M$4407)</f>
        <v>3484</v>
      </c>
      <c r="D1558" s="76">
        <f ca="1">SUMIF('Production '!$C$4:$AI$4407,'Tracking Sheet'!B1558,'Production '!$Q$4:$Q$4407)</f>
        <v>3468</v>
      </c>
      <c r="E1558" s="76">
        <f ca="1">SUMIF('Production '!$C$4:$AI$4407,'Tracking Sheet'!B1558,'Production '!$S$4:$S$4407)</f>
        <v>0</v>
      </c>
      <c r="F1558" s="76">
        <f ca="1">SUMIF('Production '!$C$4:$AI$4407,'Tracking Sheet'!B1558,'Production '!$U$4:$U$4407)</f>
        <v>0</v>
      </c>
      <c r="G1558" s="76">
        <f ca="1">SUMIF('Production '!$C$4:$AI$4407,'Tracking Sheet'!B1558,'Production '!$W$4:$W$4407)</f>
        <v>0</v>
      </c>
      <c r="H1558" s="76">
        <f ca="1">SUMIF('Production '!$C$4:$AI$4407,'Tracking Sheet'!B1558,'Production '!$F$4:$F$4407)</f>
        <v>3669</v>
      </c>
      <c r="I1558" s="76">
        <f ca="1">SUMIF('Production '!$C$4:$AI$4407,'Tracking Sheet'!B1558,'Production '!$V$4:$V$4407)</f>
        <v>0</v>
      </c>
      <c r="J1558" s="76">
        <f ca="1">SUMIF('Production '!$C$4:$AI$4407,'Tracking Sheet'!B1558,'Production '!$AG$4:$AG$4407)</f>
        <v>-201</v>
      </c>
    </row>
    <row r="1559" spans="2:10" x14ac:dyDescent="0.3">
      <c r="B1559" s="277">
        <f>'Production '!C1562</f>
        <v>0</v>
      </c>
      <c r="C1559" s="76" t="e">
        <f ca="1">SUMIF('Production '!$C$4:$AI$4407,'Tracking Sheet'!B1559,'Production '!$M$4:$M$4407)</f>
        <v>#DIV/0!</v>
      </c>
      <c r="D1559" s="76" t="e">
        <f ca="1">SUMIF('Production '!$C$4:$AI$4407,'Tracking Sheet'!B1559,'Production '!$Q$4:$Q$4407)</f>
        <v>#DIV/0!</v>
      </c>
      <c r="E1559" s="76">
        <f ca="1">SUMIF('Production '!$C$4:$AI$4407,'Tracking Sheet'!B1559,'Production '!$S$4:$S$4407)</f>
        <v>-1268218.9828305368</v>
      </c>
      <c r="F1559" s="76">
        <f ca="1">SUMIF('Production '!$C$4:$AI$4407,'Tracking Sheet'!B1559,'Production '!$U$4:$U$4407)</f>
        <v>-10620.435600016917</v>
      </c>
      <c r="G1559" s="76" t="e">
        <f ca="1">SUMIF('Production '!$C$4:$AI$4407,'Tracking Sheet'!B1559,'Production '!$W$4:$W$4407)</f>
        <v>#DIV/0!</v>
      </c>
      <c r="H1559" s="76">
        <f ca="1">SUMIF('Production '!$C$4:$AI$4407,'Tracking Sheet'!B1559,'Production '!$F$4:$F$4407)</f>
        <v>3230621.3283604058</v>
      </c>
      <c r="I1559" s="76">
        <f ca="1">SUMIF('Production '!$C$4:$AI$4407,'Tracking Sheet'!B1559,'Production '!$V$4:$V$4407)</f>
        <v>-489.86487791182844</v>
      </c>
      <c r="J1559" s="76">
        <f ca="1">SUMIF('Production '!$C$4:$AI$4407,'Tracking Sheet'!B1559,'Production '!$AG$4:$AG$4407)</f>
        <v>0</v>
      </c>
    </row>
    <row r="1560" spans="2:10" x14ac:dyDescent="0.3">
      <c r="B1560" s="277" t="str">
        <f>'Production '!C1563</f>
        <v>21004 36th</v>
      </c>
      <c r="C1560" s="76">
        <f ca="1">SUMIF('Production '!$C$4:$AI$4407,'Tracking Sheet'!B1560,'Production '!$M$4:$M$4407)</f>
        <v>6315</v>
      </c>
      <c r="D1560" s="76">
        <f ca="1">SUMIF('Production '!$C$4:$AI$4407,'Tracking Sheet'!B1560,'Production '!$Q$4:$Q$4407)</f>
        <v>0</v>
      </c>
      <c r="E1560" s="76">
        <f ca="1">SUMIF('Production '!$C$4:$AI$4407,'Tracking Sheet'!B1560,'Production '!$S$4:$S$4407)</f>
        <v>0</v>
      </c>
      <c r="F1560" s="76">
        <f ca="1">SUMIF('Production '!$C$4:$AI$4407,'Tracking Sheet'!B1560,'Production '!$U$4:$U$4407)</f>
        <v>2542</v>
      </c>
      <c r="G1560" s="76">
        <f ca="1">SUMIF('Production '!$C$4:$AI$4407,'Tracking Sheet'!B1560,'Production '!$W$4:$W$4407)</f>
        <v>3773</v>
      </c>
      <c r="H1560" s="76">
        <f ca="1">SUMIF('Production '!$C$4:$AI$4407,'Tracking Sheet'!B1560,'Production '!$F$4:$F$4407)</f>
        <v>6350</v>
      </c>
      <c r="I1560" s="76">
        <f ca="1">SUMIF('Production '!$C$4:$AI$4407,'Tracking Sheet'!B1560,'Production '!$V$4:$V$4407)</f>
        <v>3773</v>
      </c>
      <c r="J1560" s="76">
        <f ca="1">SUMIF('Production '!$C$4:$AI$4407,'Tracking Sheet'!B1560,'Production '!$AG$4:$AG$4407)</f>
        <v>-72</v>
      </c>
    </row>
    <row r="1561" spans="2:10" x14ac:dyDescent="0.3">
      <c r="B1561" s="277" t="str">
        <f>'Production '!C1564</f>
        <v>21004 36th</v>
      </c>
      <c r="C1561" s="76">
        <f ca="1">SUMIF('Production '!$C$4:$AI$4407,'Tracking Sheet'!B1561,'Production '!$M$4:$M$4407)</f>
        <v>6315</v>
      </c>
      <c r="D1561" s="76">
        <f ca="1">SUMIF('Production '!$C$4:$AI$4407,'Tracking Sheet'!B1561,'Production '!$Q$4:$Q$4407)</f>
        <v>0</v>
      </c>
      <c r="E1561" s="76">
        <f ca="1">SUMIF('Production '!$C$4:$AI$4407,'Tracking Sheet'!B1561,'Production '!$S$4:$S$4407)</f>
        <v>0</v>
      </c>
      <c r="F1561" s="76">
        <f ca="1">SUMIF('Production '!$C$4:$AI$4407,'Tracking Sheet'!B1561,'Production '!$U$4:$U$4407)</f>
        <v>2542</v>
      </c>
      <c r="G1561" s="76">
        <f ca="1">SUMIF('Production '!$C$4:$AI$4407,'Tracking Sheet'!B1561,'Production '!$W$4:$W$4407)</f>
        <v>3773</v>
      </c>
      <c r="H1561" s="76">
        <f ca="1">SUMIF('Production '!$C$4:$AI$4407,'Tracking Sheet'!B1561,'Production '!$F$4:$F$4407)</f>
        <v>6350</v>
      </c>
      <c r="I1561" s="76">
        <f ca="1">SUMIF('Production '!$C$4:$AI$4407,'Tracking Sheet'!B1561,'Production '!$V$4:$V$4407)</f>
        <v>3773</v>
      </c>
      <c r="J1561" s="76">
        <f ca="1">SUMIF('Production '!$C$4:$AI$4407,'Tracking Sheet'!B1561,'Production '!$AG$4:$AG$4407)</f>
        <v>-72</v>
      </c>
    </row>
    <row r="1562" spans="2:10" x14ac:dyDescent="0.3">
      <c r="B1562" s="277">
        <f>'Production '!C1565</f>
        <v>0</v>
      </c>
      <c r="C1562" s="76" t="e">
        <f ca="1">SUMIF('Production '!$C$4:$AI$4407,'Tracking Sheet'!B1562,'Production '!$M$4:$M$4407)</f>
        <v>#DIV/0!</v>
      </c>
      <c r="D1562" s="76" t="e">
        <f ca="1">SUMIF('Production '!$C$4:$AI$4407,'Tracking Sheet'!B1562,'Production '!$Q$4:$Q$4407)</f>
        <v>#DIV/0!</v>
      </c>
      <c r="E1562" s="76">
        <f ca="1">SUMIF('Production '!$C$4:$AI$4407,'Tracking Sheet'!B1562,'Production '!$S$4:$S$4407)</f>
        <v>-1268218.9828305368</v>
      </c>
      <c r="F1562" s="76">
        <f ca="1">SUMIF('Production '!$C$4:$AI$4407,'Tracking Sheet'!B1562,'Production '!$U$4:$U$4407)</f>
        <v>-10620.435600016917</v>
      </c>
      <c r="G1562" s="76" t="e">
        <f ca="1">SUMIF('Production '!$C$4:$AI$4407,'Tracking Sheet'!B1562,'Production '!$W$4:$W$4407)</f>
        <v>#DIV/0!</v>
      </c>
      <c r="H1562" s="76">
        <f ca="1">SUMIF('Production '!$C$4:$AI$4407,'Tracking Sheet'!B1562,'Production '!$F$4:$F$4407)</f>
        <v>3230621.3283604058</v>
      </c>
      <c r="I1562" s="76">
        <f ca="1">SUMIF('Production '!$C$4:$AI$4407,'Tracking Sheet'!B1562,'Production '!$V$4:$V$4407)</f>
        <v>-489.86487791182844</v>
      </c>
      <c r="J1562" s="76">
        <f ca="1">SUMIF('Production '!$C$4:$AI$4407,'Tracking Sheet'!B1562,'Production '!$AG$4:$AG$4407)</f>
        <v>0</v>
      </c>
    </row>
    <row r="1563" spans="2:10" x14ac:dyDescent="0.3">
      <c r="B1563" s="277" t="str">
        <f>'Production '!C1566</f>
        <v>27204 57th</v>
      </c>
      <c r="C1563" s="76">
        <f ca="1">SUMIF('Production '!$C$4:$AI$4407,'Tracking Sheet'!B1563,'Production '!$M$4:$M$4407)</f>
        <v>18480</v>
      </c>
      <c r="D1563" s="76">
        <f ca="1">SUMIF('Production '!$C$4:$AI$4407,'Tracking Sheet'!B1563,'Production '!$Q$4:$Q$4407)</f>
        <v>0</v>
      </c>
      <c r="E1563" s="76">
        <f ca="1">SUMIF('Production '!$C$4:$AI$4407,'Tracking Sheet'!B1563,'Production '!$S$4:$S$4407)</f>
        <v>0</v>
      </c>
      <c r="F1563" s="76">
        <f ca="1">SUMIF('Production '!$C$4:$AI$4407,'Tracking Sheet'!B1563,'Production '!$U$4:$U$4407)</f>
        <v>0</v>
      </c>
      <c r="G1563" s="76">
        <f ca="1">SUMIF('Production '!$C$4:$AI$4407,'Tracking Sheet'!B1563,'Production '!$W$4:$W$4407)</f>
        <v>18480</v>
      </c>
      <c r="H1563" s="76">
        <f ca="1">SUMIF('Production '!$C$4:$AI$4407,'Tracking Sheet'!B1563,'Production '!$F$4:$F$4407)</f>
        <v>18320</v>
      </c>
      <c r="I1563" s="76">
        <f ca="1">SUMIF('Production '!$C$4:$AI$4407,'Tracking Sheet'!B1563,'Production '!$V$4:$V$4407)</f>
        <v>0</v>
      </c>
      <c r="J1563" s="76">
        <f ca="1">SUMIF('Production '!$C$4:$AI$4407,'Tracking Sheet'!B1563,'Production '!$AG$4:$AG$4407)</f>
        <v>0</v>
      </c>
    </row>
    <row r="1564" spans="2:10" x14ac:dyDescent="0.3">
      <c r="B1564" s="277" t="str">
        <f>'Production '!C1567</f>
        <v>27204 57th</v>
      </c>
      <c r="C1564" s="76">
        <f ca="1">SUMIF('Production '!$C$4:$AI$4407,'Tracking Sheet'!B1564,'Production '!$M$4:$M$4407)</f>
        <v>18480</v>
      </c>
      <c r="D1564" s="76">
        <f ca="1">SUMIF('Production '!$C$4:$AI$4407,'Tracking Sheet'!B1564,'Production '!$Q$4:$Q$4407)</f>
        <v>0</v>
      </c>
      <c r="E1564" s="76">
        <f ca="1">SUMIF('Production '!$C$4:$AI$4407,'Tracking Sheet'!B1564,'Production '!$S$4:$S$4407)</f>
        <v>0</v>
      </c>
      <c r="F1564" s="76">
        <f ca="1">SUMIF('Production '!$C$4:$AI$4407,'Tracking Sheet'!B1564,'Production '!$U$4:$U$4407)</f>
        <v>0</v>
      </c>
      <c r="G1564" s="76">
        <f ca="1">SUMIF('Production '!$C$4:$AI$4407,'Tracking Sheet'!B1564,'Production '!$W$4:$W$4407)</f>
        <v>18480</v>
      </c>
      <c r="H1564" s="76">
        <f ca="1">SUMIF('Production '!$C$4:$AI$4407,'Tracking Sheet'!B1564,'Production '!$F$4:$F$4407)</f>
        <v>18320</v>
      </c>
      <c r="I1564" s="76">
        <f ca="1">SUMIF('Production '!$C$4:$AI$4407,'Tracking Sheet'!B1564,'Production '!$V$4:$V$4407)</f>
        <v>0</v>
      </c>
      <c r="J1564" s="76">
        <f ca="1">SUMIF('Production '!$C$4:$AI$4407,'Tracking Sheet'!B1564,'Production '!$AG$4:$AG$4407)</f>
        <v>0</v>
      </c>
    </row>
    <row r="1565" spans="2:10" x14ac:dyDescent="0.3">
      <c r="B1565" s="277" t="str">
        <f>'Production '!C1568</f>
        <v>27204 57th</v>
      </c>
      <c r="C1565" s="76">
        <f ca="1">SUMIF('Production '!$C$4:$AI$4407,'Tracking Sheet'!B1565,'Production '!$M$4:$M$4407)</f>
        <v>18480</v>
      </c>
      <c r="D1565" s="76">
        <f ca="1">SUMIF('Production '!$C$4:$AI$4407,'Tracking Sheet'!B1565,'Production '!$Q$4:$Q$4407)</f>
        <v>0</v>
      </c>
      <c r="E1565" s="76">
        <f ca="1">SUMIF('Production '!$C$4:$AI$4407,'Tracking Sheet'!B1565,'Production '!$S$4:$S$4407)</f>
        <v>0</v>
      </c>
      <c r="F1565" s="76">
        <f ca="1">SUMIF('Production '!$C$4:$AI$4407,'Tracking Sheet'!B1565,'Production '!$U$4:$U$4407)</f>
        <v>0</v>
      </c>
      <c r="G1565" s="76">
        <f ca="1">SUMIF('Production '!$C$4:$AI$4407,'Tracking Sheet'!B1565,'Production '!$W$4:$W$4407)</f>
        <v>18480</v>
      </c>
      <c r="H1565" s="76">
        <f ca="1">SUMIF('Production '!$C$4:$AI$4407,'Tracking Sheet'!B1565,'Production '!$F$4:$F$4407)</f>
        <v>18320</v>
      </c>
      <c r="I1565" s="76">
        <f ca="1">SUMIF('Production '!$C$4:$AI$4407,'Tracking Sheet'!B1565,'Production '!$V$4:$V$4407)</f>
        <v>0</v>
      </c>
      <c r="J1565" s="76">
        <f ca="1">SUMIF('Production '!$C$4:$AI$4407,'Tracking Sheet'!B1565,'Production '!$AG$4:$AG$4407)</f>
        <v>0</v>
      </c>
    </row>
    <row r="1566" spans="2:10" x14ac:dyDescent="0.3">
      <c r="B1566" s="277" t="str">
        <f>'Production '!C1569</f>
        <v>27204 57th</v>
      </c>
      <c r="C1566" s="76">
        <f ca="1">SUMIF('Production '!$C$4:$AI$4407,'Tracking Sheet'!B1566,'Production '!$M$4:$M$4407)</f>
        <v>18480</v>
      </c>
      <c r="D1566" s="76">
        <f ca="1">SUMIF('Production '!$C$4:$AI$4407,'Tracking Sheet'!B1566,'Production '!$Q$4:$Q$4407)</f>
        <v>0</v>
      </c>
      <c r="E1566" s="76">
        <f ca="1">SUMIF('Production '!$C$4:$AI$4407,'Tracking Sheet'!B1566,'Production '!$S$4:$S$4407)</f>
        <v>0</v>
      </c>
      <c r="F1566" s="76">
        <f ca="1">SUMIF('Production '!$C$4:$AI$4407,'Tracking Sheet'!B1566,'Production '!$U$4:$U$4407)</f>
        <v>0</v>
      </c>
      <c r="G1566" s="76">
        <f ca="1">SUMIF('Production '!$C$4:$AI$4407,'Tracking Sheet'!B1566,'Production '!$W$4:$W$4407)</f>
        <v>18480</v>
      </c>
      <c r="H1566" s="76">
        <f ca="1">SUMIF('Production '!$C$4:$AI$4407,'Tracking Sheet'!B1566,'Production '!$F$4:$F$4407)</f>
        <v>18320</v>
      </c>
      <c r="I1566" s="76">
        <f ca="1">SUMIF('Production '!$C$4:$AI$4407,'Tracking Sheet'!B1566,'Production '!$V$4:$V$4407)</f>
        <v>0</v>
      </c>
      <c r="J1566" s="76">
        <f ca="1">SUMIF('Production '!$C$4:$AI$4407,'Tracking Sheet'!B1566,'Production '!$AG$4:$AG$4407)</f>
        <v>0</v>
      </c>
    </row>
    <row r="1567" spans="2:10" x14ac:dyDescent="0.3">
      <c r="B1567" s="277" t="str">
        <f>'Production '!C1570</f>
        <v>27204 57th</v>
      </c>
      <c r="C1567" s="76">
        <f ca="1">SUMIF('Production '!$C$4:$AI$4407,'Tracking Sheet'!B1567,'Production '!$M$4:$M$4407)</f>
        <v>18480</v>
      </c>
      <c r="D1567" s="76">
        <f ca="1">SUMIF('Production '!$C$4:$AI$4407,'Tracking Sheet'!B1567,'Production '!$Q$4:$Q$4407)</f>
        <v>0</v>
      </c>
      <c r="E1567" s="76">
        <f ca="1">SUMIF('Production '!$C$4:$AI$4407,'Tracking Sheet'!B1567,'Production '!$S$4:$S$4407)</f>
        <v>0</v>
      </c>
      <c r="F1567" s="76">
        <f ca="1">SUMIF('Production '!$C$4:$AI$4407,'Tracking Sheet'!B1567,'Production '!$U$4:$U$4407)</f>
        <v>0</v>
      </c>
      <c r="G1567" s="76">
        <f ca="1">SUMIF('Production '!$C$4:$AI$4407,'Tracking Sheet'!B1567,'Production '!$W$4:$W$4407)</f>
        <v>18480</v>
      </c>
      <c r="H1567" s="76">
        <f ca="1">SUMIF('Production '!$C$4:$AI$4407,'Tracking Sheet'!B1567,'Production '!$F$4:$F$4407)</f>
        <v>18320</v>
      </c>
      <c r="I1567" s="76">
        <f ca="1">SUMIF('Production '!$C$4:$AI$4407,'Tracking Sheet'!B1567,'Production '!$V$4:$V$4407)</f>
        <v>0</v>
      </c>
      <c r="J1567" s="76">
        <f ca="1">SUMIF('Production '!$C$4:$AI$4407,'Tracking Sheet'!B1567,'Production '!$AG$4:$AG$4407)</f>
        <v>0</v>
      </c>
    </row>
    <row r="1568" spans="2:10" x14ac:dyDescent="0.3">
      <c r="B1568" s="277">
        <f>'Production '!C1571</f>
        <v>0</v>
      </c>
      <c r="C1568" s="76" t="e">
        <f ca="1">SUMIF('Production '!$C$4:$AI$4407,'Tracking Sheet'!B1568,'Production '!$M$4:$M$4407)</f>
        <v>#DIV/0!</v>
      </c>
      <c r="D1568" s="76" t="e">
        <f ca="1">SUMIF('Production '!$C$4:$AI$4407,'Tracking Sheet'!B1568,'Production '!$Q$4:$Q$4407)</f>
        <v>#DIV/0!</v>
      </c>
      <c r="E1568" s="76">
        <f ca="1">SUMIF('Production '!$C$4:$AI$4407,'Tracking Sheet'!B1568,'Production '!$S$4:$S$4407)</f>
        <v>-1268218.9828305368</v>
      </c>
      <c r="F1568" s="76">
        <f ca="1">SUMIF('Production '!$C$4:$AI$4407,'Tracking Sheet'!B1568,'Production '!$U$4:$U$4407)</f>
        <v>-10620.435600016917</v>
      </c>
      <c r="G1568" s="76" t="e">
        <f ca="1">SUMIF('Production '!$C$4:$AI$4407,'Tracking Sheet'!B1568,'Production '!$W$4:$W$4407)</f>
        <v>#DIV/0!</v>
      </c>
      <c r="H1568" s="76">
        <f ca="1">SUMIF('Production '!$C$4:$AI$4407,'Tracking Sheet'!B1568,'Production '!$F$4:$F$4407)</f>
        <v>3230621.3283604058</v>
      </c>
      <c r="I1568" s="76">
        <f ca="1">SUMIF('Production '!$C$4:$AI$4407,'Tracking Sheet'!B1568,'Production '!$V$4:$V$4407)</f>
        <v>-489.86487791182844</v>
      </c>
      <c r="J1568" s="76">
        <f ca="1">SUMIF('Production '!$C$4:$AI$4407,'Tracking Sheet'!B1568,'Production '!$AG$4:$AG$4407)</f>
        <v>0</v>
      </c>
    </row>
    <row r="1569" spans="2:10" x14ac:dyDescent="0.3">
      <c r="B1569" s="277" t="str">
        <f>'Production '!C1572</f>
        <v>27204 58th</v>
      </c>
      <c r="C1569" s="76">
        <f ca="1">SUMIF('Production '!$C$4:$AI$4407,'Tracking Sheet'!B1569,'Production '!$M$4:$M$4407)</f>
        <v>6886</v>
      </c>
      <c r="D1569" s="76">
        <f ca="1">SUMIF('Production '!$C$4:$AI$4407,'Tracking Sheet'!B1569,'Production '!$Q$4:$Q$4407)</f>
        <v>0</v>
      </c>
      <c r="E1569" s="76">
        <f ca="1">SUMIF('Production '!$C$4:$AI$4407,'Tracking Sheet'!B1569,'Production '!$S$4:$S$4407)</f>
        <v>0</v>
      </c>
      <c r="F1569" s="76">
        <f ca="1">SUMIF('Production '!$C$4:$AI$4407,'Tracking Sheet'!B1569,'Production '!$U$4:$U$4407)</f>
        <v>2189</v>
      </c>
      <c r="G1569" s="76">
        <f ca="1">SUMIF('Production '!$C$4:$AI$4407,'Tracking Sheet'!B1569,'Production '!$W$4:$W$4407)</f>
        <v>4697</v>
      </c>
      <c r="H1569" s="76">
        <f ca="1">SUMIF('Production '!$C$4:$AI$4407,'Tracking Sheet'!B1569,'Production '!$F$4:$F$4407)</f>
        <v>7020</v>
      </c>
      <c r="I1569" s="76">
        <f ca="1">SUMIF('Production '!$C$4:$AI$4407,'Tracking Sheet'!B1569,'Production '!$V$4:$V$4407)</f>
        <v>0</v>
      </c>
      <c r="J1569" s="76">
        <f ca="1">SUMIF('Production '!$C$4:$AI$4407,'Tracking Sheet'!B1569,'Production '!$AG$4:$AG$4407)</f>
        <v>-158</v>
      </c>
    </row>
    <row r="1570" spans="2:10" x14ac:dyDescent="0.3">
      <c r="B1570" s="277" t="str">
        <f>'Production '!C1573</f>
        <v>27204 58th</v>
      </c>
      <c r="C1570" s="76">
        <f ca="1">SUMIF('Production '!$C$4:$AI$4407,'Tracking Sheet'!B1570,'Production '!$M$4:$M$4407)</f>
        <v>6886</v>
      </c>
      <c r="D1570" s="76">
        <f ca="1">SUMIF('Production '!$C$4:$AI$4407,'Tracking Sheet'!B1570,'Production '!$Q$4:$Q$4407)</f>
        <v>0</v>
      </c>
      <c r="E1570" s="76">
        <f ca="1">SUMIF('Production '!$C$4:$AI$4407,'Tracking Sheet'!B1570,'Production '!$S$4:$S$4407)</f>
        <v>0</v>
      </c>
      <c r="F1570" s="76">
        <f ca="1">SUMIF('Production '!$C$4:$AI$4407,'Tracking Sheet'!B1570,'Production '!$U$4:$U$4407)</f>
        <v>2189</v>
      </c>
      <c r="G1570" s="76">
        <f ca="1">SUMIF('Production '!$C$4:$AI$4407,'Tracking Sheet'!B1570,'Production '!$W$4:$W$4407)</f>
        <v>4697</v>
      </c>
      <c r="H1570" s="76">
        <f ca="1">SUMIF('Production '!$C$4:$AI$4407,'Tracking Sheet'!B1570,'Production '!$F$4:$F$4407)</f>
        <v>7020</v>
      </c>
      <c r="I1570" s="76">
        <f ca="1">SUMIF('Production '!$C$4:$AI$4407,'Tracking Sheet'!B1570,'Production '!$V$4:$V$4407)</f>
        <v>0</v>
      </c>
      <c r="J1570" s="76">
        <f ca="1">SUMIF('Production '!$C$4:$AI$4407,'Tracking Sheet'!B1570,'Production '!$AG$4:$AG$4407)</f>
        <v>-158</v>
      </c>
    </row>
    <row r="1571" spans="2:10" x14ac:dyDescent="0.3">
      <c r="B1571" s="277">
        <f>'Production '!C1574</f>
        <v>0</v>
      </c>
      <c r="C1571" s="76" t="e">
        <f ca="1">SUMIF('Production '!$C$4:$AI$4407,'Tracking Sheet'!B1571,'Production '!$M$4:$M$4407)</f>
        <v>#DIV/0!</v>
      </c>
      <c r="D1571" s="76" t="e">
        <f ca="1">SUMIF('Production '!$C$4:$AI$4407,'Tracking Sheet'!B1571,'Production '!$Q$4:$Q$4407)</f>
        <v>#DIV/0!</v>
      </c>
      <c r="E1571" s="76">
        <f ca="1">SUMIF('Production '!$C$4:$AI$4407,'Tracking Sheet'!B1571,'Production '!$S$4:$S$4407)</f>
        <v>-1268218.9828305368</v>
      </c>
      <c r="F1571" s="76">
        <f ca="1">SUMIF('Production '!$C$4:$AI$4407,'Tracking Sheet'!B1571,'Production '!$U$4:$U$4407)</f>
        <v>-10620.435600016917</v>
      </c>
      <c r="G1571" s="76" t="e">
        <f ca="1">SUMIF('Production '!$C$4:$AI$4407,'Tracking Sheet'!B1571,'Production '!$W$4:$W$4407)</f>
        <v>#DIV/0!</v>
      </c>
      <c r="H1571" s="76">
        <f ca="1">SUMIF('Production '!$C$4:$AI$4407,'Tracking Sheet'!B1571,'Production '!$F$4:$F$4407)</f>
        <v>3230621.3283604058</v>
      </c>
      <c r="I1571" s="76">
        <f ca="1">SUMIF('Production '!$C$4:$AI$4407,'Tracking Sheet'!B1571,'Production '!$V$4:$V$4407)</f>
        <v>-489.86487791182844</v>
      </c>
      <c r="J1571" s="76">
        <f ca="1">SUMIF('Production '!$C$4:$AI$4407,'Tracking Sheet'!B1571,'Production '!$AG$4:$AG$4407)</f>
        <v>0</v>
      </c>
    </row>
    <row r="1572" spans="2:10" x14ac:dyDescent="0.3">
      <c r="B1572" s="277" t="str">
        <f>'Production '!C1575</f>
        <v>27204 59th</v>
      </c>
      <c r="C1572" s="76">
        <f ca="1">SUMIF('Production '!$C$4:$AI$4407,'Tracking Sheet'!B1572,'Production '!$M$4:$M$4407)</f>
        <v>14283</v>
      </c>
      <c r="D1572" s="76">
        <f ca="1">SUMIF('Production '!$C$4:$AI$4407,'Tracking Sheet'!B1572,'Production '!$Q$4:$Q$4407)</f>
        <v>0</v>
      </c>
      <c r="E1572" s="76">
        <f ca="1">SUMIF('Production '!$C$4:$AI$4407,'Tracking Sheet'!B1572,'Production '!$S$4:$S$4407)</f>
        <v>0</v>
      </c>
      <c r="F1572" s="76">
        <f ca="1">SUMIF('Production '!$C$4:$AI$4407,'Tracking Sheet'!B1572,'Production '!$U$4:$U$4407)</f>
        <v>0</v>
      </c>
      <c r="G1572" s="76">
        <f ca="1">SUMIF('Production '!$C$4:$AI$4407,'Tracking Sheet'!B1572,'Production '!$W$4:$W$4407)</f>
        <v>14283</v>
      </c>
      <c r="H1572" s="76">
        <f ca="1">SUMIF('Production '!$C$4:$AI$4407,'Tracking Sheet'!B1572,'Production '!$F$4:$F$4407)</f>
        <v>14160</v>
      </c>
      <c r="I1572" s="76">
        <f ca="1">SUMIF('Production '!$C$4:$AI$4407,'Tracking Sheet'!B1572,'Production '!$V$4:$V$4407)</f>
        <v>0</v>
      </c>
      <c r="J1572" s="76">
        <f ca="1">SUMIF('Production '!$C$4:$AI$4407,'Tracking Sheet'!B1572,'Production '!$AG$4:$AG$4407)</f>
        <v>0</v>
      </c>
    </row>
    <row r="1573" spans="2:10" x14ac:dyDescent="0.3">
      <c r="B1573" s="277" t="str">
        <f>'Production '!C1576</f>
        <v>27204 59th</v>
      </c>
      <c r="C1573" s="76">
        <f ca="1">SUMIF('Production '!$C$4:$AI$4407,'Tracking Sheet'!B1573,'Production '!$M$4:$M$4407)</f>
        <v>14283</v>
      </c>
      <c r="D1573" s="76">
        <f ca="1">SUMIF('Production '!$C$4:$AI$4407,'Tracking Sheet'!B1573,'Production '!$Q$4:$Q$4407)</f>
        <v>0</v>
      </c>
      <c r="E1573" s="76">
        <f ca="1">SUMIF('Production '!$C$4:$AI$4407,'Tracking Sheet'!B1573,'Production '!$S$4:$S$4407)</f>
        <v>0</v>
      </c>
      <c r="F1573" s="76">
        <f ca="1">SUMIF('Production '!$C$4:$AI$4407,'Tracking Sheet'!B1573,'Production '!$U$4:$U$4407)</f>
        <v>0</v>
      </c>
      <c r="G1573" s="76">
        <f ca="1">SUMIF('Production '!$C$4:$AI$4407,'Tracking Sheet'!B1573,'Production '!$W$4:$W$4407)</f>
        <v>14283</v>
      </c>
      <c r="H1573" s="76">
        <f ca="1">SUMIF('Production '!$C$4:$AI$4407,'Tracking Sheet'!B1573,'Production '!$F$4:$F$4407)</f>
        <v>14160</v>
      </c>
      <c r="I1573" s="76">
        <f ca="1">SUMIF('Production '!$C$4:$AI$4407,'Tracking Sheet'!B1573,'Production '!$V$4:$V$4407)</f>
        <v>0</v>
      </c>
      <c r="J1573" s="76">
        <f ca="1">SUMIF('Production '!$C$4:$AI$4407,'Tracking Sheet'!B1573,'Production '!$AG$4:$AG$4407)</f>
        <v>0</v>
      </c>
    </row>
    <row r="1574" spans="2:10" x14ac:dyDescent="0.3">
      <c r="B1574" s="277" t="str">
        <f>'Production '!C1577</f>
        <v>27204 59th</v>
      </c>
      <c r="C1574" s="76">
        <f ca="1">SUMIF('Production '!$C$4:$AI$4407,'Tracking Sheet'!B1574,'Production '!$M$4:$M$4407)</f>
        <v>14283</v>
      </c>
      <c r="D1574" s="76">
        <f ca="1">SUMIF('Production '!$C$4:$AI$4407,'Tracking Sheet'!B1574,'Production '!$Q$4:$Q$4407)</f>
        <v>0</v>
      </c>
      <c r="E1574" s="76">
        <f ca="1">SUMIF('Production '!$C$4:$AI$4407,'Tracking Sheet'!B1574,'Production '!$S$4:$S$4407)</f>
        <v>0</v>
      </c>
      <c r="F1574" s="76">
        <f ca="1">SUMIF('Production '!$C$4:$AI$4407,'Tracking Sheet'!B1574,'Production '!$U$4:$U$4407)</f>
        <v>0</v>
      </c>
      <c r="G1574" s="76">
        <f ca="1">SUMIF('Production '!$C$4:$AI$4407,'Tracking Sheet'!B1574,'Production '!$W$4:$W$4407)</f>
        <v>14283</v>
      </c>
      <c r="H1574" s="76">
        <f ca="1">SUMIF('Production '!$C$4:$AI$4407,'Tracking Sheet'!B1574,'Production '!$F$4:$F$4407)</f>
        <v>14160</v>
      </c>
      <c r="I1574" s="76">
        <f ca="1">SUMIF('Production '!$C$4:$AI$4407,'Tracking Sheet'!B1574,'Production '!$V$4:$V$4407)</f>
        <v>0</v>
      </c>
      <c r="J1574" s="76">
        <f ca="1">SUMIF('Production '!$C$4:$AI$4407,'Tracking Sheet'!B1574,'Production '!$AG$4:$AG$4407)</f>
        <v>0</v>
      </c>
    </row>
    <row r="1575" spans="2:10" x14ac:dyDescent="0.3">
      <c r="B1575" s="277" t="str">
        <f>'Production '!C1578</f>
        <v>27204 59th</v>
      </c>
      <c r="C1575" s="76">
        <f ca="1">SUMIF('Production '!$C$4:$AI$4407,'Tracking Sheet'!B1575,'Production '!$M$4:$M$4407)</f>
        <v>14283</v>
      </c>
      <c r="D1575" s="76">
        <f ca="1">SUMIF('Production '!$C$4:$AI$4407,'Tracking Sheet'!B1575,'Production '!$Q$4:$Q$4407)</f>
        <v>0</v>
      </c>
      <c r="E1575" s="76">
        <f ca="1">SUMIF('Production '!$C$4:$AI$4407,'Tracking Sheet'!B1575,'Production '!$S$4:$S$4407)</f>
        <v>0</v>
      </c>
      <c r="F1575" s="76">
        <f ca="1">SUMIF('Production '!$C$4:$AI$4407,'Tracking Sheet'!B1575,'Production '!$U$4:$U$4407)</f>
        <v>0</v>
      </c>
      <c r="G1575" s="76">
        <f ca="1">SUMIF('Production '!$C$4:$AI$4407,'Tracking Sheet'!B1575,'Production '!$W$4:$W$4407)</f>
        <v>14283</v>
      </c>
      <c r="H1575" s="76">
        <f ca="1">SUMIF('Production '!$C$4:$AI$4407,'Tracking Sheet'!B1575,'Production '!$F$4:$F$4407)</f>
        <v>14160</v>
      </c>
      <c r="I1575" s="76">
        <f ca="1">SUMIF('Production '!$C$4:$AI$4407,'Tracking Sheet'!B1575,'Production '!$V$4:$V$4407)</f>
        <v>0</v>
      </c>
      <c r="J1575" s="76">
        <f ca="1">SUMIF('Production '!$C$4:$AI$4407,'Tracking Sheet'!B1575,'Production '!$AG$4:$AG$4407)</f>
        <v>0</v>
      </c>
    </row>
    <row r="1576" spans="2:10" x14ac:dyDescent="0.3">
      <c r="B1576" s="277">
        <f>'Production '!C1579</f>
        <v>0</v>
      </c>
      <c r="C1576" s="76" t="e">
        <f ca="1">SUMIF('Production '!$C$4:$AI$4407,'Tracking Sheet'!B1576,'Production '!$M$4:$M$4407)</f>
        <v>#DIV/0!</v>
      </c>
      <c r="D1576" s="76" t="e">
        <f ca="1">SUMIF('Production '!$C$4:$AI$4407,'Tracking Sheet'!B1576,'Production '!$Q$4:$Q$4407)</f>
        <v>#DIV/0!</v>
      </c>
      <c r="E1576" s="76">
        <f ca="1">SUMIF('Production '!$C$4:$AI$4407,'Tracking Sheet'!B1576,'Production '!$S$4:$S$4407)</f>
        <v>-1268218.9828305368</v>
      </c>
      <c r="F1576" s="76">
        <f ca="1">SUMIF('Production '!$C$4:$AI$4407,'Tracking Sheet'!B1576,'Production '!$U$4:$U$4407)</f>
        <v>-10620.435600016917</v>
      </c>
      <c r="G1576" s="76" t="e">
        <f ca="1">SUMIF('Production '!$C$4:$AI$4407,'Tracking Sheet'!B1576,'Production '!$W$4:$W$4407)</f>
        <v>#DIV/0!</v>
      </c>
      <c r="H1576" s="76">
        <f ca="1">SUMIF('Production '!$C$4:$AI$4407,'Tracking Sheet'!B1576,'Production '!$F$4:$F$4407)</f>
        <v>3230621.3283604058</v>
      </c>
      <c r="I1576" s="76">
        <f ca="1">SUMIF('Production '!$C$4:$AI$4407,'Tracking Sheet'!B1576,'Production '!$V$4:$V$4407)</f>
        <v>-489.86487791182844</v>
      </c>
      <c r="J1576" s="76">
        <f ca="1">SUMIF('Production '!$C$4:$AI$4407,'Tracking Sheet'!B1576,'Production '!$AG$4:$AG$4407)</f>
        <v>0</v>
      </c>
    </row>
    <row r="1577" spans="2:10" x14ac:dyDescent="0.3">
      <c r="B1577" s="277" t="str">
        <f>'Production '!C1580</f>
        <v>27204 60th</v>
      </c>
      <c r="C1577" s="76">
        <f ca="1">SUMIF('Production '!$C$4:$AI$4407,'Tracking Sheet'!B1577,'Production '!$M$4:$M$4407)</f>
        <v>9709</v>
      </c>
      <c r="D1577" s="76">
        <f ca="1">SUMIF('Production '!$C$4:$AI$4407,'Tracking Sheet'!B1577,'Production '!$Q$4:$Q$4407)</f>
        <v>0</v>
      </c>
      <c r="E1577" s="76">
        <f ca="1">SUMIF('Production '!$C$4:$AI$4407,'Tracking Sheet'!B1577,'Production '!$S$4:$S$4407)</f>
        <v>0</v>
      </c>
      <c r="F1577" s="76">
        <f ca="1">SUMIF('Production '!$C$4:$AI$4407,'Tracking Sheet'!B1577,'Production '!$U$4:$U$4407)</f>
        <v>0</v>
      </c>
      <c r="G1577" s="76">
        <f ca="1">SUMIF('Production '!$C$4:$AI$4407,'Tracking Sheet'!B1577,'Production '!$W$4:$W$4407)</f>
        <v>9709</v>
      </c>
      <c r="H1577" s="76">
        <f ca="1">SUMIF('Production '!$C$4:$AI$4407,'Tracking Sheet'!B1577,'Production '!$F$4:$F$4407)</f>
        <v>9600</v>
      </c>
      <c r="I1577" s="76">
        <f ca="1">SUMIF('Production '!$C$4:$AI$4407,'Tracking Sheet'!B1577,'Production '!$V$4:$V$4407)</f>
        <v>0</v>
      </c>
      <c r="J1577" s="76">
        <f ca="1">SUMIF('Production '!$C$4:$AI$4407,'Tracking Sheet'!B1577,'Production '!$AG$4:$AG$4407)</f>
        <v>0</v>
      </c>
    </row>
    <row r="1578" spans="2:10" x14ac:dyDescent="0.3">
      <c r="B1578" s="277" t="str">
        <f>'Production '!C1581</f>
        <v>27204 60th</v>
      </c>
      <c r="C1578" s="76">
        <f ca="1">SUMIF('Production '!$C$4:$AI$4407,'Tracking Sheet'!B1578,'Production '!$M$4:$M$4407)</f>
        <v>9709</v>
      </c>
      <c r="D1578" s="76">
        <f ca="1">SUMIF('Production '!$C$4:$AI$4407,'Tracking Sheet'!B1578,'Production '!$Q$4:$Q$4407)</f>
        <v>0</v>
      </c>
      <c r="E1578" s="76">
        <f ca="1">SUMIF('Production '!$C$4:$AI$4407,'Tracking Sheet'!B1578,'Production '!$S$4:$S$4407)</f>
        <v>0</v>
      </c>
      <c r="F1578" s="76">
        <f ca="1">SUMIF('Production '!$C$4:$AI$4407,'Tracking Sheet'!B1578,'Production '!$U$4:$U$4407)</f>
        <v>0</v>
      </c>
      <c r="G1578" s="76">
        <f ca="1">SUMIF('Production '!$C$4:$AI$4407,'Tracking Sheet'!B1578,'Production '!$W$4:$W$4407)</f>
        <v>9709</v>
      </c>
      <c r="H1578" s="76">
        <f ca="1">SUMIF('Production '!$C$4:$AI$4407,'Tracking Sheet'!B1578,'Production '!$F$4:$F$4407)</f>
        <v>9600</v>
      </c>
      <c r="I1578" s="76">
        <f ca="1">SUMIF('Production '!$C$4:$AI$4407,'Tracking Sheet'!B1578,'Production '!$V$4:$V$4407)</f>
        <v>0</v>
      </c>
      <c r="J1578" s="76">
        <f ca="1">SUMIF('Production '!$C$4:$AI$4407,'Tracking Sheet'!B1578,'Production '!$AG$4:$AG$4407)</f>
        <v>0</v>
      </c>
    </row>
    <row r="1579" spans="2:10" x14ac:dyDescent="0.3">
      <c r="B1579" s="277" t="str">
        <f>'Production '!C1582</f>
        <v>27204 60th</v>
      </c>
      <c r="C1579" s="76">
        <f ca="1">SUMIF('Production '!$C$4:$AI$4407,'Tracking Sheet'!B1579,'Production '!$M$4:$M$4407)</f>
        <v>9709</v>
      </c>
      <c r="D1579" s="76">
        <f ca="1">SUMIF('Production '!$C$4:$AI$4407,'Tracking Sheet'!B1579,'Production '!$Q$4:$Q$4407)</f>
        <v>0</v>
      </c>
      <c r="E1579" s="76">
        <f ca="1">SUMIF('Production '!$C$4:$AI$4407,'Tracking Sheet'!B1579,'Production '!$S$4:$S$4407)</f>
        <v>0</v>
      </c>
      <c r="F1579" s="76">
        <f ca="1">SUMIF('Production '!$C$4:$AI$4407,'Tracking Sheet'!B1579,'Production '!$U$4:$U$4407)</f>
        <v>0</v>
      </c>
      <c r="G1579" s="76">
        <f ca="1">SUMIF('Production '!$C$4:$AI$4407,'Tracking Sheet'!B1579,'Production '!$W$4:$W$4407)</f>
        <v>9709</v>
      </c>
      <c r="H1579" s="76">
        <f ca="1">SUMIF('Production '!$C$4:$AI$4407,'Tracking Sheet'!B1579,'Production '!$F$4:$F$4407)</f>
        <v>9600</v>
      </c>
      <c r="I1579" s="76">
        <f ca="1">SUMIF('Production '!$C$4:$AI$4407,'Tracking Sheet'!B1579,'Production '!$V$4:$V$4407)</f>
        <v>0</v>
      </c>
      <c r="J1579" s="76">
        <f ca="1">SUMIF('Production '!$C$4:$AI$4407,'Tracking Sheet'!B1579,'Production '!$AG$4:$AG$4407)</f>
        <v>0</v>
      </c>
    </row>
    <row r="1580" spans="2:10" x14ac:dyDescent="0.3">
      <c r="B1580" s="277">
        <f>'Production '!C1583</f>
        <v>0</v>
      </c>
      <c r="C1580" s="76" t="e">
        <f ca="1">SUMIF('Production '!$C$4:$AI$4407,'Tracking Sheet'!B1580,'Production '!$M$4:$M$4407)</f>
        <v>#DIV/0!</v>
      </c>
      <c r="D1580" s="76" t="e">
        <f ca="1">SUMIF('Production '!$C$4:$AI$4407,'Tracking Sheet'!B1580,'Production '!$Q$4:$Q$4407)</f>
        <v>#DIV/0!</v>
      </c>
      <c r="E1580" s="76">
        <f ca="1">SUMIF('Production '!$C$4:$AI$4407,'Tracking Sheet'!B1580,'Production '!$S$4:$S$4407)</f>
        <v>-1268218.9828305368</v>
      </c>
      <c r="F1580" s="76">
        <f ca="1">SUMIF('Production '!$C$4:$AI$4407,'Tracking Sheet'!B1580,'Production '!$U$4:$U$4407)</f>
        <v>-10620.435600016917</v>
      </c>
      <c r="G1580" s="76" t="e">
        <f ca="1">SUMIF('Production '!$C$4:$AI$4407,'Tracking Sheet'!B1580,'Production '!$W$4:$W$4407)</f>
        <v>#DIV/0!</v>
      </c>
      <c r="H1580" s="76">
        <f ca="1">SUMIF('Production '!$C$4:$AI$4407,'Tracking Sheet'!B1580,'Production '!$F$4:$F$4407)</f>
        <v>3230621.3283604058</v>
      </c>
      <c r="I1580" s="76">
        <f ca="1">SUMIF('Production '!$C$4:$AI$4407,'Tracking Sheet'!B1580,'Production '!$V$4:$V$4407)</f>
        <v>-489.86487791182844</v>
      </c>
      <c r="J1580" s="76">
        <f ca="1">SUMIF('Production '!$C$4:$AI$4407,'Tracking Sheet'!B1580,'Production '!$AG$4:$AG$4407)</f>
        <v>0</v>
      </c>
    </row>
    <row r="1581" spans="2:10" x14ac:dyDescent="0.3">
      <c r="B1581" s="277" t="str">
        <f>'Production '!C1584</f>
        <v>27204 61th</v>
      </c>
      <c r="C1581" s="76">
        <f ca="1">SUMIF('Production '!$C$4:$AI$4407,'Tracking Sheet'!B1581,'Production '!$M$4:$M$4407)</f>
        <v>10815</v>
      </c>
      <c r="D1581" s="76">
        <f ca="1">SUMIF('Production '!$C$4:$AI$4407,'Tracking Sheet'!B1581,'Production '!$Q$4:$Q$4407)</f>
        <v>0</v>
      </c>
      <c r="E1581" s="76">
        <f ca="1">SUMIF('Production '!$C$4:$AI$4407,'Tracking Sheet'!B1581,'Production '!$S$4:$S$4407)</f>
        <v>0</v>
      </c>
      <c r="F1581" s="76">
        <f ca="1">SUMIF('Production '!$C$4:$AI$4407,'Tracking Sheet'!B1581,'Production '!$U$4:$U$4407)</f>
        <v>0</v>
      </c>
      <c r="G1581" s="76">
        <f ca="1">SUMIF('Production '!$C$4:$AI$4407,'Tracking Sheet'!B1581,'Production '!$W$4:$W$4407)</f>
        <v>10815</v>
      </c>
      <c r="H1581" s="76">
        <f ca="1">SUMIF('Production '!$C$4:$AI$4407,'Tracking Sheet'!B1581,'Production '!$F$4:$F$4407)</f>
        <v>10720</v>
      </c>
      <c r="I1581" s="76">
        <f ca="1">SUMIF('Production '!$C$4:$AI$4407,'Tracking Sheet'!B1581,'Production '!$V$4:$V$4407)</f>
        <v>0</v>
      </c>
      <c r="J1581" s="76">
        <f ca="1">SUMIF('Production '!$C$4:$AI$4407,'Tracking Sheet'!B1581,'Production '!$AG$4:$AG$4407)</f>
        <v>0</v>
      </c>
    </row>
    <row r="1582" spans="2:10" x14ac:dyDescent="0.3">
      <c r="B1582" s="277" t="str">
        <f>'Production '!C1585</f>
        <v>27204 61th</v>
      </c>
      <c r="C1582" s="76">
        <f ca="1">SUMIF('Production '!$C$4:$AI$4407,'Tracking Sheet'!B1582,'Production '!$M$4:$M$4407)</f>
        <v>10815</v>
      </c>
      <c r="D1582" s="76">
        <f ca="1">SUMIF('Production '!$C$4:$AI$4407,'Tracking Sheet'!B1582,'Production '!$Q$4:$Q$4407)</f>
        <v>0</v>
      </c>
      <c r="E1582" s="76">
        <f ca="1">SUMIF('Production '!$C$4:$AI$4407,'Tracking Sheet'!B1582,'Production '!$S$4:$S$4407)</f>
        <v>0</v>
      </c>
      <c r="F1582" s="76">
        <f ca="1">SUMIF('Production '!$C$4:$AI$4407,'Tracking Sheet'!B1582,'Production '!$U$4:$U$4407)</f>
        <v>0</v>
      </c>
      <c r="G1582" s="76">
        <f ca="1">SUMIF('Production '!$C$4:$AI$4407,'Tracking Sheet'!B1582,'Production '!$W$4:$W$4407)</f>
        <v>10815</v>
      </c>
      <c r="H1582" s="76">
        <f ca="1">SUMIF('Production '!$C$4:$AI$4407,'Tracking Sheet'!B1582,'Production '!$F$4:$F$4407)</f>
        <v>10720</v>
      </c>
      <c r="I1582" s="76">
        <f ca="1">SUMIF('Production '!$C$4:$AI$4407,'Tracking Sheet'!B1582,'Production '!$V$4:$V$4407)</f>
        <v>0</v>
      </c>
      <c r="J1582" s="76">
        <f ca="1">SUMIF('Production '!$C$4:$AI$4407,'Tracking Sheet'!B1582,'Production '!$AG$4:$AG$4407)</f>
        <v>0</v>
      </c>
    </row>
    <row r="1583" spans="2:10" x14ac:dyDescent="0.3">
      <c r="B1583" s="277" t="str">
        <f>'Production '!C1586</f>
        <v>27204 61th</v>
      </c>
      <c r="C1583" s="76">
        <f ca="1">SUMIF('Production '!$C$4:$AI$4407,'Tracking Sheet'!B1583,'Production '!$M$4:$M$4407)</f>
        <v>10815</v>
      </c>
      <c r="D1583" s="76">
        <f ca="1">SUMIF('Production '!$C$4:$AI$4407,'Tracking Sheet'!B1583,'Production '!$Q$4:$Q$4407)</f>
        <v>0</v>
      </c>
      <c r="E1583" s="76">
        <f ca="1">SUMIF('Production '!$C$4:$AI$4407,'Tracking Sheet'!B1583,'Production '!$S$4:$S$4407)</f>
        <v>0</v>
      </c>
      <c r="F1583" s="76">
        <f ca="1">SUMIF('Production '!$C$4:$AI$4407,'Tracking Sheet'!B1583,'Production '!$U$4:$U$4407)</f>
        <v>0</v>
      </c>
      <c r="G1583" s="76">
        <f ca="1">SUMIF('Production '!$C$4:$AI$4407,'Tracking Sheet'!B1583,'Production '!$W$4:$W$4407)</f>
        <v>10815</v>
      </c>
      <c r="H1583" s="76">
        <f ca="1">SUMIF('Production '!$C$4:$AI$4407,'Tracking Sheet'!B1583,'Production '!$F$4:$F$4407)</f>
        <v>10720</v>
      </c>
      <c r="I1583" s="76">
        <f ca="1">SUMIF('Production '!$C$4:$AI$4407,'Tracking Sheet'!B1583,'Production '!$V$4:$V$4407)</f>
        <v>0</v>
      </c>
      <c r="J1583" s="76">
        <f ca="1">SUMIF('Production '!$C$4:$AI$4407,'Tracking Sheet'!B1583,'Production '!$AG$4:$AG$4407)</f>
        <v>0</v>
      </c>
    </row>
    <row r="1584" spans="2:10" x14ac:dyDescent="0.3">
      <c r="B1584" s="277">
        <f>'Production '!C1587</f>
        <v>0</v>
      </c>
      <c r="C1584" s="76" t="e">
        <f ca="1">SUMIF('Production '!$C$4:$AI$4407,'Tracking Sheet'!B1584,'Production '!$M$4:$M$4407)</f>
        <v>#DIV/0!</v>
      </c>
      <c r="D1584" s="76" t="e">
        <f ca="1">SUMIF('Production '!$C$4:$AI$4407,'Tracking Sheet'!B1584,'Production '!$Q$4:$Q$4407)</f>
        <v>#DIV/0!</v>
      </c>
      <c r="E1584" s="76">
        <f ca="1">SUMIF('Production '!$C$4:$AI$4407,'Tracking Sheet'!B1584,'Production '!$S$4:$S$4407)</f>
        <v>-1268218.9828305368</v>
      </c>
      <c r="F1584" s="76">
        <f ca="1">SUMIF('Production '!$C$4:$AI$4407,'Tracking Sheet'!B1584,'Production '!$U$4:$U$4407)</f>
        <v>-10620.435600016917</v>
      </c>
      <c r="G1584" s="76" t="e">
        <f ca="1">SUMIF('Production '!$C$4:$AI$4407,'Tracking Sheet'!B1584,'Production '!$W$4:$W$4407)</f>
        <v>#DIV/0!</v>
      </c>
      <c r="H1584" s="76">
        <f ca="1">SUMIF('Production '!$C$4:$AI$4407,'Tracking Sheet'!B1584,'Production '!$F$4:$F$4407)</f>
        <v>3230621.3283604058</v>
      </c>
      <c r="I1584" s="76">
        <f ca="1">SUMIF('Production '!$C$4:$AI$4407,'Tracking Sheet'!B1584,'Production '!$V$4:$V$4407)</f>
        <v>-489.86487791182844</v>
      </c>
      <c r="J1584" s="76">
        <f ca="1">SUMIF('Production '!$C$4:$AI$4407,'Tracking Sheet'!B1584,'Production '!$AG$4:$AG$4407)</f>
        <v>0</v>
      </c>
    </row>
    <row r="1585" spans="2:10" x14ac:dyDescent="0.3">
      <c r="B1585" s="277" t="str">
        <f>'Production '!C1588</f>
        <v>27204 62th</v>
      </c>
      <c r="C1585" s="76">
        <f ca="1">SUMIF('Production '!$C$4:$AI$4407,'Tracking Sheet'!B1585,'Production '!$M$4:$M$4407)</f>
        <v>7905</v>
      </c>
      <c r="D1585" s="76">
        <f ca="1">SUMIF('Production '!$C$4:$AI$4407,'Tracking Sheet'!B1585,'Production '!$Q$4:$Q$4407)</f>
        <v>0</v>
      </c>
      <c r="E1585" s="76">
        <f ca="1">SUMIF('Production '!$C$4:$AI$4407,'Tracking Sheet'!B1585,'Production '!$S$4:$S$4407)</f>
        <v>0</v>
      </c>
      <c r="F1585" s="76">
        <f ca="1">SUMIF('Production '!$C$4:$AI$4407,'Tracking Sheet'!B1585,'Production '!$U$4:$U$4407)</f>
        <v>0</v>
      </c>
      <c r="G1585" s="76">
        <f ca="1">SUMIF('Production '!$C$4:$AI$4407,'Tracking Sheet'!B1585,'Production '!$W$4:$W$4407)</f>
        <v>7905</v>
      </c>
      <c r="H1585" s="76">
        <f ca="1">SUMIF('Production '!$C$4:$AI$4407,'Tracking Sheet'!B1585,'Production '!$F$4:$F$4407)</f>
        <v>7840</v>
      </c>
      <c r="I1585" s="76">
        <f ca="1">SUMIF('Production '!$C$4:$AI$4407,'Tracking Sheet'!B1585,'Production '!$V$4:$V$4407)</f>
        <v>0</v>
      </c>
      <c r="J1585" s="76">
        <f ca="1">SUMIF('Production '!$C$4:$AI$4407,'Tracking Sheet'!B1585,'Production '!$AG$4:$AG$4407)</f>
        <v>0</v>
      </c>
    </row>
    <row r="1586" spans="2:10" x14ac:dyDescent="0.3">
      <c r="B1586" s="277" t="str">
        <f>'Production '!C1589</f>
        <v>27204 62th</v>
      </c>
      <c r="C1586" s="76">
        <f ca="1">SUMIF('Production '!$C$4:$AI$4407,'Tracking Sheet'!B1586,'Production '!$M$4:$M$4407)</f>
        <v>7905</v>
      </c>
      <c r="D1586" s="76">
        <f ca="1">SUMIF('Production '!$C$4:$AI$4407,'Tracking Sheet'!B1586,'Production '!$Q$4:$Q$4407)</f>
        <v>0</v>
      </c>
      <c r="E1586" s="76">
        <f ca="1">SUMIF('Production '!$C$4:$AI$4407,'Tracking Sheet'!B1586,'Production '!$S$4:$S$4407)</f>
        <v>0</v>
      </c>
      <c r="F1586" s="76">
        <f ca="1">SUMIF('Production '!$C$4:$AI$4407,'Tracking Sheet'!B1586,'Production '!$U$4:$U$4407)</f>
        <v>0</v>
      </c>
      <c r="G1586" s="76">
        <f ca="1">SUMIF('Production '!$C$4:$AI$4407,'Tracking Sheet'!B1586,'Production '!$W$4:$W$4407)</f>
        <v>7905</v>
      </c>
      <c r="H1586" s="76">
        <f ca="1">SUMIF('Production '!$C$4:$AI$4407,'Tracking Sheet'!B1586,'Production '!$F$4:$F$4407)</f>
        <v>7840</v>
      </c>
      <c r="I1586" s="76">
        <f ca="1">SUMIF('Production '!$C$4:$AI$4407,'Tracking Sheet'!B1586,'Production '!$V$4:$V$4407)</f>
        <v>0</v>
      </c>
      <c r="J1586" s="76">
        <f ca="1">SUMIF('Production '!$C$4:$AI$4407,'Tracking Sheet'!B1586,'Production '!$AG$4:$AG$4407)</f>
        <v>0</v>
      </c>
    </row>
    <row r="1587" spans="2:10" x14ac:dyDescent="0.3">
      <c r="B1587" s="277">
        <f>'Production '!C1590</f>
        <v>0</v>
      </c>
      <c r="C1587" s="76" t="e">
        <f ca="1">SUMIF('Production '!$C$4:$AI$4407,'Tracking Sheet'!B1587,'Production '!$M$4:$M$4407)</f>
        <v>#DIV/0!</v>
      </c>
      <c r="D1587" s="76" t="e">
        <f ca="1">SUMIF('Production '!$C$4:$AI$4407,'Tracking Sheet'!B1587,'Production '!$Q$4:$Q$4407)</f>
        <v>#DIV/0!</v>
      </c>
      <c r="E1587" s="76">
        <f ca="1">SUMIF('Production '!$C$4:$AI$4407,'Tracking Sheet'!B1587,'Production '!$S$4:$S$4407)</f>
        <v>-1268218.9828305368</v>
      </c>
      <c r="F1587" s="76">
        <f ca="1">SUMIF('Production '!$C$4:$AI$4407,'Tracking Sheet'!B1587,'Production '!$U$4:$U$4407)</f>
        <v>-10620.435600016917</v>
      </c>
      <c r="G1587" s="76" t="e">
        <f ca="1">SUMIF('Production '!$C$4:$AI$4407,'Tracking Sheet'!B1587,'Production '!$W$4:$W$4407)</f>
        <v>#DIV/0!</v>
      </c>
      <c r="H1587" s="76">
        <f ca="1">SUMIF('Production '!$C$4:$AI$4407,'Tracking Sheet'!B1587,'Production '!$F$4:$F$4407)</f>
        <v>3230621.3283604058</v>
      </c>
      <c r="I1587" s="76">
        <f ca="1">SUMIF('Production '!$C$4:$AI$4407,'Tracking Sheet'!B1587,'Production '!$V$4:$V$4407)</f>
        <v>-489.86487791182844</v>
      </c>
      <c r="J1587" s="76">
        <f ca="1">SUMIF('Production '!$C$4:$AI$4407,'Tracking Sheet'!B1587,'Production '!$AG$4:$AG$4407)</f>
        <v>0</v>
      </c>
    </row>
    <row r="1588" spans="2:10" x14ac:dyDescent="0.3">
      <c r="B1588" s="277" t="str">
        <f>'Production '!C1591</f>
        <v>27204 63th</v>
      </c>
      <c r="C1588" s="76">
        <f ca="1">SUMIF('Production '!$C$4:$AI$4407,'Tracking Sheet'!B1588,'Production '!$M$4:$M$4407)</f>
        <v>792</v>
      </c>
      <c r="D1588" s="76">
        <f ca="1">SUMIF('Production '!$C$4:$AI$4407,'Tracking Sheet'!B1588,'Production '!$Q$4:$Q$4407)</f>
        <v>0</v>
      </c>
      <c r="E1588" s="76">
        <f ca="1">SUMIF('Production '!$C$4:$AI$4407,'Tracking Sheet'!B1588,'Production '!$S$4:$S$4407)</f>
        <v>0</v>
      </c>
      <c r="F1588" s="76">
        <f ca="1">SUMIF('Production '!$C$4:$AI$4407,'Tracking Sheet'!B1588,'Production '!$U$4:$U$4407)</f>
        <v>792</v>
      </c>
      <c r="G1588" s="76">
        <f ca="1">SUMIF('Production '!$C$4:$AI$4407,'Tracking Sheet'!B1588,'Production '!$W$4:$W$4407)</f>
        <v>0</v>
      </c>
      <c r="H1588" s="76">
        <f ca="1">SUMIF('Production '!$C$4:$AI$4407,'Tracking Sheet'!B1588,'Production '!$F$4:$F$4407)</f>
        <v>2070</v>
      </c>
      <c r="I1588" s="76">
        <f ca="1">SUMIF('Production '!$C$4:$AI$4407,'Tracking Sheet'!B1588,'Production '!$V$4:$V$4407)</f>
        <v>0</v>
      </c>
      <c r="J1588" s="76">
        <f ca="1">SUMIF('Production '!$C$4:$AI$4407,'Tracking Sheet'!B1588,'Production '!$AG$4:$AG$4407)</f>
        <v>-1296</v>
      </c>
    </row>
    <row r="1589" spans="2:10" x14ac:dyDescent="0.3">
      <c r="B1589" s="277" t="str">
        <f>'Production '!C1592</f>
        <v>27204 63th</v>
      </c>
      <c r="C1589" s="76">
        <f ca="1">SUMIF('Production '!$C$4:$AI$4407,'Tracking Sheet'!B1589,'Production '!$M$4:$M$4407)</f>
        <v>792</v>
      </c>
      <c r="D1589" s="76">
        <f ca="1">SUMIF('Production '!$C$4:$AI$4407,'Tracking Sheet'!B1589,'Production '!$Q$4:$Q$4407)</f>
        <v>0</v>
      </c>
      <c r="E1589" s="76">
        <f ca="1">SUMIF('Production '!$C$4:$AI$4407,'Tracking Sheet'!B1589,'Production '!$S$4:$S$4407)</f>
        <v>0</v>
      </c>
      <c r="F1589" s="76">
        <f ca="1">SUMIF('Production '!$C$4:$AI$4407,'Tracking Sheet'!B1589,'Production '!$U$4:$U$4407)</f>
        <v>792</v>
      </c>
      <c r="G1589" s="76">
        <f ca="1">SUMIF('Production '!$C$4:$AI$4407,'Tracking Sheet'!B1589,'Production '!$W$4:$W$4407)</f>
        <v>0</v>
      </c>
      <c r="H1589" s="76">
        <f ca="1">SUMIF('Production '!$C$4:$AI$4407,'Tracking Sheet'!B1589,'Production '!$F$4:$F$4407)</f>
        <v>2070</v>
      </c>
      <c r="I1589" s="76">
        <f ca="1">SUMIF('Production '!$C$4:$AI$4407,'Tracking Sheet'!B1589,'Production '!$V$4:$V$4407)</f>
        <v>0</v>
      </c>
      <c r="J1589" s="76">
        <f ca="1">SUMIF('Production '!$C$4:$AI$4407,'Tracking Sheet'!B1589,'Production '!$AG$4:$AG$4407)</f>
        <v>-1296</v>
      </c>
    </row>
    <row r="1590" spans="2:10" x14ac:dyDescent="0.3">
      <c r="B1590" s="277" t="str">
        <f>'Production '!C1593</f>
        <v>27204 63th</v>
      </c>
      <c r="C1590" s="76">
        <f ca="1">SUMIF('Production '!$C$4:$AI$4407,'Tracking Sheet'!B1590,'Production '!$M$4:$M$4407)</f>
        <v>792</v>
      </c>
      <c r="D1590" s="76">
        <f ca="1">SUMIF('Production '!$C$4:$AI$4407,'Tracking Sheet'!B1590,'Production '!$Q$4:$Q$4407)</f>
        <v>0</v>
      </c>
      <c r="E1590" s="76">
        <f ca="1">SUMIF('Production '!$C$4:$AI$4407,'Tracking Sheet'!B1590,'Production '!$S$4:$S$4407)</f>
        <v>0</v>
      </c>
      <c r="F1590" s="76">
        <f ca="1">SUMIF('Production '!$C$4:$AI$4407,'Tracking Sheet'!B1590,'Production '!$U$4:$U$4407)</f>
        <v>792</v>
      </c>
      <c r="G1590" s="76">
        <f ca="1">SUMIF('Production '!$C$4:$AI$4407,'Tracking Sheet'!B1590,'Production '!$W$4:$W$4407)</f>
        <v>0</v>
      </c>
      <c r="H1590" s="76">
        <f ca="1">SUMIF('Production '!$C$4:$AI$4407,'Tracking Sheet'!B1590,'Production '!$F$4:$F$4407)</f>
        <v>2070</v>
      </c>
      <c r="I1590" s="76">
        <f ca="1">SUMIF('Production '!$C$4:$AI$4407,'Tracking Sheet'!B1590,'Production '!$V$4:$V$4407)</f>
        <v>0</v>
      </c>
      <c r="J1590" s="76">
        <f ca="1">SUMIF('Production '!$C$4:$AI$4407,'Tracking Sheet'!B1590,'Production '!$AG$4:$AG$4407)</f>
        <v>-1296</v>
      </c>
    </row>
    <row r="1591" spans="2:10" x14ac:dyDescent="0.3">
      <c r="B1591" s="277" t="str">
        <f>'Production '!C1594</f>
        <v>27204 63th</v>
      </c>
      <c r="C1591" s="76">
        <f ca="1">SUMIF('Production '!$C$4:$AI$4407,'Tracking Sheet'!B1591,'Production '!$M$4:$M$4407)</f>
        <v>792</v>
      </c>
      <c r="D1591" s="76">
        <f ca="1">SUMIF('Production '!$C$4:$AI$4407,'Tracking Sheet'!B1591,'Production '!$Q$4:$Q$4407)</f>
        <v>0</v>
      </c>
      <c r="E1591" s="76">
        <f ca="1">SUMIF('Production '!$C$4:$AI$4407,'Tracking Sheet'!B1591,'Production '!$S$4:$S$4407)</f>
        <v>0</v>
      </c>
      <c r="F1591" s="76">
        <f ca="1">SUMIF('Production '!$C$4:$AI$4407,'Tracking Sheet'!B1591,'Production '!$U$4:$U$4407)</f>
        <v>792</v>
      </c>
      <c r="G1591" s="76">
        <f ca="1">SUMIF('Production '!$C$4:$AI$4407,'Tracking Sheet'!B1591,'Production '!$W$4:$W$4407)</f>
        <v>0</v>
      </c>
      <c r="H1591" s="76">
        <f ca="1">SUMIF('Production '!$C$4:$AI$4407,'Tracking Sheet'!B1591,'Production '!$F$4:$F$4407)</f>
        <v>2070</v>
      </c>
      <c r="I1591" s="76">
        <f ca="1">SUMIF('Production '!$C$4:$AI$4407,'Tracking Sheet'!B1591,'Production '!$V$4:$V$4407)</f>
        <v>0</v>
      </c>
      <c r="J1591" s="76">
        <f ca="1">SUMIF('Production '!$C$4:$AI$4407,'Tracking Sheet'!B1591,'Production '!$AG$4:$AG$4407)</f>
        <v>-1296</v>
      </c>
    </row>
    <row r="1592" spans="2:10" x14ac:dyDescent="0.3">
      <c r="B1592" s="277" t="str">
        <f>'Production '!C1595</f>
        <v>27204 63th</v>
      </c>
      <c r="C1592" s="76">
        <f ca="1">SUMIF('Production '!$C$4:$AI$4407,'Tracking Sheet'!B1592,'Production '!$M$4:$M$4407)</f>
        <v>792</v>
      </c>
      <c r="D1592" s="76">
        <f ca="1">SUMIF('Production '!$C$4:$AI$4407,'Tracking Sheet'!B1592,'Production '!$Q$4:$Q$4407)</f>
        <v>0</v>
      </c>
      <c r="E1592" s="76">
        <f ca="1">SUMIF('Production '!$C$4:$AI$4407,'Tracking Sheet'!B1592,'Production '!$S$4:$S$4407)</f>
        <v>0</v>
      </c>
      <c r="F1592" s="76">
        <f ca="1">SUMIF('Production '!$C$4:$AI$4407,'Tracking Sheet'!B1592,'Production '!$U$4:$U$4407)</f>
        <v>792</v>
      </c>
      <c r="G1592" s="76">
        <f ca="1">SUMIF('Production '!$C$4:$AI$4407,'Tracking Sheet'!B1592,'Production '!$W$4:$W$4407)</f>
        <v>0</v>
      </c>
      <c r="H1592" s="76">
        <f ca="1">SUMIF('Production '!$C$4:$AI$4407,'Tracking Sheet'!B1592,'Production '!$F$4:$F$4407)</f>
        <v>2070</v>
      </c>
      <c r="I1592" s="76">
        <f ca="1">SUMIF('Production '!$C$4:$AI$4407,'Tracking Sheet'!B1592,'Production '!$V$4:$V$4407)</f>
        <v>0</v>
      </c>
      <c r="J1592" s="76">
        <f ca="1">SUMIF('Production '!$C$4:$AI$4407,'Tracking Sheet'!B1592,'Production '!$AG$4:$AG$4407)</f>
        <v>-1296</v>
      </c>
    </row>
    <row r="1593" spans="2:10" x14ac:dyDescent="0.3">
      <c r="B1593" s="277">
        <f>'Production '!C1596</f>
        <v>0</v>
      </c>
      <c r="C1593" s="76" t="e">
        <f ca="1">SUMIF('Production '!$C$4:$AI$4407,'Tracking Sheet'!B1593,'Production '!$M$4:$M$4407)</f>
        <v>#DIV/0!</v>
      </c>
      <c r="D1593" s="76" t="e">
        <f ca="1">SUMIF('Production '!$C$4:$AI$4407,'Tracking Sheet'!B1593,'Production '!$Q$4:$Q$4407)</f>
        <v>#DIV/0!</v>
      </c>
      <c r="E1593" s="76">
        <f ca="1">SUMIF('Production '!$C$4:$AI$4407,'Tracking Sheet'!B1593,'Production '!$S$4:$S$4407)</f>
        <v>-1268218.9828305368</v>
      </c>
      <c r="F1593" s="76">
        <f ca="1">SUMIF('Production '!$C$4:$AI$4407,'Tracking Sheet'!B1593,'Production '!$U$4:$U$4407)</f>
        <v>-10620.435600016917</v>
      </c>
      <c r="G1593" s="76" t="e">
        <f ca="1">SUMIF('Production '!$C$4:$AI$4407,'Tracking Sheet'!B1593,'Production '!$W$4:$W$4407)</f>
        <v>#DIV/0!</v>
      </c>
      <c r="H1593" s="76">
        <f ca="1">SUMIF('Production '!$C$4:$AI$4407,'Tracking Sheet'!B1593,'Production '!$F$4:$F$4407)</f>
        <v>3230621.3283604058</v>
      </c>
      <c r="I1593" s="76">
        <f ca="1">SUMIF('Production '!$C$4:$AI$4407,'Tracking Sheet'!B1593,'Production '!$V$4:$V$4407)</f>
        <v>-489.86487791182844</v>
      </c>
      <c r="J1593" s="76">
        <f ca="1">SUMIF('Production '!$C$4:$AI$4407,'Tracking Sheet'!B1593,'Production '!$AG$4:$AG$4407)</f>
        <v>0</v>
      </c>
    </row>
    <row r="1594" spans="2:10" x14ac:dyDescent="0.3">
      <c r="B1594" s="277" t="str">
        <f>'Production '!C1597</f>
        <v>27204 64th</v>
      </c>
      <c r="C1594" s="76">
        <f ca="1">SUMIF('Production '!$C$4:$AI$4407,'Tracking Sheet'!B1594,'Production '!$M$4:$M$4407)</f>
        <v>0</v>
      </c>
      <c r="D1594" s="76">
        <f ca="1">SUMIF('Production '!$C$4:$AI$4407,'Tracking Sheet'!B1594,'Production '!$Q$4:$Q$4407)</f>
        <v>0</v>
      </c>
      <c r="E1594" s="76">
        <f ca="1">SUMIF('Production '!$C$4:$AI$4407,'Tracking Sheet'!B1594,'Production '!$S$4:$S$4407)</f>
        <v>0</v>
      </c>
      <c r="F1594" s="76">
        <f ca="1">SUMIF('Production '!$C$4:$AI$4407,'Tracking Sheet'!B1594,'Production '!$U$4:$U$4407)</f>
        <v>0</v>
      </c>
      <c r="G1594" s="76">
        <f ca="1">SUMIF('Production '!$C$4:$AI$4407,'Tracking Sheet'!B1594,'Production '!$W$4:$W$4407)</f>
        <v>0</v>
      </c>
      <c r="H1594" s="76">
        <f ca="1">SUMIF('Production '!$C$4:$AI$4407,'Tracking Sheet'!B1594,'Production '!$F$4:$F$4407)</f>
        <v>18160</v>
      </c>
      <c r="I1594" s="76">
        <f ca="1">SUMIF('Production '!$C$4:$AI$4407,'Tracking Sheet'!B1594,'Production '!$V$4:$V$4407)</f>
        <v>0</v>
      </c>
      <c r="J1594" s="76">
        <f ca="1">SUMIF('Production '!$C$4:$AI$4407,'Tracking Sheet'!B1594,'Production '!$AG$4:$AG$4407)</f>
        <v>-18160</v>
      </c>
    </row>
    <row r="1595" spans="2:10" x14ac:dyDescent="0.3">
      <c r="B1595" s="277" t="str">
        <f>'Production '!C1598</f>
        <v>27204 64th</v>
      </c>
      <c r="C1595" s="76">
        <f ca="1">SUMIF('Production '!$C$4:$AI$4407,'Tracking Sheet'!B1595,'Production '!$M$4:$M$4407)</f>
        <v>0</v>
      </c>
      <c r="D1595" s="76">
        <f ca="1">SUMIF('Production '!$C$4:$AI$4407,'Tracking Sheet'!B1595,'Production '!$Q$4:$Q$4407)</f>
        <v>0</v>
      </c>
      <c r="E1595" s="76">
        <f ca="1">SUMIF('Production '!$C$4:$AI$4407,'Tracking Sheet'!B1595,'Production '!$S$4:$S$4407)</f>
        <v>0</v>
      </c>
      <c r="F1595" s="76">
        <f ca="1">SUMIF('Production '!$C$4:$AI$4407,'Tracking Sheet'!B1595,'Production '!$U$4:$U$4407)</f>
        <v>0</v>
      </c>
      <c r="G1595" s="76">
        <f ca="1">SUMIF('Production '!$C$4:$AI$4407,'Tracking Sheet'!B1595,'Production '!$W$4:$W$4407)</f>
        <v>0</v>
      </c>
      <c r="H1595" s="76">
        <f ca="1">SUMIF('Production '!$C$4:$AI$4407,'Tracking Sheet'!B1595,'Production '!$F$4:$F$4407)</f>
        <v>18160</v>
      </c>
      <c r="I1595" s="76">
        <f ca="1">SUMIF('Production '!$C$4:$AI$4407,'Tracking Sheet'!B1595,'Production '!$V$4:$V$4407)</f>
        <v>0</v>
      </c>
      <c r="J1595" s="76">
        <f ca="1">SUMIF('Production '!$C$4:$AI$4407,'Tracking Sheet'!B1595,'Production '!$AG$4:$AG$4407)</f>
        <v>-18160</v>
      </c>
    </row>
    <row r="1596" spans="2:10" x14ac:dyDescent="0.3">
      <c r="B1596" s="277" t="str">
        <f>'Production '!C1599</f>
        <v>27204 64th</v>
      </c>
      <c r="C1596" s="76">
        <f ca="1">SUMIF('Production '!$C$4:$AI$4407,'Tracking Sheet'!B1596,'Production '!$M$4:$M$4407)</f>
        <v>0</v>
      </c>
      <c r="D1596" s="76">
        <f ca="1">SUMIF('Production '!$C$4:$AI$4407,'Tracking Sheet'!B1596,'Production '!$Q$4:$Q$4407)</f>
        <v>0</v>
      </c>
      <c r="E1596" s="76">
        <f ca="1">SUMIF('Production '!$C$4:$AI$4407,'Tracking Sheet'!B1596,'Production '!$S$4:$S$4407)</f>
        <v>0</v>
      </c>
      <c r="F1596" s="76">
        <f ca="1">SUMIF('Production '!$C$4:$AI$4407,'Tracking Sheet'!B1596,'Production '!$U$4:$U$4407)</f>
        <v>0</v>
      </c>
      <c r="G1596" s="76">
        <f ca="1">SUMIF('Production '!$C$4:$AI$4407,'Tracking Sheet'!B1596,'Production '!$W$4:$W$4407)</f>
        <v>0</v>
      </c>
      <c r="H1596" s="76">
        <f ca="1">SUMIF('Production '!$C$4:$AI$4407,'Tracking Sheet'!B1596,'Production '!$F$4:$F$4407)</f>
        <v>18160</v>
      </c>
      <c r="I1596" s="76">
        <f ca="1">SUMIF('Production '!$C$4:$AI$4407,'Tracking Sheet'!B1596,'Production '!$V$4:$V$4407)</f>
        <v>0</v>
      </c>
      <c r="J1596" s="76">
        <f ca="1">SUMIF('Production '!$C$4:$AI$4407,'Tracking Sheet'!B1596,'Production '!$AG$4:$AG$4407)</f>
        <v>-18160</v>
      </c>
    </row>
    <row r="1597" spans="2:10" x14ac:dyDescent="0.3">
      <c r="B1597" s="277">
        <f>'Production '!C1600</f>
        <v>0</v>
      </c>
      <c r="C1597" s="76" t="e">
        <f ca="1">SUMIF('Production '!$C$4:$AI$4407,'Tracking Sheet'!B1597,'Production '!$M$4:$M$4407)</f>
        <v>#DIV/0!</v>
      </c>
      <c r="D1597" s="76" t="e">
        <f ca="1">SUMIF('Production '!$C$4:$AI$4407,'Tracking Sheet'!B1597,'Production '!$Q$4:$Q$4407)</f>
        <v>#DIV/0!</v>
      </c>
      <c r="E1597" s="76">
        <f ca="1">SUMIF('Production '!$C$4:$AI$4407,'Tracking Sheet'!B1597,'Production '!$S$4:$S$4407)</f>
        <v>-1268218.9828305368</v>
      </c>
      <c r="F1597" s="76">
        <f ca="1">SUMIF('Production '!$C$4:$AI$4407,'Tracking Sheet'!B1597,'Production '!$U$4:$U$4407)</f>
        <v>-10620.435600016917</v>
      </c>
      <c r="G1597" s="76" t="e">
        <f ca="1">SUMIF('Production '!$C$4:$AI$4407,'Tracking Sheet'!B1597,'Production '!$W$4:$W$4407)</f>
        <v>#DIV/0!</v>
      </c>
      <c r="H1597" s="76">
        <f ca="1">SUMIF('Production '!$C$4:$AI$4407,'Tracking Sheet'!B1597,'Production '!$F$4:$F$4407)</f>
        <v>3230621.3283604058</v>
      </c>
      <c r="I1597" s="76">
        <f ca="1">SUMIF('Production '!$C$4:$AI$4407,'Tracking Sheet'!B1597,'Production '!$V$4:$V$4407)</f>
        <v>-489.86487791182844</v>
      </c>
      <c r="J1597" s="76">
        <f ca="1">SUMIF('Production '!$C$4:$AI$4407,'Tracking Sheet'!B1597,'Production '!$AG$4:$AG$4407)</f>
        <v>0</v>
      </c>
    </row>
    <row r="1598" spans="2:10" x14ac:dyDescent="0.3">
      <c r="B1598" s="277" t="str">
        <f>'Production '!C1601</f>
        <v>27204 65th</v>
      </c>
      <c r="C1598" s="76">
        <f ca="1">SUMIF('Production '!$C$4:$AI$4407,'Tracking Sheet'!B1598,'Production '!$M$4:$M$4407)</f>
        <v>0</v>
      </c>
      <c r="D1598" s="76">
        <f ca="1">SUMIF('Production '!$C$4:$AI$4407,'Tracking Sheet'!B1598,'Production '!$Q$4:$Q$4407)</f>
        <v>0</v>
      </c>
      <c r="E1598" s="76">
        <f ca="1">SUMIF('Production '!$C$4:$AI$4407,'Tracking Sheet'!B1598,'Production '!$S$4:$S$4407)</f>
        <v>0</v>
      </c>
      <c r="F1598" s="76">
        <f ca="1">SUMIF('Production '!$C$4:$AI$4407,'Tracking Sheet'!B1598,'Production '!$U$4:$U$4407)</f>
        <v>0</v>
      </c>
      <c r="G1598" s="76">
        <f ca="1">SUMIF('Production '!$C$4:$AI$4407,'Tracking Sheet'!B1598,'Production '!$W$4:$W$4407)</f>
        <v>0</v>
      </c>
      <c r="H1598" s="76">
        <f ca="1">SUMIF('Production '!$C$4:$AI$4407,'Tracking Sheet'!B1598,'Production '!$F$4:$F$4407)</f>
        <v>19672</v>
      </c>
      <c r="I1598" s="76">
        <f ca="1">SUMIF('Production '!$C$4:$AI$4407,'Tracking Sheet'!B1598,'Production '!$V$4:$V$4407)</f>
        <v>0</v>
      </c>
      <c r="J1598" s="76">
        <f ca="1">SUMIF('Production '!$C$4:$AI$4407,'Tracking Sheet'!B1598,'Production '!$AG$4:$AG$4407)</f>
        <v>-19672</v>
      </c>
    </row>
    <row r="1599" spans="2:10" x14ac:dyDescent="0.3">
      <c r="B1599" s="277" t="str">
        <f>'Production '!C1602</f>
        <v>27204 65th</v>
      </c>
      <c r="C1599" s="76">
        <f ca="1">SUMIF('Production '!$C$4:$AI$4407,'Tracking Sheet'!B1599,'Production '!$M$4:$M$4407)</f>
        <v>0</v>
      </c>
      <c r="D1599" s="76">
        <f ca="1">SUMIF('Production '!$C$4:$AI$4407,'Tracking Sheet'!B1599,'Production '!$Q$4:$Q$4407)</f>
        <v>0</v>
      </c>
      <c r="E1599" s="76">
        <f ca="1">SUMIF('Production '!$C$4:$AI$4407,'Tracking Sheet'!B1599,'Production '!$S$4:$S$4407)</f>
        <v>0</v>
      </c>
      <c r="F1599" s="76">
        <f ca="1">SUMIF('Production '!$C$4:$AI$4407,'Tracking Sheet'!B1599,'Production '!$U$4:$U$4407)</f>
        <v>0</v>
      </c>
      <c r="G1599" s="76">
        <f ca="1">SUMIF('Production '!$C$4:$AI$4407,'Tracking Sheet'!B1599,'Production '!$W$4:$W$4407)</f>
        <v>0</v>
      </c>
      <c r="H1599" s="76">
        <f ca="1">SUMIF('Production '!$C$4:$AI$4407,'Tracking Sheet'!B1599,'Production '!$F$4:$F$4407)</f>
        <v>19672</v>
      </c>
      <c r="I1599" s="76">
        <f ca="1">SUMIF('Production '!$C$4:$AI$4407,'Tracking Sheet'!B1599,'Production '!$V$4:$V$4407)</f>
        <v>0</v>
      </c>
      <c r="J1599" s="76">
        <f ca="1">SUMIF('Production '!$C$4:$AI$4407,'Tracking Sheet'!B1599,'Production '!$AG$4:$AG$4407)</f>
        <v>-19672</v>
      </c>
    </row>
    <row r="1600" spans="2:10" x14ac:dyDescent="0.3">
      <c r="B1600" s="277" t="str">
        <f>'Production '!C1603</f>
        <v>27204 65th</v>
      </c>
      <c r="C1600" s="76">
        <f ca="1">SUMIF('Production '!$C$4:$AI$4407,'Tracking Sheet'!B1600,'Production '!$M$4:$M$4407)</f>
        <v>0</v>
      </c>
      <c r="D1600" s="76">
        <f ca="1">SUMIF('Production '!$C$4:$AI$4407,'Tracking Sheet'!B1600,'Production '!$Q$4:$Q$4407)</f>
        <v>0</v>
      </c>
      <c r="E1600" s="76">
        <f ca="1">SUMIF('Production '!$C$4:$AI$4407,'Tracking Sheet'!B1600,'Production '!$S$4:$S$4407)</f>
        <v>0</v>
      </c>
      <c r="F1600" s="76">
        <f ca="1">SUMIF('Production '!$C$4:$AI$4407,'Tracking Sheet'!B1600,'Production '!$U$4:$U$4407)</f>
        <v>0</v>
      </c>
      <c r="G1600" s="76">
        <f ca="1">SUMIF('Production '!$C$4:$AI$4407,'Tracking Sheet'!B1600,'Production '!$W$4:$W$4407)</f>
        <v>0</v>
      </c>
      <c r="H1600" s="76">
        <f ca="1">SUMIF('Production '!$C$4:$AI$4407,'Tracking Sheet'!B1600,'Production '!$F$4:$F$4407)</f>
        <v>19672</v>
      </c>
      <c r="I1600" s="76">
        <f ca="1">SUMIF('Production '!$C$4:$AI$4407,'Tracking Sheet'!B1600,'Production '!$V$4:$V$4407)</f>
        <v>0</v>
      </c>
      <c r="J1600" s="76">
        <f ca="1">SUMIF('Production '!$C$4:$AI$4407,'Tracking Sheet'!B1600,'Production '!$AG$4:$AG$4407)</f>
        <v>-19672</v>
      </c>
    </row>
    <row r="1601" spans="2:10" x14ac:dyDescent="0.3">
      <c r="B1601" s="277" t="str">
        <f>'Production '!C1604</f>
        <v>27204 65th</v>
      </c>
      <c r="C1601" s="76">
        <f ca="1">SUMIF('Production '!$C$4:$AI$4407,'Tracking Sheet'!B1601,'Production '!$M$4:$M$4407)</f>
        <v>0</v>
      </c>
      <c r="D1601" s="76">
        <f ca="1">SUMIF('Production '!$C$4:$AI$4407,'Tracking Sheet'!B1601,'Production '!$Q$4:$Q$4407)</f>
        <v>0</v>
      </c>
      <c r="E1601" s="76">
        <f ca="1">SUMIF('Production '!$C$4:$AI$4407,'Tracking Sheet'!B1601,'Production '!$S$4:$S$4407)</f>
        <v>0</v>
      </c>
      <c r="F1601" s="76">
        <f ca="1">SUMIF('Production '!$C$4:$AI$4407,'Tracking Sheet'!B1601,'Production '!$U$4:$U$4407)</f>
        <v>0</v>
      </c>
      <c r="G1601" s="76">
        <f ca="1">SUMIF('Production '!$C$4:$AI$4407,'Tracking Sheet'!B1601,'Production '!$W$4:$W$4407)</f>
        <v>0</v>
      </c>
      <c r="H1601" s="76">
        <f ca="1">SUMIF('Production '!$C$4:$AI$4407,'Tracking Sheet'!B1601,'Production '!$F$4:$F$4407)</f>
        <v>19672</v>
      </c>
      <c r="I1601" s="76">
        <f ca="1">SUMIF('Production '!$C$4:$AI$4407,'Tracking Sheet'!B1601,'Production '!$V$4:$V$4407)</f>
        <v>0</v>
      </c>
      <c r="J1601" s="76">
        <f ca="1">SUMIF('Production '!$C$4:$AI$4407,'Tracking Sheet'!B1601,'Production '!$AG$4:$AG$4407)</f>
        <v>-19672</v>
      </c>
    </row>
    <row r="1602" spans="2:10" x14ac:dyDescent="0.3">
      <c r="B1602" s="277" t="str">
        <f>'Production '!C1605</f>
        <v>27204 65th</v>
      </c>
      <c r="C1602" s="76">
        <f ca="1">SUMIF('Production '!$C$4:$AI$4407,'Tracking Sheet'!B1602,'Production '!$M$4:$M$4407)</f>
        <v>0</v>
      </c>
      <c r="D1602" s="76">
        <f ca="1">SUMIF('Production '!$C$4:$AI$4407,'Tracking Sheet'!B1602,'Production '!$Q$4:$Q$4407)</f>
        <v>0</v>
      </c>
      <c r="E1602" s="76">
        <f ca="1">SUMIF('Production '!$C$4:$AI$4407,'Tracking Sheet'!B1602,'Production '!$S$4:$S$4407)</f>
        <v>0</v>
      </c>
      <c r="F1602" s="76">
        <f ca="1">SUMIF('Production '!$C$4:$AI$4407,'Tracking Sheet'!B1602,'Production '!$U$4:$U$4407)</f>
        <v>0</v>
      </c>
      <c r="G1602" s="76">
        <f ca="1">SUMIF('Production '!$C$4:$AI$4407,'Tracking Sheet'!B1602,'Production '!$W$4:$W$4407)</f>
        <v>0</v>
      </c>
      <c r="H1602" s="76">
        <f ca="1">SUMIF('Production '!$C$4:$AI$4407,'Tracking Sheet'!B1602,'Production '!$F$4:$F$4407)</f>
        <v>19672</v>
      </c>
      <c r="I1602" s="76">
        <f ca="1">SUMIF('Production '!$C$4:$AI$4407,'Tracking Sheet'!B1602,'Production '!$V$4:$V$4407)</f>
        <v>0</v>
      </c>
      <c r="J1602" s="76">
        <f ca="1">SUMIF('Production '!$C$4:$AI$4407,'Tracking Sheet'!B1602,'Production '!$AG$4:$AG$4407)</f>
        <v>-19672</v>
      </c>
    </row>
    <row r="1603" spans="2:10" x14ac:dyDescent="0.3">
      <c r="B1603" s="277" t="str">
        <f>'Production '!C1606</f>
        <v>27204 65th</v>
      </c>
      <c r="C1603" s="76">
        <f ca="1">SUMIF('Production '!$C$4:$AI$4407,'Tracking Sheet'!B1603,'Production '!$M$4:$M$4407)</f>
        <v>0</v>
      </c>
      <c r="D1603" s="76">
        <f ca="1">SUMIF('Production '!$C$4:$AI$4407,'Tracking Sheet'!B1603,'Production '!$Q$4:$Q$4407)</f>
        <v>0</v>
      </c>
      <c r="E1603" s="76">
        <f ca="1">SUMIF('Production '!$C$4:$AI$4407,'Tracking Sheet'!B1603,'Production '!$S$4:$S$4407)</f>
        <v>0</v>
      </c>
      <c r="F1603" s="76">
        <f ca="1">SUMIF('Production '!$C$4:$AI$4407,'Tracking Sheet'!B1603,'Production '!$U$4:$U$4407)</f>
        <v>0</v>
      </c>
      <c r="G1603" s="76">
        <f ca="1">SUMIF('Production '!$C$4:$AI$4407,'Tracking Sheet'!B1603,'Production '!$W$4:$W$4407)</f>
        <v>0</v>
      </c>
      <c r="H1603" s="76">
        <f ca="1">SUMIF('Production '!$C$4:$AI$4407,'Tracking Sheet'!B1603,'Production '!$F$4:$F$4407)</f>
        <v>19672</v>
      </c>
      <c r="I1603" s="76">
        <f ca="1">SUMIF('Production '!$C$4:$AI$4407,'Tracking Sheet'!B1603,'Production '!$V$4:$V$4407)</f>
        <v>0</v>
      </c>
      <c r="J1603" s="76">
        <f ca="1">SUMIF('Production '!$C$4:$AI$4407,'Tracking Sheet'!B1603,'Production '!$AG$4:$AG$4407)</f>
        <v>-19672</v>
      </c>
    </row>
    <row r="1604" spans="2:10" x14ac:dyDescent="0.3">
      <c r="B1604" s="277" t="str">
        <f>'Production '!C1607</f>
        <v>27204 65th</v>
      </c>
      <c r="C1604" s="76">
        <f ca="1">SUMIF('Production '!$C$4:$AI$4407,'Tracking Sheet'!B1604,'Production '!$M$4:$M$4407)</f>
        <v>0</v>
      </c>
      <c r="D1604" s="76">
        <f ca="1">SUMIF('Production '!$C$4:$AI$4407,'Tracking Sheet'!B1604,'Production '!$Q$4:$Q$4407)</f>
        <v>0</v>
      </c>
      <c r="E1604" s="76">
        <f ca="1">SUMIF('Production '!$C$4:$AI$4407,'Tracking Sheet'!B1604,'Production '!$S$4:$S$4407)</f>
        <v>0</v>
      </c>
      <c r="F1604" s="76">
        <f ca="1">SUMIF('Production '!$C$4:$AI$4407,'Tracking Sheet'!B1604,'Production '!$U$4:$U$4407)</f>
        <v>0</v>
      </c>
      <c r="G1604" s="76">
        <f ca="1">SUMIF('Production '!$C$4:$AI$4407,'Tracking Sheet'!B1604,'Production '!$W$4:$W$4407)</f>
        <v>0</v>
      </c>
      <c r="H1604" s="76">
        <f ca="1">SUMIF('Production '!$C$4:$AI$4407,'Tracking Sheet'!B1604,'Production '!$F$4:$F$4407)</f>
        <v>19672</v>
      </c>
      <c r="I1604" s="76">
        <f ca="1">SUMIF('Production '!$C$4:$AI$4407,'Tracking Sheet'!B1604,'Production '!$V$4:$V$4407)</f>
        <v>0</v>
      </c>
      <c r="J1604" s="76">
        <f ca="1">SUMIF('Production '!$C$4:$AI$4407,'Tracking Sheet'!B1604,'Production '!$AG$4:$AG$4407)</f>
        <v>-19672</v>
      </c>
    </row>
    <row r="1605" spans="2:10" x14ac:dyDescent="0.3">
      <c r="B1605" s="277" t="str">
        <f>'Production '!C1608</f>
        <v>27204 65th</v>
      </c>
      <c r="C1605" s="76">
        <f ca="1">SUMIF('Production '!$C$4:$AI$4407,'Tracking Sheet'!B1605,'Production '!$M$4:$M$4407)</f>
        <v>0</v>
      </c>
      <c r="D1605" s="76">
        <f ca="1">SUMIF('Production '!$C$4:$AI$4407,'Tracking Sheet'!B1605,'Production '!$Q$4:$Q$4407)</f>
        <v>0</v>
      </c>
      <c r="E1605" s="76">
        <f ca="1">SUMIF('Production '!$C$4:$AI$4407,'Tracking Sheet'!B1605,'Production '!$S$4:$S$4407)</f>
        <v>0</v>
      </c>
      <c r="F1605" s="76">
        <f ca="1">SUMIF('Production '!$C$4:$AI$4407,'Tracking Sheet'!B1605,'Production '!$U$4:$U$4407)</f>
        <v>0</v>
      </c>
      <c r="G1605" s="76">
        <f ca="1">SUMIF('Production '!$C$4:$AI$4407,'Tracking Sheet'!B1605,'Production '!$W$4:$W$4407)</f>
        <v>0</v>
      </c>
      <c r="H1605" s="76">
        <f ca="1">SUMIF('Production '!$C$4:$AI$4407,'Tracking Sheet'!B1605,'Production '!$F$4:$F$4407)</f>
        <v>19672</v>
      </c>
      <c r="I1605" s="76">
        <f ca="1">SUMIF('Production '!$C$4:$AI$4407,'Tracking Sheet'!B1605,'Production '!$V$4:$V$4407)</f>
        <v>0</v>
      </c>
      <c r="J1605" s="76">
        <f ca="1">SUMIF('Production '!$C$4:$AI$4407,'Tracking Sheet'!B1605,'Production '!$AG$4:$AG$4407)</f>
        <v>-19672</v>
      </c>
    </row>
    <row r="1606" spans="2:10" x14ac:dyDescent="0.3">
      <c r="B1606" s="277" t="str">
        <f>'Production '!C1609</f>
        <v>27204 65th</v>
      </c>
      <c r="C1606" s="76">
        <f ca="1">SUMIF('Production '!$C$4:$AI$4407,'Tracking Sheet'!B1606,'Production '!$M$4:$M$4407)</f>
        <v>0</v>
      </c>
      <c r="D1606" s="76">
        <f ca="1">SUMIF('Production '!$C$4:$AI$4407,'Tracking Sheet'!B1606,'Production '!$Q$4:$Q$4407)</f>
        <v>0</v>
      </c>
      <c r="E1606" s="76">
        <f ca="1">SUMIF('Production '!$C$4:$AI$4407,'Tracking Sheet'!B1606,'Production '!$S$4:$S$4407)</f>
        <v>0</v>
      </c>
      <c r="F1606" s="76">
        <f ca="1">SUMIF('Production '!$C$4:$AI$4407,'Tracking Sheet'!B1606,'Production '!$U$4:$U$4407)</f>
        <v>0</v>
      </c>
      <c r="G1606" s="76">
        <f ca="1">SUMIF('Production '!$C$4:$AI$4407,'Tracking Sheet'!B1606,'Production '!$W$4:$W$4407)</f>
        <v>0</v>
      </c>
      <c r="H1606" s="76">
        <f ca="1">SUMIF('Production '!$C$4:$AI$4407,'Tracking Sheet'!B1606,'Production '!$F$4:$F$4407)</f>
        <v>19672</v>
      </c>
      <c r="I1606" s="76">
        <f ca="1">SUMIF('Production '!$C$4:$AI$4407,'Tracking Sheet'!B1606,'Production '!$V$4:$V$4407)</f>
        <v>0</v>
      </c>
      <c r="J1606" s="76">
        <f ca="1">SUMIF('Production '!$C$4:$AI$4407,'Tracking Sheet'!B1606,'Production '!$AG$4:$AG$4407)</f>
        <v>-19672</v>
      </c>
    </row>
    <row r="1607" spans="2:10" x14ac:dyDescent="0.3">
      <c r="B1607" s="277" t="str">
        <f>'Production '!C1610</f>
        <v>27204 65th</v>
      </c>
      <c r="C1607" s="76">
        <f ca="1">SUMIF('Production '!$C$4:$AI$4407,'Tracking Sheet'!B1607,'Production '!$M$4:$M$4407)</f>
        <v>0</v>
      </c>
      <c r="D1607" s="76">
        <f ca="1">SUMIF('Production '!$C$4:$AI$4407,'Tracking Sheet'!B1607,'Production '!$Q$4:$Q$4407)</f>
        <v>0</v>
      </c>
      <c r="E1607" s="76">
        <f ca="1">SUMIF('Production '!$C$4:$AI$4407,'Tracking Sheet'!B1607,'Production '!$S$4:$S$4407)</f>
        <v>0</v>
      </c>
      <c r="F1607" s="76">
        <f ca="1">SUMIF('Production '!$C$4:$AI$4407,'Tracking Sheet'!B1607,'Production '!$U$4:$U$4407)</f>
        <v>0</v>
      </c>
      <c r="G1607" s="76">
        <f ca="1">SUMIF('Production '!$C$4:$AI$4407,'Tracking Sheet'!B1607,'Production '!$W$4:$W$4407)</f>
        <v>0</v>
      </c>
      <c r="H1607" s="76">
        <f ca="1">SUMIF('Production '!$C$4:$AI$4407,'Tracking Sheet'!B1607,'Production '!$F$4:$F$4407)</f>
        <v>19672</v>
      </c>
      <c r="I1607" s="76">
        <f ca="1">SUMIF('Production '!$C$4:$AI$4407,'Tracking Sheet'!B1607,'Production '!$V$4:$V$4407)</f>
        <v>0</v>
      </c>
      <c r="J1607" s="76">
        <f ca="1">SUMIF('Production '!$C$4:$AI$4407,'Tracking Sheet'!B1607,'Production '!$AG$4:$AG$4407)</f>
        <v>-19672</v>
      </c>
    </row>
    <row r="1608" spans="2:10" x14ac:dyDescent="0.3">
      <c r="B1608" s="277" t="str">
        <f>'Production '!C1611</f>
        <v>27204 65th</v>
      </c>
      <c r="C1608" s="76">
        <f ca="1">SUMIF('Production '!$C$4:$AI$4407,'Tracking Sheet'!B1608,'Production '!$M$4:$M$4407)</f>
        <v>0</v>
      </c>
      <c r="D1608" s="76">
        <f ca="1">SUMIF('Production '!$C$4:$AI$4407,'Tracking Sheet'!B1608,'Production '!$Q$4:$Q$4407)</f>
        <v>0</v>
      </c>
      <c r="E1608" s="76">
        <f ca="1">SUMIF('Production '!$C$4:$AI$4407,'Tracking Sheet'!B1608,'Production '!$S$4:$S$4407)</f>
        <v>0</v>
      </c>
      <c r="F1608" s="76">
        <f ca="1">SUMIF('Production '!$C$4:$AI$4407,'Tracking Sheet'!B1608,'Production '!$U$4:$U$4407)</f>
        <v>0</v>
      </c>
      <c r="G1608" s="76">
        <f ca="1">SUMIF('Production '!$C$4:$AI$4407,'Tracking Sheet'!B1608,'Production '!$W$4:$W$4407)</f>
        <v>0</v>
      </c>
      <c r="H1608" s="76">
        <f ca="1">SUMIF('Production '!$C$4:$AI$4407,'Tracking Sheet'!B1608,'Production '!$F$4:$F$4407)</f>
        <v>19672</v>
      </c>
      <c r="I1608" s="76">
        <f ca="1">SUMIF('Production '!$C$4:$AI$4407,'Tracking Sheet'!B1608,'Production '!$V$4:$V$4407)</f>
        <v>0</v>
      </c>
      <c r="J1608" s="76">
        <f ca="1">SUMIF('Production '!$C$4:$AI$4407,'Tracking Sheet'!B1608,'Production '!$AG$4:$AG$4407)</f>
        <v>-19672</v>
      </c>
    </row>
    <row r="1609" spans="2:10" x14ac:dyDescent="0.3">
      <c r="B1609" s="277" t="str">
        <f>'Production '!C1612</f>
        <v>27204 65th</v>
      </c>
      <c r="C1609" s="76">
        <f ca="1">SUMIF('Production '!$C$4:$AI$4407,'Tracking Sheet'!B1609,'Production '!$M$4:$M$4407)</f>
        <v>0</v>
      </c>
      <c r="D1609" s="76">
        <f ca="1">SUMIF('Production '!$C$4:$AI$4407,'Tracking Sheet'!B1609,'Production '!$Q$4:$Q$4407)</f>
        <v>0</v>
      </c>
      <c r="E1609" s="76">
        <f ca="1">SUMIF('Production '!$C$4:$AI$4407,'Tracking Sheet'!B1609,'Production '!$S$4:$S$4407)</f>
        <v>0</v>
      </c>
      <c r="F1609" s="76">
        <f ca="1">SUMIF('Production '!$C$4:$AI$4407,'Tracking Sheet'!B1609,'Production '!$U$4:$U$4407)</f>
        <v>0</v>
      </c>
      <c r="G1609" s="76">
        <f ca="1">SUMIF('Production '!$C$4:$AI$4407,'Tracking Sheet'!B1609,'Production '!$W$4:$W$4407)</f>
        <v>0</v>
      </c>
      <c r="H1609" s="76">
        <f ca="1">SUMIF('Production '!$C$4:$AI$4407,'Tracking Sheet'!B1609,'Production '!$F$4:$F$4407)</f>
        <v>19672</v>
      </c>
      <c r="I1609" s="76">
        <f ca="1">SUMIF('Production '!$C$4:$AI$4407,'Tracking Sheet'!B1609,'Production '!$V$4:$V$4407)</f>
        <v>0</v>
      </c>
      <c r="J1609" s="76">
        <f ca="1">SUMIF('Production '!$C$4:$AI$4407,'Tracking Sheet'!B1609,'Production '!$AG$4:$AG$4407)</f>
        <v>-19672</v>
      </c>
    </row>
    <row r="1610" spans="2:10" x14ac:dyDescent="0.3">
      <c r="B1610" s="277">
        <f>'Production '!C1613</f>
        <v>0</v>
      </c>
      <c r="C1610" s="76" t="e">
        <f ca="1">SUMIF('Production '!$C$4:$AI$4407,'Tracking Sheet'!B1610,'Production '!$M$4:$M$4407)</f>
        <v>#DIV/0!</v>
      </c>
      <c r="D1610" s="76" t="e">
        <f ca="1">SUMIF('Production '!$C$4:$AI$4407,'Tracking Sheet'!B1610,'Production '!$Q$4:$Q$4407)</f>
        <v>#DIV/0!</v>
      </c>
      <c r="E1610" s="76">
        <f ca="1">SUMIF('Production '!$C$4:$AI$4407,'Tracking Sheet'!B1610,'Production '!$S$4:$S$4407)</f>
        <v>-1268218.9828305368</v>
      </c>
      <c r="F1610" s="76">
        <f ca="1">SUMIF('Production '!$C$4:$AI$4407,'Tracking Sheet'!B1610,'Production '!$U$4:$U$4407)</f>
        <v>-10620.435600016917</v>
      </c>
      <c r="G1610" s="76" t="e">
        <f ca="1">SUMIF('Production '!$C$4:$AI$4407,'Tracking Sheet'!B1610,'Production '!$W$4:$W$4407)</f>
        <v>#DIV/0!</v>
      </c>
      <c r="H1610" s="76">
        <f ca="1">SUMIF('Production '!$C$4:$AI$4407,'Tracking Sheet'!B1610,'Production '!$F$4:$F$4407)</f>
        <v>3230621.3283604058</v>
      </c>
      <c r="I1610" s="76">
        <f ca="1">SUMIF('Production '!$C$4:$AI$4407,'Tracking Sheet'!B1610,'Production '!$V$4:$V$4407)</f>
        <v>-489.86487791182844</v>
      </c>
      <c r="J1610" s="76">
        <f ca="1">SUMIF('Production '!$C$4:$AI$4407,'Tracking Sheet'!B1610,'Production '!$AG$4:$AG$4407)</f>
        <v>0</v>
      </c>
    </row>
    <row r="1611" spans="2:10" x14ac:dyDescent="0.3">
      <c r="B1611" s="277" t="str">
        <f>'Production '!C1614</f>
        <v>27204 66th</v>
      </c>
      <c r="C1611" s="76">
        <f ca="1">SUMIF('Production '!$C$4:$AI$4407,'Tracking Sheet'!B1611,'Production '!$M$4:$M$4407)</f>
        <v>0</v>
      </c>
      <c r="D1611" s="76">
        <f ca="1">SUMIF('Production '!$C$4:$AI$4407,'Tracking Sheet'!B1611,'Production '!$Q$4:$Q$4407)</f>
        <v>0</v>
      </c>
      <c r="E1611" s="76">
        <f ca="1">SUMIF('Production '!$C$4:$AI$4407,'Tracking Sheet'!B1611,'Production '!$S$4:$S$4407)</f>
        <v>0</v>
      </c>
      <c r="F1611" s="76">
        <f ca="1">SUMIF('Production '!$C$4:$AI$4407,'Tracking Sheet'!B1611,'Production '!$U$4:$U$4407)</f>
        <v>0</v>
      </c>
      <c r="G1611" s="76">
        <f ca="1">SUMIF('Production '!$C$4:$AI$4407,'Tracking Sheet'!B1611,'Production '!$W$4:$W$4407)</f>
        <v>0</v>
      </c>
      <c r="H1611" s="76">
        <f ca="1">SUMIF('Production '!$C$4:$AI$4407,'Tracking Sheet'!B1611,'Production '!$F$4:$F$4407)</f>
        <v>9690</v>
      </c>
      <c r="I1611" s="76">
        <f ca="1">SUMIF('Production '!$C$4:$AI$4407,'Tracking Sheet'!B1611,'Production '!$V$4:$V$4407)</f>
        <v>0</v>
      </c>
      <c r="J1611" s="76">
        <f ca="1">SUMIF('Production '!$C$4:$AI$4407,'Tracking Sheet'!B1611,'Production '!$AG$4:$AG$4407)</f>
        <v>-9690</v>
      </c>
    </row>
    <row r="1612" spans="2:10" x14ac:dyDescent="0.3">
      <c r="B1612" s="277" t="str">
        <f>'Production '!C1615</f>
        <v>27204 66th</v>
      </c>
      <c r="C1612" s="76">
        <f ca="1">SUMIF('Production '!$C$4:$AI$4407,'Tracking Sheet'!B1612,'Production '!$M$4:$M$4407)</f>
        <v>0</v>
      </c>
      <c r="D1612" s="76">
        <f ca="1">SUMIF('Production '!$C$4:$AI$4407,'Tracking Sheet'!B1612,'Production '!$Q$4:$Q$4407)</f>
        <v>0</v>
      </c>
      <c r="E1612" s="76">
        <f ca="1">SUMIF('Production '!$C$4:$AI$4407,'Tracking Sheet'!B1612,'Production '!$S$4:$S$4407)</f>
        <v>0</v>
      </c>
      <c r="F1612" s="76">
        <f ca="1">SUMIF('Production '!$C$4:$AI$4407,'Tracking Sheet'!B1612,'Production '!$U$4:$U$4407)</f>
        <v>0</v>
      </c>
      <c r="G1612" s="76">
        <f ca="1">SUMIF('Production '!$C$4:$AI$4407,'Tracking Sheet'!B1612,'Production '!$W$4:$W$4407)</f>
        <v>0</v>
      </c>
      <c r="H1612" s="76">
        <f ca="1">SUMIF('Production '!$C$4:$AI$4407,'Tracking Sheet'!B1612,'Production '!$F$4:$F$4407)</f>
        <v>9690</v>
      </c>
      <c r="I1612" s="76">
        <f ca="1">SUMIF('Production '!$C$4:$AI$4407,'Tracking Sheet'!B1612,'Production '!$V$4:$V$4407)</f>
        <v>0</v>
      </c>
      <c r="J1612" s="76">
        <f ca="1">SUMIF('Production '!$C$4:$AI$4407,'Tracking Sheet'!B1612,'Production '!$AG$4:$AG$4407)</f>
        <v>-9690</v>
      </c>
    </row>
    <row r="1613" spans="2:10" x14ac:dyDescent="0.3">
      <c r="B1613" s="277" t="str">
        <f>'Production '!C1616</f>
        <v>27204 66th</v>
      </c>
      <c r="C1613" s="76">
        <f ca="1">SUMIF('Production '!$C$4:$AI$4407,'Tracking Sheet'!B1613,'Production '!$M$4:$M$4407)</f>
        <v>0</v>
      </c>
      <c r="D1613" s="76">
        <f ca="1">SUMIF('Production '!$C$4:$AI$4407,'Tracking Sheet'!B1613,'Production '!$Q$4:$Q$4407)</f>
        <v>0</v>
      </c>
      <c r="E1613" s="76">
        <f ca="1">SUMIF('Production '!$C$4:$AI$4407,'Tracking Sheet'!B1613,'Production '!$S$4:$S$4407)</f>
        <v>0</v>
      </c>
      <c r="F1613" s="76">
        <f ca="1">SUMIF('Production '!$C$4:$AI$4407,'Tracking Sheet'!B1613,'Production '!$U$4:$U$4407)</f>
        <v>0</v>
      </c>
      <c r="G1613" s="76">
        <f ca="1">SUMIF('Production '!$C$4:$AI$4407,'Tracking Sheet'!B1613,'Production '!$W$4:$W$4407)</f>
        <v>0</v>
      </c>
      <c r="H1613" s="76">
        <f ca="1">SUMIF('Production '!$C$4:$AI$4407,'Tracking Sheet'!B1613,'Production '!$F$4:$F$4407)</f>
        <v>9690</v>
      </c>
      <c r="I1613" s="76">
        <f ca="1">SUMIF('Production '!$C$4:$AI$4407,'Tracking Sheet'!B1613,'Production '!$V$4:$V$4407)</f>
        <v>0</v>
      </c>
      <c r="J1613" s="76">
        <f ca="1">SUMIF('Production '!$C$4:$AI$4407,'Tracking Sheet'!B1613,'Production '!$AG$4:$AG$4407)</f>
        <v>-9690</v>
      </c>
    </row>
    <row r="1614" spans="2:10" x14ac:dyDescent="0.3">
      <c r="B1614" s="277" t="str">
        <f>'Production '!C1617</f>
        <v>27204 66th</v>
      </c>
      <c r="C1614" s="76">
        <f ca="1">SUMIF('Production '!$C$4:$AI$4407,'Tracking Sheet'!B1614,'Production '!$M$4:$M$4407)</f>
        <v>0</v>
      </c>
      <c r="D1614" s="76">
        <f ca="1">SUMIF('Production '!$C$4:$AI$4407,'Tracking Sheet'!B1614,'Production '!$Q$4:$Q$4407)</f>
        <v>0</v>
      </c>
      <c r="E1614" s="76">
        <f ca="1">SUMIF('Production '!$C$4:$AI$4407,'Tracking Sheet'!B1614,'Production '!$S$4:$S$4407)</f>
        <v>0</v>
      </c>
      <c r="F1614" s="76">
        <f ca="1">SUMIF('Production '!$C$4:$AI$4407,'Tracking Sheet'!B1614,'Production '!$U$4:$U$4407)</f>
        <v>0</v>
      </c>
      <c r="G1614" s="76">
        <f ca="1">SUMIF('Production '!$C$4:$AI$4407,'Tracking Sheet'!B1614,'Production '!$W$4:$W$4407)</f>
        <v>0</v>
      </c>
      <c r="H1614" s="76">
        <f ca="1">SUMIF('Production '!$C$4:$AI$4407,'Tracking Sheet'!B1614,'Production '!$F$4:$F$4407)</f>
        <v>9690</v>
      </c>
      <c r="I1614" s="76">
        <f ca="1">SUMIF('Production '!$C$4:$AI$4407,'Tracking Sheet'!B1614,'Production '!$V$4:$V$4407)</f>
        <v>0</v>
      </c>
      <c r="J1614" s="76">
        <f ca="1">SUMIF('Production '!$C$4:$AI$4407,'Tracking Sheet'!B1614,'Production '!$AG$4:$AG$4407)</f>
        <v>-9690</v>
      </c>
    </row>
    <row r="1615" spans="2:10" x14ac:dyDescent="0.3">
      <c r="B1615" s="277">
        <f>'Production '!C1618</f>
        <v>0</v>
      </c>
      <c r="C1615" s="76" t="e">
        <f ca="1">SUMIF('Production '!$C$4:$AI$4407,'Tracking Sheet'!B1615,'Production '!$M$4:$M$4407)</f>
        <v>#DIV/0!</v>
      </c>
      <c r="D1615" s="76" t="e">
        <f ca="1">SUMIF('Production '!$C$4:$AI$4407,'Tracking Sheet'!B1615,'Production '!$Q$4:$Q$4407)</f>
        <v>#DIV/0!</v>
      </c>
      <c r="E1615" s="76">
        <f ca="1">SUMIF('Production '!$C$4:$AI$4407,'Tracking Sheet'!B1615,'Production '!$S$4:$S$4407)</f>
        <v>-1268218.9828305368</v>
      </c>
      <c r="F1615" s="76">
        <f ca="1">SUMIF('Production '!$C$4:$AI$4407,'Tracking Sheet'!B1615,'Production '!$U$4:$U$4407)</f>
        <v>-10620.435600016917</v>
      </c>
      <c r="G1615" s="76" t="e">
        <f ca="1">SUMIF('Production '!$C$4:$AI$4407,'Tracking Sheet'!B1615,'Production '!$W$4:$W$4407)</f>
        <v>#DIV/0!</v>
      </c>
      <c r="H1615" s="76">
        <f ca="1">SUMIF('Production '!$C$4:$AI$4407,'Tracking Sheet'!B1615,'Production '!$F$4:$F$4407)</f>
        <v>3230621.3283604058</v>
      </c>
      <c r="I1615" s="76">
        <f ca="1">SUMIF('Production '!$C$4:$AI$4407,'Tracking Sheet'!B1615,'Production '!$V$4:$V$4407)</f>
        <v>-489.86487791182844</v>
      </c>
      <c r="J1615" s="76">
        <f ca="1">SUMIF('Production '!$C$4:$AI$4407,'Tracking Sheet'!B1615,'Production '!$AG$4:$AG$4407)</f>
        <v>0</v>
      </c>
    </row>
    <row r="1616" spans="2:10" x14ac:dyDescent="0.3">
      <c r="B1616" s="277" t="str">
        <f>'Production '!C1619</f>
        <v>27204 67th</v>
      </c>
      <c r="C1616" s="76">
        <f ca="1">SUMIF('Production '!$C$4:$AI$4407,'Tracking Sheet'!B1616,'Production '!$M$4:$M$4407)</f>
        <v>0</v>
      </c>
      <c r="D1616" s="76">
        <f ca="1">SUMIF('Production '!$C$4:$AI$4407,'Tracking Sheet'!B1616,'Production '!$Q$4:$Q$4407)</f>
        <v>0</v>
      </c>
      <c r="E1616" s="76">
        <f ca="1">SUMIF('Production '!$C$4:$AI$4407,'Tracking Sheet'!B1616,'Production '!$S$4:$S$4407)</f>
        <v>0</v>
      </c>
      <c r="F1616" s="76">
        <f ca="1">SUMIF('Production '!$C$4:$AI$4407,'Tracking Sheet'!B1616,'Production '!$U$4:$U$4407)</f>
        <v>0</v>
      </c>
      <c r="G1616" s="76">
        <f ca="1">SUMIF('Production '!$C$4:$AI$4407,'Tracking Sheet'!B1616,'Production '!$W$4:$W$4407)</f>
        <v>0</v>
      </c>
      <c r="H1616" s="76">
        <f ca="1">SUMIF('Production '!$C$4:$AI$4407,'Tracking Sheet'!B1616,'Production '!$F$4:$F$4407)</f>
        <v>11040</v>
      </c>
      <c r="I1616" s="76">
        <f ca="1">SUMIF('Production '!$C$4:$AI$4407,'Tracking Sheet'!B1616,'Production '!$V$4:$V$4407)</f>
        <v>0</v>
      </c>
      <c r="J1616" s="76">
        <f ca="1">SUMIF('Production '!$C$4:$AI$4407,'Tracking Sheet'!B1616,'Production '!$AG$4:$AG$4407)</f>
        <v>-11040</v>
      </c>
    </row>
    <row r="1617" spans="2:10" x14ac:dyDescent="0.3">
      <c r="B1617" s="277" t="str">
        <f>'Production '!C1620</f>
        <v>27204 67th</v>
      </c>
      <c r="C1617" s="76">
        <f ca="1">SUMIF('Production '!$C$4:$AI$4407,'Tracking Sheet'!B1617,'Production '!$M$4:$M$4407)</f>
        <v>0</v>
      </c>
      <c r="D1617" s="76">
        <f ca="1">SUMIF('Production '!$C$4:$AI$4407,'Tracking Sheet'!B1617,'Production '!$Q$4:$Q$4407)</f>
        <v>0</v>
      </c>
      <c r="E1617" s="76">
        <f ca="1">SUMIF('Production '!$C$4:$AI$4407,'Tracking Sheet'!B1617,'Production '!$S$4:$S$4407)</f>
        <v>0</v>
      </c>
      <c r="F1617" s="76">
        <f ca="1">SUMIF('Production '!$C$4:$AI$4407,'Tracking Sheet'!B1617,'Production '!$U$4:$U$4407)</f>
        <v>0</v>
      </c>
      <c r="G1617" s="76">
        <f ca="1">SUMIF('Production '!$C$4:$AI$4407,'Tracking Sheet'!B1617,'Production '!$W$4:$W$4407)</f>
        <v>0</v>
      </c>
      <c r="H1617" s="76">
        <f ca="1">SUMIF('Production '!$C$4:$AI$4407,'Tracking Sheet'!B1617,'Production '!$F$4:$F$4407)</f>
        <v>11040</v>
      </c>
      <c r="I1617" s="76">
        <f ca="1">SUMIF('Production '!$C$4:$AI$4407,'Tracking Sheet'!B1617,'Production '!$V$4:$V$4407)</f>
        <v>0</v>
      </c>
      <c r="J1617" s="76">
        <f ca="1">SUMIF('Production '!$C$4:$AI$4407,'Tracking Sheet'!B1617,'Production '!$AG$4:$AG$4407)</f>
        <v>-11040</v>
      </c>
    </row>
    <row r="1618" spans="2:10" x14ac:dyDescent="0.3">
      <c r="B1618" s="277">
        <f>'Production '!C1621</f>
        <v>0</v>
      </c>
      <c r="C1618" s="76" t="e">
        <f ca="1">SUMIF('Production '!$C$4:$AI$4407,'Tracking Sheet'!B1618,'Production '!$M$4:$M$4407)</f>
        <v>#DIV/0!</v>
      </c>
      <c r="D1618" s="76" t="e">
        <f ca="1">SUMIF('Production '!$C$4:$AI$4407,'Tracking Sheet'!B1618,'Production '!$Q$4:$Q$4407)</f>
        <v>#DIV/0!</v>
      </c>
      <c r="E1618" s="76">
        <f ca="1">SUMIF('Production '!$C$4:$AI$4407,'Tracking Sheet'!B1618,'Production '!$S$4:$S$4407)</f>
        <v>-1268218.9828305368</v>
      </c>
      <c r="F1618" s="76">
        <f ca="1">SUMIF('Production '!$C$4:$AI$4407,'Tracking Sheet'!B1618,'Production '!$U$4:$U$4407)</f>
        <v>-10620.435600016917</v>
      </c>
      <c r="G1618" s="76" t="e">
        <f ca="1">SUMIF('Production '!$C$4:$AI$4407,'Tracking Sheet'!B1618,'Production '!$W$4:$W$4407)</f>
        <v>#DIV/0!</v>
      </c>
      <c r="H1618" s="76">
        <f ca="1">SUMIF('Production '!$C$4:$AI$4407,'Tracking Sheet'!B1618,'Production '!$F$4:$F$4407)</f>
        <v>3230621.3283604058</v>
      </c>
      <c r="I1618" s="76">
        <f ca="1">SUMIF('Production '!$C$4:$AI$4407,'Tracking Sheet'!B1618,'Production '!$V$4:$V$4407)</f>
        <v>-489.86487791182844</v>
      </c>
      <c r="J1618" s="76">
        <f ca="1">SUMIF('Production '!$C$4:$AI$4407,'Tracking Sheet'!B1618,'Production '!$AG$4:$AG$4407)</f>
        <v>0</v>
      </c>
    </row>
    <row r="1619" spans="2:10" x14ac:dyDescent="0.3">
      <c r="B1619" s="277" t="str">
        <f>'Production '!C1622</f>
        <v>27204 68th</v>
      </c>
      <c r="C1619" s="76">
        <f ca="1">SUMIF('Production '!$C$4:$AI$4407,'Tracking Sheet'!B1619,'Production '!$M$4:$M$4407)</f>
        <v>0</v>
      </c>
      <c r="D1619" s="76">
        <f ca="1">SUMIF('Production '!$C$4:$AI$4407,'Tracking Sheet'!B1619,'Production '!$Q$4:$Q$4407)</f>
        <v>0</v>
      </c>
      <c r="E1619" s="76">
        <f ca="1">SUMIF('Production '!$C$4:$AI$4407,'Tracking Sheet'!B1619,'Production '!$S$4:$S$4407)</f>
        <v>0</v>
      </c>
      <c r="F1619" s="76">
        <f ca="1">SUMIF('Production '!$C$4:$AI$4407,'Tracking Sheet'!B1619,'Production '!$U$4:$U$4407)</f>
        <v>0</v>
      </c>
      <c r="G1619" s="76">
        <f ca="1">SUMIF('Production '!$C$4:$AI$4407,'Tracking Sheet'!B1619,'Production '!$W$4:$W$4407)</f>
        <v>0</v>
      </c>
      <c r="H1619" s="76">
        <f ca="1">SUMIF('Production '!$C$4:$AI$4407,'Tracking Sheet'!B1619,'Production '!$F$4:$F$4407)</f>
        <v>3040</v>
      </c>
      <c r="I1619" s="76">
        <f ca="1">SUMIF('Production '!$C$4:$AI$4407,'Tracking Sheet'!B1619,'Production '!$V$4:$V$4407)</f>
        <v>0</v>
      </c>
      <c r="J1619" s="76">
        <f ca="1">SUMIF('Production '!$C$4:$AI$4407,'Tracking Sheet'!B1619,'Production '!$AG$4:$AG$4407)</f>
        <v>-3040</v>
      </c>
    </row>
    <row r="1620" spans="2:10" x14ac:dyDescent="0.3">
      <c r="B1620" s="277">
        <f>'Production '!C1623</f>
        <v>0</v>
      </c>
      <c r="C1620" s="76" t="e">
        <f ca="1">SUMIF('Production '!$C$4:$AI$4407,'Tracking Sheet'!B1620,'Production '!$M$4:$M$4407)</f>
        <v>#DIV/0!</v>
      </c>
      <c r="D1620" s="76" t="e">
        <f ca="1">SUMIF('Production '!$C$4:$AI$4407,'Tracking Sheet'!B1620,'Production '!$Q$4:$Q$4407)</f>
        <v>#DIV/0!</v>
      </c>
      <c r="E1620" s="76">
        <f ca="1">SUMIF('Production '!$C$4:$AI$4407,'Tracking Sheet'!B1620,'Production '!$S$4:$S$4407)</f>
        <v>-1268218.9828305368</v>
      </c>
      <c r="F1620" s="76">
        <f ca="1">SUMIF('Production '!$C$4:$AI$4407,'Tracking Sheet'!B1620,'Production '!$U$4:$U$4407)</f>
        <v>-10620.435600016917</v>
      </c>
      <c r="G1620" s="76" t="e">
        <f ca="1">SUMIF('Production '!$C$4:$AI$4407,'Tracking Sheet'!B1620,'Production '!$W$4:$W$4407)</f>
        <v>#DIV/0!</v>
      </c>
      <c r="H1620" s="76">
        <f ca="1">SUMIF('Production '!$C$4:$AI$4407,'Tracking Sheet'!B1620,'Production '!$F$4:$F$4407)</f>
        <v>3230621.3283604058</v>
      </c>
      <c r="I1620" s="76">
        <f ca="1">SUMIF('Production '!$C$4:$AI$4407,'Tracking Sheet'!B1620,'Production '!$V$4:$V$4407)</f>
        <v>-489.86487791182844</v>
      </c>
      <c r="J1620" s="76">
        <f ca="1">SUMIF('Production '!$C$4:$AI$4407,'Tracking Sheet'!B1620,'Production '!$AG$4:$AG$4407)</f>
        <v>0</v>
      </c>
    </row>
    <row r="1621" spans="2:10" x14ac:dyDescent="0.3">
      <c r="B1621" s="277">
        <f>'Production '!C1624</f>
        <v>48162</v>
      </c>
      <c r="C1621" s="76">
        <f ca="1">SUMIF('Production '!$C$4:$AI$4407,'Tracking Sheet'!B1621,'Production '!$M$4:$M$4407)</f>
        <v>2088</v>
      </c>
      <c r="D1621" s="76">
        <f ca="1">SUMIF('Production '!$C$4:$AI$4407,'Tracking Sheet'!B1621,'Production '!$Q$4:$Q$4407)</f>
        <v>2088</v>
      </c>
      <c r="E1621" s="76">
        <f ca="1">SUMIF('Production '!$C$4:$AI$4407,'Tracking Sheet'!B1621,'Production '!$S$4:$S$4407)</f>
        <v>0</v>
      </c>
      <c r="F1621" s="76">
        <f ca="1">SUMIF('Production '!$C$4:$AI$4407,'Tracking Sheet'!B1621,'Production '!$U$4:$U$4407)</f>
        <v>0</v>
      </c>
      <c r="G1621" s="76">
        <f ca="1">SUMIF('Production '!$C$4:$AI$4407,'Tracking Sheet'!B1621,'Production '!$W$4:$W$4407)</f>
        <v>0</v>
      </c>
      <c r="H1621" s="76">
        <f ca="1">SUMIF('Production '!$C$4:$AI$4407,'Tracking Sheet'!B1621,'Production '!$F$4:$F$4407)</f>
        <v>2016</v>
      </c>
      <c r="I1621" s="76">
        <f ca="1">SUMIF('Production '!$C$4:$AI$4407,'Tracking Sheet'!B1621,'Production '!$V$4:$V$4407)</f>
        <v>0</v>
      </c>
      <c r="J1621" s="76">
        <f ca="1">SUMIF('Production '!$C$4:$AI$4407,'Tracking Sheet'!B1621,'Production '!$AG$4:$AG$4407)</f>
        <v>0</v>
      </c>
    </row>
    <row r="1622" spans="2:10" x14ac:dyDescent="0.3">
      <c r="B1622" s="277">
        <f>'Production '!C1625</f>
        <v>48162</v>
      </c>
      <c r="C1622" s="76">
        <f ca="1">SUMIF('Production '!$C$4:$AI$4407,'Tracking Sheet'!B1622,'Production '!$M$4:$M$4407)</f>
        <v>2088</v>
      </c>
      <c r="D1622" s="76">
        <f ca="1">SUMIF('Production '!$C$4:$AI$4407,'Tracking Sheet'!B1622,'Production '!$Q$4:$Q$4407)</f>
        <v>2088</v>
      </c>
      <c r="E1622" s="76">
        <f ca="1">SUMIF('Production '!$C$4:$AI$4407,'Tracking Sheet'!B1622,'Production '!$S$4:$S$4407)</f>
        <v>0</v>
      </c>
      <c r="F1622" s="76">
        <f ca="1">SUMIF('Production '!$C$4:$AI$4407,'Tracking Sheet'!B1622,'Production '!$U$4:$U$4407)</f>
        <v>0</v>
      </c>
      <c r="G1622" s="76">
        <f ca="1">SUMIF('Production '!$C$4:$AI$4407,'Tracking Sheet'!B1622,'Production '!$W$4:$W$4407)</f>
        <v>0</v>
      </c>
      <c r="H1622" s="76">
        <f ca="1">SUMIF('Production '!$C$4:$AI$4407,'Tracking Sheet'!B1622,'Production '!$F$4:$F$4407)</f>
        <v>2016</v>
      </c>
      <c r="I1622" s="76">
        <f ca="1">SUMIF('Production '!$C$4:$AI$4407,'Tracking Sheet'!B1622,'Production '!$V$4:$V$4407)</f>
        <v>0</v>
      </c>
      <c r="J1622" s="76">
        <f ca="1">SUMIF('Production '!$C$4:$AI$4407,'Tracking Sheet'!B1622,'Production '!$AG$4:$AG$4407)</f>
        <v>0</v>
      </c>
    </row>
    <row r="1623" spans="2:10" x14ac:dyDescent="0.3">
      <c r="B1623" s="277">
        <f>'Production '!C1626</f>
        <v>48162</v>
      </c>
      <c r="C1623" s="76">
        <f ca="1">SUMIF('Production '!$C$4:$AI$4407,'Tracking Sheet'!B1623,'Production '!$M$4:$M$4407)</f>
        <v>2088</v>
      </c>
      <c r="D1623" s="76">
        <f ca="1">SUMIF('Production '!$C$4:$AI$4407,'Tracking Sheet'!B1623,'Production '!$Q$4:$Q$4407)</f>
        <v>2088</v>
      </c>
      <c r="E1623" s="76">
        <f ca="1">SUMIF('Production '!$C$4:$AI$4407,'Tracking Sheet'!B1623,'Production '!$S$4:$S$4407)</f>
        <v>0</v>
      </c>
      <c r="F1623" s="76">
        <f ca="1">SUMIF('Production '!$C$4:$AI$4407,'Tracking Sheet'!B1623,'Production '!$U$4:$U$4407)</f>
        <v>0</v>
      </c>
      <c r="G1623" s="76">
        <f ca="1">SUMIF('Production '!$C$4:$AI$4407,'Tracking Sheet'!B1623,'Production '!$W$4:$W$4407)</f>
        <v>0</v>
      </c>
      <c r="H1623" s="76">
        <f ca="1">SUMIF('Production '!$C$4:$AI$4407,'Tracking Sheet'!B1623,'Production '!$F$4:$F$4407)</f>
        <v>2016</v>
      </c>
      <c r="I1623" s="76">
        <f ca="1">SUMIF('Production '!$C$4:$AI$4407,'Tracking Sheet'!B1623,'Production '!$V$4:$V$4407)</f>
        <v>0</v>
      </c>
      <c r="J1623" s="76">
        <f ca="1">SUMIF('Production '!$C$4:$AI$4407,'Tracking Sheet'!B1623,'Production '!$AG$4:$AG$4407)</f>
        <v>0</v>
      </c>
    </row>
    <row r="1624" spans="2:10" x14ac:dyDescent="0.3">
      <c r="B1624" s="277">
        <f>'Production '!C1627</f>
        <v>0</v>
      </c>
      <c r="C1624" s="76" t="e">
        <f ca="1">SUMIF('Production '!$C$4:$AI$4407,'Tracking Sheet'!B1624,'Production '!$M$4:$M$4407)</f>
        <v>#DIV/0!</v>
      </c>
      <c r="D1624" s="76" t="e">
        <f ca="1">SUMIF('Production '!$C$4:$AI$4407,'Tracking Sheet'!B1624,'Production '!$Q$4:$Q$4407)</f>
        <v>#DIV/0!</v>
      </c>
      <c r="E1624" s="76">
        <f ca="1">SUMIF('Production '!$C$4:$AI$4407,'Tracking Sheet'!B1624,'Production '!$S$4:$S$4407)</f>
        <v>-1268218.9828305368</v>
      </c>
      <c r="F1624" s="76">
        <f ca="1">SUMIF('Production '!$C$4:$AI$4407,'Tracking Sheet'!B1624,'Production '!$U$4:$U$4407)</f>
        <v>-10620.435600016917</v>
      </c>
      <c r="G1624" s="76" t="e">
        <f ca="1">SUMIF('Production '!$C$4:$AI$4407,'Tracking Sheet'!B1624,'Production '!$W$4:$W$4407)</f>
        <v>#DIV/0!</v>
      </c>
      <c r="H1624" s="76">
        <f ca="1">SUMIF('Production '!$C$4:$AI$4407,'Tracking Sheet'!B1624,'Production '!$F$4:$F$4407)</f>
        <v>3230621.3283604058</v>
      </c>
      <c r="I1624" s="76">
        <f ca="1">SUMIF('Production '!$C$4:$AI$4407,'Tracking Sheet'!B1624,'Production '!$V$4:$V$4407)</f>
        <v>-489.86487791182844</v>
      </c>
      <c r="J1624" s="76">
        <f ca="1">SUMIF('Production '!$C$4:$AI$4407,'Tracking Sheet'!B1624,'Production '!$AG$4:$AG$4407)</f>
        <v>0</v>
      </c>
    </row>
    <row r="1625" spans="2:10" x14ac:dyDescent="0.3">
      <c r="B1625" s="277" t="str">
        <f>'Production '!C1628</f>
        <v>30711 8th</v>
      </c>
      <c r="C1625" s="76">
        <f ca="1">SUMIF('Production '!$C$4:$AI$4407,'Tracking Sheet'!B1625,'Production '!$M$4:$M$4407)</f>
        <v>6639</v>
      </c>
      <c r="D1625" s="76">
        <f ca="1">SUMIF('Production '!$C$4:$AI$4407,'Tracking Sheet'!B1625,'Production '!$Q$4:$Q$4407)</f>
        <v>0</v>
      </c>
      <c r="E1625" s="76">
        <f ca="1">SUMIF('Production '!$C$4:$AI$4407,'Tracking Sheet'!B1625,'Production '!$S$4:$S$4407)</f>
        <v>0</v>
      </c>
      <c r="F1625" s="76">
        <f ca="1">SUMIF('Production '!$C$4:$AI$4407,'Tracking Sheet'!B1625,'Production '!$U$4:$U$4407)</f>
        <v>22</v>
      </c>
      <c r="G1625" s="76">
        <f ca="1">SUMIF('Production '!$C$4:$AI$4407,'Tracking Sheet'!B1625,'Production '!$W$4:$W$4407)</f>
        <v>6617</v>
      </c>
      <c r="H1625" s="76">
        <f ca="1">SUMIF('Production '!$C$4:$AI$4407,'Tracking Sheet'!B1625,'Production '!$F$4:$F$4407)</f>
        <v>6480</v>
      </c>
      <c r="I1625" s="76">
        <f ca="1">SUMIF('Production '!$C$4:$AI$4407,'Tracking Sheet'!B1625,'Production '!$V$4:$V$4407)</f>
        <v>0</v>
      </c>
      <c r="J1625" s="76">
        <f ca="1">SUMIF('Production '!$C$4:$AI$4407,'Tracking Sheet'!B1625,'Production '!$AG$4:$AG$4407)</f>
        <v>0</v>
      </c>
    </row>
    <row r="1626" spans="2:10" x14ac:dyDescent="0.3">
      <c r="B1626" s="277" t="str">
        <f>'Production '!C1629</f>
        <v>30711 8th</v>
      </c>
      <c r="C1626" s="76">
        <f ca="1">SUMIF('Production '!$C$4:$AI$4407,'Tracking Sheet'!B1626,'Production '!$M$4:$M$4407)</f>
        <v>6639</v>
      </c>
      <c r="D1626" s="76">
        <f ca="1">SUMIF('Production '!$C$4:$AI$4407,'Tracking Sheet'!B1626,'Production '!$Q$4:$Q$4407)</f>
        <v>0</v>
      </c>
      <c r="E1626" s="76">
        <f ca="1">SUMIF('Production '!$C$4:$AI$4407,'Tracking Sheet'!B1626,'Production '!$S$4:$S$4407)</f>
        <v>0</v>
      </c>
      <c r="F1626" s="76">
        <f ca="1">SUMIF('Production '!$C$4:$AI$4407,'Tracking Sheet'!B1626,'Production '!$U$4:$U$4407)</f>
        <v>22</v>
      </c>
      <c r="G1626" s="76">
        <f ca="1">SUMIF('Production '!$C$4:$AI$4407,'Tracking Sheet'!B1626,'Production '!$W$4:$W$4407)</f>
        <v>6617</v>
      </c>
      <c r="H1626" s="76">
        <f ca="1">SUMIF('Production '!$C$4:$AI$4407,'Tracking Sheet'!B1626,'Production '!$F$4:$F$4407)</f>
        <v>6480</v>
      </c>
      <c r="I1626" s="76">
        <f ca="1">SUMIF('Production '!$C$4:$AI$4407,'Tracking Sheet'!B1626,'Production '!$V$4:$V$4407)</f>
        <v>0</v>
      </c>
      <c r="J1626" s="76">
        <f ca="1">SUMIF('Production '!$C$4:$AI$4407,'Tracking Sheet'!B1626,'Production '!$AG$4:$AG$4407)</f>
        <v>0</v>
      </c>
    </row>
    <row r="1627" spans="2:10" x14ac:dyDescent="0.3">
      <c r="B1627" s="277" t="str">
        <f>'Production '!C1630</f>
        <v>30711 8th</v>
      </c>
      <c r="C1627" s="76">
        <f ca="1">SUMIF('Production '!$C$4:$AI$4407,'Tracking Sheet'!B1627,'Production '!$M$4:$M$4407)</f>
        <v>6639</v>
      </c>
      <c r="D1627" s="76">
        <f ca="1">SUMIF('Production '!$C$4:$AI$4407,'Tracking Sheet'!B1627,'Production '!$Q$4:$Q$4407)</f>
        <v>0</v>
      </c>
      <c r="E1627" s="76">
        <f ca="1">SUMIF('Production '!$C$4:$AI$4407,'Tracking Sheet'!B1627,'Production '!$S$4:$S$4407)</f>
        <v>0</v>
      </c>
      <c r="F1627" s="76">
        <f ca="1">SUMIF('Production '!$C$4:$AI$4407,'Tracking Sheet'!B1627,'Production '!$U$4:$U$4407)</f>
        <v>22</v>
      </c>
      <c r="G1627" s="76">
        <f ca="1">SUMIF('Production '!$C$4:$AI$4407,'Tracking Sheet'!B1627,'Production '!$W$4:$W$4407)</f>
        <v>6617</v>
      </c>
      <c r="H1627" s="76">
        <f ca="1">SUMIF('Production '!$C$4:$AI$4407,'Tracking Sheet'!B1627,'Production '!$F$4:$F$4407)</f>
        <v>6480</v>
      </c>
      <c r="I1627" s="76">
        <f ca="1">SUMIF('Production '!$C$4:$AI$4407,'Tracking Sheet'!B1627,'Production '!$V$4:$V$4407)</f>
        <v>0</v>
      </c>
      <c r="J1627" s="76">
        <f ca="1">SUMIF('Production '!$C$4:$AI$4407,'Tracking Sheet'!B1627,'Production '!$AG$4:$AG$4407)</f>
        <v>0</v>
      </c>
    </row>
    <row r="1628" spans="2:10" x14ac:dyDescent="0.3">
      <c r="B1628" s="277" t="str">
        <f>'Production '!C1631</f>
        <v>30711 8th</v>
      </c>
      <c r="C1628" s="76">
        <f ca="1">SUMIF('Production '!$C$4:$AI$4407,'Tracking Sheet'!B1628,'Production '!$M$4:$M$4407)</f>
        <v>6639</v>
      </c>
      <c r="D1628" s="76">
        <f ca="1">SUMIF('Production '!$C$4:$AI$4407,'Tracking Sheet'!B1628,'Production '!$Q$4:$Q$4407)</f>
        <v>0</v>
      </c>
      <c r="E1628" s="76">
        <f ca="1">SUMIF('Production '!$C$4:$AI$4407,'Tracking Sheet'!B1628,'Production '!$S$4:$S$4407)</f>
        <v>0</v>
      </c>
      <c r="F1628" s="76">
        <f ca="1">SUMIF('Production '!$C$4:$AI$4407,'Tracking Sheet'!B1628,'Production '!$U$4:$U$4407)</f>
        <v>22</v>
      </c>
      <c r="G1628" s="76">
        <f ca="1">SUMIF('Production '!$C$4:$AI$4407,'Tracking Sheet'!B1628,'Production '!$W$4:$W$4407)</f>
        <v>6617</v>
      </c>
      <c r="H1628" s="76">
        <f ca="1">SUMIF('Production '!$C$4:$AI$4407,'Tracking Sheet'!B1628,'Production '!$F$4:$F$4407)</f>
        <v>6480</v>
      </c>
      <c r="I1628" s="76">
        <f ca="1">SUMIF('Production '!$C$4:$AI$4407,'Tracking Sheet'!B1628,'Production '!$V$4:$V$4407)</f>
        <v>0</v>
      </c>
      <c r="J1628" s="76">
        <f ca="1">SUMIF('Production '!$C$4:$AI$4407,'Tracking Sheet'!B1628,'Production '!$AG$4:$AG$4407)</f>
        <v>0</v>
      </c>
    </row>
    <row r="1629" spans="2:10" x14ac:dyDescent="0.3">
      <c r="B1629" s="277" t="str">
        <f>'Production '!C1632</f>
        <v>30711 8th</v>
      </c>
      <c r="C1629" s="76">
        <f ca="1">SUMIF('Production '!$C$4:$AI$4407,'Tracking Sheet'!B1629,'Production '!$M$4:$M$4407)</f>
        <v>6639</v>
      </c>
      <c r="D1629" s="76">
        <f ca="1">SUMIF('Production '!$C$4:$AI$4407,'Tracking Sheet'!B1629,'Production '!$Q$4:$Q$4407)</f>
        <v>0</v>
      </c>
      <c r="E1629" s="76">
        <f ca="1">SUMIF('Production '!$C$4:$AI$4407,'Tracking Sheet'!B1629,'Production '!$S$4:$S$4407)</f>
        <v>0</v>
      </c>
      <c r="F1629" s="76">
        <f ca="1">SUMIF('Production '!$C$4:$AI$4407,'Tracking Sheet'!B1629,'Production '!$U$4:$U$4407)</f>
        <v>22</v>
      </c>
      <c r="G1629" s="76">
        <f ca="1">SUMIF('Production '!$C$4:$AI$4407,'Tracking Sheet'!B1629,'Production '!$W$4:$W$4407)</f>
        <v>6617</v>
      </c>
      <c r="H1629" s="76">
        <f ca="1">SUMIF('Production '!$C$4:$AI$4407,'Tracking Sheet'!B1629,'Production '!$F$4:$F$4407)</f>
        <v>6480</v>
      </c>
      <c r="I1629" s="76">
        <f ca="1">SUMIF('Production '!$C$4:$AI$4407,'Tracking Sheet'!B1629,'Production '!$V$4:$V$4407)</f>
        <v>0</v>
      </c>
      <c r="J1629" s="76">
        <f ca="1">SUMIF('Production '!$C$4:$AI$4407,'Tracking Sheet'!B1629,'Production '!$AG$4:$AG$4407)</f>
        <v>0</v>
      </c>
    </row>
    <row r="1630" spans="2:10" x14ac:dyDescent="0.3">
      <c r="B1630" s="277" t="str">
        <f>'Production '!C1633</f>
        <v>30711 8th</v>
      </c>
      <c r="C1630" s="76">
        <f ca="1">SUMIF('Production '!$C$4:$AI$4407,'Tracking Sheet'!B1630,'Production '!$M$4:$M$4407)</f>
        <v>6639</v>
      </c>
      <c r="D1630" s="76">
        <f ca="1">SUMIF('Production '!$C$4:$AI$4407,'Tracking Sheet'!B1630,'Production '!$Q$4:$Q$4407)</f>
        <v>0</v>
      </c>
      <c r="E1630" s="76">
        <f ca="1">SUMIF('Production '!$C$4:$AI$4407,'Tracking Sheet'!B1630,'Production '!$S$4:$S$4407)</f>
        <v>0</v>
      </c>
      <c r="F1630" s="76">
        <f ca="1">SUMIF('Production '!$C$4:$AI$4407,'Tracking Sheet'!B1630,'Production '!$U$4:$U$4407)</f>
        <v>22</v>
      </c>
      <c r="G1630" s="76">
        <f ca="1">SUMIF('Production '!$C$4:$AI$4407,'Tracking Sheet'!B1630,'Production '!$W$4:$W$4407)</f>
        <v>6617</v>
      </c>
      <c r="H1630" s="76">
        <f ca="1">SUMIF('Production '!$C$4:$AI$4407,'Tracking Sheet'!B1630,'Production '!$F$4:$F$4407)</f>
        <v>6480</v>
      </c>
      <c r="I1630" s="76">
        <f ca="1">SUMIF('Production '!$C$4:$AI$4407,'Tracking Sheet'!B1630,'Production '!$V$4:$V$4407)</f>
        <v>0</v>
      </c>
      <c r="J1630" s="76">
        <f ca="1">SUMIF('Production '!$C$4:$AI$4407,'Tracking Sheet'!B1630,'Production '!$AG$4:$AG$4407)</f>
        <v>0</v>
      </c>
    </row>
    <row r="1631" spans="2:10" x14ac:dyDescent="0.3">
      <c r="B1631" s="277" t="str">
        <f>'Production '!C1634</f>
        <v>30711 8th</v>
      </c>
      <c r="C1631" s="76">
        <f ca="1">SUMIF('Production '!$C$4:$AI$4407,'Tracking Sheet'!B1631,'Production '!$M$4:$M$4407)</f>
        <v>6639</v>
      </c>
      <c r="D1631" s="76">
        <f ca="1">SUMIF('Production '!$C$4:$AI$4407,'Tracking Sheet'!B1631,'Production '!$Q$4:$Q$4407)</f>
        <v>0</v>
      </c>
      <c r="E1631" s="76">
        <f ca="1">SUMIF('Production '!$C$4:$AI$4407,'Tracking Sheet'!B1631,'Production '!$S$4:$S$4407)</f>
        <v>0</v>
      </c>
      <c r="F1631" s="76">
        <f ca="1">SUMIF('Production '!$C$4:$AI$4407,'Tracking Sheet'!B1631,'Production '!$U$4:$U$4407)</f>
        <v>22</v>
      </c>
      <c r="G1631" s="76">
        <f ca="1">SUMIF('Production '!$C$4:$AI$4407,'Tracking Sheet'!B1631,'Production '!$W$4:$W$4407)</f>
        <v>6617</v>
      </c>
      <c r="H1631" s="76">
        <f ca="1">SUMIF('Production '!$C$4:$AI$4407,'Tracking Sheet'!B1631,'Production '!$F$4:$F$4407)</f>
        <v>6480</v>
      </c>
      <c r="I1631" s="76">
        <f ca="1">SUMIF('Production '!$C$4:$AI$4407,'Tracking Sheet'!B1631,'Production '!$V$4:$V$4407)</f>
        <v>0</v>
      </c>
      <c r="J1631" s="76">
        <f ca="1">SUMIF('Production '!$C$4:$AI$4407,'Tracking Sheet'!B1631,'Production '!$AG$4:$AG$4407)</f>
        <v>0</v>
      </c>
    </row>
    <row r="1632" spans="2:10" x14ac:dyDescent="0.3">
      <c r="B1632" s="277" t="str">
        <f>'Production '!C1635</f>
        <v>30711 8th</v>
      </c>
      <c r="C1632" s="76">
        <f ca="1">SUMIF('Production '!$C$4:$AI$4407,'Tracking Sheet'!B1632,'Production '!$M$4:$M$4407)</f>
        <v>6639</v>
      </c>
      <c r="D1632" s="76">
        <f ca="1">SUMIF('Production '!$C$4:$AI$4407,'Tracking Sheet'!B1632,'Production '!$Q$4:$Q$4407)</f>
        <v>0</v>
      </c>
      <c r="E1632" s="76">
        <f ca="1">SUMIF('Production '!$C$4:$AI$4407,'Tracking Sheet'!B1632,'Production '!$S$4:$S$4407)</f>
        <v>0</v>
      </c>
      <c r="F1632" s="76">
        <f ca="1">SUMIF('Production '!$C$4:$AI$4407,'Tracking Sheet'!B1632,'Production '!$U$4:$U$4407)</f>
        <v>22</v>
      </c>
      <c r="G1632" s="76">
        <f ca="1">SUMIF('Production '!$C$4:$AI$4407,'Tracking Sheet'!B1632,'Production '!$W$4:$W$4407)</f>
        <v>6617</v>
      </c>
      <c r="H1632" s="76">
        <f ca="1">SUMIF('Production '!$C$4:$AI$4407,'Tracking Sheet'!B1632,'Production '!$F$4:$F$4407)</f>
        <v>6480</v>
      </c>
      <c r="I1632" s="76">
        <f ca="1">SUMIF('Production '!$C$4:$AI$4407,'Tracking Sheet'!B1632,'Production '!$V$4:$V$4407)</f>
        <v>0</v>
      </c>
      <c r="J1632" s="76">
        <f ca="1">SUMIF('Production '!$C$4:$AI$4407,'Tracking Sheet'!B1632,'Production '!$AG$4:$AG$4407)</f>
        <v>0</v>
      </c>
    </row>
    <row r="1633" spans="2:10" x14ac:dyDescent="0.3">
      <c r="B1633" s="277" t="str">
        <f>'Production '!C1636</f>
        <v>30711 8th</v>
      </c>
      <c r="C1633" s="76">
        <f ca="1">SUMIF('Production '!$C$4:$AI$4407,'Tracking Sheet'!B1633,'Production '!$M$4:$M$4407)</f>
        <v>6639</v>
      </c>
      <c r="D1633" s="76">
        <f ca="1">SUMIF('Production '!$C$4:$AI$4407,'Tracking Sheet'!B1633,'Production '!$Q$4:$Q$4407)</f>
        <v>0</v>
      </c>
      <c r="E1633" s="76">
        <f ca="1">SUMIF('Production '!$C$4:$AI$4407,'Tracking Sheet'!B1633,'Production '!$S$4:$S$4407)</f>
        <v>0</v>
      </c>
      <c r="F1633" s="76">
        <f ca="1">SUMIF('Production '!$C$4:$AI$4407,'Tracking Sheet'!B1633,'Production '!$U$4:$U$4407)</f>
        <v>22</v>
      </c>
      <c r="G1633" s="76">
        <f ca="1">SUMIF('Production '!$C$4:$AI$4407,'Tracking Sheet'!B1633,'Production '!$W$4:$W$4407)</f>
        <v>6617</v>
      </c>
      <c r="H1633" s="76">
        <f ca="1">SUMIF('Production '!$C$4:$AI$4407,'Tracking Sheet'!B1633,'Production '!$F$4:$F$4407)</f>
        <v>6480</v>
      </c>
      <c r="I1633" s="76">
        <f ca="1">SUMIF('Production '!$C$4:$AI$4407,'Tracking Sheet'!B1633,'Production '!$V$4:$V$4407)</f>
        <v>0</v>
      </c>
      <c r="J1633" s="76">
        <f ca="1">SUMIF('Production '!$C$4:$AI$4407,'Tracking Sheet'!B1633,'Production '!$AG$4:$AG$4407)</f>
        <v>0</v>
      </c>
    </row>
    <row r="1634" spans="2:10" x14ac:dyDescent="0.3">
      <c r="B1634" s="277">
        <f>'Production '!C1637</f>
        <v>0</v>
      </c>
      <c r="C1634" s="76" t="e">
        <f ca="1">SUMIF('Production '!$C$4:$AI$4407,'Tracking Sheet'!B1634,'Production '!$M$4:$M$4407)</f>
        <v>#DIV/0!</v>
      </c>
      <c r="D1634" s="76" t="e">
        <f ca="1">SUMIF('Production '!$C$4:$AI$4407,'Tracking Sheet'!B1634,'Production '!$Q$4:$Q$4407)</f>
        <v>#DIV/0!</v>
      </c>
      <c r="E1634" s="76">
        <f ca="1">SUMIF('Production '!$C$4:$AI$4407,'Tracking Sheet'!B1634,'Production '!$S$4:$S$4407)</f>
        <v>-1268218.9828305368</v>
      </c>
      <c r="F1634" s="76">
        <f ca="1">SUMIF('Production '!$C$4:$AI$4407,'Tracking Sheet'!B1634,'Production '!$U$4:$U$4407)</f>
        <v>-10620.435600016917</v>
      </c>
      <c r="G1634" s="76" t="e">
        <f ca="1">SUMIF('Production '!$C$4:$AI$4407,'Tracking Sheet'!B1634,'Production '!$W$4:$W$4407)</f>
        <v>#DIV/0!</v>
      </c>
      <c r="H1634" s="76">
        <f ca="1">SUMIF('Production '!$C$4:$AI$4407,'Tracking Sheet'!B1634,'Production '!$F$4:$F$4407)</f>
        <v>3230621.3283604058</v>
      </c>
      <c r="I1634" s="76">
        <f ca="1">SUMIF('Production '!$C$4:$AI$4407,'Tracking Sheet'!B1634,'Production '!$V$4:$V$4407)</f>
        <v>-489.86487791182844</v>
      </c>
      <c r="J1634" s="76">
        <f ca="1">SUMIF('Production '!$C$4:$AI$4407,'Tracking Sheet'!B1634,'Production '!$AG$4:$AG$4407)</f>
        <v>0</v>
      </c>
    </row>
    <row r="1635" spans="2:10" x14ac:dyDescent="0.3">
      <c r="B1635" s="277">
        <f>'Production '!C1638</f>
        <v>48170</v>
      </c>
      <c r="C1635" s="76">
        <f ca="1">SUMIF('Production '!$C$4:$AI$4407,'Tracking Sheet'!B1635,'Production '!$M$4:$M$4407)</f>
        <v>0</v>
      </c>
      <c r="D1635" s="76">
        <f ca="1">SUMIF('Production '!$C$4:$AI$4407,'Tracking Sheet'!B1635,'Production '!$Q$4:$Q$4407)</f>
        <v>0</v>
      </c>
      <c r="E1635" s="76">
        <f ca="1">SUMIF('Production '!$C$4:$AI$4407,'Tracking Sheet'!B1635,'Production '!$S$4:$S$4407)</f>
        <v>0</v>
      </c>
      <c r="F1635" s="76">
        <f ca="1">SUMIF('Production '!$C$4:$AI$4407,'Tracking Sheet'!B1635,'Production '!$U$4:$U$4407)</f>
        <v>0</v>
      </c>
      <c r="G1635" s="76">
        <f ca="1">SUMIF('Production '!$C$4:$AI$4407,'Tracking Sheet'!B1635,'Production '!$W$4:$W$4407)</f>
        <v>0</v>
      </c>
      <c r="H1635" s="76">
        <f ca="1">SUMIF('Production '!$C$4:$AI$4407,'Tracking Sheet'!B1635,'Production '!$F$4:$F$4407)</f>
        <v>25552</v>
      </c>
      <c r="I1635" s="76">
        <f ca="1">SUMIF('Production '!$C$4:$AI$4407,'Tracking Sheet'!B1635,'Production '!$V$4:$V$4407)</f>
        <v>0</v>
      </c>
      <c r="J1635" s="76">
        <f ca="1">SUMIF('Production '!$C$4:$AI$4407,'Tracking Sheet'!B1635,'Production '!$AG$4:$AG$4407)</f>
        <v>-25552</v>
      </c>
    </row>
    <row r="1636" spans="2:10" x14ac:dyDescent="0.3">
      <c r="B1636" s="277">
        <f>'Production '!C1639</f>
        <v>48170</v>
      </c>
      <c r="C1636" s="76">
        <f ca="1">SUMIF('Production '!$C$4:$AI$4407,'Tracking Sheet'!B1636,'Production '!$M$4:$M$4407)</f>
        <v>0</v>
      </c>
      <c r="D1636" s="76">
        <f ca="1">SUMIF('Production '!$C$4:$AI$4407,'Tracking Sheet'!B1636,'Production '!$Q$4:$Q$4407)</f>
        <v>0</v>
      </c>
      <c r="E1636" s="76">
        <f ca="1">SUMIF('Production '!$C$4:$AI$4407,'Tracking Sheet'!B1636,'Production '!$S$4:$S$4407)</f>
        <v>0</v>
      </c>
      <c r="F1636" s="76">
        <f ca="1">SUMIF('Production '!$C$4:$AI$4407,'Tracking Sheet'!B1636,'Production '!$U$4:$U$4407)</f>
        <v>0</v>
      </c>
      <c r="G1636" s="76">
        <f ca="1">SUMIF('Production '!$C$4:$AI$4407,'Tracking Sheet'!B1636,'Production '!$W$4:$W$4407)</f>
        <v>0</v>
      </c>
      <c r="H1636" s="76">
        <f ca="1">SUMIF('Production '!$C$4:$AI$4407,'Tracking Sheet'!B1636,'Production '!$F$4:$F$4407)</f>
        <v>25552</v>
      </c>
      <c r="I1636" s="76">
        <f ca="1">SUMIF('Production '!$C$4:$AI$4407,'Tracking Sheet'!B1636,'Production '!$V$4:$V$4407)</f>
        <v>0</v>
      </c>
      <c r="J1636" s="76">
        <f ca="1">SUMIF('Production '!$C$4:$AI$4407,'Tracking Sheet'!B1636,'Production '!$AG$4:$AG$4407)</f>
        <v>-25552</v>
      </c>
    </row>
    <row r="1637" spans="2:10" x14ac:dyDescent="0.3">
      <c r="B1637" s="277">
        <f>'Production '!C1640</f>
        <v>48170</v>
      </c>
      <c r="C1637" s="76">
        <f ca="1">SUMIF('Production '!$C$4:$AI$4407,'Tracking Sheet'!B1637,'Production '!$M$4:$M$4407)</f>
        <v>0</v>
      </c>
      <c r="D1637" s="76">
        <f ca="1">SUMIF('Production '!$C$4:$AI$4407,'Tracking Sheet'!B1637,'Production '!$Q$4:$Q$4407)</f>
        <v>0</v>
      </c>
      <c r="E1637" s="76">
        <f ca="1">SUMIF('Production '!$C$4:$AI$4407,'Tracking Sheet'!B1637,'Production '!$S$4:$S$4407)</f>
        <v>0</v>
      </c>
      <c r="F1637" s="76">
        <f ca="1">SUMIF('Production '!$C$4:$AI$4407,'Tracking Sheet'!B1637,'Production '!$U$4:$U$4407)</f>
        <v>0</v>
      </c>
      <c r="G1637" s="76">
        <f ca="1">SUMIF('Production '!$C$4:$AI$4407,'Tracking Sheet'!B1637,'Production '!$W$4:$W$4407)</f>
        <v>0</v>
      </c>
      <c r="H1637" s="76">
        <f ca="1">SUMIF('Production '!$C$4:$AI$4407,'Tracking Sheet'!B1637,'Production '!$F$4:$F$4407)</f>
        <v>25552</v>
      </c>
      <c r="I1637" s="76">
        <f ca="1">SUMIF('Production '!$C$4:$AI$4407,'Tracking Sheet'!B1637,'Production '!$V$4:$V$4407)</f>
        <v>0</v>
      </c>
      <c r="J1637" s="76">
        <f ca="1">SUMIF('Production '!$C$4:$AI$4407,'Tracking Sheet'!B1637,'Production '!$AG$4:$AG$4407)</f>
        <v>-25552</v>
      </c>
    </row>
    <row r="1638" spans="2:10" x14ac:dyDescent="0.3">
      <c r="B1638" s="277">
        <f>'Production '!C1641</f>
        <v>48170</v>
      </c>
      <c r="C1638" s="76">
        <f ca="1">SUMIF('Production '!$C$4:$AI$4407,'Tracking Sheet'!B1638,'Production '!$M$4:$M$4407)</f>
        <v>0</v>
      </c>
      <c r="D1638" s="76">
        <f ca="1">SUMIF('Production '!$C$4:$AI$4407,'Tracking Sheet'!B1638,'Production '!$Q$4:$Q$4407)</f>
        <v>0</v>
      </c>
      <c r="E1638" s="76">
        <f ca="1">SUMIF('Production '!$C$4:$AI$4407,'Tracking Sheet'!B1638,'Production '!$S$4:$S$4407)</f>
        <v>0</v>
      </c>
      <c r="F1638" s="76">
        <f ca="1">SUMIF('Production '!$C$4:$AI$4407,'Tracking Sheet'!B1638,'Production '!$U$4:$U$4407)</f>
        <v>0</v>
      </c>
      <c r="G1638" s="76">
        <f ca="1">SUMIF('Production '!$C$4:$AI$4407,'Tracking Sheet'!B1638,'Production '!$W$4:$W$4407)</f>
        <v>0</v>
      </c>
      <c r="H1638" s="76">
        <f ca="1">SUMIF('Production '!$C$4:$AI$4407,'Tracking Sheet'!B1638,'Production '!$F$4:$F$4407)</f>
        <v>25552</v>
      </c>
      <c r="I1638" s="76">
        <f ca="1">SUMIF('Production '!$C$4:$AI$4407,'Tracking Sheet'!B1638,'Production '!$V$4:$V$4407)</f>
        <v>0</v>
      </c>
      <c r="J1638" s="76">
        <f ca="1">SUMIF('Production '!$C$4:$AI$4407,'Tracking Sheet'!B1638,'Production '!$AG$4:$AG$4407)</f>
        <v>-25552</v>
      </c>
    </row>
    <row r="1639" spans="2:10" x14ac:dyDescent="0.3">
      <c r="B1639" s="277">
        <f>'Production '!C1642</f>
        <v>48170</v>
      </c>
      <c r="C1639" s="76">
        <f ca="1">SUMIF('Production '!$C$4:$AI$4407,'Tracking Sheet'!B1639,'Production '!$M$4:$M$4407)</f>
        <v>0</v>
      </c>
      <c r="D1639" s="76">
        <f ca="1">SUMIF('Production '!$C$4:$AI$4407,'Tracking Sheet'!B1639,'Production '!$Q$4:$Q$4407)</f>
        <v>0</v>
      </c>
      <c r="E1639" s="76">
        <f ca="1">SUMIF('Production '!$C$4:$AI$4407,'Tracking Sheet'!B1639,'Production '!$S$4:$S$4407)</f>
        <v>0</v>
      </c>
      <c r="F1639" s="76">
        <f ca="1">SUMIF('Production '!$C$4:$AI$4407,'Tracking Sheet'!B1639,'Production '!$U$4:$U$4407)</f>
        <v>0</v>
      </c>
      <c r="G1639" s="76">
        <f ca="1">SUMIF('Production '!$C$4:$AI$4407,'Tracking Sheet'!B1639,'Production '!$W$4:$W$4407)</f>
        <v>0</v>
      </c>
      <c r="H1639" s="76">
        <f ca="1">SUMIF('Production '!$C$4:$AI$4407,'Tracking Sheet'!B1639,'Production '!$F$4:$F$4407)</f>
        <v>25552</v>
      </c>
      <c r="I1639" s="76">
        <f ca="1">SUMIF('Production '!$C$4:$AI$4407,'Tracking Sheet'!B1639,'Production '!$V$4:$V$4407)</f>
        <v>0</v>
      </c>
      <c r="J1639" s="76">
        <f ca="1">SUMIF('Production '!$C$4:$AI$4407,'Tracking Sheet'!B1639,'Production '!$AG$4:$AG$4407)</f>
        <v>-25552</v>
      </c>
    </row>
    <row r="1640" spans="2:10" x14ac:dyDescent="0.3">
      <c r="B1640" s="277">
        <f>'Production '!C1643</f>
        <v>48170</v>
      </c>
      <c r="C1640" s="76">
        <f ca="1">SUMIF('Production '!$C$4:$AI$4407,'Tracking Sheet'!B1640,'Production '!$M$4:$M$4407)</f>
        <v>0</v>
      </c>
      <c r="D1640" s="76">
        <f ca="1">SUMIF('Production '!$C$4:$AI$4407,'Tracking Sheet'!B1640,'Production '!$Q$4:$Q$4407)</f>
        <v>0</v>
      </c>
      <c r="E1640" s="76">
        <f ca="1">SUMIF('Production '!$C$4:$AI$4407,'Tracking Sheet'!B1640,'Production '!$S$4:$S$4407)</f>
        <v>0</v>
      </c>
      <c r="F1640" s="76">
        <f ca="1">SUMIF('Production '!$C$4:$AI$4407,'Tracking Sheet'!B1640,'Production '!$U$4:$U$4407)</f>
        <v>0</v>
      </c>
      <c r="G1640" s="76">
        <f ca="1">SUMIF('Production '!$C$4:$AI$4407,'Tracking Sheet'!B1640,'Production '!$W$4:$W$4407)</f>
        <v>0</v>
      </c>
      <c r="H1640" s="76">
        <f ca="1">SUMIF('Production '!$C$4:$AI$4407,'Tracking Sheet'!B1640,'Production '!$F$4:$F$4407)</f>
        <v>25552</v>
      </c>
      <c r="I1640" s="76">
        <f ca="1">SUMIF('Production '!$C$4:$AI$4407,'Tracking Sheet'!B1640,'Production '!$V$4:$V$4407)</f>
        <v>0</v>
      </c>
      <c r="J1640" s="76">
        <f ca="1">SUMIF('Production '!$C$4:$AI$4407,'Tracking Sheet'!B1640,'Production '!$AG$4:$AG$4407)</f>
        <v>-25552</v>
      </c>
    </row>
    <row r="1641" spans="2:10" x14ac:dyDescent="0.3">
      <c r="B1641" s="277">
        <f>'Production '!C1644</f>
        <v>0</v>
      </c>
      <c r="C1641" s="76" t="e">
        <f ca="1">SUMIF('Production '!$C$4:$AI$4407,'Tracking Sheet'!B1641,'Production '!$M$4:$M$4407)</f>
        <v>#DIV/0!</v>
      </c>
      <c r="D1641" s="76" t="e">
        <f ca="1">SUMIF('Production '!$C$4:$AI$4407,'Tracking Sheet'!B1641,'Production '!$Q$4:$Q$4407)</f>
        <v>#DIV/0!</v>
      </c>
      <c r="E1641" s="76">
        <f ca="1">SUMIF('Production '!$C$4:$AI$4407,'Tracking Sheet'!B1641,'Production '!$S$4:$S$4407)</f>
        <v>-1268218.9828305368</v>
      </c>
      <c r="F1641" s="76">
        <f ca="1">SUMIF('Production '!$C$4:$AI$4407,'Tracking Sheet'!B1641,'Production '!$U$4:$U$4407)</f>
        <v>-10620.435600016917</v>
      </c>
      <c r="G1641" s="76" t="e">
        <f ca="1">SUMIF('Production '!$C$4:$AI$4407,'Tracking Sheet'!B1641,'Production '!$W$4:$W$4407)</f>
        <v>#DIV/0!</v>
      </c>
      <c r="H1641" s="76">
        <f ca="1">SUMIF('Production '!$C$4:$AI$4407,'Tracking Sheet'!B1641,'Production '!$F$4:$F$4407)</f>
        <v>3230621.3283604058</v>
      </c>
      <c r="I1641" s="76">
        <f ca="1">SUMIF('Production '!$C$4:$AI$4407,'Tracking Sheet'!B1641,'Production '!$V$4:$V$4407)</f>
        <v>-489.86487791182844</v>
      </c>
      <c r="J1641" s="76">
        <f ca="1">SUMIF('Production '!$C$4:$AI$4407,'Tracking Sheet'!B1641,'Production '!$AG$4:$AG$4407)</f>
        <v>0</v>
      </c>
    </row>
    <row r="1642" spans="2:10" x14ac:dyDescent="0.3">
      <c r="B1642" s="277" t="str">
        <f>'Production '!C1645</f>
        <v>30710 12th</v>
      </c>
      <c r="C1642" s="76">
        <f ca="1">SUMIF('Production '!$C$4:$AI$4407,'Tracking Sheet'!B1642,'Production '!$M$4:$M$4407)</f>
        <v>4372</v>
      </c>
      <c r="D1642" s="76">
        <f ca="1">SUMIF('Production '!$C$4:$AI$4407,'Tracking Sheet'!B1642,'Production '!$Q$4:$Q$4407)</f>
        <v>0</v>
      </c>
      <c r="E1642" s="76">
        <f ca="1">SUMIF('Production '!$C$4:$AI$4407,'Tracking Sheet'!B1642,'Production '!$S$4:$S$4407)</f>
        <v>0</v>
      </c>
      <c r="F1642" s="76">
        <f ca="1">SUMIF('Production '!$C$4:$AI$4407,'Tracking Sheet'!B1642,'Production '!$U$4:$U$4407)</f>
        <v>1</v>
      </c>
      <c r="G1642" s="76">
        <f ca="1">SUMIF('Production '!$C$4:$AI$4407,'Tracking Sheet'!B1642,'Production '!$W$4:$W$4407)</f>
        <v>4371</v>
      </c>
      <c r="H1642" s="76">
        <f ca="1">SUMIF('Production '!$C$4:$AI$4407,'Tracking Sheet'!B1642,'Production '!$F$4:$F$4407)</f>
        <v>4320</v>
      </c>
      <c r="I1642" s="76">
        <f ca="1">SUMIF('Production '!$C$4:$AI$4407,'Tracking Sheet'!B1642,'Production '!$V$4:$V$4407)</f>
        <v>0</v>
      </c>
      <c r="J1642" s="76">
        <f ca="1">SUMIF('Production '!$C$4:$AI$4407,'Tracking Sheet'!B1642,'Production '!$AG$4:$AG$4407)</f>
        <v>0</v>
      </c>
    </row>
    <row r="1643" spans="2:10" x14ac:dyDescent="0.3">
      <c r="B1643" s="277" t="str">
        <f>'Production '!C1646</f>
        <v>30710 12th</v>
      </c>
      <c r="C1643" s="76">
        <f ca="1">SUMIF('Production '!$C$4:$AI$4407,'Tracking Sheet'!B1643,'Production '!$M$4:$M$4407)</f>
        <v>4372</v>
      </c>
      <c r="D1643" s="76">
        <f ca="1">SUMIF('Production '!$C$4:$AI$4407,'Tracking Sheet'!B1643,'Production '!$Q$4:$Q$4407)</f>
        <v>0</v>
      </c>
      <c r="E1643" s="76">
        <f ca="1">SUMIF('Production '!$C$4:$AI$4407,'Tracking Sheet'!B1643,'Production '!$S$4:$S$4407)</f>
        <v>0</v>
      </c>
      <c r="F1643" s="76">
        <f ca="1">SUMIF('Production '!$C$4:$AI$4407,'Tracking Sheet'!B1643,'Production '!$U$4:$U$4407)</f>
        <v>1</v>
      </c>
      <c r="G1643" s="76">
        <f ca="1">SUMIF('Production '!$C$4:$AI$4407,'Tracking Sheet'!B1643,'Production '!$W$4:$W$4407)</f>
        <v>4371</v>
      </c>
      <c r="H1643" s="76">
        <f ca="1">SUMIF('Production '!$C$4:$AI$4407,'Tracking Sheet'!B1643,'Production '!$F$4:$F$4407)</f>
        <v>4320</v>
      </c>
      <c r="I1643" s="76">
        <f ca="1">SUMIF('Production '!$C$4:$AI$4407,'Tracking Sheet'!B1643,'Production '!$V$4:$V$4407)</f>
        <v>0</v>
      </c>
      <c r="J1643" s="76">
        <f ca="1">SUMIF('Production '!$C$4:$AI$4407,'Tracking Sheet'!B1643,'Production '!$AG$4:$AG$4407)</f>
        <v>0</v>
      </c>
    </row>
    <row r="1644" spans="2:10" x14ac:dyDescent="0.3">
      <c r="B1644" s="277">
        <f>'Production '!C1647</f>
        <v>0</v>
      </c>
      <c r="C1644" s="76" t="e">
        <f ca="1">SUMIF('Production '!$C$4:$AI$4407,'Tracking Sheet'!B1644,'Production '!$M$4:$M$4407)</f>
        <v>#DIV/0!</v>
      </c>
      <c r="D1644" s="76" t="e">
        <f ca="1">SUMIF('Production '!$C$4:$AI$4407,'Tracking Sheet'!B1644,'Production '!$Q$4:$Q$4407)</f>
        <v>#DIV/0!</v>
      </c>
      <c r="E1644" s="76">
        <f ca="1">SUMIF('Production '!$C$4:$AI$4407,'Tracking Sheet'!B1644,'Production '!$S$4:$S$4407)</f>
        <v>-1268218.9828305368</v>
      </c>
      <c r="F1644" s="76">
        <f ca="1">SUMIF('Production '!$C$4:$AI$4407,'Tracking Sheet'!B1644,'Production '!$U$4:$U$4407)</f>
        <v>-10620.435600016917</v>
      </c>
      <c r="G1644" s="76" t="e">
        <f ca="1">SUMIF('Production '!$C$4:$AI$4407,'Tracking Sheet'!B1644,'Production '!$W$4:$W$4407)</f>
        <v>#DIV/0!</v>
      </c>
      <c r="H1644" s="76">
        <f ca="1">SUMIF('Production '!$C$4:$AI$4407,'Tracking Sheet'!B1644,'Production '!$F$4:$F$4407)</f>
        <v>3230621.3283604058</v>
      </c>
      <c r="I1644" s="76">
        <f ca="1">SUMIF('Production '!$C$4:$AI$4407,'Tracking Sheet'!B1644,'Production '!$V$4:$V$4407)</f>
        <v>-489.86487791182844</v>
      </c>
      <c r="J1644" s="76">
        <f ca="1">SUMIF('Production '!$C$4:$AI$4407,'Tracking Sheet'!B1644,'Production '!$AG$4:$AG$4407)</f>
        <v>0</v>
      </c>
    </row>
    <row r="1645" spans="2:10" x14ac:dyDescent="0.3">
      <c r="B1645" s="277">
        <f>'Production '!C1648</f>
        <v>48180</v>
      </c>
      <c r="C1645" s="76">
        <f ca="1">SUMIF('Production '!$C$4:$AI$4407,'Tracking Sheet'!B1645,'Production '!$M$4:$M$4407)</f>
        <v>1585</v>
      </c>
      <c r="D1645" s="76">
        <f ca="1">SUMIF('Production '!$C$4:$AI$4407,'Tracking Sheet'!B1645,'Production '!$Q$4:$Q$4407)</f>
        <v>0</v>
      </c>
      <c r="E1645" s="76">
        <f ca="1">SUMIF('Production '!$C$4:$AI$4407,'Tracking Sheet'!B1645,'Production '!$S$4:$S$4407)</f>
        <v>0</v>
      </c>
      <c r="F1645" s="76">
        <f ca="1">SUMIF('Production '!$C$4:$AI$4407,'Tracking Sheet'!B1645,'Production '!$U$4:$U$4407)</f>
        <v>0</v>
      </c>
      <c r="G1645" s="76">
        <f ca="1">SUMIF('Production '!$C$4:$AI$4407,'Tracking Sheet'!B1645,'Production '!$W$4:$W$4407)</f>
        <v>1585</v>
      </c>
      <c r="H1645" s="76">
        <f ca="1">SUMIF('Production '!$C$4:$AI$4407,'Tracking Sheet'!B1645,'Production '!$F$4:$F$4407)</f>
        <v>1534</v>
      </c>
      <c r="I1645" s="76">
        <f ca="1">SUMIF('Production '!$C$4:$AI$4407,'Tracking Sheet'!B1645,'Production '!$V$4:$V$4407)</f>
        <v>0</v>
      </c>
      <c r="J1645" s="76">
        <f ca="1">SUMIF('Production '!$C$4:$AI$4407,'Tracking Sheet'!B1645,'Production '!$AG$4:$AG$4407)</f>
        <v>0</v>
      </c>
    </row>
    <row r="1646" spans="2:10" x14ac:dyDescent="0.3">
      <c r="B1646" s="277">
        <f>'Production '!C1649</f>
        <v>48180</v>
      </c>
      <c r="C1646" s="76">
        <f ca="1">SUMIF('Production '!$C$4:$AI$4407,'Tracking Sheet'!B1646,'Production '!$M$4:$M$4407)</f>
        <v>1585</v>
      </c>
      <c r="D1646" s="76">
        <f ca="1">SUMIF('Production '!$C$4:$AI$4407,'Tracking Sheet'!B1646,'Production '!$Q$4:$Q$4407)</f>
        <v>0</v>
      </c>
      <c r="E1646" s="76">
        <f ca="1">SUMIF('Production '!$C$4:$AI$4407,'Tracking Sheet'!B1646,'Production '!$S$4:$S$4407)</f>
        <v>0</v>
      </c>
      <c r="F1646" s="76">
        <f ca="1">SUMIF('Production '!$C$4:$AI$4407,'Tracking Sheet'!B1646,'Production '!$U$4:$U$4407)</f>
        <v>0</v>
      </c>
      <c r="G1646" s="76">
        <f ca="1">SUMIF('Production '!$C$4:$AI$4407,'Tracking Sheet'!B1646,'Production '!$W$4:$W$4407)</f>
        <v>1585</v>
      </c>
      <c r="H1646" s="76">
        <f ca="1">SUMIF('Production '!$C$4:$AI$4407,'Tracking Sheet'!B1646,'Production '!$F$4:$F$4407)</f>
        <v>1534</v>
      </c>
      <c r="I1646" s="76">
        <f ca="1">SUMIF('Production '!$C$4:$AI$4407,'Tracking Sheet'!B1646,'Production '!$V$4:$V$4407)</f>
        <v>0</v>
      </c>
      <c r="J1646" s="76">
        <f ca="1">SUMIF('Production '!$C$4:$AI$4407,'Tracking Sheet'!B1646,'Production '!$AG$4:$AG$4407)</f>
        <v>0</v>
      </c>
    </row>
    <row r="1647" spans="2:10" x14ac:dyDescent="0.3">
      <c r="B1647" s="277">
        <f>'Production '!C1650</f>
        <v>0</v>
      </c>
      <c r="C1647" s="76" t="e">
        <f ca="1">SUMIF('Production '!$C$4:$AI$4407,'Tracking Sheet'!B1647,'Production '!$M$4:$M$4407)</f>
        <v>#DIV/0!</v>
      </c>
      <c r="D1647" s="76" t="e">
        <f ca="1">SUMIF('Production '!$C$4:$AI$4407,'Tracking Sheet'!B1647,'Production '!$Q$4:$Q$4407)</f>
        <v>#DIV/0!</v>
      </c>
      <c r="E1647" s="76">
        <f ca="1">SUMIF('Production '!$C$4:$AI$4407,'Tracking Sheet'!B1647,'Production '!$S$4:$S$4407)</f>
        <v>-1268218.9828305368</v>
      </c>
      <c r="F1647" s="76">
        <f ca="1">SUMIF('Production '!$C$4:$AI$4407,'Tracking Sheet'!B1647,'Production '!$U$4:$U$4407)</f>
        <v>-10620.435600016917</v>
      </c>
      <c r="G1647" s="76" t="e">
        <f ca="1">SUMIF('Production '!$C$4:$AI$4407,'Tracking Sheet'!B1647,'Production '!$W$4:$W$4407)</f>
        <v>#DIV/0!</v>
      </c>
      <c r="H1647" s="76">
        <f ca="1">SUMIF('Production '!$C$4:$AI$4407,'Tracking Sheet'!B1647,'Production '!$F$4:$F$4407)</f>
        <v>3230621.3283604058</v>
      </c>
      <c r="I1647" s="76">
        <f ca="1">SUMIF('Production '!$C$4:$AI$4407,'Tracking Sheet'!B1647,'Production '!$V$4:$V$4407)</f>
        <v>-489.86487791182844</v>
      </c>
      <c r="J1647" s="76">
        <f ca="1">SUMIF('Production '!$C$4:$AI$4407,'Tracking Sheet'!B1647,'Production '!$AG$4:$AG$4407)</f>
        <v>0</v>
      </c>
    </row>
    <row r="1648" spans="2:10" x14ac:dyDescent="0.3">
      <c r="B1648" s="277">
        <f>'Production '!C1651</f>
        <v>48161</v>
      </c>
      <c r="C1648" s="76">
        <f ca="1">SUMIF('Production '!$C$4:$AI$4407,'Tracking Sheet'!B1648,'Production '!$M$4:$M$4407)</f>
        <v>4158</v>
      </c>
      <c r="D1648" s="76">
        <f ca="1">SUMIF('Production '!$C$4:$AI$4407,'Tracking Sheet'!B1648,'Production '!$Q$4:$Q$4407)</f>
        <v>4138</v>
      </c>
      <c r="E1648" s="76">
        <f ca="1">SUMIF('Production '!$C$4:$AI$4407,'Tracking Sheet'!B1648,'Production '!$S$4:$S$4407)</f>
        <v>4110</v>
      </c>
      <c r="F1648" s="76">
        <f ca="1">SUMIF('Production '!$C$4:$AI$4407,'Tracking Sheet'!B1648,'Production '!$U$4:$U$4407)</f>
        <v>18</v>
      </c>
      <c r="G1648" s="76">
        <f ca="1">SUMIF('Production '!$C$4:$AI$4407,'Tracking Sheet'!B1648,'Production '!$W$4:$W$4407)</f>
        <v>4092</v>
      </c>
      <c r="H1648" s="76">
        <f ca="1">SUMIF('Production '!$C$4:$AI$4407,'Tracking Sheet'!B1648,'Production '!$F$4:$F$4407)</f>
        <v>4032</v>
      </c>
      <c r="I1648" s="76">
        <f ca="1">SUMIF('Production '!$C$4:$AI$4407,'Tracking Sheet'!B1648,'Production '!$V$4:$V$4407)</f>
        <v>0</v>
      </c>
      <c r="J1648" s="76">
        <f ca="1">SUMIF('Production '!$C$4:$AI$4407,'Tracking Sheet'!B1648,'Production '!$AG$4:$AG$4407)</f>
        <v>0</v>
      </c>
    </row>
    <row r="1649" spans="2:10" x14ac:dyDescent="0.3">
      <c r="B1649" s="277">
        <f>'Production '!C1652</f>
        <v>48161</v>
      </c>
      <c r="C1649" s="76">
        <f ca="1">SUMIF('Production '!$C$4:$AI$4407,'Tracking Sheet'!B1649,'Production '!$M$4:$M$4407)</f>
        <v>4158</v>
      </c>
      <c r="D1649" s="76">
        <f ca="1">SUMIF('Production '!$C$4:$AI$4407,'Tracking Sheet'!B1649,'Production '!$Q$4:$Q$4407)</f>
        <v>4138</v>
      </c>
      <c r="E1649" s="76">
        <f ca="1">SUMIF('Production '!$C$4:$AI$4407,'Tracking Sheet'!B1649,'Production '!$S$4:$S$4407)</f>
        <v>4110</v>
      </c>
      <c r="F1649" s="76">
        <f ca="1">SUMIF('Production '!$C$4:$AI$4407,'Tracking Sheet'!B1649,'Production '!$U$4:$U$4407)</f>
        <v>18</v>
      </c>
      <c r="G1649" s="76">
        <f ca="1">SUMIF('Production '!$C$4:$AI$4407,'Tracking Sheet'!B1649,'Production '!$W$4:$W$4407)</f>
        <v>4092</v>
      </c>
      <c r="H1649" s="76">
        <f ca="1">SUMIF('Production '!$C$4:$AI$4407,'Tracking Sheet'!B1649,'Production '!$F$4:$F$4407)</f>
        <v>4032</v>
      </c>
      <c r="I1649" s="76">
        <f ca="1">SUMIF('Production '!$C$4:$AI$4407,'Tracking Sheet'!B1649,'Production '!$V$4:$V$4407)</f>
        <v>0</v>
      </c>
      <c r="J1649" s="76">
        <f ca="1">SUMIF('Production '!$C$4:$AI$4407,'Tracking Sheet'!B1649,'Production '!$AG$4:$AG$4407)</f>
        <v>0</v>
      </c>
    </row>
    <row r="1650" spans="2:10" x14ac:dyDescent="0.3">
      <c r="B1650" s="277">
        <f>'Production '!C1653</f>
        <v>0</v>
      </c>
      <c r="C1650" s="76" t="e">
        <f ca="1">SUMIF('Production '!$C$4:$AI$4407,'Tracking Sheet'!B1650,'Production '!$M$4:$M$4407)</f>
        <v>#DIV/0!</v>
      </c>
      <c r="D1650" s="76" t="e">
        <f ca="1">SUMIF('Production '!$C$4:$AI$4407,'Tracking Sheet'!B1650,'Production '!$Q$4:$Q$4407)</f>
        <v>#DIV/0!</v>
      </c>
      <c r="E1650" s="76">
        <f ca="1">SUMIF('Production '!$C$4:$AI$4407,'Tracking Sheet'!B1650,'Production '!$S$4:$S$4407)</f>
        <v>-1268218.9828305368</v>
      </c>
      <c r="F1650" s="76">
        <f ca="1">SUMIF('Production '!$C$4:$AI$4407,'Tracking Sheet'!B1650,'Production '!$U$4:$U$4407)</f>
        <v>-10620.435600016917</v>
      </c>
      <c r="G1650" s="76" t="e">
        <f ca="1">SUMIF('Production '!$C$4:$AI$4407,'Tracking Sheet'!B1650,'Production '!$W$4:$W$4407)</f>
        <v>#DIV/0!</v>
      </c>
      <c r="H1650" s="76">
        <f ca="1">SUMIF('Production '!$C$4:$AI$4407,'Tracking Sheet'!B1650,'Production '!$F$4:$F$4407)</f>
        <v>3230621.3283604058</v>
      </c>
      <c r="I1650" s="76">
        <f ca="1">SUMIF('Production '!$C$4:$AI$4407,'Tracking Sheet'!B1650,'Production '!$V$4:$V$4407)</f>
        <v>-489.86487791182844</v>
      </c>
      <c r="J1650" s="76">
        <f ca="1">SUMIF('Production '!$C$4:$AI$4407,'Tracking Sheet'!B1650,'Production '!$AG$4:$AG$4407)</f>
        <v>0</v>
      </c>
    </row>
    <row r="1651" spans="2:10" x14ac:dyDescent="0.3">
      <c r="B1651" s="277" t="str">
        <f>'Production '!C1654</f>
        <v>24475 13th</v>
      </c>
      <c r="C1651" s="76">
        <f ca="1">SUMIF('Production '!$C$4:$AI$4407,'Tracking Sheet'!B1651,'Production '!$M$4:$M$4407)</f>
        <v>535</v>
      </c>
      <c r="D1651" s="76">
        <f ca="1">SUMIF('Production '!$C$4:$AI$4407,'Tracking Sheet'!B1651,'Production '!$Q$4:$Q$4407)</f>
        <v>0</v>
      </c>
      <c r="E1651" s="76">
        <f ca="1">SUMIF('Production '!$C$4:$AI$4407,'Tracking Sheet'!B1651,'Production '!$S$4:$S$4407)</f>
        <v>0</v>
      </c>
      <c r="F1651" s="76">
        <f ca="1">SUMIF('Production '!$C$4:$AI$4407,'Tracking Sheet'!B1651,'Production '!$U$4:$U$4407)</f>
        <v>15</v>
      </c>
      <c r="G1651" s="76">
        <f ca="1">SUMIF('Production '!$C$4:$AI$4407,'Tracking Sheet'!B1651,'Production '!$W$4:$W$4407)</f>
        <v>520</v>
      </c>
      <c r="H1651" s="76">
        <f ca="1">SUMIF('Production '!$C$4:$AI$4407,'Tracking Sheet'!B1651,'Production '!$F$4:$F$4407)</f>
        <v>504</v>
      </c>
      <c r="I1651" s="76">
        <f ca="1">SUMIF('Production '!$C$4:$AI$4407,'Tracking Sheet'!B1651,'Production '!$V$4:$V$4407)</f>
        <v>0</v>
      </c>
      <c r="J1651" s="76">
        <f ca="1">SUMIF('Production '!$C$4:$AI$4407,'Tracking Sheet'!B1651,'Production '!$AG$4:$AG$4407)</f>
        <v>0</v>
      </c>
    </row>
    <row r="1652" spans="2:10" x14ac:dyDescent="0.3">
      <c r="B1652" s="277">
        <f>'Production '!C1655</f>
        <v>0</v>
      </c>
      <c r="C1652" s="76" t="e">
        <f ca="1">SUMIF('Production '!$C$4:$AI$4407,'Tracking Sheet'!B1652,'Production '!$M$4:$M$4407)</f>
        <v>#DIV/0!</v>
      </c>
      <c r="D1652" s="76" t="e">
        <f ca="1">SUMIF('Production '!$C$4:$AI$4407,'Tracking Sheet'!B1652,'Production '!$Q$4:$Q$4407)</f>
        <v>#DIV/0!</v>
      </c>
      <c r="E1652" s="76">
        <f ca="1">SUMIF('Production '!$C$4:$AI$4407,'Tracking Sheet'!B1652,'Production '!$S$4:$S$4407)</f>
        <v>-1268218.9828305368</v>
      </c>
      <c r="F1652" s="76">
        <f ca="1">SUMIF('Production '!$C$4:$AI$4407,'Tracking Sheet'!B1652,'Production '!$U$4:$U$4407)</f>
        <v>-10620.435600016917</v>
      </c>
      <c r="G1652" s="76" t="e">
        <f ca="1">SUMIF('Production '!$C$4:$AI$4407,'Tracking Sheet'!B1652,'Production '!$W$4:$W$4407)</f>
        <v>#DIV/0!</v>
      </c>
      <c r="H1652" s="76">
        <f ca="1">SUMIF('Production '!$C$4:$AI$4407,'Tracking Sheet'!B1652,'Production '!$F$4:$F$4407)</f>
        <v>3230621.3283604058</v>
      </c>
      <c r="I1652" s="76">
        <f ca="1">SUMIF('Production '!$C$4:$AI$4407,'Tracking Sheet'!B1652,'Production '!$V$4:$V$4407)</f>
        <v>-489.86487791182844</v>
      </c>
      <c r="J1652" s="76">
        <f ca="1">SUMIF('Production '!$C$4:$AI$4407,'Tracking Sheet'!B1652,'Production '!$AG$4:$AG$4407)</f>
        <v>0</v>
      </c>
    </row>
    <row r="1653" spans="2:10" x14ac:dyDescent="0.3">
      <c r="B1653" s="277" t="str">
        <f>'Production '!C1656</f>
        <v>44114 7th</v>
      </c>
      <c r="C1653" s="76">
        <f ca="1">SUMIF('Production '!$C$4:$AI$4407,'Tracking Sheet'!B1653,'Production '!$M$4:$M$4407)</f>
        <v>4934</v>
      </c>
      <c r="D1653" s="76">
        <f ca="1">SUMIF('Production '!$C$4:$AI$4407,'Tracking Sheet'!B1653,'Production '!$Q$4:$Q$4407)</f>
        <v>4934</v>
      </c>
      <c r="E1653" s="76">
        <f ca="1">SUMIF('Production '!$C$4:$AI$4407,'Tracking Sheet'!B1653,'Production '!$S$4:$S$4407)</f>
        <v>4921</v>
      </c>
      <c r="F1653" s="76">
        <f ca="1">SUMIF('Production '!$C$4:$AI$4407,'Tracking Sheet'!B1653,'Production '!$U$4:$U$4407)</f>
        <v>2</v>
      </c>
      <c r="G1653" s="76">
        <f ca="1">SUMIF('Production '!$C$4:$AI$4407,'Tracking Sheet'!B1653,'Production '!$W$4:$W$4407)</f>
        <v>4919</v>
      </c>
      <c r="H1653" s="76">
        <f ca="1">SUMIF('Production '!$C$4:$AI$4407,'Tracking Sheet'!B1653,'Production '!$F$4:$F$4407)</f>
        <v>4800</v>
      </c>
      <c r="I1653" s="76">
        <f ca="1">SUMIF('Production '!$C$4:$AI$4407,'Tracking Sheet'!B1653,'Production '!$V$4:$V$4407)</f>
        <v>0</v>
      </c>
      <c r="J1653" s="76">
        <f ca="1">SUMIF('Production '!$C$4:$AI$4407,'Tracking Sheet'!B1653,'Production '!$AG$4:$AG$4407)</f>
        <v>0</v>
      </c>
    </row>
    <row r="1654" spans="2:10" x14ac:dyDescent="0.3">
      <c r="B1654" s="277" t="str">
        <f>'Production '!C1657</f>
        <v>44114 7th</v>
      </c>
      <c r="C1654" s="76">
        <f ca="1">SUMIF('Production '!$C$4:$AI$4407,'Tracking Sheet'!B1654,'Production '!$M$4:$M$4407)</f>
        <v>4934</v>
      </c>
      <c r="D1654" s="76">
        <f ca="1">SUMIF('Production '!$C$4:$AI$4407,'Tracking Sheet'!B1654,'Production '!$Q$4:$Q$4407)</f>
        <v>4934</v>
      </c>
      <c r="E1654" s="76">
        <f ca="1">SUMIF('Production '!$C$4:$AI$4407,'Tracking Sheet'!B1654,'Production '!$S$4:$S$4407)</f>
        <v>4921</v>
      </c>
      <c r="F1654" s="76">
        <f ca="1">SUMIF('Production '!$C$4:$AI$4407,'Tracking Sheet'!B1654,'Production '!$U$4:$U$4407)</f>
        <v>2</v>
      </c>
      <c r="G1654" s="76">
        <f ca="1">SUMIF('Production '!$C$4:$AI$4407,'Tracking Sheet'!B1654,'Production '!$W$4:$W$4407)</f>
        <v>4919</v>
      </c>
      <c r="H1654" s="76">
        <f ca="1">SUMIF('Production '!$C$4:$AI$4407,'Tracking Sheet'!B1654,'Production '!$F$4:$F$4407)</f>
        <v>4800</v>
      </c>
      <c r="I1654" s="76">
        <f ca="1">SUMIF('Production '!$C$4:$AI$4407,'Tracking Sheet'!B1654,'Production '!$V$4:$V$4407)</f>
        <v>0</v>
      </c>
      <c r="J1654" s="76">
        <f ca="1">SUMIF('Production '!$C$4:$AI$4407,'Tracking Sheet'!B1654,'Production '!$AG$4:$AG$4407)</f>
        <v>0</v>
      </c>
    </row>
    <row r="1655" spans="2:10" x14ac:dyDescent="0.3">
      <c r="B1655" s="277" t="str">
        <f>'Production '!C1658</f>
        <v>44114 7th</v>
      </c>
      <c r="C1655" s="76">
        <f ca="1">SUMIF('Production '!$C$4:$AI$4407,'Tracking Sheet'!B1655,'Production '!$M$4:$M$4407)</f>
        <v>4934</v>
      </c>
      <c r="D1655" s="76">
        <f ca="1">SUMIF('Production '!$C$4:$AI$4407,'Tracking Sheet'!B1655,'Production '!$Q$4:$Q$4407)</f>
        <v>4934</v>
      </c>
      <c r="E1655" s="76">
        <f ca="1">SUMIF('Production '!$C$4:$AI$4407,'Tracking Sheet'!B1655,'Production '!$S$4:$S$4407)</f>
        <v>4921</v>
      </c>
      <c r="F1655" s="76">
        <f ca="1">SUMIF('Production '!$C$4:$AI$4407,'Tracking Sheet'!B1655,'Production '!$U$4:$U$4407)</f>
        <v>2</v>
      </c>
      <c r="G1655" s="76">
        <f ca="1">SUMIF('Production '!$C$4:$AI$4407,'Tracking Sheet'!B1655,'Production '!$W$4:$W$4407)</f>
        <v>4919</v>
      </c>
      <c r="H1655" s="76">
        <f ca="1">SUMIF('Production '!$C$4:$AI$4407,'Tracking Sheet'!B1655,'Production '!$F$4:$F$4407)</f>
        <v>4800</v>
      </c>
      <c r="I1655" s="76">
        <f ca="1">SUMIF('Production '!$C$4:$AI$4407,'Tracking Sheet'!B1655,'Production '!$V$4:$V$4407)</f>
        <v>0</v>
      </c>
      <c r="J1655" s="76">
        <f ca="1">SUMIF('Production '!$C$4:$AI$4407,'Tracking Sheet'!B1655,'Production '!$AG$4:$AG$4407)</f>
        <v>0</v>
      </c>
    </row>
    <row r="1656" spans="2:10" x14ac:dyDescent="0.3">
      <c r="B1656" s="277" t="str">
        <f>'Production '!C1659</f>
        <v>44114 7th</v>
      </c>
      <c r="C1656" s="76">
        <f ca="1">SUMIF('Production '!$C$4:$AI$4407,'Tracking Sheet'!B1656,'Production '!$M$4:$M$4407)</f>
        <v>4934</v>
      </c>
      <c r="D1656" s="76">
        <f ca="1">SUMIF('Production '!$C$4:$AI$4407,'Tracking Sheet'!B1656,'Production '!$Q$4:$Q$4407)</f>
        <v>4934</v>
      </c>
      <c r="E1656" s="76">
        <f ca="1">SUMIF('Production '!$C$4:$AI$4407,'Tracking Sheet'!B1656,'Production '!$S$4:$S$4407)</f>
        <v>4921</v>
      </c>
      <c r="F1656" s="76">
        <f ca="1">SUMIF('Production '!$C$4:$AI$4407,'Tracking Sheet'!B1656,'Production '!$U$4:$U$4407)</f>
        <v>2</v>
      </c>
      <c r="G1656" s="76">
        <f ca="1">SUMIF('Production '!$C$4:$AI$4407,'Tracking Sheet'!B1656,'Production '!$W$4:$W$4407)</f>
        <v>4919</v>
      </c>
      <c r="H1656" s="76">
        <f ca="1">SUMIF('Production '!$C$4:$AI$4407,'Tracking Sheet'!B1656,'Production '!$F$4:$F$4407)</f>
        <v>4800</v>
      </c>
      <c r="I1656" s="76">
        <f ca="1">SUMIF('Production '!$C$4:$AI$4407,'Tracking Sheet'!B1656,'Production '!$V$4:$V$4407)</f>
        <v>0</v>
      </c>
      <c r="J1656" s="76">
        <f ca="1">SUMIF('Production '!$C$4:$AI$4407,'Tracking Sheet'!B1656,'Production '!$AG$4:$AG$4407)</f>
        <v>0</v>
      </c>
    </row>
    <row r="1657" spans="2:10" x14ac:dyDescent="0.3">
      <c r="B1657" s="277" t="str">
        <f>'Production '!C1660</f>
        <v>44114 7th</v>
      </c>
      <c r="C1657" s="76">
        <f ca="1">SUMIF('Production '!$C$4:$AI$4407,'Tracking Sheet'!B1657,'Production '!$M$4:$M$4407)</f>
        <v>4934</v>
      </c>
      <c r="D1657" s="76">
        <f ca="1">SUMIF('Production '!$C$4:$AI$4407,'Tracking Sheet'!B1657,'Production '!$Q$4:$Q$4407)</f>
        <v>4934</v>
      </c>
      <c r="E1657" s="76">
        <f ca="1">SUMIF('Production '!$C$4:$AI$4407,'Tracking Sheet'!B1657,'Production '!$S$4:$S$4407)</f>
        <v>4921</v>
      </c>
      <c r="F1657" s="76">
        <f ca="1">SUMIF('Production '!$C$4:$AI$4407,'Tracking Sheet'!B1657,'Production '!$U$4:$U$4407)</f>
        <v>2</v>
      </c>
      <c r="G1657" s="76">
        <f ca="1">SUMIF('Production '!$C$4:$AI$4407,'Tracking Sheet'!B1657,'Production '!$W$4:$W$4407)</f>
        <v>4919</v>
      </c>
      <c r="H1657" s="76">
        <f ca="1">SUMIF('Production '!$C$4:$AI$4407,'Tracking Sheet'!B1657,'Production '!$F$4:$F$4407)</f>
        <v>4800</v>
      </c>
      <c r="I1657" s="76">
        <f ca="1">SUMIF('Production '!$C$4:$AI$4407,'Tracking Sheet'!B1657,'Production '!$V$4:$V$4407)</f>
        <v>0</v>
      </c>
      <c r="J1657" s="76">
        <f ca="1">SUMIF('Production '!$C$4:$AI$4407,'Tracking Sheet'!B1657,'Production '!$AG$4:$AG$4407)</f>
        <v>0</v>
      </c>
    </row>
    <row r="1658" spans="2:10" x14ac:dyDescent="0.3">
      <c r="B1658" s="277">
        <f>'Production '!C1661</f>
        <v>0</v>
      </c>
      <c r="C1658" s="76" t="e">
        <f ca="1">SUMIF('Production '!$C$4:$AI$4407,'Tracking Sheet'!B1658,'Production '!$M$4:$M$4407)</f>
        <v>#DIV/0!</v>
      </c>
      <c r="D1658" s="76" t="e">
        <f ca="1">SUMIF('Production '!$C$4:$AI$4407,'Tracking Sheet'!B1658,'Production '!$Q$4:$Q$4407)</f>
        <v>#DIV/0!</v>
      </c>
      <c r="E1658" s="76">
        <f ca="1">SUMIF('Production '!$C$4:$AI$4407,'Tracking Sheet'!B1658,'Production '!$S$4:$S$4407)</f>
        <v>-1268218.9828305368</v>
      </c>
      <c r="F1658" s="76">
        <f ca="1">SUMIF('Production '!$C$4:$AI$4407,'Tracking Sheet'!B1658,'Production '!$U$4:$U$4407)</f>
        <v>-10620.435600016917</v>
      </c>
      <c r="G1658" s="76" t="e">
        <f ca="1">SUMIF('Production '!$C$4:$AI$4407,'Tracking Sheet'!B1658,'Production '!$W$4:$W$4407)</f>
        <v>#DIV/0!</v>
      </c>
      <c r="H1658" s="76">
        <f ca="1">SUMIF('Production '!$C$4:$AI$4407,'Tracking Sheet'!B1658,'Production '!$F$4:$F$4407)</f>
        <v>3230621.3283604058</v>
      </c>
      <c r="I1658" s="76">
        <f ca="1">SUMIF('Production '!$C$4:$AI$4407,'Tracking Sheet'!B1658,'Production '!$V$4:$V$4407)</f>
        <v>-489.86487791182844</v>
      </c>
      <c r="J1658" s="76">
        <f ca="1">SUMIF('Production '!$C$4:$AI$4407,'Tracking Sheet'!B1658,'Production '!$AG$4:$AG$4407)</f>
        <v>0</v>
      </c>
    </row>
    <row r="1659" spans="2:10" x14ac:dyDescent="0.3">
      <c r="B1659" s="277">
        <f>'Production '!C1662</f>
        <v>48189</v>
      </c>
      <c r="C1659" s="76">
        <f ca="1">SUMIF('Production '!$C$4:$AI$4407,'Tracking Sheet'!B1659,'Production '!$M$4:$M$4407)</f>
        <v>4469</v>
      </c>
      <c r="D1659" s="76">
        <f ca="1">SUMIF('Production '!$C$4:$AI$4407,'Tracking Sheet'!B1659,'Production '!$Q$4:$Q$4407)</f>
        <v>4466</v>
      </c>
      <c r="E1659" s="76">
        <f ca="1">SUMIF('Production '!$C$4:$AI$4407,'Tracking Sheet'!B1659,'Production '!$S$4:$S$4407)</f>
        <v>4460</v>
      </c>
      <c r="F1659" s="76">
        <f ca="1">SUMIF('Production '!$C$4:$AI$4407,'Tracking Sheet'!B1659,'Production '!$U$4:$U$4407)</f>
        <v>6</v>
      </c>
      <c r="G1659" s="76">
        <f ca="1">SUMIF('Production '!$C$4:$AI$4407,'Tracking Sheet'!B1659,'Production '!$W$4:$W$4407)</f>
        <v>4454</v>
      </c>
      <c r="H1659" s="76">
        <f ca="1">SUMIF('Production '!$C$4:$AI$4407,'Tracking Sheet'!B1659,'Production '!$F$4:$F$4407)</f>
        <v>4365</v>
      </c>
      <c r="I1659" s="76">
        <f ca="1">SUMIF('Production '!$C$4:$AI$4407,'Tracking Sheet'!B1659,'Production '!$V$4:$V$4407)</f>
        <v>0</v>
      </c>
      <c r="J1659" s="76">
        <f ca="1">SUMIF('Production '!$C$4:$AI$4407,'Tracking Sheet'!B1659,'Production '!$AG$4:$AG$4407)</f>
        <v>0</v>
      </c>
    </row>
    <row r="1660" spans="2:10" x14ac:dyDescent="0.3">
      <c r="B1660" s="277">
        <f>'Production '!C1663</f>
        <v>48189</v>
      </c>
      <c r="C1660" s="76">
        <f ca="1">SUMIF('Production '!$C$4:$AI$4407,'Tracking Sheet'!B1660,'Production '!$M$4:$M$4407)</f>
        <v>4469</v>
      </c>
      <c r="D1660" s="76">
        <f ca="1">SUMIF('Production '!$C$4:$AI$4407,'Tracking Sheet'!B1660,'Production '!$Q$4:$Q$4407)</f>
        <v>4466</v>
      </c>
      <c r="E1660" s="76">
        <f ca="1">SUMIF('Production '!$C$4:$AI$4407,'Tracking Sheet'!B1660,'Production '!$S$4:$S$4407)</f>
        <v>4460</v>
      </c>
      <c r="F1660" s="76">
        <f ca="1">SUMIF('Production '!$C$4:$AI$4407,'Tracking Sheet'!B1660,'Production '!$U$4:$U$4407)</f>
        <v>6</v>
      </c>
      <c r="G1660" s="76">
        <f ca="1">SUMIF('Production '!$C$4:$AI$4407,'Tracking Sheet'!B1660,'Production '!$W$4:$W$4407)</f>
        <v>4454</v>
      </c>
      <c r="H1660" s="76">
        <f ca="1">SUMIF('Production '!$C$4:$AI$4407,'Tracking Sheet'!B1660,'Production '!$F$4:$F$4407)</f>
        <v>4365</v>
      </c>
      <c r="I1660" s="76">
        <f ca="1">SUMIF('Production '!$C$4:$AI$4407,'Tracking Sheet'!B1660,'Production '!$V$4:$V$4407)</f>
        <v>0</v>
      </c>
      <c r="J1660" s="76">
        <f ca="1">SUMIF('Production '!$C$4:$AI$4407,'Tracking Sheet'!B1660,'Production '!$AG$4:$AG$4407)</f>
        <v>0</v>
      </c>
    </row>
    <row r="1661" spans="2:10" x14ac:dyDescent="0.3">
      <c r="B1661" s="277">
        <f>'Production '!C1664</f>
        <v>48189</v>
      </c>
      <c r="C1661" s="76">
        <f ca="1">SUMIF('Production '!$C$4:$AI$4407,'Tracking Sheet'!B1661,'Production '!$M$4:$M$4407)</f>
        <v>4469</v>
      </c>
      <c r="D1661" s="76">
        <f ca="1">SUMIF('Production '!$C$4:$AI$4407,'Tracking Sheet'!B1661,'Production '!$Q$4:$Q$4407)</f>
        <v>4466</v>
      </c>
      <c r="E1661" s="76">
        <f ca="1">SUMIF('Production '!$C$4:$AI$4407,'Tracking Sheet'!B1661,'Production '!$S$4:$S$4407)</f>
        <v>4460</v>
      </c>
      <c r="F1661" s="76">
        <f ca="1">SUMIF('Production '!$C$4:$AI$4407,'Tracking Sheet'!B1661,'Production '!$U$4:$U$4407)</f>
        <v>6</v>
      </c>
      <c r="G1661" s="76">
        <f ca="1">SUMIF('Production '!$C$4:$AI$4407,'Tracking Sheet'!B1661,'Production '!$W$4:$W$4407)</f>
        <v>4454</v>
      </c>
      <c r="H1661" s="76">
        <f ca="1">SUMIF('Production '!$C$4:$AI$4407,'Tracking Sheet'!B1661,'Production '!$F$4:$F$4407)</f>
        <v>4365</v>
      </c>
      <c r="I1661" s="76">
        <f ca="1">SUMIF('Production '!$C$4:$AI$4407,'Tracking Sheet'!B1661,'Production '!$V$4:$V$4407)</f>
        <v>0</v>
      </c>
      <c r="J1661" s="76">
        <f ca="1">SUMIF('Production '!$C$4:$AI$4407,'Tracking Sheet'!B1661,'Production '!$AG$4:$AG$4407)</f>
        <v>0</v>
      </c>
    </row>
    <row r="1662" spans="2:10" x14ac:dyDescent="0.3">
      <c r="B1662" s="277">
        <f>'Production '!C1665</f>
        <v>48189</v>
      </c>
      <c r="C1662" s="76">
        <f ca="1">SUMIF('Production '!$C$4:$AI$4407,'Tracking Sheet'!B1662,'Production '!$M$4:$M$4407)</f>
        <v>4469</v>
      </c>
      <c r="D1662" s="76">
        <f ca="1">SUMIF('Production '!$C$4:$AI$4407,'Tracking Sheet'!B1662,'Production '!$Q$4:$Q$4407)</f>
        <v>4466</v>
      </c>
      <c r="E1662" s="76">
        <f ca="1">SUMIF('Production '!$C$4:$AI$4407,'Tracking Sheet'!B1662,'Production '!$S$4:$S$4407)</f>
        <v>4460</v>
      </c>
      <c r="F1662" s="76">
        <f ca="1">SUMIF('Production '!$C$4:$AI$4407,'Tracking Sheet'!B1662,'Production '!$U$4:$U$4407)</f>
        <v>6</v>
      </c>
      <c r="G1662" s="76">
        <f ca="1">SUMIF('Production '!$C$4:$AI$4407,'Tracking Sheet'!B1662,'Production '!$W$4:$W$4407)</f>
        <v>4454</v>
      </c>
      <c r="H1662" s="76">
        <f ca="1">SUMIF('Production '!$C$4:$AI$4407,'Tracking Sheet'!B1662,'Production '!$F$4:$F$4407)</f>
        <v>4365</v>
      </c>
      <c r="I1662" s="76">
        <f ca="1">SUMIF('Production '!$C$4:$AI$4407,'Tracking Sheet'!B1662,'Production '!$V$4:$V$4407)</f>
        <v>0</v>
      </c>
      <c r="J1662" s="76">
        <f ca="1">SUMIF('Production '!$C$4:$AI$4407,'Tracking Sheet'!B1662,'Production '!$AG$4:$AG$4407)</f>
        <v>0</v>
      </c>
    </row>
    <row r="1663" spans="2:10" x14ac:dyDescent="0.3">
      <c r="B1663" s="277">
        <f>'Production '!C1666</f>
        <v>48189</v>
      </c>
      <c r="C1663" s="76">
        <f ca="1">SUMIF('Production '!$C$4:$AI$4407,'Tracking Sheet'!B1663,'Production '!$M$4:$M$4407)</f>
        <v>4469</v>
      </c>
      <c r="D1663" s="76">
        <f ca="1">SUMIF('Production '!$C$4:$AI$4407,'Tracking Sheet'!B1663,'Production '!$Q$4:$Q$4407)</f>
        <v>4466</v>
      </c>
      <c r="E1663" s="76">
        <f ca="1">SUMIF('Production '!$C$4:$AI$4407,'Tracking Sheet'!B1663,'Production '!$S$4:$S$4407)</f>
        <v>4460</v>
      </c>
      <c r="F1663" s="76">
        <f ca="1">SUMIF('Production '!$C$4:$AI$4407,'Tracking Sheet'!B1663,'Production '!$U$4:$U$4407)</f>
        <v>6</v>
      </c>
      <c r="G1663" s="76">
        <f ca="1">SUMIF('Production '!$C$4:$AI$4407,'Tracking Sheet'!B1663,'Production '!$W$4:$W$4407)</f>
        <v>4454</v>
      </c>
      <c r="H1663" s="76">
        <f ca="1">SUMIF('Production '!$C$4:$AI$4407,'Tracking Sheet'!B1663,'Production '!$F$4:$F$4407)</f>
        <v>4365</v>
      </c>
      <c r="I1663" s="76">
        <f ca="1">SUMIF('Production '!$C$4:$AI$4407,'Tracking Sheet'!B1663,'Production '!$V$4:$V$4407)</f>
        <v>0</v>
      </c>
      <c r="J1663" s="76">
        <f ca="1">SUMIF('Production '!$C$4:$AI$4407,'Tracking Sheet'!B1663,'Production '!$AG$4:$AG$4407)</f>
        <v>0</v>
      </c>
    </row>
    <row r="1664" spans="2:10" x14ac:dyDescent="0.3">
      <c r="B1664" s="277">
        <f>'Production '!C1667</f>
        <v>0</v>
      </c>
      <c r="C1664" s="76" t="e">
        <f ca="1">SUMIF('Production '!$C$4:$AI$4407,'Tracking Sheet'!B1664,'Production '!$M$4:$M$4407)</f>
        <v>#DIV/0!</v>
      </c>
      <c r="D1664" s="76" t="e">
        <f ca="1">SUMIF('Production '!$C$4:$AI$4407,'Tracking Sheet'!B1664,'Production '!$Q$4:$Q$4407)</f>
        <v>#DIV/0!</v>
      </c>
      <c r="E1664" s="76">
        <f ca="1">SUMIF('Production '!$C$4:$AI$4407,'Tracking Sheet'!B1664,'Production '!$S$4:$S$4407)</f>
        <v>-1268218.9828305368</v>
      </c>
      <c r="F1664" s="76">
        <f ca="1">SUMIF('Production '!$C$4:$AI$4407,'Tracking Sheet'!B1664,'Production '!$U$4:$U$4407)</f>
        <v>-10620.435600016917</v>
      </c>
      <c r="G1664" s="76" t="e">
        <f ca="1">SUMIF('Production '!$C$4:$AI$4407,'Tracking Sheet'!B1664,'Production '!$W$4:$W$4407)</f>
        <v>#DIV/0!</v>
      </c>
      <c r="H1664" s="76">
        <f ca="1">SUMIF('Production '!$C$4:$AI$4407,'Tracking Sheet'!B1664,'Production '!$F$4:$F$4407)</f>
        <v>3230621.3283604058</v>
      </c>
      <c r="I1664" s="76">
        <f ca="1">SUMIF('Production '!$C$4:$AI$4407,'Tracking Sheet'!B1664,'Production '!$V$4:$V$4407)</f>
        <v>-489.86487791182844</v>
      </c>
      <c r="J1664" s="76">
        <f ca="1">SUMIF('Production '!$C$4:$AI$4407,'Tracking Sheet'!B1664,'Production '!$AG$4:$AG$4407)</f>
        <v>0</v>
      </c>
    </row>
    <row r="1665" spans="2:10" x14ac:dyDescent="0.3">
      <c r="B1665" s="277">
        <f>'Production '!C1668</f>
        <v>48158</v>
      </c>
      <c r="C1665" s="76">
        <f ca="1">SUMIF('Production '!$C$4:$AI$4407,'Tracking Sheet'!B1665,'Production '!$M$4:$M$4407)</f>
        <v>14184</v>
      </c>
      <c r="D1665" s="76">
        <f ca="1">SUMIF('Production '!$C$4:$AI$4407,'Tracking Sheet'!B1665,'Production '!$Q$4:$Q$4407)</f>
        <v>14184</v>
      </c>
      <c r="E1665" s="76">
        <f ca="1">SUMIF('Production '!$C$4:$AI$4407,'Tracking Sheet'!B1665,'Production '!$S$4:$S$4407)</f>
        <v>14184</v>
      </c>
      <c r="F1665" s="76">
        <f ca="1">SUMIF('Production '!$C$4:$AI$4407,'Tracking Sheet'!B1665,'Production '!$U$4:$U$4407)</f>
        <v>5630</v>
      </c>
      <c r="G1665" s="76">
        <f ca="1">SUMIF('Production '!$C$4:$AI$4407,'Tracking Sheet'!B1665,'Production '!$W$4:$W$4407)</f>
        <v>8554</v>
      </c>
      <c r="H1665" s="76">
        <f ca="1">SUMIF('Production '!$C$4:$AI$4407,'Tracking Sheet'!B1665,'Production '!$F$4:$F$4407)</f>
        <v>13992</v>
      </c>
      <c r="I1665" s="76">
        <f ca="1">SUMIF('Production '!$C$4:$AI$4407,'Tracking Sheet'!B1665,'Production '!$V$4:$V$4407)</f>
        <v>2210</v>
      </c>
      <c r="J1665" s="76">
        <f ca="1">SUMIF('Production '!$C$4:$AI$4407,'Tracking Sheet'!B1665,'Production '!$AG$4:$AG$4407)</f>
        <v>0</v>
      </c>
    </row>
    <row r="1666" spans="2:10" x14ac:dyDescent="0.3">
      <c r="B1666" s="277">
        <f>'Production '!C1669</f>
        <v>48158</v>
      </c>
      <c r="C1666" s="76">
        <f ca="1">SUMIF('Production '!$C$4:$AI$4407,'Tracking Sheet'!B1666,'Production '!$M$4:$M$4407)</f>
        <v>14184</v>
      </c>
      <c r="D1666" s="76">
        <f ca="1">SUMIF('Production '!$C$4:$AI$4407,'Tracking Sheet'!B1666,'Production '!$Q$4:$Q$4407)</f>
        <v>14184</v>
      </c>
      <c r="E1666" s="76">
        <f ca="1">SUMIF('Production '!$C$4:$AI$4407,'Tracking Sheet'!B1666,'Production '!$S$4:$S$4407)</f>
        <v>14184</v>
      </c>
      <c r="F1666" s="76">
        <f ca="1">SUMIF('Production '!$C$4:$AI$4407,'Tracking Sheet'!B1666,'Production '!$U$4:$U$4407)</f>
        <v>5630</v>
      </c>
      <c r="G1666" s="76">
        <f ca="1">SUMIF('Production '!$C$4:$AI$4407,'Tracking Sheet'!B1666,'Production '!$W$4:$W$4407)</f>
        <v>8554</v>
      </c>
      <c r="H1666" s="76">
        <f ca="1">SUMIF('Production '!$C$4:$AI$4407,'Tracking Sheet'!B1666,'Production '!$F$4:$F$4407)</f>
        <v>13992</v>
      </c>
      <c r="I1666" s="76">
        <f ca="1">SUMIF('Production '!$C$4:$AI$4407,'Tracking Sheet'!B1666,'Production '!$V$4:$V$4407)</f>
        <v>2210</v>
      </c>
      <c r="J1666" s="76">
        <f ca="1">SUMIF('Production '!$C$4:$AI$4407,'Tracking Sheet'!B1666,'Production '!$AG$4:$AG$4407)</f>
        <v>0</v>
      </c>
    </row>
    <row r="1667" spans="2:10" x14ac:dyDescent="0.3">
      <c r="B1667" s="277">
        <f>'Production '!C1670</f>
        <v>0</v>
      </c>
      <c r="C1667" s="76" t="e">
        <f ca="1">SUMIF('Production '!$C$4:$AI$4407,'Tracking Sheet'!B1667,'Production '!$M$4:$M$4407)</f>
        <v>#DIV/0!</v>
      </c>
      <c r="D1667" s="76" t="e">
        <f ca="1">SUMIF('Production '!$C$4:$AI$4407,'Tracking Sheet'!B1667,'Production '!$Q$4:$Q$4407)</f>
        <v>#DIV/0!</v>
      </c>
      <c r="E1667" s="76">
        <f ca="1">SUMIF('Production '!$C$4:$AI$4407,'Tracking Sheet'!B1667,'Production '!$S$4:$S$4407)</f>
        <v>-1268218.9828305368</v>
      </c>
      <c r="F1667" s="76">
        <f ca="1">SUMIF('Production '!$C$4:$AI$4407,'Tracking Sheet'!B1667,'Production '!$U$4:$U$4407)</f>
        <v>-10620.435600016917</v>
      </c>
      <c r="G1667" s="76" t="e">
        <f ca="1">SUMIF('Production '!$C$4:$AI$4407,'Tracking Sheet'!B1667,'Production '!$W$4:$W$4407)</f>
        <v>#DIV/0!</v>
      </c>
      <c r="H1667" s="76">
        <f ca="1">SUMIF('Production '!$C$4:$AI$4407,'Tracking Sheet'!B1667,'Production '!$F$4:$F$4407)</f>
        <v>3230621.3283604058</v>
      </c>
      <c r="I1667" s="76">
        <f ca="1">SUMIF('Production '!$C$4:$AI$4407,'Tracking Sheet'!B1667,'Production '!$V$4:$V$4407)</f>
        <v>-489.86487791182844</v>
      </c>
      <c r="J1667" s="76">
        <f ca="1">SUMIF('Production '!$C$4:$AI$4407,'Tracking Sheet'!B1667,'Production '!$AG$4:$AG$4407)</f>
        <v>0</v>
      </c>
    </row>
    <row r="1668" spans="2:10" x14ac:dyDescent="0.3">
      <c r="B1668" s="277" t="str">
        <f>'Production '!C1671</f>
        <v>48158 2nd</v>
      </c>
      <c r="C1668" s="76">
        <f ca="1">SUMIF('Production '!$C$4:$AI$4407,'Tracking Sheet'!B1668,'Production '!$M$4:$M$4407)</f>
        <v>4050</v>
      </c>
      <c r="D1668" s="76">
        <f ca="1">SUMIF('Production '!$C$4:$AI$4407,'Tracking Sheet'!B1668,'Production '!$Q$4:$Q$4407)</f>
        <v>3997</v>
      </c>
      <c r="E1668" s="76">
        <f ca="1">SUMIF('Production '!$C$4:$AI$4407,'Tracking Sheet'!B1668,'Production '!$S$4:$S$4407)</f>
        <v>0</v>
      </c>
      <c r="F1668" s="76">
        <f ca="1">SUMIF('Production '!$C$4:$AI$4407,'Tracking Sheet'!B1668,'Production '!$U$4:$U$4407)</f>
        <v>0</v>
      </c>
      <c r="G1668" s="76">
        <f ca="1">SUMIF('Production '!$C$4:$AI$4407,'Tracking Sheet'!B1668,'Production '!$W$4:$W$4407)</f>
        <v>0</v>
      </c>
      <c r="H1668" s="76">
        <f ca="1">SUMIF('Production '!$C$4:$AI$4407,'Tracking Sheet'!B1668,'Production '!$F$4:$F$4407)</f>
        <v>8160</v>
      </c>
      <c r="I1668" s="76">
        <f ca="1">SUMIF('Production '!$C$4:$AI$4407,'Tracking Sheet'!B1668,'Production '!$V$4:$V$4407)</f>
        <v>0</v>
      </c>
      <c r="J1668" s="76">
        <f ca="1">SUMIF('Production '!$C$4:$AI$4407,'Tracking Sheet'!B1668,'Production '!$AG$4:$AG$4407)</f>
        <v>-4110</v>
      </c>
    </row>
    <row r="1669" spans="2:10" x14ac:dyDescent="0.3">
      <c r="B1669" s="277" t="str">
        <f>'Production '!C1672</f>
        <v>48158 2nd</v>
      </c>
      <c r="C1669" s="76">
        <f ca="1">SUMIF('Production '!$C$4:$AI$4407,'Tracking Sheet'!B1669,'Production '!$M$4:$M$4407)</f>
        <v>4050</v>
      </c>
      <c r="D1669" s="76">
        <f ca="1">SUMIF('Production '!$C$4:$AI$4407,'Tracking Sheet'!B1669,'Production '!$Q$4:$Q$4407)</f>
        <v>3997</v>
      </c>
      <c r="E1669" s="76">
        <f ca="1">SUMIF('Production '!$C$4:$AI$4407,'Tracking Sheet'!B1669,'Production '!$S$4:$S$4407)</f>
        <v>0</v>
      </c>
      <c r="F1669" s="76">
        <f ca="1">SUMIF('Production '!$C$4:$AI$4407,'Tracking Sheet'!B1669,'Production '!$U$4:$U$4407)</f>
        <v>0</v>
      </c>
      <c r="G1669" s="76">
        <f ca="1">SUMIF('Production '!$C$4:$AI$4407,'Tracking Sheet'!B1669,'Production '!$W$4:$W$4407)</f>
        <v>0</v>
      </c>
      <c r="H1669" s="76">
        <f ca="1">SUMIF('Production '!$C$4:$AI$4407,'Tracking Sheet'!B1669,'Production '!$F$4:$F$4407)</f>
        <v>8160</v>
      </c>
      <c r="I1669" s="76">
        <f ca="1">SUMIF('Production '!$C$4:$AI$4407,'Tracking Sheet'!B1669,'Production '!$V$4:$V$4407)</f>
        <v>0</v>
      </c>
      <c r="J1669" s="76">
        <f ca="1">SUMIF('Production '!$C$4:$AI$4407,'Tracking Sheet'!B1669,'Production '!$AG$4:$AG$4407)</f>
        <v>-4110</v>
      </c>
    </row>
    <row r="1670" spans="2:10" x14ac:dyDescent="0.3">
      <c r="B1670" s="277">
        <f>'Production '!C1673</f>
        <v>0</v>
      </c>
      <c r="C1670" s="76" t="e">
        <f ca="1">SUMIF('Production '!$C$4:$AI$4407,'Tracking Sheet'!B1670,'Production '!$M$4:$M$4407)</f>
        <v>#DIV/0!</v>
      </c>
      <c r="D1670" s="76" t="e">
        <f ca="1">SUMIF('Production '!$C$4:$AI$4407,'Tracking Sheet'!B1670,'Production '!$Q$4:$Q$4407)</f>
        <v>#DIV/0!</v>
      </c>
      <c r="E1670" s="76">
        <f ca="1">SUMIF('Production '!$C$4:$AI$4407,'Tracking Sheet'!B1670,'Production '!$S$4:$S$4407)</f>
        <v>-1268218.9828305368</v>
      </c>
      <c r="F1670" s="76">
        <f ca="1">SUMIF('Production '!$C$4:$AI$4407,'Tracking Sheet'!B1670,'Production '!$U$4:$U$4407)</f>
        <v>-10620.435600016917</v>
      </c>
      <c r="G1670" s="76" t="e">
        <f ca="1">SUMIF('Production '!$C$4:$AI$4407,'Tracking Sheet'!B1670,'Production '!$W$4:$W$4407)</f>
        <v>#DIV/0!</v>
      </c>
      <c r="H1670" s="76">
        <f ca="1">SUMIF('Production '!$C$4:$AI$4407,'Tracking Sheet'!B1670,'Production '!$F$4:$F$4407)</f>
        <v>3230621.3283604058</v>
      </c>
      <c r="I1670" s="76">
        <f ca="1">SUMIF('Production '!$C$4:$AI$4407,'Tracking Sheet'!B1670,'Production '!$V$4:$V$4407)</f>
        <v>-489.86487791182844</v>
      </c>
      <c r="J1670" s="76">
        <f ca="1">SUMIF('Production '!$C$4:$AI$4407,'Tracking Sheet'!B1670,'Production '!$AG$4:$AG$4407)</f>
        <v>0</v>
      </c>
    </row>
    <row r="1671" spans="2:10" x14ac:dyDescent="0.3">
      <c r="B1671" s="277">
        <f>'Production '!C1674</f>
        <v>48173</v>
      </c>
      <c r="C1671" s="76">
        <f ca="1">SUMIF('Production '!$C$4:$AI$4407,'Tracking Sheet'!B1671,'Production '!$M$4:$M$4407)</f>
        <v>5117</v>
      </c>
      <c r="D1671" s="76">
        <f ca="1">SUMIF('Production '!$C$4:$AI$4407,'Tracking Sheet'!B1671,'Production '!$Q$4:$Q$4407)</f>
        <v>0</v>
      </c>
      <c r="E1671" s="76">
        <f ca="1">SUMIF('Production '!$C$4:$AI$4407,'Tracking Sheet'!B1671,'Production '!$S$4:$S$4407)</f>
        <v>0</v>
      </c>
      <c r="F1671" s="76">
        <f ca="1">SUMIF('Production '!$C$4:$AI$4407,'Tracking Sheet'!B1671,'Production '!$U$4:$U$4407)</f>
        <v>0</v>
      </c>
      <c r="G1671" s="76">
        <f ca="1">SUMIF('Production '!$C$4:$AI$4407,'Tracking Sheet'!B1671,'Production '!$W$4:$W$4407)</f>
        <v>5117</v>
      </c>
      <c r="H1671" s="76">
        <f ca="1">SUMIF('Production '!$C$4:$AI$4407,'Tracking Sheet'!B1671,'Production '!$F$4:$F$4407)</f>
        <v>7494</v>
      </c>
      <c r="I1671" s="76">
        <f ca="1">SUMIF('Production '!$C$4:$AI$4407,'Tracking Sheet'!B1671,'Production '!$V$4:$V$4407)</f>
        <v>0</v>
      </c>
      <c r="J1671" s="76">
        <f ca="1">SUMIF('Production '!$C$4:$AI$4407,'Tracking Sheet'!B1671,'Production '!$AG$4:$AG$4407)</f>
        <v>-2448</v>
      </c>
    </row>
    <row r="1672" spans="2:10" x14ac:dyDescent="0.3">
      <c r="B1672" s="277">
        <f>'Production '!C1675</f>
        <v>48173</v>
      </c>
      <c r="C1672" s="76">
        <f ca="1">SUMIF('Production '!$C$4:$AI$4407,'Tracking Sheet'!B1672,'Production '!$M$4:$M$4407)</f>
        <v>5117</v>
      </c>
      <c r="D1672" s="76">
        <f ca="1">SUMIF('Production '!$C$4:$AI$4407,'Tracking Sheet'!B1672,'Production '!$Q$4:$Q$4407)</f>
        <v>0</v>
      </c>
      <c r="E1672" s="76">
        <f ca="1">SUMIF('Production '!$C$4:$AI$4407,'Tracking Sheet'!B1672,'Production '!$S$4:$S$4407)</f>
        <v>0</v>
      </c>
      <c r="F1672" s="76">
        <f ca="1">SUMIF('Production '!$C$4:$AI$4407,'Tracking Sheet'!B1672,'Production '!$U$4:$U$4407)</f>
        <v>0</v>
      </c>
      <c r="G1672" s="76">
        <f ca="1">SUMIF('Production '!$C$4:$AI$4407,'Tracking Sheet'!B1672,'Production '!$W$4:$W$4407)</f>
        <v>5117</v>
      </c>
      <c r="H1672" s="76">
        <f ca="1">SUMIF('Production '!$C$4:$AI$4407,'Tracking Sheet'!B1672,'Production '!$F$4:$F$4407)</f>
        <v>7494</v>
      </c>
      <c r="I1672" s="76">
        <f ca="1">SUMIF('Production '!$C$4:$AI$4407,'Tracking Sheet'!B1672,'Production '!$V$4:$V$4407)</f>
        <v>0</v>
      </c>
      <c r="J1672" s="76">
        <f ca="1">SUMIF('Production '!$C$4:$AI$4407,'Tracking Sheet'!B1672,'Production '!$AG$4:$AG$4407)</f>
        <v>-2448</v>
      </c>
    </row>
    <row r="1673" spans="2:10" x14ac:dyDescent="0.3">
      <c r="B1673" s="277">
        <f>'Production '!C1676</f>
        <v>48173</v>
      </c>
      <c r="C1673" s="76">
        <f ca="1">SUMIF('Production '!$C$4:$AI$4407,'Tracking Sheet'!B1673,'Production '!$M$4:$M$4407)</f>
        <v>5117</v>
      </c>
      <c r="D1673" s="76">
        <f ca="1">SUMIF('Production '!$C$4:$AI$4407,'Tracking Sheet'!B1673,'Production '!$Q$4:$Q$4407)</f>
        <v>0</v>
      </c>
      <c r="E1673" s="76">
        <f ca="1">SUMIF('Production '!$C$4:$AI$4407,'Tracking Sheet'!B1673,'Production '!$S$4:$S$4407)</f>
        <v>0</v>
      </c>
      <c r="F1673" s="76">
        <f ca="1">SUMIF('Production '!$C$4:$AI$4407,'Tracking Sheet'!B1673,'Production '!$U$4:$U$4407)</f>
        <v>0</v>
      </c>
      <c r="G1673" s="76">
        <f ca="1">SUMIF('Production '!$C$4:$AI$4407,'Tracking Sheet'!B1673,'Production '!$W$4:$W$4407)</f>
        <v>5117</v>
      </c>
      <c r="H1673" s="76">
        <f ca="1">SUMIF('Production '!$C$4:$AI$4407,'Tracking Sheet'!B1673,'Production '!$F$4:$F$4407)</f>
        <v>7494</v>
      </c>
      <c r="I1673" s="76">
        <f ca="1">SUMIF('Production '!$C$4:$AI$4407,'Tracking Sheet'!B1673,'Production '!$V$4:$V$4407)</f>
        <v>0</v>
      </c>
      <c r="J1673" s="76">
        <f ca="1">SUMIF('Production '!$C$4:$AI$4407,'Tracking Sheet'!B1673,'Production '!$AG$4:$AG$4407)</f>
        <v>-2448</v>
      </c>
    </row>
    <row r="1674" spans="2:10" x14ac:dyDescent="0.3">
      <c r="B1674" s="277">
        <f>'Production '!C1677</f>
        <v>0</v>
      </c>
      <c r="C1674" s="76" t="e">
        <f ca="1">SUMIF('Production '!$C$4:$AI$4407,'Tracking Sheet'!B1674,'Production '!$M$4:$M$4407)</f>
        <v>#DIV/0!</v>
      </c>
      <c r="D1674" s="76" t="e">
        <f ca="1">SUMIF('Production '!$C$4:$AI$4407,'Tracking Sheet'!B1674,'Production '!$Q$4:$Q$4407)</f>
        <v>#DIV/0!</v>
      </c>
      <c r="E1674" s="76">
        <f ca="1">SUMIF('Production '!$C$4:$AI$4407,'Tracking Sheet'!B1674,'Production '!$S$4:$S$4407)</f>
        <v>-1268218.9828305368</v>
      </c>
      <c r="F1674" s="76">
        <f ca="1">SUMIF('Production '!$C$4:$AI$4407,'Tracking Sheet'!B1674,'Production '!$U$4:$U$4407)</f>
        <v>-10620.435600016917</v>
      </c>
      <c r="G1674" s="76" t="e">
        <f ca="1">SUMIF('Production '!$C$4:$AI$4407,'Tracking Sheet'!B1674,'Production '!$W$4:$W$4407)</f>
        <v>#DIV/0!</v>
      </c>
      <c r="H1674" s="76">
        <f ca="1">SUMIF('Production '!$C$4:$AI$4407,'Tracking Sheet'!B1674,'Production '!$F$4:$F$4407)</f>
        <v>3230621.3283604058</v>
      </c>
      <c r="I1674" s="76">
        <f ca="1">SUMIF('Production '!$C$4:$AI$4407,'Tracking Sheet'!B1674,'Production '!$V$4:$V$4407)</f>
        <v>-489.86487791182844</v>
      </c>
      <c r="J1674" s="76">
        <f ca="1">SUMIF('Production '!$C$4:$AI$4407,'Tracking Sheet'!B1674,'Production '!$AG$4:$AG$4407)</f>
        <v>0</v>
      </c>
    </row>
    <row r="1675" spans="2:10" x14ac:dyDescent="0.3">
      <c r="B1675" s="277" t="str">
        <f>'Production '!C1678</f>
        <v>44671 2nd</v>
      </c>
      <c r="C1675" s="76">
        <f ca="1">SUMIF('Production '!$C$4:$AI$4407,'Tracking Sheet'!B1675,'Production '!$M$4:$M$4407)</f>
        <v>3365</v>
      </c>
      <c r="D1675" s="76">
        <f ca="1">SUMIF('Production '!$C$4:$AI$4407,'Tracking Sheet'!B1675,'Production '!$Q$4:$Q$4407)</f>
        <v>3365</v>
      </c>
      <c r="E1675" s="76">
        <f ca="1">SUMIF('Production '!$C$4:$AI$4407,'Tracking Sheet'!B1675,'Production '!$S$4:$S$4407)</f>
        <v>3365</v>
      </c>
      <c r="F1675" s="76">
        <f ca="1">SUMIF('Production '!$C$4:$AI$4407,'Tracking Sheet'!B1675,'Production '!$U$4:$U$4407)</f>
        <v>881</v>
      </c>
      <c r="G1675" s="76">
        <f ca="1">SUMIF('Production '!$C$4:$AI$4407,'Tracking Sheet'!B1675,'Production '!$W$4:$W$4407)</f>
        <v>2484</v>
      </c>
      <c r="H1675" s="76">
        <f ca="1">SUMIF('Production '!$C$4:$AI$4407,'Tracking Sheet'!B1675,'Production '!$F$4:$F$4407)</f>
        <v>3267</v>
      </c>
      <c r="I1675" s="76">
        <f ca="1">SUMIF('Production '!$C$4:$AI$4407,'Tracking Sheet'!B1675,'Production '!$V$4:$V$4407)</f>
        <v>0</v>
      </c>
      <c r="J1675" s="76">
        <f ca="1">SUMIF('Production '!$C$4:$AI$4407,'Tracking Sheet'!B1675,'Production '!$AG$4:$AG$4407)</f>
        <v>0</v>
      </c>
    </row>
    <row r="1676" spans="2:10" x14ac:dyDescent="0.3">
      <c r="B1676" s="277" t="str">
        <f>'Production '!C1679</f>
        <v>44671 2nd</v>
      </c>
      <c r="C1676" s="76">
        <f ca="1">SUMIF('Production '!$C$4:$AI$4407,'Tracking Sheet'!B1676,'Production '!$M$4:$M$4407)</f>
        <v>3365</v>
      </c>
      <c r="D1676" s="76">
        <f ca="1">SUMIF('Production '!$C$4:$AI$4407,'Tracking Sheet'!B1676,'Production '!$Q$4:$Q$4407)</f>
        <v>3365</v>
      </c>
      <c r="E1676" s="76">
        <f ca="1">SUMIF('Production '!$C$4:$AI$4407,'Tracking Sheet'!B1676,'Production '!$S$4:$S$4407)</f>
        <v>3365</v>
      </c>
      <c r="F1676" s="76">
        <f ca="1">SUMIF('Production '!$C$4:$AI$4407,'Tracking Sheet'!B1676,'Production '!$U$4:$U$4407)</f>
        <v>881</v>
      </c>
      <c r="G1676" s="76">
        <f ca="1">SUMIF('Production '!$C$4:$AI$4407,'Tracking Sheet'!B1676,'Production '!$W$4:$W$4407)</f>
        <v>2484</v>
      </c>
      <c r="H1676" s="76">
        <f ca="1">SUMIF('Production '!$C$4:$AI$4407,'Tracking Sheet'!B1676,'Production '!$F$4:$F$4407)</f>
        <v>3267</v>
      </c>
      <c r="I1676" s="76">
        <f ca="1">SUMIF('Production '!$C$4:$AI$4407,'Tracking Sheet'!B1676,'Production '!$V$4:$V$4407)</f>
        <v>0</v>
      </c>
      <c r="J1676" s="76">
        <f ca="1">SUMIF('Production '!$C$4:$AI$4407,'Tracking Sheet'!B1676,'Production '!$AG$4:$AG$4407)</f>
        <v>0</v>
      </c>
    </row>
    <row r="1677" spans="2:10" x14ac:dyDescent="0.3">
      <c r="B1677" s="277" t="str">
        <f>'Production '!C1680</f>
        <v>44671 2nd</v>
      </c>
      <c r="C1677" s="76">
        <f ca="1">SUMIF('Production '!$C$4:$AI$4407,'Tracking Sheet'!B1677,'Production '!$M$4:$M$4407)</f>
        <v>3365</v>
      </c>
      <c r="D1677" s="76">
        <f ca="1">SUMIF('Production '!$C$4:$AI$4407,'Tracking Sheet'!B1677,'Production '!$Q$4:$Q$4407)</f>
        <v>3365</v>
      </c>
      <c r="E1677" s="76">
        <f ca="1">SUMIF('Production '!$C$4:$AI$4407,'Tracking Sheet'!B1677,'Production '!$S$4:$S$4407)</f>
        <v>3365</v>
      </c>
      <c r="F1677" s="76">
        <f ca="1">SUMIF('Production '!$C$4:$AI$4407,'Tracking Sheet'!B1677,'Production '!$U$4:$U$4407)</f>
        <v>881</v>
      </c>
      <c r="G1677" s="76">
        <f ca="1">SUMIF('Production '!$C$4:$AI$4407,'Tracking Sheet'!B1677,'Production '!$W$4:$W$4407)</f>
        <v>2484</v>
      </c>
      <c r="H1677" s="76">
        <f ca="1">SUMIF('Production '!$C$4:$AI$4407,'Tracking Sheet'!B1677,'Production '!$F$4:$F$4407)</f>
        <v>3267</v>
      </c>
      <c r="I1677" s="76">
        <f ca="1">SUMIF('Production '!$C$4:$AI$4407,'Tracking Sheet'!B1677,'Production '!$V$4:$V$4407)</f>
        <v>0</v>
      </c>
      <c r="J1677" s="76">
        <f ca="1">SUMIF('Production '!$C$4:$AI$4407,'Tracking Sheet'!B1677,'Production '!$AG$4:$AG$4407)</f>
        <v>0</v>
      </c>
    </row>
    <row r="1678" spans="2:10" x14ac:dyDescent="0.3">
      <c r="B1678" s="277">
        <f>'Production '!C1681</f>
        <v>0</v>
      </c>
      <c r="C1678" s="76" t="e">
        <f ca="1">SUMIF('Production '!$C$4:$AI$4407,'Tracking Sheet'!B1678,'Production '!$M$4:$M$4407)</f>
        <v>#DIV/0!</v>
      </c>
      <c r="D1678" s="76" t="e">
        <f ca="1">SUMIF('Production '!$C$4:$AI$4407,'Tracking Sheet'!B1678,'Production '!$Q$4:$Q$4407)</f>
        <v>#DIV/0!</v>
      </c>
      <c r="E1678" s="76">
        <f ca="1">SUMIF('Production '!$C$4:$AI$4407,'Tracking Sheet'!B1678,'Production '!$S$4:$S$4407)</f>
        <v>-1268218.9828305368</v>
      </c>
      <c r="F1678" s="76">
        <f ca="1">SUMIF('Production '!$C$4:$AI$4407,'Tracking Sheet'!B1678,'Production '!$U$4:$U$4407)</f>
        <v>-10620.435600016917</v>
      </c>
      <c r="G1678" s="76" t="e">
        <f ca="1">SUMIF('Production '!$C$4:$AI$4407,'Tracking Sheet'!B1678,'Production '!$W$4:$W$4407)</f>
        <v>#DIV/0!</v>
      </c>
      <c r="H1678" s="76">
        <f ca="1">SUMIF('Production '!$C$4:$AI$4407,'Tracking Sheet'!B1678,'Production '!$F$4:$F$4407)</f>
        <v>3230621.3283604058</v>
      </c>
      <c r="I1678" s="76">
        <f ca="1">SUMIF('Production '!$C$4:$AI$4407,'Tracking Sheet'!B1678,'Production '!$V$4:$V$4407)</f>
        <v>-489.86487791182844</v>
      </c>
      <c r="J1678" s="76">
        <f ca="1">SUMIF('Production '!$C$4:$AI$4407,'Tracking Sheet'!B1678,'Production '!$AG$4:$AG$4407)</f>
        <v>0</v>
      </c>
    </row>
    <row r="1679" spans="2:10" x14ac:dyDescent="0.3">
      <c r="B1679" s="277" t="str">
        <f>'Production '!C1682</f>
        <v>41787 33th</v>
      </c>
      <c r="C1679" s="76">
        <f ca="1">SUMIF('Production '!$C$4:$AI$4407,'Tracking Sheet'!B1679,'Production '!$M$4:$M$4407)</f>
        <v>29670</v>
      </c>
      <c r="D1679" s="76">
        <f ca="1">SUMIF('Production '!$C$4:$AI$4407,'Tracking Sheet'!B1679,'Production '!$Q$4:$Q$4407)</f>
        <v>29670</v>
      </c>
      <c r="E1679" s="76">
        <f ca="1">SUMIF('Production '!$C$4:$AI$4407,'Tracking Sheet'!B1679,'Production '!$S$4:$S$4407)</f>
        <v>10332</v>
      </c>
      <c r="F1679" s="76">
        <f ca="1">SUMIF('Production '!$C$4:$AI$4407,'Tracking Sheet'!B1679,'Production '!$U$4:$U$4407)</f>
        <v>133</v>
      </c>
      <c r="G1679" s="76">
        <f ca="1">SUMIF('Production '!$C$4:$AI$4407,'Tracking Sheet'!B1679,'Production '!$W$4:$W$4407)</f>
        <v>10199</v>
      </c>
      <c r="H1679" s="76">
        <f ca="1">SUMIF('Production '!$C$4:$AI$4407,'Tracking Sheet'!B1679,'Production '!$F$4:$F$4407)</f>
        <v>31578</v>
      </c>
      <c r="I1679" s="76">
        <f ca="1">SUMIF('Production '!$C$4:$AI$4407,'Tracking Sheet'!B1679,'Production '!$V$4:$V$4407)</f>
        <v>0</v>
      </c>
      <c r="J1679" s="76">
        <f ca="1">SUMIF('Production '!$C$4:$AI$4407,'Tracking Sheet'!B1679,'Production '!$AG$4:$AG$4407)</f>
        <v>-2497</v>
      </c>
    </row>
    <row r="1680" spans="2:10" x14ac:dyDescent="0.3">
      <c r="B1680" s="277" t="str">
        <f>'Production '!C1683</f>
        <v>41787 33th</v>
      </c>
      <c r="C1680" s="76">
        <f ca="1">SUMIF('Production '!$C$4:$AI$4407,'Tracking Sheet'!B1680,'Production '!$M$4:$M$4407)</f>
        <v>29670</v>
      </c>
      <c r="D1680" s="76">
        <f ca="1">SUMIF('Production '!$C$4:$AI$4407,'Tracking Sheet'!B1680,'Production '!$Q$4:$Q$4407)</f>
        <v>29670</v>
      </c>
      <c r="E1680" s="76">
        <f ca="1">SUMIF('Production '!$C$4:$AI$4407,'Tracking Sheet'!B1680,'Production '!$S$4:$S$4407)</f>
        <v>10332</v>
      </c>
      <c r="F1680" s="76">
        <f ca="1">SUMIF('Production '!$C$4:$AI$4407,'Tracking Sheet'!B1680,'Production '!$U$4:$U$4407)</f>
        <v>133</v>
      </c>
      <c r="G1680" s="76">
        <f ca="1">SUMIF('Production '!$C$4:$AI$4407,'Tracking Sheet'!B1680,'Production '!$W$4:$W$4407)</f>
        <v>10199</v>
      </c>
      <c r="H1680" s="76">
        <f ca="1">SUMIF('Production '!$C$4:$AI$4407,'Tracking Sheet'!B1680,'Production '!$F$4:$F$4407)</f>
        <v>31578</v>
      </c>
      <c r="I1680" s="76">
        <f ca="1">SUMIF('Production '!$C$4:$AI$4407,'Tracking Sheet'!B1680,'Production '!$V$4:$V$4407)</f>
        <v>0</v>
      </c>
      <c r="J1680" s="76">
        <f ca="1">SUMIF('Production '!$C$4:$AI$4407,'Tracking Sheet'!B1680,'Production '!$AG$4:$AG$4407)</f>
        <v>-2497</v>
      </c>
    </row>
    <row r="1681" spans="2:10" x14ac:dyDescent="0.3">
      <c r="B1681" s="277" t="str">
        <f>'Production '!C1684</f>
        <v>41787 33th</v>
      </c>
      <c r="C1681" s="76">
        <f ca="1">SUMIF('Production '!$C$4:$AI$4407,'Tracking Sheet'!B1681,'Production '!$M$4:$M$4407)</f>
        <v>29670</v>
      </c>
      <c r="D1681" s="76">
        <f ca="1">SUMIF('Production '!$C$4:$AI$4407,'Tracking Sheet'!B1681,'Production '!$Q$4:$Q$4407)</f>
        <v>29670</v>
      </c>
      <c r="E1681" s="76">
        <f ca="1">SUMIF('Production '!$C$4:$AI$4407,'Tracking Sheet'!B1681,'Production '!$S$4:$S$4407)</f>
        <v>10332</v>
      </c>
      <c r="F1681" s="76">
        <f ca="1">SUMIF('Production '!$C$4:$AI$4407,'Tracking Sheet'!B1681,'Production '!$U$4:$U$4407)</f>
        <v>133</v>
      </c>
      <c r="G1681" s="76">
        <f ca="1">SUMIF('Production '!$C$4:$AI$4407,'Tracking Sheet'!B1681,'Production '!$W$4:$W$4407)</f>
        <v>10199</v>
      </c>
      <c r="H1681" s="76">
        <f ca="1">SUMIF('Production '!$C$4:$AI$4407,'Tracking Sheet'!B1681,'Production '!$F$4:$F$4407)</f>
        <v>31578</v>
      </c>
      <c r="I1681" s="76">
        <f ca="1">SUMIF('Production '!$C$4:$AI$4407,'Tracking Sheet'!B1681,'Production '!$V$4:$V$4407)</f>
        <v>0</v>
      </c>
      <c r="J1681" s="76">
        <f ca="1">SUMIF('Production '!$C$4:$AI$4407,'Tracking Sheet'!B1681,'Production '!$AG$4:$AG$4407)</f>
        <v>-2497</v>
      </c>
    </row>
    <row r="1682" spans="2:10" x14ac:dyDescent="0.3">
      <c r="B1682" s="277" t="str">
        <f>'Production '!C1685</f>
        <v>41787 33th</v>
      </c>
      <c r="C1682" s="76">
        <f ca="1">SUMIF('Production '!$C$4:$AI$4407,'Tracking Sheet'!B1682,'Production '!$M$4:$M$4407)</f>
        <v>29670</v>
      </c>
      <c r="D1682" s="76">
        <f ca="1">SUMIF('Production '!$C$4:$AI$4407,'Tracking Sheet'!B1682,'Production '!$Q$4:$Q$4407)</f>
        <v>29670</v>
      </c>
      <c r="E1682" s="76">
        <f ca="1">SUMIF('Production '!$C$4:$AI$4407,'Tracking Sheet'!B1682,'Production '!$S$4:$S$4407)</f>
        <v>10332</v>
      </c>
      <c r="F1682" s="76">
        <f ca="1">SUMIF('Production '!$C$4:$AI$4407,'Tracking Sheet'!B1682,'Production '!$U$4:$U$4407)</f>
        <v>133</v>
      </c>
      <c r="G1682" s="76">
        <f ca="1">SUMIF('Production '!$C$4:$AI$4407,'Tracking Sheet'!B1682,'Production '!$W$4:$W$4407)</f>
        <v>10199</v>
      </c>
      <c r="H1682" s="76">
        <f ca="1">SUMIF('Production '!$C$4:$AI$4407,'Tracking Sheet'!B1682,'Production '!$F$4:$F$4407)</f>
        <v>31578</v>
      </c>
      <c r="I1682" s="76">
        <f ca="1">SUMIF('Production '!$C$4:$AI$4407,'Tracking Sheet'!B1682,'Production '!$V$4:$V$4407)</f>
        <v>0</v>
      </c>
      <c r="J1682" s="76">
        <f ca="1">SUMIF('Production '!$C$4:$AI$4407,'Tracking Sheet'!B1682,'Production '!$AG$4:$AG$4407)</f>
        <v>-2497</v>
      </c>
    </row>
    <row r="1683" spans="2:10" x14ac:dyDescent="0.3">
      <c r="B1683" s="277" t="str">
        <f>'Production '!C1686</f>
        <v>41787 33th</v>
      </c>
      <c r="C1683" s="76">
        <f ca="1">SUMIF('Production '!$C$4:$AI$4407,'Tracking Sheet'!B1683,'Production '!$M$4:$M$4407)</f>
        <v>29670</v>
      </c>
      <c r="D1683" s="76">
        <f ca="1">SUMIF('Production '!$C$4:$AI$4407,'Tracking Sheet'!B1683,'Production '!$Q$4:$Q$4407)</f>
        <v>29670</v>
      </c>
      <c r="E1683" s="76">
        <f ca="1">SUMIF('Production '!$C$4:$AI$4407,'Tracking Sheet'!B1683,'Production '!$S$4:$S$4407)</f>
        <v>10332</v>
      </c>
      <c r="F1683" s="76">
        <f ca="1">SUMIF('Production '!$C$4:$AI$4407,'Tracking Sheet'!B1683,'Production '!$U$4:$U$4407)</f>
        <v>133</v>
      </c>
      <c r="G1683" s="76">
        <f ca="1">SUMIF('Production '!$C$4:$AI$4407,'Tracking Sheet'!B1683,'Production '!$W$4:$W$4407)</f>
        <v>10199</v>
      </c>
      <c r="H1683" s="76">
        <f ca="1">SUMIF('Production '!$C$4:$AI$4407,'Tracking Sheet'!B1683,'Production '!$F$4:$F$4407)</f>
        <v>31578</v>
      </c>
      <c r="I1683" s="76">
        <f ca="1">SUMIF('Production '!$C$4:$AI$4407,'Tracking Sheet'!B1683,'Production '!$V$4:$V$4407)</f>
        <v>0</v>
      </c>
      <c r="J1683" s="76">
        <f ca="1">SUMIF('Production '!$C$4:$AI$4407,'Tracking Sheet'!B1683,'Production '!$AG$4:$AG$4407)</f>
        <v>-2497</v>
      </c>
    </row>
    <row r="1684" spans="2:10" x14ac:dyDescent="0.3">
      <c r="B1684" s="277" t="str">
        <f>'Production '!C1687</f>
        <v>41787 33th</v>
      </c>
      <c r="C1684" s="76">
        <f ca="1">SUMIF('Production '!$C$4:$AI$4407,'Tracking Sheet'!B1684,'Production '!$M$4:$M$4407)</f>
        <v>29670</v>
      </c>
      <c r="D1684" s="76">
        <f ca="1">SUMIF('Production '!$C$4:$AI$4407,'Tracking Sheet'!B1684,'Production '!$Q$4:$Q$4407)</f>
        <v>29670</v>
      </c>
      <c r="E1684" s="76">
        <f ca="1">SUMIF('Production '!$C$4:$AI$4407,'Tracking Sheet'!B1684,'Production '!$S$4:$S$4407)</f>
        <v>10332</v>
      </c>
      <c r="F1684" s="76">
        <f ca="1">SUMIF('Production '!$C$4:$AI$4407,'Tracking Sheet'!B1684,'Production '!$U$4:$U$4407)</f>
        <v>133</v>
      </c>
      <c r="G1684" s="76">
        <f ca="1">SUMIF('Production '!$C$4:$AI$4407,'Tracking Sheet'!B1684,'Production '!$W$4:$W$4407)</f>
        <v>10199</v>
      </c>
      <c r="H1684" s="76">
        <f ca="1">SUMIF('Production '!$C$4:$AI$4407,'Tracking Sheet'!B1684,'Production '!$F$4:$F$4407)</f>
        <v>31578</v>
      </c>
      <c r="I1684" s="76">
        <f ca="1">SUMIF('Production '!$C$4:$AI$4407,'Tracking Sheet'!B1684,'Production '!$V$4:$V$4407)</f>
        <v>0</v>
      </c>
      <c r="J1684" s="76">
        <f ca="1">SUMIF('Production '!$C$4:$AI$4407,'Tracking Sheet'!B1684,'Production '!$AG$4:$AG$4407)</f>
        <v>-2497</v>
      </c>
    </row>
    <row r="1685" spans="2:10" x14ac:dyDescent="0.3">
      <c r="B1685" s="277">
        <f>'Production '!C1688</f>
        <v>0</v>
      </c>
      <c r="C1685" s="76" t="e">
        <f ca="1">SUMIF('Production '!$C$4:$AI$4407,'Tracking Sheet'!B1685,'Production '!$M$4:$M$4407)</f>
        <v>#DIV/0!</v>
      </c>
      <c r="D1685" s="76" t="e">
        <f ca="1">SUMIF('Production '!$C$4:$AI$4407,'Tracking Sheet'!B1685,'Production '!$Q$4:$Q$4407)</f>
        <v>#DIV/0!</v>
      </c>
      <c r="E1685" s="76">
        <f ca="1">SUMIF('Production '!$C$4:$AI$4407,'Tracking Sheet'!B1685,'Production '!$S$4:$S$4407)</f>
        <v>-1268218.9828305368</v>
      </c>
      <c r="F1685" s="76">
        <f ca="1">SUMIF('Production '!$C$4:$AI$4407,'Tracking Sheet'!B1685,'Production '!$U$4:$U$4407)</f>
        <v>-10620.435600016917</v>
      </c>
      <c r="G1685" s="76" t="e">
        <f ca="1">SUMIF('Production '!$C$4:$AI$4407,'Tracking Sheet'!B1685,'Production '!$W$4:$W$4407)</f>
        <v>#DIV/0!</v>
      </c>
      <c r="H1685" s="76">
        <f ca="1">SUMIF('Production '!$C$4:$AI$4407,'Tracking Sheet'!B1685,'Production '!$F$4:$F$4407)</f>
        <v>3230621.3283604058</v>
      </c>
      <c r="I1685" s="76">
        <f ca="1">SUMIF('Production '!$C$4:$AI$4407,'Tracking Sheet'!B1685,'Production '!$V$4:$V$4407)</f>
        <v>-489.86487791182844</v>
      </c>
      <c r="J1685" s="76">
        <f ca="1">SUMIF('Production '!$C$4:$AI$4407,'Tracking Sheet'!B1685,'Production '!$AG$4:$AG$4407)</f>
        <v>0</v>
      </c>
    </row>
    <row r="1686" spans="2:10" x14ac:dyDescent="0.3">
      <c r="B1686" s="277">
        <f>'Production '!C1689</f>
        <v>47652</v>
      </c>
      <c r="C1686" s="76">
        <f ca="1">SUMIF('Production '!$C$4:$AI$4407,'Tracking Sheet'!B1686,'Production '!$M$4:$M$4407)</f>
        <v>864</v>
      </c>
      <c r="D1686" s="76">
        <f ca="1">SUMIF('Production '!$C$4:$AI$4407,'Tracking Sheet'!B1686,'Production '!$Q$4:$Q$4407)</f>
        <v>864</v>
      </c>
      <c r="E1686" s="76">
        <f ca="1">SUMIF('Production '!$C$4:$AI$4407,'Tracking Sheet'!B1686,'Production '!$S$4:$S$4407)</f>
        <v>861</v>
      </c>
      <c r="F1686" s="76">
        <f ca="1">SUMIF('Production '!$C$4:$AI$4407,'Tracking Sheet'!B1686,'Production '!$U$4:$U$4407)</f>
        <v>6</v>
      </c>
      <c r="G1686" s="76">
        <f ca="1">SUMIF('Production '!$C$4:$AI$4407,'Tracking Sheet'!B1686,'Production '!$W$4:$W$4407)</f>
        <v>855</v>
      </c>
      <c r="H1686" s="76">
        <f ca="1">SUMIF('Production '!$C$4:$AI$4407,'Tracking Sheet'!B1686,'Production '!$F$4:$F$4407)</f>
        <v>786</v>
      </c>
      <c r="I1686" s="76">
        <f ca="1">SUMIF('Production '!$C$4:$AI$4407,'Tracking Sheet'!B1686,'Production '!$V$4:$V$4407)</f>
        <v>0</v>
      </c>
      <c r="J1686" s="76">
        <f ca="1">SUMIF('Production '!$C$4:$AI$4407,'Tracking Sheet'!B1686,'Production '!$AG$4:$AG$4407)</f>
        <v>0</v>
      </c>
    </row>
    <row r="1687" spans="2:10" x14ac:dyDescent="0.3">
      <c r="B1687" s="277">
        <f>'Production '!C1690</f>
        <v>47652</v>
      </c>
      <c r="C1687" s="76">
        <f ca="1">SUMIF('Production '!$C$4:$AI$4407,'Tracking Sheet'!B1687,'Production '!$M$4:$M$4407)</f>
        <v>864</v>
      </c>
      <c r="D1687" s="76">
        <f ca="1">SUMIF('Production '!$C$4:$AI$4407,'Tracking Sheet'!B1687,'Production '!$Q$4:$Q$4407)</f>
        <v>864</v>
      </c>
      <c r="E1687" s="76">
        <f ca="1">SUMIF('Production '!$C$4:$AI$4407,'Tracking Sheet'!B1687,'Production '!$S$4:$S$4407)</f>
        <v>861</v>
      </c>
      <c r="F1687" s="76">
        <f ca="1">SUMIF('Production '!$C$4:$AI$4407,'Tracking Sheet'!B1687,'Production '!$U$4:$U$4407)</f>
        <v>6</v>
      </c>
      <c r="G1687" s="76">
        <f ca="1">SUMIF('Production '!$C$4:$AI$4407,'Tracking Sheet'!B1687,'Production '!$W$4:$W$4407)</f>
        <v>855</v>
      </c>
      <c r="H1687" s="76">
        <f ca="1">SUMIF('Production '!$C$4:$AI$4407,'Tracking Sheet'!B1687,'Production '!$F$4:$F$4407)</f>
        <v>786</v>
      </c>
      <c r="I1687" s="76">
        <f ca="1">SUMIF('Production '!$C$4:$AI$4407,'Tracking Sheet'!B1687,'Production '!$V$4:$V$4407)</f>
        <v>0</v>
      </c>
      <c r="J1687" s="76">
        <f ca="1">SUMIF('Production '!$C$4:$AI$4407,'Tracking Sheet'!B1687,'Production '!$AG$4:$AG$4407)</f>
        <v>0</v>
      </c>
    </row>
    <row r="1688" spans="2:10" x14ac:dyDescent="0.3">
      <c r="B1688" s="277">
        <f>'Production '!C1691</f>
        <v>47652</v>
      </c>
      <c r="C1688" s="76">
        <f ca="1">SUMIF('Production '!$C$4:$AI$4407,'Tracking Sheet'!B1688,'Production '!$M$4:$M$4407)</f>
        <v>864</v>
      </c>
      <c r="D1688" s="76">
        <f ca="1">SUMIF('Production '!$C$4:$AI$4407,'Tracking Sheet'!B1688,'Production '!$Q$4:$Q$4407)</f>
        <v>864</v>
      </c>
      <c r="E1688" s="76">
        <f ca="1">SUMIF('Production '!$C$4:$AI$4407,'Tracking Sheet'!B1688,'Production '!$S$4:$S$4407)</f>
        <v>861</v>
      </c>
      <c r="F1688" s="76">
        <f ca="1">SUMIF('Production '!$C$4:$AI$4407,'Tracking Sheet'!B1688,'Production '!$U$4:$U$4407)</f>
        <v>6</v>
      </c>
      <c r="G1688" s="76">
        <f ca="1">SUMIF('Production '!$C$4:$AI$4407,'Tracking Sheet'!B1688,'Production '!$W$4:$W$4407)</f>
        <v>855</v>
      </c>
      <c r="H1688" s="76">
        <f ca="1">SUMIF('Production '!$C$4:$AI$4407,'Tracking Sheet'!B1688,'Production '!$F$4:$F$4407)</f>
        <v>786</v>
      </c>
      <c r="I1688" s="76">
        <f ca="1">SUMIF('Production '!$C$4:$AI$4407,'Tracking Sheet'!B1688,'Production '!$V$4:$V$4407)</f>
        <v>0</v>
      </c>
      <c r="J1688" s="76">
        <f ca="1">SUMIF('Production '!$C$4:$AI$4407,'Tracking Sheet'!B1688,'Production '!$AG$4:$AG$4407)</f>
        <v>0</v>
      </c>
    </row>
    <row r="1689" spans="2:10" x14ac:dyDescent="0.3">
      <c r="B1689" s="277">
        <f>'Production '!C1692</f>
        <v>0</v>
      </c>
      <c r="C1689" s="76" t="e">
        <f ca="1">SUMIF('Production '!$C$4:$AI$4407,'Tracking Sheet'!B1689,'Production '!$M$4:$M$4407)</f>
        <v>#DIV/0!</v>
      </c>
      <c r="D1689" s="76" t="e">
        <f ca="1">SUMIF('Production '!$C$4:$AI$4407,'Tracking Sheet'!B1689,'Production '!$Q$4:$Q$4407)</f>
        <v>#DIV/0!</v>
      </c>
      <c r="E1689" s="76">
        <f ca="1">SUMIF('Production '!$C$4:$AI$4407,'Tracking Sheet'!B1689,'Production '!$S$4:$S$4407)</f>
        <v>-1268218.9828305368</v>
      </c>
      <c r="F1689" s="76">
        <f ca="1">SUMIF('Production '!$C$4:$AI$4407,'Tracking Sheet'!B1689,'Production '!$U$4:$U$4407)</f>
        <v>-10620.435600016917</v>
      </c>
      <c r="G1689" s="76" t="e">
        <f ca="1">SUMIF('Production '!$C$4:$AI$4407,'Tracking Sheet'!B1689,'Production '!$W$4:$W$4407)</f>
        <v>#DIV/0!</v>
      </c>
      <c r="H1689" s="76">
        <f ca="1">SUMIF('Production '!$C$4:$AI$4407,'Tracking Sheet'!B1689,'Production '!$F$4:$F$4407)</f>
        <v>3230621.3283604058</v>
      </c>
      <c r="I1689" s="76">
        <f ca="1">SUMIF('Production '!$C$4:$AI$4407,'Tracking Sheet'!B1689,'Production '!$V$4:$V$4407)</f>
        <v>-489.86487791182844</v>
      </c>
      <c r="J1689" s="76">
        <f ca="1">SUMIF('Production '!$C$4:$AI$4407,'Tracking Sheet'!B1689,'Production '!$AG$4:$AG$4407)</f>
        <v>0</v>
      </c>
    </row>
    <row r="1690" spans="2:10" x14ac:dyDescent="0.3">
      <c r="B1690" s="277" t="str">
        <f>'Production '!C1693</f>
        <v>46303 2nd</v>
      </c>
      <c r="C1690" s="76">
        <f ca="1">SUMIF('Production '!$C$4:$AI$4407,'Tracking Sheet'!B1690,'Production '!$M$4:$M$4407)</f>
        <v>2772</v>
      </c>
      <c r="D1690" s="76">
        <f ca="1">SUMIF('Production '!$C$4:$AI$4407,'Tracking Sheet'!B1690,'Production '!$Q$4:$Q$4407)</f>
        <v>2772</v>
      </c>
      <c r="E1690" s="76">
        <f ca="1">SUMIF('Production '!$C$4:$AI$4407,'Tracking Sheet'!B1690,'Production '!$S$4:$S$4407)</f>
        <v>2772</v>
      </c>
      <c r="F1690" s="76">
        <f ca="1">SUMIF('Production '!$C$4:$AI$4407,'Tracking Sheet'!B1690,'Production '!$U$4:$U$4407)</f>
        <v>11</v>
      </c>
      <c r="G1690" s="76">
        <f ca="1">SUMIF('Production '!$C$4:$AI$4407,'Tracking Sheet'!B1690,'Production '!$W$4:$W$4407)</f>
        <v>2761</v>
      </c>
      <c r="H1690" s="76">
        <f ca="1">SUMIF('Production '!$C$4:$AI$4407,'Tracking Sheet'!B1690,'Production '!$F$4:$F$4407)</f>
        <v>2700</v>
      </c>
      <c r="I1690" s="76">
        <f ca="1">SUMIF('Production '!$C$4:$AI$4407,'Tracking Sheet'!B1690,'Production '!$V$4:$V$4407)</f>
        <v>0</v>
      </c>
      <c r="J1690" s="76">
        <f ca="1">SUMIF('Production '!$C$4:$AI$4407,'Tracking Sheet'!B1690,'Production '!$AG$4:$AG$4407)</f>
        <v>0</v>
      </c>
    </row>
    <row r="1691" spans="2:10" x14ac:dyDescent="0.3">
      <c r="B1691" s="277" t="str">
        <f>'Production '!C1694</f>
        <v>46303 2nd</v>
      </c>
      <c r="C1691" s="76">
        <f ca="1">SUMIF('Production '!$C$4:$AI$4407,'Tracking Sheet'!B1691,'Production '!$M$4:$M$4407)</f>
        <v>2772</v>
      </c>
      <c r="D1691" s="76">
        <f ca="1">SUMIF('Production '!$C$4:$AI$4407,'Tracking Sheet'!B1691,'Production '!$Q$4:$Q$4407)</f>
        <v>2772</v>
      </c>
      <c r="E1691" s="76">
        <f ca="1">SUMIF('Production '!$C$4:$AI$4407,'Tracking Sheet'!B1691,'Production '!$S$4:$S$4407)</f>
        <v>2772</v>
      </c>
      <c r="F1691" s="76">
        <f ca="1">SUMIF('Production '!$C$4:$AI$4407,'Tracking Sheet'!B1691,'Production '!$U$4:$U$4407)</f>
        <v>11</v>
      </c>
      <c r="G1691" s="76">
        <f ca="1">SUMIF('Production '!$C$4:$AI$4407,'Tracking Sheet'!B1691,'Production '!$W$4:$W$4407)</f>
        <v>2761</v>
      </c>
      <c r="H1691" s="76">
        <f ca="1">SUMIF('Production '!$C$4:$AI$4407,'Tracking Sheet'!B1691,'Production '!$F$4:$F$4407)</f>
        <v>2700</v>
      </c>
      <c r="I1691" s="76">
        <f ca="1">SUMIF('Production '!$C$4:$AI$4407,'Tracking Sheet'!B1691,'Production '!$V$4:$V$4407)</f>
        <v>0</v>
      </c>
      <c r="J1691" s="76">
        <f ca="1">SUMIF('Production '!$C$4:$AI$4407,'Tracking Sheet'!B1691,'Production '!$AG$4:$AG$4407)</f>
        <v>0</v>
      </c>
    </row>
    <row r="1692" spans="2:10" x14ac:dyDescent="0.3">
      <c r="B1692" s="277">
        <f>'Production '!C1695</f>
        <v>0</v>
      </c>
      <c r="C1692" s="76" t="e">
        <f ca="1">SUMIF('Production '!$C$4:$AI$4407,'Tracking Sheet'!B1692,'Production '!$M$4:$M$4407)</f>
        <v>#DIV/0!</v>
      </c>
      <c r="D1692" s="76" t="e">
        <f ca="1">SUMIF('Production '!$C$4:$AI$4407,'Tracking Sheet'!B1692,'Production '!$Q$4:$Q$4407)</f>
        <v>#DIV/0!</v>
      </c>
      <c r="E1692" s="76">
        <f ca="1">SUMIF('Production '!$C$4:$AI$4407,'Tracking Sheet'!B1692,'Production '!$S$4:$S$4407)</f>
        <v>-1268218.9828305368</v>
      </c>
      <c r="F1692" s="76">
        <f ca="1">SUMIF('Production '!$C$4:$AI$4407,'Tracking Sheet'!B1692,'Production '!$U$4:$U$4407)</f>
        <v>-10620.435600016917</v>
      </c>
      <c r="G1692" s="76" t="e">
        <f ca="1">SUMIF('Production '!$C$4:$AI$4407,'Tracking Sheet'!B1692,'Production '!$W$4:$W$4407)</f>
        <v>#DIV/0!</v>
      </c>
      <c r="H1692" s="76">
        <f ca="1">SUMIF('Production '!$C$4:$AI$4407,'Tracking Sheet'!B1692,'Production '!$F$4:$F$4407)</f>
        <v>3230621.3283604058</v>
      </c>
      <c r="I1692" s="76">
        <f ca="1">SUMIF('Production '!$C$4:$AI$4407,'Tracking Sheet'!B1692,'Production '!$V$4:$V$4407)</f>
        <v>-489.86487791182844</v>
      </c>
      <c r="J1692" s="76">
        <f ca="1">SUMIF('Production '!$C$4:$AI$4407,'Tracking Sheet'!B1692,'Production '!$AG$4:$AG$4407)</f>
        <v>0</v>
      </c>
    </row>
    <row r="1693" spans="2:10" x14ac:dyDescent="0.3">
      <c r="B1693" s="277" t="str">
        <f>'Production '!C1696</f>
        <v>44663 3rd</v>
      </c>
      <c r="C1693" s="76">
        <f ca="1">SUMIF('Production '!$C$4:$AI$4407,'Tracking Sheet'!B1693,'Production '!$M$4:$M$4407)</f>
        <v>2113</v>
      </c>
      <c r="D1693" s="76">
        <f ca="1">SUMIF('Production '!$C$4:$AI$4407,'Tracking Sheet'!B1693,'Production '!$Q$4:$Q$4407)</f>
        <v>2113</v>
      </c>
      <c r="E1693" s="76">
        <f ca="1">SUMIF('Production '!$C$4:$AI$4407,'Tracking Sheet'!B1693,'Production '!$S$4:$S$4407)</f>
        <v>2106</v>
      </c>
      <c r="F1693" s="76">
        <f ca="1">SUMIF('Production '!$C$4:$AI$4407,'Tracking Sheet'!B1693,'Production '!$U$4:$U$4407)</f>
        <v>7</v>
      </c>
      <c r="G1693" s="76">
        <f ca="1">SUMIF('Production '!$C$4:$AI$4407,'Tracking Sheet'!B1693,'Production '!$W$4:$W$4407)</f>
        <v>2099</v>
      </c>
      <c r="H1693" s="76">
        <f ca="1">SUMIF('Production '!$C$4:$AI$4407,'Tracking Sheet'!B1693,'Production '!$F$4:$F$4407)</f>
        <v>2039</v>
      </c>
      <c r="I1693" s="76">
        <f ca="1">SUMIF('Production '!$C$4:$AI$4407,'Tracking Sheet'!B1693,'Production '!$V$4:$V$4407)</f>
        <v>0</v>
      </c>
      <c r="J1693" s="76">
        <f ca="1">SUMIF('Production '!$C$4:$AI$4407,'Tracking Sheet'!B1693,'Production '!$AG$4:$AG$4407)</f>
        <v>0</v>
      </c>
    </row>
    <row r="1694" spans="2:10" x14ac:dyDescent="0.3">
      <c r="B1694" s="277" t="str">
        <f>'Production '!C1697</f>
        <v>44663 3rd</v>
      </c>
      <c r="C1694" s="76">
        <f ca="1">SUMIF('Production '!$C$4:$AI$4407,'Tracking Sheet'!B1694,'Production '!$M$4:$M$4407)</f>
        <v>2113</v>
      </c>
      <c r="D1694" s="76">
        <f ca="1">SUMIF('Production '!$C$4:$AI$4407,'Tracking Sheet'!B1694,'Production '!$Q$4:$Q$4407)</f>
        <v>2113</v>
      </c>
      <c r="E1694" s="76">
        <f ca="1">SUMIF('Production '!$C$4:$AI$4407,'Tracking Sheet'!B1694,'Production '!$S$4:$S$4407)</f>
        <v>2106</v>
      </c>
      <c r="F1694" s="76">
        <f ca="1">SUMIF('Production '!$C$4:$AI$4407,'Tracking Sheet'!B1694,'Production '!$U$4:$U$4407)</f>
        <v>7</v>
      </c>
      <c r="G1694" s="76">
        <f ca="1">SUMIF('Production '!$C$4:$AI$4407,'Tracking Sheet'!B1694,'Production '!$W$4:$W$4407)</f>
        <v>2099</v>
      </c>
      <c r="H1694" s="76">
        <f ca="1">SUMIF('Production '!$C$4:$AI$4407,'Tracking Sheet'!B1694,'Production '!$F$4:$F$4407)</f>
        <v>2039</v>
      </c>
      <c r="I1694" s="76">
        <f ca="1">SUMIF('Production '!$C$4:$AI$4407,'Tracking Sheet'!B1694,'Production '!$V$4:$V$4407)</f>
        <v>0</v>
      </c>
      <c r="J1694" s="76">
        <f ca="1">SUMIF('Production '!$C$4:$AI$4407,'Tracking Sheet'!B1694,'Production '!$AG$4:$AG$4407)</f>
        <v>0</v>
      </c>
    </row>
    <row r="1695" spans="2:10" x14ac:dyDescent="0.3">
      <c r="B1695" s="277">
        <f>'Production '!C1698</f>
        <v>0</v>
      </c>
      <c r="C1695" s="76" t="e">
        <f ca="1">SUMIF('Production '!$C$4:$AI$4407,'Tracking Sheet'!B1695,'Production '!$M$4:$M$4407)</f>
        <v>#DIV/0!</v>
      </c>
      <c r="D1695" s="76" t="e">
        <f ca="1">SUMIF('Production '!$C$4:$AI$4407,'Tracking Sheet'!B1695,'Production '!$Q$4:$Q$4407)</f>
        <v>#DIV/0!</v>
      </c>
      <c r="E1695" s="76">
        <f ca="1">SUMIF('Production '!$C$4:$AI$4407,'Tracking Sheet'!B1695,'Production '!$S$4:$S$4407)</f>
        <v>-1268218.9828305368</v>
      </c>
      <c r="F1695" s="76">
        <f ca="1">SUMIF('Production '!$C$4:$AI$4407,'Tracking Sheet'!B1695,'Production '!$U$4:$U$4407)</f>
        <v>-10620.435600016917</v>
      </c>
      <c r="G1695" s="76" t="e">
        <f ca="1">SUMIF('Production '!$C$4:$AI$4407,'Tracking Sheet'!B1695,'Production '!$W$4:$W$4407)</f>
        <v>#DIV/0!</v>
      </c>
      <c r="H1695" s="76">
        <f ca="1">SUMIF('Production '!$C$4:$AI$4407,'Tracking Sheet'!B1695,'Production '!$F$4:$F$4407)</f>
        <v>3230621.3283604058</v>
      </c>
      <c r="I1695" s="76">
        <f ca="1">SUMIF('Production '!$C$4:$AI$4407,'Tracking Sheet'!B1695,'Production '!$V$4:$V$4407)</f>
        <v>-489.86487791182844</v>
      </c>
      <c r="J1695" s="76">
        <f ca="1">SUMIF('Production '!$C$4:$AI$4407,'Tracking Sheet'!B1695,'Production '!$AG$4:$AG$4407)</f>
        <v>0</v>
      </c>
    </row>
    <row r="1696" spans="2:10" x14ac:dyDescent="0.3">
      <c r="B1696" s="277" t="str">
        <f>'Production '!C1699</f>
        <v>42946 8th</v>
      </c>
      <c r="C1696" s="76">
        <f ca="1">SUMIF('Production '!$C$4:$AI$4407,'Tracking Sheet'!B1696,'Production '!$M$4:$M$4407)</f>
        <v>883</v>
      </c>
      <c r="D1696" s="76">
        <f ca="1">SUMIF('Production '!$C$4:$AI$4407,'Tracking Sheet'!B1696,'Production '!$Q$4:$Q$4407)</f>
        <v>0</v>
      </c>
      <c r="E1696" s="76">
        <f ca="1">SUMIF('Production '!$C$4:$AI$4407,'Tracking Sheet'!B1696,'Production '!$S$4:$S$4407)</f>
        <v>0</v>
      </c>
      <c r="F1696" s="76">
        <f ca="1">SUMIF('Production '!$C$4:$AI$4407,'Tracking Sheet'!B1696,'Production '!$U$4:$U$4407)</f>
        <v>883</v>
      </c>
      <c r="G1696" s="76">
        <f ca="1">SUMIF('Production '!$C$4:$AI$4407,'Tracking Sheet'!B1696,'Production '!$W$4:$W$4407)</f>
        <v>0</v>
      </c>
      <c r="H1696" s="76">
        <f ca="1">SUMIF('Production '!$C$4:$AI$4407,'Tracking Sheet'!B1696,'Production '!$F$4:$F$4407)</f>
        <v>11958</v>
      </c>
      <c r="I1696" s="76">
        <f ca="1">SUMIF('Production '!$C$4:$AI$4407,'Tracking Sheet'!B1696,'Production '!$V$4:$V$4407)</f>
        <v>0</v>
      </c>
      <c r="J1696" s="76">
        <f ca="1">SUMIF('Production '!$C$4:$AI$4407,'Tracking Sheet'!B1696,'Production '!$AG$4:$AG$4407)</f>
        <v>-11075</v>
      </c>
    </row>
    <row r="1697" spans="2:10" x14ac:dyDescent="0.3">
      <c r="B1697" s="277" t="str">
        <f>'Production '!C1700</f>
        <v>42946 8th</v>
      </c>
      <c r="C1697" s="76">
        <f ca="1">SUMIF('Production '!$C$4:$AI$4407,'Tracking Sheet'!B1697,'Production '!$M$4:$M$4407)</f>
        <v>883</v>
      </c>
      <c r="D1697" s="76">
        <f ca="1">SUMIF('Production '!$C$4:$AI$4407,'Tracking Sheet'!B1697,'Production '!$Q$4:$Q$4407)</f>
        <v>0</v>
      </c>
      <c r="E1697" s="76">
        <f ca="1">SUMIF('Production '!$C$4:$AI$4407,'Tracking Sheet'!B1697,'Production '!$S$4:$S$4407)</f>
        <v>0</v>
      </c>
      <c r="F1697" s="76">
        <f ca="1">SUMIF('Production '!$C$4:$AI$4407,'Tracking Sheet'!B1697,'Production '!$U$4:$U$4407)</f>
        <v>883</v>
      </c>
      <c r="G1697" s="76">
        <f ca="1">SUMIF('Production '!$C$4:$AI$4407,'Tracking Sheet'!B1697,'Production '!$W$4:$W$4407)</f>
        <v>0</v>
      </c>
      <c r="H1697" s="76">
        <f ca="1">SUMIF('Production '!$C$4:$AI$4407,'Tracking Sheet'!B1697,'Production '!$F$4:$F$4407)</f>
        <v>11958</v>
      </c>
      <c r="I1697" s="76">
        <f ca="1">SUMIF('Production '!$C$4:$AI$4407,'Tracking Sheet'!B1697,'Production '!$V$4:$V$4407)</f>
        <v>0</v>
      </c>
      <c r="J1697" s="76">
        <f ca="1">SUMIF('Production '!$C$4:$AI$4407,'Tracking Sheet'!B1697,'Production '!$AG$4:$AG$4407)</f>
        <v>-11075</v>
      </c>
    </row>
    <row r="1698" spans="2:10" x14ac:dyDescent="0.3">
      <c r="B1698" s="277" t="str">
        <f>'Production '!C1701</f>
        <v>42946 8th</v>
      </c>
      <c r="C1698" s="76">
        <f ca="1">SUMIF('Production '!$C$4:$AI$4407,'Tracking Sheet'!B1698,'Production '!$M$4:$M$4407)</f>
        <v>883</v>
      </c>
      <c r="D1698" s="76">
        <f ca="1">SUMIF('Production '!$C$4:$AI$4407,'Tracking Sheet'!B1698,'Production '!$Q$4:$Q$4407)</f>
        <v>0</v>
      </c>
      <c r="E1698" s="76">
        <f ca="1">SUMIF('Production '!$C$4:$AI$4407,'Tracking Sheet'!B1698,'Production '!$S$4:$S$4407)</f>
        <v>0</v>
      </c>
      <c r="F1698" s="76">
        <f ca="1">SUMIF('Production '!$C$4:$AI$4407,'Tracking Sheet'!B1698,'Production '!$U$4:$U$4407)</f>
        <v>883</v>
      </c>
      <c r="G1698" s="76">
        <f ca="1">SUMIF('Production '!$C$4:$AI$4407,'Tracking Sheet'!B1698,'Production '!$W$4:$W$4407)</f>
        <v>0</v>
      </c>
      <c r="H1698" s="76">
        <f ca="1">SUMIF('Production '!$C$4:$AI$4407,'Tracking Sheet'!B1698,'Production '!$F$4:$F$4407)</f>
        <v>11958</v>
      </c>
      <c r="I1698" s="76">
        <f ca="1">SUMIF('Production '!$C$4:$AI$4407,'Tracking Sheet'!B1698,'Production '!$V$4:$V$4407)</f>
        <v>0</v>
      </c>
      <c r="J1698" s="76">
        <f ca="1">SUMIF('Production '!$C$4:$AI$4407,'Tracking Sheet'!B1698,'Production '!$AG$4:$AG$4407)</f>
        <v>-11075</v>
      </c>
    </row>
    <row r="1699" spans="2:10" x14ac:dyDescent="0.3">
      <c r="B1699" s="277">
        <f>'Production '!C1702</f>
        <v>0</v>
      </c>
      <c r="C1699" s="76" t="e">
        <f ca="1">SUMIF('Production '!$C$4:$AI$4407,'Tracking Sheet'!B1699,'Production '!$M$4:$M$4407)</f>
        <v>#DIV/0!</v>
      </c>
      <c r="D1699" s="76" t="e">
        <f ca="1">SUMIF('Production '!$C$4:$AI$4407,'Tracking Sheet'!B1699,'Production '!$Q$4:$Q$4407)</f>
        <v>#DIV/0!</v>
      </c>
      <c r="E1699" s="76">
        <f ca="1">SUMIF('Production '!$C$4:$AI$4407,'Tracking Sheet'!B1699,'Production '!$S$4:$S$4407)</f>
        <v>-1268218.9828305368</v>
      </c>
      <c r="F1699" s="76">
        <f ca="1">SUMIF('Production '!$C$4:$AI$4407,'Tracking Sheet'!B1699,'Production '!$U$4:$U$4407)</f>
        <v>-10620.435600016917</v>
      </c>
      <c r="G1699" s="76" t="e">
        <f ca="1">SUMIF('Production '!$C$4:$AI$4407,'Tracking Sheet'!B1699,'Production '!$W$4:$W$4407)</f>
        <v>#DIV/0!</v>
      </c>
      <c r="H1699" s="76">
        <f ca="1">SUMIF('Production '!$C$4:$AI$4407,'Tracking Sheet'!B1699,'Production '!$F$4:$F$4407)</f>
        <v>3230621.3283604058</v>
      </c>
      <c r="I1699" s="76">
        <f ca="1">SUMIF('Production '!$C$4:$AI$4407,'Tracking Sheet'!B1699,'Production '!$V$4:$V$4407)</f>
        <v>-489.86487791182844</v>
      </c>
      <c r="J1699" s="76">
        <f ca="1">SUMIF('Production '!$C$4:$AI$4407,'Tracking Sheet'!B1699,'Production '!$AG$4:$AG$4407)</f>
        <v>0</v>
      </c>
    </row>
    <row r="1700" spans="2:10" x14ac:dyDescent="0.3">
      <c r="B1700" s="277" t="str">
        <f>'Production '!C1703</f>
        <v>42946 9th</v>
      </c>
      <c r="C1700" s="76">
        <f ca="1">SUMIF('Production '!$C$4:$AI$4407,'Tracking Sheet'!B1700,'Production '!$M$4:$M$4407)</f>
        <v>0</v>
      </c>
      <c r="D1700" s="76">
        <f ca="1">SUMIF('Production '!$C$4:$AI$4407,'Tracking Sheet'!B1700,'Production '!$Q$4:$Q$4407)</f>
        <v>0</v>
      </c>
      <c r="E1700" s="76">
        <f ca="1">SUMIF('Production '!$C$4:$AI$4407,'Tracking Sheet'!B1700,'Production '!$S$4:$S$4407)</f>
        <v>0</v>
      </c>
      <c r="F1700" s="76">
        <f ca="1">SUMIF('Production '!$C$4:$AI$4407,'Tracking Sheet'!B1700,'Production '!$U$4:$U$4407)</f>
        <v>0</v>
      </c>
      <c r="G1700" s="76">
        <f ca="1">SUMIF('Production '!$C$4:$AI$4407,'Tracking Sheet'!B1700,'Production '!$W$4:$W$4407)</f>
        <v>0</v>
      </c>
      <c r="H1700" s="76">
        <f ca="1">SUMIF('Production '!$C$4:$AI$4407,'Tracking Sheet'!B1700,'Production '!$F$4:$F$4407)</f>
        <v>4060</v>
      </c>
      <c r="I1700" s="76">
        <f ca="1">SUMIF('Production '!$C$4:$AI$4407,'Tracking Sheet'!B1700,'Production '!$V$4:$V$4407)</f>
        <v>0</v>
      </c>
      <c r="J1700" s="76">
        <f ca="1">SUMIF('Production '!$C$4:$AI$4407,'Tracking Sheet'!B1700,'Production '!$AG$4:$AG$4407)</f>
        <v>-4060</v>
      </c>
    </row>
    <row r="1701" spans="2:10" x14ac:dyDescent="0.3">
      <c r="B1701" s="277">
        <f>'Production '!C1704</f>
        <v>0</v>
      </c>
      <c r="C1701" s="76" t="e">
        <f ca="1">SUMIF('Production '!$C$4:$AI$4407,'Tracking Sheet'!B1701,'Production '!$M$4:$M$4407)</f>
        <v>#DIV/0!</v>
      </c>
      <c r="D1701" s="76" t="e">
        <f ca="1">SUMIF('Production '!$C$4:$AI$4407,'Tracking Sheet'!B1701,'Production '!$Q$4:$Q$4407)</f>
        <v>#DIV/0!</v>
      </c>
      <c r="E1701" s="76">
        <f ca="1">SUMIF('Production '!$C$4:$AI$4407,'Tracking Sheet'!B1701,'Production '!$S$4:$S$4407)</f>
        <v>-1268218.9828305368</v>
      </c>
      <c r="F1701" s="76">
        <f ca="1">SUMIF('Production '!$C$4:$AI$4407,'Tracking Sheet'!B1701,'Production '!$U$4:$U$4407)</f>
        <v>-10620.435600016917</v>
      </c>
      <c r="G1701" s="76" t="e">
        <f ca="1">SUMIF('Production '!$C$4:$AI$4407,'Tracking Sheet'!B1701,'Production '!$W$4:$W$4407)</f>
        <v>#DIV/0!</v>
      </c>
      <c r="H1701" s="76">
        <f ca="1">SUMIF('Production '!$C$4:$AI$4407,'Tracking Sheet'!B1701,'Production '!$F$4:$F$4407)</f>
        <v>3230621.3283604058</v>
      </c>
      <c r="I1701" s="76">
        <f ca="1">SUMIF('Production '!$C$4:$AI$4407,'Tracking Sheet'!B1701,'Production '!$V$4:$V$4407)</f>
        <v>-489.86487791182844</v>
      </c>
      <c r="J1701" s="76">
        <f ca="1">SUMIF('Production '!$C$4:$AI$4407,'Tracking Sheet'!B1701,'Production '!$AG$4:$AG$4407)</f>
        <v>0</v>
      </c>
    </row>
    <row r="1702" spans="2:10" x14ac:dyDescent="0.3">
      <c r="B1702" s="277" t="str">
        <f>'Production '!C1705</f>
        <v>42946 10th</v>
      </c>
      <c r="C1702" s="76">
        <f ca="1">SUMIF('Production '!$C$4:$AI$4407,'Tracking Sheet'!B1702,'Production '!$M$4:$M$4407)</f>
        <v>0</v>
      </c>
      <c r="D1702" s="76">
        <f ca="1">SUMIF('Production '!$C$4:$AI$4407,'Tracking Sheet'!B1702,'Production '!$Q$4:$Q$4407)</f>
        <v>0</v>
      </c>
      <c r="E1702" s="76">
        <f ca="1">SUMIF('Production '!$C$4:$AI$4407,'Tracking Sheet'!B1702,'Production '!$S$4:$S$4407)</f>
        <v>0</v>
      </c>
      <c r="F1702" s="76">
        <f ca="1">SUMIF('Production '!$C$4:$AI$4407,'Tracking Sheet'!B1702,'Production '!$U$4:$U$4407)</f>
        <v>0</v>
      </c>
      <c r="G1702" s="76">
        <f ca="1">SUMIF('Production '!$C$4:$AI$4407,'Tracking Sheet'!B1702,'Production '!$W$4:$W$4407)</f>
        <v>0</v>
      </c>
      <c r="H1702" s="76">
        <f ca="1">SUMIF('Production '!$C$4:$AI$4407,'Tracking Sheet'!B1702,'Production '!$F$4:$F$4407)</f>
        <v>4060</v>
      </c>
      <c r="I1702" s="76">
        <f ca="1">SUMIF('Production '!$C$4:$AI$4407,'Tracking Sheet'!B1702,'Production '!$V$4:$V$4407)</f>
        <v>0</v>
      </c>
      <c r="J1702" s="76">
        <f ca="1">SUMIF('Production '!$C$4:$AI$4407,'Tracking Sheet'!B1702,'Production '!$AG$4:$AG$4407)</f>
        <v>-4060</v>
      </c>
    </row>
    <row r="1703" spans="2:10" x14ac:dyDescent="0.3">
      <c r="B1703" s="277">
        <f>'Production '!C1706</f>
        <v>0</v>
      </c>
      <c r="C1703" s="76" t="e">
        <f ca="1">SUMIF('Production '!$C$4:$AI$4407,'Tracking Sheet'!B1703,'Production '!$M$4:$M$4407)</f>
        <v>#DIV/0!</v>
      </c>
      <c r="D1703" s="76" t="e">
        <f ca="1">SUMIF('Production '!$C$4:$AI$4407,'Tracking Sheet'!B1703,'Production '!$Q$4:$Q$4407)</f>
        <v>#DIV/0!</v>
      </c>
      <c r="E1703" s="76">
        <f ca="1">SUMIF('Production '!$C$4:$AI$4407,'Tracking Sheet'!B1703,'Production '!$S$4:$S$4407)</f>
        <v>-1268218.9828305368</v>
      </c>
      <c r="F1703" s="76">
        <f ca="1">SUMIF('Production '!$C$4:$AI$4407,'Tracking Sheet'!B1703,'Production '!$U$4:$U$4407)</f>
        <v>-10620.435600016917</v>
      </c>
      <c r="G1703" s="76" t="e">
        <f ca="1">SUMIF('Production '!$C$4:$AI$4407,'Tracking Sheet'!B1703,'Production '!$W$4:$W$4407)</f>
        <v>#DIV/0!</v>
      </c>
      <c r="H1703" s="76">
        <f ca="1">SUMIF('Production '!$C$4:$AI$4407,'Tracking Sheet'!B1703,'Production '!$F$4:$F$4407)</f>
        <v>3230621.3283604058</v>
      </c>
      <c r="I1703" s="76">
        <f ca="1">SUMIF('Production '!$C$4:$AI$4407,'Tracking Sheet'!B1703,'Production '!$V$4:$V$4407)</f>
        <v>-489.86487791182844</v>
      </c>
      <c r="J1703" s="76">
        <f ca="1">SUMIF('Production '!$C$4:$AI$4407,'Tracking Sheet'!B1703,'Production '!$AG$4:$AG$4407)</f>
        <v>0</v>
      </c>
    </row>
    <row r="1704" spans="2:10" x14ac:dyDescent="0.3">
      <c r="B1704" s="277" t="str">
        <f>'Production '!C1707</f>
        <v>44677 2nd</v>
      </c>
      <c r="C1704" s="76">
        <f ca="1">SUMIF('Production '!$C$4:$AI$4407,'Tracking Sheet'!B1704,'Production '!$M$4:$M$4407)</f>
        <v>8176</v>
      </c>
      <c r="D1704" s="76">
        <f ca="1">SUMIF('Production '!$C$4:$AI$4407,'Tracking Sheet'!B1704,'Production '!$Q$4:$Q$4407)</f>
        <v>8176</v>
      </c>
      <c r="E1704" s="76">
        <f ca="1">SUMIF('Production '!$C$4:$AI$4407,'Tracking Sheet'!B1704,'Production '!$S$4:$S$4407)</f>
        <v>8176</v>
      </c>
      <c r="F1704" s="76">
        <f ca="1">SUMIF('Production '!$C$4:$AI$4407,'Tracking Sheet'!B1704,'Production '!$U$4:$U$4407)</f>
        <v>60</v>
      </c>
      <c r="G1704" s="76">
        <f ca="1">SUMIF('Production '!$C$4:$AI$4407,'Tracking Sheet'!B1704,'Production '!$W$4:$W$4407)</f>
        <v>8116</v>
      </c>
      <c r="H1704" s="76">
        <f ca="1">SUMIF('Production '!$C$4:$AI$4407,'Tracking Sheet'!B1704,'Production '!$F$4:$F$4407)</f>
        <v>7968</v>
      </c>
      <c r="I1704" s="76">
        <f ca="1">SUMIF('Production '!$C$4:$AI$4407,'Tracking Sheet'!B1704,'Production '!$V$4:$V$4407)</f>
        <v>0</v>
      </c>
      <c r="J1704" s="76">
        <f ca="1">SUMIF('Production '!$C$4:$AI$4407,'Tracking Sheet'!B1704,'Production '!$AG$4:$AG$4407)</f>
        <v>0</v>
      </c>
    </row>
    <row r="1705" spans="2:10" x14ac:dyDescent="0.3">
      <c r="B1705" s="277" t="str">
        <f>'Production '!C1708</f>
        <v>44677 2nd</v>
      </c>
      <c r="C1705" s="76">
        <f ca="1">SUMIF('Production '!$C$4:$AI$4407,'Tracking Sheet'!B1705,'Production '!$M$4:$M$4407)</f>
        <v>8176</v>
      </c>
      <c r="D1705" s="76">
        <f ca="1">SUMIF('Production '!$C$4:$AI$4407,'Tracking Sheet'!B1705,'Production '!$Q$4:$Q$4407)</f>
        <v>8176</v>
      </c>
      <c r="E1705" s="76">
        <f ca="1">SUMIF('Production '!$C$4:$AI$4407,'Tracking Sheet'!B1705,'Production '!$S$4:$S$4407)</f>
        <v>8176</v>
      </c>
      <c r="F1705" s="76">
        <f ca="1">SUMIF('Production '!$C$4:$AI$4407,'Tracking Sheet'!B1705,'Production '!$U$4:$U$4407)</f>
        <v>60</v>
      </c>
      <c r="G1705" s="76">
        <f ca="1">SUMIF('Production '!$C$4:$AI$4407,'Tracking Sheet'!B1705,'Production '!$W$4:$W$4407)</f>
        <v>8116</v>
      </c>
      <c r="H1705" s="76">
        <f ca="1">SUMIF('Production '!$C$4:$AI$4407,'Tracking Sheet'!B1705,'Production '!$F$4:$F$4407)</f>
        <v>7968</v>
      </c>
      <c r="I1705" s="76">
        <f ca="1">SUMIF('Production '!$C$4:$AI$4407,'Tracking Sheet'!B1705,'Production '!$V$4:$V$4407)</f>
        <v>0</v>
      </c>
      <c r="J1705" s="76">
        <f ca="1">SUMIF('Production '!$C$4:$AI$4407,'Tracking Sheet'!B1705,'Production '!$AG$4:$AG$4407)</f>
        <v>0</v>
      </c>
    </row>
    <row r="1706" spans="2:10" x14ac:dyDescent="0.3">
      <c r="B1706" s="277" t="str">
        <f>'Production '!C1709</f>
        <v>44677 2nd</v>
      </c>
      <c r="C1706" s="76">
        <f ca="1">SUMIF('Production '!$C$4:$AI$4407,'Tracking Sheet'!B1706,'Production '!$M$4:$M$4407)</f>
        <v>8176</v>
      </c>
      <c r="D1706" s="76">
        <f ca="1">SUMIF('Production '!$C$4:$AI$4407,'Tracking Sheet'!B1706,'Production '!$Q$4:$Q$4407)</f>
        <v>8176</v>
      </c>
      <c r="E1706" s="76">
        <f ca="1">SUMIF('Production '!$C$4:$AI$4407,'Tracking Sheet'!B1706,'Production '!$S$4:$S$4407)</f>
        <v>8176</v>
      </c>
      <c r="F1706" s="76">
        <f ca="1">SUMIF('Production '!$C$4:$AI$4407,'Tracking Sheet'!B1706,'Production '!$U$4:$U$4407)</f>
        <v>60</v>
      </c>
      <c r="G1706" s="76">
        <f ca="1">SUMIF('Production '!$C$4:$AI$4407,'Tracking Sheet'!B1706,'Production '!$W$4:$W$4407)</f>
        <v>8116</v>
      </c>
      <c r="H1706" s="76">
        <f ca="1">SUMIF('Production '!$C$4:$AI$4407,'Tracking Sheet'!B1706,'Production '!$F$4:$F$4407)</f>
        <v>7968</v>
      </c>
      <c r="I1706" s="76">
        <f ca="1">SUMIF('Production '!$C$4:$AI$4407,'Tracking Sheet'!B1706,'Production '!$V$4:$V$4407)</f>
        <v>0</v>
      </c>
      <c r="J1706" s="76">
        <f ca="1">SUMIF('Production '!$C$4:$AI$4407,'Tracking Sheet'!B1706,'Production '!$AG$4:$AG$4407)</f>
        <v>0</v>
      </c>
    </row>
    <row r="1707" spans="2:10" x14ac:dyDescent="0.3">
      <c r="B1707" s="277">
        <f>'Production '!C1710</f>
        <v>0</v>
      </c>
      <c r="C1707" s="76" t="e">
        <f ca="1">SUMIF('Production '!$C$4:$AI$4407,'Tracking Sheet'!B1707,'Production '!$M$4:$M$4407)</f>
        <v>#DIV/0!</v>
      </c>
      <c r="D1707" s="76" t="e">
        <f ca="1">SUMIF('Production '!$C$4:$AI$4407,'Tracking Sheet'!B1707,'Production '!$Q$4:$Q$4407)</f>
        <v>#DIV/0!</v>
      </c>
      <c r="E1707" s="76">
        <f ca="1">SUMIF('Production '!$C$4:$AI$4407,'Tracking Sheet'!B1707,'Production '!$S$4:$S$4407)</f>
        <v>-1268218.9828305368</v>
      </c>
      <c r="F1707" s="76">
        <f ca="1">SUMIF('Production '!$C$4:$AI$4407,'Tracking Sheet'!B1707,'Production '!$U$4:$U$4407)</f>
        <v>-10620.435600016917</v>
      </c>
      <c r="G1707" s="76" t="e">
        <f ca="1">SUMIF('Production '!$C$4:$AI$4407,'Tracking Sheet'!B1707,'Production '!$W$4:$W$4407)</f>
        <v>#DIV/0!</v>
      </c>
      <c r="H1707" s="76">
        <f ca="1">SUMIF('Production '!$C$4:$AI$4407,'Tracking Sheet'!B1707,'Production '!$F$4:$F$4407)</f>
        <v>3230621.3283604058</v>
      </c>
      <c r="I1707" s="76">
        <f ca="1">SUMIF('Production '!$C$4:$AI$4407,'Tracking Sheet'!B1707,'Production '!$V$4:$V$4407)</f>
        <v>-489.86487791182844</v>
      </c>
      <c r="J1707" s="76">
        <f ca="1">SUMIF('Production '!$C$4:$AI$4407,'Tracking Sheet'!B1707,'Production '!$AG$4:$AG$4407)</f>
        <v>0</v>
      </c>
    </row>
    <row r="1708" spans="2:10" x14ac:dyDescent="0.3">
      <c r="B1708" s="277">
        <f>'Production '!C1711</f>
        <v>48231</v>
      </c>
      <c r="C1708" s="76">
        <f ca="1">SUMIF('Production '!$C$4:$AI$4407,'Tracking Sheet'!B1708,'Production '!$M$4:$M$4407)</f>
        <v>0</v>
      </c>
      <c r="D1708" s="76">
        <f ca="1">SUMIF('Production '!$C$4:$AI$4407,'Tracking Sheet'!B1708,'Production '!$Q$4:$Q$4407)</f>
        <v>0</v>
      </c>
      <c r="E1708" s="76">
        <f ca="1">SUMIF('Production '!$C$4:$AI$4407,'Tracking Sheet'!B1708,'Production '!$S$4:$S$4407)</f>
        <v>0</v>
      </c>
      <c r="F1708" s="76">
        <f ca="1">SUMIF('Production '!$C$4:$AI$4407,'Tracking Sheet'!B1708,'Production '!$U$4:$U$4407)</f>
        <v>0</v>
      </c>
      <c r="G1708" s="76">
        <f ca="1">SUMIF('Production '!$C$4:$AI$4407,'Tracking Sheet'!B1708,'Production '!$W$4:$W$4407)</f>
        <v>0</v>
      </c>
      <c r="H1708" s="76">
        <f ca="1">SUMIF('Production '!$C$4:$AI$4407,'Tracking Sheet'!B1708,'Production '!$F$4:$F$4407)</f>
        <v>2778</v>
      </c>
      <c r="I1708" s="76">
        <f ca="1">SUMIF('Production '!$C$4:$AI$4407,'Tracking Sheet'!B1708,'Production '!$V$4:$V$4407)</f>
        <v>0</v>
      </c>
      <c r="J1708" s="76">
        <f ca="1">SUMIF('Production '!$C$4:$AI$4407,'Tracking Sheet'!B1708,'Production '!$AG$4:$AG$4407)</f>
        <v>-2778</v>
      </c>
    </row>
    <row r="1709" spans="2:10" x14ac:dyDescent="0.3">
      <c r="B1709" s="277">
        <f>'Production '!C1712</f>
        <v>48231</v>
      </c>
      <c r="C1709" s="76">
        <f ca="1">SUMIF('Production '!$C$4:$AI$4407,'Tracking Sheet'!B1709,'Production '!$M$4:$M$4407)</f>
        <v>0</v>
      </c>
      <c r="D1709" s="76">
        <f ca="1">SUMIF('Production '!$C$4:$AI$4407,'Tracking Sheet'!B1709,'Production '!$Q$4:$Q$4407)</f>
        <v>0</v>
      </c>
      <c r="E1709" s="76">
        <f ca="1">SUMIF('Production '!$C$4:$AI$4407,'Tracking Sheet'!B1709,'Production '!$S$4:$S$4407)</f>
        <v>0</v>
      </c>
      <c r="F1709" s="76">
        <f ca="1">SUMIF('Production '!$C$4:$AI$4407,'Tracking Sheet'!B1709,'Production '!$U$4:$U$4407)</f>
        <v>0</v>
      </c>
      <c r="G1709" s="76">
        <f ca="1">SUMIF('Production '!$C$4:$AI$4407,'Tracking Sheet'!B1709,'Production '!$W$4:$W$4407)</f>
        <v>0</v>
      </c>
      <c r="H1709" s="76">
        <f ca="1">SUMIF('Production '!$C$4:$AI$4407,'Tracking Sheet'!B1709,'Production '!$F$4:$F$4407)</f>
        <v>2778</v>
      </c>
      <c r="I1709" s="76">
        <f ca="1">SUMIF('Production '!$C$4:$AI$4407,'Tracking Sheet'!B1709,'Production '!$V$4:$V$4407)</f>
        <v>0</v>
      </c>
      <c r="J1709" s="76">
        <f ca="1">SUMIF('Production '!$C$4:$AI$4407,'Tracking Sheet'!B1709,'Production '!$AG$4:$AG$4407)</f>
        <v>-2778</v>
      </c>
    </row>
    <row r="1710" spans="2:10" x14ac:dyDescent="0.3">
      <c r="B1710" s="277">
        <f>'Production '!C1713</f>
        <v>48231</v>
      </c>
      <c r="C1710" s="76">
        <f ca="1">SUMIF('Production '!$C$4:$AI$4407,'Tracking Sheet'!B1710,'Production '!$M$4:$M$4407)</f>
        <v>0</v>
      </c>
      <c r="D1710" s="76">
        <f ca="1">SUMIF('Production '!$C$4:$AI$4407,'Tracking Sheet'!B1710,'Production '!$Q$4:$Q$4407)</f>
        <v>0</v>
      </c>
      <c r="E1710" s="76">
        <f ca="1">SUMIF('Production '!$C$4:$AI$4407,'Tracking Sheet'!B1710,'Production '!$S$4:$S$4407)</f>
        <v>0</v>
      </c>
      <c r="F1710" s="76">
        <f ca="1">SUMIF('Production '!$C$4:$AI$4407,'Tracking Sheet'!B1710,'Production '!$U$4:$U$4407)</f>
        <v>0</v>
      </c>
      <c r="G1710" s="76">
        <f ca="1">SUMIF('Production '!$C$4:$AI$4407,'Tracking Sheet'!B1710,'Production '!$W$4:$W$4407)</f>
        <v>0</v>
      </c>
      <c r="H1710" s="76">
        <f ca="1">SUMIF('Production '!$C$4:$AI$4407,'Tracking Sheet'!B1710,'Production '!$F$4:$F$4407)</f>
        <v>2778</v>
      </c>
      <c r="I1710" s="76">
        <f ca="1">SUMIF('Production '!$C$4:$AI$4407,'Tracking Sheet'!B1710,'Production '!$V$4:$V$4407)</f>
        <v>0</v>
      </c>
      <c r="J1710" s="76">
        <f ca="1">SUMIF('Production '!$C$4:$AI$4407,'Tracking Sheet'!B1710,'Production '!$AG$4:$AG$4407)</f>
        <v>-2778</v>
      </c>
    </row>
    <row r="1711" spans="2:10" x14ac:dyDescent="0.3">
      <c r="B1711" s="277">
        <f>'Production '!C1714</f>
        <v>0</v>
      </c>
      <c r="C1711" s="76" t="e">
        <f ca="1">SUMIF('Production '!$C$4:$AI$4407,'Tracking Sheet'!B1711,'Production '!$M$4:$M$4407)</f>
        <v>#DIV/0!</v>
      </c>
      <c r="D1711" s="76" t="e">
        <f ca="1">SUMIF('Production '!$C$4:$AI$4407,'Tracking Sheet'!B1711,'Production '!$Q$4:$Q$4407)</f>
        <v>#DIV/0!</v>
      </c>
      <c r="E1711" s="76">
        <f ca="1">SUMIF('Production '!$C$4:$AI$4407,'Tracking Sheet'!B1711,'Production '!$S$4:$S$4407)</f>
        <v>-1268218.9828305368</v>
      </c>
      <c r="F1711" s="76">
        <f ca="1">SUMIF('Production '!$C$4:$AI$4407,'Tracking Sheet'!B1711,'Production '!$U$4:$U$4407)</f>
        <v>-10620.435600016917</v>
      </c>
      <c r="G1711" s="76" t="e">
        <f ca="1">SUMIF('Production '!$C$4:$AI$4407,'Tracking Sheet'!B1711,'Production '!$W$4:$W$4407)</f>
        <v>#DIV/0!</v>
      </c>
      <c r="H1711" s="76">
        <f ca="1">SUMIF('Production '!$C$4:$AI$4407,'Tracking Sheet'!B1711,'Production '!$F$4:$F$4407)</f>
        <v>3230621.3283604058</v>
      </c>
      <c r="I1711" s="76">
        <f ca="1">SUMIF('Production '!$C$4:$AI$4407,'Tracking Sheet'!B1711,'Production '!$V$4:$V$4407)</f>
        <v>-489.86487791182844</v>
      </c>
      <c r="J1711" s="76">
        <f ca="1">SUMIF('Production '!$C$4:$AI$4407,'Tracking Sheet'!B1711,'Production '!$AG$4:$AG$4407)</f>
        <v>0</v>
      </c>
    </row>
    <row r="1712" spans="2:10" x14ac:dyDescent="0.3">
      <c r="B1712" s="277" t="str">
        <f>'Production '!C1715</f>
        <v>44198 5th</v>
      </c>
      <c r="C1712" s="76">
        <f ca="1">SUMIF('Production '!$C$4:$AI$4407,'Tracking Sheet'!B1712,'Production '!$M$4:$M$4407)</f>
        <v>9482</v>
      </c>
      <c r="D1712" s="76">
        <f ca="1">SUMIF('Production '!$C$4:$AI$4407,'Tracking Sheet'!B1712,'Production '!$Q$4:$Q$4407)</f>
        <v>0</v>
      </c>
      <c r="E1712" s="76">
        <f ca="1">SUMIF('Production '!$C$4:$AI$4407,'Tracking Sheet'!B1712,'Production '!$S$4:$S$4407)</f>
        <v>0</v>
      </c>
      <c r="F1712" s="76">
        <f ca="1">SUMIF('Production '!$C$4:$AI$4407,'Tracking Sheet'!B1712,'Production '!$U$4:$U$4407)</f>
        <v>8380</v>
      </c>
      <c r="G1712" s="76">
        <f ca="1">SUMIF('Production '!$C$4:$AI$4407,'Tracking Sheet'!B1712,'Production '!$W$4:$W$4407)</f>
        <v>1102</v>
      </c>
      <c r="H1712" s="76">
        <f ca="1">SUMIF('Production '!$C$4:$AI$4407,'Tracking Sheet'!B1712,'Production '!$F$4:$F$4407)</f>
        <v>11871</v>
      </c>
      <c r="I1712" s="76">
        <f ca="1">SUMIF('Production '!$C$4:$AI$4407,'Tracking Sheet'!B1712,'Production '!$V$4:$V$4407)</f>
        <v>0</v>
      </c>
      <c r="J1712" s="76">
        <f ca="1">SUMIF('Production '!$C$4:$AI$4407,'Tracking Sheet'!B1712,'Production '!$AG$4:$AG$4407)</f>
        <v>-2533</v>
      </c>
    </row>
    <row r="1713" spans="2:10" x14ac:dyDescent="0.3">
      <c r="B1713" s="277" t="str">
        <f>'Production '!C1716</f>
        <v>44198 5th</v>
      </c>
      <c r="C1713" s="76">
        <f ca="1">SUMIF('Production '!$C$4:$AI$4407,'Tracking Sheet'!B1713,'Production '!$M$4:$M$4407)</f>
        <v>9482</v>
      </c>
      <c r="D1713" s="76">
        <f ca="1">SUMIF('Production '!$C$4:$AI$4407,'Tracking Sheet'!B1713,'Production '!$Q$4:$Q$4407)</f>
        <v>0</v>
      </c>
      <c r="E1713" s="76">
        <f ca="1">SUMIF('Production '!$C$4:$AI$4407,'Tracking Sheet'!B1713,'Production '!$S$4:$S$4407)</f>
        <v>0</v>
      </c>
      <c r="F1713" s="76">
        <f ca="1">SUMIF('Production '!$C$4:$AI$4407,'Tracking Sheet'!B1713,'Production '!$U$4:$U$4407)</f>
        <v>8380</v>
      </c>
      <c r="G1713" s="76">
        <f ca="1">SUMIF('Production '!$C$4:$AI$4407,'Tracking Sheet'!B1713,'Production '!$W$4:$W$4407)</f>
        <v>1102</v>
      </c>
      <c r="H1713" s="76">
        <f ca="1">SUMIF('Production '!$C$4:$AI$4407,'Tracking Sheet'!B1713,'Production '!$F$4:$F$4407)</f>
        <v>11871</v>
      </c>
      <c r="I1713" s="76">
        <f ca="1">SUMIF('Production '!$C$4:$AI$4407,'Tracking Sheet'!B1713,'Production '!$V$4:$V$4407)</f>
        <v>0</v>
      </c>
      <c r="J1713" s="76">
        <f ca="1">SUMIF('Production '!$C$4:$AI$4407,'Tracking Sheet'!B1713,'Production '!$AG$4:$AG$4407)</f>
        <v>-2533</v>
      </c>
    </row>
    <row r="1714" spans="2:10" x14ac:dyDescent="0.3">
      <c r="B1714" s="277" t="str">
        <f>'Production '!C1717</f>
        <v>44198 5th</v>
      </c>
      <c r="C1714" s="76">
        <f ca="1">SUMIF('Production '!$C$4:$AI$4407,'Tracking Sheet'!B1714,'Production '!$M$4:$M$4407)</f>
        <v>9482</v>
      </c>
      <c r="D1714" s="76">
        <f ca="1">SUMIF('Production '!$C$4:$AI$4407,'Tracking Sheet'!B1714,'Production '!$Q$4:$Q$4407)</f>
        <v>0</v>
      </c>
      <c r="E1714" s="76">
        <f ca="1">SUMIF('Production '!$C$4:$AI$4407,'Tracking Sheet'!B1714,'Production '!$S$4:$S$4407)</f>
        <v>0</v>
      </c>
      <c r="F1714" s="76">
        <f ca="1">SUMIF('Production '!$C$4:$AI$4407,'Tracking Sheet'!B1714,'Production '!$U$4:$U$4407)</f>
        <v>8380</v>
      </c>
      <c r="G1714" s="76">
        <f ca="1">SUMIF('Production '!$C$4:$AI$4407,'Tracking Sheet'!B1714,'Production '!$W$4:$W$4407)</f>
        <v>1102</v>
      </c>
      <c r="H1714" s="76">
        <f ca="1">SUMIF('Production '!$C$4:$AI$4407,'Tracking Sheet'!B1714,'Production '!$F$4:$F$4407)</f>
        <v>11871</v>
      </c>
      <c r="I1714" s="76">
        <f ca="1">SUMIF('Production '!$C$4:$AI$4407,'Tracking Sheet'!B1714,'Production '!$V$4:$V$4407)</f>
        <v>0</v>
      </c>
      <c r="J1714" s="76">
        <f ca="1">SUMIF('Production '!$C$4:$AI$4407,'Tracking Sheet'!B1714,'Production '!$AG$4:$AG$4407)</f>
        <v>-2533</v>
      </c>
    </row>
    <row r="1715" spans="2:10" x14ac:dyDescent="0.3">
      <c r="B1715" s="277" t="str">
        <f>'Production '!C1718</f>
        <v>44198 5th</v>
      </c>
      <c r="C1715" s="76">
        <f ca="1">SUMIF('Production '!$C$4:$AI$4407,'Tracking Sheet'!B1715,'Production '!$M$4:$M$4407)</f>
        <v>9482</v>
      </c>
      <c r="D1715" s="76">
        <f ca="1">SUMIF('Production '!$C$4:$AI$4407,'Tracking Sheet'!B1715,'Production '!$Q$4:$Q$4407)</f>
        <v>0</v>
      </c>
      <c r="E1715" s="76">
        <f ca="1">SUMIF('Production '!$C$4:$AI$4407,'Tracking Sheet'!B1715,'Production '!$S$4:$S$4407)</f>
        <v>0</v>
      </c>
      <c r="F1715" s="76">
        <f ca="1">SUMIF('Production '!$C$4:$AI$4407,'Tracking Sheet'!B1715,'Production '!$U$4:$U$4407)</f>
        <v>8380</v>
      </c>
      <c r="G1715" s="76">
        <f ca="1">SUMIF('Production '!$C$4:$AI$4407,'Tracking Sheet'!B1715,'Production '!$W$4:$W$4407)</f>
        <v>1102</v>
      </c>
      <c r="H1715" s="76">
        <f ca="1">SUMIF('Production '!$C$4:$AI$4407,'Tracking Sheet'!B1715,'Production '!$F$4:$F$4407)</f>
        <v>11871</v>
      </c>
      <c r="I1715" s="76">
        <f ca="1">SUMIF('Production '!$C$4:$AI$4407,'Tracking Sheet'!B1715,'Production '!$V$4:$V$4407)</f>
        <v>0</v>
      </c>
      <c r="J1715" s="76">
        <f ca="1">SUMIF('Production '!$C$4:$AI$4407,'Tracking Sheet'!B1715,'Production '!$AG$4:$AG$4407)</f>
        <v>-2533</v>
      </c>
    </row>
    <row r="1716" spans="2:10" x14ac:dyDescent="0.3">
      <c r="B1716" s="277" t="str">
        <f>'Production '!C1719</f>
        <v>44198 5th</v>
      </c>
      <c r="C1716" s="76">
        <f ca="1">SUMIF('Production '!$C$4:$AI$4407,'Tracking Sheet'!B1716,'Production '!$M$4:$M$4407)</f>
        <v>9482</v>
      </c>
      <c r="D1716" s="76">
        <f ca="1">SUMIF('Production '!$C$4:$AI$4407,'Tracking Sheet'!B1716,'Production '!$Q$4:$Q$4407)</f>
        <v>0</v>
      </c>
      <c r="E1716" s="76">
        <f ca="1">SUMIF('Production '!$C$4:$AI$4407,'Tracking Sheet'!B1716,'Production '!$S$4:$S$4407)</f>
        <v>0</v>
      </c>
      <c r="F1716" s="76">
        <f ca="1">SUMIF('Production '!$C$4:$AI$4407,'Tracking Sheet'!B1716,'Production '!$U$4:$U$4407)</f>
        <v>8380</v>
      </c>
      <c r="G1716" s="76">
        <f ca="1">SUMIF('Production '!$C$4:$AI$4407,'Tracking Sheet'!B1716,'Production '!$W$4:$W$4407)</f>
        <v>1102</v>
      </c>
      <c r="H1716" s="76">
        <f ca="1">SUMIF('Production '!$C$4:$AI$4407,'Tracking Sheet'!B1716,'Production '!$F$4:$F$4407)</f>
        <v>11871</v>
      </c>
      <c r="I1716" s="76">
        <f ca="1">SUMIF('Production '!$C$4:$AI$4407,'Tracking Sheet'!B1716,'Production '!$V$4:$V$4407)</f>
        <v>0</v>
      </c>
      <c r="J1716" s="76">
        <f ca="1">SUMIF('Production '!$C$4:$AI$4407,'Tracking Sheet'!B1716,'Production '!$AG$4:$AG$4407)</f>
        <v>-2533</v>
      </c>
    </row>
    <row r="1717" spans="2:10" x14ac:dyDescent="0.3">
      <c r="B1717" s="277" t="str">
        <f>'Production '!C1720</f>
        <v>44198 5th</v>
      </c>
      <c r="C1717" s="76">
        <f ca="1">SUMIF('Production '!$C$4:$AI$4407,'Tracking Sheet'!B1717,'Production '!$M$4:$M$4407)</f>
        <v>9482</v>
      </c>
      <c r="D1717" s="76">
        <f ca="1">SUMIF('Production '!$C$4:$AI$4407,'Tracking Sheet'!B1717,'Production '!$Q$4:$Q$4407)</f>
        <v>0</v>
      </c>
      <c r="E1717" s="76">
        <f ca="1">SUMIF('Production '!$C$4:$AI$4407,'Tracking Sheet'!B1717,'Production '!$S$4:$S$4407)</f>
        <v>0</v>
      </c>
      <c r="F1717" s="76">
        <f ca="1">SUMIF('Production '!$C$4:$AI$4407,'Tracking Sheet'!B1717,'Production '!$U$4:$U$4407)</f>
        <v>8380</v>
      </c>
      <c r="G1717" s="76">
        <f ca="1">SUMIF('Production '!$C$4:$AI$4407,'Tracking Sheet'!B1717,'Production '!$W$4:$W$4407)</f>
        <v>1102</v>
      </c>
      <c r="H1717" s="76">
        <f ca="1">SUMIF('Production '!$C$4:$AI$4407,'Tracking Sheet'!B1717,'Production '!$F$4:$F$4407)</f>
        <v>11871</v>
      </c>
      <c r="I1717" s="76">
        <f ca="1">SUMIF('Production '!$C$4:$AI$4407,'Tracking Sheet'!B1717,'Production '!$V$4:$V$4407)</f>
        <v>0</v>
      </c>
      <c r="J1717" s="76">
        <f ca="1">SUMIF('Production '!$C$4:$AI$4407,'Tracking Sheet'!B1717,'Production '!$AG$4:$AG$4407)</f>
        <v>-2533</v>
      </c>
    </row>
    <row r="1718" spans="2:10" x14ac:dyDescent="0.3">
      <c r="B1718" s="277">
        <f>'Production '!C1721</f>
        <v>0</v>
      </c>
      <c r="C1718" s="76" t="e">
        <f ca="1">SUMIF('Production '!$C$4:$AI$4407,'Tracking Sheet'!B1718,'Production '!$M$4:$M$4407)</f>
        <v>#DIV/0!</v>
      </c>
      <c r="D1718" s="76" t="e">
        <f ca="1">SUMIF('Production '!$C$4:$AI$4407,'Tracking Sheet'!B1718,'Production '!$Q$4:$Q$4407)</f>
        <v>#DIV/0!</v>
      </c>
      <c r="E1718" s="76">
        <f ca="1">SUMIF('Production '!$C$4:$AI$4407,'Tracking Sheet'!B1718,'Production '!$S$4:$S$4407)</f>
        <v>-1268218.9828305368</v>
      </c>
      <c r="F1718" s="76">
        <f ca="1">SUMIF('Production '!$C$4:$AI$4407,'Tracking Sheet'!B1718,'Production '!$U$4:$U$4407)</f>
        <v>-10620.435600016917</v>
      </c>
      <c r="G1718" s="76" t="e">
        <f ca="1">SUMIF('Production '!$C$4:$AI$4407,'Tracking Sheet'!B1718,'Production '!$W$4:$W$4407)</f>
        <v>#DIV/0!</v>
      </c>
      <c r="H1718" s="76">
        <f ca="1">SUMIF('Production '!$C$4:$AI$4407,'Tracking Sheet'!B1718,'Production '!$F$4:$F$4407)</f>
        <v>3230621.3283604058</v>
      </c>
      <c r="I1718" s="76">
        <f ca="1">SUMIF('Production '!$C$4:$AI$4407,'Tracking Sheet'!B1718,'Production '!$V$4:$V$4407)</f>
        <v>-489.86487791182844</v>
      </c>
      <c r="J1718" s="76">
        <f ca="1">SUMIF('Production '!$C$4:$AI$4407,'Tracking Sheet'!B1718,'Production '!$AG$4:$AG$4407)</f>
        <v>0</v>
      </c>
    </row>
    <row r="1719" spans="2:10" x14ac:dyDescent="0.3">
      <c r="B1719" s="277">
        <f>'Production '!C1722</f>
        <v>48182</v>
      </c>
      <c r="C1719" s="76">
        <f ca="1">SUMIF('Production '!$C$4:$AI$4407,'Tracking Sheet'!B1719,'Production '!$M$4:$M$4407)</f>
        <v>0</v>
      </c>
      <c r="D1719" s="76">
        <f ca="1">SUMIF('Production '!$C$4:$AI$4407,'Tracking Sheet'!B1719,'Production '!$Q$4:$Q$4407)</f>
        <v>0</v>
      </c>
      <c r="E1719" s="76">
        <f ca="1">SUMIF('Production '!$C$4:$AI$4407,'Tracking Sheet'!B1719,'Production '!$S$4:$S$4407)</f>
        <v>0</v>
      </c>
      <c r="F1719" s="76">
        <f ca="1">SUMIF('Production '!$C$4:$AI$4407,'Tracking Sheet'!B1719,'Production '!$U$4:$U$4407)</f>
        <v>0</v>
      </c>
      <c r="G1719" s="76">
        <f ca="1">SUMIF('Production '!$C$4:$AI$4407,'Tracking Sheet'!B1719,'Production '!$W$4:$W$4407)</f>
        <v>0</v>
      </c>
      <c r="H1719" s="76">
        <f ca="1">SUMIF('Production '!$C$4:$AI$4407,'Tracking Sheet'!B1719,'Production '!$F$4:$F$4407)</f>
        <v>1742</v>
      </c>
      <c r="I1719" s="76">
        <f ca="1">SUMIF('Production '!$C$4:$AI$4407,'Tracking Sheet'!B1719,'Production '!$V$4:$V$4407)</f>
        <v>0</v>
      </c>
      <c r="J1719" s="76">
        <f ca="1">SUMIF('Production '!$C$4:$AI$4407,'Tracking Sheet'!B1719,'Production '!$AG$4:$AG$4407)</f>
        <v>-1742</v>
      </c>
    </row>
    <row r="1720" spans="2:10" x14ac:dyDescent="0.3">
      <c r="B1720" s="277">
        <f>'Production '!C1723</f>
        <v>48182</v>
      </c>
      <c r="C1720" s="76">
        <f ca="1">SUMIF('Production '!$C$4:$AI$4407,'Tracking Sheet'!B1720,'Production '!$M$4:$M$4407)</f>
        <v>0</v>
      </c>
      <c r="D1720" s="76">
        <f ca="1">SUMIF('Production '!$C$4:$AI$4407,'Tracking Sheet'!B1720,'Production '!$Q$4:$Q$4407)</f>
        <v>0</v>
      </c>
      <c r="E1720" s="76">
        <f ca="1">SUMIF('Production '!$C$4:$AI$4407,'Tracking Sheet'!B1720,'Production '!$S$4:$S$4407)</f>
        <v>0</v>
      </c>
      <c r="F1720" s="76">
        <f ca="1">SUMIF('Production '!$C$4:$AI$4407,'Tracking Sheet'!B1720,'Production '!$U$4:$U$4407)</f>
        <v>0</v>
      </c>
      <c r="G1720" s="76">
        <f ca="1">SUMIF('Production '!$C$4:$AI$4407,'Tracking Sheet'!B1720,'Production '!$W$4:$W$4407)</f>
        <v>0</v>
      </c>
      <c r="H1720" s="76">
        <f ca="1">SUMIF('Production '!$C$4:$AI$4407,'Tracking Sheet'!B1720,'Production '!$F$4:$F$4407)</f>
        <v>1742</v>
      </c>
      <c r="I1720" s="76">
        <f ca="1">SUMIF('Production '!$C$4:$AI$4407,'Tracking Sheet'!B1720,'Production '!$V$4:$V$4407)</f>
        <v>0</v>
      </c>
      <c r="J1720" s="76">
        <f ca="1">SUMIF('Production '!$C$4:$AI$4407,'Tracking Sheet'!B1720,'Production '!$AG$4:$AG$4407)</f>
        <v>-1742</v>
      </c>
    </row>
    <row r="1721" spans="2:10" x14ac:dyDescent="0.3">
      <c r="B1721" s="277">
        <f>'Production '!C1724</f>
        <v>0</v>
      </c>
      <c r="C1721" s="76" t="e">
        <f ca="1">SUMIF('Production '!$C$4:$AI$4407,'Tracking Sheet'!B1721,'Production '!$M$4:$M$4407)</f>
        <v>#DIV/0!</v>
      </c>
      <c r="D1721" s="76" t="e">
        <f ca="1">SUMIF('Production '!$C$4:$AI$4407,'Tracking Sheet'!B1721,'Production '!$Q$4:$Q$4407)</f>
        <v>#DIV/0!</v>
      </c>
      <c r="E1721" s="76">
        <f ca="1">SUMIF('Production '!$C$4:$AI$4407,'Tracking Sheet'!B1721,'Production '!$S$4:$S$4407)</f>
        <v>-1268218.9828305368</v>
      </c>
      <c r="F1721" s="76">
        <f ca="1">SUMIF('Production '!$C$4:$AI$4407,'Tracking Sheet'!B1721,'Production '!$U$4:$U$4407)</f>
        <v>-10620.435600016917</v>
      </c>
      <c r="G1721" s="76" t="e">
        <f ca="1">SUMIF('Production '!$C$4:$AI$4407,'Tracking Sheet'!B1721,'Production '!$W$4:$W$4407)</f>
        <v>#DIV/0!</v>
      </c>
      <c r="H1721" s="76">
        <f ca="1">SUMIF('Production '!$C$4:$AI$4407,'Tracking Sheet'!B1721,'Production '!$F$4:$F$4407)</f>
        <v>3230621.3283604058</v>
      </c>
      <c r="I1721" s="76">
        <f ca="1">SUMIF('Production '!$C$4:$AI$4407,'Tracking Sheet'!B1721,'Production '!$V$4:$V$4407)</f>
        <v>-489.86487791182844</v>
      </c>
      <c r="J1721" s="76">
        <f ca="1">SUMIF('Production '!$C$4:$AI$4407,'Tracking Sheet'!B1721,'Production '!$AG$4:$AG$4407)</f>
        <v>0</v>
      </c>
    </row>
    <row r="1722" spans="2:10" x14ac:dyDescent="0.3">
      <c r="B1722" s="277" t="str">
        <f>'Production '!C1725</f>
        <v>26030 22th</v>
      </c>
      <c r="C1722" s="76">
        <f ca="1">SUMIF('Production '!$C$4:$AI$4407,'Tracking Sheet'!B1722,'Production '!$M$4:$M$4407)</f>
        <v>3906</v>
      </c>
      <c r="D1722" s="76">
        <f ca="1">SUMIF('Production '!$C$4:$AI$4407,'Tracking Sheet'!B1722,'Production '!$Q$4:$Q$4407)</f>
        <v>0</v>
      </c>
      <c r="E1722" s="76">
        <f ca="1">SUMIF('Production '!$C$4:$AI$4407,'Tracking Sheet'!B1722,'Production '!$S$4:$S$4407)</f>
        <v>0</v>
      </c>
      <c r="F1722" s="76">
        <f ca="1">SUMIF('Production '!$C$4:$AI$4407,'Tracking Sheet'!B1722,'Production '!$U$4:$U$4407)</f>
        <v>2956</v>
      </c>
      <c r="G1722" s="76">
        <f ca="1">SUMIF('Production '!$C$4:$AI$4407,'Tracking Sheet'!B1722,'Production '!$W$4:$W$4407)</f>
        <v>950</v>
      </c>
      <c r="H1722" s="76">
        <f ca="1">SUMIF('Production '!$C$4:$AI$4407,'Tracking Sheet'!B1722,'Production '!$F$4:$F$4407)</f>
        <v>3816</v>
      </c>
      <c r="I1722" s="76">
        <f ca="1">SUMIF('Production '!$C$4:$AI$4407,'Tracking Sheet'!B1722,'Production '!$V$4:$V$4407)</f>
        <v>0</v>
      </c>
      <c r="J1722" s="76">
        <f ca="1">SUMIF('Production '!$C$4:$AI$4407,'Tracking Sheet'!B1722,'Production '!$AG$4:$AG$4407)</f>
        <v>-66</v>
      </c>
    </row>
    <row r="1723" spans="2:10" x14ac:dyDescent="0.3">
      <c r="B1723" s="277" t="str">
        <f>'Production '!C1726</f>
        <v>26030 22th</v>
      </c>
      <c r="C1723" s="76">
        <f ca="1">SUMIF('Production '!$C$4:$AI$4407,'Tracking Sheet'!B1723,'Production '!$M$4:$M$4407)</f>
        <v>3906</v>
      </c>
      <c r="D1723" s="76">
        <f ca="1">SUMIF('Production '!$C$4:$AI$4407,'Tracking Sheet'!B1723,'Production '!$Q$4:$Q$4407)</f>
        <v>0</v>
      </c>
      <c r="E1723" s="76">
        <f ca="1">SUMIF('Production '!$C$4:$AI$4407,'Tracking Sheet'!B1723,'Production '!$S$4:$S$4407)</f>
        <v>0</v>
      </c>
      <c r="F1723" s="76">
        <f ca="1">SUMIF('Production '!$C$4:$AI$4407,'Tracking Sheet'!B1723,'Production '!$U$4:$U$4407)</f>
        <v>2956</v>
      </c>
      <c r="G1723" s="76">
        <f ca="1">SUMIF('Production '!$C$4:$AI$4407,'Tracking Sheet'!B1723,'Production '!$W$4:$W$4407)</f>
        <v>950</v>
      </c>
      <c r="H1723" s="76">
        <f ca="1">SUMIF('Production '!$C$4:$AI$4407,'Tracking Sheet'!B1723,'Production '!$F$4:$F$4407)</f>
        <v>3816</v>
      </c>
      <c r="I1723" s="76">
        <f ca="1">SUMIF('Production '!$C$4:$AI$4407,'Tracking Sheet'!B1723,'Production '!$V$4:$V$4407)</f>
        <v>0</v>
      </c>
      <c r="J1723" s="76">
        <f ca="1">SUMIF('Production '!$C$4:$AI$4407,'Tracking Sheet'!B1723,'Production '!$AG$4:$AG$4407)</f>
        <v>-66</v>
      </c>
    </row>
    <row r="1724" spans="2:10" x14ac:dyDescent="0.3">
      <c r="B1724" s="277" t="str">
        <f>'Production '!C1727</f>
        <v>26030 22th</v>
      </c>
      <c r="C1724" s="76">
        <f ca="1">SUMIF('Production '!$C$4:$AI$4407,'Tracking Sheet'!B1724,'Production '!$M$4:$M$4407)</f>
        <v>3906</v>
      </c>
      <c r="D1724" s="76">
        <f ca="1">SUMIF('Production '!$C$4:$AI$4407,'Tracking Sheet'!B1724,'Production '!$Q$4:$Q$4407)</f>
        <v>0</v>
      </c>
      <c r="E1724" s="76">
        <f ca="1">SUMIF('Production '!$C$4:$AI$4407,'Tracking Sheet'!B1724,'Production '!$S$4:$S$4407)</f>
        <v>0</v>
      </c>
      <c r="F1724" s="76">
        <f ca="1">SUMIF('Production '!$C$4:$AI$4407,'Tracking Sheet'!B1724,'Production '!$U$4:$U$4407)</f>
        <v>2956</v>
      </c>
      <c r="G1724" s="76">
        <f ca="1">SUMIF('Production '!$C$4:$AI$4407,'Tracking Sheet'!B1724,'Production '!$W$4:$W$4407)</f>
        <v>950</v>
      </c>
      <c r="H1724" s="76">
        <f ca="1">SUMIF('Production '!$C$4:$AI$4407,'Tracking Sheet'!B1724,'Production '!$F$4:$F$4407)</f>
        <v>3816</v>
      </c>
      <c r="I1724" s="76">
        <f ca="1">SUMIF('Production '!$C$4:$AI$4407,'Tracking Sheet'!B1724,'Production '!$V$4:$V$4407)</f>
        <v>0</v>
      </c>
      <c r="J1724" s="76">
        <f ca="1">SUMIF('Production '!$C$4:$AI$4407,'Tracking Sheet'!B1724,'Production '!$AG$4:$AG$4407)</f>
        <v>-66</v>
      </c>
    </row>
    <row r="1725" spans="2:10" x14ac:dyDescent="0.3">
      <c r="B1725" s="277" t="str">
        <f>'Production '!C1728</f>
        <v>26030 22th</v>
      </c>
      <c r="C1725" s="76">
        <f ca="1">SUMIF('Production '!$C$4:$AI$4407,'Tracking Sheet'!B1725,'Production '!$M$4:$M$4407)</f>
        <v>3906</v>
      </c>
      <c r="D1725" s="76">
        <f ca="1">SUMIF('Production '!$C$4:$AI$4407,'Tracking Sheet'!B1725,'Production '!$Q$4:$Q$4407)</f>
        <v>0</v>
      </c>
      <c r="E1725" s="76">
        <f ca="1">SUMIF('Production '!$C$4:$AI$4407,'Tracking Sheet'!B1725,'Production '!$S$4:$S$4407)</f>
        <v>0</v>
      </c>
      <c r="F1725" s="76">
        <f ca="1">SUMIF('Production '!$C$4:$AI$4407,'Tracking Sheet'!B1725,'Production '!$U$4:$U$4407)</f>
        <v>2956</v>
      </c>
      <c r="G1725" s="76">
        <f ca="1">SUMIF('Production '!$C$4:$AI$4407,'Tracking Sheet'!B1725,'Production '!$W$4:$W$4407)</f>
        <v>950</v>
      </c>
      <c r="H1725" s="76">
        <f ca="1">SUMIF('Production '!$C$4:$AI$4407,'Tracking Sheet'!B1725,'Production '!$F$4:$F$4407)</f>
        <v>3816</v>
      </c>
      <c r="I1725" s="76">
        <f ca="1">SUMIF('Production '!$C$4:$AI$4407,'Tracking Sheet'!B1725,'Production '!$V$4:$V$4407)</f>
        <v>0</v>
      </c>
      <c r="J1725" s="76">
        <f ca="1">SUMIF('Production '!$C$4:$AI$4407,'Tracking Sheet'!B1725,'Production '!$AG$4:$AG$4407)</f>
        <v>-66</v>
      </c>
    </row>
    <row r="1726" spans="2:10" x14ac:dyDescent="0.3">
      <c r="B1726" s="277" t="str">
        <f>'Production '!C1729</f>
        <v>26030 22th</v>
      </c>
      <c r="C1726" s="76">
        <f ca="1">SUMIF('Production '!$C$4:$AI$4407,'Tracking Sheet'!B1726,'Production '!$M$4:$M$4407)</f>
        <v>3906</v>
      </c>
      <c r="D1726" s="76">
        <f ca="1">SUMIF('Production '!$C$4:$AI$4407,'Tracking Sheet'!B1726,'Production '!$Q$4:$Q$4407)</f>
        <v>0</v>
      </c>
      <c r="E1726" s="76">
        <f ca="1">SUMIF('Production '!$C$4:$AI$4407,'Tracking Sheet'!B1726,'Production '!$S$4:$S$4407)</f>
        <v>0</v>
      </c>
      <c r="F1726" s="76">
        <f ca="1">SUMIF('Production '!$C$4:$AI$4407,'Tracking Sheet'!B1726,'Production '!$U$4:$U$4407)</f>
        <v>2956</v>
      </c>
      <c r="G1726" s="76">
        <f ca="1">SUMIF('Production '!$C$4:$AI$4407,'Tracking Sheet'!B1726,'Production '!$W$4:$W$4407)</f>
        <v>950</v>
      </c>
      <c r="H1726" s="76">
        <f ca="1">SUMIF('Production '!$C$4:$AI$4407,'Tracking Sheet'!B1726,'Production '!$F$4:$F$4407)</f>
        <v>3816</v>
      </c>
      <c r="I1726" s="76">
        <f ca="1">SUMIF('Production '!$C$4:$AI$4407,'Tracking Sheet'!B1726,'Production '!$V$4:$V$4407)</f>
        <v>0</v>
      </c>
      <c r="J1726" s="76">
        <f ca="1">SUMIF('Production '!$C$4:$AI$4407,'Tracking Sheet'!B1726,'Production '!$AG$4:$AG$4407)</f>
        <v>-66</v>
      </c>
    </row>
    <row r="1727" spans="2:10" x14ac:dyDescent="0.3">
      <c r="B1727" s="277" t="str">
        <f>'Production '!C1730</f>
        <v>26030 22th</v>
      </c>
      <c r="C1727" s="76">
        <f ca="1">SUMIF('Production '!$C$4:$AI$4407,'Tracking Sheet'!B1727,'Production '!$M$4:$M$4407)</f>
        <v>3906</v>
      </c>
      <c r="D1727" s="76">
        <f ca="1">SUMIF('Production '!$C$4:$AI$4407,'Tracking Sheet'!B1727,'Production '!$Q$4:$Q$4407)</f>
        <v>0</v>
      </c>
      <c r="E1727" s="76">
        <f ca="1">SUMIF('Production '!$C$4:$AI$4407,'Tracking Sheet'!B1727,'Production '!$S$4:$S$4407)</f>
        <v>0</v>
      </c>
      <c r="F1727" s="76">
        <f ca="1">SUMIF('Production '!$C$4:$AI$4407,'Tracking Sheet'!B1727,'Production '!$U$4:$U$4407)</f>
        <v>2956</v>
      </c>
      <c r="G1727" s="76">
        <f ca="1">SUMIF('Production '!$C$4:$AI$4407,'Tracking Sheet'!B1727,'Production '!$W$4:$W$4407)</f>
        <v>950</v>
      </c>
      <c r="H1727" s="76">
        <f ca="1">SUMIF('Production '!$C$4:$AI$4407,'Tracking Sheet'!B1727,'Production '!$F$4:$F$4407)</f>
        <v>3816</v>
      </c>
      <c r="I1727" s="76">
        <f ca="1">SUMIF('Production '!$C$4:$AI$4407,'Tracking Sheet'!B1727,'Production '!$V$4:$V$4407)</f>
        <v>0</v>
      </c>
      <c r="J1727" s="76">
        <f ca="1">SUMIF('Production '!$C$4:$AI$4407,'Tracking Sheet'!B1727,'Production '!$AG$4:$AG$4407)</f>
        <v>-66</v>
      </c>
    </row>
    <row r="1728" spans="2:10" x14ac:dyDescent="0.3">
      <c r="B1728" s="277">
        <f>'Production '!C1731</f>
        <v>0</v>
      </c>
      <c r="C1728" s="76" t="e">
        <f ca="1">SUMIF('Production '!$C$4:$AI$4407,'Tracking Sheet'!B1728,'Production '!$M$4:$M$4407)</f>
        <v>#DIV/0!</v>
      </c>
      <c r="D1728" s="76" t="e">
        <f ca="1">SUMIF('Production '!$C$4:$AI$4407,'Tracking Sheet'!B1728,'Production '!$Q$4:$Q$4407)</f>
        <v>#DIV/0!</v>
      </c>
      <c r="E1728" s="76">
        <f ca="1">SUMIF('Production '!$C$4:$AI$4407,'Tracking Sheet'!B1728,'Production '!$S$4:$S$4407)</f>
        <v>-1268218.9828305368</v>
      </c>
      <c r="F1728" s="76">
        <f ca="1">SUMIF('Production '!$C$4:$AI$4407,'Tracking Sheet'!B1728,'Production '!$U$4:$U$4407)</f>
        <v>-10620.435600016917</v>
      </c>
      <c r="G1728" s="76" t="e">
        <f ca="1">SUMIF('Production '!$C$4:$AI$4407,'Tracking Sheet'!B1728,'Production '!$W$4:$W$4407)</f>
        <v>#DIV/0!</v>
      </c>
      <c r="H1728" s="76">
        <f ca="1">SUMIF('Production '!$C$4:$AI$4407,'Tracking Sheet'!B1728,'Production '!$F$4:$F$4407)</f>
        <v>3230621.3283604058</v>
      </c>
      <c r="I1728" s="76">
        <f ca="1">SUMIF('Production '!$C$4:$AI$4407,'Tracking Sheet'!B1728,'Production '!$V$4:$V$4407)</f>
        <v>-489.86487791182844</v>
      </c>
      <c r="J1728" s="76">
        <f ca="1">SUMIF('Production '!$C$4:$AI$4407,'Tracking Sheet'!B1728,'Production '!$AG$4:$AG$4407)</f>
        <v>0</v>
      </c>
    </row>
    <row r="1729" spans="2:10" x14ac:dyDescent="0.3">
      <c r="B1729" s="277" t="str">
        <f>'Production '!C1732</f>
        <v>26030 23th</v>
      </c>
      <c r="C1729" s="76">
        <f ca="1">SUMIF('Production '!$C$4:$AI$4407,'Tracking Sheet'!B1729,'Production '!$M$4:$M$4407)</f>
        <v>10274</v>
      </c>
      <c r="D1729" s="76">
        <f ca="1">SUMIF('Production '!$C$4:$AI$4407,'Tracking Sheet'!B1729,'Production '!$Q$4:$Q$4407)</f>
        <v>0</v>
      </c>
      <c r="E1729" s="76">
        <f ca="1">SUMIF('Production '!$C$4:$AI$4407,'Tracking Sheet'!B1729,'Production '!$S$4:$S$4407)</f>
        <v>0</v>
      </c>
      <c r="F1729" s="76">
        <f ca="1">SUMIF('Production '!$C$4:$AI$4407,'Tracking Sheet'!B1729,'Production '!$U$4:$U$4407)</f>
        <v>10274</v>
      </c>
      <c r="G1729" s="76">
        <f ca="1">SUMIF('Production '!$C$4:$AI$4407,'Tracking Sheet'!B1729,'Production '!$W$4:$W$4407)</f>
        <v>0</v>
      </c>
      <c r="H1729" s="76">
        <f ca="1">SUMIF('Production '!$C$4:$AI$4407,'Tracking Sheet'!B1729,'Production '!$F$4:$F$4407)</f>
        <v>19678</v>
      </c>
      <c r="I1729" s="76">
        <f ca="1">SUMIF('Production '!$C$4:$AI$4407,'Tracking Sheet'!B1729,'Production '!$V$4:$V$4407)</f>
        <v>0</v>
      </c>
      <c r="J1729" s="76">
        <f ca="1">SUMIF('Production '!$C$4:$AI$4407,'Tracking Sheet'!B1729,'Production '!$AG$4:$AG$4407)</f>
        <v>-9440</v>
      </c>
    </row>
    <row r="1730" spans="2:10" x14ac:dyDescent="0.3">
      <c r="B1730" s="277" t="str">
        <f>'Production '!C1733</f>
        <v>26030 23th</v>
      </c>
      <c r="C1730" s="76">
        <f ca="1">SUMIF('Production '!$C$4:$AI$4407,'Tracking Sheet'!B1730,'Production '!$M$4:$M$4407)</f>
        <v>10274</v>
      </c>
      <c r="D1730" s="76">
        <f ca="1">SUMIF('Production '!$C$4:$AI$4407,'Tracking Sheet'!B1730,'Production '!$Q$4:$Q$4407)</f>
        <v>0</v>
      </c>
      <c r="E1730" s="76">
        <f ca="1">SUMIF('Production '!$C$4:$AI$4407,'Tracking Sheet'!B1730,'Production '!$S$4:$S$4407)</f>
        <v>0</v>
      </c>
      <c r="F1730" s="76">
        <f ca="1">SUMIF('Production '!$C$4:$AI$4407,'Tracking Sheet'!B1730,'Production '!$U$4:$U$4407)</f>
        <v>10274</v>
      </c>
      <c r="G1730" s="76">
        <f ca="1">SUMIF('Production '!$C$4:$AI$4407,'Tracking Sheet'!B1730,'Production '!$W$4:$W$4407)</f>
        <v>0</v>
      </c>
      <c r="H1730" s="76">
        <f ca="1">SUMIF('Production '!$C$4:$AI$4407,'Tracking Sheet'!B1730,'Production '!$F$4:$F$4407)</f>
        <v>19678</v>
      </c>
      <c r="I1730" s="76">
        <f ca="1">SUMIF('Production '!$C$4:$AI$4407,'Tracking Sheet'!B1730,'Production '!$V$4:$V$4407)</f>
        <v>0</v>
      </c>
      <c r="J1730" s="76">
        <f ca="1">SUMIF('Production '!$C$4:$AI$4407,'Tracking Sheet'!B1730,'Production '!$AG$4:$AG$4407)</f>
        <v>-9440</v>
      </c>
    </row>
    <row r="1731" spans="2:10" x14ac:dyDescent="0.3">
      <c r="B1731" s="277" t="str">
        <f>'Production '!C1734</f>
        <v>26030 23th</v>
      </c>
      <c r="C1731" s="76">
        <f ca="1">SUMIF('Production '!$C$4:$AI$4407,'Tracking Sheet'!B1731,'Production '!$M$4:$M$4407)</f>
        <v>10274</v>
      </c>
      <c r="D1731" s="76">
        <f ca="1">SUMIF('Production '!$C$4:$AI$4407,'Tracking Sheet'!B1731,'Production '!$Q$4:$Q$4407)</f>
        <v>0</v>
      </c>
      <c r="E1731" s="76">
        <f ca="1">SUMIF('Production '!$C$4:$AI$4407,'Tracking Sheet'!B1731,'Production '!$S$4:$S$4407)</f>
        <v>0</v>
      </c>
      <c r="F1731" s="76">
        <f ca="1">SUMIF('Production '!$C$4:$AI$4407,'Tracking Sheet'!B1731,'Production '!$U$4:$U$4407)</f>
        <v>10274</v>
      </c>
      <c r="G1731" s="76">
        <f ca="1">SUMIF('Production '!$C$4:$AI$4407,'Tracking Sheet'!B1731,'Production '!$W$4:$W$4407)</f>
        <v>0</v>
      </c>
      <c r="H1731" s="76">
        <f ca="1">SUMIF('Production '!$C$4:$AI$4407,'Tracking Sheet'!B1731,'Production '!$F$4:$F$4407)</f>
        <v>19678</v>
      </c>
      <c r="I1731" s="76">
        <f ca="1">SUMIF('Production '!$C$4:$AI$4407,'Tracking Sheet'!B1731,'Production '!$V$4:$V$4407)</f>
        <v>0</v>
      </c>
      <c r="J1731" s="76">
        <f ca="1">SUMIF('Production '!$C$4:$AI$4407,'Tracking Sheet'!B1731,'Production '!$AG$4:$AG$4407)</f>
        <v>-9440</v>
      </c>
    </row>
    <row r="1732" spans="2:10" x14ac:dyDescent="0.3">
      <c r="B1732" s="277" t="str">
        <f>'Production '!C1735</f>
        <v>26030 23th</v>
      </c>
      <c r="C1732" s="76">
        <f ca="1">SUMIF('Production '!$C$4:$AI$4407,'Tracking Sheet'!B1732,'Production '!$M$4:$M$4407)</f>
        <v>10274</v>
      </c>
      <c r="D1732" s="76">
        <f ca="1">SUMIF('Production '!$C$4:$AI$4407,'Tracking Sheet'!B1732,'Production '!$Q$4:$Q$4407)</f>
        <v>0</v>
      </c>
      <c r="E1732" s="76">
        <f ca="1">SUMIF('Production '!$C$4:$AI$4407,'Tracking Sheet'!B1732,'Production '!$S$4:$S$4407)</f>
        <v>0</v>
      </c>
      <c r="F1732" s="76">
        <f ca="1">SUMIF('Production '!$C$4:$AI$4407,'Tracking Sheet'!B1732,'Production '!$U$4:$U$4407)</f>
        <v>10274</v>
      </c>
      <c r="G1732" s="76">
        <f ca="1">SUMIF('Production '!$C$4:$AI$4407,'Tracking Sheet'!B1732,'Production '!$W$4:$W$4407)</f>
        <v>0</v>
      </c>
      <c r="H1732" s="76">
        <f ca="1">SUMIF('Production '!$C$4:$AI$4407,'Tracking Sheet'!B1732,'Production '!$F$4:$F$4407)</f>
        <v>19678</v>
      </c>
      <c r="I1732" s="76">
        <f ca="1">SUMIF('Production '!$C$4:$AI$4407,'Tracking Sheet'!B1732,'Production '!$V$4:$V$4407)</f>
        <v>0</v>
      </c>
      <c r="J1732" s="76">
        <f ca="1">SUMIF('Production '!$C$4:$AI$4407,'Tracking Sheet'!B1732,'Production '!$AG$4:$AG$4407)</f>
        <v>-9440</v>
      </c>
    </row>
    <row r="1733" spans="2:10" x14ac:dyDescent="0.3">
      <c r="B1733" s="277" t="str">
        <f>'Production '!C1736</f>
        <v>26030 23th</v>
      </c>
      <c r="C1733" s="76">
        <f ca="1">SUMIF('Production '!$C$4:$AI$4407,'Tracking Sheet'!B1733,'Production '!$M$4:$M$4407)</f>
        <v>10274</v>
      </c>
      <c r="D1733" s="76">
        <f ca="1">SUMIF('Production '!$C$4:$AI$4407,'Tracking Sheet'!B1733,'Production '!$Q$4:$Q$4407)</f>
        <v>0</v>
      </c>
      <c r="E1733" s="76">
        <f ca="1">SUMIF('Production '!$C$4:$AI$4407,'Tracking Sheet'!B1733,'Production '!$S$4:$S$4407)</f>
        <v>0</v>
      </c>
      <c r="F1733" s="76">
        <f ca="1">SUMIF('Production '!$C$4:$AI$4407,'Tracking Sheet'!B1733,'Production '!$U$4:$U$4407)</f>
        <v>10274</v>
      </c>
      <c r="G1733" s="76">
        <f ca="1">SUMIF('Production '!$C$4:$AI$4407,'Tracking Sheet'!B1733,'Production '!$W$4:$W$4407)</f>
        <v>0</v>
      </c>
      <c r="H1733" s="76">
        <f ca="1">SUMIF('Production '!$C$4:$AI$4407,'Tracking Sheet'!B1733,'Production '!$F$4:$F$4407)</f>
        <v>19678</v>
      </c>
      <c r="I1733" s="76">
        <f ca="1">SUMIF('Production '!$C$4:$AI$4407,'Tracking Sheet'!B1733,'Production '!$V$4:$V$4407)</f>
        <v>0</v>
      </c>
      <c r="J1733" s="76">
        <f ca="1">SUMIF('Production '!$C$4:$AI$4407,'Tracking Sheet'!B1733,'Production '!$AG$4:$AG$4407)</f>
        <v>-9440</v>
      </c>
    </row>
    <row r="1734" spans="2:10" x14ac:dyDescent="0.3">
      <c r="B1734" s="277">
        <f>'Production '!C1737</f>
        <v>0</v>
      </c>
      <c r="C1734" s="76" t="e">
        <f ca="1">SUMIF('Production '!$C$4:$AI$4407,'Tracking Sheet'!B1734,'Production '!$M$4:$M$4407)</f>
        <v>#DIV/0!</v>
      </c>
      <c r="D1734" s="76" t="e">
        <f ca="1">SUMIF('Production '!$C$4:$AI$4407,'Tracking Sheet'!B1734,'Production '!$Q$4:$Q$4407)</f>
        <v>#DIV/0!</v>
      </c>
      <c r="E1734" s="76">
        <f ca="1">SUMIF('Production '!$C$4:$AI$4407,'Tracking Sheet'!B1734,'Production '!$S$4:$S$4407)</f>
        <v>-1268218.9828305368</v>
      </c>
      <c r="F1734" s="76">
        <f ca="1">SUMIF('Production '!$C$4:$AI$4407,'Tracking Sheet'!B1734,'Production '!$U$4:$U$4407)</f>
        <v>-10620.435600016917</v>
      </c>
      <c r="G1734" s="76" t="e">
        <f ca="1">SUMIF('Production '!$C$4:$AI$4407,'Tracking Sheet'!B1734,'Production '!$W$4:$W$4407)</f>
        <v>#DIV/0!</v>
      </c>
      <c r="H1734" s="76">
        <f ca="1">SUMIF('Production '!$C$4:$AI$4407,'Tracking Sheet'!B1734,'Production '!$F$4:$F$4407)</f>
        <v>3230621.3283604058</v>
      </c>
      <c r="I1734" s="76">
        <f ca="1">SUMIF('Production '!$C$4:$AI$4407,'Tracking Sheet'!B1734,'Production '!$V$4:$V$4407)</f>
        <v>-489.86487791182844</v>
      </c>
      <c r="J1734" s="76">
        <f ca="1">SUMIF('Production '!$C$4:$AI$4407,'Tracking Sheet'!B1734,'Production '!$AG$4:$AG$4407)</f>
        <v>0</v>
      </c>
    </row>
    <row r="1735" spans="2:10" x14ac:dyDescent="0.3">
      <c r="B1735" s="277" t="str">
        <f>'Production '!C1738</f>
        <v>26030 24th</v>
      </c>
      <c r="C1735" s="76">
        <f ca="1">SUMIF('Production '!$C$4:$AI$4407,'Tracking Sheet'!B1735,'Production '!$M$4:$M$4407)</f>
        <v>0</v>
      </c>
      <c r="D1735" s="76">
        <f ca="1">SUMIF('Production '!$C$4:$AI$4407,'Tracking Sheet'!B1735,'Production '!$Q$4:$Q$4407)</f>
        <v>0</v>
      </c>
      <c r="E1735" s="76">
        <f ca="1">SUMIF('Production '!$C$4:$AI$4407,'Tracking Sheet'!B1735,'Production '!$S$4:$S$4407)</f>
        <v>0</v>
      </c>
      <c r="F1735" s="76">
        <f ca="1">SUMIF('Production '!$C$4:$AI$4407,'Tracking Sheet'!B1735,'Production '!$U$4:$U$4407)</f>
        <v>0</v>
      </c>
      <c r="G1735" s="76">
        <f ca="1">SUMIF('Production '!$C$4:$AI$4407,'Tracking Sheet'!B1735,'Production '!$W$4:$W$4407)</f>
        <v>0</v>
      </c>
      <c r="H1735" s="76">
        <f ca="1">SUMIF('Production '!$C$4:$AI$4407,'Tracking Sheet'!B1735,'Production '!$F$4:$F$4407)</f>
        <v>7332</v>
      </c>
      <c r="I1735" s="76">
        <f ca="1">SUMIF('Production '!$C$4:$AI$4407,'Tracking Sheet'!B1735,'Production '!$V$4:$V$4407)</f>
        <v>0</v>
      </c>
      <c r="J1735" s="76">
        <f ca="1">SUMIF('Production '!$C$4:$AI$4407,'Tracking Sheet'!B1735,'Production '!$AG$4:$AG$4407)</f>
        <v>-7332</v>
      </c>
    </row>
    <row r="1736" spans="2:10" x14ac:dyDescent="0.3">
      <c r="B1736" s="277" t="str">
        <f>'Production '!C1739</f>
        <v>26030 24th</v>
      </c>
      <c r="C1736" s="76">
        <f ca="1">SUMIF('Production '!$C$4:$AI$4407,'Tracking Sheet'!B1736,'Production '!$M$4:$M$4407)</f>
        <v>0</v>
      </c>
      <c r="D1736" s="76">
        <f ca="1">SUMIF('Production '!$C$4:$AI$4407,'Tracking Sheet'!B1736,'Production '!$Q$4:$Q$4407)</f>
        <v>0</v>
      </c>
      <c r="E1736" s="76">
        <f ca="1">SUMIF('Production '!$C$4:$AI$4407,'Tracking Sheet'!B1736,'Production '!$S$4:$S$4407)</f>
        <v>0</v>
      </c>
      <c r="F1736" s="76">
        <f ca="1">SUMIF('Production '!$C$4:$AI$4407,'Tracking Sheet'!B1736,'Production '!$U$4:$U$4407)</f>
        <v>0</v>
      </c>
      <c r="G1736" s="76">
        <f ca="1">SUMIF('Production '!$C$4:$AI$4407,'Tracking Sheet'!B1736,'Production '!$W$4:$W$4407)</f>
        <v>0</v>
      </c>
      <c r="H1736" s="76">
        <f ca="1">SUMIF('Production '!$C$4:$AI$4407,'Tracking Sheet'!B1736,'Production '!$F$4:$F$4407)</f>
        <v>7332</v>
      </c>
      <c r="I1736" s="76">
        <f ca="1">SUMIF('Production '!$C$4:$AI$4407,'Tracking Sheet'!B1736,'Production '!$V$4:$V$4407)</f>
        <v>0</v>
      </c>
      <c r="J1736" s="76">
        <f ca="1">SUMIF('Production '!$C$4:$AI$4407,'Tracking Sheet'!B1736,'Production '!$AG$4:$AG$4407)</f>
        <v>-7332</v>
      </c>
    </row>
    <row r="1737" spans="2:10" x14ac:dyDescent="0.3">
      <c r="B1737" s="277" t="str">
        <f>'Production '!C1740</f>
        <v>26030 24th</v>
      </c>
      <c r="C1737" s="76">
        <f ca="1">SUMIF('Production '!$C$4:$AI$4407,'Tracking Sheet'!B1737,'Production '!$M$4:$M$4407)</f>
        <v>0</v>
      </c>
      <c r="D1737" s="76">
        <f ca="1">SUMIF('Production '!$C$4:$AI$4407,'Tracking Sheet'!B1737,'Production '!$Q$4:$Q$4407)</f>
        <v>0</v>
      </c>
      <c r="E1737" s="76">
        <f ca="1">SUMIF('Production '!$C$4:$AI$4407,'Tracking Sheet'!B1737,'Production '!$S$4:$S$4407)</f>
        <v>0</v>
      </c>
      <c r="F1737" s="76">
        <f ca="1">SUMIF('Production '!$C$4:$AI$4407,'Tracking Sheet'!B1737,'Production '!$U$4:$U$4407)</f>
        <v>0</v>
      </c>
      <c r="G1737" s="76">
        <f ca="1">SUMIF('Production '!$C$4:$AI$4407,'Tracking Sheet'!B1737,'Production '!$W$4:$W$4407)</f>
        <v>0</v>
      </c>
      <c r="H1737" s="76">
        <f ca="1">SUMIF('Production '!$C$4:$AI$4407,'Tracking Sheet'!B1737,'Production '!$F$4:$F$4407)</f>
        <v>7332</v>
      </c>
      <c r="I1737" s="76">
        <f ca="1">SUMIF('Production '!$C$4:$AI$4407,'Tracking Sheet'!B1737,'Production '!$V$4:$V$4407)</f>
        <v>0</v>
      </c>
      <c r="J1737" s="76">
        <f ca="1">SUMIF('Production '!$C$4:$AI$4407,'Tracking Sheet'!B1737,'Production '!$AG$4:$AG$4407)</f>
        <v>-7332</v>
      </c>
    </row>
    <row r="1738" spans="2:10" x14ac:dyDescent="0.3">
      <c r="B1738" s="277" t="str">
        <f>'Production '!C1741</f>
        <v>26030 24th</v>
      </c>
      <c r="C1738" s="76">
        <f ca="1">SUMIF('Production '!$C$4:$AI$4407,'Tracking Sheet'!B1738,'Production '!$M$4:$M$4407)</f>
        <v>0</v>
      </c>
      <c r="D1738" s="76">
        <f ca="1">SUMIF('Production '!$C$4:$AI$4407,'Tracking Sheet'!B1738,'Production '!$Q$4:$Q$4407)</f>
        <v>0</v>
      </c>
      <c r="E1738" s="76">
        <f ca="1">SUMIF('Production '!$C$4:$AI$4407,'Tracking Sheet'!B1738,'Production '!$S$4:$S$4407)</f>
        <v>0</v>
      </c>
      <c r="F1738" s="76">
        <f ca="1">SUMIF('Production '!$C$4:$AI$4407,'Tracking Sheet'!B1738,'Production '!$U$4:$U$4407)</f>
        <v>0</v>
      </c>
      <c r="G1738" s="76">
        <f ca="1">SUMIF('Production '!$C$4:$AI$4407,'Tracking Sheet'!B1738,'Production '!$W$4:$W$4407)</f>
        <v>0</v>
      </c>
      <c r="H1738" s="76">
        <f ca="1">SUMIF('Production '!$C$4:$AI$4407,'Tracking Sheet'!B1738,'Production '!$F$4:$F$4407)</f>
        <v>7332</v>
      </c>
      <c r="I1738" s="76">
        <f ca="1">SUMIF('Production '!$C$4:$AI$4407,'Tracking Sheet'!B1738,'Production '!$V$4:$V$4407)</f>
        <v>0</v>
      </c>
      <c r="J1738" s="76">
        <f ca="1">SUMIF('Production '!$C$4:$AI$4407,'Tracking Sheet'!B1738,'Production '!$AG$4:$AG$4407)</f>
        <v>-7332</v>
      </c>
    </row>
    <row r="1739" spans="2:10" x14ac:dyDescent="0.3">
      <c r="B1739" s="277" t="str">
        <f>'Production '!C1742</f>
        <v>26030 24th</v>
      </c>
      <c r="C1739" s="76">
        <f ca="1">SUMIF('Production '!$C$4:$AI$4407,'Tracking Sheet'!B1739,'Production '!$M$4:$M$4407)</f>
        <v>0</v>
      </c>
      <c r="D1739" s="76">
        <f ca="1">SUMIF('Production '!$C$4:$AI$4407,'Tracking Sheet'!B1739,'Production '!$Q$4:$Q$4407)</f>
        <v>0</v>
      </c>
      <c r="E1739" s="76">
        <f ca="1">SUMIF('Production '!$C$4:$AI$4407,'Tracking Sheet'!B1739,'Production '!$S$4:$S$4407)</f>
        <v>0</v>
      </c>
      <c r="F1739" s="76">
        <f ca="1">SUMIF('Production '!$C$4:$AI$4407,'Tracking Sheet'!B1739,'Production '!$U$4:$U$4407)</f>
        <v>0</v>
      </c>
      <c r="G1739" s="76">
        <f ca="1">SUMIF('Production '!$C$4:$AI$4407,'Tracking Sheet'!B1739,'Production '!$W$4:$W$4407)</f>
        <v>0</v>
      </c>
      <c r="H1739" s="76">
        <f ca="1">SUMIF('Production '!$C$4:$AI$4407,'Tracking Sheet'!B1739,'Production '!$F$4:$F$4407)</f>
        <v>7332</v>
      </c>
      <c r="I1739" s="76">
        <f ca="1">SUMIF('Production '!$C$4:$AI$4407,'Tracking Sheet'!B1739,'Production '!$V$4:$V$4407)</f>
        <v>0</v>
      </c>
      <c r="J1739" s="76">
        <f ca="1">SUMIF('Production '!$C$4:$AI$4407,'Tracking Sheet'!B1739,'Production '!$AG$4:$AG$4407)</f>
        <v>-7332</v>
      </c>
    </row>
    <row r="1740" spans="2:10" x14ac:dyDescent="0.3">
      <c r="B1740" s="277">
        <f>'Production '!C1743</f>
        <v>0</v>
      </c>
      <c r="C1740" s="76" t="e">
        <f ca="1">SUMIF('Production '!$C$4:$AI$4407,'Tracking Sheet'!B1740,'Production '!$M$4:$M$4407)</f>
        <v>#DIV/0!</v>
      </c>
      <c r="D1740" s="76" t="e">
        <f ca="1">SUMIF('Production '!$C$4:$AI$4407,'Tracking Sheet'!B1740,'Production '!$Q$4:$Q$4407)</f>
        <v>#DIV/0!</v>
      </c>
      <c r="E1740" s="76">
        <f ca="1">SUMIF('Production '!$C$4:$AI$4407,'Tracking Sheet'!B1740,'Production '!$S$4:$S$4407)</f>
        <v>-1268218.9828305368</v>
      </c>
      <c r="F1740" s="76">
        <f ca="1">SUMIF('Production '!$C$4:$AI$4407,'Tracking Sheet'!B1740,'Production '!$U$4:$U$4407)</f>
        <v>-10620.435600016917</v>
      </c>
      <c r="G1740" s="76" t="e">
        <f ca="1">SUMIF('Production '!$C$4:$AI$4407,'Tracking Sheet'!B1740,'Production '!$W$4:$W$4407)</f>
        <v>#DIV/0!</v>
      </c>
      <c r="H1740" s="76">
        <f ca="1">SUMIF('Production '!$C$4:$AI$4407,'Tracking Sheet'!B1740,'Production '!$F$4:$F$4407)</f>
        <v>3230621.3283604058</v>
      </c>
      <c r="I1740" s="76">
        <f ca="1">SUMIF('Production '!$C$4:$AI$4407,'Tracking Sheet'!B1740,'Production '!$V$4:$V$4407)</f>
        <v>-489.86487791182844</v>
      </c>
      <c r="J1740" s="76">
        <f ca="1">SUMIF('Production '!$C$4:$AI$4407,'Tracking Sheet'!B1740,'Production '!$AG$4:$AG$4407)</f>
        <v>0</v>
      </c>
    </row>
    <row r="1741" spans="2:10" x14ac:dyDescent="0.3">
      <c r="B1741" s="277" t="str">
        <f>'Production '!C1744</f>
        <v>41836 9th</v>
      </c>
      <c r="C1741" s="76">
        <f ca="1">SUMIF('Production '!$C$4:$AI$4407,'Tracking Sheet'!B1741,'Production '!$M$4:$M$4407)</f>
        <v>4814</v>
      </c>
      <c r="D1741" s="76">
        <f ca="1">SUMIF('Production '!$C$4:$AI$4407,'Tracking Sheet'!B1741,'Production '!$Q$4:$Q$4407)</f>
        <v>0</v>
      </c>
      <c r="E1741" s="76">
        <f ca="1">SUMIF('Production '!$C$4:$AI$4407,'Tracking Sheet'!B1741,'Production '!$S$4:$S$4407)</f>
        <v>0</v>
      </c>
      <c r="F1741" s="76">
        <f ca="1">SUMIF('Production '!$C$4:$AI$4407,'Tracking Sheet'!B1741,'Production '!$U$4:$U$4407)</f>
        <v>4814</v>
      </c>
      <c r="G1741" s="76">
        <f ca="1">SUMIF('Production '!$C$4:$AI$4407,'Tracking Sheet'!B1741,'Production '!$W$4:$W$4407)</f>
        <v>0</v>
      </c>
      <c r="H1741" s="76">
        <f ca="1">SUMIF('Production '!$C$4:$AI$4407,'Tracking Sheet'!B1741,'Production '!$F$4:$F$4407)</f>
        <v>10134</v>
      </c>
      <c r="I1741" s="76">
        <f ca="1">SUMIF('Production '!$C$4:$AI$4407,'Tracking Sheet'!B1741,'Production '!$V$4:$V$4407)</f>
        <v>0</v>
      </c>
      <c r="J1741" s="76">
        <f ca="1">SUMIF('Production '!$C$4:$AI$4407,'Tracking Sheet'!B1741,'Production '!$AG$4:$AG$4407)</f>
        <v>-5392</v>
      </c>
    </row>
    <row r="1742" spans="2:10" x14ac:dyDescent="0.3">
      <c r="B1742" s="277" t="str">
        <f>'Production '!C1745</f>
        <v>41836 9th</v>
      </c>
      <c r="C1742" s="76">
        <f ca="1">SUMIF('Production '!$C$4:$AI$4407,'Tracking Sheet'!B1742,'Production '!$M$4:$M$4407)</f>
        <v>4814</v>
      </c>
      <c r="D1742" s="76">
        <f ca="1">SUMIF('Production '!$C$4:$AI$4407,'Tracking Sheet'!B1742,'Production '!$Q$4:$Q$4407)</f>
        <v>0</v>
      </c>
      <c r="E1742" s="76">
        <f ca="1">SUMIF('Production '!$C$4:$AI$4407,'Tracking Sheet'!B1742,'Production '!$S$4:$S$4407)</f>
        <v>0</v>
      </c>
      <c r="F1742" s="76">
        <f ca="1">SUMIF('Production '!$C$4:$AI$4407,'Tracking Sheet'!B1742,'Production '!$U$4:$U$4407)</f>
        <v>4814</v>
      </c>
      <c r="G1742" s="76">
        <f ca="1">SUMIF('Production '!$C$4:$AI$4407,'Tracking Sheet'!B1742,'Production '!$W$4:$W$4407)</f>
        <v>0</v>
      </c>
      <c r="H1742" s="76">
        <f ca="1">SUMIF('Production '!$C$4:$AI$4407,'Tracking Sheet'!B1742,'Production '!$F$4:$F$4407)</f>
        <v>10134</v>
      </c>
      <c r="I1742" s="76">
        <f ca="1">SUMIF('Production '!$C$4:$AI$4407,'Tracking Sheet'!B1742,'Production '!$V$4:$V$4407)</f>
        <v>0</v>
      </c>
      <c r="J1742" s="76">
        <f ca="1">SUMIF('Production '!$C$4:$AI$4407,'Tracking Sheet'!B1742,'Production '!$AG$4:$AG$4407)</f>
        <v>-5392</v>
      </c>
    </row>
    <row r="1743" spans="2:10" x14ac:dyDescent="0.3">
      <c r="B1743" s="277" t="str">
        <f>'Production '!C1746</f>
        <v>41836 9th</v>
      </c>
      <c r="C1743" s="76">
        <f ca="1">SUMIF('Production '!$C$4:$AI$4407,'Tracking Sheet'!B1743,'Production '!$M$4:$M$4407)</f>
        <v>4814</v>
      </c>
      <c r="D1743" s="76">
        <f ca="1">SUMIF('Production '!$C$4:$AI$4407,'Tracking Sheet'!B1743,'Production '!$Q$4:$Q$4407)</f>
        <v>0</v>
      </c>
      <c r="E1743" s="76">
        <f ca="1">SUMIF('Production '!$C$4:$AI$4407,'Tracking Sheet'!B1743,'Production '!$S$4:$S$4407)</f>
        <v>0</v>
      </c>
      <c r="F1743" s="76">
        <f ca="1">SUMIF('Production '!$C$4:$AI$4407,'Tracking Sheet'!B1743,'Production '!$U$4:$U$4407)</f>
        <v>4814</v>
      </c>
      <c r="G1743" s="76">
        <f ca="1">SUMIF('Production '!$C$4:$AI$4407,'Tracking Sheet'!B1743,'Production '!$W$4:$W$4407)</f>
        <v>0</v>
      </c>
      <c r="H1743" s="76">
        <f ca="1">SUMIF('Production '!$C$4:$AI$4407,'Tracking Sheet'!B1743,'Production '!$F$4:$F$4407)</f>
        <v>10134</v>
      </c>
      <c r="I1743" s="76">
        <f ca="1">SUMIF('Production '!$C$4:$AI$4407,'Tracking Sheet'!B1743,'Production '!$V$4:$V$4407)</f>
        <v>0</v>
      </c>
      <c r="J1743" s="76">
        <f ca="1">SUMIF('Production '!$C$4:$AI$4407,'Tracking Sheet'!B1743,'Production '!$AG$4:$AG$4407)</f>
        <v>-5392</v>
      </c>
    </row>
    <row r="1744" spans="2:10" x14ac:dyDescent="0.3">
      <c r="B1744" s="277" t="str">
        <f>'Production '!C1747</f>
        <v>41836 9th</v>
      </c>
      <c r="C1744" s="76">
        <f ca="1">SUMIF('Production '!$C$4:$AI$4407,'Tracking Sheet'!B1744,'Production '!$M$4:$M$4407)</f>
        <v>4814</v>
      </c>
      <c r="D1744" s="76">
        <f ca="1">SUMIF('Production '!$C$4:$AI$4407,'Tracking Sheet'!B1744,'Production '!$Q$4:$Q$4407)</f>
        <v>0</v>
      </c>
      <c r="E1744" s="76">
        <f ca="1">SUMIF('Production '!$C$4:$AI$4407,'Tracking Sheet'!B1744,'Production '!$S$4:$S$4407)</f>
        <v>0</v>
      </c>
      <c r="F1744" s="76">
        <f ca="1">SUMIF('Production '!$C$4:$AI$4407,'Tracking Sheet'!B1744,'Production '!$U$4:$U$4407)</f>
        <v>4814</v>
      </c>
      <c r="G1744" s="76">
        <f ca="1">SUMIF('Production '!$C$4:$AI$4407,'Tracking Sheet'!B1744,'Production '!$W$4:$W$4407)</f>
        <v>0</v>
      </c>
      <c r="H1744" s="76">
        <f ca="1">SUMIF('Production '!$C$4:$AI$4407,'Tracking Sheet'!B1744,'Production '!$F$4:$F$4407)</f>
        <v>10134</v>
      </c>
      <c r="I1744" s="76">
        <f ca="1">SUMIF('Production '!$C$4:$AI$4407,'Tracking Sheet'!B1744,'Production '!$V$4:$V$4407)</f>
        <v>0</v>
      </c>
      <c r="J1744" s="76">
        <f ca="1">SUMIF('Production '!$C$4:$AI$4407,'Tracking Sheet'!B1744,'Production '!$AG$4:$AG$4407)</f>
        <v>-5392</v>
      </c>
    </row>
    <row r="1745" spans="2:10" x14ac:dyDescent="0.3">
      <c r="B1745" s="277" t="str">
        <f>'Production '!C1748</f>
        <v>41836 9th</v>
      </c>
      <c r="C1745" s="76">
        <f ca="1">SUMIF('Production '!$C$4:$AI$4407,'Tracking Sheet'!B1745,'Production '!$M$4:$M$4407)</f>
        <v>4814</v>
      </c>
      <c r="D1745" s="76">
        <f ca="1">SUMIF('Production '!$C$4:$AI$4407,'Tracking Sheet'!B1745,'Production '!$Q$4:$Q$4407)</f>
        <v>0</v>
      </c>
      <c r="E1745" s="76">
        <f ca="1">SUMIF('Production '!$C$4:$AI$4407,'Tracking Sheet'!B1745,'Production '!$S$4:$S$4407)</f>
        <v>0</v>
      </c>
      <c r="F1745" s="76">
        <f ca="1">SUMIF('Production '!$C$4:$AI$4407,'Tracking Sheet'!B1745,'Production '!$U$4:$U$4407)</f>
        <v>4814</v>
      </c>
      <c r="G1745" s="76">
        <f ca="1">SUMIF('Production '!$C$4:$AI$4407,'Tracking Sheet'!B1745,'Production '!$W$4:$W$4407)</f>
        <v>0</v>
      </c>
      <c r="H1745" s="76">
        <f ca="1">SUMIF('Production '!$C$4:$AI$4407,'Tracking Sheet'!B1745,'Production '!$F$4:$F$4407)</f>
        <v>10134</v>
      </c>
      <c r="I1745" s="76">
        <f ca="1">SUMIF('Production '!$C$4:$AI$4407,'Tracking Sheet'!B1745,'Production '!$V$4:$V$4407)</f>
        <v>0</v>
      </c>
      <c r="J1745" s="76">
        <f ca="1">SUMIF('Production '!$C$4:$AI$4407,'Tracking Sheet'!B1745,'Production '!$AG$4:$AG$4407)</f>
        <v>-5392</v>
      </c>
    </row>
    <row r="1746" spans="2:10" x14ac:dyDescent="0.3">
      <c r="B1746" s="277" t="str">
        <f>'Production '!C1749</f>
        <v>41836 9th</v>
      </c>
      <c r="C1746" s="76">
        <f ca="1">SUMIF('Production '!$C$4:$AI$4407,'Tracking Sheet'!B1746,'Production '!$M$4:$M$4407)</f>
        <v>4814</v>
      </c>
      <c r="D1746" s="76">
        <f ca="1">SUMIF('Production '!$C$4:$AI$4407,'Tracking Sheet'!B1746,'Production '!$Q$4:$Q$4407)</f>
        <v>0</v>
      </c>
      <c r="E1746" s="76">
        <f ca="1">SUMIF('Production '!$C$4:$AI$4407,'Tracking Sheet'!B1746,'Production '!$S$4:$S$4407)</f>
        <v>0</v>
      </c>
      <c r="F1746" s="76">
        <f ca="1">SUMIF('Production '!$C$4:$AI$4407,'Tracking Sheet'!B1746,'Production '!$U$4:$U$4407)</f>
        <v>4814</v>
      </c>
      <c r="G1746" s="76">
        <f ca="1">SUMIF('Production '!$C$4:$AI$4407,'Tracking Sheet'!B1746,'Production '!$W$4:$W$4407)</f>
        <v>0</v>
      </c>
      <c r="H1746" s="76">
        <f ca="1">SUMIF('Production '!$C$4:$AI$4407,'Tracking Sheet'!B1746,'Production '!$F$4:$F$4407)</f>
        <v>10134</v>
      </c>
      <c r="I1746" s="76">
        <f ca="1">SUMIF('Production '!$C$4:$AI$4407,'Tracking Sheet'!B1746,'Production '!$V$4:$V$4407)</f>
        <v>0</v>
      </c>
      <c r="J1746" s="76">
        <f ca="1">SUMIF('Production '!$C$4:$AI$4407,'Tracking Sheet'!B1746,'Production '!$AG$4:$AG$4407)</f>
        <v>-5392</v>
      </c>
    </row>
    <row r="1747" spans="2:10" x14ac:dyDescent="0.3">
      <c r="B1747" s="277" t="str">
        <f>'Production '!C1750</f>
        <v>41836 9th</v>
      </c>
      <c r="C1747" s="76">
        <f ca="1">SUMIF('Production '!$C$4:$AI$4407,'Tracking Sheet'!B1747,'Production '!$M$4:$M$4407)</f>
        <v>4814</v>
      </c>
      <c r="D1747" s="76">
        <f ca="1">SUMIF('Production '!$C$4:$AI$4407,'Tracking Sheet'!B1747,'Production '!$Q$4:$Q$4407)</f>
        <v>0</v>
      </c>
      <c r="E1747" s="76">
        <f ca="1">SUMIF('Production '!$C$4:$AI$4407,'Tracking Sheet'!B1747,'Production '!$S$4:$S$4407)</f>
        <v>0</v>
      </c>
      <c r="F1747" s="76">
        <f ca="1">SUMIF('Production '!$C$4:$AI$4407,'Tracking Sheet'!B1747,'Production '!$U$4:$U$4407)</f>
        <v>4814</v>
      </c>
      <c r="G1747" s="76">
        <f ca="1">SUMIF('Production '!$C$4:$AI$4407,'Tracking Sheet'!B1747,'Production '!$W$4:$W$4407)</f>
        <v>0</v>
      </c>
      <c r="H1747" s="76">
        <f ca="1">SUMIF('Production '!$C$4:$AI$4407,'Tracking Sheet'!B1747,'Production '!$F$4:$F$4407)</f>
        <v>10134</v>
      </c>
      <c r="I1747" s="76">
        <f ca="1">SUMIF('Production '!$C$4:$AI$4407,'Tracking Sheet'!B1747,'Production '!$V$4:$V$4407)</f>
        <v>0</v>
      </c>
      <c r="J1747" s="76">
        <f ca="1">SUMIF('Production '!$C$4:$AI$4407,'Tracking Sheet'!B1747,'Production '!$AG$4:$AG$4407)</f>
        <v>-5392</v>
      </c>
    </row>
    <row r="1748" spans="2:10" x14ac:dyDescent="0.3">
      <c r="B1748" s="277">
        <f>'Production '!C1751</f>
        <v>0</v>
      </c>
      <c r="C1748" s="76" t="e">
        <f ca="1">SUMIF('Production '!$C$4:$AI$4407,'Tracking Sheet'!B1748,'Production '!$M$4:$M$4407)</f>
        <v>#DIV/0!</v>
      </c>
      <c r="D1748" s="76" t="e">
        <f ca="1">SUMIF('Production '!$C$4:$AI$4407,'Tracking Sheet'!B1748,'Production '!$Q$4:$Q$4407)</f>
        <v>#DIV/0!</v>
      </c>
      <c r="E1748" s="76">
        <f ca="1">SUMIF('Production '!$C$4:$AI$4407,'Tracking Sheet'!B1748,'Production '!$S$4:$S$4407)</f>
        <v>-1268218.9828305368</v>
      </c>
      <c r="F1748" s="76">
        <f ca="1">SUMIF('Production '!$C$4:$AI$4407,'Tracking Sheet'!B1748,'Production '!$U$4:$U$4407)</f>
        <v>-10620.435600016917</v>
      </c>
      <c r="G1748" s="76" t="e">
        <f ca="1">SUMIF('Production '!$C$4:$AI$4407,'Tracking Sheet'!B1748,'Production '!$W$4:$W$4407)</f>
        <v>#DIV/0!</v>
      </c>
      <c r="H1748" s="76">
        <f ca="1">SUMIF('Production '!$C$4:$AI$4407,'Tracking Sheet'!B1748,'Production '!$F$4:$F$4407)</f>
        <v>3230621.3283604058</v>
      </c>
      <c r="I1748" s="76">
        <f ca="1">SUMIF('Production '!$C$4:$AI$4407,'Tracking Sheet'!B1748,'Production '!$V$4:$V$4407)</f>
        <v>-489.86487791182844</v>
      </c>
      <c r="J1748" s="76">
        <f ca="1">SUMIF('Production '!$C$4:$AI$4407,'Tracking Sheet'!B1748,'Production '!$AG$4:$AG$4407)</f>
        <v>0</v>
      </c>
    </row>
    <row r="1749" spans="2:10" x14ac:dyDescent="0.3">
      <c r="B1749" s="277" t="str">
        <f>'Production '!C1752</f>
        <v>41836 10th</v>
      </c>
      <c r="C1749" s="76">
        <f ca="1">SUMIF('Production '!$C$4:$AI$4407,'Tracking Sheet'!B1749,'Production '!$M$4:$M$4407)</f>
        <v>0</v>
      </c>
      <c r="D1749" s="76">
        <f ca="1">SUMIF('Production '!$C$4:$AI$4407,'Tracking Sheet'!B1749,'Production '!$Q$4:$Q$4407)</f>
        <v>0</v>
      </c>
      <c r="E1749" s="76">
        <f ca="1">SUMIF('Production '!$C$4:$AI$4407,'Tracking Sheet'!B1749,'Production '!$S$4:$S$4407)</f>
        <v>0</v>
      </c>
      <c r="F1749" s="76">
        <f ca="1">SUMIF('Production '!$C$4:$AI$4407,'Tracking Sheet'!B1749,'Production '!$U$4:$U$4407)</f>
        <v>0</v>
      </c>
      <c r="G1749" s="76">
        <f ca="1">SUMIF('Production '!$C$4:$AI$4407,'Tracking Sheet'!B1749,'Production '!$W$4:$W$4407)</f>
        <v>0</v>
      </c>
      <c r="H1749" s="76">
        <f ca="1">SUMIF('Production '!$C$4:$AI$4407,'Tracking Sheet'!B1749,'Production '!$F$4:$F$4407)</f>
        <v>53656</v>
      </c>
      <c r="I1749" s="76">
        <f ca="1">SUMIF('Production '!$C$4:$AI$4407,'Tracking Sheet'!B1749,'Production '!$V$4:$V$4407)</f>
        <v>0</v>
      </c>
      <c r="J1749" s="76">
        <f ca="1">SUMIF('Production '!$C$4:$AI$4407,'Tracking Sheet'!B1749,'Production '!$AG$4:$AG$4407)</f>
        <v>-53656</v>
      </c>
    </row>
    <row r="1750" spans="2:10" x14ac:dyDescent="0.3">
      <c r="B1750" s="277" t="str">
        <f>'Production '!C1753</f>
        <v>41836 10th</v>
      </c>
      <c r="C1750" s="76">
        <f ca="1">SUMIF('Production '!$C$4:$AI$4407,'Tracking Sheet'!B1750,'Production '!$M$4:$M$4407)</f>
        <v>0</v>
      </c>
      <c r="D1750" s="76">
        <f ca="1">SUMIF('Production '!$C$4:$AI$4407,'Tracking Sheet'!B1750,'Production '!$Q$4:$Q$4407)</f>
        <v>0</v>
      </c>
      <c r="E1750" s="76">
        <f ca="1">SUMIF('Production '!$C$4:$AI$4407,'Tracking Sheet'!B1750,'Production '!$S$4:$S$4407)</f>
        <v>0</v>
      </c>
      <c r="F1750" s="76">
        <f ca="1">SUMIF('Production '!$C$4:$AI$4407,'Tracking Sheet'!B1750,'Production '!$U$4:$U$4407)</f>
        <v>0</v>
      </c>
      <c r="G1750" s="76">
        <f ca="1">SUMIF('Production '!$C$4:$AI$4407,'Tracking Sheet'!B1750,'Production '!$W$4:$W$4407)</f>
        <v>0</v>
      </c>
      <c r="H1750" s="76">
        <f ca="1">SUMIF('Production '!$C$4:$AI$4407,'Tracking Sheet'!B1750,'Production '!$F$4:$F$4407)</f>
        <v>53656</v>
      </c>
      <c r="I1750" s="76">
        <f ca="1">SUMIF('Production '!$C$4:$AI$4407,'Tracking Sheet'!B1750,'Production '!$V$4:$V$4407)</f>
        <v>0</v>
      </c>
      <c r="J1750" s="76">
        <f ca="1">SUMIF('Production '!$C$4:$AI$4407,'Tracking Sheet'!B1750,'Production '!$AG$4:$AG$4407)</f>
        <v>-53656</v>
      </c>
    </row>
    <row r="1751" spans="2:10" x14ac:dyDescent="0.3">
      <c r="B1751" s="277" t="str">
        <f>'Production '!C1754</f>
        <v>41836 10th</v>
      </c>
      <c r="C1751" s="76">
        <f ca="1">SUMIF('Production '!$C$4:$AI$4407,'Tracking Sheet'!B1751,'Production '!$M$4:$M$4407)</f>
        <v>0</v>
      </c>
      <c r="D1751" s="76">
        <f ca="1">SUMIF('Production '!$C$4:$AI$4407,'Tracking Sheet'!B1751,'Production '!$Q$4:$Q$4407)</f>
        <v>0</v>
      </c>
      <c r="E1751" s="76">
        <f ca="1">SUMIF('Production '!$C$4:$AI$4407,'Tracking Sheet'!B1751,'Production '!$S$4:$S$4407)</f>
        <v>0</v>
      </c>
      <c r="F1751" s="76">
        <f ca="1">SUMIF('Production '!$C$4:$AI$4407,'Tracking Sheet'!B1751,'Production '!$U$4:$U$4407)</f>
        <v>0</v>
      </c>
      <c r="G1751" s="76">
        <f ca="1">SUMIF('Production '!$C$4:$AI$4407,'Tracking Sheet'!B1751,'Production '!$W$4:$W$4407)</f>
        <v>0</v>
      </c>
      <c r="H1751" s="76">
        <f ca="1">SUMIF('Production '!$C$4:$AI$4407,'Tracking Sheet'!B1751,'Production '!$F$4:$F$4407)</f>
        <v>53656</v>
      </c>
      <c r="I1751" s="76">
        <f ca="1">SUMIF('Production '!$C$4:$AI$4407,'Tracking Sheet'!B1751,'Production '!$V$4:$V$4407)</f>
        <v>0</v>
      </c>
      <c r="J1751" s="76">
        <f ca="1">SUMIF('Production '!$C$4:$AI$4407,'Tracking Sheet'!B1751,'Production '!$AG$4:$AG$4407)</f>
        <v>-53656</v>
      </c>
    </row>
    <row r="1752" spans="2:10" x14ac:dyDescent="0.3">
      <c r="B1752" s="277" t="str">
        <f>'Production '!C1755</f>
        <v>41836 10th</v>
      </c>
      <c r="C1752" s="76">
        <f ca="1">SUMIF('Production '!$C$4:$AI$4407,'Tracking Sheet'!B1752,'Production '!$M$4:$M$4407)</f>
        <v>0</v>
      </c>
      <c r="D1752" s="76">
        <f ca="1">SUMIF('Production '!$C$4:$AI$4407,'Tracking Sheet'!B1752,'Production '!$Q$4:$Q$4407)</f>
        <v>0</v>
      </c>
      <c r="E1752" s="76">
        <f ca="1">SUMIF('Production '!$C$4:$AI$4407,'Tracking Sheet'!B1752,'Production '!$S$4:$S$4407)</f>
        <v>0</v>
      </c>
      <c r="F1752" s="76">
        <f ca="1">SUMIF('Production '!$C$4:$AI$4407,'Tracking Sheet'!B1752,'Production '!$U$4:$U$4407)</f>
        <v>0</v>
      </c>
      <c r="G1752" s="76">
        <f ca="1">SUMIF('Production '!$C$4:$AI$4407,'Tracking Sheet'!B1752,'Production '!$W$4:$W$4407)</f>
        <v>0</v>
      </c>
      <c r="H1752" s="76">
        <f ca="1">SUMIF('Production '!$C$4:$AI$4407,'Tracking Sheet'!B1752,'Production '!$F$4:$F$4407)</f>
        <v>53656</v>
      </c>
      <c r="I1752" s="76">
        <f ca="1">SUMIF('Production '!$C$4:$AI$4407,'Tracking Sheet'!B1752,'Production '!$V$4:$V$4407)</f>
        <v>0</v>
      </c>
      <c r="J1752" s="76">
        <f ca="1">SUMIF('Production '!$C$4:$AI$4407,'Tracking Sheet'!B1752,'Production '!$AG$4:$AG$4407)</f>
        <v>-53656</v>
      </c>
    </row>
    <row r="1753" spans="2:10" x14ac:dyDescent="0.3">
      <c r="B1753" s="277" t="str">
        <f>'Production '!C1756</f>
        <v>41836 10th</v>
      </c>
      <c r="C1753" s="76">
        <f ca="1">SUMIF('Production '!$C$4:$AI$4407,'Tracking Sheet'!B1753,'Production '!$M$4:$M$4407)</f>
        <v>0</v>
      </c>
      <c r="D1753" s="76">
        <f ca="1">SUMIF('Production '!$C$4:$AI$4407,'Tracking Sheet'!B1753,'Production '!$Q$4:$Q$4407)</f>
        <v>0</v>
      </c>
      <c r="E1753" s="76">
        <f ca="1">SUMIF('Production '!$C$4:$AI$4407,'Tracking Sheet'!B1753,'Production '!$S$4:$S$4407)</f>
        <v>0</v>
      </c>
      <c r="F1753" s="76">
        <f ca="1">SUMIF('Production '!$C$4:$AI$4407,'Tracking Sheet'!B1753,'Production '!$U$4:$U$4407)</f>
        <v>0</v>
      </c>
      <c r="G1753" s="76">
        <f ca="1">SUMIF('Production '!$C$4:$AI$4407,'Tracking Sheet'!B1753,'Production '!$W$4:$W$4407)</f>
        <v>0</v>
      </c>
      <c r="H1753" s="76">
        <f ca="1">SUMIF('Production '!$C$4:$AI$4407,'Tracking Sheet'!B1753,'Production '!$F$4:$F$4407)</f>
        <v>53656</v>
      </c>
      <c r="I1753" s="76">
        <f ca="1">SUMIF('Production '!$C$4:$AI$4407,'Tracking Sheet'!B1753,'Production '!$V$4:$V$4407)</f>
        <v>0</v>
      </c>
      <c r="J1753" s="76">
        <f ca="1">SUMIF('Production '!$C$4:$AI$4407,'Tracking Sheet'!B1753,'Production '!$AG$4:$AG$4407)</f>
        <v>-53656</v>
      </c>
    </row>
    <row r="1754" spans="2:10" x14ac:dyDescent="0.3">
      <c r="B1754" s="277" t="str">
        <f>'Production '!C1757</f>
        <v>41836 10th</v>
      </c>
      <c r="C1754" s="76">
        <f ca="1">SUMIF('Production '!$C$4:$AI$4407,'Tracking Sheet'!B1754,'Production '!$M$4:$M$4407)</f>
        <v>0</v>
      </c>
      <c r="D1754" s="76">
        <f ca="1">SUMIF('Production '!$C$4:$AI$4407,'Tracking Sheet'!B1754,'Production '!$Q$4:$Q$4407)</f>
        <v>0</v>
      </c>
      <c r="E1754" s="76">
        <f ca="1">SUMIF('Production '!$C$4:$AI$4407,'Tracking Sheet'!B1754,'Production '!$S$4:$S$4407)</f>
        <v>0</v>
      </c>
      <c r="F1754" s="76">
        <f ca="1">SUMIF('Production '!$C$4:$AI$4407,'Tracking Sheet'!B1754,'Production '!$U$4:$U$4407)</f>
        <v>0</v>
      </c>
      <c r="G1754" s="76">
        <f ca="1">SUMIF('Production '!$C$4:$AI$4407,'Tracking Sheet'!B1754,'Production '!$W$4:$W$4407)</f>
        <v>0</v>
      </c>
      <c r="H1754" s="76">
        <f ca="1">SUMIF('Production '!$C$4:$AI$4407,'Tracking Sheet'!B1754,'Production '!$F$4:$F$4407)</f>
        <v>53656</v>
      </c>
      <c r="I1754" s="76">
        <f ca="1">SUMIF('Production '!$C$4:$AI$4407,'Tracking Sheet'!B1754,'Production '!$V$4:$V$4407)</f>
        <v>0</v>
      </c>
      <c r="J1754" s="76">
        <f ca="1">SUMIF('Production '!$C$4:$AI$4407,'Tracking Sheet'!B1754,'Production '!$AG$4:$AG$4407)</f>
        <v>-53656</v>
      </c>
    </row>
    <row r="1755" spans="2:10" x14ac:dyDescent="0.3">
      <c r="B1755" s="277" t="str">
        <f>'Production '!C1758</f>
        <v>41836 10th</v>
      </c>
      <c r="C1755" s="76">
        <f ca="1">SUMIF('Production '!$C$4:$AI$4407,'Tracking Sheet'!B1755,'Production '!$M$4:$M$4407)</f>
        <v>0</v>
      </c>
      <c r="D1755" s="76">
        <f ca="1">SUMIF('Production '!$C$4:$AI$4407,'Tracking Sheet'!B1755,'Production '!$Q$4:$Q$4407)</f>
        <v>0</v>
      </c>
      <c r="E1755" s="76">
        <f ca="1">SUMIF('Production '!$C$4:$AI$4407,'Tracking Sheet'!B1755,'Production '!$S$4:$S$4407)</f>
        <v>0</v>
      </c>
      <c r="F1755" s="76">
        <f ca="1">SUMIF('Production '!$C$4:$AI$4407,'Tracking Sheet'!B1755,'Production '!$U$4:$U$4407)</f>
        <v>0</v>
      </c>
      <c r="G1755" s="76">
        <f ca="1">SUMIF('Production '!$C$4:$AI$4407,'Tracking Sheet'!B1755,'Production '!$W$4:$W$4407)</f>
        <v>0</v>
      </c>
      <c r="H1755" s="76">
        <f ca="1">SUMIF('Production '!$C$4:$AI$4407,'Tracking Sheet'!B1755,'Production '!$F$4:$F$4407)</f>
        <v>53656</v>
      </c>
      <c r="I1755" s="76">
        <f ca="1">SUMIF('Production '!$C$4:$AI$4407,'Tracking Sheet'!B1755,'Production '!$V$4:$V$4407)</f>
        <v>0</v>
      </c>
      <c r="J1755" s="76">
        <f ca="1">SUMIF('Production '!$C$4:$AI$4407,'Tracking Sheet'!B1755,'Production '!$AG$4:$AG$4407)</f>
        <v>-53656</v>
      </c>
    </row>
    <row r="1756" spans="2:10" x14ac:dyDescent="0.3">
      <c r="B1756" s="277" t="str">
        <f>'Production '!C1759</f>
        <v>41836 10th</v>
      </c>
      <c r="C1756" s="76">
        <f ca="1">SUMIF('Production '!$C$4:$AI$4407,'Tracking Sheet'!B1756,'Production '!$M$4:$M$4407)</f>
        <v>0</v>
      </c>
      <c r="D1756" s="76">
        <f ca="1">SUMIF('Production '!$C$4:$AI$4407,'Tracking Sheet'!B1756,'Production '!$Q$4:$Q$4407)</f>
        <v>0</v>
      </c>
      <c r="E1756" s="76">
        <f ca="1">SUMIF('Production '!$C$4:$AI$4407,'Tracking Sheet'!B1756,'Production '!$S$4:$S$4407)</f>
        <v>0</v>
      </c>
      <c r="F1756" s="76">
        <f ca="1">SUMIF('Production '!$C$4:$AI$4407,'Tracking Sheet'!B1756,'Production '!$U$4:$U$4407)</f>
        <v>0</v>
      </c>
      <c r="G1756" s="76">
        <f ca="1">SUMIF('Production '!$C$4:$AI$4407,'Tracking Sheet'!B1756,'Production '!$W$4:$W$4407)</f>
        <v>0</v>
      </c>
      <c r="H1756" s="76">
        <f ca="1">SUMIF('Production '!$C$4:$AI$4407,'Tracking Sheet'!B1756,'Production '!$F$4:$F$4407)</f>
        <v>53656</v>
      </c>
      <c r="I1756" s="76">
        <f ca="1">SUMIF('Production '!$C$4:$AI$4407,'Tracking Sheet'!B1756,'Production '!$V$4:$V$4407)</f>
        <v>0</v>
      </c>
      <c r="J1756" s="76">
        <f ca="1">SUMIF('Production '!$C$4:$AI$4407,'Tracking Sheet'!B1756,'Production '!$AG$4:$AG$4407)</f>
        <v>-53656</v>
      </c>
    </row>
    <row r="1757" spans="2:10" x14ac:dyDescent="0.3">
      <c r="B1757" s="277">
        <f>'Production '!C1760</f>
        <v>0</v>
      </c>
      <c r="C1757" s="76" t="e">
        <f ca="1">SUMIF('Production '!$C$4:$AI$4407,'Tracking Sheet'!B1757,'Production '!$M$4:$M$4407)</f>
        <v>#DIV/0!</v>
      </c>
      <c r="D1757" s="76" t="e">
        <f ca="1">SUMIF('Production '!$C$4:$AI$4407,'Tracking Sheet'!B1757,'Production '!$Q$4:$Q$4407)</f>
        <v>#DIV/0!</v>
      </c>
      <c r="E1757" s="76">
        <f ca="1">SUMIF('Production '!$C$4:$AI$4407,'Tracking Sheet'!B1757,'Production '!$S$4:$S$4407)</f>
        <v>-1268218.9828305368</v>
      </c>
      <c r="F1757" s="76">
        <f ca="1">SUMIF('Production '!$C$4:$AI$4407,'Tracking Sheet'!B1757,'Production '!$U$4:$U$4407)</f>
        <v>-10620.435600016917</v>
      </c>
      <c r="G1757" s="76" t="e">
        <f ca="1">SUMIF('Production '!$C$4:$AI$4407,'Tracking Sheet'!B1757,'Production '!$W$4:$W$4407)</f>
        <v>#DIV/0!</v>
      </c>
      <c r="H1757" s="76">
        <f ca="1">SUMIF('Production '!$C$4:$AI$4407,'Tracking Sheet'!B1757,'Production '!$F$4:$F$4407)</f>
        <v>3230621.3283604058</v>
      </c>
      <c r="I1757" s="76">
        <f ca="1">SUMIF('Production '!$C$4:$AI$4407,'Tracking Sheet'!B1757,'Production '!$V$4:$V$4407)</f>
        <v>-489.86487791182844</v>
      </c>
      <c r="J1757" s="76">
        <f ca="1">SUMIF('Production '!$C$4:$AI$4407,'Tracking Sheet'!B1757,'Production '!$AG$4:$AG$4407)</f>
        <v>0</v>
      </c>
    </row>
    <row r="1758" spans="2:10" x14ac:dyDescent="0.3">
      <c r="B1758" s="277" t="str">
        <f>'Production '!C1761</f>
        <v>41836 11th</v>
      </c>
      <c r="C1758" s="76">
        <f ca="1">SUMIF('Production '!$C$4:$AI$4407,'Tracking Sheet'!B1758,'Production '!$M$4:$M$4407)</f>
        <v>0</v>
      </c>
      <c r="D1758" s="76">
        <f ca="1">SUMIF('Production '!$C$4:$AI$4407,'Tracking Sheet'!B1758,'Production '!$Q$4:$Q$4407)</f>
        <v>0</v>
      </c>
      <c r="E1758" s="76">
        <f ca="1">SUMIF('Production '!$C$4:$AI$4407,'Tracking Sheet'!B1758,'Production '!$S$4:$S$4407)</f>
        <v>0</v>
      </c>
      <c r="F1758" s="76">
        <f ca="1">SUMIF('Production '!$C$4:$AI$4407,'Tracking Sheet'!B1758,'Production '!$U$4:$U$4407)</f>
        <v>0</v>
      </c>
      <c r="G1758" s="76">
        <f ca="1">SUMIF('Production '!$C$4:$AI$4407,'Tracking Sheet'!B1758,'Production '!$W$4:$W$4407)</f>
        <v>0</v>
      </c>
      <c r="H1758" s="76">
        <f ca="1">SUMIF('Production '!$C$4:$AI$4407,'Tracking Sheet'!B1758,'Production '!$F$4:$F$4407)</f>
        <v>7366</v>
      </c>
      <c r="I1758" s="76">
        <f ca="1">SUMIF('Production '!$C$4:$AI$4407,'Tracking Sheet'!B1758,'Production '!$V$4:$V$4407)</f>
        <v>0</v>
      </c>
      <c r="J1758" s="76">
        <f ca="1">SUMIF('Production '!$C$4:$AI$4407,'Tracking Sheet'!B1758,'Production '!$AG$4:$AG$4407)</f>
        <v>-7366</v>
      </c>
    </row>
    <row r="1759" spans="2:10" x14ac:dyDescent="0.3">
      <c r="B1759" s="277" t="str">
        <f>'Production '!C1762</f>
        <v>41836 11th</v>
      </c>
      <c r="C1759" s="76">
        <f ca="1">SUMIF('Production '!$C$4:$AI$4407,'Tracking Sheet'!B1759,'Production '!$M$4:$M$4407)</f>
        <v>0</v>
      </c>
      <c r="D1759" s="76">
        <f ca="1">SUMIF('Production '!$C$4:$AI$4407,'Tracking Sheet'!B1759,'Production '!$Q$4:$Q$4407)</f>
        <v>0</v>
      </c>
      <c r="E1759" s="76">
        <f ca="1">SUMIF('Production '!$C$4:$AI$4407,'Tracking Sheet'!B1759,'Production '!$S$4:$S$4407)</f>
        <v>0</v>
      </c>
      <c r="F1759" s="76">
        <f ca="1">SUMIF('Production '!$C$4:$AI$4407,'Tracking Sheet'!B1759,'Production '!$U$4:$U$4407)</f>
        <v>0</v>
      </c>
      <c r="G1759" s="76">
        <f ca="1">SUMIF('Production '!$C$4:$AI$4407,'Tracking Sheet'!B1759,'Production '!$W$4:$W$4407)</f>
        <v>0</v>
      </c>
      <c r="H1759" s="76">
        <f ca="1">SUMIF('Production '!$C$4:$AI$4407,'Tracking Sheet'!B1759,'Production '!$F$4:$F$4407)</f>
        <v>7366</v>
      </c>
      <c r="I1759" s="76">
        <f ca="1">SUMIF('Production '!$C$4:$AI$4407,'Tracking Sheet'!B1759,'Production '!$V$4:$V$4407)</f>
        <v>0</v>
      </c>
      <c r="J1759" s="76">
        <f ca="1">SUMIF('Production '!$C$4:$AI$4407,'Tracking Sheet'!B1759,'Production '!$AG$4:$AG$4407)</f>
        <v>-7366</v>
      </c>
    </row>
    <row r="1760" spans="2:10" x14ac:dyDescent="0.3">
      <c r="B1760" s="277" t="str">
        <f>'Production '!C1763</f>
        <v>41836 11th</v>
      </c>
      <c r="C1760" s="76">
        <f ca="1">SUMIF('Production '!$C$4:$AI$4407,'Tracking Sheet'!B1760,'Production '!$M$4:$M$4407)</f>
        <v>0</v>
      </c>
      <c r="D1760" s="76">
        <f ca="1">SUMIF('Production '!$C$4:$AI$4407,'Tracking Sheet'!B1760,'Production '!$Q$4:$Q$4407)</f>
        <v>0</v>
      </c>
      <c r="E1760" s="76">
        <f ca="1">SUMIF('Production '!$C$4:$AI$4407,'Tracking Sheet'!B1760,'Production '!$S$4:$S$4407)</f>
        <v>0</v>
      </c>
      <c r="F1760" s="76">
        <f ca="1">SUMIF('Production '!$C$4:$AI$4407,'Tracking Sheet'!B1760,'Production '!$U$4:$U$4407)</f>
        <v>0</v>
      </c>
      <c r="G1760" s="76">
        <f ca="1">SUMIF('Production '!$C$4:$AI$4407,'Tracking Sheet'!B1760,'Production '!$W$4:$W$4407)</f>
        <v>0</v>
      </c>
      <c r="H1760" s="76">
        <f ca="1">SUMIF('Production '!$C$4:$AI$4407,'Tracking Sheet'!B1760,'Production '!$F$4:$F$4407)</f>
        <v>7366</v>
      </c>
      <c r="I1760" s="76">
        <f ca="1">SUMIF('Production '!$C$4:$AI$4407,'Tracking Sheet'!B1760,'Production '!$V$4:$V$4407)</f>
        <v>0</v>
      </c>
      <c r="J1760" s="76">
        <f ca="1">SUMIF('Production '!$C$4:$AI$4407,'Tracking Sheet'!B1760,'Production '!$AG$4:$AG$4407)</f>
        <v>-7366</v>
      </c>
    </row>
    <row r="1761" spans="2:10" x14ac:dyDescent="0.3">
      <c r="B1761" s="277" t="str">
        <f>'Production '!C1764</f>
        <v>41836 11th</v>
      </c>
      <c r="C1761" s="76">
        <f ca="1">SUMIF('Production '!$C$4:$AI$4407,'Tracking Sheet'!B1761,'Production '!$M$4:$M$4407)</f>
        <v>0</v>
      </c>
      <c r="D1761" s="76">
        <f ca="1">SUMIF('Production '!$C$4:$AI$4407,'Tracking Sheet'!B1761,'Production '!$Q$4:$Q$4407)</f>
        <v>0</v>
      </c>
      <c r="E1761" s="76">
        <f ca="1">SUMIF('Production '!$C$4:$AI$4407,'Tracking Sheet'!B1761,'Production '!$S$4:$S$4407)</f>
        <v>0</v>
      </c>
      <c r="F1761" s="76">
        <f ca="1">SUMIF('Production '!$C$4:$AI$4407,'Tracking Sheet'!B1761,'Production '!$U$4:$U$4407)</f>
        <v>0</v>
      </c>
      <c r="G1761" s="76">
        <f ca="1">SUMIF('Production '!$C$4:$AI$4407,'Tracking Sheet'!B1761,'Production '!$W$4:$W$4407)</f>
        <v>0</v>
      </c>
      <c r="H1761" s="76">
        <f ca="1">SUMIF('Production '!$C$4:$AI$4407,'Tracking Sheet'!B1761,'Production '!$F$4:$F$4407)</f>
        <v>7366</v>
      </c>
      <c r="I1761" s="76">
        <f ca="1">SUMIF('Production '!$C$4:$AI$4407,'Tracking Sheet'!B1761,'Production '!$V$4:$V$4407)</f>
        <v>0</v>
      </c>
      <c r="J1761" s="76">
        <f ca="1">SUMIF('Production '!$C$4:$AI$4407,'Tracking Sheet'!B1761,'Production '!$AG$4:$AG$4407)</f>
        <v>-7366</v>
      </c>
    </row>
    <row r="1762" spans="2:10" x14ac:dyDescent="0.3">
      <c r="B1762" s="277" t="str">
        <f>'Production '!C1765</f>
        <v>41836 11th</v>
      </c>
      <c r="C1762" s="76">
        <f ca="1">SUMIF('Production '!$C$4:$AI$4407,'Tracking Sheet'!B1762,'Production '!$M$4:$M$4407)</f>
        <v>0</v>
      </c>
      <c r="D1762" s="76">
        <f ca="1">SUMIF('Production '!$C$4:$AI$4407,'Tracking Sheet'!B1762,'Production '!$Q$4:$Q$4407)</f>
        <v>0</v>
      </c>
      <c r="E1762" s="76">
        <f ca="1">SUMIF('Production '!$C$4:$AI$4407,'Tracking Sheet'!B1762,'Production '!$S$4:$S$4407)</f>
        <v>0</v>
      </c>
      <c r="F1762" s="76">
        <f ca="1">SUMIF('Production '!$C$4:$AI$4407,'Tracking Sheet'!B1762,'Production '!$U$4:$U$4407)</f>
        <v>0</v>
      </c>
      <c r="G1762" s="76">
        <f ca="1">SUMIF('Production '!$C$4:$AI$4407,'Tracking Sheet'!B1762,'Production '!$W$4:$W$4407)</f>
        <v>0</v>
      </c>
      <c r="H1762" s="76">
        <f ca="1">SUMIF('Production '!$C$4:$AI$4407,'Tracking Sheet'!B1762,'Production '!$F$4:$F$4407)</f>
        <v>7366</v>
      </c>
      <c r="I1762" s="76">
        <f ca="1">SUMIF('Production '!$C$4:$AI$4407,'Tracking Sheet'!B1762,'Production '!$V$4:$V$4407)</f>
        <v>0</v>
      </c>
      <c r="J1762" s="76">
        <f ca="1">SUMIF('Production '!$C$4:$AI$4407,'Tracking Sheet'!B1762,'Production '!$AG$4:$AG$4407)</f>
        <v>-7366</v>
      </c>
    </row>
    <row r="1763" spans="2:10" x14ac:dyDescent="0.3">
      <c r="B1763" s="277" t="str">
        <f>'Production '!C1766</f>
        <v>41836 11th</v>
      </c>
      <c r="C1763" s="76">
        <f ca="1">SUMIF('Production '!$C$4:$AI$4407,'Tracking Sheet'!B1763,'Production '!$M$4:$M$4407)</f>
        <v>0</v>
      </c>
      <c r="D1763" s="76">
        <f ca="1">SUMIF('Production '!$C$4:$AI$4407,'Tracking Sheet'!B1763,'Production '!$Q$4:$Q$4407)</f>
        <v>0</v>
      </c>
      <c r="E1763" s="76">
        <f ca="1">SUMIF('Production '!$C$4:$AI$4407,'Tracking Sheet'!B1763,'Production '!$S$4:$S$4407)</f>
        <v>0</v>
      </c>
      <c r="F1763" s="76">
        <f ca="1">SUMIF('Production '!$C$4:$AI$4407,'Tracking Sheet'!B1763,'Production '!$U$4:$U$4407)</f>
        <v>0</v>
      </c>
      <c r="G1763" s="76">
        <f ca="1">SUMIF('Production '!$C$4:$AI$4407,'Tracking Sheet'!B1763,'Production '!$W$4:$W$4407)</f>
        <v>0</v>
      </c>
      <c r="H1763" s="76">
        <f ca="1">SUMIF('Production '!$C$4:$AI$4407,'Tracking Sheet'!B1763,'Production '!$F$4:$F$4407)</f>
        <v>7366</v>
      </c>
      <c r="I1763" s="76">
        <f ca="1">SUMIF('Production '!$C$4:$AI$4407,'Tracking Sheet'!B1763,'Production '!$V$4:$V$4407)</f>
        <v>0</v>
      </c>
      <c r="J1763" s="76">
        <f ca="1">SUMIF('Production '!$C$4:$AI$4407,'Tracking Sheet'!B1763,'Production '!$AG$4:$AG$4407)</f>
        <v>-7366</v>
      </c>
    </row>
    <row r="1764" spans="2:10" x14ac:dyDescent="0.3">
      <c r="B1764" s="277" t="str">
        <f>'Production '!C1767</f>
        <v>41836 11th</v>
      </c>
      <c r="C1764" s="76">
        <f ca="1">SUMIF('Production '!$C$4:$AI$4407,'Tracking Sheet'!B1764,'Production '!$M$4:$M$4407)</f>
        <v>0</v>
      </c>
      <c r="D1764" s="76">
        <f ca="1">SUMIF('Production '!$C$4:$AI$4407,'Tracking Sheet'!B1764,'Production '!$Q$4:$Q$4407)</f>
        <v>0</v>
      </c>
      <c r="E1764" s="76">
        <f ca="1">SUMIF('Production '!$C$4:$AI$4407,'Tracking Sheet'!B1764,'Production '!$S$4:$S$4407)</f>
        <v>0</v>
      </c>
      <c r="F1764" s="76">
        <f ca="1">SUMIF('Production '!$C$4:$AI$4407,'Tracking Sheet'!B1764,'Production '!$U$4:$U$4407)</f>
        <v>0</v>
      </c>
      <c r="G1764" s="76">
        <f ca="1">SUMIF('Production '!$C$4:$AI$4407,'Tracking Sheet'!B1764,'Production '!$W$4:$W$4407)</f>
        <v>0</v>
      </c>
      <c r="H1764" s="76">
        <f ca="1">SUMIF('Production '!$C$4:$AI$4407,'Tracking Sheet'!B1764,'Production '!$F$4:$F$4407)</f>
        <v>7366</v>
      </c>
      <c r="I1764" s="76">
        <f ca="1">SUMIF('Production '!$C$4:$AI$4407,'Tracking Sheet'!B1764,'Production '!$V$4:$V$4407)</f>
        <v>0</v>
      </c>
      <c r="J1764" s="76">
        <f ca="1">SUMIF('Production '!$C$4:$AI$4407,'Tracking Sheet'!B1764,'Production '!$AG$4:$AG$4407)</f>
        <v>-7366</v>
      </c>
    </row>
    <row r="1765" spans="2:10" x14ac:dyDescent="0.3">
      <c r="B1765" s="277">
        <f>'Production '!C1768</f>
        <v>0</v>
      </c>
      <c r="C1765" s="76" t="e">
        <f ca="1">SUMIF('Production '!$C$4:$AI$4407,'Tracking Sheet'!B1765,'Production '!$M$4:$M$4407)</f>
        <v>#DIV/0!</v>
      </c>
      <c r="D1765" s="76" t="e">
        <f ca="1">SUMIF('Production '!$C$4:$AI$4407,'Tracking Sheet'!B1765,'Production '!$Q$4:$Q$4407)</f>
        <v>#DIV/0!</v>
      </c>
      <c r="E1765" s="76">
        <f ca="1">SUMIF('Production '!$C$4:$AI$4407,'Tracking Sheet'!B1765,'Production '!$S$4:$S$4407)</f>
        <v>-1268218.9828305368</v>
      </c>
      <c r="F1765" s="76">
        <f ca="1">SUMIF('Production '!$C$4:$AI$4407,'Tracking Sheet'!B1765,'Production '!$U$4:$U$4407)</f>
        <v>-10620.435600016917</v>
      </c>
      <c r="G1765" s="76" t="e">
        <f ca="1">SUMIF('Production '!$C$4:$AI$4407,'Tracking Sheet'!B1765,'Production '!$W$4:$W$4407)</f>
        <v>#DIV/0!</v>
      </c>
      <c r="H1765" s="76">
        <f ca="1">SUMIF('Production '!$C$4:$AI$4407,'Tracking Sheet'!B1765,'Production '!$F$4:$F$4407)</f>
        <v>3230621.3283604058</v>
      </c>
      <c r="I1765" s="76">
        <f ca="1">SUMIF('Production '!$C$4:$AI$4407,'Tracking Sheet'!B1765,'Production '!$V$4:$V$4407)</f>
        <v>-489.86487791182844</v>
      </c>
      <c r="J1765" s="76">
        <f ca="1">SUMIF('Production '!$C$4:$AI$4407,'Tracking Sheet'!B1765,'Production '!$AG$4:$AG$4407)</f>
        <v>0</v>
      </c>
    </row>
    <row r="1766" spans="2:10" x14ac:dyDescent="0.3">
      <c r="B1766" s="277">
        <f>'Production '!C1769</f>
        <v>48160</v>
      </c>
      <c r="C1766" s="76">
        <f ca="1">SUMIF('Production '!$C$4:$AI$4407,'Tracking Sheet'!B1766,'Production '!$M$4:$M$4407)</f>
        <v>4775</v>
      </c>
      <c r="D1766" s="76">
        <f ca="1">SUMIF('Production '!$C$4:$AI$4407,'Tracking Sheet'!B1766,'Production '!$Q$4:$Q$4407)</f>
        <v>4775</v>
      </c>
      <c r="E1766" s="76">
        <f ca="1">SUMIF('Production '!$C$4:$AI$4407,'Tracking Sheet'!B1766,'Production '!$S$4:$S$4407)</f>
        <v>0</v>
      </c>
      <c r="F1766" s="76">
        <f ca="1">SUMIF('Production '!$C$4:$AI$4407,'Tracking Sheet'!B1766,'Production '!$U$4:$U$4407)</f>
        <v>0</v>
      </c>
      <c r="G1766" s="76">
        <f ca="1">SUMIF('Production '!$C$4:$AI$4407,'Tracking Sheet'!B1766,'Production '!$W$4:$W$4407)</f>
        <v>0</v>
      </c>
      <c r="H1766" s="76">
        <f ca="1">SUMIF('Production '!$C$4:$AI$4407,'Tracking Sheet'!B1766,'Production '!$F$4:$F$4407)</f>
        <v>4647</v>
      </c>
      <c r="I1766" s="76">
        <f ca="1">SUMIF('Production '!$C$4:$AI$4407,'Tracking Sheet'!B1766,'Production '!$V$4:$V$4407)</f>
        <v>0</v>
      </c>
      <c r="J1766" s="76">
        <f ca="1">SUMIF('Production '!$C$4:$AI$4407,'Tracking Sheet'!B1766,'Production '!$AG$4:$AG$4407)</f>
        <v>0</v>
      </c>
    </row>
    <row r="1767" spans="2:10" x14ac:dyDescent="0.3">
      <c r="B1767" s="277">
        <f>'Production '!C1770</f>
        <v>48160</v>
      </c>
      <c r="C1767" s="76">
        <f ca="1">SUMIF('Production '!$C$4:$AI$4407,'Tracking Sheet'!B1767,'Production '!$M$4:$M$4407)</f>
        <v>4775</v>
      </c>
      <c r="D1767" s="76">
        <f ca="1">SUMIF('Production '!$C$4:$AI$4407,'Tracking Sheet'!B1767,'Production '!$Q$4:$Q$4407)</f>
        <v>4775</v>
      </c>
      <c r="E1767" s="76">
        <f ca="1">SUMIF('Production '!$C$4:$AI$4407,'Tracking Sheet'!B1767,'Production '!$S$4:$S$4407)</f>
        <v>0</v>
      </c>
      <c r="F1767" s="76">
        <f ca="1">SUMIF('Production '!$C$4:$AI$4407,'Tracking Sheet'!B1767,'Production '!$U$4:$U$4407)</f>
        <v>0</v>
      </c>
      <c r="G1767" s="76">
        <f ca="1">SUMIF('Production '!$C$4:$AI$4407,'Tracking Sheet'!B1767,'Production '!$W$4:$W$4407)</f>
        <v>0</v>
      </c>
      <c r="H1767" s="76">
        <f ca="1">SUMIF('Production '!$C$4:$AI$4407,'Tracking Sheet'!B1767,'Production '!$F$4:$F$4407)</f>
        <v>4647</v>
      </c>
      <c r="I1767" s="76">
        <f ca="1">SUMIF('Production '!$C$4:$AI$4407,'Tracking Sheet'!B1767,'Production '!$V$4:$V$4407)</f>
        <v>0</v>
      </c>
      <c r="J1767" s="76">
        <f ca="1">SUMIF('Production '!$C$4:$AI$4407,'Tracking Sheet'!B1767,'Production '!$AG$4:$AG$4407)</f>
        <v>0</v>
      </c>
    </row>
    <row r="1768" spans="2:10" x14ac:dyDescent="0.3">
      <c r="B1768" s="277">
        <f>'Production '!C1771</f>
        <v>48160</v>
      </c>
      <c r="C1768" s="76">
        <f ca="1">SUMIF('Production '!$C$4:$AI$4407,'Tracking Sheet'!B1768,'Production '!$M$4:$M$4407)</f>
        <v>4775</v>
      </c>
      <c r="D1768" s="76">
        <f ca="1">SUMIF('Production '!$C$4:$AI$4407,'Tracking Sheet'!B1768,'Production '!$Q$4:$Q$4407)</f>
        <v>4775</v>
      </c>
      <c r="E1768" s="76">
        <f ca="1">SUMIF('Production '!$C$4:$AI$4407,'Tracking Sheet'!B1768,'Production '!$S$4:$S$4407)</f>
        <v>0</v>
      </c>
      <c r="F1768" s="76">
        <f ca="1">SUMIF('Production '!$C$4:$AI$4407,'Tracking Sheet'!B1768,'Production '!$U$4:$U$4407)</f>
        <v>0</v>
      </c>
      <c r="G1768" s="76">
        <f ca="1">SUMIF('Production '!$C$4:$AI$4407,'Tracking Sheet'!B1768,'Production '!$W$4:$W$4407)</f>
        <v>0</v>
      </c>
      <c r="H1768" s="76">
        <f ca="1">SUMIF('Production '!$C$4:$AI$4407,'Tracking Sheet'!B1768,'Production '!$F$4:$F$4407)</f>
        <v>4647</v>
      </c>
      <c r="I1768" s="76">
        <f ca="1">SUMIF('Production '!$C$4:$AI$4407,'Tracking Sheet'!B1768,'Production '!$V$4:$V$4407)</f>
        <v>0</v>
      </c>
      <c r="J1768" s="76">
        <f ca="1">SUMIF('Production '!$C$4:$AI$4407,'Tracking Sheet'!B1768,'Production '!$AG$4:$AG$4407)</f>
        <v>0</v>
      </c>
    </row>
    <row r="1769" spans="2:10" x14ac:dyDescent="0.3">
      <c r="B1769" s="277">
        <f>'Production '!C1772</f>
        <v>48160</v>
      </c>
      <c r="C1769" s="76">
        <f ca="1">SUMIF('Production '!$C$4:$AI$4407,'Tracking Sheet'!B1769,'Production '!$M$4:$M$4407)</f>
        <v>4775</v>
      </c>
      <c r="D1769" s="76">
        <f ca="1">SUMIF('Production '!$C$4:$AI$4407,'Tracking Sheet'!B1769,'Production '!$Q$4:$Q$4407)</f>
        <v>4775</v>
      </c>
      <c r="E1769" s="76">
        <f ca="1">SUMIF('Production '!$C$4:$AI$4407,'Tracking Sheet'!B1769,'Production '!$S$4:$S$4407)</f>
        <v>0</v>
      </c>
      <c r="F1769" s="76">
        <f ca="1">SUMIF('Production '!$C$4:$AI$4407,'Tracking Sheet'!B1769,'Production '!$U$4:$U$4407)</f>
        <v>0</v>
      </c>
      <c r="G1769" s="76">
        <f ca="1">SUMIF('Production '!$C$4:$AI$4407,'Tracking Sheet'!B1769,'Production '!$W$4:$W$4407)</f>
        <v>0</v>
      </c>
      <c r="H1769" s="76">
        <f ca="1">SUMIF('Production '!$C$4:$AI$4407,'Tracking Sheet'!B1769,'Production '!$F$4:$F$4407)</f>
        <v>4647</v>
      </c>
      <c r="I1769" s="76">
        <f ca="1">SUMIF('Production '!$C$4:$AI$4407,'Tracking Sheet'!B1769,'Production '!$V$4:$V$4407)</f>
        <v>0</v>
      </c>
      <c r="J1769" s="76">
        <f ca="1">SUMIF('Production '!$C$4:$AI$4407,'Tracking Sheet'!B1769,'Production '!$AG$4:$AG$4407)</f>
        <v>0</v>
      </c>
    </row>
    <row r="1770" spans="2:10" x14ac:dyDescent="0.3">
      <c r="B1770" s="277">
        <f>'Production '!C1773</f>
        <v>0</v>
      </c>
      <c r="C1770" s="76" t="e">
        <f ca="1">SUMIF('Production '!$C$4:$AI$4407,'Tracking Sheet'!B1770,'Production '!$M$4:$M$4407)</f>
        <v>#DIV/0!</v>
      </c>
      <c r="D1770" s="76" t="e">
        <f ca="1">SUMIF('Production '!$C$4:$AI$4407,'Tracking Sheet'!B1770,'Production '!$Q$4:$Q$4407)</f>
        <v>#DIV/0!</v>
      </c>
      <c r="E1770" s="76">
        <f ca="1">SUMIF('Production '!$C$4:$AI$4407,'Tracking Sheet'!B1770,'Production '!$S$4:$S$4407)</f>
        <v>-1268218.9828305368</v>
      </c>
      <c r="F1770" s="76">
        <f ca="1">SUMIF('Production '!$C$4:$AI$4407,'Tracking Sheet'!B1770,'Production '!$U$4:$U$4407)</f>
        <v>-10620.435600016917</v>
      </c>
      <c r="G1770" s="76" t="e">
        <f ca="1">SUMIF('Production '!$C$4:$AI$4407,'Tracking Sheet'!B1770,'Production '!$W$4:$W$4407)</f>
        <v>#DIV/0!</v>
      </c>
      <c r="H1770" s="76">
        <f ca="1">SUMIF('Production '!$C$4:$AI$4407,'Tracking Sheet'!B1770,'Production '!$F$4:$F$4407)</f>
        <v>3230621.3283604058</v>
      </c>
      <c r="I1770" s="76">
        <f ca="1">SUMIF('Production '!$C$4:$AI$4407,'Tracking Sheet'!B1770,'Production '!$V$4:$V$4407)</f>
        <v>-489.86487791182844</v>
      </c>
      <c r="J1770" s="76">
        <f ca="1">SUMIF('Production '!$C$4:$AI$4407,'Tracking Sheet'!B1770,'Production '!$AG$4:$AG$4407)</f>
        <v>0</v>
      </c>
    </row>
    <row r="1771" spans="2:10" x14ac:dyDescent="0.3">
      <c r="B1771" s="277">
        <f>'Production '!C1774</f>
        <v>48210</v>
      </c>
      <c r="C1771" s="76">
        <f ca="1">SUMIF('Production '!$C$4:$AI$4407,'Tracking Sheet'!B1771,'Production '!$M$4:$M$4407)</f>
        <v>908</v>
      </c>
      <c r="D1771" s="76">
        <f ca="1">SUMIF('Production '!$C$4:$AI$4407,'Tracking Sheet'!B1771,'Production '!$Q$4:$Q$4407)</f>
        <v>0</v>
      </c>
      <c r="E1771" s="76">
        <f ca="1">SUMIF('Production '!$C$4:$AI$4407,'Tracking Sheet'!B1771,'Production '!$S$4:$S$4407)</f>
        <v>0</v>
      </c>
      <c r="F1771" s="76">
        <f ca="1">SUMIF('Production '!$C$4:$AI$4407,'Tracking Sheet'!B1771,'Production '!$U$4:$U$4407)</f>
        <v>908</v>
      </c>
      <c r="G1771" s="76">
        <f ca="1">SUMIF('Production '!$C$4:$AI$4407,'Tracking Sheet'!B1771,'Production '!$W$4:$W$4407)</f>
        <v>0</v>
      </c>
      <c r="H1771" s="76">
        <f ca="1">SUMIF('Production '!$C$4:$AI$4407,'Tracking Sheet'!B1771,'Production '!$F$4:$F$4407)</f>
        <v>856</v>
      </c>
      <c r="I1771" s="76">
        <f ca="1">SUMIF('Production '!$C$4:$AI$4407,'Tracking Sheet'!B1771,'Production '!$V$4:$V$4407)</f>
        <v>0</v>
      </c>
      <c r="J1771" s="76">
        <f ca="1">SUMIF('Production '!$C$4:$AI$4407,'Tracking Sheet'!B1771,'Production '!$AG$4:$AG$4407)</f>
        <v>0</v>
      </c>
    </row>
    <row r="1772" spans="2:10" x14ac:dyDescent="0.3">
      <c r="B1772" s="277">
        <f>'Production '!C1775</f>
        <v>48210</v>
      </c>
      <c r="C1772" s="76">
        <f ca="1">SUMIF('Production '!$C$4:$AI$4407,'Tracking Sheet'!B1772,'Production '!$M$4:$M$4407)</f>
        <v>908</v>
      </c>
      <c r="D1772" s="76">
        <f ca="1">SUMIF('Production '!$C$4:$AI$4407,'Tracking Sheet'!B1772,'Production '!$Q$4:$Q$4407)</f>
        <v>0</v>
      </c>
      <c r="E1772" s="76">
        <f ca="1">SUMIF('Production '!$C$4:$AI$4407,'Tracking Sheet'!B1772,'Production '!$S$4:$S$4407)</f>
        <v>0</v>
      </c>
      <c r="F1772" s="76">
        <f ca="1">SUMIF('Production '!$C$4:$AI$4407,'Tracking Sheet'!B1772,'Production '!$U$4:$U$4407)</f>
        <v>908</v>
      </c>
      <c r="G1772" s="76">
        <f ca="1">SUMIF('Production '!$C$4:$AI$4407,'Tracking Sheet'!B1772,'Production '!$W$4:$W$4407)</f>
        <v>0</v>
      </c>
      <c r="H1772" s="76">
        <f ca="1">SUMIF('Production '!$C$4:$AI$4407,'Tracking Sheet'!B1772,'Production '!$F$4:$F$4407)</f>
        <v>856</v>
      </c>
      <c r="I1772" s="76">
        <f ca="1">SUMIF('Production '!$C$4:$AI$4407,'Tracking Sheet'!B1772,'Production '!$V$4:$V$4407)</f>
        <v>0</v>
      </c>
      <c r="J1772" s="76">
        <f ca="1">SUMIF('Production '!$C$4:$AI$4407,'Tracking Sheet'!B1772,'Production '!$AG$4:$AG$4407)</f>
        <v>0</v>
      </c>
    </row>
    <row r="1773" spans="2:10" x14ac:dyDescent="0.3">
      <c r="B1773" s="277">
        <f>'Production '!C1776</f>
        <v>0</v>
      </c>
      <c r="C1773" s="76" t="e">
        <f ca="1">SUMIF('Production '!$C$4:$AI$4407,'Tracking Sheet'!B1773,'Production '!$M$4:$M$4407)</f>
        <v>#DIV/0!</v>
      </c>
      <c r="D1773" s="76" t="e">
        <f ca="1">SUMIF('Production '!$C$4:$AI$4407,'Tracking Sheet'!B1773,'Production '!$Q$4:$Q$4407)</f>
        <v>#DIV/0!</v>
      </c>
      <c r="E1773" s="76">
        <f ca="1">SUMIF('Production '!$C$4:$AI$4407,'Tracking Sheet'!B1773,'Production '!$S$4:$S$4407)</f>
        <v>-1268218.9828305368</v>
      </c>
      <c r="F1773" s="76">
        <f ca="1">SUMIF('Production '!$C$4:$AI$4407,'Tracking Sheet'!B1773,'Production '!$U$4:$U$4407)</f>
        <v>-10620.435600016917</v>
      </c>
      <c r="G1773" s="76" t="e">
        <f ca="1">SUMIF('Production '!$C$4:$AI$4407,'Tracking Sheet'!B1773,'Production '!$W$4:$W$4407)</f>
        <v>#DIV/0!</v>
      </c>
      <c r="H1773" s="76">
        <f ca="1">SUMIF('Production '!$C$4:$AI$4407,'Tracking Sheet'!B1773,'Production '!$F$4:$F$4407)</f>
        <v>3230621.3283604058</v>
      </c>
      <c r="I1773" s="76">
        <f ca="1">SUMIF('Production '!$C$4:$AI$4407,'Tracking Sheet'!B1773,'Production '!$V$4:$V$4407)</f>
        <v>-489.86487791182844</v>
      </c>
      <c r="J1773" s="76">
        <f ca="1">SUMIF('Production '!$C$4:$AI$4407,'Tracking Sheet'!B1773,'Production '!$AG$4:$AG$4407)</f>
        <v>0</v>
      </c>
    </row>
    <row r="1774" spans="2:10" x14ac:dyDescent="0.3">
      <c r="B1774" s="277">
        <f>'Production '!C1777</f>
        <v>48216</v>
      </c>
      <c r="C1774" s="76">
        <f ca="1">SUMIF('Production '!$C$4:$AI$4407,'Tracking Sheet'!B1774,'Production '!$M$4:$M$4407)</f>
        <v>0</v>
      </c>
      <c r="D1774" s="76">
        <f ca="1">SUMIF('Production '!$C$4:$AI$4407,'Tracking Sheet'!B1774,'Production '!$Q$4:$Q$4407)</f>
        <v>0</v>
      </c>
      <c r="E1774" s="76">
        <f ca="1">SUMIF('Production '!$C$4:$AI$4407,'Tracking Sheet'!B1774,'Production '!$S$4:$S$4407)</f>
        <v>0</v>
      </c>
      <c r="F1774" s="76">
        <f ca="1">SUMIF('Production '!$C$4:$AI$4407,'Tracking Sheet'!B1774,'Production '!$U$4:$U$4407)</f>
        <v>0</v>
      </c>
      <c r="G1774" s="76">
        <f ca="1">SUMIF('Production '!$C$4:$AI$4407,'Tracking Sheet'!B1774,'Production '!$W$4:$W$4407)</f>
        <v>0</v>
      </c>
      <c r="H1774" s="76">
        <f ca="1">SUMIF('Production '!$C$4:$AI$4407,'Tracking Sheet'!B1774,'Production '!$F$4:$F$4407)</f>
        <v>4816</v>
      </c>
      <c r="I1774" s="76">
        <f ca="1">SUMIF('Production '!$C$4:$AI$4407,'Tracking Sheet'!B1774,'Production '!$V$4:$V$4407)</f>
        <v>0</v>
      </c>
      <c r="J1774" s="76">
        <f ca="1">SUMIF('Production '!$C$4:$AI$4407,'Tracking Sheet'!B1774,'Production '!$AG$4:$AG$4407)</f>
        <v>-4816</v>
      </c>
    </row>
    <row r="1775" spans="2:10" x14ac:dyDescent="0.3">
      <c r="B1775" s="277">
        <f>'Production '!C1778</f>
        <v>48216</v>
      </c>
      <c r="C1775" s="76">
        <f ca="1">SUMIF('Production '!$C$4:$AI$4407,'Tracking Sheet'!B1775,'Production '!$M$4:$M$4407)</f>
        <v>0</v>
      </c>
      <c r="D1775" s="76">
        <f ca="1">SUMIF('Production '!$C$4:$AI$4407,'Tracking Sheet'!B1775,'Production '!$Q$4:$Q$4407)</f>
        <v>0</v>
      </c>
      <c r="E1775" s="76">
        <f ca="1">SUMIF('Production '!$C$4:$AI$4407,'Tracking Sheet'!B1775,'Production '!$S$4:$S$4407)</f>
        <v>0</v>
      </c>
      <c r="F1775" s="76">
        <f ca="1">SUMIF('Production '!$C$4:$AI$4407,'Tracking Sheet'!B1775,'Production '!$U$4:$U$4407)</f>
        <v>0</v>
      </c>
      <c r="G1775" s="76">
        <f ca="1">SUMIF('Production '!$C$4:$AI$4407,'Tracking Sheet'!B1775,'Production '!$W$4:$W$4407)</f>
        <v>0</v>
      </c>
      <c r="H1775" s="76">
        <f ca="1">SUMIF('Production '!$C$4:$AI$4407,'Tracking Sheet'!B1775,'Production '!$F$4:$F$4407)</f>
        <v>4816</v>
      </c>
      <c r="I1775" s="76">
        <f ca="1">SUMIF('Production '!$C$4:$AI$4407,'Tracking Sheet'!B1775,'Production '!$V$4:$V$4407)</f>
        <v>0</v>
      </c>
      <c r="J1775" s="76">
        <f ca="1">SUMIF('Production '!$C$4:$AI$4407,'Tracking Sheet'!B1775,'Production '!$AG$4:$AG$4407)</f>
        <v>-4816</v>
      </c>
    </row>
    <row r="1776" spans="2:10" x14ac:dyDescent="0.3">
      <c r="B1776" s="277">
        <f>'Production '!C1779</f>
        <v>48216</v>
      </c>
      <c r="C1776" s="76">
        <f ca="1">SUMIF('Production '!$C$4:$AI$4407,'Tracking Sheet'!B1776,'Production '!$M$4:$M$4407)</f>
        <v>0</v>
      </c>
      <c r="D1776" s="76">
        <f ca="1">SUMIF('Production '!$C$4:$AI$4407,'Tracking Sheet'!B1776,'Production '!$Q$4:$Q$4407)</f>
        <v>0</v>
      </c>
      <c r="E1776" s="76">
        <f ca="1">SUMIF('Production '!$C$4:$AI$4407,'Tracking Sheet'!B1776,'Production '!$S$4:$S$4407)</f>
        <v>0</v>
      </c>
      <c r="F1776" s="76">
        <f ca="1">SUMIF('Production '!$C$4:$AI$4407,'Tracking Sheet'!B1776,'Production '!$U$4:$U$4407)</f>
        <v>0</v>
      </c>
      <c r="G1776" s="76">
        <f ca="1">SUMIF('Production '!$C$4:$AI$4407,'Tracking Sheet'!B1776,'Production '!$W$4:$W$4407)</f>
        <v>0</v>
      </c>
      <c r="H1776" s="76">
        <f ca="1">SUMIF('Production '!$C$4:$AI$4407,'Tracking Sheet'!B1776,'Production '!$F$4:$F$4407)</f>
        <v>4816</v>
      </c>
      <c r="I1776" s="76">
        <f ca="1">SUMIF('Production '!$C$4:$AI$4407,'Tracking Sheet'!B1776,'Production '!$V$4:$V$4407)</f>
        <v>0</v>
      </c>
      <c r="J1776" s="76">
        <f ca="1">SUMIF('Production '!$C$4:$AI$4407,'Tracking Sheet'!B1776,'Production '!$AG$4:$AG$4407)</f>
        <v>-4816</v>
      </c>
    </row>
    <row r="1777" spans="2:10" x14ac:dyDescent="0.3">
      <c r="B1777" s="277">
        <f>'Production '!C1780</f>
        <v>48216</v>
      </c>
      <c r="C1777" s="76">
        <f ca="1">SUMIF('Production '!$C$4:$AI$4407,'Tracking Sheet'!B1777,'Production '!$M$4:$M$4407)</f>
        <v>0</v>
      </c>
      <c r="D1777" s="76">
        <f ca="1">SUMIF('Production '!$C$4:$AI$4407,'Tracking Sheet'!B1777,'Production '!$Q$4:$Q$4407)</f>
        <v>0</v>
      </c>
      <c r="E1777" s="76">
        <f ca="1">SUMIF('Production '!$C$4:$AI$4407,'Tracking Sheet'!B1777,'Production '!$S$4:$S$4407)</f>
        <v>0</v>
      </c>
      <c r="F1777" s="76">
        <f ca="1">SUMIF('Production '!$C$4:$AI$4407,'Tracking Sheet'!B1777,'Production '!$U$4:$U$4407)</f>
        <v>0</v>
      </c>
      <c r="G1777" s="76">
        <f ca="1">SUMIF('Production '!$C$4:$AI$4407,'Tracking Sheet'!B1777,'Production '!$W$4:$W$4407)</f>
        <v>0</v>
      </c>
      <c r="H1777" s="76">
        <f ca="1">SUMIF('Production '!$C$4:$AI$4407,'Tracking Sheet'!B1777,'Production '!$F$4:$F$4407)</f>
        <v>4816</v>
      </c>
      <c r="I1777" s="76">
        <f ca="1">SUMIF('Production '!$C$4:$AI$4407,'Tracking Sheet'!B1777,'Production '!$V$4:$V$4407)</f>
        <v>0</v>
      </c>
      <c r="J1777" s="76">
        <f ca="1">SUMIF('Production '!$C$4:$AI$4407,'Tracking Sheet'!B1777,'Production '!$AG$4:$AG$4407)</f>
        <v>-4816</v>
      </c>
    </row>
    <row r="1778" spans="2:10" x14ac:dyDescent="0.3">
      <c r="B1778" s="277">
        <f>'Production '!C1781</f>
        <v>48216</v>
      </c>
      <c r="C1778" s="76">
        <f ca="1">SUMIF('Production '!$C$4:$AI$4407,'Tracking Sheet'!B1778,'Production '!$M$4:$M$4407)</f>
        <v>0</v>
      </c>
      <c r="D1778" s="76">
        <f ca="1">SUMIF('Production '!$C$4:$AI$4407,'Tracking Sheet'!B1778,'Production '!$Q$4:$Q$4407)</f>
        <v>0</v>
      </c>
      <c r="E1778" s="76">
        <f ca="1">SUMIF('Production '!$C$4:$AI$4407,'Tracking Sheet'!B1778,'Production '!$S$4:$S$4407)</f>
        <v>0</v>
      </c>
      <c r="F1778" s="76">
        <f ca="1">SUMIF('Production '!$C$4:$AI$4407,'Tracking Sheet'!B1778,'Production '!$U$4:$U$4407)</f>
        <v>0</v>
      </c>
      <c r="G1778" s="76">
        <f ca="1">SUMIF('Production '!$C$4:$AI$4407,'Tracking Sheet'!B1778,'Production '!$W$4:$W$4407)</f>
        <v>0</v>
      </c>
      <c r="H1778" s="76">
        <f ca="1">SUMIF('Production '!$C$4:$AI$4407,'Tracking Sheet'!B1778,'Production '!$F$4:$F$4407)</f>
        <v>4816</v>
      </c>
      <c r="I1778" s="76">
        <f ca="1">SUMIF('Production '!$C$4:$AI$4407,'Tracking Sheet'!B1778,'Production '!$V$4:$V$4407)</f>
        <v>0</v>
      </c>
      <c r="J1778" s="76">
        <f ca="1">SUMIF('Production '!$C$4:$AI$4407,'Tracking Sheet'!B1778,'Production '!$AG$4:$AG$4407)</f>
        <v>-4816</v>
      </c>
    </row>
    <row r="1779" spans="2:10" x14ac:dyDescent="0.3">
      <c r="B1779" s="277">
        <f>'Production '!C1782</f>
        <v>0</v>
      </c>
      <c r="C1779" s="76" t="e">
        <f ca="1">SUMIF('Production '!$C$4:$AI$4407,'Tracking Sheet'!B1779,'Production '!$M$4:$M$4407)</f>
        <v>#DIV/0!</v>
      </c>
      <c r="D1779" s="76" t="e">
        <f ca="1">SUMIF('Production '!$C$4:$AI$4407,'Tracking Sheet'!B1779,'Production '!$Q$4:$Q$4407)</f>
        <v>#DIV/0!</v>
      </c>
      <c r="E1779" s="76">
        <f ca="1">SUMIF('Production '!$C$4:$AI$4407,'Tracking Sheet'!B1779,'Production '!$S$4:$S$4407)</f>
        <v>-1268218.9828305368</v>
      </c>
      <c r="F1779" s="76">
        <f ca="1">SUMIF('Production '!$C$4:$AI$4407,'Tracking Sheet'!B1779,'Production '!$U$4:$U$4407)</f>
        <v>-10620.435600016917</v>
      </c>
      <c r="G1779" s="76" t="e">
        <f ca="1">SUMIF('Production '!$C$4:$AI$4407,'Tracking Sheet'!B1779,'Production '!$W$4:$W$4407)</f>
        <v>#DIV/0!</v>
      </c>
      <c r="H1779" s="76">
        <f ca="1">SUMIF('Production '!$C$4:$AI$4407,'Tracking Sheet'!B1779,'Production '!$F$4:$F$4407)</f>
        <v>3230621.3283604058</v>
      </c>
      <c r="I1779" s="76">
        <f ca="1">SUMIF('Production '!$C$4:$AI$4407,'Tracking Sheet'!B1779,'Production '!$V$4:$V$4407)</f>
        <v>-489.86487791182844</v>
      </c>
      <c r="J1779" s="76">
        <f ca="1">SUMIF('Production '!$C$4:$AI$4407,'Tracking Sheet'!B1779,'Production '!$AG$4:$AG$4407)</f>
        <v>0</v>
      </c>
    </row>
    <row r="1780" spans="2:10" x14ac:dyDescent="0.3">
      <c r="B1780" s="277">
        <f>'Production '!C1783</f>
        <v>48155</v>
      </c>
      <c r="C1780" s="76">
        <f ca="1">SUMIF('Production '!$C$4:$AI$4407,'Tracking Sheet'!B1780,'Production '!$M$4:$M$4407)</f>
        <v>6936</v>
      </c>
      <c r="D1780" s="76">
        <f ca="1">SUMIF('Production '!$C$4:$AI$4407,'Tracking Sheet'!B1780,'Production '!$Q$4:$Q$4407)</f>
        <v>0</v>
      </c>
      <c r="E1780" s="76">
        <f ca="1">SUMIF('Production '!$C$4:$AI$4407,'Tracking Sheet'!B1780,'Production '!$S$4:$S$4407)</f>
        <v>0</v>
      </c>
      <c r="F1780" s="76">
        <f ca="1">SUMIF('Production '!$C$4:$AI$4407,'Tracking Sheet'!B1780,'Production '!$U$4:$U$4407)</f>
        <v>6936</v>
      </c>
      <c r="G1780" s="76">
        <f ca="1">SUMIF('Production '!$C$4:$AI$4407,'Tracking Sheet'!B1780,'Production '!$W$4:$W$4407)</f>
        <v>0</v>
      </c>
      <c r="H1780" s="76">
        <f ca="1">SUMIF('Production '!$C$4:$AI$4407,'Tracking Sheet'!B1780,'Production '!$F$4:$F$4407)</f>
        <v>6836</v>
      </c>
      <c r="I1780" s="76">
        <f ca="1">SUMIF('Production '!$C$4:$AI$4407,'Tracking Sheet'!B1780,'Production '!$V$4:$V$4407)</f>
        <v>0</v>
      </c>
      <c r="J1780" s="76">
        <f ca="1">SUMIF('Production '!$C$4:$AI$4407,'Tracking Sheet'!B1780,'Production '!$AG$4:$AG$4407)</f>
        <v>0</v>
      </c>
    </row>
    <row r="1781" spans="2:10" x14ac:dyDescent="0.3">
      <c r="B1781" s="277">
        <f>'Production '!C1784</f>
        <v>48155</v>
      </c>
      <c r="C1781" s="76">
        <f ca="1">SUMIF('Production '!$C$4:$AI$4407,'Tracking Sheet'!B1781,'Production '!$M$4:$M$4407)</f>
        <v>6936</v>
      </c>
      <c r="D1781" s="76">
        <f ca="1">SUMIF('Production '!$C$4:$AI$4407,'Tracking Sheet'!B1781,'Production '!$Q$4:$Q$4407)</f>
        <v>0</v>
      </c>
      <c r="E1781" s="76">
        <f ca="1">SUMIF('Production '!$C$4:$AI$4407,'Tracking Sheet'!B1781,'Production '!$S$4:$S$4407)</f>
        <v>0</v>
      </c>
      <c r="F1781" s="76">
        <f ca="1">SUMIF('Production '!$C$4:$AI$4407,'Tracking Sheet'!B1781,'Production '!$U$4:$U$4407)</f>
        <v>6936</v>
      </c>
      <c r="G1781" s="76">
        <f ca="1">SUMIF('Production '!$C$4:$AI$4407,'Tracking Sheet'!B1781,'Production '!$W$4:$W$4407)</f>
        <v>0</v>
      </c>
      <c r="H1781" s="76">
        <f ca="1">SUMIF('Production '!$C$4:$AI$4407,'Tracking Sheet'!B1781,'Production '!$F$4:$F$4407)</f>
        <v>6836</v>
      </c>
      <c r="I1781" s="76">
        <f ca="1">SUMIF('Production '!$C$4:$AI$4407,'Tracking Sheet'!B1781,'Production '!$V$4:$V$4407)</f>
        <v>0</v>
      </c>
      <c r="J1781" s="76">
        <f ca="1">SUMIF('Production '!$C$4:$AI$4407,'Tracking Sheet'!B1781,'Production '!$AG$4:$AG$4407)</f>
        <v>0</v>
      </c>
    </row>
    <row r="1782" spans="2:10" x14ac:dyDescent="0.3">
      <c r="B1782" s="277">
        <f>'Production '!C1785</f>
        <v>48155</v>
      </c>
      <c r="C1782" s="76">
        <f ca="1">SUMIF('Production '!$C$4:$AI$4407,'Tracking Sheet'!B1782,'Production '!$M$4:$M$4407)</f>
        <v>6936</v>
      </c>
      <c r="D1782" s="76">
        <f ca="1">SUMIF('Production '!$C$4:$AI$4407,'Tracking Sheet'!B1782,'Production '!$Q$4:$Q$4407)</f>
        <v>0</v>
      </c>
      <c r="E1782" s="76">
        <f ca="1">SUMIF('Production '!$C$4:$AI$4407,'Tracking Sheet'!B1782,'Production '!$S$4:$S$4407)</f>
        <v>0</v>
      </c>
      <c r="F1782" s="76">
        <f ca="1">SUMIF('Production '!$C$4:$AI$4407,'Tracking Sheet'!B1782,'Production '!$U$4:$U$4407)</f>
        <v>6936</v>
      </c>
      <c r="G1782" s="76">
        <f ca="1">SUMIF('Production '!$C$4:$AI$4407,'Tracking Sheet'!B1782,'Production '!$W$4:$W$4407)</f>
        <v>0</v>
      </c>
      <c r="H1782" s="76">
        <f ca="1">SUMIF('Production '!$C$4:$AI$4407,'Tracking Sheet'!B1782,'Production '!$F$4:$F$4407)</f>
        <v>6836</v>
      </c>
      <c r="I1782" s="76">
        <f ca="1">SUMIF('Production '!$C$4:$AI$4407,'Tracking Sheet'!B1782,'Production '!$V$4:$V$4407)</f>
        <v>0</v>
      </c>
      <c r="J1782" s="76">
        <f ca="1">SUMIF('Production '!$C$4:$AI$4407,'Tracking Sheet'!B1782,'Production '!$AG$4:$AG$4407)</f>
        <v>0</v>
      </c>
    </row>
    <row r="1783" spans="2:10" x14ac:dyDescent="0.3">
      <c r="B1783" s="277">
        <f>'Production '!C1786</f>
        <v>0</v>
      </c>
      <c r="C1783" s="76" t="e">
        <f ca="1">SUMIF('Production '!$C$4:$AI$4407,'Tracking Sheet'!B1783,'Production '!$M$4:$M$4407)</f>
        <v>#DIV/0!</v>
      </c>
      <c r="D1783" s="76" t="e">
        <f ca="1">SUMIF('Production '!$C$4:$AI$4407,'Tracking Sheet'!B1783,'Production '!$Q$4:$Q$4407)</f>
        <v>#DIV/0!</v>
      </c>
      <c r="E1783" s="76">
        <f ca="1">SUMIF('Production '!$C$4:$AI$4407,'Tracking Sheet'!B1783,'Production '!$S$4:$S$4407)</f>
        <v>-1268218.9828305368</v>
      </c>
      <c r="F1783" s="76">
        <f ca="1">SUMIF('Production '!$C$4:$AI$4407,'Tracking Sheet'!B1783,'Production '!$U$4:$U$4407)</f>
        <v>-10620.435600016917</v>
      </c>
      <c r="G1783" s="76" t="e">
        <f ca="1">SUMIF('Production '!$C$4:$AI$4407,'Tracking Sheet'!B1783,'Production '!$W$4:$W$4407)</f>
        <v>#DIV/0!</v>
      </c>
      <c r="H1783" s="76">
        <f ca="1">SUMIF('Production '!$C$4:$AI$4407,'Tracking Sheet'!B1783,'Production '!$F$4:$F$4407)</f>
        <v>3230621.3283604058</v>
      </c>
      <c r="I1783" s="76">
        <f ca="1">SUMIF('Production '!$C$4:$AI$4407,'Tracking Sheet'!B1783,'Production '!$V$4:$V$4407)</f>
        <v>-489.86487791182844</v>
      </c>
      <c r="J1783" s="76">
        <f ca="1">SUMIF('Production '!$C$4:$AI$4407,'Tracking Sheet'!B1783,'Production '!$AG$4:$AG$4407)</f>
        <v>0</v>
      </c>
    </row>
    <row r="1784" spans="2:10" x14ac:dyDescent="0.3">
      <c r="B1784" s="277">
        <f>'Production '!C1787</f>
        <v>48616</v>
      </c>
      <c r="C1784" s="76">
        <f ca="1">SUMIF('Production '!$C$4:$AI$4407,'Tracking Sheet'!B1784,'Production '!$M$4:$M$4407)</f>
        <v>0</v>
      </c>
      <c r="D1784" s="76">
        <f ca="1">SUMIF('Production '!$C$4:$AI$4407,'Tracking Sheet'!B1784,'Production '!$Q$4:$Q$4407)</f>
        <v>0</v>
      </c>
      <c r="E1784" s="76">
        <f ca="1">SUMIF('Production '!$C$4:$AI$4407,'Tracking Sheet'!B1784,'Production '!$S$4:$S$4407)</f>
        <v>0</v>
      </c>
      <c r="F1784" s="76">
        <f ca="1">SUMIF('Production '!$C$4:$AI$4407,'Tracking Sheet'!B1784,'Production '!$U$4:$U$4407)</f>
        <v>0</v>
      </c>
      <c r="G1784" s="76">
        <f ca="1">SUMIF('Production '!$C$4:$AI$4407,'Tracking Sheet'!B1784,'Production '!$W$4:$W$4407)</f>
        <v>0</v>
      </c>
      <c r="H1784" s="76">
        <f ca="1">SUMIF('Production '!$C$4:$AI$4407,'Tracking Sheet'!B1784,'Production '!$F$4:$F$4407)</f>
        <v>5196</v>
      </c>
      <c r="I1784" s="76">
        <f ca="1">SUMIF('Production '!$C$4:$AI$4407,'Tracking Sheet'!B1784,'Production '!$V$4:$V$4407)</f>
        <v>0</v>
      </c>
      <c r="J1784" s="76">
        <f ca="1">SUMIF('Production '!$C$4:$AI$4407,'Tracking Sheet'!B1784,'Production '!$AG$4:$AG$4407)</f>
        <v>-5196</v>
      </c>
    </row>
    <row r="1785" spans="2:10" x14ac:dyDescent="0.3">
      <c r="B1785" s="277">
        <f>'Production '!C1788</f>
        <v>48616</v>
      </c>
      <c r="C1785" s="76">
        <f ca="1">SUMIF('Production '!$C$4:$AI$4407,'Tracking Sheet'!B1785,'Production '!$M$4:$M$4407)</f>
        <v>0</v>
      </c>
      <c r="D1785" s="76">
        <f ca="1">SUMIF('Production '!$C$4:$AI$4407,'Tracking Sheet'!B1785,'Production '!$Q$4:$Q$4407)</f>
        <v>0</v>
      </c>
      <c r="E1785" s="76">
        <f ca="1">SUMIF('Production '!$C$4:$AI$4407,'Tracking Sheet'!B1785,'Production '!$S$4:$S$4407)</f>
        <v>0</v>
      </c>
      <c r="F1785" s="76">
        <f ca="1">SUMIF('Production '!$C$4:$AI$4407,'Tracking Sheet'!B1785,'Production '!$U$4:$U$4407)</f>
        <v>0</v>
      </c>
      <c r="G1785" s="76">
        <f ca="1">SUMIF('Production '!$C$4:$AI$4407,'Tracking Sheet'!B1785,'Production '!$W$4:$W$4407)</f>
        <v>0</v>
      </c>
      <c r="H1785" s="76">
        <f ca="1">SUMIF('Production '!$C$4:$AI$4407,'Tracking Sheet'!B1785,'Production '!$F$4:$F$4407)</f>
        <v>5196</v>
      </c>
      <c r="I1785" s="76">
        <f ca="1">SUMIF('Production '!$C$4:$AI$4407,'Tracking Sheet'!B1785,'Production '!$V$4:$V$4407)</f>
        <v>0</v>
      </c>
      <c r="J1785" s="76">
        <f ca="1">SUMIF('Production '!$C$4:$AI$4407,'Tracking Sheet'!B1785,'Production '!$AG$4:$AG$4407)</f>
        <v>-5196</v>
      </c>
    </row>
    <row r="1786" spans="2:10" x14ac:dyDescent="0.3">
      <c r="B1786" s="277">
        <f>'Production '!C1789</f>
        <v>48616</v>
      </c>
      <c r="C1786" s="76">
        <f ca="1">SUMIF('Production '!$C$4:$AI$4407,'Tracking Sheet'!B1786,'Production '!$M$4:$M$4407)</f>
        <v>0</v>
      </c>
      <c r="D1786" s="76">
        <f ca="1">SUMIF('Production '!$C$4:$AI$4407,'Tracking Sheet'!B1786,'Production '!$Q$4:$Q$4407)</f>
        <v>0</v>
      </c>
      <c r="E1786" s="76">
        <f ca="1">SUMIF('Production '!$C$4:$AI$4407,'Tracking Sheet'!B1786,'Production '!$S$4:$S$4407)</f>
        <v>0</v>
      </c>
      <c r="F1786" s="76">
        <f ca="1">SUMIF('Production '!$C$4:$AI$4407,'Tracking Sheet'!B1786,'Production '!$U$4:$U$4407)</f>
        <v>0</v>
      </c>
      <c r="G1786" s="76">
        <f ca="1">SUMIF('Production '!$C$4:$AI$4407,'Tracking Sheet'!B1786,'Production '!$W$4:$W$4407)</f>
        <v>0</v>
      </c>
      <c r="H1786" s="76">
        <f ca="1">SUMIF('Production '!$C$4:$AI$4407,'Tracking Sheet'!B1786,'Production '!$F$4:$F$4407)</f>
        <v>5196</v>
      </c>
      <c r="I1786" s="76">
        <f ca="1">SUMIF('Production '!$C$4:$AI$4407,'Tracking Sheet'!B1786,'Production '!$V$4:$V$4407)</f>
        <v>0</v>
      </c>
      <c r="J1786" s="76">
        <f ca="1">SUMIF('Production '!$C$4:$AI$4407,'Tracking Sheet'!B1786,'Production '!$AG$4:$AG$4407)</f>
        <v>-5196</v>
      </c>
    </row>
    <row r="1787" spans="2:10" x14ac:dyDescent="0.3">
      <c r="B1787" s="277">
        <f>'Production '!C1790</f>
        <v>48616</v>
      </c>
      <c r="C1787" s="76">
        <f ca="1">SUMIF('Production '!$C$4:$AI$4407,'Tracking Sheet'!B1787,'Production '!$M$4:$M$4407)</f>
        <v>0</v>
      </c>
      <c r="D1787" s="76">
        <f ca="1">SUMIF('Production '!$C$4:$AI$4407,'Tracking Sheet'!B1787,'Production '!$Q$4:$Q$4407)</f>
        <v>0</v>
      </c>
      <c r="E1787" s="76">
        <f ca="1">SUMIF('Production '!$C$4:$AI$4407,'Tracking Sheet'!B1787,'Production '!$S$4:$S$4407)</f>
        <v>0</v>
      </c>
      <c r="F1787" s="76">
        <f ca="1">SUMIF('Production '!$C$4:$AI$4407,'Tracking Sheet'!B1787,'Production '!$U$4:$U$4407)</f>
        <v>0</v>
      </c>
      <c r="G1787" s="76">
        <f ca="1">SUMIF('Production '!$C$4:$AI$4407,'Tracking Sheet'!B1787,'Production '!$W$4:$W$4407)</f>
        <v>0</v>
      </c>
      <c r="H1787" s="76">
        <f ca="1">SUMIF('Production '!$C$4:$AI$4407,'Tracking Sheet'!B1787,'Production '!$F$4:$F$4407)</f>
        <v>5196</v>
      </c>
      <c r="I1787" s="76">
        <f ca="1">SUMIF('Production '!$C$4:$AI$4407,'Tracking Sheet'!B1787,'Production '!$V$4:$V$4407)</f>
        <v>0</v>
      </c>
      <c r="J1787" s="76">
        <f ca="1">SUMIF('Production '!$C$4:$AI$4407,'Tracking Sheet'!B1787,'Production '!$AG$4:$AG$4407)</f>
        <v>-5196</v>
      </c>
    </row>
    <row r="1788" spans="2:10" x14ac:dyDescent="0.3">
      <c r="B1788" s="277">
        <f>'Production '!C1791</f>
        <v>48616</v>
      </c>
      <c r="C1788" s="76">
        <f ca="1">SUMIF('Production '!$C$4:$AI$4407,'Tracking Sheet'!B1788,'Production '!$M$4:$M$4407)</f>
        <v>0</v>
      </c>
      <c r="D1788" s="76">
        <f ca="1">SUMIF('Production '!$C$4:$AI$4407,'Tracking Sheet'!B1788,'Production '!$Q$4:$Q$4407)</f>
        <v>0</v>
      </c>
      <c r="E1788" s="76">
        <f ca="1">SUMIF('Production '!$C$4:$AI$4407,'Tracking Sheet'!B1788,'Production '!$S$4:$S$4407)</f>
        <v>0</v>
      </c>
      <c r="F1788" s="76">
        <f ca="1">SUMIF('Production '!$C$4:$AI$4407,'Tracking Sheet'!B1788,'Production '!$U$4:$U$4407)</f>
        <v>0</v>
      </c>
      <c r="G1788" s="76">
        <f ca="1">SUMIF('Production '!$C$4:$AI$4407,'Tracking Sheet'!B1788,'Production '!$W$4:$W$4407)</f>
        <v>0</v>
      </c>
      <c r="H1788" s="76">
        <f ca="1">SUMIF('Production '!$C$4:$AI$4407,'Tracking Sheet'!B1788,'Production '!$F$4:$F$4407)</f>
        <v>5196</v>
      </c>
      <c r="I1788" s="76">
        <f ca="1">SUMIF('Production '!$C$4:$AI$4407,'Tracking Sheet'!B1788,'Production '!$V$4:$V$4407)</f>
        <v>0</v>
      </c>
      <c r="J1788" s="76">
        <f ca="1">SUMIF('Production '!$C$4:$AI$4407,'Tracking Sheet'!B1788,'Production '!$AG$4:$AG$4407)</f>
        <v>-5196</v>
      </c>
    </row>
    <row r="1789" spans="2:10" x14ac:dyDescent="0.3">
      <c r="B1789" s="277">
        <f>'Production '!C1792</f>
        <v>48616</v>
      </c>
      <c r="C1789" s="76">
        <f ca="1">SUMIF('Production '!$C$4:$AI$4407,'Tracking Sheet'!B1789,'Production '!$M$4:$M$4407)</f>
        <v>0</v>
      </c>
      <c r="D1789" s="76">
        <f ca="1">SUMIF('Production '!$C$4:$AI$4407,'Tracking Sheet'!B1789,'Production '!$Q$4:$Q$4407)</f>
        <v>0</v>
      </c>
      <c r="E1789" s="76">
        <f ca="1">SUMIF('Production '!$C$4:$AI$4407,'Tracking Sheet'!B1789,'Production '!$S$4:$S$4407)</f>
        <v>0</v>
      </c>
      <c r="F1789" s="76">
        <f ca="1">SUMIF('Production '!$C$4:$AI$4407,'Tracking Sheet'!B1789,'Production '!$U$4:$U$4407)</f>
        <v>0</v>
      </c>
      <c r="G1789" s="76">
        <f ca="1">SUMIF('Production '!$C$4:$AI$4407,'Tracking Sheet'!B1789,'Production '!$W$4:$W$4407)</f>
        <v>0</v>
      </c>
      <c r="H1789" s="76">
        <f ca="1">SUMIF('Production '!$C$4:$AI$4407,'Tracking Sheet'!B1789,'Production '!$F$4:$F$4407)</f>
        <v>5196</v>
      </c>
      <c r="I1789" s="76">
        <f ca="1">SUMIF('Production '!$C$4:$AI$4407,'Tracking Sheet'!B1789,'Production '!$V$4:$V$4407)</f>
        <v>0</v>
      </c>
      <c r="J1789" s="76">
        <f ca="1">SUMIF('Production '!$C$4:$AI$4407,'Tracking Sheet'!B1789,'Production '!$AG$4:$AG$4407)</f>
        <v>-5196</v>
      </c>
    </row>
    <row r="1790" spans="2:10" x14ac:dyDescent="0.3">
      <c r="B1790" s="277">
        <f>'Production '!C1793</f>
        <v>0</v>
      </c>
      <c r="C1790" s="76" t="e">
        <f ca="1">SUMIF('Production '!$C$4:$AI$4407,'Tracking Sheet'!B1790,'Production '!$M$4:$M$4407)</f>
        <v>#DIV/0!</v>
      </c>
      <c r="D1790" s="76" t="e">
        <f ca="1">SUMIF('Production '!$C$4:$AI$4407,'Tracking Sheet'!B1790,'Production '!$Q$4:$Q$4407)</f>
        <v>#DIV/0!</v>
      </c>
      <c r="E1790" s="76">
        <f ca="1">SUMIF('Production '!$C$4:$AI$4407,'Tracking Sheet'!B1790,'Production '!$S$4:$S$4407)</f>
        <v>-1268218.9828305368</v>
      </c>
      <c r="F1790" s="76">
        <f ca="1">SUMIF('Production '!$C$4:$AI$4407,'Tracking Sheet'!B1790,'Production '!$U$4:$U$4407)</f>
        <v>-10620.435600016917</v>
      </c>
      <c r="G1790" s="76" t="e">
        <f ca="1">SUMIF('Production '!$C$4:$AI$4407,'Tracking Sheet'!B1790,'Production '!$W$4:$W$4407)</f>
        <v>#DIV/0!</v>
      </c>
      <c r="H1790" s="76">
        <f ca="1">SUMIF('Production '!$C$4:$AI$4407,'Tracking Sheet'!B1790,'Production '!$F$4:$F$4407)</f>
        <v>3230621.3283604058</v>
      </c>
      <c r="I1790" s="76">
        <f ca="1">SUMIF('Production '!$C$4:$AI$4407,'Tracking Sheet'!B1790,'Production '!$V$4:$V$4407)</f>
        <v>-489.86487791182844</v>
      </c>
      <c r="J1790" s="76">
        <f ca="1">SUMIF('Production '!$C$4:$AI$4407,'Tracking Sheet'!B1790,'Production '!$AG$4:$AG$4407)</f>
        <v>0</v>
      </c>
    </row>
    <row r="1791" spans="2:10" x14ac:dyDescent="0.3">
      <c r="B1791" s="277">
        <f>'Production '!C1794</f>
        <v>48615</v>
      </c>
      <c r="C1791" s="76">
        <f ca="1">SUMIF('Production '!$C$4:$AI$4407,'Tracking Sheet'!B1791,'Production '!$M$4:$M$4407)</f>
        <v>0</v>
      </c>
      <c r="D1791" s="76">
        <f ca="1">SUMIF('Production '!$C$4:$AI$4407,'Tracking Sheet'!B1791,'Production '!$Q$4:$Q$4407)</f>
        <v>0</v>
      </c>
      <c r="E1791" s="76">
        <f ca="1">SUMIF('Production '!$C$4:$AI$4407,'Tracking Sheet'!B1791,'Production '!$S$4:$S$4407)</f>
        <v>0</v>
      </c>
      <c r="F1791" s="76">
        <f ca="1">SUMIF('Production '!$C$4:$AI$4407,'Tracking Sheet'!B1791,'Production '!$U$4:$U$4407)</f>
        <v>0</v>
      </c>
      <c r="G1791" s="76">
        <f ca="1">SUMIF('Production '!$C$4:$AI$4407,'Tracking Sheet'!B1791,'Production '!$W$4:$W$4407)</f>
        <v>0</v>
      </c>
      <c r="H1791" s="76">
        <f ca="1">SUMIF('Production '!$C$4:$AI$4407,'Tracking Sheet'!B1791,'Production '!$F$4:$F$4407)</f>
        <v>32379</v>
      </c>
      <c r="I1791" s="76">
        <f ca="1">SUMIF('Production '!$C$4:$AI$4407,'Tracking Sheet'!B1791,'Production '!$V$4:$V$4407)</f>
        <v>0</v>
      </c>
      <c r="J1791" s="76">
        <f ca="1">SUMIF('Production '!$C$4:$AI$4407,'Tracking Sheet'!B1791,'Production '!$AG$4:$AG$4407)</f>
        <v>-32379</v>
      </c>
    </row>
    <row r="1792" spans="2:10" x14ac:dyDescent="0.3">
      <c r="B1792" s="277">
        <f>'Production '!C1795</f>
        <v>48615</v>
      </c>
      <c r="C1792" s="76">
        <f ca="1">SUMIF('Production '!$C$4:$AI$4407,'Tracking Sheet'!B1792,'Production '!$M$4:$M$4407)</f>
        <v>0</v>
      </c>
      <c r="D1792" s="76">
        <f ca="1">SUMIF('Production '!$C$4:$AI$4407,'Tracking Sheet'!B1792,'Production '!$Q$4:$Q$4407)</f>
        <v>0</v>
      </c>
      <c r="E1792" s="76">
        <f ca="1">SUMIF('Production '!$C$4:$AI$4407,'Tracking Sheet'!B1792,'Production '!$S$4:$S$4407)</f>
        <v>0</v>
      </c>
      <c r="F1792" s="76">
        <f ca="1">SUMIF('Production '!$C$4:$AI$4407,'Tracking Sheet'!B1792,'Production '!$U$4:$U$4407)</f>
        <v>0</v>
      </c>
      <c r="G1792" s="76">
        <f ca="1">SUMIF('Production '!$C$4:$AI$4407,'Tracking Sheet'!B1792,'Production '!$W$4:$W$4407)</f>
        <v>0</v>
      </c>
      <c r="H1792" s="76">
        <f ca="1">SUMIF('Production '!$C$4:$AI$4407,'Tracking Sheet'!B1792,'Production '!$F$4:$F$4407)</f>
        <v>32379</v>
      </c>
      <c r="I1792" s="76">
        <f ca="1">SUMIF('Production '!$C$4:$AI$4407,'Tracking Sheet'!B1792,'Production '!$V$4:$V$4407)</f>
        <v>0</v>
      </c>
      <c r="J1792" s="76">
        <f ca="1">SUMIF('Production '!$C$4:$AI$4407,'Tracking Sheet'!B1792,'Production '!$AG$4:$AG$4407)</f>
        <v>-32379</v>
      </c>
    </row>
    <row r="1793" spans="2:10" x14ac:dyDescent="0.3">
      <c r="B1793" s="277">
        <f>'Production '!C1796</f>
        <v>48615</v>
      </c>
      <c r="C1793" s="76">
        <f ca="1">SUMIF('Production '!$C$4:$AI$4407,'Tracking Sheet'!B1793,'Production '!$M$4:$M$4407)</f>
        <v>0</v>
      </c>
      <c r="D1793" s="76">
        <f ca="1">SUMIF('Production '!$C$4:$AI$4407,'Tracking Sheet'!B1793,'Production '!$Q$4:$Q$4407)</f>
        <v>0</v>
      </c>
      <c r="E1793" s="76">
        <f ca="1">SUMIF('Production '!$C$4:$AI$4407,'Tracking Sheet'!B1793,'Production '!$S$4:$S$4407)</f>
        <v>0</v>
      </c>
      <c r="F1793" s="76">
        <f ca="1">SUMIF('Production '!$C$4:$AI$4407,'Tracking Sheet'!B1793,'Production '!$U$4:$U$4407)</f>
        <v>0</v>
      </c>
      <c r="G1793" s="76">
        <f ca="1">SUMIF('Production '!$C$4:$AI$4407,'Tracking Sheet'!B1793,'Production '!$W$4:$W$4407)</f>
        <v>0</v>
      </c>
      <c r="H1793" s="76">
        <f ca="1">SUMIF('Production '!$C$4:$AI$4407,'Tracking Sheet'!B1793,'Production '!$F$4:$F$4407)</f>
        <v>32379</v>
      </c>
      <c r="I1793" s="76">
        <f ca="1">SUMIF('Production '!$C$4:$AI$4407,'Tracking Sheet'!B1793,'Production '!$V$4:$V$4407)</f>
        <v>0</v>
      </c>
      <c r="J1793" s="76">
        <f ca="1">SUMIF('Production '!$C$4:$AI$4407,'Tracking Sheet'!B1793,'Production '!$AG$4:$AG$4407)</f>
        <v>-32379</v>
      </c>
    </row>
    <row r="1794" spans="2:10" x14ac:dyDescent="0.3">
      <c r="B1794" s="277">
        <f>'Production '!C1797</f>
        <v>48615</v>
      </c>
      <c r="C1794" s="76">
        <f ca="1">SUMIF('Production '!$C$4:$AI$4407,'Tracking Sheet'!B1794,'Production '!$M$4:$M$4407)</f>
        <v>0</v>
      </c>
      <c r="D1794" s="76">
        <f ca="1">SUMIF('Production '!$C$4:$AI$4407,'Tracking Sheet'!B1794,'Production '!$Q$4:$Q$4407)</f>
        <v>0</v>
      </c>
      <c r="E1794" s="76">
        <f ca="1">SUMIF('Production '!$C$4:$AI$4407,'Tracking Sheet'!B1794,'Production '!$S$4:$S$4407)</f>
        <v>0</v>
      </c>
      <c r="F1794" s="76">
        <f ca="1">SUMIF('Production '!$C$4:$AI$4407,'Tracking Sheet'!B1794,'Production '!$U$4:$U$4407)</f>
        <v>0</v>
      </c>
      <c r="G1794" s="76">
        <f ca="1">SUMIF('Production '!$C$4:$AI$4407,'Tracking Sheet'!B1794,'Production '!$W$4:$W$4407)</f>
        <v>0</v>
      </c>
      <c r="H1794" s="76">
        <f ca="1">SUMIF('Production '!$C$4:$AI$4407,'Tracking Sheet'!B1794,'Production '!$F$4:$F$4407)</f>
        <v>32379</v>
      </c>
      <c r="I1794" s="76">
        <f ca="1">SUMIF('Production '!$C$4:$AI$4407,'Tracking Sheet'!B1794,'Production '!$V$4:$V$4407)</f>
        <v>0</v>
      </c>
      <c r="J1794" s="76">
        <f ca="1">SUMIF('Production '!$C$4:$AI$4407,'Tracking Sheet'!B1794,'Production '!$AG$4:$AG$4407)</f>
        <v>-32379</v>
      </c>
    </row>
    <row r="1795" spans="2:10" x14ac:dyDescent="0.3">
      <c r="B1795" s="277">
        <f>'Production '!C1798</f>
        <v>48615</v>
      </c>
      <c r="C1795" s="76">
        <f ca="1">SUMIF('Production '!$C$4:$AI$4407,'Tracking Sheet'!B1795,'Production '!$M$4:$M$4407)</f>
        <v>0</v>
      </c>
      <c r="D1795" s="76">
        <f ca="1">SUMIF('Production '!$C$4:$AI$4407,'Tracking Sheet'!B1795,'Production '!$Q$4:$Q$4407)</f>
        <v>0</v>
      </c>
      <c r="E1795" s="76">
        <f ca="1">SUMIF('Production '!$C$4:$AI$4407,'Tracking Sheet'!B1795,'Production '!$S$4:$S$4407)</f>
        <v>0</v>
      </c>
      <c r="F1795" s="76">
        <f ca="1">SUMIF('Production '!$C$4:$AI$4407,'Tracking Sheet'!B1795,'Production '!$U$4:$U$4407)</f>
        <v>0</v>
      </c>
      <c r="G1795" s="76">
        <f ca="1">SUMIF('Production '!$C$4:$AI$4407,'Tracking Sheet'!B1795,'Production '!$W$4:$W$4407)</f>
        <v>0</v>
      </c>
      <c r="H1795" s="76">
        <f ca="1">SUMIF('Production '!$C$4:$AI$4407,'Tracking Sheet'!B1795,'Production '!$F$4:$F$4407)</f>
        <v>32379</v>
      </c>
      <c r="I1795" s="76">
        <f ca="1">SUMIF('Production '!$C$4:$AI$4407,'Tracking Sheet'!B1795,'Production '!$V$4:$V$4407)</f>
        <v>0</v>
      </c>
      <c r="J1795" s="76">
        <f ca="1">SUMIF('Production '!$C$4:$AI$4407,'Tracking Sheet'!B1795,'Production '!$AG$4:$AG$4407)</f>
        <v>-32379</v>
      </c>
    </row>
    <row r="1796" spans="2:10" x14ac:dyDescent="0.3">
      <c r="B1796" s="277">
        <f>'Production '!C1799</f>
        <v>48615</v>
      </c>
      <c r="C1796" s="76">
        <f ca="1">SUMIF('Production '!$C$4:$AI$4407,'Tracking Sheet'!B1796,'Production '!$M$4:$M$4407)</f>
        <v>0</v>
      </c>
      <c r="D1796" s="76">
        <f ca="1">SUMIF('Production '!$C$4:$AI$4407,'Tracking Sheet'!B1796,'Production '!$Q$4:$Q$4407)</f>
        <v>0</v>
      </c>
      <c r="E1796" s="76">
        <f ca="1">SUMIF('Production '!$C$4:$AI$4407,'Tracking Sheet'!B1796,'Production '!$S$4:$S$4407)</f>
        <v>0</v>
      </c>
      <c r="F1796" s="76">
        <f ca="1">SUMIF('Production '!$C$4:$AI$4407,'Tracking Sheet'!B1796,'Production '!$U$4:$U$4407)</f>
        <v>0</v>
      </c>
      <c r="G1796" s="76">
        <f ca="1">SUMIF('Production '!$C$4:$AI$4407,'Tracking Sheet'!B1796,'Production '!$W$4:$W$4407)</f>
        <v>0</v>
      </c>
      <c r="H1796" s="76">
        <f ca="1">SUMIF('Production '!$C$4:$AI$4407,'Tracking Sheet'!B1796,'Production '!$F$4:$F$4407)</f>
        <v>32379</v>
      </c>
      <c r="I1796" s="76">
        <f ca="1">SUMIF('Production '!$C$4:$AI$4407,'Tracking Sheet'!B1796,'Production '!$V$4:$V$4407)</f>
        <v>0</v>
      </c>
      <c r="J1796" s="76">
        <f ca="1">SUMIF('Production '!$C$4:$AI$4407,'Tracking Sheet'!B1796,'Production '!$AG$4:$AG$4407)</f>
        <v>-32379</v>
      </c>
    </row>
    <row r="1797" spans="2:10" x14ac:dyDescent="0.3">
      <c r="B1797" s="277">
        <f>'Production '!C1800</f>
        <v>48615</v>
      </c>
      <c r="C1797" s="76">
        <f ca="1">SUMIF('Production '!$C$4:$AI$4407,'Tracking Sheet'!B1797,'Production '!$M$4:$M$4407)</f>
        <v>0</v>
      </c>
      <c r="D1797" s="76">
        <f ca="1">SUMIF('Production '!$C$4:$AI$4407,'Tracking Sheet'!B1797,'Production '!$Q$4:$Q$4407)</f>
        <v>0</v>
      </c>
      <c r="E1797" s="76">
        <f ca="1">SUMIF('Production '!$C$4:$AI$4407,'Tracking Sheet'!B1797,'Production '!$S$4:$S$4407)</f>
        <v>0</v>
      </c>
      <c r="F1797" s="76">
        <f ca="1">SUMIF('Production '!$C$4:$AI$4407,'Tracking Sheet'!B1797,'Production '!$U$4:$U$4407)</f>
        <v>0</v>
      </c>
      <c r="G1797" s="76">
        <f ca="1">SUMIF('Production '!$C$4:$AI$4407,'Tracking Sheet'!B1797,'Production '!$W$4:$W$4407)</f>
        <v>0</v>
      </c>
      <c r="H1797" s="76">
        <f ca="1">SUMIF('Production '!$C$4:$AI$4407,'Tracking Sheet'!B1797,'Production '!$F$4:$F$4407)</f>
        <v>32379</v>
      </c>
      <c r="I1797" s="76">
        <f ca="1">SUMIF('Production '!$C$4:$AI$4407,'Tracking Sheet'!B1797,'Production '!$V$4:$V$4407)</f>
        <v>0</v>
      </c>
      <c r="J1797" s="76">
        <f ca="1">SUMIF('Production '!$C$4:$AI$4407,'Tracking Sheet'!B1797,'Production '!$AG$4:$AG$4407)</f>
        <v>-32379</v>
      </c>
    </row>
    <row r="1798" spans="2:10" x14ac:dyDescent="0.3">
      <c r="B1798" s="277">
        <f>'Production '!C1801</f>
        <v>48615</v>
      </c>
      <c r="C1798" s="76">
        <f ca="1">SUMIF('Production '!$C$4:$AI$4407,'Tracking Sheet'!B1798,'Production '!$M$4:$M$4407)</f>
        <v>0</v>
      </c>
      <c r="D1798" s="76">
        <f ca="1">SUMIF('Production '!$C$4:$AI$4407,'Tracking Sheet'!B1798,'Production '!$Q$4:$Q$4407)</f>
        <v>0</v>
      </c>
      <c r="E1798" s="76">
        <f ca="1">SUMIF('Production '!$C$4:$AI$4407,'Tracking Sheet'!B1798,'Production '!$S$4:$S$4407)</f>
        <v>0</v>
      </c>
      <c r="F1798" s="76">
        <f ca="1">SUMIF('Production '!$C$4:$AI$4407,'Tracking Sheet'!B1798,'Production '!$U$4:$U$4407)</f>
        <v>0</v>
      </c>
      <c r="G1798" s="76">
        <f ca="1">SUMIF('Production '!$C$4:$AI$4407,'Tracking Sheet'!B1798,'Production '!$W$4:$W$4407)</f>
        <v>0</v>
      </c>
      <c r="H1798" s="76">
        <f ca="1">SUMIF('Production '!$C$4:$AI$4407,'Tracking Sheet'!B1798,'Production '!$F$4:$F$4407)</f>
        <v>32379</v>
      </c>
      <c r="I1798" s="76">
        <f ca="1">SUMIF('Production '!$C$4:$AI$4407,'Tracking Sheet'!B1798,'Production '!$V$4:$V$4407)</f>
        <v>0</v>
      </c>
      <c r="J1798" s="76">
        <f ca="1">SUMIF('Production '!$C$4:$AI$4407,'Tracking Sheet'!B1798,'Production '!$AG$4:$AG$4407)</f>
        <v>-32379</v>
      </c>
    </row>
    <row r="1799" spans="2:10" x14ac:dyDescent="0.3">
      <c r="B1799" s="277">
        <f>'Production '!C1802</f>
        <v>48615</v>
      </c>
      <c r="C1799" s="76">
        <f ca="1">SUMIF('Production '!$C$4:$AI$4407,'Tracking Sheet'!B1799,'Production '!$M$4:$M$4407)</f>
        <v>0</v>
      </c>
      <c r="D1799" s="76">
        <f ca="1">SUMIF('Production '!$C$4:$AI$4407,'Tracking Sheet'!B1799,'Production '!$Q$4:$Q$4407)</f>
        <v>0</v>
      </c>
      <c r="E1799" s="76">
        <f ca="1">SUMIF('Production '!$C$4:$AI$4407,'Tracking Sheet'!B1799,'Production '!$S$4:$S$4407)</f>
        <v>0</v>
      </c>
      <c r="F1799" s="76">
        <f ca="1">SUMIF('Production '!$C$4:$AI$4407,'Tracking Sheet'!B1799,'Production '!$U$4:$U$4407)</f>
        <v>0</v>
      </c>
      <c r="G1799" s="76">
        <f ca="1">SUMIF('Production '!$C$4:$AI$4407,'Tracking Sheet'!B1799,'Production '!$W$4:$W$4407)</f>
        <v>0</v>
      </c>
      <c r="H1799" s="76">
        <f ca="1">SUMIF('Production '!$C$4:$AI$4407,'Tracking Sheet'!B1799,'Production '!$F$4:$F$4407)</f>
        <v>32379</v>
      </c>
      <c r="I1799" s="76">
        <f ca="1">SUMIF('Production '!$C$4:$AI$4407,'Tracking Sheet'!B1799,'Production '!$V$4:$V$4407)</f>
        <v>0</v>
      </c>
      <c r="J1799" s="76">
        <f ca="1">SUMIF('Production '!$C$4:$AI$4407,'Tracking Sheet'!B1799,'Production '!$AG$4:$AG$4407)</f>
        <v>-32379</v>
      </c>
    </row>
    <row r="1800" spans="2:10" x14ac:dyDescent="0.3">
      <c r="B1800" s="277">
        <f>'Production '!C1803</f>
        <v>48615</v>
      </c>
      <c r="C1800" s="76">
        <f ca="1">SUMIF('Production '!$C$4:$AI$4407,'Tracking Sheet'!B1800,'Production '!$M$4:$M$4407)</f>
        <v>0</v>
      </c>
      <c r="D1800" s="76">
        <f ca="1">SUMIF('Production '!$C$4:$AI$4407,'Tracking Sheet'!B1800,'Production '!$Q$4:$Q$4407)</f>
        <v>0</v>
      </c>
      <c r="E1800" s="76">
        <f ca="1">SUMIF('Production '!$C$4:$AI$4407,'Tracking Sheet'!B1800,'Production '!$S$4:$S$4407)</f>
        <v>0</v>
      </c>
      <c r="F1800" s="76">
        <f ca="1">SUMIF('Production '!$C$4:$AI$4407,'Tracking Sheet'!B1800,'Production '!$U$4:$U$4407)</f>
        <v>0</v>
      </c>
      <c r="G1800" s="76">
        <f ca="1">SUMIF('Production '!$C$4:$AI$4407,'Tracking Sheet'!B1800,'Production '!$W$4:$W$4407)</f>
        <v>0</v>
      </c>
      <c r="H1800" s="76">
        <f ca="1">SUMIF('Production '!$C$4:$AI$4407,'Tracking Sheet'!B1800,'Production '!$F$4:$F$4407)</f>
        <v>32379</v>
      </c>
      <c r="I1800" s="76">
        <f ca="1">SUMIF('Production '!$C$4:$AI$4407,'Tracking Sheet'!B1800,'Production '!$V$4:$V$4407)</f>
        <v>0</v>
      </c>
      <c r="J1800" s="76">
        <f ca="1">SUMIF('Production '!$C$4:$AI$4407,'Tracking Sheet'!B1800,'Production '!$AG$4:$AG$4407)</f>
        <v>-32379</v>
      </c>
    </row>
    <row r="1801" spans="2:10" x14ac:dyDescent="0.3">
      <c r="B1801" s="277">
        <f>'Production '!C1804</f>
        <v>48615</v>
      </c>
      <c r="C1801" s="76">
        <f ca="1">SUMIF('Production '!$C$4:$AI$4407,'Tracking Sheet'!B1801,'Production '!$M$4:$M$4407)</f>
        <v>0</v>
      </c>
      <c r="D1801" s="76">
        <f ca="1">SUMIF('Production '!$C$4:$AI$4407,'Tracking Sheet'!B1801,'Production '!$Q$4:$Q$4407)</f>
        <v>0</v>
      </c>
      <c r="E1801" s="76">
        <f ca="1">SUMIF('Production '!$C$4:$AI$4407,'Tracking Sheet'!B1801,'Production '!$S$4:$S$4407)</f>
        <v>0</v>
      </c>
      <c r="F1801" s="76">
        <f ca="1">SUMIF('Production '!$C$4:$AI$4407,'Tracking Sheet'!B1801,'Production '!$U$4:$U$4407)</f>
        <v>0</v>
      </c>
      <c r="G1801" s="76">
        <f ca="1">SUMIF('Production '!$C$4:$AI$4407,'Tracking Sheet'!B1801,'Production '!$W$4:$W$4407)</f>
        <v>0</v>
      </c>
      <c r="H1801" s="76">
        <f ca="1">SUMIF('Production '!$C$4:$AI$4407,'Tracking Sheet'!B1801,'Production '!$F$4:$F$4407)</f>
        <v>32379</v>
      </c>
      <c r="I1801" s="76">
        <f ca="1">SUMIF('Production '!$C$4:$AI$4407,'Tracking Sheet'!B1801,'Production '!$V$4:$V$4407)</f>
        <v>0</v>
      </c>
      <c r="J1801" s="76">
        <f ca="1">SUMIF('Production '!$C$4:$AI$4407,'Tracking Sheet'!B1801,'Production '!$AG$4:$AG$4407)</f>
        <v>-32379</v>
      </c>
    </row>
    <row r="1802" spans="2:10" x14ac:dyDescent="0.3">
      <c r="B1802" s="277">
        <f>'Production '!C1805</f>
        <v>48615</v>
      </c>
      <c r="C1802" s="76">
        <f ca="1">SUMIF('Production '!$C$4:$AI$4407,'Tracking Sheet'!B1802,'Production '!$M$4:$M$4407)</f>
        <v>0</v>
      </c>
      <c r="D1802" s="76">
        <f ca="1">SUMIF('Production '!$C$4:$AI$4407,'Tracking Sheet'!B1802,'Production '!$Q$4:$Q$4407)</f>
        <v>0</v>
      </c>
      <c r="E1802" s="76">
        <f ca="1">SUMIF('Production '!$C$4:$AI$4407,'Tracking Sheet'!B1802,'Production '!$S$4:$S$4407)</f>
        <v>0</v>
      </c>
      <c r="F1802" s="76">
        <f ca="1">SUMIF('Production '!$C$4:$AI$4407,'Tracking Sheet'!B1802,'Production '!$U$4:$U$4407)</f>
        <v>0</v>
      </c>
      <c r="G1802" s="76">
        <f ca="1">SUMIF('Production '!$C$4:$AI$4407,'Tracking Sheet'!B1802,'Production '!$W$4:$W$4407)</f>
        <v>0</v>
      </c>
      <c r="H1802" s="76">
        <f ca="1">SUMIF('Production '!$C$4:$AI$4407,'Tracking Sheet'!B1802,'Production '!$F$4:$F$4407)</f>
        <v>32379</v>
      </c>
      <c r="I1802" s="76">
        <f ca="1">SUMIF('Production '!$C$4:$AI$4407,'Tracking Sheet'!B1802,'Production '!$V$4:$V$4407)</f>
        <v>0</v>
      </c>
      <c r="J1802" s="76">
        <f ca="1">SUMIF('Production '!$C$4:$AI$4407,'Tracking Sheet'!B1802,'Production '!$AG$4:$AG$4407)</f>
        <v>-32379</v>
      </c>
    </row>
    <row r="1803" spans="2:10" x14ac:dyDescent="0.3">
      <c r="B1803" s="277">
        <f>'Production '!C1806</f>
        <v>0</v>
      </c>
      <c r="C1803" s="76" t="e">
        <f ca="1">SUMIF('Production '!$C$4:$AI$4407,'Tracking Sheet'!B1803,'Production '!$M$4:$M$4407)</f>
        <v>#DIV/0!</v>
      </c>
      <c r="D1803" s="76" t="e">
        <f ca="1">SUMIF('Production '!$C$4:$AI$4407,'Tracking Sheet'!B1803,'Production '!$Q$4:$Q$4407)</f>
        <v>#DIV/0!</v>
      </c>
      <c r="E1803" s="76">
        <f ca="1">SUMIF('Production '!$C$4:$AI$4407,'Tracking Sheet'!B1803,'Production '!$S$4:$S$4407)</f>
        <v>-1268218.9828305368</v>
      </c>
      <c r="F1803" s="76">
        <f ca="1">SUMIF('Production '!$C$4:$AI$4407,'Tracking Sheet'!B1803,'Production '!$U$4:$U$4407)</f>
        <v>-10620.435600016917</v>
      </c>
      <c r="G1803" s="76" t="e">
        <f ca="1">SUMIF('Production '!$C$4:$AI$4407,'Tracking Sheet'!B1803,'Production '!$W$4:$W$4407)</f>
        <v>#DIV/0!</v>
      </c>
      <c r="H1803" s="76">
        <f ca="1">SUMIF('Production '!$C$4:$AI$4407,'Tracking Sheet'!B1803,'Production '!$F$4:$F$4407)</f>
        <v>3230621.3283604058</v>
      </c>
      <c r="I1803" s="76">
        <f ca="1">SUMIF('Production '!$C$4:$AI$4407,'Tracking Sheet'!B1803,'Production '!$V$4:$V$4407)</f>
        <v>-489.86487791182844</v>
      </c>
      <c r="J1803" s="76">
        <f ca="1">SUMIF('Production '!$C$4:$AI$4407,'Tracking Sheet'!B1803,'Production '!$AG$4:$AG$4407)</f>
        <v>0</v>
      </c>
    </row>
    <row r="1804" spans="2:10" x14ac:dyDescent="0.3">
      <c r="B1804" s="277" t="str">
        <f>'Production '!C1807</f>
        <v>48615 2nd</v>
      </c>
      <c r="C1804" s="76">
        <f ca="1">SUMIF('Production '!$C$4:$AI$4407,'Tracking Sheet'!B1804,'Production '!$M$4:$M$4407)</f>
        <v>0</v>
      </c>
      <c r="D1804" s="76">
        <f ca="1">SUMIF('Production '!$C$4:$AI$4407,'Tracking Sheet'!B1804,'Production '!$Q$4:$Q$4407)</f>
        <v>0</v>
      </c>
      <c r="E1804" s="76">
        <f ca="1">SUMIF('Production '!$C$4:$AI$4407,'Tracking Sheet'!B1804,'Production '!$S$4:$S$4407)</f>
        <v>0</v>
      </c>
      <c r="F1804" s="76">
        <f ca="1">SUMIF('Production '!$C$4:$AI$4407,'Tracking Sheet'!B1804,'Production '!$U$4:$U$4407)</f>
        <v>0</v>
      </c>
      <c r="G1804" s="76">
        <f ca="1">SUMIF('Production '!$C$4:$AI$4407,'Tracking Sheet'!B1804,'Production '!$W$4:$W$4407)</f>
        <v>0</v>
      </c>
      <c r="H1804" s="76">
        <f ca="1">SUMIF('Production '!$C$4:$AI$4407,'Tracking Sheet'!B1804,'Production '!$F$4:$F$4407)</f>
        <v>1000</v>
      </c>
      <c r="I1804" s="76">
        <f ca="1">SUMIF('Production '!$C$4:$AI$4407,'Tracking Sheet'!B1804,'Production '!$V$4:$V$4407)</f>
        <v>0</v>
      </c>
      <c r="J1804" s="76">
        <f ca="1">SUMIF('Production '!$C$4:$AI$4407,'Tracking Sheet'!B1804,'Production '!$AG$4:$AG$4407)</f>
        <v>-1000</v>
      </c>
    </row>
    <row r="1805" spans="2:10" x14ac:dyDescent="0.3">
      <c r="B1805" s="277" t="str">
        <f>'Production '!C1808</f>
        <v>48615 2nd</v>
      </c>
      <c r="C1805" s="76">
        <f ca="1">SUMIF('Production '!$C$4:$AI$4407,'Tracking Sheet'!B1805,'Production '!$M$4:$M$4407)</f>
        <v>0</v>
      </c>
      <c r="D1805" s="76">
        <f ca="1">SUMIF('Production '!$C$4:$AI$4407,'Tracking Sheet'!B1805,'Production '!$Q$4:$Q$4407)</f>
        <v>0</v>
      </c>
      <c r="E1805" s="76">
        <f ca="1">SUMIF('Production '!$C$4:$AI$4407,'Tracking Sheet'!B1805,'Production '!$S$4:$S$4407)</f>
        <v>0</v>
      </c>
      <c r="F1805" s="76">
        <f ca="1">SUMIF('Production '!$C$4:$AI$4407,'Tracking Sheet'!B1805,'Production '!$U$4:$U$4407)</f>
        <v>0</v>
      </c>
      <c r="G1805" s="76">
        <f ca="1">SUMIF('Production '!$C$4:$AI$4407,'Tracking Sheet'!B1805,'Production '!$W$4:$W$4407)</f>
        <v>0</v>
      </c>
      <c r="H1805" s="76">
        <f ca="1">SUMIF('Production '!$C$4:$AI$4407,'Tracking Sheet'!B1805,'Production '!$F$4:$F$4407)</f>
        <v>1000</v>
      </c>
      <c r="I1805" s="76">
        <f ca="1">SUMIF('Production '!$C$4:$AI$4407,'Tracking Sheet'!B1805,'Production '!$V$4:$V$4407)</f>
        <v>0</v>
      </c>
      <c r="J1805" s="76">
        <f ca="1">SUMIF('Production '!$C$4:$AI$4407,'Tracking Sheet'!B1805,'Production '!$AG$4:$AG$4407)</f>
        <v>-1000</v>
      </c>
    </row>
    <row r="1806" spans="2:10" x14ac:dyDescent="0.3">
      <c r="B1806" s="277" t="str">
        <f>'Production '!C1809</f>
        <v>48615 2nd</v>
      </c>
      <c r="C1806" s="76">
        <f ca="1">SUMIF('Production '!$C$4:$AI$4407,'Tracking Sheet'!B1806,'Production '!$M$4:$M$4407)</f>
        <v>0</v>
      </c>
      <c r="D1806" s="76">
        <f ca="1">SUMIF('Production '!$C$4:$AI$4407,'Tracking Sheet'!B1806,'Production '!$Q$4:$Q$4407)</f>
        <v>0</v>
      </c>
      <c r="E1806" s="76">
        <f ca="1">SUMIF('Production '!$C$4:$AI$4407,'Tracking Sheet'!B1806,'Production '!$S$4:$S$4407)</f>
        <v>0</v>
      </c>
      <c r="F1806" s="76">
        <f ca="1">SUMIF('Production '!$C$4:$AI$4407,'Tracking Sheet'!B1806,'Production '!$U$4:$U$4407)</f>
        <v>0</v>
      </c>
      <c r="G1806" s="76">
        <f ca="1">SUMIF('Production '!$C$4:$AI$4407,'Tracking Sheet'!B1806,'Production '!$W$4:$W$4407)</f>
        <v>0</v>
      </c>
      <c r="H1806" s="76">
        <f ca="1">SUMIF('Production '!$C$4:$AI$4407,'Tracking Sheet'!B1806,'Production '!$F$4:$F$4407)</f>
        <v>1000</v>
      </c>
      <c r="I1806" s="76">
        <f ca="1">SUMIF('Production '!$C$4:$AI$4407,'Tracking Sheet'!B1806,'Production '!$V$4:$V$4407)</f>
        <v>0</v>
      </c>
      <c r="J1806" s="76">
        <f ca="1">SUMIF('Production '!$C$4:$AI$4407,'Tracking Sheet'!B1806,'Production '!$AG$4:$AG$4407)</f>
        <v>-1000</v>
      </c>
    </row>
    <row r="1807" spans="2:10" x14ac:dyDescent="0.3">
      <c r="B1807" s="277" t="str">
        <f>'Production '!C1810</f>
        <v>48615 2nd</v>
      </c>
      <c r="C1807" s="76">
        <f ca="1">SUMIF('Production '!$C$4:$AI$4407,'Tracking Sheet'!B1807,'Production '!$M$4:$M$4407)</f>
        <v>0</v>
      </c>
      <c r="D1807" s="76">
        <f ca="1">SUMIF('Production '!$C$4:$AI$4407,'Tracking Sheet'!B1807,'Production '!$Q$4:$Q$4407)</f>
        <v>0</v>
      </c>
      <c r="E1807" s="76">
        <f ca="1">SUMIF('Production '!$C$4:$AI$4407,'Tracking Sheet'!B1807,'Production '!$S$4:$S$4407)</f>
        <v>0</v>
      </c>
      <c r="F1807" s="76">
        <f ca="1">SUMIF('Production '!$C$4:$AI$4407,'Tracking Sheet'!B1807,'Production '!$U$4:$U$4407)</f>
        <v>0</v>
      </c>
      <c r="G1807" s="76">
        <f ca="1">SUMIF('Production '!$C$4:$AI$4407,'Tracking Sheet'!B1807,'Production '!$W$4:$W$4407)</f>
        <v>0</v>
      </c>
      <c r="H1807" s="76">
        <f ca="1">SUMIF('Production '!$C$4:$AI$4407,'Tracking Sheet'!B1807,'Production '!$F$4:$F$4407)</f>
        <v>1000</v>
      </c>
      <c r="I1807" s="76">
        <f ca="1">SUMIF('Production '!$C$4:$AI$4407,'Tracking Sheet'!B1807,'Production '!$V$4:$V$4407)</f>
        <v>0</v>
      </c>
      <c r="J1807" s="76">
        <f ca="1">SUMIF('Production '!$C$4:$AI$4407,'Tracking Sheet'!B1807,'Production '!$AG$4:$AG$4407)</f>
        <v>-1000</v>
      </c>
    </row>
    <row r="1808" spans="2:10" x14ac:dyDescent="0.3">
      <c r="B1808" s="277">
        <f>'Production '!C1811</f>
        <v>0</v>
      </c>
      <c r="C1808" s="76" t="e">
        <f ca="1">SUMIF('Production '!$C$4:$AI$4407,'Tracking Sheet'!B1808,'Production '!$M$4:$M$4407)</f>
        <v>#DIV/0!</v>
      </c>
      <c r="D1808" s="76" t="e">
        <f ca="1">SUMIF('Production '!$C$4:$AI$4407,'Tracking Sheet'!B1808,'Production '!$Q$4:$Q$4407)</f>
        <v>#DIV/0!</v>
      </c>
      <c r="E1808" s="76">
        <f ca="1">SUMIF('Production '!$C$4:$AI$4407,'Tracking Sheet'!B1808,'Production '!$S$4:$S$4407)</f>
        <v>-1268218.9828305368</v>
      </c>
      <c r="F1808" s="76">
        <f ca="1">SUMIF('Production '!$C$4:$AI$4407,'Tracking Sheet'!B1808,'Production '!$U$4:$U$4407)</f>
        <v>-10620.435600016917</v>
      </c>
      <c r="G1808" s="76" t="e">
        <f ca="1">SUMIF('Production '!$C$4:$AI$4407,'Tracking Sheet'!B1808,'Production '!$W$4:$W$4407)</f>
        <v>#DIV/0!</v>
      </c>
      <c r="H1808" s="76">
        <f ca="1">SUMIF('Production '!$C$4:$AI$4407,'Tracking Sheet'!B1808,'Production '!$F$4:$F$4407)</f>
        <v>3230621.3283604058</v>
      </c>
      <c r="I1808" s="76">
        <f ca="1">SUMIF('Production '!$C$4:$AI$4407,'Tracking Sheet'!B1808,'Production '!$V$4:$V$4407)</f>
        <v>-489.86487791182844</v>
      </c>
      <c r="J1808" s="76">
        <f ca="1">SUMIF('Production '!$C$4:$AI$4407,'Tracking Sheet'!B1808,'Production '!$AG$4:$AG$4407)</f>
        <v>0</v>
      </c>
    </row>
    <row r="1809" spans="2:10" x14ac:dyDescent="0.3">
      <c r="B1809" s="277" t="str">
        <f>'Production '!C1812</f>
        <v>30011 20th</v>
      </c>
      <c r="C1809" s="76">
        <f ca="1">SUMIF('Production '!$C$4:$AI$4407,'Tracking Sheet'!B1809,'Production '!$M$4:$M$4407)</f>
        <v>15088</v>
      </c>
      <c r="D1809" s="76">
        <f ca="1">SUMIF('Production '!$C$4:$AI$4407,'Tracking Sheet'!B1809,'Production '!$Q$4:$Q$4407)</f>
        <v>14997</v>
      </c>
      <c r="E1809" s="76">
        <f ca="1">SUMIF('Production '!$C$4:$AI$4407,'Tracking Sheet'!B1809,'Production '!$S$4:$S$4407)</f>
        <v>14884</v>
      </c>
      <c r="F1809" s="76">
        <f ca="1">SUMIF('Production '!$C$4:$AI$4407,'Tracking Sheet'!B1809,'Production '!$U$4:$U$4407)</f>
        <v>2793</v>
      </c>
      <c r="G1809" s="76">
        <f ca="1">SUMIF('Production '!$C$4:$AI$4407,'Tracking Sheet'!B1809,'Production '!$W$4:$W$4407)</f>
        <v>12091</v>
      </c>
      <c r="H1809" s="76">
        <f ca="1">SUMIF('Production '!$C$4:$AI$4407,'Tracking Sheet'!B1809,'Production '!$F$4:$F$4407)</f>
        <v>14412</v>
      </c>
      <c r="I1809" s="76">
        <f ca="1">SUMIF('Production '!$C$4:$AI$4407,'Tracking Sheet'!B1809,'Production '!$V$4:$V$4407)</f>
        <v>0</v>
      </c>
      <c r="J1809" s="76">
        <f ca="1">SUMIF('Production '!$C$4:$AI$4407,'Tracking Sheet'!B1809,'Production '!$AG$4:$AG$4407)</f>
        <v>0</v>
      </c>
    </row>
    <row r="1810" spans="2:10" x14ac:dyDescent="0.3">
      <c r="B1810" s="277" t="str">
        <f>'Production '!C1813</f>
        <v>30011 20th</v>
      </c>
      <c r="C1810" s="76">
        <f ca="1">SUMIF('Production '!$C$4:$AI$4407,'Tracking Sheet'!B1810,'Production '!$M$4:$M$4407)</f>
        <v>15088</v>
      </c>
      <c r="D1810" s="76">
        <f ca="1">SUMIF('Production '!$C$4:$AI$4407,'Tracking Sheet'!B1810,'Production '!$Q$4:$Q$4407)</f>
        <v>14997</v>
      </c>
      <c r="E1810" s="76">
        <f ca="1">SUMIF('Production '!$C$4:$AI$4407,'Tracking Sheet'!B1810,'Production '!$S$4:$S$4407)</f>
        <v>14884</v>
      </c>
      <c r="F1810" s="76">
        <f ca="1">SUMIF('Production '!$C$4:$AI$4407,'Tracking Sheet'!B1810,'Production '!$U$4:$U$4407)</f>
        <v>2793</v>
      </c>
      <c r="G1810" s="76">
        <f ca="1">SUMIF('Production '!$C$4:$AI$4407,'Tracking Sheet'!B1810,'Production '!$W$4:$W$4407)</f>
        <v>12091</v>
      </c>
      <c r="H1810" s="76">
        <f ca="1">SUMIF('Production '!$C$4:$AI$4407,'Tracking Sheet'!B1810,'Production '!$F$4:$F$4407)</f>
        <v>14412</v>
      </c>
      <c r="I1810" s="76">
        <f ca="1">SUMIF('Production '!$C$4:$AI$4407,'Tracking Sheet'!B1810,'Production '!$V$4:$V$4407)</f>
        <v>0</v>
      </c>
      <c r="J1810" s="76">
        <f ca="1">SUMIF('Production '!$C$4:$AI$4407,'Tracking Sheet'!B1810,'Production '!$AG$4:$AG$4407)</f>
        <v>0</v>
      </c>
    </row>
    <row r="1811" spans="2:10" x14ac:dyDescent="0.3">
      <c r="B1811" s="277" t="str">
        <f>'Production '!C1814</f>
        <v>30011 20th</v>
      </c>
      <c r="C1811" s="76">
        <f ca="1">SUMIF('Production '!$C$4:$AI$4407,'Tracking Sheet'!B1811,'Production '!$M$4:$M$4407)</f>
        <v>15088</v>
      </c>
      <c r="D1811" s="76">
        <f ca="1">SUMIF('Production '!$C$4:$AI$4407,'Tracking Sheet'!B1811,'Production '!$Q$4:$Q$4407)</f>
        <v>14997</v>
      </c>
      <c r="E1811" s="76">
        <f ca="1">SUMIF('Production '!$C$4:$AI$4407,'Tracking Sheet'!B1811,'Production '!$S$4:$S$4407)</f>
        <v>14884</v>
      </c>
      <c r="F1811" s="76">
        <f ca="1">SUMIF('Production '!$C$4:$AI$4407,'Tracking Sheet'!B1811,'Production '!$U$4:$U$4407)</f>
        <v>2793</v>
      </c>
      <c r="G1811" s="76">
        <f ca="1">SUMIF('Production '!$C$4:$AI$4407,'Tracking Sheet'!B1811,'Production '!$W$4:$W$4407)</f>
        <v>12091</v>
      </c>
      <c r="H1811" s="76">
        <f ca="1">SUMIF('Production '!$C$4:$AI$4407,'Tracking Sheet'!B1811,'Production '!$F$4:$F$4407)</f>
        <v>14412</v>
      </c>
      <c r="I1811" s="76">
        <f ca="1">SUMIF('Production '!$C$4:$AI$4407,'Tracking Sheet'!B1811,'Production '!$V$4:$V$4407)</f>
        <v>0</v>
      </c>
      <c r="J1811" s="76">
        <f ca="1">SUMIF('Production '!$C$4:$AI$4407,'Tracking Sheet'!B1811,'Production '!$AG$4:$AG$4407)</f>
        <v>0</v>
      </c>
    </row>
    <row r="1812" spans="2:10" x14ac:dyDescent="0.3">
      <c r="B1812" s="277" t="str">
        <f>'Production '!C1815</f>
        <v>30011 20th</v>
      </c>
      <c r="C1812" s="76">
        <f ca="1">SUMIF('Production '!$C$4:$AI$4407,'Tracking Sheet'!B1812,'Production '!$M$4:$M$4407)</f>
        <v>15088</v>
      </c>
      <c r="D1812" s="76">
        <f ca="1">SUMIF('Production '!$C$4:$AI$4407,'Tracking Sheet'!B1812,'Production '!$Q$4:$Q$4407)</f>
        <v>14997</v>
      </c>
      <c r="E1812" s="76">
        <f ca="1">SUMIF('Production '!$C$4:$AI$4407,'Tracking Sheet'!B1812,'Production '!$S$4:$S$4407)</f>
        <v>14884</v>
      </c>
      <c r="F1812" s="76">
        <f ca="1">SUMIF('Production '!$C$4:$AI$4407,'Tracking Sheet'!B1812,'Production '!$U$4:$U$4407)</f>
        <v>2793</v>
      </c>
      <c r="G1812" s="76">
        <f ca="1">SUMIF('Production '!$C$4:$AI$4407,'Tracking Sheet'!B1812,'Production '!$W$4:$W$4407)</f>
        <v>12091</v>
      </c>
      <c r="H1812" s="76">
        <f ca="1">SUMIF('Production '!$C$4:$AI$4407,'Tracking Sheet'!B1812,'Production '!$F$4:$F$4407)</f>
        <v>14412</v>
      </c>
      <c r="I1812" s="76">
        <f ca="1">SUMIF('Production '!$C$4:$AI$4407,'Tracking Sheet'!B1812,'Production '!$V$4:$V$4407)</f>
        <v>0</v>
      </c>
      <c r="J1812" s="76">
        <f ca="1">SUMIF('Production '!$C$4:$AI$4407,'Tracking Sheet'!B1812,'Production '!$AG$4:$AG$4407)</f>
        <v>0</v>
      </c>
    </row>
    <row r="1813" spans="2:10" x14ac:dyDescent="0.3">
      <c r="B1813" s="277" t="str">
        <f>'Production '!C1816</f>
        <v>30011 20th</v>
      </c>
      <c r="C1813" s="76">
        <f ca="1">SUMIF('Production '!$C$4:$AI$4407,'Tracking Sheet'!B1813,'Production '!$M$4:$M$4407)</f>
        <v>15088</v>
      </c>
      <c r="D1813" s="76">
        <f ca="1">SUMIF('Production '!$C$4:$AI$4407,'Tracking Sheet'!B1813,'Production '!$Q$4:$Q$4407)</f>
        <v>14997</v>
      </c>
      <c r="E1813" s="76">
        <f ca="1">SUMIF('Production '!$C$4:$AI$4407,'Tracking Sheet'!B1813,'Production '!$S$4:$S$4407)</f>
        <v>14884</v>
      </c>
      <c r="F1813" s="76">
        <f ca="1">SUMIF('Production '!$C$4:$AI$4407,'Tracking Sheet'!B1813,'Production '!$U$4:$U$4407)</f>
        <v>2793</v>
      </c>
      <c r="G1813" s="76">
        <f ca="1">SUMIF('Production '!$C$4:$AI$4407,'Tracking Sheet'!B1813,'Production '!$W$4:$W$4407)</f>
        <v>12091</v>
      </c>
      <c r="H1813" s="76">
        <f ca="1">SUMIF('Production '!$C$4:$AI$4407,'Tracking Sheet'!B1813,'Production '!$F$4:$F$4407)</f>
        <v>14412</v>
      </c>
      <c r="I1813" s="76">
        <f ca="1">SUMIF('Production '!$C$4:$AI$4407,'Tracking Sheet'!B1813,'Production '!$V$4:$V$4407)</f>
        <v>0</v>
      </c>
      <c r="J1813" s="76">
        <f ca="1">SUMIF('Production '!$C$4:$AI$4407,'Tracking Sheet'!B1813,'Production '!$AG$4:$AG$4407)</f>
        <v>0</v>
      </c>
    </row>
    <row r="1814" spans="2:10" x14ac:dyDescent="0.3">
      <c r="B1814" s="277" t="str">
        <f>'Production '!C1817</f>
        <v>30011 20th</v>
      </c>
      <c r="C1814" s="76">
        <f ca="1">SUMIF('Production '!$C$4:$AI$4407,'Tracking Sheet'!B1814,'Production '!$M$4:$M$4407)</f>
        <v>15088</v>
      </c>
      <c r="D1814" s="76">
        <f ca="1">SUMIF('Production '!$C$4:$AI$4407,'Tracking Sheet'!B1814,'Production '!$Q$4:$Q$4407)</f>
        <v>14997</v>
      </c>
      <c r="E1814" s="76">
        <f ca="1">SUMIF('Production '!$C$4:$AI$4407,'Tracking Sheet'!B1814,'Production '!$S$4:$S$4407)</f>
        <v>14884</v>
      </c>
      <c r="F1814" s="76">
        <f ca="1">SUMIF('Production '!$C$4:$AI$4407,'Tracking Sheet'!B1814,'Production '!$U$4:$U$4407)</f>
        <v>2793</v>
      </c>
      <c r="G1814" s="76">
        <f ca="1">SUMIF('Production '!$C$4:$AI$4407,'Tracking Sheet'!B1814,'Production '!$W$4:$W$4407)</f>
        <v>12091</v>
      </c>
      <c r="H1814" s="76">
        <f ca="1">SUMIF('Production '!$C$4:$AI$4407,'Tracking Sheet'!B1814,'Production '!$F$4:$F$4407)</f>
        <v>14412</v>
      </c>
      <c r="I1814" s="76">
        <f ca="1">SUMIF('Production '!$C$4:$AI$4407,'Tracking Sheet'!B1814,'Production '!$V$4:$V$4407)</f>
        <v>0</v>
      </c>
      <c r="J1814" s="76">
        <f ca="1">SUMIF('Production '!$C$4:$AI$4407,'Tracking Sheet'!B1814,'Production '!$AG$4:$AG$4407)</f>
        <v>0</v>
      </c>
    </row>
    <row r="1815" spans="2:10" x14ac:dyDescent="0.3">
      <c r="B1815" s="277" t="str">
        <f>'Production '!C1818</f>
        <v>30011 20th</v>
      </c>
      <c r="C1815" s="76">
        <f ca="1">SUMIF('Production '!$C$4:$AI$4407,'Tracking Sheet'!B1815,'Production '!$M$4:$M$4407)</f>
        <v>15088</v>
      </c>
      <c r="D1815" s="76">
        <f ca="1">SUMIF('Production '!$C$4:$AI$4407,'Tracking Sheet'!B1815,'Production '!$Q$4:$Q$4407)</f>
        <v>14997</v>
      </c>
      <c r="E1815" s="76">
        <f ca="1">SUMIF('Production '!$C$4:$AI$4407,'Tracking Sheet'!B1815,'Production '!$S$4:$S$4407)</f>
        <v>14884</v>
      </c>
      <c r="F1815" s="76">
        <f ca="1">SUMIF('Production '!$C$4:$AI$4407,'Tracking Sheet'!B1815,'Production '!$U$4:$U$4407)</f>
        <v>2793</v>
      </c>
      <c r="G1815" s="76">
        <f ca="1">SUMIF('Production '!$C$4:$AI$4407,'Tracking Sheet'!B1815,'Production '!$W$4:$W$4407)</f>
        <v>12091</v>
      </c>
      <c r="H1815" s="76">
        <f ca="1">SUMIF('Production '!$C$4:$AI$4407,'Tracking Sheet'!B1815,'Production '!$F$4:$F$4407)</f>
        <v>14412</v>
      </c>
      <c r="I1815" s="76">
        <f ca="1">SUMIF('Production '!$C$4:$AI$4407,'Tracking Sheet'!B1815,'Production '!$V$4:$V$4407)</f>
        <v>0</v>
      </c>
      <c r="J1815" s="76">
        <f ca="1">SUMIF('Production '!$C$4:$AI$4407,'Tracking Sheet'!B1815,'Production '!$AG$4:$AG$4407)</f>
        <v>0</v>
      </c>
    </row>
    <row r="1816" spans="2:10" x14ac:dyDescent="0.3">
      <c r="B1816" s="277" t="str">
        <f>'Production '!C1819</f>
        <v>30011 20th</v>
      </c>
      <c r="C1816" s="76">
        <f ca="1">SUMIF('Production '!$C$4:$AI$4407,'Tracking Sheet'!B1816,'Production '!$M$4:$M$4407)</f>
        <v>15088</v>
      </c>
      <c r="D1816" s="76">
        <f ca="1">SUMIF('Production '!$C$4:$AI$4407,'Tracking Sheet'!B1816,'Production '!$Q$4:$Q$4407)</f>
        <v>14997</v>
      </c>
      <c r="E1816" s="76">
        <f ca="1">SUMIF('Production '!$C$4:$AI$4407,'Tracking Sheet'!B1816,'Production '!$S$4:$S$4407)</f>
        <v>14884</v>
      </c>
      <c r="F1816" s="76">
        <f ca="1">SUMIF('Production '!$C$4:$AI$4407,'Tracking Sheet'!B1816,'Production '!$U$4:$U$4407)</f>
        <v>2793</v>
      </c>
      <c r="G1816" s="76">
        <f ca="1">SUMIF('Production '!$C$4:$AI$4407,'Tracking Sheet'!B1816,'Production '!$W$4:$W$4407)</f>
        <v>12091</v>
      </c>
      <c r="H1816" s="76">
        <f ca="1">SUMIF('Production '!$C$4:$AI$4407,'Tracking Sheet'!B1816,'Production '!$F$4:$F$4407)</f>
        <v>14412</v>
      </c>
      <c r="I1816" s="76">
        <f ca="1">SUMIF('Production '!$C$4:$AI$4407,'Tracking Sheet'!B1816,'Production '!$V$4:$V$4407)</f>
        <v>0</v>
      </c>
      <c r="J1816" s="76">
        <f ca="1">SUMIF('Production '!$C$4:$AI$4407,'Tracking Sheet'!B1816,'Production '!$AG$4:$AG$4407)</f>
        <v>0</v>
      </c>
    </row>
    <row r="1817" spans="2:10" x14ac:dyDescent="0.3">
      <c r="B1817" s="277" t="str">
        <f>'Production '!C1820</f>
        <v>30011 20th</v>
      </c>
      <c r="C1817" s="76">
        <f ca="1">SUMIF('Production '!$C$4:$AI$4407,'Tracking Sheet'!B1817,'Production '!$M$4:$M$4407)</f>
        <v>15088</v>
      </c>
      <c r="D1817" s="76">
        <f ca="1">SUMIF('Production '!$C$4:$AI$4407,'Tracking Sheet'!B1817,'Production '!$Q$4:$Q$4407)</f>
        <v>14997</v>
      </c>
      <c r="E1817" s="76">
        <f ca="1">SUMIF('Production '!$C$4:$AI$4407,'Tracking Sheet'!B1817,'Production '!$S$4:$S$4407)</f>
        <v>14884</v>
      </c>
      <c r="F1817" s="76">
        <f ca="1">SUMIF('Production '!$C$4:$AI$4407,'Tracking Sheet'!B1817,'Production '!$U$4:$U$4407)</f>
        <v>2793</v>
      </c>
      <c r="G1817" s="76">
        <f ca="1">SUMIF('Production '!$C$4:$AI$4407,'Tracking Sheet'!B1817,'Production '!$W$4:$W$4407)</f>
        <v>12091</v>
      </c>
      <c r="H1817" s="76">
        <f ca="1">SUMIF('Production '!$C$4:$AI$4407,'Tracking Sheet'!B1817,'Production '!$F$4:$F$4407)</f>
        <v>14412</v>
      </c>
      <c r="I1817" s="76">
        <f ca="1">SUMIF('Production '!$C$4:$AI$4407,'Tracking Sheet'!B1817,'Production '!$V$4:$V$4407)</f>
        <v>0</v>
      </c>
      <c r="J1817" s="76">
        <f ca="1">SUMIF('Production '!$C$4:$AI$4407,'Tracking Sheet'!B1817,'Production '!$AG$4:$AG$4407)</f>
        <v>0</v>
      </c>
    </row>
    <row r="1818" spans="2:10" x14ac:dyDescent="0.3">
      <c r="B1818" s="277" t="str">
        <f>'Production '!C1821</f>
        <v>30011 20th</v>
      </c>
      <c r="C1818" s="76">
        <f ca="1">SUMIF('Production '!$C$4:$AI$4407,'Tracking Sheet'!B1818,'Production '!$M$4:$M$4407)</f>
        <v>15088</v>
      </c>
      <c r="D1818" s="76">
        <f ca="1">SUMIF('Production '!$C$4:$AI$4407,'Tracking Sheet'!B1818,'Production '!$Q$4:$Q$4407)</f>
        <v>14997</v>
      </c>
      <c r="E1818" s="76">
        <f ca="1">SUMIF('Production '!$C$4:$AI$4407,'Tracking Sheet'!B1818,'Production '!$S$4:$S$4407)</f>
        <v>14884</v>
      </c>
      <c r="F1818" s="76">
        <f ca="1">SUMIF('Production '!$C$4:$AI$4407,'Tracking Sheet'!B1818,'Production '!$U$4:$U$4407)</f>
        <v>2793</v>
      </c>
      <c r="G1818" s="76">
        <f ca="1">SUMIF('Production '!$C$4:$AI$4407,'Tracking Sheet'!B1818,'Production '!$W$4:$W$4407)</f>
        <v>12091</v>
      </c>
      <c r="H1818" s="76">
        <f ca="1">SUMIF('Production '!$C$4:$AI$4407,'Tracking Sheet'!B1818,'Production '!$F$4:$F$4407)</f>
        <v>14412</v>
      </c>
      <c r="I1818" s="76">
        <f ca="1">SUMIF('Production '!$C$4:$AI$4407,'Tracking Sheet'!B1818,'Production '!$V$4:$V$4407)</f>
        <v>0</v>
      </c>
      <c r="J1818" s="76">
        <f ca="1">SUMIF('Production '!$C$4:$AI$4407,'Tracking Sheet'!B1818,'Production '!$AG$4:$AG$4407)</f>
        <v>0</v>
      </c>
    </row>
    <row r="1819" spans="2:10" x14ac:dyDescent="0.3">
      <c r="B1819" s="277" t="str">
        <f>'Production '!C1822</f>
        <v>30011 20th</v>
      </c>
      <c r="C1819" s="76">
        <f ca="1">SUMIF('Production '!$C$4:$AI$4407,'Tracking Sheet'!B1819,'Production '!$M$4:$M$4407)</f>
        <v>15088</v>
      </c>
      <c r="D1819" s="76">
        <f ca="1">SUMIF('Production '!$C$4:$AI$4407,'Tracking Sheet'!B1819,'Production '!$Q$4:$Q$4407)</f>
        <v>14997</v>
      </c>
      <c r="E1819" s="76">
        <f ca="1">SUMIF('Production '!$C$4:$AI$4407,'Tracking Sheet'!B1819,'Production '!$S$4:$S$4407)</f>
        <v>14884</v>
      </c>
      <c r="F1819" s="76">
        <f ca="1">SUMIF('Production '!$C$4:$AI$4407,'Tracking Sheet'!B1819,'Production '!$U$4:$U$4407)</f>
        <v>2793</v>
      </c>
      <c r="G1819" s="76">
        <f ca="1">SUMIF('Production '!$C$4:$AI$4407,'Tracking Sheet'!B1819,'Production '!$W$4:$W$4407)</f>
        <v>12091</v>
      </c>
      <c r="H1819" s="76">
        <f ca="1">SUMIF('Production '!$C$4:$AI$4407,'Tracking Sheet'!B1819,'Production '!$F$4:$F$4407)</f>
        <v>14412</v>
      </c>
      <c r="I1819" s="76">
        <f ca="1">SUMIF('Production '!$C$4:$AI$4407,'Tracking Sheet'!B1819,'Production '!$V$4:$V$4407)</f>
        <v>0</v>
      </c>
      <c r="J1819" s="76">
        <f ca="1">SUMIF('Production '!$C$4:$AI$4407,'Tracking Sheet'!B1819,'Production '!$AG$4:$AG$4407)</f>
        <v>0</v>
      </c>
    </row>
    <row r="1820" spans="2:10" x14ac:dyDescent="0.3">
      <c r="B1820" s="277" t="str">
        <f>'Production '!C1823</f>
        <v>30011 20th</v>
      </c>
      <c r="C1820" s="76">
        <f ca="1">SUMIF('Production '!$C$4:$AI$4407,'Tracking Sheet'!B1820,'Production '!$M$4:$M$4407)</f>
        <v>15088</v>
      </c>
      <c r="D1820" s="76">
        <f ca="1">SUMIF('Production '!$C$4:$AI$4407,'Tracking Sheet'!B1820,'Production '!$Q$4:$Q$4407)</f>
        <v>14997</v>
      </c>
      <c r="E1820" s="76">
        <f ca="1">SUMIF('Production '!$C$4:$AI$4407,'Tracking Sheet'!B1820,'Production '!$S$4:$S$4407)</f>
        <v>14884</v>
      </c>
      <c r="F1820" s="76">
        <f ca="1">SUMIF('Production '!$C$4:$AI$4407,'Tracking Sheet'!B1820,'Production '!$U$4:$U$4407)</f>
        <v>2793</v>
      </c>
      <c r="G1820" s="76">
        <f ca="1">SUMIF('Production '!$C$4:$AI$4407,'Tracking Sheet'!B1820,'Production '!$W$4:$W$4407)</f>
        <v>12091</v>
      </c>
      <c r="H1820" s="76">
        <f ca="1">SUMIF('Production '!$C$4:$AI$4407,'Tracking Sheet'!B1820,'Production '!$F$4:$F$4407)</f>
        <v>14412</v>
      </c>
      <c r="I1820" s="76">
        <f ca="1">SUMIF('Production '!$C$4:$AI$4407,'Tracking Sheet'!B1820,'Production '!$V$4:$V$4407)</f>
        <v>0</v>
      </c>
      <c r="J1820" s="76">
        <f ca="1">SUMIF('Production '!$C$4:$AI$4407,'Tracking Sheet'!B1820,'Production '!$AG$4:$AG$4407)</f>
        <v>0</v>
      </c>
    </row>
    <row r="1821" spans="2:10" x14ac:dyDescent="0.3">
      <c r="B1821" s="277" t="str">
        <f>'Production '!C1824</f>
        <v>30011 20th</v>
      </c>
      <c r="C1821" s="76">
        <f ca="1">SUMIF('Production '!$C$4:$AI$4407,'Tracking Sheet'!B1821,'Production '!$M$4:$M$4407)</f>
        <v>15088</v>
      </c>
      <c r="D1821" s="76">
        <f ca="1">SUMIF('Production '!$C$4:$AI$4407,'Tracking Sheet'!B1821,'Production '!$Q$4:$Q$4407)</f>
        <v>14997</v>
      </c>
      <c r="E1821" s="76">
        <f ca="1">SUMIF('Production '!$C$4:$AI$4407,'Tracking Sheet'!B1821,'Production '!$S$4:$S$4407)</f>
        <v>14884</v>
      </c>
      <c r="F1821" s="76">
        <f ca="1">SUMIF('Production '!$C$4:$AI$4407,'Tracking Sheet'!B1821,'Production '!$U$4:$U$4407)</f>
        <v>2793</v>
      </c>
      <c r="G1821" s="76">
        <f ca="1">SUMIF('Production '!$C$4:$AI$4407,'Tracking Sheet'!B1821,'Production '!$W$4:$W$4407)</f>
        <v>12091</v>
      </c>
      <c r="H1821" s="76">
        <f ca="1">SUMIF('Production '!$C$4:$AI$4407,'Tracking Sheet'!B1821,'Production '!$F$4:$F$4407)</f>
        <v>14412</v>
      </c>
      <c r="I1821" s="76">
        <f ca="1">SUMIF('Production '!$C$4:$AI$4407,'Tracking Sheet'!B1821,'Production '!$V$4:$V$4407)</f>
        <v>0</v>
      </c>
      <c r="J1821" s="76">
        <f ca="1">SUMIF('Production '!$C$4:$AI$4407,'Tracking Sheet'!B1821,'Production '!$AG$4:$AG$4407)</f>
        <v>0</v>
      </c>
    </row>
    <row r="1822" spans="2:10" x14ac:dyDescent="0.3">
      <c r="B1822" s="277" t="str">
        <f>'Production '!C1825</f>
        <v>30011 20th</v>
      </c>
      <c r="C1822" s="76">
        <f ca="1">SUMIF('Production '!$C$4:$AI$4407,'Tracking Sheet'!B1822,'Production '!$M$4:$M$4407)</f>
        <v>15088</v>
      </c>
      <c r="D1822" s="76">
        <f ca="1">SUMIF('Production '!$C$4:$AI$4407,'Tracking Sheet'!B1822,'Production '!$Q$4:$Q$4407)</f>
        <v>14997</v>
      </c>
      <c r="E1822" s="76">
        <f ca="1">SUMIF('Production '!$C$4:$AI$4407,'Tracking Sheet'!B1822,'Production '!$S$4:$S$4407)</f>
        <v>14884</v>
      </c>
      <c r="F1822" s="76">
        <f ca="1">SUMIF('Production '!$C$4:$AI$4407,'Tracking Sheet'!B1822,'Production '!$U$4:$U$4407)</f>
        <v>2793</v>
      </c>
      <c r="G1822" s="76">
        <f ca="1">SUMIF('Production '!$C$4:$AI$4407,'Tracking Sheet'!B1822,'Production '!$W$4:$W$4407)</f>
        <v>12091</v>
      </c>
      <c r="H1822" s="76">
        <f ca="1">SUMIF('Production '!$C$4:$AI$4407,'Tracking Sheet'!B1822,'Production '!$F$4:$F$4407)</f>
        <v>14412</v>
      </c>
      <c r="I1822" s="76">
        <f ca="1">SUMIF('Production '!$C$4:$AI$4407,'Tracking Sheet'!B1822,'Production '!$V$4:$V$4407)</f>
        <v>0</v>
      </c>
      <c r="J1822" s="76">
        <f ca="1">SUMIF('Production '!$C$4:$AI$4407,'Tracking Sheet'!B1822,'Production '!$AG$4:$AG$4407)</f>
        <v>0</v>
      </c>
    </row>
    <row r="1823" spans="2:10" x14ac:dyDescent="0.3">
      <c r="B1823" s="277" t="str">
        <f>'Production '!C1826</f>
        <v>30011 20th</v>
      </c>
      <c r="C1823" s="76">
        <f ca="1">SUMIF('Production '!$C$4:$AI$4407,'Tracking Sheet'!B1823,'Production '!$M$4:$M$4407)</f>
        <v>15088</v>
      </c>
      <c r="D1823" s="76">
        <f ca="1">SUMIF('Production '!$C$4:$AI$4407,'Tracking Sheet'!B1823,'Production '!$Q$4:$Q$4407)</f>
        <v>14997</v>
      </c>
      <c r="E1823" s="76">
        <f ca="1">SUMIF('Production '!$C$4:$AI$4407,'Tracking Sheet'!B1823,'Production '!$S$4:$S$4407)</f>
        <v>14884</v>
      </c>
      <c r="F1823" s="76">
        <f ca="1">SUMIF('Production '!$C$4:$AI$4407,'Tracking Sheet'!B1823,'Production '!$U$4:$U$4407)</f>
        <v>2793</v>
      </c>
      <c r="G1823" s="76">
        <f ca="1">SUMIF('Production '!$C$4:$AI$4407,'Tracking Sheet'!B1823,'Production '!$W$4:$W$4407)</f>
        <v>12091</v>
      </c>
      <c r="H1823" s="76">
        <f ca="1">SUMIF('Production '!$C$4:$AI$4407,'Tracking Sheet'!B1823,'Production '!$F$4:$F$4407)</f>
        <v>14412</v>
      </c>
      <c r="I1823" s="76">
        <f ca="1">SUMIF('Production '!$C$4:$AI$4407,'Tracking Sheet'!B1823,'Production '!$V$4:$V$4407)</f>
        <v>0</v>
      </c>
      <c r="J1823" s="76">
        <f ca="1">SUMIF('Production '!$C$4:$AI$4407,'Tracking Sheet'!B1823,'Production '!$AG$4:$AG$4407)</f>
        <v>0</v>
      </c>
    </row>
    <row r="1824" spans="2:10" x14ac:dyDescent="0.3">
      <c r="B1824" s="277">
        <f>'Production '!C1827</f>
        <v>0</v>
      </c>
      <c r="C1824" s="76" t="e">
        <f ca="1">SUMIF('Production '!$C$4:$AI$4407,'Tracking Sheet'!B1824,'Production '!$M$4:$M$4407)</f>
        <v>#DIV/0!</v>
      </c>
      <c r="D1824" s="76" t="e">
        <f ca="1">SUMIF('Production '!$C$4:$AI$4407,'Tracking Sheet'!B1824,'Production '!$Q$4:$Q$4407)</f>
        <v>#DIV/0!</v>
      </c>
      <c r="E1824" s="76">
        <f ca="1">SUMIF('Production '!$C$4:$AI$4407,'Tracking Sheet'!B1824,'Production '!$S$4:$S$4407)</f>
        <v>-1268218.9828305368</v>
      </c>
      <c r="F1824" s="76">
        <f ca="1">SUMIF('Production '!$C$4:$AI$4407,'Tracking Sheet'!B1824,'Production '!$U$4:$U$4407)</f>
        <v>-10620.435600016917</v>
      </c>
      <c r="G1824" s="76" t="e">
        <f ca="1">SUMIF('Production '!$C$4:$AI$4407,'Tracking Sheet'!B1824,'Production '!$W$4:$W$4407)</f>
        <v>#DIV/0!</v>
      </c>
      <c r="H1824" s="76">
        <f ca="1">SUMIF('Production '!$C$4:$AI$4407,'Tracking Sheet'!B1824,'Production '!$F$4:$F$4407)</f>
        <v>3230621.3283604058</v>
      </c>
      <c r="I1824" s="76">
        <f ca="1">SUMIF('Production '!$C$4:$AI$4407,'Tracking Sheet'!B1824,'Production '!$V$4:$V$4407)</f>
        <v>-489.86487791182844</v>
      </c>
      <c r="J1824" s="76">
        <f ca="1">SUMIF('Production '!$C$4:$AI$4407,'Tracking Sheet'!B1824,'Production '!$AG$4:$AG$4407)</f>
        <v>0</v>
      </c>
    </row>
    <row r="1825" spans="2:10" x14ac:dyDescent="0.3">
      <c r="B1825" s="277" t="str">
        <f>'Production '!C1828</f>
        <v>30011 21th</v>
      </c>
      <c r="C1825" s="76">
        <f ca="1">SUMIF('Production '!$C$4:$AI$4407,'Tracking Sheet'!B1825,'Production '!$M$4:$M$4407)</f>
        <v>13022</v>
      </c>
      <c r="D1825" s="76">
        <f ca="1">SUMIF('Production '!$C$4:$AI$4407,'Tracking Sheet'!B1825,'Production '!$Q$4:$Q$4407)</f>
        <v>12085</v>
      </c>
      <c r="E1825" s="76">
        <f ca="1">SUMIF('Production '!$C$4:$AI$4407,'Tracking Sheet'!B1825,'Production '!$S$4:$S$4407)</f>
        <v>5848</v>
      </c>
      <c r="F1825" s="76">
        <f ca="1">SUMIF('Production '!$C$4:$AI$4407,'Tracking Sheet'!B1825,'Production '!$U$4:$U$4407)</f>
        <v>943</v>
      </c>
      <c r="G1825" s="76">
        <f ca="1">SUMIF('Production '!$C$4:$AI$4407,'Tracking Sheet'!B1825,'Production '!$W$4:$W$4407)</f>
        <v>5835</v>
      </c>
      <c r="H1825" s="76">
        <f ca="1">SUMIF('Production '!$C$4:$AI$4407,'Tracking Sheet'!B1825,'Production '!$F$4:$F$4407)</f>
        <v>12597</v>
      </c>
      <c r="I1825" s="76">
        <f ca="1">SUMIF('Production '!$C$4:$AI$4407,'Tracking Sheet'!B1825,'Production '!$V$4:$V$4407)</f>
        <v>0</v>
      </c>
      <c r="J1825" s="76">
        <f ca="1">SUMIF('Production '!$C$4:$AI$4407,'Tracking Sheet'!B1825,'Production '!$AG$4:$AG$4407)</f>
        <v>0</v>
      </c>
    </row>
    <row r="1826" spans="2:10" x14ac:dyDescent="0.3">
      <c r="B1826" s="277" t="str">
        <f>'Production '!C1829</f>
        <v>30011 21th</v>
      </c>
      <c r="C1826" s="76">
        <f ca="1">SUMIF('Production '!$C$4:$AI$4407,'Tracking Sheet'!B1826,'Production '!$M$4:$M$4407)</f>
        <v>13022</v>
      </c>
      <c r="D1826" s="76">
        <f ca="1">SUMIF('Production '!$C$4:$AI$4407,'Tracking Sheet'!B1826,'Production '!$Q$4:$Q$4407)</f>
        <v>12085</v>
      </c>
      <c r="E1826" s="76">
        <f ca="1">SUMIF('Production '!$C$4:$AI$4407,'Tracking Sheet'!B1826,'Production '!$S$4:$S$4407)</f>
        <v>5848</v>
      </c>
      <c r="F1826" s="76">
        <f ca="1">SUMIF('Production '!$C$4:$AI$4407,'Tracking Sheet'!B1826,'Production '!$U$4:$U$4407)</f>
        <v>943</v>
      </c>
      <c r="G1826" s="76">
        <f ca="1">SUMIF('Production '!$C$4:$AI$4407,'Tracking Sheet'!B1826,'Production '!$W$4:$W$4407)</f>
        <v>5835</v>
      </c>
      <c r="H1826" s="76">
        <f ca="1">SUMIF('Production '!$C$4:$AI$4407,'Tracking Sheet'!B1826,'Production '!$F$4:$F$4407)</f>
        <v>12597</v>
      </c>
      <c r="I1826" s="76">
        <f ca="1">SUMIF('Production '!$C$4:$AI$4407,'Tracking Sheet'!B1826,'Production '!$V$4:$V$4407)</f>
        <v>0</v>
      </c>
      <c r="J1826" s="76">
        <f ca="1">SUMIF('Production '!$C$4:$AI$4407,'Tracking Sheet'!B1826,'Production '!$AG$4:$AG$4407)</f>
        <v>0</v>
      </c>
    </row>
    <row r="1827" spans="2:10" x14ac:dyDescent="0.3">
      <c r="B1827" s="277" t="str">
        <f>'Production '!C1830</f>
        <v>30011 21th</v>
      </c>
      <c r="C1827" s="76">
        <f ca="1">SUMIF('Production '!$C$4:$AI$4407,'Tracking Sheet'!B1827,'Production '!$M$4:$M$4407)</f>
        <v>13022</v>
      </c>
      <c r="D1827" s="76">
        <f ca="1">SUMIF('Production '!$C$4:$AI$4407,'Tracking Sheet'!B1827,'Production '!$Q$4:$Q$4407)</f>
        <v>12085</v>
      </c>
      <c r="E1827" s="76">
        <f ca="1">SUMIF('Production '!$C$4:$AI$4407,'Tracking Sheet'!B1827,'Production '!$S$4:$S$4407)</f>
        <v>5848</v>
      </c>
      <c r="F1827" s="76">
        <f ca="1">SUMIF('Production '!$C$4:$AI$4407,'Tracking Sheet'!B1827,'Production '!$U$4:$U$4407)</f>
        <v>943</v>
      </c>
      <c r="G1827" s="76">
        <f ca="1">SUMIF('Production '!$C$4:$AI$4407,'Tracking Sheet'!B1827,'Production '!$W$4:$W$4407)</f>
        <v>5835</v>
      </c>
      <c r="H1827" s="76">
        <f ca="1">SUMIF('Production '!$C$4:$AI$4407,'Tracking Sheet'!B1827,'Production '!$F$4:$F$4407)</f>
        <v>12597</v>
      </c>
      <c r="I1827" s="76">
        <f ca="1">SUMIF('Production '!$C$4:$AI$4407,'Tracking Sheet'!B1827,'Production '!$V$4:$V$4407)</f>
        <v>0</v>
      </c>
      <c r="J1827" s="76">
        <f ca="1">SUMIF('Production '!$C$4:$AI$4407,'Tracking Sheet'!B1827,'Production '!$AG$4:$AG$4407)</f>
        <v>0</v>
      </c>
    </row>
    <row r="1828" spans="2:10" x14ac:dyDescent="0.3">
      <c r="B1828" s="277" t="str">
        <f>'Production '!C1831</f>
        <v>30011 21th</v>
      </c>
      <c r="C1828" s="76">
        <f ca="1">SUMIF('Production '!$C$4:$AI$4407,'Tracking Sheet'!B1828,'Production '!$M$4:$M$4407)</f>
        <v>13022</v>
      </c>
      <c r="D1828" s="76">
        <f ca="1">SUMIF('Production '!$C$4:$AI$4407,'Tracking Sheet'!B1828,'Production '!$Q$4:$Q$4407)</f>
        <v>12085</v>
      </c>
      <c r="E1828" s="76">
        <f ca="1">SUMIF('Production '!$C$4:$AI$4407,'Tracking Sheet'!B1828,'Production '!$S$4:$S$4407)</f>
        <v>5848</v>
      </c>
      <c r="F1828" s="76">
        <f ca="1">SUMIF('Production '!$C$4:$AI$4407,'Tracking Sheet'!B1828,'Production '!$U$4:$U$4407)</f>
        <v>943</v>
      </c>
      <c r="G1828" s="76">
        <f ca="1">SUMIF('Production '!$C$4:$AI$4407,'Tracking Sheet'!B1828,'Production '!$W$4:$W$4407)</f>
        <v>5835</v>
      </c>
      <c r="H1828" s="76">
        <f ca="1">SUMIF('Production '!$C$4:$AI$4407,'Tracking Sheet'!B1828,'Production '!$F$4:$F$4407)</f>
        <v>12597</v>
      </c>
      <c r="I1828" s="76">
        <f ca="1">SUMIF('Production '!$C$4:$AI$4407,'Tracking Sheet'!B1828,'Production '!$V$4:$V$4407)</f>
        <v>0</v>
      </c>
      <c r="J1828" s="76">
        <f ca="1">SUMIF('Production '!$C$4:$AI$4407,'Tracking Sheet'!B1828,'Production '!$AG$4:$AG$4407)</f>
        <v>0</v>
      </c>
    </row>
    <row r="1829" spans="2:10" x14ac:dyDescent="0.3">
      <c r="B1829" s="277" t="str">
        <f>'Production '!C1832</f>
        <v>30011 21th</v>
      </c>
      <c r="C1829" s="76">
        <f ca="1">SUMIF('Production '!$C$4:$AI$4407,'Tracking Sheet'!B1829,'Production '!$M$4:$M$4407)</f>
        <v>13022</v>
      </c>
      <c r="D1829" s="76">
        <f ca="1">SUMIF('Production '!$C$4:$AI$4407,'Tracking Sheet'!B1829,'Production '!$Q$4:$Q$4407)</f>
        <v>12085</v>
      </c>
      <c r="E1829" s="76">
        <f ca="1">SUMIF('Production '!$C$4:$AI$4407,'Tracking Sheet'!B1829,'Production '!$S$4:$S$4407)</f>
        <v>5848</v>
      </c>
      <c r="F1829" s="76">
        <f ca="1">SUMIF('Production '!$C$4:$AI$4407,'Tracking Sheet'!B1829,'Production '!$U$4:$U$4407)</f>
        <v>943</v>
      </c>
      <c r="G1829" s="76">
        <f ca="1">SUMIF('Production '!$C$4:$AI$4407,'Tracking Sheet'!B1829,'Production '!$W$4:$W$4407)</f>
        <v>5835</v>
      </c>
      <c r="H1829" s="76">
        <f ca="1">SUMIF('Production '!$C$4:$AI$4407,'Tracking Sheet'!B1829,'Production '!$F$4:$F$4407)</f>
        <v>12597</v>
      </c>
      <c r="I1829" s="76">
        <f ca="1">SUMIF('Production '!$C$4:$AI$4407,'Tracking Sheet'!B1829,'Production '!$V$4:$V$4407)</f>
        <v>0</v>
      </c>
      <c r="J1829" s="76">
        <f ca="1">SUMIF('Production '!$C$4:$AI$4407,'Tracking Sheet'!B1829,'Production '!$AG$4:$AG$4407)</f>
        <v>0</v>
      </c>
    </row>
    <row r="1830" spans="2:10" x14ac:dyDescent="0.3">
      <c r="B1830" s="277" t="str">
        <f>'Production '!C1833</f>
        <v>30011 21th</v>
      </c>
      <c r="C1830" s="76">
        <f ca="1">SUMIF('Production '!$C$4:$AI$4407,'Tracking Sheet'!B1830,'Production '!$M$4:$M$4407)</f>
        <v>13022</v>
      </c>
      <c r="D1830" s="76">
        <f ca="1">SUMIF('Production '!$C$4:$AI$4407,'Tracking Sheet'!B1830,'Production '!$Q$4:$Q$4407)</f>
        <v>12085</v>
      </c>
      <c r="E1830" s="76">
        <f ca="1">SUMIF('Production '!$C$4:$AI$4407,'Tracking Sheet'!B1830,'Production '!$S$4:$S$4407)</f>
        <v>5848</v>
      </c>
      <c r="F1830" s="76">
        <f ca="1">SUMIF('Production '!$C$4:$AI$4407,'Tracking Sheet'!B1830,'Production '!$U$4:$U$4407)</f>
        <v>943</v>
      </c>
      <c r="G1830" s="76">
        <f ca="1">SUMIF('Production '!$C$4:$AI$4407,'Tracking Sheet'!B1830,'Production '!$W$4:$W$4407)</f>
        <v>5835</v>
      </c>
      <c r="H1830" s="76">
        <f ca="1">SUMIF('Production '!$C$4:$AI$4407,'Tracking Sheet'!B1830,'Production '!$F$4:$F$4407)</f>
        <v>12597</v>
      </c>
      <c r="I1830" s="76">
        <f ca="1">SUMIF('Production '!$C$4:$AI$4407,'Tracking Sheet'!B1830,'Production '!$V$4:$V$4407)</f>
        <v>0</v>
      </c>
      <c r="J1830" s="76">
        <f ca="1">SUMIF('Production '!$C$4:$AI$4407,'Tracking Sheet'!B1830,'Production '!$AG$4:$AG$4407)</f>
        <v>0</v>
      </c>
    </row>
    <row r="1831" spans="2:10" x14ac:dyDescent="0.3">
      <c r="B1831" s="277" t="str">
        <f>'Production '!C1834</f>
        <v>30011 21th</v>
      </c>
      <c r="C1831" s="76">
        <f ca="1">SUMIF('Production '!$C$4:$AI$4407,'Tracking Sheet'!B1831,'Production '!$M$4:$M$4407)</f>
        <v>13022</v>
      </c>
      <c r="D1831" s="76">
        <f ca="1">SUMIF('Production '!$C$4:$AI$4407,'Tracking Sheet'!B1831,'Production '!$Q$4:$Q$4407)</f>
        <v>12085</v>
      </c>
      <c r="E1831" s="76">
        <f ca="1">SUMIF('Production '!$C$4:$AI$4407,'Tracking Sheet'!B1831,'Production '!$S$4:$S$4407)</f>
        <v>5848</v>
      </c>
      <c r="F1831" s="76">
        <f ca="1">SUMIF('Production '!$C$4:$AI$4407,'Tracking Sheet'!B1831,'Production '!$U$4:$U$4407)</f>
        <v>943</v>
      </c>
      <c r="G1831" s="76">
        <f ca="1">SUMIF('Production '!$C$4:$AI$4407,'Tracking Sheet'!B1831,'Production '!$W$4:$W$4407)</f>
        <v>5835</v>
      </c>
      <c r="H1831" s="76">
        <f ca="1">SUMIF('Production '!$C$4:$AI$4407,'Tracking Sheet'!B1831,'Production '!$F$4:$F$4407)</f>
        <v>12597</v>
      </c>
      <c r="I1831" s="76">
        <f ca="1">SUMIF('Production '!$C$4:$AI$4407,'Tracking Sheet'!B1831,'Production '!$V$4:$V$4407)</f>
        <v>0</v>
      </c>
      <c r="J1831" s="76">
        <f ca="1">SUMIF('Production '!$C$4:$AI$4407,'Tracking Sheet'!B1831,'Production '!$AG$4:$AG$4407)</f>
        <v>0</v>
      </c>
    </row>
    <row r="1832" spans="2:10" x14ac:dyDescent="0.3">
      <c r="B1832" s="277" t="str">
        <f>'Production '!C1835</f>
        <v>30011 21th</v>
      </c>
      <c r="C1832" s="76">
        <f ca="1">SUMIF('Production '!$C$4:$AI$4407,'Tracking Sheet'!B1832,'Production '!$M$4:$M$4407)</f>
        <v>13022</v>
      </c>
      <c r="D1832" s="76">
        <f ca="1">SUMIF('Production '!$C$4:$AI$4407,'Tracking Sheet'!B1832,'Production '!$Q$4:$Q$4407)</f>
        <v>12085</v>
      </c>
      <c r="E1832" s="76">
        <f ca="1">SUMIF('Production '!$C$4:$AI$4407,'Tracking Sheet'!B1832,'Production '!$S$4:$S$4407)</f>
        <v>5848</v>
      </c>
      <c r="F1832" s="76">
        <f ca="1">SUMIF('Production '!$C$4:$AI$4407,'Tracking Sheet'!B1832,'Production '!$U$4:$U$4407)</f>
        <v>943</v>
      </c>
      <c r="G1832" s="76">
        <f ca="1">SUMIF('Production '!$C$4:$AI$4407,'Tracking Sheet'!B1832,'Production '!$W$4:$W$4407)</f>
        <v>5835</v>
      </c>
      <c r="H1832" s="76">
        <f ca="1">SUMIF('Production '!$C$4:$AI$4407,'Tracking Sheet'!B1832,'Production '!$F$4:$F$4407)</f>
        <v>12597</v>
      </c>
      <c r="I1832" s="76">
        <f ca="1">SUMIF('Production '!$C$4:$AI$4407,'Tracking Sheet'!B1832,'Production '!$V$4:$V$4407)</f>
        <v>0</v>
      </c>
      <c r="J1832" s="76">
        <f ca="1">SUMIF('Production '!$C$4:$AI$4407,'Tracking Sheet'!B1832,'Production '!$AG$4:$AG$4407)</f>
        <v>0</v>
      </c>
    </row>
    <row r="1833" spans="2:10" x14ac:dyDescent="0.3">
      <c r="B1833" s="277" t="str">
        <f>'Production '!C1836</f>
        <v>30011 21th</v>
      </c>
      <c r="C1833" s="76">
        <f ca="1">SUMIF('Production '!$C$4:$AI$4407,'Tracking Sheet'!B1833,'Production '!$M$4:$M$4407)</f>
        <v>13022</v>
      </c>
      <c r="D1833" s="76">
        <f ca="1">SUMIF('Production '!$C$4:$AI$4407,'Tracking Sheet'!B1833,'Production '!$Q$4:$Q$4407)</f>
        <v>12085</v>
      </c>
      <c r="E1833" s="76">
        <f ca="1">SUMIF('Production '!$C$4:$AI$4407,'Tracking Sheet'!B1833,'Production '!$S$4:$S$4407)</f>
        <v>5848</v>
      </c>
      <c r="F1833" s="76">
        <f ca="1">SUMIF('Production '!$C$4:$AI$4407,'Tracking Sheet'!B1833,'Production '!$U$4:$U$4407)</f>
        <v>943</v>
      </c>
      <c r="G1833" s="76">
        <f ca="1">SUMIF('Production '!$C$4:$AI$4407,'Tracking Sheet'!B1833,'Production '!$W$4:$W$4407)</f>
        <v>5835</v>
      </c>
      <c r="H1833" s="76">
        <f ca="1">SUMIF('Production '!$C$4:$AI$4407,'Tracking Sheet'!B1833,'Production '!$F$4:$F$4407)</f>
        <v>12597</v>
      </c>
      <c r="I1833" s="76">
        <f ca="1">SUMIF('Production '!$C$4:$AI$4407,'Tracking Sheet'!B1833,'Production '!$V$4:$V$4407)</f>
        <v>0</v>
      </c>
      <c r="J1833" s="76">
        <f ca="1">SUMIF('Production '!$C$4:$AI$4407,'Tracking Sheet'!B1833,'Production '!$AG$4:$AG$4407)</f>
        <v>0</v>
      </c>
    </row>
    <row r="1834" spans="2:10" x14ac:dyDescent="0.3">
      <c r="B1834" s="277" t="str">
        <f>'Production '!C1837</f>
        <v>30011 21th</v>
      </c>
      <c r="C1834" s="76">
        <f ca="1">SUMIF('Production '!$C$4:$AI$4407,'Tracking Sheet'!B1834,'Production '!$M$4:$M$4407)</f>
        <v>13022</v>
      </c>
      <c r="D1834" s="76">
        <f ca="1">SUMIF('Production '!$C$4:$AI$4407,'Tracking Sheet'!B1834,'Production '!$Q$4:$Q$4407)</f>
        <v>12085</v>
      </c>
      <c r="E1834" s="76">
        <f ca="1">SUMIF('Production '!$C$4:$AI$4407,'Tracking Sheet'!B1834,'Production '!$S$4:$S$4407)</f>
        <v>5848</v>
      </c>
      <c r="F1834" s="76">
        <f ca="1">SUMIF('Production '!$C$4:$AI$4407,'Tracking Sheet'!B1834,'Production '!$U$4:$U$4407)</f>
        <v>943</v>
      </c>
      <c r="G1834" s="76">
        <f ca="1">SUMIF('Production '!$C$4:$AI$4407,'Tracking Sheet'!B1834,'Production '!$W$4:$W$4407)</f>
        <v>5835</v>
      </c>
      <c r="H1834" s="76">
        <f ca="1">SUMIF('Production '!$C$4:$AI$4407,'Tracking Sheet'!B1834,'Production '!$F$4:$F$4407)</f>
        <v>12597</v>
      </c>
      <c r="I1834" s="76">
        <f ca="1">SUMIF('Production '!$C$4:$AI$4407,'Tracking Sheet'!B1834,'Production '!$V$4:$V$4407)</f>
        <v>0</v>
      </c>
      <c r="J1834" s="76">
        <f ca="1">SUMIF('Production '!$C$4:$AI$4407,'Tracking Sheet'!B1834,'Production '!$AG$4:$AG$4407)</f>
        <v>0</v>
      </c>
    </row>
    <row r="1835" spans="2:10" x14ac:dyDescent="0.3">
      <c r="B1835" s="277" t="str">
        <f>'Production '!C1838</f>
        <v>30011 21th</v>
      </c>
      <c r="C1835" s="76">
        <f ca="1">SUMIF('Production '!$C$4:$AI$4407,'Tracking Sheet'!B1835,'Production '!$M$4:$M$4407)</f>
        <v>13022</v>
      </c>
      <c r="D1835" s="76">
        <f ca="1">SUMIF('Production '!$C$4:$AI$4407,'Tracking Sheet'!B1835,'Production '!$Q$4:$Q$4407)</f>
        <v>12085</v>
      </c>
      <c r="E1835" s="76">
        <f ca="1">SUMIF('Production '!$C$4:$AI$4407,'Tracking Sheet'!B1835,'Production '!$S$4:$S$4407)</f>
        <v>5848</v>
      </c>
      <c r="F1835" s="76">
        <f ca="1">SUMIF('Production '!$C$4:$AI$4407,'Tracking Sheet'!B1835,'Production '!$U$4:$U$4407)</f>
        <v>943</v>
      </c>
      <c r="G1835" s="76">
        <f ca="1">SUMIF('Production '!$C$4:$AI$4407,'Tracking Sheet'!B1835,'Production '!$W$4:$W$4407)</f>
        <v>5835</v>
      </c>
      <c r="H1835" s="76">
        <f ca="1">SUMIF('Production '!$C$4:$AI$4407,'Tracking Sheet'!B1835,'Production '!$F$4:$F$4407)</f>
        <v>12597</v>
      </c>
      <c r="I1835" s="76">
        <f ca="1">SUMIF('Production '!$C$4:$AI$4407,'Tracking Sheet'!B1835,'Production '!$V$4:$V$4407)</f>
        <v>0</v>
      </c>
      <c r="J1835" s="76">
        <f ca="1">SUMIF('Production '!$C$4:$AI$4407,'Tracking Sheet'!B1835,'Production '!$AG$4:$AG$4407)</f>
        <v>0</v>
      </c>
    </row>
    <row r="1836" spans="2:10" x14ac:dyDescent="0.3">
      <c r="B1836" s="277" t="str">
        <f>'Production '!C1839</f>
        <v>30011 21th</v>
      </c>
      <c r="C1836" s="76">
        <f ca="1">SUMIF('Production '!$C$4:$AI$4407,'Tracking Sheet'!B1836,'Production '!$M$4:$M$4407)</f>
        <v>13022</v>
      </c>
      <c r="D1836" s="76">
        <f ca="1">SUMIF('Production '!$C$4:$AI$4407,'Tracking Sheet'!B1836,'Production '!$Q$4:$Q$4407)</f>
        <v>12085</v>
      </c>
      <c r="E1836" s="76">
        <f ca="1">SUMIF('Production '!$C$4:$AI$4407,'Tracking Sheet'!B1836,'Production '!$S$4:$S$4407)</f>
        <v>5848</v>
      </c>
      <c r="F1836" s="76">
        <f ca="1">SUMIF('Production '!$C$4:$AI$4407,'Tracking Sheet'!B1836,'Production '!$U$4:$U$4407)</f>
        <v>943</v>
      </c>
      <c r="G1836" s="76">
        <f ca="1">SUMIF('Production '!$C$4:$AI$4407,'Tracking Sheet'!B1836,'Production '!$W$4:$W$4407)</f>
        <v>5835</v>
      </c>
      <c r="H1836" s="76">
        <f ca="1">SUMIF('Production '!$C$4:$AI$4407,'Tracking Sheet'!B1836,'Production '!$F$4:$F$4407)</f>
        <v>12597</v>
      </c>
      <c r="I1836" s="76">
        <f ca="1">SUMIF('Production '!$C$4:$AI$4407,'Tracking Sheet'!B1836,'Production '!$V$4:$V$4407)</f>
        <v>0</v>
      </c>
      <c r="J1836" s="76">
        <f ca="1">SUMIF('Production '!$C$4:$AI$4407,'Tracking Sheet'!B1836,'Production '!$AG$4:$AG$4407)</f>
        <v>0</v>
      </c>
    </row>
    <row r="1837" spans="2:10" x14ac:dyDescent="0.3">
      <c r="B1837" s="277">
        <f>'Production '!C1840</f>
        <v>0</v>
      </c>
      <c r="C1837" s="76" t="e">
        <f ca="1">SUMIF('Production '!$C$4:$AI$4407,'Tracking Sheet'!B1837,'Production '!$M$4:$M$4407)</f>
        <v>#DIV/0!</v>
      </c>
      <c r="D1837" s="76" t="e">
        <f ca="1">SUMIF('Production '!$C$4:$AI$4407,'Tracking Sheet'!B1837,'Production '!$Q$4:$Q$4407)</f>
        <v>#DIV/0!</v>
      </c>
      <c r="E1837" s="76">
        <f ca="1">SUMIF('Production '!$C$4:$AI$4407,'Tracking Sheet'!B1837,'Production '!$S$4:$S$4407)</f>
        <v>-1268218.9828305368</v>
      </c>
      <c r="F1837" s="76">
        <f ca="1">SUMIF('Production '!$C$4:$AI$4407,'Tracking Sheet'!B1837,'Production '!$U$4:$U$4407)</f>
        <v>-10620.435600016917</v>
      </c>
      <c r="G1837" s="76" t="e">
        <f ca="1">SUMIF('Production '!$C$4:$AI$4407,'Tracking Sheet'!B1837,'Production '!$W$4:$W$4407)</f>
        <v>#DIV/0!</v>
      </c>
      <c r="H1837" s="76">
        <f ca="1">SUMIF('Production '!$C$4:$AI$4407,'Tracking Sheet'!B1837,'Production '!$F$4:$F$4407)</f>
        <v>3230621.3283604058</v>
      </c>
      <c r="I1837" s="76">
        <f ca="1">SUMIF('Production '!$C$4:$AI$4407,'Tracking Sheet'!B1837,'Production '!$V$4:$V$4407)</f>
        <v>-489.86487791182844</v>
      </c>
      <c r="J1837" s="76">
        <f ca="1">SUMIF('Production '!$C$4:$AI$4407,'Tracking Sheet'!B1837,'Production '!$AG$4:$AG$4407)</f>
        <v>0</v>
      </c>
    </row>
    <row r="1838" spans="2:10" x14ac:dyDescent="0.3">
      <c r="B1838" s="277" t="str">
        <f>'Production '!C1841</f>
        <v>43102 5th</v>
      </c>
      <c r="C1838" s="76">
        <f ca="1">SUMIF('Production '!$C$4:$AI$4407,'Tracking Sheet'!B1838,'Production '!$M$4:$M$4407)</f>
        <v>2836</v>
      </c>
      <c r="D1838" s="76">
        <f ca="1">SUMIF('Production '!$C$4:$AI$4407,'Tracking Sheet'!B1838,'Production '!$Q$4:$Q$4407)</f>
        <v>2836</v>
      </c>
      <c r="E1838" s="76">
        <f ca="1">SUMIF('Production '!$C$4:$AI$4407,'Tracking Sheet'!B1838,'Production '!$S$4:$S$4407)</f>
        <v>2836</v>
      </c>
      <c r="F1838" s="76">
        <f ca="1">SUMIF('Production '!$C$4:$AI$4407,'Tracking Sheet'!B1838,'Production '!$U$4:$U$4407)</f>
        <v>12</v>
      </c>
      <c r="G1838" s="76">
        <f ca="1">SUMIF('Production '!$C$4:$AI$4407,'Tracking Sheet'!B1838,'Production '!$W$4:$W$4407)</f>
        <v>2824</v>
      </c>
      <c r="H1838" s="76">
        <f ca="1">SUMIF('Production '!$C$4:$AI$4407,'Tracking Sheet'!B1838,'Production '!$F$4:$F$4407)</f>
        <v>2760</v>
      </c>
      <c r="I1838" s="76">
        <f ca="1">SUMIF('Production '!$C$4:$AI$4407,'Tracking Sheet'!B1838,'Production '!$V$4:$V$4407)</f>
        <v>0</v>
      </c>
      <c r="J1838" s="76">
        <f ca="1">SUMIF('Production '!$C$4:$AI$4407,'Tracking Sheet'!B1838,'Production '!$AG$4:$AG$4407)</f>
        <v>0</v>
      </c>
    </row>
    <row r="1839" spans="2:10" x14ac:dyDescent="0.3">
      <c r="B1839" s="277" t="str">
        <f>'Production '!C1842</f>
        <v>43102 5th</v>
      </c>
      <c r="C1839" s="76">
        <f ca="1">SUMIF('Production '!$C$4:$AI$4407,'Tracking Sheet'!B1839,'Production '!$M$4:$M$4407)</f>
        <v>2836</v>
      </c>
      <c r="D1839" s="76">
        <f ca="1">SUMIF('Production '!$C$4:$AI$4407,'Tracking Sheet'!B1839,'Production '!$Q$4:$Q$4407)</f>
        <v>2836</v>
      </c>
      <c r="E1839" s="76">
        <f ca="1">SUMIF('Production '!$C$4:$AI$4407,'Tracking Sheet'!B1839,'Production '!$S$4:$S$4407)</f>
        <v>2836</v>
      </c>
      <c r="F1839" s="76">
        <f ca="1">SUMIF('Production '!$C$4:$AI$4407,'Tracking Sheet'!B1839,'Production '!$U$4:$U$4407)</f>
        <v>12</v>
      </c>
      <c r="G1839" s="76">
        <f ca="1">SUMIF('Production '!$C$4:$AI$4407,'Tracking Sheet'!B1839,'Production '!$W$4:$W$4407)</f>
        <v>2824</v>
      </c>
      <c r="H1839" s="76">
        <f ca="1">SUMIF('Production '!$C$4:$AI$4407,'Tracking Sheet'!B1839,'Production '!$F$4:$F$4407)</f>
        <v>2760</v>
      </c>
      <c r="I1839" s="76">
        <f ca="1">SUMIF('Production '!$C$4:$AI$4407,'Tracking Sheet'!B1839,'Production '!$V$4:$V$4407)</f>
        <v>0</v>
      </c>
      <c r="J1839" s="76">
        <f ca="1">SUMIF('Production '!$C$4:$AI$4407,'Tracking Sheet'!B1839,'Production '!$AG$4:$AG$4407)</f>
        <v>0</v>
      </c>
    </row>
    <row r="1840" spans="2:10" x14ac:dyDescent="0.3">
      <c r="B1840" s="277">
        <f>'Production '!C1843</f>
        <v>0</v>
      </c>
      <c r="C1840" s="76" t="e">
        <f ca="1">SUMIF('Production '!$C$4:$AI$4407,'Tracking Sheet'!B1840,'Production '!$M$4:$M$4407)</f>
        <v>#DIV/0!</v>
      </c>
      <c r="D1840" s="76" t="e">
        <f ca="1">SUMIF('Production '!$C$4:$AI$4407,'Tracking Sheet'!B1840,'Production '!$Q$4:$Q$4407)</f>
        <v>#DIV/0!</v>
      </c>
      <c r="E1840" s="76">
        <f ca="1">SUMIF('Production '!$C$4:$AI$4407,'Tracking Sheet'!B1840,'Production '!$S$4:$S$4407)</f>
        <v>-1268218.9828305368</v>
      </c>
      <c r="F1840" s="76">
        <f ca="1">SUMIF('Production '!$C$4:$AI$4407,'Tracking Sheet'!B1840,'Production '!$U$4:$U$4407)</f>
        <v>-10620.435600016917</v>
      </c>
      <c r="G1840" s="76" t="e">
        <f ca="1">SUMIF('Production '!$C$4:$AI$4407,'Tracking Sheet'!B1840,'Production '!$W$4:$W$4407)</f>
        <v>#DIV/0!</v>
      </c>
      <c r="H1840" s="76">
        <f ca="1">SUMIF('Production '!$C$4:$AI$4407,'Tracking Sheet'!B1840,'Production '!$F$4:$F$4407)</f>
        <v>3230621.3283604058</v>
      </c>
      <c r="I1840" s="76">
        <f ca="1">SUMIF('Production '!$C$4:$AI$4407,'Tracking Sheet'!B1840,'Production '!$V$4:$V$4407)</f>
        <v>-489.86487791182844</v>
      </c>
      <c r="J1840" s="76">
        <f ca="1">SUMIF('Production '!$C$4:$AI$4407,'Tracking Sheet'!B1840,'Production '!$AG$4:$AG$4407)</f>
        <v>0</v>
      </c>
    </row>
    <row r="1841" spans="2:10" x14ac:dyDescent="0.3">
      <c r="B1841" s="277" t="str">
        <f>'Production '!C1844</f>
        <v>43102 7th</v>
      </c>
      <c r="C1841" s="76">
        <f ca="1">SUMIF('Production '!$C$4:$AI$4407,'Tracking Sheet'!B1841,'Production '!$M$4:$M$4407)</f>
        <v>1568</v>
      </c>
      <c r="D1841" s="76">
        <f ca="1">SUMIF('Production '!$C$4:$AI$4407,'Tracking Sheet'!B1841,'Production '!$Q$4:$Q$4407)</f>
        <v>1568</v>
      </c>
      <c r="E1841" s="76">
        <f ca="1">SUMIF('Production '!$C$4:$AI$4407,'Tracking Sheet'!B1841,'Production '!$S$4:$S$4407)</f>
        <v>1568</v>
      </c>
      <c r="F1841" s="76">
        <f ca="1">SUMIF('Production '!$C$4:$AI$4407,'Tracking Sheet'!B1841,'Production '!$U$4:$U$4407)</f>
        <v>3</v>
      </c>
      <c r="G1841" s="76">
        <f ca="1">SUMIF('Production '!$C$4:$AI$4407,'Tracking Sheet'!B1841,'Production '!$W$4:$W$4407)</f>
        <v>1565</v>
      </c>
      <c r="H1841" s="76">
        <f ca="1">SUMIF('Production '!$C$4:$AI$4407,'Tracking Sheet'!B1841,'Production '!$F$4:$F$4407)</f>
        <v>1500</v>
      </c>
      <c r="I1841" s="76">
        <f ca="1">SUMIF('Production '!$C$4:$AI$4407,'Tracking Sheet'!B1841,'Production '!$V$4:$V$4407)</f>
        <v>0</v>
      </c>
      <c r="J1841" s="76">
        <f ca="1">SUMIF('Production '!$C$4:$AI$4407,'Tracking Sheet'!B1841,'Production '!$AG$4:$AG$4407)</f>
        <v>0</v>
      </c>
    </row>
    <row r="1842" spans="2:10" x14ac:dyDescent="0.3">
      <c r="B1842" s="277" t="str">
        <f>'Production '!C1845</f>
        <v>43102 7th</v>
      </c>
      <c r="C1842" s="76">
        <f ca="1">SUMIF('Production '!$C$4:$AI$4407,'Tracking Sheet'!B1842,'Production '!$M$4:$M$4407)</f>
        <v>1568</v>
      </c>
      <c r="D1842" s="76">
        <f ca="1">SUMIF('Production '!$C$4:$AI$4407,'Tracking Sheet'!B1842,'Production '!$Q$4:$Q$4407)</f>
        <v>1568</v>
      </c>
      <c r="E1842" s="76">
        <f ca="1">SUMIF('Production '!$C$4:$AI$4407,'Tracking Sheet'!B1842,'Production '!$S$4:$S$4407)</f>
        <v>1568</v>
      </c>
      <c r="F1842" s="76">
        <f ca="1">SUMIF('Production '!$C$4:$AI$4407,'Tracking Sheet'!B1842,'Production '!$U$4:$U$4407)</f>
        <v>3</v>
      </c>
      <c r="G1842" s="76">
        <f ca="1">SUMIF('Production '!$C$4:$AI$4407,'Tracking Sheet'!B1842,'Production '!$W$4:$W$4407)</f>
        <v>1565</v>
      </c>
      <c r="H1842" s="76">
        <f ca="1">SUMIF('Production '!$C$4:$AI$4407,'Tracking Sheet'!B1842,'Production '!$F$4:$F$4407)</f>
        <v>1500</v>
      </c>
      <c r="I1842" s="76">
        <f ca="1">SUMIF('Production '!$C$4:$AI$4407,'Tracking Sheet'!B1842,'Production '!$V$4:$V$4407)</f>
        <v>0</v>
      </c>
      <c r="J1842" s="76">
        <f ca="1">SUMIF('Production '!$C$4:$AI$4407,'Tracking Sheet'!B1842,'Production '!$AG$4:$AG$4407)</f>
        <v>0</v>
      </c>
    </row>
    <row r="1843" spans="2:10" x14ac:dyDescent="0.3">
      <c r="B1843" s="277" t="str">
        <f>'Production '!C1846</f>
        <v>43102 7th</v>
      </c>
      <c r="C1843" s="76">
        <f ca="1">SUMIF('Production '!$C$4:$AI$4407,'Tracking Sheet'!B1843,'Production '!$M$4:$M$4407)</f>
        <v>1568</v>
      </c>
      <c r="D1843" s="76">
        <f ca="1">SUMIF('Production '!$C$4:$AI$4407,'Tracking Sheet'!B1843,'Production '!$Q$4:$Q$4407)</f>
        <v>1568</v>
      </c>
      <c r="E1843" s="76">
        <f ca="1">SUMIF('Production '!$C$4:$AI$4407,'Tracking Sheet'!B1843,'Production '!$S$4:$S$4407)</f>
        <v>1568</v>
      </c>
      <c r="F1843" s="76">
        <f ca="1">SUMIF('Production '!$C$4:$AI$4407,'Tracking Sheet'!B1843,'Production '!$U$4:$U$4407)</f>
        <v>3</v>
      </c>
      <c r="G1843" s="76">
        <f ca="1">SUMIF('Production '!$C$4:$AI$4407,'Tracking Sheet'!B1843,'Production '!$W$4:$W$4407)</f>
        <v>1565</v>
      </c>
      <c r="H1843" s="76">
        <f ca="1">SUMIF('Production '!$C$4:$AI$4407,'Tracking Sheet'!B1843,'Production '!$F$4:$F$4407)</f>
        <v>1500</v>
      </c>
      <c r="I1843" s="76">
        <f ca="1">SUMIF('Production '!$C$4:$AI$4407,'Tracking Sheet'!B1843,'Production '!$V$4:$V$4407)</f>
        <v>0</v>
      </c>
      <c r="J1843" s="76">
        <f ca="1">SUMIF('Production '!$C$4:$AI$4407,'Tracking Sheet'!B1843,'Production '!$AG$4:$AG$4407)</f>
        <v>0</v>
      </c>
    </row>
    <row r="1844" spans="2:10" x14ac:dyDescent="0.3">
      <c r="B1844" s="277">
        <f>'Production '!C1847</f>
        <v>0</v>
      </c>
      <c r="C1844" s="76" t="e">
        <f ca="1">SUMIF('Production '!$C$4:$AI$4407,'Tracking Sheet'!B1844,'Production '!$M$4:$M$4407)</f>
        <v>#DIV/0!</v>
      </c>
      <c r="D1844" s="76" t="e">
        <f ca="1">SUMIF('Production '!$C$4:$AI$4407,'Tracking Sheet'!B1844,'Production '!$Q$4:$Q$4407)</f>
        <v>#DIV/0!</v>
      </c>
      <c r="E1844" s="76">
        <f ca="1">SUMIF('Production '!$C$4:$AI$4407,'Tracking Sheet'!B1844,'Production '!$S$4:$S$4407)</f>
        <v>-1268218.9828305368</v>
      </c>
      <c r="F1844" s="76">
        <f ca="1">SUMIF('Production '!$C$4:$AI$4407,'Tracking Sheet'!B1844,'Production '!$U$4:$U$4407)</f>
        <v>-10620.435600016917</v>
      </c>
      <c r="G1844" s="76" t="e">
        <f ca="1">SUMIF('Production '!$C$4:$AI$4407,'Tracking Sheet'!B1844,'Production '!$W$4:$W$4407)</f>
        <v>#DIV/0!</v>
      </c>
      <c r="H1844" s="76">
        <f ca="1">SUMIF('Production '!$C$4:$AI$4407,'Tracking Sheet'!B1844,'Production '!$F$4:$F$4407)</f>
        <v>3230621.3283604058</v>
      </c>
      <c r="I1844" s="76">
        <f ca="1">SUMIF('Production '!$C$4:$AI$4407,'Tracking Sheet'!B1844,'Production '!$V$4:$V$4407)</f>
        <v>-489.86487791182844</v>
      </c>
      <c r="J1844" s="76">
        <f ca="1">SUMIF('Production '!$C$4:$AI$4407,'Tracking Sheet'!B1844,'Production '!$AG$4:$AG$4407)</f>
        <v>0</v>
      </c>
    </row>
    <row r="1845" spans="2:10" x14ac:dyDescent="0.3">
      <c r="B1845" s="277">
        <f>'Production '!C1848</f>
        <v>48619</v>
      </c>
      <c r="C1845" s="76">
        <f ca="1">SUMIF('Production '!$C$4:$AI$4407,'Tracking Sheet'!B1845,'Production '!$M$4:$M$4407)</f>
        <v>4904</v>
      </c>
      <c r="D1845" s="76">
        <f ca="1">SUMIF('Production '!$C$4:$AI$4407,'Tracking Sheet'!B1845,'Production '!$Q$4:$Q$4407)</f>
        <v>4104</v>
      </c>
      <c r="E1845" s="76">
        <f ca="1">SUMIF('Production '!$C$4:$AI$4407,'Tracking Sheet'!B1845,'Production '!$S$4:$S$4407)</f>
        <v>0</v>
      </c>
      <c r="F1845" s="76">
        <f ca="1">SUMIF('Production '!$C$4:$AI$4407,'Tracking Sheet'!B1845,'Production '!$U$4:$U$4407)</f>
        <v>0</v>
      </c>
      <c r="G1845" s="76">
        <f ca="1">SUMIF('Production '!$C$4:$AI$4407,'Tracking Sheet'!B1845,'Production '!$W$4:$W$4407)</f>
        <v>0</v>
      </c>
      <c r="H1845" s="76">
        <f ca="1">SUMIF('Production '!$C$4:$AI$4407,'Tracking Sheet'!B1845,'Production '!$F$4:$F$4407)</f>
        <v>26646</v>
      </c>
      <c r="I1845" s="76">
        <f ca="1">SUMIF('Production '!$C$4:$AI$4407,'Tracking Sheet'!B1845,'Production '!$V$4:$V$4407)</f>
        <v>0</v>
      </c>
      <c r="J1845" s="76">
        <f ca="1">SUMIF('Production '!$C$4:$AI$4407,'Tracking Sheet'!B1845,'Production '!$AG$4:$AG$4407)</f>
        <v>-21742</v>
      </c>
    </row>
    <row r="1846" spans="2:10" x14ac:dyDescent="0.3">
      <c r="B1846" s="277">
        <f>'Production '!C1849</f>
        <v>48619</v>
      </c>
      <c r="C1846" s="76">
        <f ca="1">SUMIF('Production '!$C$4:$AI$4407,'Tracking Sheet'!B1846,'Production '!$M$4:$M$4407)</f>
        <v>4904</v>
      </c>
      <c r="D1846" s="76">
        <f ca="1">SUMIF('Production '!$C$4:$AI$4407,'Tracking Sheet'!B1846,'Production '!$Q$4:$Q$4407)</f>
        <v>4104</v>
      </c>
      <c r="E1846" s="76">
        <f ca="1">SUMIF('Production '!$C$4:$AI$4407,'Tracking Sheet'!B1846,'Production '!$S$4:$S$4407)</f>
        <v>0</v>
      </c>
      <c r="F1846" s="76">
        <f ca="1">SUMIF('Production '!$C$4:$AI$4407,'Tracking Sheet'!B1846,'Production '!$U$4:$U$4407)</f>
        <v>0</v>
      </c>
      <c r="G1846" s="76">
        <f ca="1">SUMIF('Production '!$C$4:$AI$4407,'Tracking Sheet'!B1846,'Production '!$W$4:$W$4407)</f>
        <v>0</v>
      </c>
      <c r="H1846" s="76">
        <f ca="1">SUMIF('Production '!$C$4:$AI$4407,'Tracking Sheet'!B1846,'Production '!$F$4:$F$4407)</f>
        <v>26646</v>
      </c>
      <c r="I1846" s="76">
        <f ca="1">SUMIF('Production '!$C$4:$AI$4407,'Tracking Sheet'!B1846,'Production '!$V$4:$V$4407)</f>
        <v>0</v>
      </c>
      <c r="J1846" s="76">
        <f ca="1">SUMIF('Production '!$C$4:$AI$4407,'Tracking Sheet'!B1846,'Production '!$AG$4:$AG$4407)</f>
        <v>-21742</v>
      </c>
    </row>
    <row r="1847" spans="2:10" x14ac:dyDescent="0.3">
      <c r="B1847" s="277">
        <f>'Production '!C1850</f>
        <v>48619</v>
      </c>
      <c r="C1847" s="76">
        <f ca="1">SUMIF('Production '!$C$4:$AI$4407,'Tracking Sheet'!B1847,'Production '!$M$4:$M$4407)</f>
        <v>4904</v>
      </c>
      <c r="D1847" s="76">
        <f ca="1">SUMIF('Production '!$C$4:$AI$4407,'Tracking Sheet'!B1847,'Production '!$Q$4:$Q$4407)</f>
        <v>4104</v>
      </c>
      <c r="E1847" s="76">
        <f ca="1">SUMIF('Production '!$C$4:$AI$4407,'Tracking Sheet'!B1847,'Production '!$S$4:$S$4407)</f>
        <v>0</v>
      </c>
      <c r="F1847" s="76">
        <f ca="1">SUMIF('Production '!$C$4:$AI$4407,'Tracking Sheet'!B1847,'Production '!$U$4:$U$4407)</f>
        <v>0</v>
      </c>
      <c r="G1847" s="76">
        <f ca="1">SUMIF('Production '!$C$4:$AI$4407,'Tracking Sheet'!B1847,'Production '!$W$4:$W$4407)</f>
        <v>0</v>
      </c>
      <c r="H1847" s="76">
        <f ca="1">SUMIF('Production '!$C$4:$AI$4407,'Tracking Sheet'!B1847,'Production '!$F$4:$F$4407)</f>
        <v>26646</v>
      </c>
      <c r="I1847" s="76">
        <f ca="1">SUMIF('Production '!$C$4:$AI$4407,'Tracking Sheet'!B1847,'Production '!$V$4:$V$4407)</f>
        <v>0</v>
      </c>
      <c r="J1847" s="76">
        <f ca="1">SUMIF('Production '!$C$4:$AI$4407,'Tracking Sheet'!B1847,'Production '!$AG$4:$AG$4407)</f>
        <v>-21742</v>
      </c>
    </row>
    <row r="1848" spans="2:10" x14ac:dyDescent="0.3">
      <c r="B1848" s="277">
        <f>'Production '!C1851</f>
        <v>0</v>
      </c>
      <c r="C1848" s="76" t="e">
        <f ca="1">SUMIF('Production '!$C$4:$AI$4407,'Tracking Sheet'!B1848,'Production '!$M$4:$M$4407)</f>
        <v>#DIV/0!</v>
      </c>
      <c r="D1848" s="76" t="e">
        <f ca="1">SUMIF('Production '!$C$4:$AI$4407,'Tracking Sheet'!B1848,'Production '!$Q$4:$Q$4407)</f>
        <v>#DIV/0!</v>
      </c>
      <c r="E1848" s="76">
        <f ca="1">SUMIF('Production '!$C$4:$AI$4407,'Tracking Sheet'!B1848,'Production '!$S$4:$S$4407)</f>
        <v>-1268218.9828305368</v>
      </c>
      <c r="F1848" s="76">
        <f ca="1">SUMIF('Production '!$C$4:$AI$4407,'Tracking Sheet'!B1848,'Production '!$U$4:$U$4407)</f>
        <v>-10620.435600016917</v>
      </c>
      <c r="G1848" s="76" t="e">
        <f ca="1">SUMIF('Production '!$C$4:$AI$4407,'Tracking Sheet'!B1848,'Production '!$W$4:$W$4407)</f>
        <v>#DIV/0!</v>
      </c>
      <c r="H1848" s="76">
        <f ca="1">SUMIF('Production '!$C$4:$AI$4407,'Tracking Sheet'!B1848,'Production '!$F$4:$F$4407)</f>
        <v>3230621.3283604058</v>
      </c>
      <c r="I1848" s="76">
        <f ca="1">SUMIF('Production '!$C$4:$AI$4407,'Tracking Sheet'!B1848,'Production '!$V$4:$V$4407)</f>
        <v>-489.86487791182844</v>
      </c>
      <c r="J1848" s="76">
        <f ca="1">SUMIF('Production '!$C$4:$AI$4407,'Tracking Sheet'!B1848,'Production '!$AG$4:$AG$4407)</f>
        <v>0</v>
      </c>
    </row>
    <row r="1849" spans="2:10" x14ac:dyDescent="0.3">
      <c r="B1849" s="277" t="str">
        <f>'Production '!C1852</f>
        <v>48619 2nd</v>
      </c>
      <c r="C1849" s="76">
        <f ca="1">SUMIF('Production '!$C$4:$AI$4407,'Tracking Sheet'!B1849,'Production '!$M$4:$M$4407)</f>
        <v>0</v>
      </c>
      <c r="D1849" s="76">
        <f ca="1">SUMIF('Production '!$C$4:$AI$4407,'Tracking Sheet'!B1849,'Production '!$Q$4:$Q$4407)</f>
        <v>0</v>
      </c>
      <c r="E1849" s="76">
        <f ca="1">SUMIF('Production '!$C$4:$AI$4407,'Tracking Sheet'!B1849,'Production '!$S$4:$S$4407)</f>
        <v>0</v>
      </c>
      <c r="F1849" s="76">
        <f ca="1">SUMIF('Production '!$C$4:$AI$4407,'Tracking Sheet'!B1849,'Production '!$U$4:$U$4407)</f>
        <v>0</v>
      </c>
      <c r="G1849" s="76">
        <f ca="1">SUMIF('Production '!$C$4:$AI$4407,'Tracking Sheet'!B1849,'Production '!$W$4:$W$4407)</f>
        <v>0</v>
      </c>
      <c r="H1849" s="76">
        <f ca="1">SUMIF('Production '!$C$4:$AI$4407,'Tracking Sheet'!B1849,'Production '!$F$4:$F$4407)</f>
        <v>10080</v>
      </c>
      <c r="I1849" s="76">
        <f ca="1">SUMIF('Production '!$C$4:$AI$4407,'Tracking Sheet'!B1849,'Production '!$V$4:$V$4407)</f>
        <v>0</v>
      </c>
      <c r="J1849" s="76">
        <f ca="1">SUMIF('Production '!$C$4:$AI$4407,'Tracking Sheet'!B1849,'Production '!$AG$4:$AG$4407)</f>
        <v>-10080</v>
      </c>
    </row>
    <row r="1850" spans="2:10" x14ac:dyDescent="0.3">
      <c r="B1850" s="277" t="str">
        <f>'Production '!C1853</f>
        <v>48619 2nd</v>
      </c>
      <c r="C1850" s="76">
        <f ca="1">SUMIF('Production '!$C$4:$AI$4407,'Tracking Sheet'!B1850,'Production '!$M$4:$M$4407)</f>
        <v>0</v>
      </c>
      <c r="D1850" s="76">
        <f ca="1">SUMIF('Production '!$C$4:$AI$4407,'Tracking Sheet'!B1850,'Production '!$Q$4:$Q$4407)</f>
        <v>0</v>
      </c>
      <c r="E1850" s="76">
        <f ca="1">SUMIF('Production '!$C$4:$AI$4407,'Tracking Sheet'!B1850,'Production '!$S$4:$S$4407)</f>
        <v>0</v>
      </c>
      <c r="F1850" s="76">
        <f ca="1">SUMIF('Production '!$C$4:$AI$4407,'Tracking Sheet'!B1850,'Production '!$U$4:$U$4407)</f>
        <v>0</v>
      </c>
      <c r="G1850" s="76">
        <f ca="1">SUMIF('Production '!$C$4:$AI$4407,'Tracking Sheet'!B1850,'Production '!$W$4:$W$4407)</f>
        <v>0</v>
      </c>
      <c r="H1850" s="76">
        <f ca="1">SUMIF('Production '!$C$4:$AI$4407,'Tracking Sheet'!B1850,'Production '!$F$4:$F$4407)</f>
        <v>10080</v>
      </c>
      <c r="I1850" s="76">
        <f ca="1">SUMIF('Production '!$C$4:$AI$4407,'Tracking Sheet'!B1850,'Production '!$V$4:$V$4407)</f>
        <v>0</v>
      </c>
      <c r="J1850" s="76">
        <f ca="1">SUMIF('Production '!$C$4:$AI$4407,'Tracking Sheet'!B1850,'Production '!$AG$4:$AG$4407)</f>
        <v>-10080</v>
      </c>
    </row>
    <row r="1851" spans="2:10" x14ac:dyDescent="0.3">
      <c r="B1851" s="277">
        <f>'Production '!C1854</f>
        <v>0</v>
      </c>
      <c r="C1851" s="76" t="e">
        <f ca="1">SUMIF('Production '!$C$4:$AI$4407,'Tracking Sheet'!B1851,'Production '!$M$4:$M$4407)</f>
        <v>#DIV/0!</v>
      </c>
      <c r="D1851" s="76" t="e">
        <f ca="1">SUMIF('Production '!$C$4:$AI$4407,'Tracking Sheet'!B1851,'Production '!$Q$4:$Q$4407)</f>
        <v>#DIV/0!</v>
      </c>
      <c r="E1851" s="76">
        <f ca="1">SUMIF('Production '!$C$4:$AI$4407,'Tracking Sheet'!B1851,'Production '!$S$4:$S$4407)</f>
        <v>-1268218.9828305368</v>
      </c>
      <c r="F1851" s="76">
        <f ca="1">SUMIF('Production '!$C$4:$AI$4407,'Tracking Sheet'!B1851,'Production '!$U$4:$U$4407)</f>
        <v>-10620.435600016917</v>
      </c>
      <c r="G1851" s="76" t="e">
        <f ca="1">SUMIF('Production '!$C$4:$AI$4407,'Tracking Sheet'!B1851,'Production '!$W$4:$W$4407)</f>
        <v>#DIV/0!</v>
      </c>
      <c r="H1851" s="76">
        <f ca="1">SUMIF('Production '!$C$4:$AI$4407,'Tracking Sheet'!B1851,'Production '!$F$4:$F$4407)</f>
        <v>3230621.3283604058</v>
      </c>
      <c r="I1851" s="76">
        <f ca="1">SUMIF('Production '!$C$4:$AI$4407,'Tracking Sheet'!B1851,'Production '!$V$4:$V$4407)</f>
        <v>-489.86487791182844</v>
      </c>
      <c r="J1851" s="76">
        <f ca="1">SUMIF('Production '!$C$4:$AI$4407,'Tracking Sheet'!B1851,'Production '!$AG$4:$AG$4407)</f>
        <v>0</v>
      </c>
    </row>
    <row r="1852" spans="2:10" x14ac:dyDescent="0.3">
      <c r="B1852" s="277" t="str">
        <f>'Production '!C1855</f>
        <v>48610 1st</v>
      </c>
      <c r="C1852" s="76">
        <f ca="1">SUMIF('Production '!$C$4:$AI$4407,'Tracking Sheet'!B1852,'Production '!$M$4:$M$4407)</f>
        <v>0</v>
      </c>
      <c r="D1852" s="76">
        <f ca="1">SUMIF('Production '!$C$4:$AI$4407,'Tracking Sheet'!B1852,'Production '!$Q$4:$Q$4407)</f>
        <v>0</v>
      </c>
      <c r="E1852" s="76">
        <f ca="1">SUMIF('Production '!$C$4:$AI$4407,'Tracking Sheet'!B1852,'Production '!$S$4:$S$4407)</f>
        <v>0</v>
      </c>
      <c r="F1852" s="76">
        <f ca="1">SUMIF('Production '!$C$4:$AI$4407,'Tracking Sheet'!B1852,'Production '!$U$4:$U$4407)</f>
        <v>0</v>
      </c>
      <c r="G1852" s="76">
        <f ca="1">SUMIF('Production '!$C$4:$AI$4407,'Tracking Sheet'!B1852,'Production '!$W$4:$W$4407)</f>
        <v>0</v>
      </c>
      <c r="H1852" s="76">
        <f ca="1">SUMIF('Production '!$C$4:$AI$4407,'Tracking Sheet'!B1852,'Production '!$F$4:$F$4407)</f>
        <v>80514</v>
      </c>
      <c r="I1852" s="76">
        <f ca="1">SUMIF('Production '!$C$4:$AI$4407,'Tracking Sheet'!B1852,'Production '!$V$4:$V$4407)</f>
        <v>0</v>
      </c>
      <c r="J1852" s="76">
        <f ca="1">SUMIF('Production '!$C$4:$AI$4407,'Tracking Sheet'!B1852,'Production '!$AG$4:$AG$4407)</f>
        <v>-80514</v>
      </c>
    </row>
    <row r="1853" spans="2:10" x14ac:dyDescent="0.3">
      <c r="B1853" s="277" t="str">
        <f>'Production '!C1856</f>
        <v>48610 1st</v>
      </c>
      <c r="C1853" s="76">
        <f ca="1">SUMIF('Production '!$C$4:$AI$4407,'Tracking Sheet'!B1853,'Production '!$M$4:$M$4407)</f>
        <v>0</v>
      </c>
      <c r="D1853" s="76">
        <f ca="1">SUMIF('Production '!$C$4:$AI$4407,'Tracking Sheet'!B1853,'Production '!$Q$4:$Q$4407)</f>
        <v>0</v>
      </c>
      <c r="E1853" s="76">
        <f ca="1">SUMIF('Production '!$C$4:$AI$4407,'Tracking Sheet'!B1853,'Production '!$S$4:$S$4407)</f>
        <v>0</v>
      </c>
      <c r="F1853" s="76">
        <f ca="1">SUMIF('Production '!$C$4:$AI$4407,'Tracking Sheet'!B1853,'Production '!$U$4:$U$4407)</f>
        <v>0</v>
      </c>
      <c r="G1853" s="76">
        <f ca="1">SUMIF('Production '!$C$4:$AI$4407,'Tracking Sheet'!B1853,'Production '!$W$4:$W$4407)</f>
        <v>0</v>
      </c>
      <c r="H1853" s="76">
        <f ca="1">SUMIF('Production '!$C$4:$AI$4407,'Tracking Sheet'!B1853,'Production '!$F$4:$F$4407)</f>
        <v>80514</v>
      </c>
      <c r="I1853" s="76">
        <f ca="1">SUMIF('Production '!$C$4:$AI$4407,'Tracking Sheet'!B1853,'Production '!$V$4:$V$4407)</f>
        <v>0</v>
      </c>
      <c r="J1853" s="76">
        <f ca="1">SUMIF('Production '!$C$4:$AI$4407,'Tracking Sheet'!B1853,'Production '!$AG$4:$AG$4407)</f>
        <v>-80514</v>
      </c>
    </row>
    <row r="1854" spans="2:10" x14ac:dyDescent="0.3">
      <c r="B1854" s="277" t="str">
        <f>'Production '!C1857</f>
        <v>48610 1st</v>
      </c>
      <c r="C1854" s="76">
        <f ca="1">SUMIF('Production '!$C$4:$AI$4407,'Tracking Sheet'!B1854,'Production '!$M$4:$M$4407)</f>
        <v>0</v>
      </c>
      <c r="D1854" s="76">
        <f ca="1">SUMIF('Production '!$C$4:$AI$4407,'Tracking Sheet'!B1854,'Production '!$Q$4:$Q$4407)</f>
        <v>0</v>
      </c>
      <c r="E1854" s="76">
        <f ca="1">SUMIF('Production '!$C$4:$AI$4407,'Tracking Sheet'!B1854,'Production '!$S$4:$S$4407)</f>
        <v>0</v>
      </c>
      <c r="F1854" s="76">
        <f ca="1">SUMIF('Production '!$C$4:$AI$4407,'Tracking Sheet'!B1854,'Production '!$U$4:$U$4407)</f>
        <v>0</v>
      </c>
      <c r="G1854" s="76">
        <f ca="1">SUMIF('Production '!$C$4:$AI$4407,'Tracking Sheet'!B1854,'Production '!$W$4:$W$4407)</f>
        <v>0</v>
      </c>
      <c r="H1854" s="76">
        <f ca="1">SUMIF('Production '!$C$4:$AI$4407,'Tracking Sheet'!B1854,'Production '!$F$4:$F$4407)</f>
        <v>80514</v>
      </c>
      <c r="I1854" s="76">
        <f ca="1">SUMIF('Production '!$C$4:$AI$4407,'Tracking Sheet'!B1854,'Production '!$V$4:$V$4407)</f>
        <v>0</v>
      </c>
      <c r="J1854" s="76">
        <f ca="1">SUMIF('Production '!$C$4:$AI$4407,'Tracking Sheet'!B1854,'Production '!$AG$4:$AG$4407)</f>
        <v>-80514</v>
      </c>
    </row>
    <row r="1855" spans="2:10" x14ac:dyDescent="0.3">
      <c r="B1855" s="277" t="str">
        <f>'Production '!C1858</f>
        <v>48610 1st</v>
      </c>
      <c r="C1855" s="76">
        <f ca="1">SUMIF('Production '!$C$4:$AI$4407,'Tracking Sheet'!B1855,'Production '!$M$4:$M$4407)</f>
        <v>0</v>
      </c>
      <c r="D1855" s="76">
        <f ca="1">SUMIF('Production '!$C$4:$AI$4407,'Tracking Sheet'!B1855,'Production '!$Q$4:$Q$4407)</f>
        <v>0</v>
      </c>
      <c r="E1855" s="76">
        <f ca="1">SUMIF('Production '!$C$4:$AI$4407,'Tracking Sheet'!B1855,'Production '!$S$4:$S$4407)</f>
        <v>0</v>
      </c>
      <c r="F1855" s="76">
        <f ca="1">SUMIF('Production '!$C$4:$AI$4407,'Tracking Sheet'!B1855,'Production '!$U$4:$U$4407)</f>
        <v>0</v>
      </c>
      <c r="G1855" s="76">
        <f ca="1">SUMIF('Production '!$C$4:$AI$4407,'Tracking Sheet'!B1855,'Production '!$W$4:$W$4407)</f>
        <v>0</v>
      </c>
      <c r="H1855" s="76">
        <f ca="1">SUMIF('Production '!$C$4:$AI$4407,'Tracking Sheet'!B1855,'Production '!$F$4:$F$4407)</f>
        <v>80514</v>
      </c>
      <c r="I1855" s="76">
        <f ca="1">SUMIF('Production '!$C$4:$AI$4407,'Tracking Sheet'!B1855,'Production '!$V$4:$V$4407)</f>
        <v>0</v>
      </c>
      <c r="J1855" s="76">
        <f ca="1">SUMIF('Production '!$C$4:$AI$4407,'Tracking Sheet'!B1855,'Production '!$AG$4:$AG$4407)</f>
        <v>-80514</v>
      </c>
    </row>
    <row r="1856" spans="2:10" x14ac:dyDescent="0.3">
      <c r="B1856" s="277" t="str">
        <f>'Production '!C1859</f>
        <v>48610 1st</v>
      </c>
      <c r="C1856" s="76">
        <f ca="1">SUMIF('Production '!$C$4:$AI$4407,'Tracking Sheet'!B1856,'Production '!$M$4:$M$4407)</f>
        <v>0</v>
      </c>
      <c r="D1856" s="76">
        <f ca="1">SUMIF('Production '!$C$4:$AI$4407,'Tracking Sheet'!B1856,'Production '!$Q$4:$Q$4407)</f>
        <v>0</v>
      </c>
      <c r="E1856" s="76">
        <f ca="1">SUMIF('Production '!$C$4:$AI$4407,'Tracking Sheet'!B1856,'Production '!$S$4:$S$4407)</f>
        <v>0</v>
      </c>
      <c r="F1856" s="76">
        <f ca="1">SUMIF('Production '!$C$4:$AI$4407,'Tracking Sheet'!B1856,'Production '!$U$4:$U$4407)</f>
        <v>0</v>
      </c>
      <c r="G1856" s="76">
        <f ca="1">SUMIF('Production '!$C$4:$AI$4407,'Tracking Sheet'!B1856,'Production '!$W$4:$W$4407)</f>
        <v>0</v>
      </c>
      <c r="H1856" s="76">
        <f ca="1">SUMIF('Production '!$C$4:$AI$4407,'Tracking Sheet'!B1856,'Production '!$F$4:$F$4407)</f>
        <v>80514</v>
      </c>
      <c r="I1856" s="76">
        <f ca="1">SUMIF('Production '!$C$4:$AI$4407,'Tracking Sheet'!B1856,'Production '!$V$4:$V$4407)</f>
        <v>0</v>
      </c>
      <c r="J1856" s="76">
        <f ca="1">SUMIF('Production '!$C$4:$AI$4407,'Tracking Sheet'!B1856,'Production '!$AG$4:$AG$4407)</f>
        <v>-80514</v>
      </c>
    </row>
    <row r="1857" spans="2:10" x14ac:dyDescent="0.3">
      <c r="B1857" s="277">
        <f>'Production '!C1860</f>
        <v>0</v>
      </c>
      <c r="C1857" s="76" t="e">
        <f ca="1">SUMIF('Production '!$C$4:$AI$4407,'Tracking Sheet'!B1857,'Production '!$M$4:$M$4407)</f>
        <v>#DIV/0!</v>
      </c>
      <c r="D1857" s="76" t="e">
        <f ca="1">SUMIF('Production '!$C$4:$AI$4407,'Tracking Sheet'!B1857,'Production '!$Q$4:$Q$4407)</f>
        <v>#DIV/0!</v>
      </c>
      <c r="E1857" s="76">
        <f ca="1">SUMIF('Production '!$C$4:$AI$4407,'Tracking Sheet'!B1857,'Production '!$S$4:$S$4407)</f>
        <v>-1268218.9828305368</v>
      </c>
      <c r="F1857" s="76">
        <f ca="1">SUMIF('Production '!$C$4:$AI$4407,'Tracking Sheet'!B1857,'Production '!$U$4:$U$4407)</f>
        <v>-10620.435600016917</v>
      </c>
      <c r="G1857" s="76" t="e">
        <f ca="1">SUMIF('Production '!$C$4:$AI$4407,'Tracking Sheet'!B1857,'Production '!$W$4:$W$4407)</f>
        <v>#DIV/0!</v>
      </c>
      <c r="H1857" s="76">
        <f ca="1">SUMIF('Production '!$C$4:$AI$4407,'Tracking Sheet'!B1857,'Production '!$F$4:$F$4407)</f>
        <v>3230621.3283604058</v>
      </c>
      <c r="I1857" s="76">
        <f ca="1">SUMIF('Production '!$C$4:$AI$4407,'Tracking Sheet'!B1857,'Production '!$V$4:$V$4407)</f>
        <v>-489.86487791182844</v>
      </c>
      <c r="J1857" s="76">
        <f ca="1">SUMIF('Production '!$C$4:$AI$4407,'Tracking Sheet'!B1857,'Production '!$AG$4:$AG$4407)</f>
        <v>0</v>
      </c>
    </row>
    <row r="1858" spans="2:10" x14ac:dyDescent="0.3">
      <c r="B1858" s="277">
        <f>'Production '!C1861</f>
        <v>48186</v>
      </c>
      <c r="C1858" s="76">
        <f ca="1">SUMIF('Production '!$C$4:$AI$4407,'Tracking Sheet'!B1858,'Production '!$M$4:$M$4407)</f>
        <v>1476</v>
      </c>
      <c r="D1858" s="76">
        <f ca="1">SUMIF('Production '!$C$4:$AI$4407,'Tracking Sheet'!B1858,'Production '!$Q$4:$Q$4407)</f>
        <v>1476</v>
      </c>
      <c r="E1858" s="76">
        <f ca="1">SUMIF('Production '!$C$4:$AI$4407,'Tracking Sheet'!B1858,'Production '!$S$4:$S$4407)</f>
        <v>1473</v>
      </c>
      <c r="F1858" s="76">
        <f ca="1">SUMIF('Production '!$C$4:$AI$4407,'Tracking Sheet'!B1858,'Production '!$U$4:$U$4407)</f>
        <v>1</v>
      </c>
      <c r="G1858" s="76">
        <f ca="1">SUMIF('Production '!$C$4:$AI$4407,'Tracking Sheet'!B1858,'Production '!$W$4:$W$4407)</f>
        <v>1472</v>
      </c>
      <c r="H1858" s="76">
        <f ca="1">SUMIF('Production '!$C$4:$AI$4407,'Tracking Sheet'!B1858,'Production '!$F$4:$F$4407)</f>
        <v>1428</v>
      </c>
      <c r="I1858" s="76">
        <f ca="1">SUMIF('Production '!$C$4:$AI$4407,'Tracking Sheet'!B1858,'Production '!$V$4:$V$4407)</f>
        <v>0</v>
      </c>
      <c r="J1858" s="76">
        <f ca="1">SUMIF('Production '!$C$4:$AI$4407,'Tracking Sheet'!B1858,'Production '!$AG$4:$AG$4407)</f>
        <v>0</v>
      </c>
    </row>
    <row r="1859" spans="2:10" x14ac:dyDescent="0.3">
      <c r="B1859" s="277">
        <f>'Production '!C1862</f>
        <v>48186</v>
      </c>
      <c r="C1859" s="76">
        <f ca="1">SUMIF('Production '!$C$4:$AI$4407,'Tracking Sheet'!B1859,'Production '!$M$4:$M$4407)</f>
        <v>1476</v>
      </c>
      <c r="D1859" s="76">
        <f ca="1">SUMIF('Production '!$C$4:$AI$4407,'Tracking Sheet'!B1859,'Production '!$Q$4:$Q$4407)</f>
        <v>1476</v>
      </c>
      <c r="E1859" s="76">
        <f ca="1">SUMIF('Production '!$C$4:$AI$4407,'Tracking Sheet'!B1859,'Production '!$S$4:$S$4407)</f>
        <v>1473</v>
      </c>
      <c r="F1859" s="76">
        <f ca="1">SUMIF('Production '!$C$4:$AI$4407,'Tracking Sheet'!B1859,'Production '!$U$4:$U$4407)</f>
        <v>1</v>
      </c>
      <c r="G1859" s="76">
        <f ca="1">SUMIF('Production '!$C$4:$AI$4407,'Tracking Sheet'!B1859,'Production '!$W$4:$W$4407)</f>
        <v>1472</v>
      </c>
      <c r="H1859" s="76">
        <f ca="1">SUMIF('Production '!$C$4:$AI$4407,'Tracking Sheet'!B1859,'Production '!$F$4:$F$4407)</f>
        <v>1428</v>
      </c>
      <c r="I1859" s="76">
        <f ca="1">SUMIF('Production '!$C$4:$AI$4407,'Tracking Sheet'!B1859,'Production '!$V$4:$V$4407)</f>
        <v>0</v>
      </c>
      <c r="J1859" s="76">
        <f ca="1">SUMIF('Production '!$C$4:$AI$4407,'Tracking Sheet'!B1859,'Production '!$AG$4:$AG$4407)</f>
        <v>0</v>
      </c>
    </row>
    <row r="1860" spans="2:10" x14ac:dyDescent="0.3">
      <c r="B1860" s="277">
        <f>'Production '!C1863</f>
        <v>0</v>
      </c>
      <c r="C1860" s="76" t="e">
        <f ca="1">SUMIF('Production '!$C$4:$AI$4407,'Tracking Sheet'!B1860,'Production '!$M$4:$M$4407)</f>
        <v>#DIV/0!</v>
      </c>
      <c r="D1860" s="76" t="e">
        <f ca="1">SUMIF('Production '!$C$4:$AI$4407,'Tracking Sheet'!B1860,'Production '!$Q$4:$Q$4407)</f>
        <v>#DIV/0!</v>
      </c>
      <c r="E1860" s="76">
        <f ca="1">SUMIF('Production '!$C$4:$AI$4407,'Tracking Sheet'!B1860,'Production '!$S$4:$S$4407)</f>
        <v>-1268218.9828305368</v>
      </c>
      <c r="F1860" s="76">
        <f ca="1">SUMIF('Production '!$C$4:$AI$4407,'Tracking Sheet'!B1860,'Production '!$U$4:$U$4407)</f>
        <v>-10620.435600016917</v>
      </c>
      <c r="G1860" s="76" t="e">
        <f ca="1">SUMIF('Production '!$C$4:$AI$4407,'Tracking Sheet'!B1860,'Production '!$W$4:$W$4407)</f>
        <v>#DIV/0!</v>
      </c>
      <c r="H1860" s="76">
        <f ca="1">SUMIF('Production '!$C$4:$AI$4407,'Tracking Sheet'!B1860,'Production '!$F$4:$F$4407)</f>
        <v>3230621.3283604058</v>
      </c>
      <c r="I1860" s="76">
        <f ca="1">SUMIF('Production '!$C$4:$AI$4407,'Tracking Sheet'!B1860,'Production '!$V$4:$V$4407)</f>
        <v>-489.86487791182844</v>
      </c>
      <c r="J1860" s="76">
        <f ca="1">SUMIF('Production '!$C$4:$AI$4407,'Tracking Sheet'!B1860,'Production '!$AG$4:$AG$4407)</f>
        <v>0</v>
      </c>
    </row>
    <row r="1861" spans="2:10" x14ac:dyDescent="0.3">
      <c r="B1861" s="277" t="str">
        <f>'Production '!C1864</f>
        <v>48610 1st</v>
      </c>
      <c r="C1861" s="76">
        <f ca="1">SUMIF('Production '!$C$4:$AI$4407,'Tracking Sheet'!B1861,'Production '!$M$4:$M$4407)</f>
        <v>0</v>
      </c>
      <c r="D1861" s="76">
        <f ca="1">SUMIF('Production '!$C$4:$AI$4407,'Tracking Sheet'!B1861,'Production '!$Q$4:$Q$4407)</f>
        <v>0</v>
      </c>
      <c r="E1861" s="76">
        <f ca="1">SUMIF('Production '!$C$4:$AI$4407,'Tracking Sheet'!B1861,'Production '!$S$4:$S$4407)</f>
        <v>0</v>
      </c>
      <c r="F1861" s="76">
        <f ca="1">SUMIF('Production '!$C$4:$AI$4407,'Tracking Sheet'!B1861,'Production '!$U$4:$U$4407)</f>
        <v>0</v>
      </c>
      <c r="G1861" s="76">
        <f ca="1">SUMIF('Production '!$C$4:$AI$4407,'Tracking Sheet'!B1861,'Production '!$W$4:$W$4407)</f>
        <v>0</v>
      </c>
      <c r="H1861" s="76">
        <f ca="1">SUMIF('Production '!$C$4:$AI$4407,'Tracking Sheet'!B1861,'Production '!$F$4:$F$4407)</f>
        <v>80514</v>
      </c>
      <c r="I1861" s="76">
        <f ca="1">SUMIF('Production '!$C$4:$AI$4407,'Tracking Sheet'!B1861,'Production '!$V$4:$V$4407)</f>
        <v>0</v>
      </c>
      <c r="J1861" s="76">
        <f ca="1">SUMIF('Production '!$C$4:$AI$4407,'Tracking Sheet'!B1861,'Production '!$AG$4:$AG$4407)</f>
        <v>-80514</v>
      </c>
    </row>
    <row r="1862" spans="2:10" x14ac:dyDescent="0.3">
      <c r="B1862" s="277" t="str">
        <f>'Production '!C1865</f>
        <v>48610 1st</v>
      </c>
      <c r="C1862" s="76">
        <f ca="1">SUMIF('Production '!$C$4:$AI$4407,'Tracking Sheet'!B1862,'Production '!$M$4:$M$4407)</f>
        <v>0</v>
      </c>
      <c r="D1862" s="76">
        <f ca="1">SUMIF('Production '!$C$4:$AI$4407,'Tracking Sheet'!B1862,'Production '!$Q$4:$Q$4407)</f>
        <v>0</v>
      </c>
      <c r="E1862" s="76">
        <f ca="1">SUMIF('Production '!$C$4:$AI$4407,'Tracking Sheet'!B1862,'Production '!$S$4:$S$4407)</f>
        <v>0</v>
      </c>
      <c r="F1862" s="76">
        <f ca="1">SUMIF('Production '!$C$4:$AI$4407,'Tracking Sheet'!B1862,'Production '!$U$4:$U$4407)</f>
        <v>0</v>
      </c>
      <c r="G1862" s="76">
        <f ca="1">SUMIF('Production '!$C$4:$AI$4407,'Tracking Sheet'!B1862,'Production '!$W$4:$W$4407)</f>
        <v>0</v>
      </c>
      <c r="H1862" s="76">
        <f ca="1">SUMIF('Production '!$C$4:$AI$4407,'Tracking Sheet'!B1862,'Production '!$F$4:$F$4407)</f>
        <v>80514</v>
      </c>
      <c r="I1862" s="76">
        <f ca="1">SUMIF('Production '!$C$4:$AI$4407,'Tracking Sheet'!B1862,'Production '!$V$4:$V$4407)</f>
        <v>0</v>
      </c>
      <c r="J1862" s="76">
        <f ca="1">SUMIF('Production '!$C$4:$AI$4407,'Tracking Sheet'!B1862,'Production '!$AG$4:$AG$4407)</f>
        <v>-80514</v>
      </c>
    </row>
    <row r="1863" spans="2:10" x14ac:dyDescent="0.3">
      <c r="B1863" s="277" t="str">
        <f>'Production '!C1866</f>
        <v>48610 1st</v>
      </c>
      <c r="C1863" s="76">
        <f ca="1">SUMIF('Production '!$C$4:$AI$4407,'Tracking Sheet'!B1863,'Production '!$M$4:$M$4407)</f>
        <v>0</v>
      </c>
      <c r="D1863" s="76">
        <f ca="1">SUMIF('Production '!$C$4:$AI$4407,'Tracking Sheet'!B1863,'Production '!$Q$4:$Q$4407)</f>
        <v>0</v>
      </c>
      <c r="E1863" s="76">
        <f ca="1">SUMIF('Production '!$C$4:$AI$4407,'Tracking Sheet'!B1863,'Production '!$S$4:$S$4407)</f>
        <v>0</v>
      </c>
      <c r="F1863" s="76">
        <f ca="1">SUMIF('Production '!$C$4:$AI$4407,'Tracking Sheet'!B1863,'Production '!$U$4:$U$4407)</f>
        <v>0</v>
      </c>
      <c r="G1863" s="76">
        <f ca="1">SUMIF('Production '!$C$4:$AI$4407,'Tracking Sheet'!B1863,'Production '!$W$4:$W$4407)</f>
        <v>0</v>
      </c>
      <c r="H1863" s="76">
        <f ca="1">SUMIF('Production '!$C$4:$AI$4407,'Tracking Sheet'!B1863,'Production '!$F$4:$F$4407)</f>
        <v>80514</v>
      </c>
      <c r="I1863" s="76">
        <f ca="1">SUMIF('Production '!$C$4:$AI$4407,'Tracking Sheet'!B1863,'Production '!$V$4:$V$4407)</f>
        <v>0</v>
      </c>
      <c r="J1863" s="76">
        <f ca="1">SUMIF('Production '!$C$4:$AI$4407,'Tracking Sheet'!B1863,'Production '!$AG$4:$AG$4407)</f>
        <v>-80514</v>
      </c>
    </row>
    <row r="1864" spans="2:10" x14ac:dyDescent="0.3">
      <c r="B1864" s="277" t="str">
        <f>'Production '!C1867</f>
        <v>48610 1st</v>
      </c>
      <c r="C1864" s="76">
        <f ca="1">SUMIF('Production '!$C$4:$AI$4407,'Tracking Sheet'!B1864,'Production '!$M$4:$M$4407)</f>
        <v>0</v>
      </c>
      <c r="D1864" s="76">
        <f ca="1">SUMIF('Production '!$C$4:$AI$4407,'Tracking Sheet'!B1864,'Production '!$Q$4:$Q$4407)</f>
        <v>0</v>
      </c>
      <c r="E1864" s="76">
        <f ca="1">SUMIF('Production '!$C$4:$AI$4407,'Tracking Sheet'!B1864,'Production '!$S$4:$S$4407)</f>
        <v>0</v>
      </c>
      <c r="F1864" s="76">
        <f ca="1">SUMIF('Production '!$C$4:$AI$4407,'Tracking Sheet'!B1864,'Production '!$U$4:$U$4407)</f>
        <v>0</v>
      </c>
      <c r="G1864" s="76">
        <f ca="1">SUMIF('Production '!$C$4:$AI$4407,'Tracking Sheet'!B1864,'Production '!$W$4:$W$4407)</f>
        <v>0</v>
      </c>
      <c r="H1864" s="76">
        <f ca="1">SUMIF('Production '!$C$4:$AI$4407,'Tracking Sheet'!B1864,'Production '!$F$4:$F$4407)</f>
        <v>80514</v>
      </c>
      <c r="I1864" s="76">
        <f ca="1">SUMIF('Production '!$C$4:$AI$4407,'Tracking Sheet'!B1864,'Production '!$V$4:$V$4407)</f>
        <v>0</v>
      </c>
      <c r="J1864" s="76">
        <f ca="1">SUMIF('Production '!$C$4:$AI$4407,'Tracking Sheet'!B1864,'Production '!$AG$4:$AG$4407)</f>
        <v>-80514</v>
      </c>
    </row>
    <row r="1865" spans="2:10" x14ac:dyDescent="0.3">
      <c r="B1865" s="277" t="str">
        <f>'Production '!C1868</f>
        <v>48610 1st</v>
      </c>
      <c r="C1865" s="76">
        <f ca="1">SUMIF('Production '!$C$4:$AI$4407,'Tracking Sheet'!B1865,'Production '!$M$4:$M$4407)</f>
        <v>0</v>
      </c>
      <c r="D1865" s="76">
        <f ca="1">SUMIF('Production '!$C$4:$AI$4407,'Tracking Sheet'!B1865,'Production '!$Q$4:$Q$4407)</f>
        <v>0</v>
      </c>
      <c r="E1865" s="76">
        <f ca="1">SUMIF('Production '!$C$4:$AI$4407,'Tracking Sheet'!B1865,'Production '!$S$4:$S$4407)</f>
        <v>0</v>
      </c>
      <c r="F1865" s="76">
        <f ca="1">SUMIF('Production '!$C$4:$AI$4407,'Tracking Sheet'!B1865,'Production '!$U$4:$U$4407)</f>
        <v>0</v>
      </c>
      <c r="G1865" s="76">
        <f ca="1">SUMIF('Production '!$C$4:$AI$4407,'Tracking Sheet'!B1865,'Production '!$W$4:$W$4407)</f>
        <v>0</v>
      </c>
      <c r="H1865" s="76">
        <f ca="1">SUMIF('Production '!$C$4:$AI$4407,'Tracking Sheet'!B1865,'Production '!$F$4:$F$4407)</f>
        <v>80514</v>
      </c>
      <c r="I1865" s="76">
        <f ca="1">SUMIF('Production '!$C$4:$AI$4407,'Tracking Sheet'!B1865,'Production '!$V$4:$V$4407)</f>
        <v>0</v>
      </c>
      <c r="J1865" s="76">
        <f ca="1">SUMIF('Production '!$C$4:$AI$4407,'Tracking Sheet'!B1865,'Production '!$AG$4:$AG$4407)</f>
        <v>-80514</v>
      </c>
    </row>
    <row r="1866" spans="2:10" x14ac:dyDescent="0.3">
      <c r="B1866" s="277">
        <f>'Production '!C1869</f>
        <v>0</v>
      </c>
      <c r="C1866" s="76" t="e">
        <f ca="1">SUMIF('Production '!$C$4:$AI$4407,'Tracking Sheet'!B1866,'Production '!$M$4:$M$4407)</f>
        <v>#DIV/0!</v>
      </c>
      <c r="D1866" s="76" t="e">
        <f ca="1">SUMIF('Production '!$C$4:$AI$4407,'Tracking Sheet'!B1866,'Production '!$Q$4:$Q$4407)</f>
        <v>#DIV/0!</v>
      </c>
      <c r="E1866" s="76">
        <f ca="1">SUMIF('Production '!$C$4:$AI$4407,'Tracking Sheet'!B1866,'Production '!$S$4:$S$4407)</f>
        <v>-1268218.9828305368</v>
      </c>
      <c r="F1866" s="76">
        <f ca="1">SUMIF('Production '!$C$4:$AI$4407,'Tracking Sheet'!B1866,'Production '!$U$4:$U$4407)</f>
        <v>-10620.435600016917</v>
      </c>
      <c r="G1866" s="76" t="e">
        <f ca="1">SUMIF('Production '!$C$4:$AI$4407,'Tracking Sheet'!B1866,'Production '!$W$4:$W$4407)</f>
        <v>#DIV/0!</v>
      </c>
      <c r="H1866" s="76">
        <f ca="1">SUMIF('Production '!$C$4:$AI$4407,'Tracking Sheet'!B1866,'Production '!$F$4:$F$4407)</f>
        <v>3230621.3283604058</v>
      </c>
      <c r="I1866" s="76">
        <f ca="1">SUMIF('Production '!$C$4:$AI$4407,'Tracking Sheet'!B1866,'Production '!$V$4:$V$4407)</f>
        <v>-489.86487791182844</v>
      </c>
      <c r="J1866" s="76">
        <f ca="1">SUMIF('Production '!$C$4:$AI$4407,'Tracking Sheet'!B1866,'Production '!$AG$4:$AG$4407)</f>
        <v>0</v>
      </c>
    </row>
    <row r="1867" spans="2:10" x14ac:dyDescent="0.3">
      <c r="B1867" s="277">
        <f>'Production '!C1870</f>
        <v>48207</v>
      </c>
      <c r="C1867" s="76">
        <f ca="1">SUMIF('Production '!$C$4:$AI$4407,'Tracking Sheet'!B1867,'Production '!$M$4:$M$4407)</f>
        <v>2511</v>
      </c>
      <c r="D1867" s="76">
        <f ca="1">SUMIF('Production '!$C$4:$AI$4407,'Tracking Sheet'!B1867,'Production '!$Q$4:$Q$4407)</f>
        <v>2506</v>
      </c>
      <c r="E1867" s="76">
        <f ca="1">SUMIF('Production '!$C$4:$AI$4407,'Tracking Sheet'!B1867,'Production '!$S$4:$S$4407)</f>
        <v>0</v>
      </c>
      <c r="F1867" s="76">
        <f ca="1">SUMIF('Production '!$C$4:$AI$4407,'Tracking Sheet'!B1867,'Production '!$U$4:$U$4407)</f>
        <v>0</v>
      </c>
      <c r="G1867" s="76">
        <f ca="1">SUMIF('Production '!$C$4:$AI$4407,'Tracking Sheet'!B1867,'Production '!$W$4:$W$4407)</f>
        <v>0</v>
      </c>
      <c r="H1867" s="76">
        <f ca="1">SUMIF('Production '!$C$4:$AI$4407,'Tracking Sheet'!B1867,'Production '!$F$4:$F$4407)</f>
        <v>2437</v>
      </c>
      <c r="I1867" s="76">
        <f ca="1">SUMIF('Production '!$C$4:$AI$4407,'Tracking Sheet'!B1867,'Production '!$V$4:$V$4407)</f>
        <v>0</v>
      </c>
      <c r="J1867" s="76">
        <f ca="1">SUMIF('Production '!$C$4:$AI$4407,'Tracking Sheet'!B1867,'Production '!$AG$4:$AG$4407)</f>
        <v>0</v>
      </c>
    </row>
    <row r="1868" spans="2:10" x14ac:dyDescent="0.3">
      <c r="B1868" s="277">
        <f>'Production '!C1871</f>
        <v>48207</v>
      </c>
      <c r="C1868" s="76">
        <f ca="1">SUMIF('Production '!$C$4:$AI$4407,'Tracking Sheet'!B1868,'Production '!$M$4:$M$4407)</f>
        <v>2511</v>
      </c>
      <c r="D1868" s="76">
        <f ca="1">SUMIF('Production '!$C$4:$AI$4407,'Tracking Sheet'!B1868,'Production '!$Q$4:$Q$4407)</f>
        <v>2506</v>
      </c>
      <c r="E1868" s="76">
        <f ca="1">SUMIF('Production '!$C$4:$AI$4407,'Tracking Sheet'!B1868,'Production '!$S$4:$S$4407)</f>
        <v>0</v>
      </c>
      <c r="F1868" s="76">
        <f ca="1">SUMIF('Production '!$C$4:$AI$4407,'Tracking Sheet'!B1868,'Production '!$U$4:$U$4407)</f>
        <v>0</v>
      </c>
      <c r="G1868" s="76">
        <f ca="1">SUMIF('Production '!$C$4:$AI$4407,'Tracking Sheet'!B1868,'Production '!$W$4:$W$4407)</f>
        <v>0</v>
      </c>
      <c r="H1868" s="76">
        <f ca="1">SUMIF('Production '!$C$4:$AI$4407,'Tracking Sheet'!B1868,'Production '!$F$4:$F$4407)</f>
        <v>2437</v>
      </c>
      <c r="I1868" s="76">
        <f ca="1">SUMIF('Production '!$C$4:$AI$4407,'Tracking Sheet'!B1868,'Production '!$V$4:$V$4407)</f>
        <v>0</v>
      </c>
      <c r="J1868" s="76">
        <f ca="1">SUMIF('Production '!$C$4:$AI$4407,'Tracking Sheet'!B1868,'Production '!$AG$4:$AG$4407)</f>
        <v>0</v>
      </c>
    </row>
    <row r="1869" spans="2:10" x14ac:dyDescent="0.3">
      <c r="B1869" s="277">
        <f>'Production '!C1872</f>
        <v>0</v>
      </c>
      <c r="C1869" s="76" t="e">
        <f ca="1">SUMIF('Production '!$C$4:$AI$4407,'Tracking Sheet'!B1869,'Production '!$M$4:$M$4407)</f>
        <v>#DIV/0!</v>
      </c>
      <c r="D1869" s="76" t="e">
        <f ca="1">SUMIF('Production '!$C$4:$AI$4407,'Tracking Sheet'!B1869,'Production '!$Q$4:$Q$4407)</f>
        <v>#DIV/0!</v>
      </c>
      <c r="E1869" s="76">
        <f ca="1">SUMIF('Production '!$C$4:$AI$4407,'Tracking Sheet'!B1869,'Production '!$S$4:$S$4407)</f>
        <v>-1268218.9828305368</v>
      </c>
      <c r="F1869" s="76">
        <f ca="1">SUMIF('Production '!$C$4:$AI$4407,'Tracking Sheet'!B1869,'Production '!$U$4:$U$4407)</f>
        <v>-10620.435600016917</v>
      </c>
      <c r="G1869" s="76" t="e">
        <f ca="1">SUMIF('Production '!$C$4:$AI$4407,'Tracking Sheet'!B1869,'Production '!$W$4:$W$4407)</f>
        <v>#DIV/0!</v>
      </c>
      <c r="H1869" s="76">
        <f ca="1">SUMIF('Production '!$C$4:$AI$4407,'Tracking Sheet'!B1869,'Production '!$F$4:$F$4407)</f>
        <v>3230621.3283604058</v>
      </c>
      <c r="I1869" s="76">
        <f ca="1">SUMIF('Production '!$C$4:$AI$4407,'Tracking Sheet'!B1869,'Production '!$V$4:$V$4407)</f>
        <v>-489.86487791182844</v>
      </c>
      <c r="J1869" s="76">
        <f ca="1">SUMIF('Production '!$C$4:$AI$4407,'Tracking Sheet'!B1869,'Production '!$AG$4:$AG$4407)</f>
        <v>0</v>
      </c>
    </row>
    <row r="1870" spans="2:10" x14ac:dyDescent="0.3">
      <c r="B1870" s="277">
        <f>'Production '!C1873</f>
        <v>48225</v>
      </c>
      <c r="C1870" s="76">
        <f ca="1">SUMIF('Production '!$C$4:$AI$4407,'Tracking Sheet'!B1870,'Production '!$M$4:$M$4407)</f>
        <v>0</v>
      </c>
      <c r="D1870" s="76">
        <f ca="1">SUMIF('Production '!$C$4:$AI$4407,'Tracking Sheet'!B1870,'Production '!$Q$4:$Q$4407)</f>
        <v>0</v>
      </c>
      <c r="E1870" s="76">
        <f ca="1">SUMIF('Production '!$C$4:$AI$4407,'Tracking Sheet'!B1870,'Production '!$S$4:$S$4407)</f>
        <v>0</v>
      </c>
      <c r="F1870" s="76">
        <f ca="1">SUMIF('Production '!$C$4:$AI$4407,'Tracking Sheet'!B1870,'Production '!$U$4:$U$4407)</f>
        <v>0</v>
      </c>
      <c r="G1870" s="76">
        <f ca="1">SUMIF('Production '!$C$4:$AI$4407,'Tracking Sheet'!B1870,'Production '!$W$4:$W$4407)</f>
        <v>0</v>
      </c>
      <c r="H1870" s="76">
        <f ca="1">SUMIF('Production '!$C$4:$AI$4407,'Tracking Sheet'!B1870,'Production '!$F$4:$F$4407)</f>
        <v>2592</v>
      </c>
      <c r="I1870" s="76">
        <f ca="1">SUMIF('Production '!$C$4:$AI$4407,'Tracking Sheet'!B1870,'Production '!$V$4:$V$4407)</f>
        <v>0</v>
      </c>
      <c r="J1870" s="76">
        <f ca="1">SUMIF('Production '!$C$4:$AI$4407,'Tracking Sheet'!B1870,'Production '!$AG$4:$AG$4407)</f>
        <v>-2592</v>
      </c>
    </row>
    <row r="1871" spans="2:10" x14ac:dyDescent="0.3">
      <c r="B1871" s="277">
        <f>'Production '!C1874</f>
        <v>48225</v>
      </c>
      <c r="C1871" s="76">
        <f ca="1">SUMIF('Production '!$C$4:$AI$4407,'Tracking Sheet'!B1871,'Production '!$M$4:$M$4407)</f>
        <v>0</v>
      </c>
      <c r="D1871" s="76">
        <f ca="1">SUMIF('Production '!$C$4:$AI$4407,'Tracking Sheet'!B1871,'Production '!$Q$4:$Q$4407)</f>
        <v>0</v>
      </c>
      <c r="E1871" s="76">
        <f ca="1">SUMIF('Production '!$C$4:$AI$4407,'Tracking Sheet'!B1871,'Production '!$S$4:$S$4407)</f>
        <v>0</v>
      </c>
      <c r="F1871" s="76">
        <f ca="1">SUMIF('Production '!$C$4:$AI$4407,'Tracking Sheet'!B1871,'Production '!$U$4:$U$4407)</f>
        <v>0</v>
      </c>
      <c r="G1871" s="76">
        <f ca="1">SUMIF('Production '!$C$4:$AI$4407,'Tracking Sheet'!B1871,'Production '!$W$4:$W$4407)</f>
        <v>0</v>
      </c>
      <c r="H1871" s="76">
        <f ca="1">SUMIF('Production '!$C$4:$AI$4407,'Tracking Sheet'!B1871,'Production '!$F$4:$F$4407)</f>
        <v>2592</v>
      </c>
      <c r="I1871" s="76">
        <f ca="1">SUMIF('Production '!$C$4:$AI$4407,'Tracking Sheet'!B1871,'Production '!$V$4:$V$4407)</f>
        <v>0</v>
      </c>
      <c r="J1871" s="76">
        <f ca="1">SUMIF('Production '!$C$4:$AI$4407,'Tracking Sheet'!B1871,'Production '!$AG$4:$AG$4407)</f>
        <v>-2592</v>
      </c>
    </row>
    <row r="1872" spans="2:10" x14ac:dyDescent="0.3">
      <c r="B1872" s="277">
        <f>'Production '!C1875</f>
        <v>48225</v>
      </c>
      <c r="C1872" s="76">
        <f ca="1">SUMIF('Production '!$C$4:$AI$4407,'Tracking Sheet'!B1872,'Production '!$M$4:$M$4407)</f>
        <v>0</v>
      </c>
      <c r="D1872" s="76">
        <f ca="1">SUMIF('Production '!$C$4:$AI$4407,'Tracking Sheet'!B1872,'Production '!$Q$4:$Q$4407)</f>
        <v>0</v>
      </c>
      <c r="E1872" s="76">
        <f ca="1">SUMIF('Production '!$C$4:$AI$4407,'Tracking Sheet'!B1872,'Production '!$S$4:$S$4407)</f>
        <v>0</v>
      </c>
      <c r="F1872" s="76">
        <f ca="1">SUMIF('Production '!$C$4:$AI$4407,'Tracking Sheet'!B1872,'Production '!$U$4:$U$4407)</f>
        <v>0</v>
      </c>
      <c r="G1872" s="76">
        <f ca="1">SUMIF('Production '!$C$4:$AI$4407,'Tracking Sheet'!B1872,'Production '!$W$4:$W$4407)</f>
        <v>0</v>
      </c>
      <c r="H1872" s="76">
        <f ca="1">SUMIF('Production '!$C$4:$AI$4407,'Tracking Sheet'!B1872,'Production '!$F$4:$F$4407)</f>
        <v>2592</v>
      </c>
      <c r="I1872" s="76">
        <f ca="1">SUMIF('Production '!$C$4:$AI$4407,'Tracking Sheet'!B1872,'Production '!$V$4:$V$4407)</f>
        <v>0</v>
      </c>
      <c r="J1872" s="76">
        <f ca="1">SUMIF('Production '!$C$4:$AI$4407,'Tracking Sheet'!B1872,'Production '!$AG$4:$AG$4407)</f>
        <v>-2592</v>
      </c>
    </row>
    <row r="1873" spans="2:10" x14ac:dyDescent="0.3">
      <c r="B1873" s="277">
        <f>'Production '!C1876</f>
        <v>0</v>
      </c>
      <c r="C1873" s="76" t="e">
        <f ca="1">SUMIF('Production '!$C$4:$AI$4407,'Tracking Sheet'!B1873,'Production '!$M$4:$M$4407)</f>
        <v>#DIV/0!</v>
      </c>
      <c r="D1873" s="76" t="e">
        <f ca="1">SUMIF('Production '!$C$4:$AI$4407,'Tracking Sheet'!B1873,'Production '!$Q$4:$Q$4407)</f>
        <v>#DIV/0!</v>
      </c>
      <c r="E1873" s="76">
        <f ca="1">SUMIF('Production '!$C$4:$AI$4407,'Tracking Sheet'!B1873,'Production '!$S$4:$S$4407)</f>
        <v>-1268218.9828305368</v>
      </c>
      <c r="F1873" s="76">
        <f ca="1">SUMIF('Production '!$C$4:$AI$4407,'Tracking Sheet'!B1873,'Production '!$U$4:$U$4407)</f>
        <v>-10620.435600016917</v>
      </c>
      <c r="G1873" s="76" t="e">
        <f ca="1">SUMIF('Production '!$C$4:$AI$4407,'Tracking Sheet'!B1873,'Production '!$W$4:$W$4407)</f>
        <v>#DIV/0!</v>
      </c>
      <c r="H1873" s="76">
        <f ca="1">SUMIF('Production '!$C$4:$AI$4407,'Tracking Sheet'!B1873,'Production '!$F$4:$F$4407)</f>
        <v>3230621.3283604058</v>
      </c>
      <c r="I1873" s="76">
        <f ca="1">SUMIF('Production '!$C$4:$AI$4407,'Tracking Sheet'!B1873,'Production '!$V$4:$V$4407)</f>
        <v>-489.86487791182844</v>
      </c>
      <c r="J1873" s="76">
        <f ca="1">SUMIF('Production '!$C$4:$AI$4407,'Tracking Sheet'!B1873,'Production '!$AG$4:$AG$4407)</f>
        <v>0</v>
      </c>
    </row>
    <row r="1874" spans="2:10" x14ac:dyDescent="0.3">
      <c r="B1874" s="277">
        <f>'Production '!C1877</f>
        <v>48226</v>
      </c>
      <c r="C1874" s="76">
        <f ca="1">SUMIF('Production '!$C$4:$AI$4407,'Tracking Sheet'!B1874,'Production '!$M$4:$M$4407)</f>
        <v>0</v>
      </c>
      <c r="D1874" s="76">
        <f ca="1">SUMIF('Production '!$C$4:$AI$4407,'Tracking Sheet'!B1874,'Production '!$Q$4:$Q$4407)</f>
        <v>0</v>
      </c>
      <c r="E1874" s="76">
        <f ca="1">SUMIF('Production '!$C$4:$AI$4407,'Tracking Sheet'!B1874,'Production '!$S$4:$S$4407)</f>
        <v>0</v>
      </c>
      <c r="F1874" s="76">
        <f ca="1">SUMIF('Production '!$C$4:$AI$4407,'Tracking Sheet'!B1874,'Production '!$U$4:$U$4407)</f>
        <v>0</v>
      </c>
      <c r="G1874" s="76">
        <f ca="1">SUMIF('Production '!$C$4:$AI$4407,'Tracking Sheet'!B1874,'Production '!$W$4:$W$4407)</f>
        <v>0</v>
      </c>
      <c r="H1874" s="76">
        <f ca="1">SUMIF('Production '!$C$4:$AI$4407,'Tracking Sheet'!B1874,'Production '!$F$4:$F$4407)</f>
        <v>8163</v>
      </c>
      <c r="I1874" s="76">
        <f ca="1">SUMIF('Production '!$C$4:$AI$4407,'Tracking Sheet'!B1874,'Production '!$V$4:$V$4407)</f>
        <v>0</v>
      </c>
      <c r="J1874" s="76">
        <f ca="1">SUMIF('Production '!$C$4:$AI$4407,'Tracking Sheet'!B1874,'Production '!$AG$4:$AG$4407)</f>
        <v>-8163</v>
      </c>
    </row>
    <row r="1875" spans="2:10" x14ac:dyDescent="0.3">
      <c r="B1875" s="277">
        <f>'Production '!C1878</f>
        <v>48226</v>
      </c>
      <c r="C1875" s="76">
        <f ca="1">SUMIF('Production '!$C$4:$AI$4407,'Tracking Sheet'!B1875,'Production '!$M$4:$M$4407)</f>
        <v>0</v>
      </c>
      <c r="D1875" s="76">
        <f ca="1">SUMIF('Production '!$C$4:$AI$4407,'Tracking Sheet'!B1875,'Production '!$Q$4:$Q$4407)</f>
        <v>0</v>
      </c>
      <c r="E1875" s="76">
        <f ca="1">SUMIF('Production '!$C$4:$AI$4407,'Tracking Sheet'!B1875,'Production '!$S$4:$S$4407)</f>
        <v>0</v>
      </c>
      <c r="F1875" s="76">
        <f ca="1">SUMIF('Production '!$C$4:$AI$4407,'Tracking Sheet'!B1875,'Production '!$U$4:$U$4407)</f>
        <v>0</v>
      </c>
      <c r="G1875" s="76">
        <f ca="1">SUMIF('Production '!$C$4:$AI$4407,'Tracking Sheet'!B1875,'Production '!$W$4:$W$4407)</f>
        <v>0</v>
      </c>
      <c r="H1875" s="76">
        <f ca="1">SUMIF('Production '!$C$4:$AI$4407,'Tracking Sheet'!B1875,'Production '!$F$4:$F$4407)</f>
        <v>8163</v>
      </c>
      <c r="I1875" s="76">
        <f ca="1">SUMIF('Production '!$C$4:$AI$4407,'Tracking Sheet'!B1875,'Production '!$V$4:$V$4407)</f>
        <v>0</v>
      </c>
      <c r="J1875" s="76">
        <f ca="1">SUMIF('Production '!$C$4:$AI$4407,'Tracking Sheet'!B1875,'Production '!$AG$4:$AG$4407)</f>
        <v>-8163</v>
      </c>
    </row>
    <row r="1876" spans="2:10" x14ac:dyDescent="0.3">
      <c r="B1876" s="277">
        <f>'Production '!C1879</f>
        <v>48226</v>
      </c>
      <c r="C1876" s="76">
        <f ca="1">SUMIF('Production '!$C$4:$AI$4407,'Tracking Sheet'!B1876,'Production '!$M$4:$M$4407)</f>
        <v>0</v>
      </c>
      <c r="D1876" s="76">
        <f ca="1">SUMIF('Production '!$C$4:$AI$4407,'Tracking Sheet'!B1876,'Production '!$Q$4:$Q$4407)</f>
        <v>0</v>
      </c>
      <c r="E1876" s="76">
        <f ca="1">SUMIF('Production '!$C$4:$AI$4407,'Tracking Sheet'!B1876,'Production '!$S$4:$S$4407)</f>
        <v>0</v>
      </c>
      <c r="F1876" s="76">
        <f ca="1">SUMIF('Production '!$C$4:$AI$4407,'Tracking Sheet'!B1876,'Production '!$U$4:$U$4407)</f>
        <v>0</v>
      </c>
      <c r="G1876" s="76">
        <f ca="1">SUMIF('Production '!$C$4:$AI$4407,'Tracking Sheet'!B1876,'Production '!$W$4:$W$4407)</f>
        <v>0</v>
      </c>
      <c r="H1876" s="76">
        <f ca="1">SUMIF('Production '!$C$4:$AI$4407,'Tracking Sheet'!B1876,'Production '!$F$4:$F$4407)</f>
        <v>8163</v>
      </c>
      <c r="I1876" s="76">
        <f ca="1">SUMIF('Production '!$C$4:$AI$4407,'Tracking Sheet'!B1876,'Production '!$V$4:$V$4407)</f>
        <v>0</v>
      </c>
      <c r="J1876" s="76">
        <f ca="1">SUMIF('Production '!$C$4:$AI$4407,'Tracking Sheet'!B1876,'Production '!$AG$4:$AG$4407)</f>
        <v>-8163</v>
      </c>
    </row>
    <row r="1877" spans="2:10" x14ac:dyDescent="0.3">
      <c r="B1877" s="277">
        <f>'Production '!C1880</f>
        <v>0</v>
      </c>
      <c r="C1877" s="76" t="e">
        <f ca="1">SUMIF('Production '!$C$4:$AI$4407,'Tracking Sheet'!B1877,'Production '!$M$4:$M$4407)</f>
        <v>#DIV/0!</v>
      </c>
      <c r="D1877" s="76" t="e">
        <f ca="1">SUMIF('Production '!$C$4:$AI$4407,'Tracking Sheet'!B1877,'Production '!$Q$4:$Q$4407)</f>
        <v>#DIV/0!</v>
      </c>
      <c r="E1877" s="76">
        <f ca="1">SUMIF('Production '!$C$4:$AI$4407,'Tracking Sheet'!B1877,'Production '!$S$4:$S$4407)</f>
        <v>-1268218.9828305368</v>
      </c>
      <c r="F1877" s="76">
        <f ca="1">SUMIF('Production '!$C$4:$AI$4407,'Tracking Sheet'!B1877,'Production '!$U$4:$U$4407)</f>
        <v>-10620.435600016917</v>
      </c>
      <c r="G1877" s="76" t="e">
        <f ca="1">SUMIF('Production '!$C$4:$AI$4407,'Tracking Sheet'!B1877,'Production '!$W$4:$W$4407)</f>
        <v>#DIV/0!</v>
      </c>
      <c r="H1877" s="76">
        <f ca="1">SUMIF('Production '!$C$4:$AI$4407,'Tracking Sheet'!B1877,'Production '!$F$4:$F$4407)</f>
        <v>3230621.3283604058</v>
      </c>
      <c r="I1877" s="76">
        <f ca="1">SUMIF('Production '!$C$4:$AI$4407,'Tracking Sheet'!B1877,'Production '!$V$4:$V$4407)</f>
        <v>-489.86487791182844</v>
      </c>
      <c r="J1877" s="76">
        <f ca="1">SUMIF('Production '!$C$4:$AI$4407,'Tracking Sheet'!B1877,'Production '!$AG$4:$AG$4407)</f>
        <v>0</v>
      </c>
    </row>
    <row r="1878" spans="2:10" x14ac:dyDescent="0.3">
      <c r="B1878" s="277">
        <f>'Production '!C1881</f>
        <v>48178</v>
      </c>
      <c r="C1878" s="76">
        <f ca="1">SUMIF('Production '!$C$4:$AI$4407,'Tracking Sheet'!B1878,'Production '!$M$4:$M$4407)</f>
        <v>0</v>
      </c>
      <c r="D1878" s="76">
        <f ca="1">SUMIF('Production '!$C$4:$AI$4407,'Tracking Sheet'!B1878,'Production '!$Q$4:$Q$4407)</f>
        <v>0</v>
      </c>
      <c r="E1878" s="76">
        <f ca="1">SUMIF('Production '!$C$4:$AI$4407,'Tracking Sheet'!B1878,'Production '!$S$4:$S$4407)</f>
        <v>0</v>
      </c>
      <c r="F1878" s="76">
        <f ca="1">SUMIF('Production '!$C$4:$AI$4407,'Tracking Sheet'!B1878,'Production '!$U$4:$U$4407)</f>
        <v>0</v>
      </c>
      <c r="G1878" s="76">
        <f ca="1">SUMIF('Production '!$C$4:$AI$4407,'Tracking Sheet'!B1878,'Production '!$W$4:$W$4407)</f>
        <v>0</v>
      </c>
      <c r="H1878" s="76">
        <f ca="1">SUMIF('Production '!$C$4:$AI$4407,'Tracking Sheet'!B1878,'Production '!$F$4:$F$4407)</f>
        <v>3072</v>
      </c>
      <c r="I1878" s="76">
        <f ca="1">SUMIF('Production '!$C$4:$AI$4407,'Tracking Sheet'!B1878,'Production '!$V$4:$V$4407)</f>
        <v>0</v>
      </c>
      <c r="J1878" s="76">
        <f ca="1">SUMIF('Production '!$C$4:$AI$4407,'Tracking Sheet'!B1878,'Production '!$AG$4:$AG$4407)</f>
        <v>-3072</v>
      </c>
    </row>
    <row r="1879" spans="2:10" x14ac:dyDescent="0.3">
      <c r="B1879" s="277">
        <f>'Production '!C1882</f>
        <v>48178</v>
      </c>
      <c r="C1879" s="76">
        <f ca="1">SUMIF('Production '!$C$4:$AI$4407,'Tracking Sheet'!B1879,'Production '!$M$4:$M$4407)</f>
        <v>0</v>
      </c>
      <c r="D1879" s="76">
        <f ca="1">SUMIF('Production '!$C$4:$AI$4407,'Tracking Sheet'!B1879,'Production '!$Q$4:$Q$4407)</f>
        <v>0</v>
      </c>
      <c r="E1879" s="76">
        <f ca="1">SUMIF('Production '!$C$4:$AI$4407,'Tracking Sheet'!B1879,'Production '!$S$4:$S$4407)</f>
        <v>0</v>
      </c>
      <c r="F1879" s="76">
        <f ca="1">SUMIF('Production '!$C$4:$AI$4407,'Tracking Sheet'!B1879,'Production '!$U$4:$U$4407)</f>
        <v>0</v>
      </c>
      <c r="G1879" s="76">
        <f ca="1">SUMIF('Production '!$C$4:$AI$4407,'Tracking Sheet'!B1879,'Production '!$W$4:$W$4407)</f>
        <v>0</v>
      </c>
      <c r="H1879" s="76">
        <f ca="1">SUMIF('Production '!$C$4:$AI$4407,'Tracking Sheet'!B1879,'Production '!$F$4:$F$4407)</f>
        <v>3072</v>
      </c>
      <c r="I1879" s="76">
        <f ca="1">SUMIF('Production '!$C$4:$AI$4407,'Tracking Sheet'!B1879,'Production '!$V$4:$V$4407)</f>
        <v>0</v>
      </c>
      <c r="J1879" s="76">
        <f ca="1">SUMIF('Production '!$C$4:$AI$4407,'Tracking Sheet'!B1879,'Production '!$AG$4:$AG$4407)</f>
        <v>-3072</v>
      </c>
    </row>
    <row r="1880" spans="2:10" x14ac:dyDescent="0.3">
      <c r="B1880" s="277">
        <f>'Production '!C1883</f>
        <v>48178</v>
      </c>
      <c r="C1880" s="76">
        <f ca="1">SUMIF('Production '!$C$4:$AI$4407,'Tracking Sheet'!B1880,'Production '!$M$4:$M$4407)</f>
        <v>0</v>
      </c>
      <c r="D1880" s="76">
        <f ca="1">SUMIF('Production '!$C$4:$AI$4407,'Tracking Sheet'!B1880,'Production '!$Q$4:$Q$4407)</f>
        <v>0</v>
      </c>
      <c r="E1880" s="76">
        <f ca="1">SUMIF('Production '!$C$4:$AI$4407,'Tracking Sheet'!B1880,'Production '!$S$4:$S$4407)</f>
        <v>0</v>
      </c>
      <c r="F1880" s="76">
        <f ca="1">SUMIF('Production '!$C$4:$AI$4407,'Tracking Sheet'!B1880,'Production '!$U$4:$U$4407)</f>
        <v>0</v>
      </c>
      <c r="G1880" s="76">
        <f ca="1">SUMIF('Production '!$C$4:$AI$4407,'Tracking Sheet'!B1880,'Production '!$W$4:$W$4407)</f>
        <v>0</v>
      </c>
      <c r="H1880" s="76">
        <f ca="1">SUMIF('Production '!$C$4:$AI$4407,'Tracking Sheet'!B1880,'Production '!$F$4:$F$4407)</f>
        <v>3072</v>
      </c>
      <c r="I1880" s="76">
        <f ca="1">SUMIF('Production '!$C$4:$AI$4407,'Tracking Sheet'!B1880,'Production '!$V$4:$V$4407)</f>
        <v>0</v>
      </c>
      <c r="J1880" s="76">
        <f ca="1">SUMIF('Production '!$C$4:$AI$4407,'Tracking Sheet'!B1880,'Production '!$AG$4:$AG$4407)</f>
        <v>-3072</v>
      </c>
    </row>
    <row r="1881" spans="2:10" x14ac:dyDescent="0.3">
      <c r="B1881" s="277">
        <f>'Production '!C1884</f>
        <v>48178</v>
      </c>
      <c r="C1881" s="76">
        <f ca="1">SUMIF('Production '!$C$4:$AI$4407,'Tracking Sheet'!B1881,'Production '!$M$4:$M$4407)</f>
        <v>0</v>
      </c>
      <c r="D1881" s="76">
        <f ca="1">SUMIF('Production '!$C$4:$AI$4407,'Tracking Sheet'!B1881,'Production '!$Q$4:$Q$4407)</f>
        <v>0</v>
      </c>
      <c r="E1881" s="76">
        <f ca="1">SUMIF('Production '!$C$4:$AI$4407,'Tracking Sheet'!B1881,'Production '!$S$4:$S$4407)</f>
        <v>0</v>
      </c>
      <c r="F1881" s="76">
        <f ca="1">SUMIF('Production '!$C$4:$AI$4407,'Tracking Sheet'!B1881,'Production '!$U$4:$U$4407)</f>
        <v>0</v>
      </c>
      <c r="G1881" s="76">
        <f ca="1">SUMIF('Production '!$C$4:$AI$4407,'Tracking Sheet'!B1881,'Production '!$W$4:$W$4407)</f>
        <v>0</v>
      </c>
      <c r="H1881" s="76">
        <f ca="1">SUMIF('Production '!$C$4:$AI$4407,'Tracking Sheet'!B1881,'Production '!$F$4:$F$4407)</f>
        <v>3072</v>
      </c>
      <c r="I1881" s="76">
        <f ca="1">SUMIF('Production '!$C$4:$AI$4407,'Tracking Sheet'!B1881,'Production '!$V$4:$V$4407)</f>
        <v>0</v>
      </c>
      <c r="J1881" s="76">
        <f ca="1">SUMIF('Production '!$C$4:$AI$4407,'Tracking Sheet'!B1881,'Production '!$AG$4:$AG$4407)</f>
        <v>-3072</v>
      </c>
    </row>
    <row r="1882" spans="2:10" x14ac:dyDescent="0.3">
      <c r="B1882" s="277">
        <f>'Production '!C1885</f>
        <v>48178</v>
      </c>
      <c r="C1882" s="76">
        <f ca="1">SUMIF('Production '!$C$4:$AI$4407,'Tracking Sheet'!B1882,'Production '!$M$4:$M$4407)</f>
        <v>0</v>
      </c>
      <c r="D1882" s="76">
        <f ca="1">SUMIF('Production '!$C$4:$AI$4407,'Tracking Sheet'!B1882,'Production '!$Q$4:$Q$4407)</f>
        <v>0</v>
      </c>
      <c r="E1882" s="76">
        <f ca="1">SUMIF('Production '!$C$4:$AI$4407,'Tracking Sheet'!B1882,'Production '!$S$4:$S$4407)</f>
        <v>0</v>
      </c>
      <c r="F1882" s="76">
        <f ca="1">SUMIF('Production '!$C$4:$AI$4407,'Tracking Sheet'!B1882,'Production '!$U$4:$U$4407)</f>
        <v>0</v>
      </c>
      <c r="G1882" s="76">
        <f ca="1">SUMIF('Production '!$C$4:$AI$4407,'Tracking Sheet'!B1882,'Production '!$W$4:$W$4407)</f>
        <v>0</v>
      </c>
      <c r="H1882" s="76">
        <f ca="1">SUMIF('Production '!$C$4:$AI$4407,'Tracking Sheet'!B1882,'Production '!$F$4:$F$4407)</f>
        <v>3072</v>
      </c>
      <c r="I1882" s="76">
        <f ca="1">SUMIF('Production '!$C$4:$AI$4407,'Tracking Sheet'!B1882,'Production '!$V$4:$V$4407)</f>
        <v>0</v>
      </c>
      <c r="J1882" s="76">
        <f ca="1">SUMIF('Production '!$C$4:$AI$4407,'Tracking Sheet'!B1882,'Production '!$AG$4:$AG$4407)</f>
        <v>-3072</v>
      </c>
    </row>
    <row r="1883" spans="2:10" x14ac:dyDescent="0.3">
      <c r="B1883" s="277">
        <f>'Production '!C1886</f>
        <v>0</v>
      </c>
      <c r="C1883" s="76" t="e">
        <f ca="1">SUMIF('Production '!$C$4:$AI$4407,'Tracking Sheet'!B1883,'Production '!$M$4:$M$4407)</f>
        <v>#DIV/0!</v>
      </c>
      <c r="D1883" s="76" t="e">
        <f ca="1">SUMIF('Production '!$C$4:$AI$4407,'Tracking Sheet'!B1883,'Production '!$Q$4:$Q$4407)</f>
        <v>#DIV/0!</v>
      </c>
      <c r="E1883" s="76">
        <f ca="1">SUMIF('Production '!$C$4:$AI$4407,'Tracking Sheet'!B1883,'Production '!$S$4:$S$4407)</f>
        <v>-1268218.9828305368</v>
      </c>
      <c r="F1883" s="76">
        <f ca="1">SUMIF('Production '!$C$4:$AI$4407,'Tracking Sheet'!B1883,'Production '!$U$4:$U$4407)</f>
        <v>-10620.435600016917</v>
      </c>
      <c r="G1883" s="76" t="e">
        <f ca="1">SUMIF('Production '!$C$4:$AI$4407,'Tracking Sheet'!B1883,'Production '!$W$4:$W$4407)</f>
        <v>#DIV/0!</v>
      </c>
      <c r="H1883" s="76">
        <f ca="1">SUMIF('Production '!$C$4:$AI$4407,'Tracking Sheet'!B1883,'Production '!$F$4:$F$4407)</f>
        <v>3230621.3283604058</v>
      </c>
      <c r="I1883" s="76">
        <f ca="1">SUMIF('Production '!$C$4:$AI$4407,'Tracking Sheet'!B1883,'Production '!$V$4:$V$4407)</f>
        <v>-489.86487791182844</v>
      </c>
      <c r="J1883" s="76">
        <f ca="1">SUMIF('Production '!$C$4:$AI$4407,'Tracking Sheet'!B1883,'Production '!$AG$4:$AG$4407)</f>
        <v>0</v>
      </c>
    </row>
    <row r="1884" spans="2:10" x14ac:dyDescent="0.3">
      <c r="B1884" s="277" t="str">
        <f>'Production '!C1887</f>
        <v>47763 2nd</v>
      </c>
      <c r="C1884" s="76">
        <f ca="1">SUMIF('Production '!$C$4:$AI$4407,'Tracking Sheet'!B1884,'Production '!$M$4:$M$4407)</f>
        <v>7154</v>
      </c>
      <c r="D1884" s="76">
        <f ca="1">SUMIF('Production '!$C$4:$AI$4407,'Tracking Sheet'!B1884,'Production '!$Q$4:$Q$4407)</f>
        <v>0</v>
      </c>
      <c r="E1884" s="76">
        <f ca="1">SUMIF('Production '!$C$4:$AI$4407,'Tracking Sheet'!B1884,'Production '!$S$4:$S$4407)</f>
        <v>0</v>
      </c>
      <c r="F1884" s="76">
        <f ca="1">SUMIF('Production '!$C$4:$AI$4407,'Tracking Sheet'!B1884,'Production '!$U$4:$U$4407)</f>
        <v>1</v>
      </c>
      <c r="G1884" s="76">
        <f ca="1">SUMIF('Production '!$C$4:$AI$4407,'Tracking Sheet'!B1884,'Production '!$W$4:$W$4407)</f>
        <v>7153</v>
      </c>
      <c r="H1884" s="76">
        <f ca="1">SUMIF('Production '!$C$4:$AI$4407,'Tracking Sheet'!B1884,'Production '!$F$4:$F$4407)</f>
        <v>6909</v>
      </c>
      <c r="I1884" s="76">
        <f ca="1">SUMIF('Production '!$C$4:$AI$4407,'Tracking Sheet'!B1884,'Production '!$V$4:$V$4407)</f>
        <v>0</v>
      </c>
      <c r="J1884" s="76">
        <f ca="1">SUMIF('Production '!$C$4:$AI$4407,'Tracking Sheet'!B1884,'Production '!$AG$4:$AG$4407)</f>
        <v>0</v>
      </c>
    </row>
    <row r="1885" spans="2:10" x14ac:dyDescent="0.3">
      <c r="B1885" s="277" t="str">
        <f>'Production '!C1888</f>
        <v>47763 2nd</v>
      </c>
      <c r="C1885" s="76">
        <f ca="1">SUMIF('Production '!$C$4:$AI$4407,'Tracking Sheet'!B1885,'Production '!$M$4:$M$4407)</f>
        <v>7154</v>
      </c>
      <c r="D1885" s="76">
        <f ca="1">SUMIF('Production '!$C$4:$AI$4407,'Tracking Sheet'!B1885,'Production '!$Q$4:$Q$4407)</f>
        <v>0</v>
      </c>
      <c r="E1885" s="76">
        <f ca="1">SUMIF('Production '!$C$4:$AI$4407,'Tracking Sheet'!B1885,'Production '!$S$4:$S$4407)</f>
        <v>0</v>
      </c>
      <c r="F1885" s="76">
        <f ca="1">SUMIF('Production '!$C$4:$AI$4407,'Tracking Sheet'!B1885,'Production '!$U$4:$U$4407)</f>
        <v>1</v>
      </c>
      <c r="G1885" s="76">
        <f ca="1">SUMIF('Production '!$C$4:$AI$4407,'Tracking Sheet'!B1885,'Production '!$W$4:$W$4407)</f>
        <v>7153</v>
      </c>
      <c r="H1885" s="76">
        <f ca="1">SUMIF('Production '!$C$4:$AI$4407,'Tracking Sheet'!B1885,'Production '!$F$4:$F$4407)</f>
        <v>6909</v>
      </c>
      <c r="I1885" s="76">
        <f ca="1">SUMIF('Production '!$C$4:$AI$4407,'Tracking Sheet'!B1885,'Production '!$V$4:$V$4407)</f>
        <v>0</v>
      </c>
      <c r="J1885" s="76">
        <f ca="1">SUMIF('Production '!$C$4:$AI$4407,'Tracking Sheet'!B1885,'Production '!$AG$4:$AG$4407)</f>
        <v>0</v>
      </c>
    </row>
    <row r="1886" spans="2:10" x14ac:dyDescent="0.3">
      <c r="B1886" s="277" t="str">
        <f>'Production '!C1889</f>
        <v>47763 2nd</v>
      </c>
      <c r="C1886" s="76">
        <f ca="1">SUMIF('Production '!$C$4:$AI$4407,'Tracking Sheet'!B1886,'Production '!$M$4:$M$4407)</f>
        <v>7154</v>
      </c>
      <c r="D1886" s="76">
        <f ca="1">SUMIF('Production '!$C$4:$AI$4407,'Tracking Sheet'!B1886,'Production '!$Q$4:$Q$4407)</f>
        <v>0</v>
      </c>
      <c r="E1886" s="76">
        <f ca="1">SUMIF('Production '!$C$4:$AI$4407,'Tracking Sheet'!B1886,'Production '!$S$4:$S$4407)</f>
        <v>0</v>
      </c>
      <c r="F1886" s="76">
        <f ca="1">SUMIF('Production '!$C$4:$AI$4407,'Tracking Sheet'!B1886,'Production '!$U$4:$U$4407)</f>
        <v>1</v>
      </c>
      <c r="G1886" s="76">
        <f ca="1">SUMIF('Production '!$C$4:$AI$4407,'Tracking Sheet'!B1886,'Production '!$W$4:$W$4407)</f>
        <v>7153</v>
      </c>
      <c r="H1886" s="76">
        <f ca="1">SUMIF('Production '!$C$4:$AI$4407,'Tracking Sheet'!B1886,'Production '!$F$4:$F$4407)</f>
        <v>6909</v>
      </c>
      <c r="I1886" s="76">
        <f ca="1">SUMIF('Production '!$C$4:$AI$4407,'Tracking Sheet'!B1886,'Production '!$V$4:$V$4407)</f>
        <v>0</v>
      </c>
      <c r="J1886" s="76">
        <f ca="1">SUMIF('Production '!$C$4:$AI$4407,'Tracking Sheet'!B1886,'Production '!$AG$4:$AG$4407)</f>
        <v>0</v>
      </c>
    </row>
    <row r="1887" spans="2:10" x14ac:dyDescent="0.3">
      <c r="B1887" s="277" t="str">
        <f>'Production '!C1890</f>
        <v>47763 2nd</v>
      </c>
      <c r="C1887" s="76">
        <f ca="1">SUMIF('Production '!$C$4:$AI$4407,'Tracking Sheet'!B1887,'Production '!$M$4:$M$4407)</f>
        <v>7154</v>
      </c>
      <c r="D1887" s="76">
        <f ca="1">SUMIF('Production '!$C$4:$AI$4407,'Tracking Sheet'!B1887,'Production '!$Q$4:$Q$4407)</f>
        <v>0</v>
      </c>
      <c r="E1887" s="76">
        <f ca="1">SUMIF('Production '!$C$4:$AI$4407,'Tracking Sheet'!B1887,'Production '!$S$4:$S$4407)</f>
        <v>0</v>
      </c>
      <c r="F1887" s="76">
        <f ca="1">SUMIF('Production '!$C$4:$AI$4407,'Tracking Sheet'!B1887,'Production '!$U$4:$U$4407)</f>
        <v>1</v>
      </c>
      <c r="G1887" s="76">
        <f ca="1">SUMIF('Production '!$C$4:$AI$4407,'Tracking Sheet'!B1887,'Production '!$W$4:$W$4407)</f>
        <v>7153</v>
      </c>
      <c r="H1887" s="76">
        <f ca="1">SUMIF('Production '!$C$4:$AI$4407,'Tracking Sheet'!B1887,'Production '!$F$4:$F$4407)</f>
        <v>6909</v>
      </c>
      <c r="I1887" s="76">
        <f ca="1">SUMIF('Production '!$C$4:$AI$4407,'Tracking Sheet'!B1887,'Production '!$V$4:$V$4407)</f>
        <v>0</v>
      </c>
      <c r="J1887" s="76">
        <f ca="1">SUMIF('Production '!$C$4:$AI$4407,'Tracking Sheet'!B1887,'Production '!$AG$4:$AG$4407)</f>
        <v>0</v>
      </c>
    </row>
    <row r="1888" spans="2:10" x14ac:dyDescent="0.3">
      <c r="B1888" s="277" t="str">
        <f>'Production '!C1891</f>
        <v>47763 2nd</v>
      </c>
      <c r="C1888" s="76">
        <f ca="1">SUMIF('Production '!$C$4:$AI$4407,'Tracking Sheet'!B1888,'Production '!$M$4:$M$4407)</f>
        <v>7154</v>
      </c>
      <c r="D1888" s="76">
        <f ca="1">SUMIF('Production '!$C$4:$AI$4407,'Tracking Sheet'!B1888,'Production '!$Q$4:$Q$4407)</f>
        <v>0</v>
      </c>
      <c r="E1888" s="76">
        <f ca="1">SUMIF('Production '!$C$4:$AI$4407,'Tracking Sheet'!B1888,'Production '!$S$4:$S$4407)</f>
        <v>0</v>
      </c>
      <c r="F1888" s="76">
        <f ca="1">SUMIF('Production '!$C$4:$AI$4407,'Tracking Sheet'!B1888,'Production '!$U$4:$U$4407)</f>
        <v>1</v>
      </c>
      <c r="G1888" s="76">
        <f ca="1">SUMIF('Production '!$C$4:$AI$4407,'Tracking Sheet'!B1888,'Production '!$W$4:$W$4407)</f>
        <v>7153</v>
      </c>
      <c r="H1888" s="76">
        <f ca="1">SUMIF('Production '!$C$4:$AI$4407,'Tracking Sheet'!B1888,'Production '!$F$4:$F$4407)</f>
        <v>6909</v>
      </c>
      <c r="I1888" s="76">
        <f ca="1">SUMIF('Production '!$C$4:$AI$4407,'Tracking Sheet'!B1888,'Production '!$V$4:$V$4407)</f>
        <v>0</v>
      </c>
      <c r="J1888" s="76">
        <f ca="1">SUMIF('Production '!$C$4:$AI$4407,'Tracking Sheet'!B1888,'Production '!$AG$4:$AG$4407)</f>
        <v>0</v>
      </c>
    </row>
    <row r="1889" spans="2:10" x14ac:dyDescent="0.3">
      <c r="B1889" s="277" t="str">
        <f>'Production '!C1892</f>
        <v>47763 2nd</v>
      </c>
      <c r="C1889" s="76">
        <f ca="1">SUMIF('Production '!$C$4:$AI$4407,'Tracking Sheet'!B1889,'Production '!$M$4:$M$4407)</f>
        <v>7154</v>
      </c>
      <c r="D1889" s="76">
        <f ca="1">SUMIF('Production '!$C$4:$AI$4407,'Tracking Sheet'!B1889,'Production '!$Q$4:$Q$4407)</f>
        <v>0</v>
      </c>
      <c r="E1889" s="76">
        <f ca="1">SUMIF('Production '!$C$4:$AI$4407,'Tracking Sheet'!B1889,'Production '!$S$4:$S$4407)</f>
        <v>0</v>
      </c>
      <c r="F1889" s="76">
        <f ca="1">SUMIF('Production '!$C$4:$AI$4407,'Tracking Sheet'!B1889,'Production '!$U$4:$U$4407)</f>
        <v>1</v>
      </c>
      <c r="G1889" s="76">
        <f ca="1">SUMIF('Production '!$C$4:$AI$4407,'Tracking Sheet'!B1889,'Production '!$W$4:$W$4407)</f>
        <v>7153</v>
      </c>
      <c r="H1889" s="76">
        <f ca="1">SUMIF('Production '!$C$4:$AI$4407,'Tracking Sheet'!B1889,'Production '!$F$4:$F$4407)</f>
        <v>6909</v>
      </c>
      <c r="I1889" s="76">
        <f ca="1">SUMIF('Production '!$C$4:$AI$4407,'Tracking Sheet'!B1889,'Production '!$V$4:$V$4407)</f>
        <v>0</v>
      </c>
      <c r="J1889" s="76">
        <f ca="1">SUMIF('Production '!$C$4:$AI$4407,'Tracking Sheet'!B1889,'Production '!$AG$4:$AG$4407)</f>
        <v>0</v>
      </c>
    </row>
    <row r="1890" spans="2:10" x14ac:dyDescent="0.3">
      <c r="B1890" s="277" t="str">
        <f>'Production '!C1893</f>
        <v>47763 2nd</v>
      </c>
      <c r="C1890" s="76">
        <f ca="1">SUMIF('Production '!$C$4:$AI$4407,'Tracking Sheet'!B1890,'Production '!$M$4:$M$4407)</f>
        <v>7154</v>
      </c>
      <c r="D1890" s="76">
        <f ca="1">SUMIF('Production '!$C$4:$AI$4407,'Tracking Sheet'!B1890,'Production '!$Q$4:$Q$4407)</f>
        <v>0</v>
      </c>
      <c r="E1890" s="76">
        <f ca="1">SUMIF('Production '!$C$4:$AI$4407,'Tracking Sheet'!B1890,'Production '!$S$4:$S$4407)</f>
        <v>0</v>
      </c>
      <c r="F1890" s="76">
        <f ca="1">SUMIF('Production '!$C$4:$AI$4407,'Tracking Sheet'!B1890,'Production '!$U$4:$U$4407)</f>
        <v>1</v>
      </c>
      <c r="G1890" s="76">
        <f ca="1">SUMIF('Production '!$C$4:$AI$4407,'Tracking Sheet'!B1890,'Production '!$W$4:$W$4407)</f>
        <v>7153</v>
      </c>
      <c r="H1890" s="76">
        <f ca="1">SUMIF('Production '!$C$4:$AI$4407,'Tracking Sheet'!B1890,'Production '!$F$4:$F$4407)</f>
        <v>6909</v>
      </c>
      <c r="I1890" s="76">
        <f ca="1">SUMIF('Production '!$C$4:$AI$4407,'Tracking Sheet'!B1890,'Production '!$V$4:$V$4407)</f>
        <v>0</v>
      </c>
      <c r="J1890" s="76">
        <f ca="1">SUMIF('Production '!$C$4:$AI$4407,'Tracking Sheet'!B1890,'Production '!$AG$4:$AG$4407)</f>
        <v>0</v>
      </c>
    </row>
    <row r="1891" spans="2:10" x14ac:dyDescent="0.3">
      <c r="B1891" s="277" t="str">
        <f>'Production '!C1894</f>
        <v>47763 2nd</v>
      </c>
      <c r="C1891" s="76">
        <f ca="1">SUMIF('Production '!$C$4:$AI$4407,'Tracking Sheet'!B1891,'Production '!$M$4:$M$4407)</f>
        <v>7154</v>
      </c>
      <c r="D1891" s="76">
        <f ca="1">SUMIF('Production '!$C$4:$AI$4407,'Tracking Sheet'!B1891,'Production '!$Q$4:$Q$4407)</f>
        <v>0</v>
      </c>
      <c r="E1891" s="76">
        <f ca="1">SUMIF('Production '!$C$4:$AI$4407,'Tracking Sheet'!B1891,'Production '!$S$4:$S$4407)</f>
        <v>0</v>
      </c>
      <c r="F1891" s="76">
        <f ca="1">SUMIF('Production '!$C$4:$AI$4407,'Tracking Sheet'!B1891,'Production '!$U$4:$U$4407)</f>
        <v>1</v>
      </c>
      <c r="G1891" s="76">
        <f ca="1">SUMIF('Production '!$C$4:$AI$4407,'Tracking Sheet'!B1891,'Production '!$W$4:$W$4407)</f>
        <v>7153</v>
      </c>
      <c r="H1891" s="76">
        <f ca="1">SUMIF('Production '!$C$4:$AI$4407,'Tracking Sheet'!B1891,'Production '!$F$4:$F$4407)</f>
        <v>6909</v>
      </c>
      <c r="I1891" s="76">
        <f ca="1">SUMIF('Production '!$C$4:$AI$4407,'Tracking Sheet'!B1891,'Production '!$V$4:$V$4407)</f>
        <v>0</v>
      </c>
      <c r="J1891" s="76">
        <f ca="1">SUMIF('Production '!$C$4:$AI$4407,'Tracking Sheet'!B1891,'Production '!$AG$4:$AG$4407)</f>
        <v>0</v>
      </c>
    </row>
    <row r="1892" spans="2:10" x14ac:dyDescent="0.3">
      <c r="B1892" s="277" t="str">
        <f>'Production '!C1895</f>
        <v>47763 2nd</v>
      </c>
      <c r="C1892" s="76">
        <f ca="1">SUMIF('Production '!$C$4:$AI$4407,'Tracking Sheet'!B1892,'Production '!$M$4:$M$4407)</f>
        <v>7154</v>
      </c>
      <c r="D1892" s="76">
        <f ca="1">SUMIF('Production '!$C$4:$AI$4407,'Tracking Sheet'!B1892,'Production '!$Q$4:$Q$4407)</f>
        <v>0</v>
      </c>
      <c r="E1892" s="76">
        <f ca="1">SUMIF('Production '!$C$4:$AI$4407,'Tracking Sheet'!B1892,'Production '!$S$4:$S$4407)</f>
        <v>0</v>
      </c>
      <c r="F1892" s="76">
        <f ca="1">SUMIF('Production '!$C$4:$AI$4407,'Tracking Sheet'!B1892,'Production '!$U$4:$U$4407)</f>
        <v>1</v>
      </c>
      <c r="G1892" s="76">
        <f ca="1">SUMIF('Production '!$C$4:$AI$4407,'Tracking Sheet'!B1892,'Production '!$W$4:$W$4407)</f>
        <v>7153</v>
      </c>
      <c r="H1892" s="76">
        <f ca="1">SUMIF('Production '!$C$4:$AI$4407,'Tracking Sheet'!B1892,'Production '!$F$4:$F$4407)</f>
        <v>6909</v>
      </c>
      <c r="I1892" s="76">
        <f ca="1">SUMIF('Production '!$C$4:$AI$4407,'Tracking Sheet'!B1892,'Production '!$V$4:$V$4407)</f>
        <v>0</v>
      </c>
      <c r="J1892" s="76">
        <f ca="1">SUMIF('Production '!$C$4:$AI$4407,'Tracking Sheet'!B1892,'Production '!$AG$4:$AG$4407)</f>
        <v>0</v>
      </c>
    </row>
    <row r="1893" spans="2:10" x14ac:dyDescent="0.3">
      <c r="B1893" s="277">
        <f>'Production '!C1896</f>
        <v>0</v>
      </c>
      <c r="C1893" s="76" t="e">
        <f ca="1">SUMIF('Production '!$C$4:$AI$4407,'Tracking Sheet'!B1893,'Production '!$M$4:$M$4407)</f>
        <v>#DIV/0!</v>
      </c>
      <c r="D1893" s="76" t="e">
        <f ca="1">SUMIF('Production '!$C$4:$AI$4407,'Tracking Sheet'!B1893,'Production '!$Q$4:$Q$4407)</f>
        <v>#DIV/0!</v>
      </c>
      <c r="E1893" s="76">
        <f ca="1">SUMIF('Production '!$C$4:$AI$4407,'Tracking Sheet'!B1893,'Production '!$S$4:$S$4407)</f>
        <v>-1268218.9828305368</v>
      </c>
      <c r="F1893" s="76">
        <f ca="1">SUMIF('Production '!$C$4:$AI$4407,'Tracking Sheet'!B1893,'Production '!$U$4:$U$4407)</f>
        <v>-10620.435600016917</v>
      </c>
      <c r="G1893" s="76" t="e">
        <f ca="1">SUMIF('Production '!$C$4:$AI$4407,'Tracking Sheet'!B1893,'Production '!$W$4:$W$4407)</f>
        <v>#DIV/0!</v>
      </c>
      <c r="H1893" s="76">
        <f ca="1">SUMIF('Production '!$C$4:$AI$4407,'Tracking Sheet'!B1893,'Production '!$F$4:$F$4407)</f>
        <v>3230621.3283604058</v>
      </c>
      <c r="I1893" s="76">
        <f ca="1">SUMIF('Production '!$C$4:$AI$4407,'Tracking Sheet'!B1893,'Production '!$V$4:$V$4407)</f>
        <v>-489.86487791182844</v>
      </c>
      <c r="J1893" s="76">
        <f ca="1">SUMIF('Production '!$C$4:$AI$4407,'Tracking Sheet'!B1893,'Production '!$AG$4:$AG$4407)</f>
        <v>0</v>
      </c>
    </row>
    <row r="1894" spans="2:10" x14ac:dyDescent="0.3">
      <c r="B1894" s="277">
        <f>'Production '!C1897</f>
        <v>48204</v>
      </c>
      <c r="C1894" s="76">
        <f ca="1">SUMIF('Production '!$C$4:$AI$4407,'Tracking Sheet'!B1894,'Production '!$M$4:$M$4407)</f>
        <v>1286</v>
      </c>
      <c r="D1894" s="76">
        <f ca="1">SUMIF('Production '!$C$4:$AI$4407,'Tracking Sheet'!B1894,'Production '!$Q$4:$Q$4407)</f>
        <v>1286</v>
      </c>
      <c r="E1894" s="76">
        <f ca="1">SUMIF('Production '!$C$4:$AI$4407,'Tracking Sheet'!B1894,'Production '!$S$4:$S$4407)</f>
        <v>1282</v>
      </c>
      <c r="F1894" s="76">
        <f ca="1">SUMIF('Production '!$C$4:$AI$4407,'Tracking Sheet'!B1894,'Production '!$U$4:$U$4407)</f>
        <v>1282</v>
      </c>
      <c r="G1894" s="76">
        <f ca="1">SUMIF('Production '!$C$4:$AI$4407,'Tracking Sheet'!B1894,'Production '!$W$4:$W$4407)</f>
        <v>0</v>
      </c>
      <c r="H1894" s="76">
        <f ca="1">SUMIF('Production '!$C$4:$AI$4407,'Tracking Sheet'!B1894,'Production '!$F$4:$F$4407)</f>
        <v>1204</v>
      </c>
      <c r="I1894" s="76">
        <f ca="1">SUMIF('Production '!$C$4:$AI$4407,'Tracking Sheet'!B1894,'Production '!$V$4:$V$4407)</f>
        <v>0</v>
      </c>
      <c r="J1894" s="76">
        <f ca="1">SUMIF('Production '!$C$4:$AI$4407,'Tracking Sheet'!B1894,'Production '!$AG$4:$AG$4407)</f>
        <v>0</v>
      </c>
    </row>
    <row r="1895" spans="2:10" x14ac:dyDescent="0.3">
      <c r="B1895" s="277">
        <f>'Production '!C1898</f>
        <v>48204</v>
      </c>
      <c r="C1895" s="76">
        <f ca="1">SUMIF('Production '!$C$4:$AI$4407,'Tracking Sheet'!B1895,'Production '!$M$4:$M$4407)</f>
        <v>1286</v>
      </c>
      <c r="D1895" s="76">
        <f ca="1">SUMIF('Production '!$C$4:$AI$4407,'Tracking Sheet'!B1895,'Production '!$Q$4:$Q$4407)</f>
        <v>1286</v>
      </c>
      <c r="E1895" s="76">
        <f ca="1">SUMIF('Production '!$C$4:$AI$4407,'Tracking Sheet'!B1895,'Production '!$S$4:$S$4407)</f>
        <v>1282</v>
      </c>
      <c r="F1895" s="76">
        <f ca="1">SUMIF('Production '!$C$4:$AI$4407,'Tracking Sheet'!B1895,'Production '!$U$4:$U$4407)</f>
        <v>1282</v>
      </c>
      <c r="G1895" s="76">
        <f ca="1">SUMIF('Production '!$C$4:$AI$4407,'Tracking Sheet'!B1895,'Production '!$W$4:$W$4407)</f>
        <v>0</v>
      </c>
      <c r="H1895" s="76">
        <f ca="1">SUMIF('Production '!$C$4:$AI$4407,'Tracking Sheet'!B1895,'Production '!$F$4:$F$4407)</f>
        <v>1204</v>
      </c>
      <c r="I1895" s="76">
        <f ca="1">SUMIF('Production '!$C$4:$AI$4407,'Tracking Sheet'!B1895,'Production '!$V$4:$V$4407)</f>
        <v>0</v>
      </c>
      <c r="J1895" s="76">
        <f ca="1">SUMIF('Production '!$C$4:$AI$4407,'Tracking Sheet'!B1895,'Production '!$AG$4:$AG$4407)</f>
        <v>0</v>
      </c>
    </row>
    <row r="1896" spans="2:10" x14ac:dyDescent="0.3">
      <c r="B1896" s="277">
        <f>'Production '!C1899</f>
        <v>0</v>
      </c>
      <c r="C1896" s="76" t="e">
        <f ca="1">SUMIF('Production '!$C$4:$AI$4407,'Tracking Sheet'!B1896,'Production '!$M$4:$M$4407)</f>
        <v>#DIV/0!</v>
      </c>
      <c r="D1896" s="76" t="e">
        <f ca="1">SUMIF('Production '!$C$4:$AI$4407,'Tracking Sheet'!B1896,'Production '!$Q$4:$Q$4407)</f>
        <v>#DIV/0!</v>
      </c>
      <c r="E1896" s="76">
        <f ca="1">SUMIF('Production '!$C$4:$AI$4407,'Tracking Sheet'!B1896,'Production '!$S$4:$S$4407)</f>
        <v>-1268218.9828305368</v>
      </c>
      <c r="F1896" s="76">
        <f ca="1">SUMIF('Production '!$C$4:$AI$4407,'Tracking Sheet'!B1896,'Production '!$U$4:$U$4407)</f>
        <v>-10620.435600016917</v>
      </c>
      <c r="G1896" s="76" t="e">
        <f ca="1">SUMIF('Production '!$C$4:$AI$4407,'Tracking Sheet'!B1896,'Production '!$W$4:$W$4407)</f>
        <v>#DIV/0!</v>
      </c>
      <c r="H1896" s="76">
        <f ca="1">SUMIF('Production '!$C$4:$AI$4407,'Tracking Sheet'!B1896,'Production '!$F$4:$F$4407)</f>
        <v>3230621.3283604058</v>
      </c>
      <c r="I1896" s="76">
        <f ca="1">SUMIF('Production '!$C$4:$AI$4407,'Tracking Sheet'!B1896,'Production '!$V$4:$V$4407)</f>
        <v>-489.86487791182844</v>
      </c>
      <c r="J1896" s="76">
        <f ca="1">SUMIF('Production '!$C$4:$AI$4407,'Tracking Sheet'!B1896,'Production '!$AG$4:$AG$4407)</f>
        <v>0</v>
      </c>
    </row>
    <row r="1897" spans="2:10" x14ac:dyDescent="0.3">
      <c r="B1897" s="277">
        <f>'Production '!C1900</f>
        <v>48620</v>
      </c>
      <c r="C1897" s="76">
        <f ca="1">SUMIF('Production '!$C$4:$AI$4407,'Tracking Sheet'!B1897,'Production '!$M$4:$M$4407)</f>
        <v>0</v>
      </c>
      <c r="D1897" s="76">
        <f ca="1">SUMIF('Production '!$C$4:$AI$4407,'Tracking Sheet'!B1897,'Production '!$Q$4:$Q$4407)</f>
        <v>0</v>
      </c>
      <c r="E1897" s="76">
        <f ca="1">SUMIF('Production '!$C$4:$AI$4407,'Tracking Sheet'!B1897,'Production '!$S$4:$S$4407)</f>
        <v>0</v>
      </c>
      <c r="F1897" s="76">
        <f ca="1">SUMIF('Production '!$C$4:$AI$4407,'Tracking Sheet'!B1897,'Production '!$U$4:$U$4407)</f>
        <v>0</v>
      </c>
      <c r="G1897" s="76">
        <f ca="1">SUMIF('Production '!$C$4:$AI$4407,'Tracking Sheet'!B1897,'Production '!$W$4:$W$4407)</f>
        <v>0</v>
      </c>
      <c r="H1897" s="76">
        <f ca="1">SUMIF('Production '!$C$4:$AI$4407,'Tracking Sheet'!B1897,'Production '!$F$4:$F$4407)</f>
        <v>6063</v>
      </c>
      <c r="I1897" s="76">
        <f ca="1">SUMIF('Production '!$C$4:$AI$4407,'Tracking Sheet'!B1897,'Production '!$V$4:$V$4407)</f>
        <v>0</v>
      </c>
      <c r="J1897" s="76">
        <f ca="1">SUMIF('Production '!$C$4:$AI$4407,'Tracking Sheet'!B1897,'Production '!$AG$4:$AG$4407)</f>
        <v>-6063</v>
      </c>
    </row>
    <row r="1898" spans="2:10" x14ac:dyDescent="0.3">
      <c r="B1898" s="277">
        <f>'Production '!C1901</f>
        <v>48620</v>
      </c>
      <c r="C1898" s="76">
        <f ca="1">SUMIF('Production '!$C$4:$AI$4407,'Tracking Sheet'!B1898,'Production '!$M$4:$M$4407)</f>
        <v>0</v>
      </c>
      <c r="D1898" s="76">
        <f ca="1">SUMIF('Production '!$C$4:$AI$4407,'Tracking Sheet'!B1898,'Production '!$Q$4:$Q$4407)</f>
        <v>0</v>
      </c>
      <c r="E1898" s="76">
        <f ca="1">SUMIF('Production '!$C$4:$AI$4407,'Tracking Sheet'!B1898,'Production '!$S$4:$S$4407)</f>
        <v>0</v>
      </c>
      <c r="F1898" s="76">
        <f ca="1">SUMIF('Production '!$C$4:$AI$4407,'Tracking Sheet'!B1898,'Production '!$U$4:$U$4407)</f>
        <v>0</v>
      </c>
      <c r="G1898" s="76">
        <f ca="1">SUMIF('Production '!$C$4:$AI$4407,'Tracking Sheet'!B1898,'Production '!$W$4:$W$4407)</f>
        <v>0</v>
      </c>
      <c r="H1898" s="76">
        <f ca="1">SUMIF('Production '!$C$4:$AI$4407,'Tracking Sheet'!B1898,'Production '!$F$4:$F$4407)</f>
        <v>6063</v>
      </c>
      <c r="I1898" s="76">
        <f ca="1">SUMIF('Production '!$C$4:$AI$4407,'Tracking Sheet'!B1898,'Production '!$V$4:$V$4407)</f>
        <v>0</v>
      </c>
      <c r="J1898" s="76">
        <f ca="1">SUMIF('Production '!$C$4:$AI$4407,'Tracking Sheet'!B1898,'Production '!$AG$4:$AG$4407)</f>
        <v>-6063</v>
      </c>
    </row>
    <row r="1899" spans="2:10" x14ac:dyDescent="0.3">
      <c r="B1899" s="277">
        <f>'Production '!C1902</f>
        <v>48620</v>
      </c>
      <c r="C1899" s="76">
        <f ca="1">SUMIF('Production '!$C$4:$AI$4407,'Tracking Sheet'!B1899,'Production '!$M$4:$M$4407)</f>
        <v>0</v>
      </c>
      <c r="D1899" s="76">
        <f ca="1">SUMIF('Production '!$C$4:$AI$4407,'Tracking Sheet'!B1899,'Production '!$Q$4:$Q$4407)</f>
        <v>0</v>
      </c>
      <c r="E1899" s="76">
        <f ca="1">SUMIF('Production '!$C$4:$AI$4407,'Tracking Sheet'!B1899,'Production '!$S$4:$S$4407)</f>
        <v>0</v>
      </c>
      <c r="F1899" s="76">
        <f ca="1">SUMIF('Production '!$C$4:$AI$4407,'Tracking Sheet'!B1899,'Production '!$U$4:$U$4407)</f>
        <v>0</v>
      </c>
      <c r="G1899" s="76">
        <f ca="1">SUMIF('Production '!$C$4:$AI$4407,'Tracking Sheet'!B1899,'Production '!$W$4:$W$4407)</f>
        <v>0</v>
      </c>
      <c r="H1899" s="76">
        <f ca="1">SUMIF('Production '!$C$4:$AI$4407,'Tracking Sheet'!B1899,'Production '!$F$4:$F$4407)</f>
        <v>6063</v>
      </c>
      <c r="I1899" s="76">
        <f ca="1">SUMIF('Production '!$C$4:$AI$4407,'Tracking Sheet'!B1899,'Production '!$V$4:$V$4407)</f>
        <v>0</v>
      </c>
      <c r="J1899" s="76">
        <f ca="1">SUMIF('Production '!$C$4:$AI$4407,'Tracking Sheet'!B1899,'Production '!$AG$4:$AG$4407)</f>
        <v>-6063</v>
      </c>
    </row>
    <row r="1900" spans="2:10" x14ac:dyDescent="0.3">
      <c r="B1900" s="277">
        <f>'Production '!C1903</f>
        <v>48620</v>
      </c>
      <c r="C1900" s="76">
        <f ca="1">SUMIF('Production '!$C$4:$AI$4407,'Tracking Sheet'!B1900,'Production '!$M$4:$M$4407)</f>
        <v>0</v>
      </c>
      <c r="D1900" s="76">
        <f ca="1">SUMIF('Production '!$C$4:$AI$4407,'Tracking Sheet'!B1900,'Production '!$Q$4:$Q$4407)</f>
        <v>0</v>
      </c>
      <c r="E1900" s="76">
        <f ca="1">SUMIF('Production '!$C$4:$AI$4407,'Tracking Sheet'!B1900,'Production '!$S$4:$S$4407)</f>
        <v>0</v>
      </c>
      <c r="F1900" s="76">
        <f ca="1">SUMIF('Production '!$C$4:$AI$4407,'Tracking Sheet'!B1900,'Production '!$U$4:$U$4407)</f>
        <v>0</v>
      </c>
      <c r="G1900" s="76">
        <f ca="1">SUMIF('Production '!$C$4:$AI$4407,'Tracking Sheet'!B1900,'Production '!$W$4:$W$4407)</f>
        <v>0</v>
      </c>
      <c r="H1900" s="76">
        <f ca="1">SUMIF('Production '!$C$4:$AI$4407,'Tracking Sheet'!B1900,'Production '!$F$4:$F$4407)</f>
        <v>6063</v>
      </c>
      <c r="I1900" s="76">
        <f ca="1">SUMIF('Production '!$C$4:$AI$4407,'Tracking Sheet'!B1900,'Production '!$V$4:$V$4407)</f>
        <v>0</v>
      </c>
      <c r="J1900" s="76">
        <f ca="1">SUMIF('Production '!$C$4:$AI$4407,'Tracking Sheet'!B1900,'Production '!$AG$4:$AG$4407)</f>
        <v>-6063</v>
      </c>
    </row>
    <row r="1901" spans="2:10" x14ac:dyDescent="0.3">
      <c r="B1901" s="277">
        <f>'Production '!C1904</f>
        <v>0</v>
      </c>
      <c r="C1901" s="76" t="e">
        <f ca="1">SUMIF('Production '!$C$4:$AI$4407,'Tracking Sheet'!B1901,'Production '!$M$4:$M$4407)</f>
        <v>#DIV/0!</v>
      </c>
      <c r="D1901" s="76" t="e">
        <f ca="1">SUMIF('Production '!$C$4:$AI$4407,'Tracking Sheet'!B1901,'Production '!$Q$4:$Q$4407)</f>
        <v>#DIV/0!</v>
      </c>
      <c r="E1901" s="76">
        <f ca="1">SUMIF('Production '!$C$4:$AI$4407,'Tracking Sheet'!B1901,'Production '!$S$4:$S$4407)</f>
        <v>-1268218.9828305368</v>
      </c>
      <c r="F1901" s="76">
        <f ca="1">SUMIF('Production '!$C$4:$AI$4407,'Tracking Sheet'!B1901,'Production '!$U$4:$U$4407)</f>
        <v>-10620.435600016917</v>
      </c>
      <c r="G1901" s="76" t="e">
        <f ca="1">SUMIF('Production '!$C$4:$AI$4407,'Tracking Sheet'!B1901,'Production '!$W$4:$W$4407)</f>
        <v>#DIV/0!</v>
      </c>
      <c r="H1901" s="76">
        <f ca="1">SUMIF('Production '!$C$4:$AI$4407,'Tracking Sheet'!B1901,'Production '!$F$4:$F$4407)</f>
        <v>3230621.3283604058</v>
      </c>
      <c r="I1901" s="76">
        <f ca="1">SUMIF('Production '!$C$4:$AI$4407,'Tracking Sheet'!B1901,'Production '!$V$4:$V$4407)</f>
        <v>-489.86487791182844</v>
      </c>
      <c r="J1901" s="76">
        <f ca="1">SUMIF('Production '!$C$4:$AI$4407,'Tracking Sheet'!B1901,'Production '!$AG$4:$AG$4407)</f>
        <v>0</v>
      </c>
    </row>
    <row r="1902" spans="2:10" x14ac:dyDescent="0.3">
      <c r="B1902" s="277" t="str">
        <f>'Production '!C1905</f>
        <v>48620 2nd</v>
      </c>
      <c r="C1902" s="76">
        <f ca="1">SUMIF('Production '!$C$4:$AI$4407,'Tracking Sheet'!B1902,'Production '!$M$4:$M$4407)</f>
        <v>0</v>
      </c>
      <c r="D1902" s="76">
        <f ca="1">SUMIF('Production '!$C$4:$AI$4407,'Tracking Sheet'!B1902,'Production '!$Q$4:$Q$4407)</f>
        <v>0</v>
      </c>
      <c r="E1902" s="76">
        <f ca="1">SUMIF('Production '!$C$4:$AI$4407,'Tracking Sheet'!B1902,'Production '!$S$4:$S$4407)</f>
        <v>0</v>
      </c>
      <c r="F1902" s="76">
        <f ca="1">SUMIF('Production '!$C$4:$AI$4407,'Tracking Sheet'!B1902,'Production '!$U$4:$U$4407)</f>
        <v>0</v>
      </c>
      <c r="G1902" s="76">
        <f ca="1">SUMIF('Production '!$C$4:$AI$4407,'Tracking Sheet'!B1902,'Production '!$W$4:$W$4407)</f>
        <v>0</v>
      </c>
      <c r="H1902" s="76">
        <f ca="1">SUMIF('Production '!$C$4:$AI$4407,'Tracking Sheet'!B1902,'Production '!$F$4:$F$4407)</f>
        <v>799</v>
      </c>
      <c r="I1902" s="76">
        <f ca="1">SUMIF('Production '!$C$4:$AI$4407,'Tracking Sheet'!B1902,'Production '!$V$4:$V$4407)</f>
        <v>0</v>
      </c>
      <c r="J1902" s="76">
        <f ca="1">SUMIF('Production '!$C$4:$AI$4407,'Tracking Sheet'!B1902,'Production '!$AG$4:$AG$4407)</f>
        <v>-799</v>
      </c>
    </row>
    <row r="1903" spans="2:10" x14ac:dyDescent="0.3">
      <c r="B1903" s="277" t="str">
        <f>'Production '!C1906</f>
        <v>48620 2nd</v>
      </c>
      <c r="C1903" s="76">
        <f ca="1">SUMIF('Production '!$C$4:$AI$4407,'Tracking Sheet'!B1903,'Production '!$M$4:$M$4407)</f>
        <v>0</v>
      </c>
      <c r="D1903" s="76">
        <f ca="1">SUMIF('Production '!$C$4:$AI$4407,'Tracking Sheet'!B1903,'Production '!$Q$4:$Q$4407)</f>
        <v>0</v>
      </c>
      <c r="E1903" s="76">
        <f ca="1">SUMIF('Production '!$C$4:$AI$4407,'Tracking Sheet'!B1903,'Production '!$S$4:$S$4407)</f>
        <v>0</v>
      </c>
      <c r="F1903" s="76">
        <f ca="1">SUMIF('Production '!$C$4:$AI$4407,'Tracking Sheet'!B1903,'Production '!$U$4:$U$4407)</f>
        <v>0</v>
      </c>
      <c r="G1903" s="76">
        <f ca="1">SUMIF('Production '!$C$4:$AI$4407,'Tracking Sheet'!B1903,'Production '!$W$4:$W$4407)</f>
        <v>0</v>
      </c>
      <c r="H1903" s="76">
        <f ca="1">SUMIF('Production '!$C$4:$AI$4407,'Tracking Sheet'!B1903,'Production '!$F$4:$F$4407)</f>
        <v>799</v>
      </c>
      <c r="I1903" s="76">
        <f ca="1">SUMIF('Production '!$C$4:$AI$4407,'Tracking Sheet'!B1903,'Production '!$V$4:$V$4407)</f>
        <v>0</v>
      </c>
      <c r="J1903" s="76">
        <f ca="1">SUMIF('Production '!$C$4:$AI$4407,'Tracking Sheet'!B1903,'Production '!$AG$4:$AG$4407)</f>
        <v>-799</v>
      </c>
    </row>
    <row r="1904" spans="2:10" x14ac:dyDescent="0.3">
      <c r="B1904" s="277">
        <f>'Production '!C1907</f>
        <v>0</v>
      </c>
      <c r="C1904" s="76" t="e">
        <f ca="1">SUMIF('Production '!$C$4:$AI$4407,'Tracking Sheet'!B1904,'Production '!$M$4:$M$4407)</f>
        <v>#DIV/0!</v>
      </c>
      <c r="D1904" s="76" t="e">
        <f ca="1">SUMIF('Production '!$C$4:$AI$4407,'Tracking Sheet'!B1904,'Production '!$Q$4:$Q$4407)</f>
        <v>#DIV/0!</v>
      </c>
      <c r="E1904" s="76">
        <f ca="1">SUMIF('Production '!$C$4:$AI$4407,'Tracking Sheet'!B1904,'Production '!$S$4:$S$4407)</f>
        <v>-1268218.9828305368</v>
      </c>
      <c r="F1904" s="76">
        <f ca="1">SUMIF('Production '!$C$4:$AI$4407,'Tracking Sheet'!B1904,'Production '!$U$4:$U$4407)</f>
        <v>-10620.435600016917</v>
      </c>
      <c r="G1904" s="76" t="e">
        <f ca="1">SUMIF('Production '!$C$4:$AI$4407,'Tracking Sheet'!B1904,'Production '!$W$4:$W$4407)</f>
        <v>#DIV/0!</v>
      </c>
      <c r="H1904" s="76">
        <f ca="1">SUMIF('Production '!$C$4:$AI$4407,'Tracking Sheet'!B1904,'Production '!$F$4:$F$4407)</f>
        <v>3230621.3283604058</v>
      </c>
      <c r="I1904" s="76">
        <f ca="1">SUMIF('Production '!$C$4:$AI$4407,'Tracking Sheet'!B1904,'Production '!$V$4:$V$4407)</f>
        <v>-489.86487791182844</v>
      </c>
      <c r="J1904" s="76">
        <f ca="1">SUMIF('Production '!$C$4:$AI$4407,'Tracking Sheet'!B1904,'Production '!$AG$4:$AG$4407)</f>
        <v>0</v>
      </c>
    </row>
    <row r="1905" spans="2:10" x14ac:dyDescent="0.3">
      <c r="B1905" s="277">
        <f>'Production '!C1908</f>
        <v>48612</v>
      </c>
      <c r="C1905" s="76">
        <f ca="1">SUMIF('Production '!$C$4:$AI$4407,'Tracking Sheet'!B1905,'Production '!$M$4:$M$4407)</f>
        <v>1242</v>
      </c>
      <c r="D1905" s="76">
        <f ca="1">SUMIF('Production '!$C$4:$AI$4407,'Tracking Sheet'!B1905,'Production '!$Q$4:$Q$4407)</f>
        <v>0</v>
      </c>
      <c r="E1905" s="76">
        <f ca="1">SUMIF('Production '!$C$4:$AI$4407,'Tracking Sheet'!B1905,'Production '!$S$4:$S$4407)</f>
        <v>0</v>
      </c>
      <c r="F1905" s="76">
        <f ca="1">SUMIF('Production '!$C$4:$AI$4407,'Tracking Sheet'!B1905,'Production '!$U$4:$U$4407)</f>
        <v>1242</v>
      </c>
      <c r="G1905" s="76">
        <f ca="1">SUMIF('Production '!$C$4:$AI$4407,'Tracking Sheet'!B1905,'Production '!$W$4:$W$4407)</f>
        <v>0</v>
      </c>
      <c r="H1905" s="76">
        <f ca="1">SUMIF('Production '!$C$4:$AI$4407,'Tracking Sheet'!B1905,'Production '!$F$4:$F$4407)</f>
        <v>9270</v>
      </c>
      <c r="I1905" s="76">
        <f ca="1">SUMIF('Production '!$C$4:$AI$4407,'Tracking Sheet'!B1905,'Production '!$V$4:$V$4407)</f>
        <v>0</v>
      </c>
      <c r="J1905" s="76">
        <f ca="1">SUMIF('Production '!$C$4:$AI$4407,'Tracking Sheet'!B1905,'Production '!$AG$4:$AG$4407)</f>
        <v>-8028</v>
      </c>
    </row>
    <row r="1906" spans="2:10" x14ac:dyDescent="0.3">
      <c r="B1906" s="277">
        <f>'Production '!C1909</f>
        <v>48612</v>
      </c>
      <c r="C1906" s="76">
        <f ca="1">SUMIF('Production '!$C$4:$AI$4407,'Tracking Sheet'!B1906,'Production '!$M$4:$M$4407)</f>
        <v>1242</v>
      </c>
      <c r="D1906" s="76">
        <f ca="1">SUMIF('Production '!$C$4:$AI$4407,'Tracking Sheet'!B1906,'Production '!$Q$4:$Q$4407)</f>
        <v>0</v>
      </c>
      <c r="E1906" s="76">
        <f ca="1">SUMIF('Production '!$C$4:$AI$4407,'Tracking Sheet'!B1906,'Production '!$S$4:$S$4407)</f>
        <v>0</v>
      </c>
      <c r="F1906" s="76">
        <f ca="1">SUMIF('Production '!$C$4:$AI$4407,'Tracking Sheet'!B1906,'Production '!$U$4:$U$4407)</f>
        <v>1242</v>
      </c>
      <c r="G1906" s="76">
        <f ca="1">SUMIF('Production '!$C$4:$AI$4407,'Tracking Sheet'!B1906,'Production '!$W$4:$W$4407)</f>
        <v>0</v>
      </c>
      <c r="H1906" s="76">
        <f ca="1">SUMIF('Production '!$C$4:$AI$4407,'Tracking Sheet'!B1906,'Production '!$F$4:$F$4407)</f>
        <v>9270</v>
      </c>
      <c r="I1906" s="76">
        <f ca="1">SUMIF('Production '!$C$4:$AI$4407,'Tracking Sheet'!B1906,'Production '!$V$4:$V$4407)</f>
        <v>0</v>
      </c>
      <c r="J1906" s="76">
        <f ca="1">SUMIF('Production '!$C$4:$AI$4407,'Tracking Sheet'!B1906,'Production '!$AG$4:$AG$4407)</f>
        <v>-8028</v>
      </c>
    </row>
    <row r="1907" spans="2:10" x14ac:dyDescent="0.3">
      <c r="B1907" s="277">
        <f>'Production '!C1910</f>
        <v>48612</v>
      </c>
      <c r="C1907" s="76">
        <f ca="1">SUMIF('Production '!$C$4:$AI$4407,'Tracking Sheet'!B1907,'Production '!$M$4:$M$4407)</f>
        <v>1242</v>
      </c>
      <c r="D1907" s="76">
        <f ca="1">SUMIF('Production '!$C$4:$AI$4407,'Tracking Sheet'!B1907,'Production '!$Q$4:$Q$4407)</f>
        <v>0</v>
      </c>
      <c r="E1907" s="76">
        <f ca="1">SUMIF('Production '!$C$4:$AI$4407,'Tracking Sheet'!B1907,'Production '!$S$4:$S$4407)</f>
        <v>0</v>
      </c>
      <c r="F1907" s="76">
        <f ca="1">SUMIF('Production '!$C$4:$AI$4407,'Tracking Sheet'!B1907,'Production '!$U$4:$U$4407)</f>
        <v>1242</v>
      </c>
      <c r="G1907" s="76">
        <f ca="1">SUMIF('Production '!$C$4:$AI$4407,'Tracking Sheet'!B1907,'Production '!$W$4:$W$4407)</f>
        <v>0</v>
      </c>
      <c r="H1907" s="76">
        <f ca="1">SUMIF('Production '!$C$4:$AI$4407,'Tracking Sheet'!B1907,'Production '!$F$4:$F$4407)</f>
        <v>9270</v>
      </c>
      <c r="I1907" s="76">
        <f ca="1">SUMIF('Production '!$C$4:$AI$4407,'Tracking Sheet'!B1907,'Production '!$V$4:$V$4407)</f>
        <v>0</v>
      </c>
      <c r="J1907" s="76">
        <f ca="1">SUMIF('Production '!$C$4:$AI$4407,'Tracking Sheet'!B1907,'Production '!$AG$4:$AG$4407)</f>
        <v>-8028</v>
      </c>
    </row>
    <row r="1908" spans="2:10" x14ac:dyDescent="0.3">
      <c r="B1908" s="277">
        <f>'Production '!C1911</f>
        <v>0</v>
      </c>
      <c r="C1908" s="76" t="e">
        <f ca="1">SUMIF('Production '!$C$4:$AI$4407,'Tracking Sheet'!B1908,'Production '!$M$4:$M$4407)</f>
        <v>#DIV/0!</v>
      </c>
      <c r="D1908" s="76" t="e">
        <f ca="1">SUMIF('Production '!$C$4:$AI$4407,'Tracking Sheet'!B1908,'Production '!$Q$4:$Q$4407)</f>
        <v>#DIV/0!</v>
      </c>
      <c r="E1908" s="76">
        <f ca="1">SUMIF('Production '!$C$4:$AI$4407,'Tracking Sheet'!B1908,'Production '!$S$4:$S$4407)</f>
        <v>-1268218.9828305368</v>
      </c>
      <c r="F1908" s="76">
        <f ca="1">SUMIF('Production '!$C$4:$AI$4407,'Tracking Sheet'!B1908,'Production '!$U$4:$U$4407)</f>
        <v>-10620.435600016917</v>
      </c>
      <c r="G1908" s="76" t="e">
        <f ca="1">SUMIF('Production '!$C$4:$AI$4407,'Tracking Sheet'!B1908,'Production '!$W$4:$W$4407)</f>
        <v>#DIV/0!</v>
      </c>
      <c r="H1908" s="76">
        <f ca="1">SUMIF('Production '!$C$4:$AI$4407,'Tracking Sheet'!B1908,'Production '!$F$4:$F$4407)</f>
        <v>3230621.3283604058</v>
      </c>
      <c r="I1908" s="76">
        <f ca="1">SUMIF('Production '!$C$4:$AI$4407,'Tracking Sheet'!B1908,'Production '!$V$4:$V$4407)</f>
        <v>-489.86487791182844</v>
      </c>
      <c r="J1908" s="76">
        <f ca="1">SUMIF('Production '!$C$4:$AI$4407,'Tracking Sheet'!B1908,'Production '!$AG$4:$AG$4407)</f>
        <v>0</v>
      </c>
    </row>
    <row r="1909" spans="2:10" x14ac:dyDescent="0.3">
      <c r="B1909" s="277">
        <f>'Production '!C1912</f>
        <v>48614</v>
      </c>
      <c r="C1909" s="76">
        <f ca="1">SUMIF('Production '!$C$4:$AI$4407,'Tracking Sheet'!B1909,'Production '!$M$4:$M$4407)</f>
        <v>0</v>
      </c>
      <c r="D1909" s="76">
        <f ca="1">SUMIF('Production '!$C$4:$AI$4407,'Tracking Sheet'!B1909,'Production '!$Q$4:$Q$4407)</f>
        <v>0</v>
      </c>
      <c r="E1909" s="76">
        <f ca="1">SUMIF('Production '!$C$4:$AI$4407,'Tracking Sheet'!B1909,'Production '!$S$4:$S$4407)</f>
        <v>0</v>
      </c>
      <c r="F1909" s="76">
        <f ca="1">SUMIF('Production '!$C$4:$AI$4407,'Tracking Sheet'!B1909,'Production '!$U$4:$U$4407)</f>
        <v>0</v>
      </c>
      <c r="G1909" s="76">
        <f ca="1">SUMIF('Production '!$C$4:$AI$4407,'Tracking Sheet'!B1909,'Production '!$W$4:$W$4407)</f>
        <v>0</v>
      </c>
      <c r="H1909" s="76">
        <f ca="1">SUMIF('Production '!$C$4:$AI$4407,'Tracking Sheet'!B1909,'Production '!$F$4:$F$4407)</f>
        <v>2340</v>
      </c>
      <c r="I1909" s="76">
        <f ca="1">SUMIF('Production '!$C$4:$AI$4407,'Tracking Sheet'!B1909,'Production '!$V$4:$V$4407)</f>
        <v>0</v>
      </c>
      <c r="J1909" s="76">
        <f ca="1">SUMIF('Production '!$C$4:$AI$4407,'Tracking Sheet'!B1909,'Production '!$AG$4:$AG$4407)</f>
        <v>-2340</v>
      </c>
    </row>
    <row r="1910" spans="2:10" x14ac:dyDescent="0.3">
      <c r="B1910" s="277">
        <f>'Production '!C1913</f>
        <v>48614</v>
      </c>
      <c r="C1910" s="76">
        <f ca="1">SUMIF('Production '!$C$4:$AI$4407,'Tracking Sheet'!B1910,'Production '!$M$4:$M$4407)</f>
        <v>0</v>
      </c>
      <c r="D1910" s="76">
        <f ca="1">SUMIF('Production '!$C$4:$AI$4407,'Tracking Sheet'!B1910,'Production '!$Q$4:$Q$4407)</f>
        <v>0</v>
      </c>
      <c r="E1910" s="76">
        <f ca="1">SUMIF('Production '!$C$4:$AI$4407,'Tracking Sheet'!B1910,'Production '!$S$4:$S$4407)</f>
        <v>0</v>
      </c>
      <c r="F1910" s="76">
        <f ca="1">SUMIF('Production '!$C$4:$AI$4407,'Tracking Sheet'!B1910,'Production '!$U$4:$U$4407)</f>
        <v>0</v>
      </c>
      <c r="G1910" s="76">
        <f ca="1">SUMIF('Production '!$C$4:$AI$4407,'Tracking Sheet'!B1910,'Production '!$W$4:$W$4407)</f>
        <v>0</v>
      </c>
      <c r="H1910" s="76">
        <f ca="1">SUMIF('Production '!$C$4:$AI$4407,'Tracking Sheet'!B1910,'Production '!$F$4:$F$4407)</f>
        <v>2340</v>
      </c>
      <c r="I1910" s="76">
        <f ca="1">SUMIF('Production '!$C$4:$AI$4407,'Tracking Sheet'!B1910,'Production '!$V$4:$V$4407)</f>
        <v>0</v>
      </c>
      <c r="J1910" s="76">
        <f ca="1">SUMIF('Production '!$C$4:$AI$4407,'Tracking Sheet'!B1910,'Production '!$AG$4:$AG$4407)</f>
        <v>-2340</v>
      </c>
    </row>
    <row r="1911" spans="2:10" x14ac:dyDescent="0.3">
      <c r="B1911" s="277">
        <f>'Production '!C1914</f>
        <v>0</v>
      </c>
      <c r="C1911" s="76" t="e">
        <f ca="1">SUMIF('Production '!$C$4:$AI$4407,'Tracking Sheet'!B1911,'Production '!$M$4:$M$4407)</f>
        <v>#DIV/0!</v>
      </c>
      <c r="D1911" s="76" t="e">
        <f ca="1">SUMIF('Production '!$C$4:$AI$4407,'Tracking Sheet'!B1911,'Production '!$Q$4:$Q$4407)</f>
        <v>#DIV/0!</v>
      </c>
      <c r="E1911" s="76">
        <f ca="1">SUMIF('Production '!$C$4:$AI$4407,'Tracking Sheet'!B1911,'Production '!$S$4:$S$4407)</f>
        <v>-1268218.9828305368</v>
      </c>
      <c r="F1911" s="76">
        <f ca="1">SUMIF('Production '!$C$4:$AI$4407,'Tracking Sheet'!B1911,'Production '!$U$4:$U$4407)</f>
        <v>-10620.435600016917</v>
      </c>
      <c r="G1911" s="76" t="e">
        <f ca="1">SUMIF('Production '!$C$4:$AI$4407,'Tracking Sheet'!B1911,'Production '!$W$4:$W$4407)</f>
        <v>#DIV/0!</v>
      </c>
      <c r="H1911" s="76">
        <f ca="1">SUMIF('Production '!$C$4:$AI$4407,'Tracking Sheet'!B1911,'Production '!$F$4:$F$4407)</f>
        <v>3230621.3283604058</v>
      </c>
      <c r="I1911" s="76">
        <f ca="1">SUMIF('Production '!$C$4:$AI$4407,'Tracking Sheet'!B1911,'Production '!$V$4:$V$4407)</f>
        <v>-489.86487791182844</v>
      </c>
      <c r="J1911" s="76">
        <f ca="1">SUMIF('Production '!$C$4:$AI$4407,'Tracking Sheet'!B1911,'Production '!$AG$4:$AG$4407)</f>
        <v>0</v>
      </c>
    </row>
    <row r="1912" spans="2:10" x14ac:dyDescent="0.3">
      <c r="B1912" s="277">
        <f>'Production '!C1915</f>
        <v>48223</v>
      </c>
      <c r="C1912" s="76">
        <f ca="1">SUMIF('Production '!$C$4:$AI$4407,'Tracking Sheet'!B1912,'Production '!$M$4:$M$4407)</f>
        <v>3354</v>
      </c>
      <c r="D1912" s="76">
        <f ca="1">SUMIF('Production '!$C$4:$AI$4407,'Tracking Sheet'!B1912,'Production '!$Q$4:$Q$4407)</f>
        <v>3354</v>
      </c>
      <c r="E1912" s="76">
        <f ca="1">SUMIF('Production '!$C$4:$AI$4407,'Tracking Sheet'!B1912,'Production '!$S$4:$S$4407)</f>
        <v>3326</v>
      </c>
      <c r="F1912" s="76">
        <f ca="1">SUMIF('Production '!$C$4:$AI$4407,'Tracking Sheet'!B1912,'Production '!$U$4:$U$4407)</f>
        <v>3326</v>
      </c>
      <c r="G1912" s="76">
        <f ca="1">SUMIF('Production '!$C$4:$AI$4407,'Tracking Sheet'!B1912,'Production '!$W$4:$W$4407)</f>
        <v>0</v>
      </c>
      <c r="H1912" s="76">
        <f ca="1">SUMIF('Production '!$C$4:$AI$4407,'Tracking Sheet'!B1912,'Production '!$F$4:$F$4407)</f>
        <v>3261</v>
      </c>
      <c r="I1912" s="76">
        <f ca="1">SUMIF('Production '!$C$4:$AI$4407,'Tracking Sheet'!B1912,'Production '!$V$4:$V$4407)</f>
        <v>0</v>
      </c>
      <c r="J1912" s="76">
        <f ca="1">SUMIF('Production '!$C$4:$AI$4407,'Tracking Sheet'!B1912,'Production '!$AG$4:$AG$4407)</f>
        <v>0</v>
      </c>
    </row>
    <row r="1913" spans="2:10" x14ac:dyDescent="0.3">
      <c r="B1913" s="277">
        <f>'Production '!C1916</f>
        <v>48223</v>
      </c>
      <c r="C1913" s="76">
        <f ca="1">SUMIF('Production '!$C$4:$AI$4407,'Tracking Sheet'!B1913,'Production '!$M$4:$M$4407)</f>
        <v>3354</v>
      </c>
      <c r="D1913" s="76">
        <f ca="1">SUMIF('Production '!$C$4:$AI$4407,'Tracking Sheet'!B1913,'Production '!$Q$4:$Q$4407)</f>
        <v>3354</v>
      </c>
      <c r="E1913" s="76">
        <f ca="1">SUMIF('Production '!$C$4:$AI$4407,'Tracking Sheet'!B1913,'Production '!$S$4:$S$4407)</f>
        <v>3326</v>
      </c>
      <c r="F1913" s="76">
        <f ca="1">SUMIF('Production '!$C$4:$AI$4407,'Tracking Sheet'!B1913,'Production '!$U$4:$U$4407)</f>
        <v>3326</v>
      </c>
      <c r="G1913" s="76">
        <f ca="1">SUMIF('Production '!$C$4:$AI$4407,'Tracking Sheet'!B1913,'Production '!$W$4:$W$4407)</f>
        <v>0</v>
      </c>
      <c r="H1913" s="76">
        <f ca="1">SUMIF('Production '!$C$4:$AI$4407,'Tracking Sheet'!B1913,'Production '!$F$4:$F$4407)</f>
        <v>3261</v>
      </c>
      <c r="I1913" s="76">
        <f ca="1">SUMIF('Production '!$C$4:$AI$4407,'Tracking Sheet'!B1913,'Production '!$V$4:$V$4407)</f>
        <v>0</v>
      </c>
      <c r="J1913" s="76">
        <f ca="1">SUMIF('Production '!$C$4:$AI$4407,'Tracking Sheet'!B1913,'Production '!$AG$4:$AG$4407)</f>
        <v>0</v>
      </c>
    </row>
    <row r="1914" spans="2:10" x14ac:dyDescent="0.3">
      <c r="B1914" s="277">
        <f>'Production '!C1917</f>
        <v>48223</v>
      </c>
      <c r="C1914" s="76">
        <f ca="1">SUMIF('Production '!$C$4:$AI$4407,'Tracking Sheet'!B1914,'Production '!$M$4:$M$4407)</f>
        <v>3354</v>
      </c>
      <c r="D1914" s="76">
        <f ca="1">SUMIF('Production '!$C$4:$AI$4407,'Tracking Sheet'!B1914,'Production '!$Q$4:$Q$4407)</f>
        <v>3354</v>
      </c>
      <c r="E1914" s="76">
        <f ca="1">SUMIF('Production '!$C$4:$AI$4407,'Tracking Sheet'!B1914,'Production '!$S$4:$S$4407)</f>
        <v>3326</v>
      </c>
      <c r="F1914" s="76">
        <f ca="1">SUMIF('Production '!$C$4:$AI$4407,'Tracking Sheet'!B1914,'Production '!$U$4:$U$4407)</f>
        <v>3326</v>
      </c>
      <c r="G1914" s="76">
        <f ca="1">SUMIF('Production '!$C$4:$AI$4407,'Tracking Sheet'!B1914,'Production '!$W$4:$W$4407)</f>
        <v>0</v>
      </c>
      <c r="H1914" s="76">
        <f ca="1">SUMIF('Production '!$C$4:$AI$4407,'Tracking Sheet'!B1914,'Production '!$F$4:$F$4407)</f>
        <v>3261</v>
      </c>
      <c r="I1914" s="76">
        <f ca="1">SUMIF('Production '!$C$4:$AI$4407,'Tracking Sheet'!B1914,'Production '!$V$4:$V$4407)</f>
        <v>0</v>
      </c>
      <c r="J1914" s="76">
        <f ca="1">SUMIF('Production '!$C$4:$AI$4407,'Tracking Sheet'!B1914,'Production '!$AG$4:$AG$4407)</f>
        <v>0</v>
      </c>
    </row>
    <row r="1915" spans="2:10" x14ac:dyDescent="0.3">
      <c r="B1915" s="277">
        <f>'Production '!C1918</f>
        <v>0</v>
      </c>
      <c r="C1915" s="76" t="e">
        <f ca="1">SUMIF('Production '!$C$4:$AI$4407,'Tracking Sheet'!B1915,'Production '!$M$4:$M$4407)</f>
        <v>#DIV/0!</v>
      </c>
      <c r="D1915" s="76" t="e">
        <f ca="1">SUMIF('Production '!$C$4:$AI$4407,'Tracking Sheet'!B1915,'Production '!$Q$4:$Q$4407)</f>
        <v>#DIV/0!</v>
      </c>
      <c r="E1915" s="76">
        <f ca="1">SUMIF('Production '!$C$4:$AI$4407,'Tracking Sheet'!B1915,'Production '!$S$4:$S$4407)</f>
        <v>-1268218.9828305368</v>
      </c>
      <c r="F1915" s="76">
        <f ca="1">SUMIF('Production '!$C$4:$AI$4407,'Tracking Sheet'!B1915,'Production '!$U$4:$U$4407)</f>
        <v>-10620.435600016917</v>
      </c>
      <c r="G1915" s="76" t="e">
        <f ca="1">SUMIF('Production '!$C$4:$AI$4407,'Tracking Sheet'!B1915,'Production '!$W$4:$W$4407)</f>
        <v>#DIV/0!</v>
      </c>
      <c r="H1915" s="76">
        <f ca="1">SUMIF('Production '!$C$4:$AI$4407,'Tracking Sheet'!B1915,'Production '!$F$4:$F$4407)</f>
        <v>3230621.3283604058</v>
      </c>
      <c r="I1915" s="76">
        <f ca="1">SUMIF('Production '!$C$4:$AI$4407,'Tracking Sheet'!B1915,'Production '!$V$4:$V$4407)</f>
        <v>-489.86487791182844</v>
      </c>
      <c r="J1915" s="76">
        <f ca="1">SUMIF('Production '!$C$4:$AI$4407,'Tracking Sheet'!B1915,'Production '!$AG$4:$AG$4407)</f>
        <v>0</v>
      </c>
    </row>
    <row r="1916" spans="2:10" x14ac:dyDescent="0.3">
      <c r="B1916" s="277">
        <f>'Production '!C1919</f>
        <v>48217</v>
      </c>
      <c r="C1916" s="76">
        <f ca="1">SUMIF('Production '!$C$4:$AI$4407,'Tracking Sheet'!B1916,'Production '!$M$4:$M$4407)</f>
        <v>12953</v>
      </c>
      <c r="D1916" s="76">
        <f ca="1">SUMIF('Production '!$C$4:$AI$4407,'Tracking Sheet'!B1916,'Production '!$Q$4:$Q$4407)</f>
        <v>12953</v>
      </c>
      <c r="E1916" s="76">
        <f ca="1">SUMIF('Production '!$C$4:$AI$4407,'Tracking Sheet'!B1916,'Production '!$S$4:$S$4407)</f>
        <v>4540</v>
      </c>
      <c r="F1916" s="76">
        <f ca="1">SUMIF('Production '!$C$4:$AI$4407,'Tracking Sheet'!B1916,'Production '!$U$4:$U$4407)</f>
        <v>4540</v>
      </c>
      <c r="G1916" s="76">
        <f ca="1">SUMIF('Production '!$C$4:$AI$4407,'Tracking Sheet'!B1916,'Production '!$W$4:$W$4407)</f>
        <v>0</v>
      </c>
      <c r="H1916" s="76">
        <f ca="1">SUMIF('Production '!$C$4:$AI$4407,'Tracking Sheet'!B1916,'Production '!$F$4:$F$4407)</f>
        <v>12644</v>
      </c>
      <c r="I1916" s="76">
        <f ca="1">SUMIF('Production '!$C$4:$AI$4407,'Tracking Sheet'!B1916,'Production '!$V$4:$V$4407)</f>
        <v>0</v>
      </c>
      <c r="J1916" s="76">
        <f ca="1">SUMIF('Production '!$C$4:$AI$4407,'Tracking Sheet'!B1916,'Production '!$AG$4:$AG$4407)</f>
        <v>0</v>
      </c>
    </row>
    <row r="1917" spans="2:10" x14ac:dyDescent="0.3">
      <c r="B1917" s="277">
        <f>'Production '!C1920</f>
        <v>48217</v>
      </c>
      <c r="C1917" s="76">
        <f ca="1">SUMIF('Production '!$C$4:$AI$4407,'Tracking Sheet'!B1917,'Production '!$M$4:$M$4407)</f>
        <v>12953</v>
      </c>
      <c r="D1917" s="76">
        <f ca="1">SUMIF('Production '!$C$4:$AI$4407,'Tracking Sheet'!B1917,'Production '!$Q$4:$Q$4407)</f>
        <v>12953</v>
      </c>
      <c r="E1917" s="76">
        <f ca="1">SUMIF('Production '!$C$4:$AI$4407,'Tracking Sheet'!B1917,'Production '!$S$4:$S$4407)</f>
        <v>4540</v>
      </c>
      <c r="F1917" s="76">
        <f ca="1">SUMIF('Production '!$C$4:$AI$4407,'Tracking Sheet'!B1917,'Production '!$U$4:$U$4407)</f>
        <v>4540</v>
      </c>
      <c r="G1917" s="76">
        <f ca="1">SUMIF('Production '!$C$4:$AI$4407,'Tracking Sheet'!B1917,'Production '!$W$4:$W$4407)</f>
        <v>0</v>
      </c>
      <c r="H1917" s="76">
        <f ca="1">SUMIF('Production '!$C$4:$AI$4407,'Tracking Sheet'!B1917,'Production '!$F$4:$F$4407)</f>
        <v>12644</v>
      </c>
      <c r="I1917" s="76">
        <f ca="1">SUMIF('Production '!$C$4:$AI$4407,'Tracking Sheet'!B1917,'Production '!$V$4:$V$4407)</f>
        <v>0</v>
      </c>
      <c r="J1917" s="76">
        <f ca="1">SUMIF('Production '!$C$4:$AI$4407,'Tracking Sheet'!B1917,'Production '!$AG$4:$AG$4407)</f>
        <v>0</v>
      </c>
    </row>
    <row r="1918" spans="2:10" x14ac:dyDescent="0.3">
      <c r="B1918" s="277">
        <f>'Production '!C1921</f>
        <v>48217</v>
      </c>
      <c r="C1918" s="76">
        <f ca="1">SUMIF('Production '!$C$4:$AI$4407,'Tracking Sheet'!B1918,'Production '!$M$4:$M$4407)</f>
        <v>12953</v>
      </c>
      <c r="D1918" s="76">
        <f ca="1">SUMIF('Production '!$C$4:$AI$4407,'Tracking Sheet'!B1918,'Production '!$Q$4:$Q$4407)</f>
        <v>12953</v>
      </c>
      <c r="E1918" s="76">
        <f ca="1">SUMIF('Production '!$C$4:$AI$4407,'Tracking Sheet'!B1918,'Production '!$S$4:$S$4407)</f>
        <v>4540</v>
      </c>
      <c r="F1918" s="76">
        <f ca="1">SUMIF('Production '!$C$4:$AI$4407,'Tracking Sheet'!B1918,'Production '!$U$4:$U$4407)</f>
        <v>4540</v>
      </c>
      <c r="G1918" s="76">
        <f ca="1">SUMIF('Production '!$C$4:$AI$4407,'Tracking Sheet'!B1918,'Production '!$W$4:$W$4407)</f>
        <v>0</v>
      </c>
      <c r="H1918" s="76">
        <f ca="1">SUMIF('Production '!$C$4:$AI$4407,'Tracking Sheet'!B1918,'Production '!$F$4:$F$4407)</f>
        <v>12644</v>
      </c>
      <c r="I1918" s="76">
        <f ca="1">SUMIF('Production '!$C$4:$AI$4407,'Tracking Sheet'!B1918,'Production '!$V$4:$V$4407)</f>
        <v>0</v>
      </c>
      <c r="J1918" s="76">
        <f ca="1">SUMIF('Production '!$C$4:$AI$4407,'Tracking Sheet'!B1918,'Production '!$AG$4:$AG$4407)</f>
        <v>0</v>
      </c>
    </row>
    <row r="1919" spans="2:10" x14ac:dyDescent="0.3">
      <c r="B1919" s="277">
        <f>'Production '!C1922</f>
        <v>48217</v>
      </c>
      <c r="C1919" s="76">
        <f ca="1">SUMIF('Production '!$C$4:$AI$4407,'Tracking Sheet'!B1919,'Production '!$M$4:$M$4407)</f>
        <v>12953</v>
      </c>
      <c r="D1919" s="76">
        <f ca="1">SUMIF('Production '!$C$4:$AI$4407,'Tracking Sheet'!B1919,'Production '!$Q$4:$Q$4407)</f>
        <v>12953</v>
      </c>
      <c r="E1919" s="76">
        <f ca="1">SUMIF('Production '!$C$4:$AI$4407,'Tracking Sheet'!B1919,'Production '!$S$4:$S$4407)</f>
        <v>4540</v>
      </c>
      <c r="F1919" s="76">
        <f ca="1">SUMIF('Production '!$C$4:$AI$4407,'Tracking Sheet'!B1919,'Production '!$U$4:$U$4407)</f>
        <v>4540</v>
      </c>
      <c r="G1919" s="76">
        <f ca="1">SUMIF('Production '!$C$4:$AI$4407,'Tracking Sheet'!B1919,'Production '!$W$4:$W$4407)</f>
        <v>0</v>
      </c>
      <c r="H1919" s="76">
        <f ca="1">SUMIF('Production '!$C$4:$AI$4407,'Tracking Sheet'!B1919,'Production '!$F$4:$F$4407)</f>
        <v>12644</v>
      </c>
      <c r="I1919" s="76">
        <f ca="1">SUMIF('Production '!$C$4:$AI$4407,'Tracking Sheet'!B1919,'Production '!$V$4:$V$4407)</f>
        <v>0</v>
      </c>
      <c r="J1919" s="76">
        <f ca="1">SUMIF('Production '!$C$4:$AI$4407,'Tracking Sheet'!B1919,'Production '!$AG$4:$AG$4407)</f>
        <v>0</v>
      </c>
    </row>
    <row r="1920" spans="2:10" x14ac:dyDescent="0.3">
      <c r="B1920" s="277">
        <f>'Production '!C1923</f>
        <v>0</v>
      </c>
      <c r="C1920" s="76" t="e">
        <f ca="1">SUMIF('Production '!$C$4:$AI$4407,'Tracking Sheet'!B1920,'Production '!$M$4:$M$4407)</f>
        <v>#DIV/0!</v>
      </c>
      <c r="D1920" s="76" t="e">
        <f ca="1">SUMIF('Production '!$C$4:$AI$4407,'Tracking Sheet'!B1920,'Production '!$Q$4:$Q$4407)</f>
        <v>#DIV/0!</v>
      </c>
      <c r="E1920" s="76">
        <f ca="1">SUMIF('Production '!$C$4:$AI$4407,'Tracking Sheet'!B1920,'Production '!$S$4:$S$4407)</f>
        <v>-1268218.9828305368</v>
      </c>
      <c r="F1920" s="76">
        <f ca="1">SUMIF('Production '!$C$4:$AI$4407,'Tracking Sheet'!B1920,'Production '!$U$4:$U$4407)</f>
        <v>-10620.435600016917</v>
      </c>
      <c r="G1920" s="76" t="e">
        <f ca="1">SUMIF('Production '!$C$4:$AI$4407,'Tracking Sheet'!B1920,'Production '!$W$4:$W$4407)</f>
        <v>#DIV/0!</v>
      </c>
      <c r="H1920" s="76">
        <f ca="1">SUMIF('Production '!$C$4:$AI$4407,'Tracking Sheet'!B1920,'Production '!$F$4:$F$4407)</f>
        <v>3230621.3283604058</v>
      </c>
      <c r="I1920" s="76">
        <f ca="1">SUMIF('Production '!$C$4:$AI$4407,'Tracking Sheet'!B1920,'Production '!$V$4:$V$4407)</f>
        <v>-489.86487791182844</v>
      </c>
      <c r="J1920" s="76">
        <f ca="1">SUMIF('Production '!$C$4:$AI$4407,'Tracking Sheet'!B1920,'Production '!$AG$4:$AG$4407)</f>
        <v>0</v>
      </c>
    </row>
    <row r="1921" spans="2:10" x14ac:dyDescent="0.3">
      <c r="B1921" s="277" t="str">
        <f>'Production '!C1924</f>
        <v>48299 2nd</v>
      </c>
      <c r="C1921" s="76">
        <f ca="1">SUMIF('Production '!$C$4:$AI$4407,'Tracking Sheet'!B1921,'Production '!$M$4:$M$4407)</f>
        <v>0</v>
      </c>
      <c r="D1921" s="76">
        <f ca="1">SUMIF('Production '!$C$4:$AI$4407,'Tracking Sheet'!B1921,'Production '!$Q$4:$Q$4407)</f>
        <v>0</v>
      </c>
      <c r="E1921" s="76">
        <f ca="1">SUMIF('Production '!$C$4:$AI$4407,'Tracking Sheet'!B1921,'Production '!$S$4:$S$4407)</f>
        <v>0</v>
      </c>
      <c r="F1921" s="76">
        <f ca="1">SUMIF('Production '!$C$4:$AI$4407,'Tracking Sheet'!B1921,'Production '!$U$4:$U$4407)</f>
        <v>0</v>
      </c>
      <c r="G1921" s="76">
        <f ca="1">SUMIF('Production '!$C$4:$AI$4407,'Tracking Sheet'!B1921,'Production '!$W$4:$W$4407)</f>
        <v>0</v>
      </c>
      <c r="H1921" s="76">
        <f ca="1">SUMIF('Production '!$C$4:$AI$4407,'Tracking Sheet'!B1921,'Production '!$F$4:$F$4407)</f>
        <v>13431</v>
      </c>
      <c r="I1921" s="76">
        <f ca="1">SUMIF('Production '!$C$4:$AI$4407,'Tracking Sheet'!B1921,'Production '!$V$4:$V$4407)</f>
        <v>0</v>
      </c>
      <c r="J1921" s="76">
        <f ca="1">SUMIF('Production '!$C$4:$AI$4407,'Tracking Sheet'!B1921,'Production '!$AG$4:$AG$4407)</f>
        <v>-13431</v>
      </c>
    </row>
    <row r="1922" spans="2:10" x14ac:dyDescent="0.3">
      <c r="B1922" s="277" t="str">
        <f>'Production '!C1925</f>
        <v>48299 2nd</v>
      </c>
      <c r="C1922" s="76">
        <f ca="1">SUMIF('Production '!$C$4:$AI$4407,'Tracking Sheet'!B1922,'Production '!$M$4:$M$4407)</f>
        <v>0</v>
      </c>
      <c r="D1922" s="76">
        <f ca="1">SUMIF('Production '!$C$4:$AI$4407,'Tracking Sheet'!B1922,'Production '!$Q$4:$Q$4407)</f>
        <v>0</v>
      </c>
      <c r="E1922" s="76">
        <f ca="1">SUMIF('Production '!$C$4:$AI$4407,'Tracking Sheet'!B1922,'Production '!$S$4:$S$4407)</f>
        <v>0</v>
      </c>
      <c r="F1922" s="76">
        <f ca="1">SUMIF('Production '!$C$4:$AI$4407,'Tracking Sheet'!B1922,'Production '!$U$4:$U$4407)</f>
        <v>0</v>
      </c>
      <c r="G1922" s="76">
        <f ca="1">SUMIF('Production '!$C$4:$AI$4407,'Tracking Sheet'!B1922,'Production '!$W$4:$W$4407)</f>
        <v>0</v>
      </c>
      <c r="H1922" s="76">
        <f ca="1">SUMIF('Production '!$C$4:$AI$4407,'Tracking Sheet'!B1922,'Production '!$F$4:$F$4407)</f>
        <v>13431</v>
      </c>
      <c r="I1922" s="76">
        <f ca="1">SUMIF('Production '!$C$4:$AI$4407,'Tracking Sheet'!B1922,'Production '!$V$4:$V$4407)</f>
        <v>0</v>
      </c>
      <c r="J1922" s="76">
        <f ca="1">SUMIF('Production '!$C$4:$AI$4407,'Tracking Sheet'!B1922,'Production '!$AG$4:$AG$4407)</f>
        <v>-13431</v>
      </c>
    </row>
    <row r="1923" spans="2:10" x14ac:dyDescent="0.3">
      <c r="B1923" s="277" t="str">
        <f>'Production '!C1926</f>
        <v>48299 2nd</v>
      </c>
      <c r="C1923" s="76">
        <f ca="1">SUMIF('Production '!$C$4:$AI$4407,'Tracking Sheet'!B1923,'Production '!$M$4:$M$4407)</f>
        <v>0</v>
      </c>
      <c r="D1923" s="76">
        <f ca="1">SUMIF('Production '!$C$4:$AI$4407,'Tracking Sheet'!B1923,'Production '!$Q$4:$Q$4407)</f>
        <v>0</v>
      </c>
      <c r="E1923" s="76">
        <f ca="1">SUMIF('Production '!$C$4:$AI$4407,'Tracking Sheet'!B1923,'Production '!$S$4:$S$4407)</f>
        <v>0</v>
      </c>
      <c r="F1923" s="76">
        <f ca="1">SUMIF('Production '!$C$4:$AI$4407,'Tracking Sheet'!B1923,'Production '!$U$4:$U$4407)</f>
        <v>0</v>
      </c>
      <c r="G1923" s="76">
        <f ca="1">SUMIF('Production '!$C$4:$AI$4407,'Tracking Sheet'!B1923,'Production '!$W$4:$W$4407)</f>
        <v>0</v>
      </c>
      <c r="H1923" s="76">
        <f ca="1">SUMIF('Production '!$C$4:$AI$4407,'Tracking Sheet'!B1923,'Production '!$F$4:$F$4407)</f>
        <v>13431</v>
      </c>
      <c r="I1923" s="76">
        <f ca="1">SUMIF('Production '!$C$4:$AI$4407,'Tracking Sheet'!B1923,'Production '!$V$4:$V$4407)</f>
        <v>0</v>
      </c>
      <c r="J1923" s="76">
        <f ca="1">SUMIF('Production '!$C$4:$AI$4407,'Tracking Sheet'!B1923,'Production '!$AG$4:$AG$4407)</f>
        <v>-13431</v>
      </c>
    </row>
    <row r="1924" spans="2:10" x14ac:dyDescent="0.3">
      <c r="B1924" s="277" t="str">
        <f>'Production '!C1927</f>
        <v>48299 2nd</v>
      </c>
      <c r="C1924" s="76">
        <f ca="1">SUMIF('Production '!$C$4:$AI$4407,'Tracking Sheet'!B1924,'Production '!$M$4:$M$4407)</f>
        <v>0</v>
      </c>
      <c r="D1924" s="76">
        <f ca="1">SUMIF('Production '!$C$4:$AI$4407,'Tracking Sheet'!B1924,'Production '!$Q$4:$Q$4407)</f>
        <v>0</v>
      </c>
      <c r="E1924" s="76">
        <f ca="1">SUMIF('Production '!$C$4:$AI$4407,'Tracking Sheet'!B1924,'Production '!$S$4:$S$4407)</f>
        <v>0</v>
      </c>
      <c r="F1924" s="76">
        <f ca="1">SUMIF('Production '!$C$4:$AI$4407,'Tracking Sheet'!B1924,'Production '!$U$4:$U$4407)</f>
        <v>0</v>
      </c>
      <c r="G1924" s="76">
        <f ca="1">SUMIF('Production '!$C$4:$AI$4407,'Tracking Sheet'!B1924,'Production '!$W$4:$W$4407)</f>
        <v>0</v>
      </c>
      <c r="H1924" s="76">
        <f ca="1">SUMIF('Production '!$C$4:$AI$4407,'Tracking Sheet'!B1924,'Production '!$F$4:$F$4407)</f>
        <v>13431</v>
      </c>
      <c r="I1924" s="76">
        <f ca="1">SUMIF('Production '!$C$4:$AI$4407,'Tracking Sheet'!B1924,'Production '!$V$4:$V$4407)</f>
        <v>0</v>
      </c>
      <c r="J1924" s="76">
        <f ca="1">SUMIF('Production '!$C$4:$AI$4407,'Tracking Sheet'!B1924,'Production '!$AG$4:$AG$4407)</f>
        <v>-13431</v>
      </c>
    </row>
    <row r="1925" spans="2:10" x14ac:dyDescent="0.3">
      <c r="B1925" s="277" t="str">
        <f>'Production '!C1928</f>
        <v>48299 2nd</v>
      </c>
      <c r="C1925" s="76">
        <f ca="1">SUMIF('Production '!$C$4:$AI$4407,'Tracking Sheet'!B1925,'Production '!$M$4:$M$4407)</f>
        <v>0</v>
      </c>
      <c r="D1925" s="76">
        <f ca="1">SUMIF('Production '!$C$4:$AI$4407,'Tracking Sheet'!B1925,'Production '!$Q$4:$Q$4407)</f>
        <v>0</v>
      </c>
      <c r="E1925" s="76">
        <f ca="1">SUMIF('Production '!$C$4:$AI$4407,'Tracking Sheet'!B1925,'Production '!$S$4:$S$4407)</f>
        <v>0</v>
      </c>
      <c r="F1925" s="76">
        <f ca="1">SUMIF('Production '!$C$4:$AI$4407,'Tracking Sheet'!B1925,'Production '!$U$4:$U$4407)</f>
        <v>0</v>
      </c>
      <c r="G1925" s="76">
        <f ca="1">SUMIF('Production '!$C$4:$AI$4407,'Tracking Sheet'!B1925,'Production '!$W$4:$W$4407)</f>
        <v>0</v>
      </c>
      <c r="H1925" s="76">
        <f ca="1">SUMIF('Production '!$C$4:$AI$4407,'Tracking Sheet'!B1925,'Production '!$F$4:$F$4407)</f>
        <v>13431</v>
      </c>
      <c r="I1925" s="76">
        <f ca="1">SUMIF('Production '!$C$4:$AI$4407,'Tracking Sheet'!B1925,'Production '!$V$4:$V$4407)</f>
        <v>0</v>
      </c>
      <c r="J1925" s="76">
        <f ca="1">SUMIF('Production '!$C$4:$AI$4407,'Tracking Sheet'!B1925,'Production '!$AG$4:$AG$4407)</f>
        <v>-13431</v>
      </c>
    </row>
    <row r="1926" spans="2:10" x14ac:dyDescent="0.3">
      <c r="B1926" s="277" t="str">
        <f>'Production '!C1929</f>
        <v>48299 2nd</v>
      </c>
      <c r="C1926" s="76">
        <f ca="1">SUMIF('Production '!$C$4:$AI$4407,'Tracking Sheet'!B1926,'Production '!$M$4:$M$4407)</f>
        <v>0</v>
      </c>
      <c r="D1926" s="76">
        <f ca="1">SUMIF('Production '!$C$4:$AI$4407,'Tracking Sheet'!B1926,'Production '!$Q$4:$Q$4407)</f>
        <v>0</v>
      </c>
      <c r="E1926" s="76">
        <f ca="1">SUMIF('Production '!$C$4:$AI$4407,'Tracking Sheet'!B1926,'Production '!$S$4:$S$4407)</f>
        <v>0</v>
      </c>
      <c r="F1926" s="76">
        <f ca="1">SUMIF('Production '!$C$4:$AI$4407,'Tracking Sheet'!B1926,'Production '!$U$4:$U$4407)</f>
        <v>0</v>
      </c>
      <c r="G1926" s="76">
        <f ca="1">SUMIF('Production '!$C$4:$AI$4407,'Tracking Sheet'!B1926,'Production '!$W$4:$W$4407)</f>
        <v>0</v>
      </c>
      <c r="H1926" s="76">
        <f ca="1">SUMIF('Production '!$C$4:$AI$4407,'Tracking Sheet'!B1926,'Production '!$F$4:$F$4407)</f>
        <v>13431</v>
      </c>
      <c r="I1926" s="76">
        <f ca="1">SUMIF('Production '!$C$4:$AI$4407,'Tracking Sheet'!B1926,'Production '!$V$4:$V$4407)</f>
        <v>0</v>
      </c>
      <c r="J1926" s="76">
        <f ca="1">SUMIF('Production '!$C$4:$AI$4407,'Tracking Sheet'!B1926,'Production '!$AG$4:$AG$4407)</f>
        <v>-13431</v>
      </c>
    </row>
    <row r="1927" spans="2:10" x14ac:dyDescent="0.3">
      <c r="B1927" s="277" t="str">
        <f>'Production '!C1930</f>
        <v>48299 2nd</v>
      </c>
      <c r="C1927" s="76">
        <f ca="1">SUMIF('Production '!$C$4:$AI$4407,'Tracking Sheet'!B1927,'Production '!$M$4:$M$4407)</f>
        <v>0</v>
      </c>
      <c r="D1927" s="76">
        <f ca="1">SUMIF('Production '!$C$4:$AI$4407,'Tracking Sheet'!B1927,'Production '!$Q$4:$Q$4407)</f>
        <v>0</v>
      </c>
      <c r="E1927" s="76">
        <f ca="1">SUMIF('Production '!$C$4:$AI$4407,'Tracking Sheet'!B1927,'Production '!$S$4:$S$4407)</f>
        <v>0</v>
      </c>
      <c r="F1927" s="76">
        <f ca="1">SUMIF('Production '!$C$4:$AI$4407,'Tracking Sheet'!B1927,'Production '!$U$4:$U$4407)</f>
        <v>0</v>
      </c>
      <c r="G1927" s="76">
        <f ca="1">SUMIF('Production '!$C$4:$AI$4407,'Tracking Sheet'!B1927,'Production '!$W$4:$W$4407)</f>
        <v>0</v>
      </c>
      <c r="H1927" s="76">
        <f ca="1">SUMIF('Production '!$C$4:$AI$4407,'Tracking Sheet'!B1927,'Production '!$F$4:$F$4407)</f>
        <v>13431</v>
      </c>
      <c r="I1927" s="76">
        <f ca="1">SUMIF('Production '!$C$4:$AI$4407,'Tracking Sheet'!B1927,'Production '!$V$4:$V$4407)</f>
        <v>0</v>
      </c>
      <c r="J1927" s="76">
        <f ca="1">SUMIF('Production '!$C$4:$AI$4407,'Tracking Sheet'!B1927,'Production '!$AG$4:$AG$4407)</f>
        <v>-13431</v>
      </c>
    </row>
    <row r="1928" spans="2:10" x14ac:dyDescent="0.3">
      <c r="B1928" s="277">
        <f>'Production '!C1931</f>
        <v>0</v>
      </c>
      <c r="C1928" s="76" t="e">
        <f ca="1">SUMIF('Production '!$C$4:$AI$4407,'Tracking Sheet'!B1928,'Production '!$M$4:$M$4407)</f>
        <v>#DIV/0!</v>
      </c>
      <c r="D1928" s="76" t="e">
        <f ca="1">SUMIF('Production '!$C$4:$AI$4407,'Tracking Sheet'!B1928,'Production '!$Q$4:$Q$4407)</f>
        <v>#DIV/0!</v>
      </c>
      <c r="E1928" s="76">
        <f ca="1">SUMIF('Production '!$C$4:$AI$4407,'Tracking Sheet'!B1928,'Production '!$S$4:$S$4407)</f>
        <v>-1268218.9828305368</v>
      </c>
      <c r="F1928" s="76">
        <f ca="1">SUMIF('Production '!$C$4:$AI$4407,'Tracking Sheet'!B1928,'Production '!$U$4:$U$4407)</f>
        <v>-10620.435600016917</v>
      </c>
      <c r="G1928" s="76" t="e">
        <f ca="1">SUMIF('Production '!$C$4:$AI$4407,'Tracking Sheet'!B1928,'Production '!$W$4:$W$4407)</f>
        <v>#DIV/0!</v>
      </c>
      <c r="H1928" s="76">
        <f ca="1">SUMIF('Production '!$C$4:$AI$4407,'Tracking Sheet'!B1928,'Production '!$F$4:$F$4407)</f>
        <v>3230621.3283604058</v>
      </c>
      <c r="I1928" s="76">
        <f ca="1">SUMIF('Production '!$C$4:$AI$4407,'Tracking Sheet'!B1928,'Production '!$V$4:$V$4407)</f>
        <v>-489.86487791182844</v>
      </c>
      <c r="J1928" s="76">
        <f ca="1">SUMIF('Production '!$C$4:$AI$4407,'Tracking Sheet'!B1928,'Production '!$AG$4:$AG$4407)</f>
        <v>0</v>
      </c>
    </row>
    <row r="1929" spans="2:10" x14ac:dyDescent="0.3">
      <c r="B1929" s="277" t="str">
        <f>'Production '!C1932</f>
        <v>48299 3rd</v>
      </c>
      <c r="C1929" s="76">
        <f ca="1">SUMIF('Production '!$C$4:$AI$4407,'Tracking Sheet'!B1929,'Production '!$M$4:$M$4407)</f>
        <v>0</v>
      </c>
      <c r="D1929" s="76">
        <f ca="1">SUMIF('Production '!$C$4:$AI$4407,'Tracking Sheet'!B1929,'Production '!$Q$4:$Q$4407)</f>
        <v>0</v>
      </c>
      <c r="E1929" s="76">
        <f ca="1">SUMIF('Production '!$C$4:$AI$4407,'Tracking Sheet'!B1929,'Production '!$S$4:$S$4407)</f>
        <v>0</v>
      </c>
      <c r="F1929" s="76">
        <f ca="1">SUMIF('Production '!$C$4:$AI$4407,'Tracking Sheet'!B1929,'Production '!$U$4:$U$4407)</f>
        <v>0</v>
      </c>
      <c r="G1929" s="76">
        <f ca="1">SUMIF('Production '!$C$4:$AI$4407,'Tracking Sheet'!B1929,'Production '!$W$4:$W$4407)</f>
        <v>0</v>
      </c>
      <c r="H1929" s="76">
        <f ca="1">SUMIF('Production '!$C$4:$AI$4407,'Tracking Sheet'!B1929,'Production '!$F$4:$F$4407)</f>
        <v>2681</v>
      </c>
      <c r="I1929" s="76">
        <f ca="1">SUMIF('Production '!$C$4:$AI$4407,'Tracking Sheet'!B1929,'Production '!$V$4:$V$4407)</f>
        <v>0</v>
      </c>
      <c r="J1929" s="76">
        <f ca="1">SUMIF('Production '!$C$4:$AI$4407,'Tracking Sheet'!B1929,'Production '!$AG$4:$AG$4407)</f>
        <v>-2681</v>
      </c>
    </row>
    <row r="1930" spans="2:10" x14ac:dyDescent="0.3">
      <c r="B1930" s="277" t="str">
        <f>'Production '!C1933</f>
        <v>48299 3rd</v>
      </c>
      <c r="C1930" s="76">
        <f ca="1">SUMIF('Production '!$C$4:$AI$4407,'Tracking Sheet'!B1930,'Production '!$M$4:$M$4407)</f>
        <v>0</v>
      </c>
      <c r="D1930" s="76">
        <f ca="1">SUMIF('Production '!$C$4:$AI$4407,'Tracking Sheet'!B1930,'Production '!$Q$4:$Q$4407)</f>
        <v>0</v>
      </c>
      <c r="E1930" s="76">
        <f ca="1">SUMIF('Production '!$C$4:$AI$4407,'Tracking Sheet'!B1930,'Production '!$S$4:$S$4407)</f>
        <v>0</v>
      </c>
      <c r="F1930" s="76">
        <f ca="1">SUMIF('Production '!$C$4:$AI$4407,'Tracking Sheet'!B1930,'Production '!$U$4:$U$4407)</f>
        <v>0</v>
      </c>
      <c r="G1930" s="76">
        <f ca="1">SUMIF('Production '!$C$4:$AI$4407,'Tracking Sheet'!B1930,'Production '!$W$4:$W$4407)</f>
        <v>0</v>
      </c>
      <c r="H1930" s="76">
        <f ca="1">SUMIF('Production '!$C$4:$AI$4407,'Tracking Sheet'!B1930,'Production '!$F$4:$F$4407)</f>
        <v>2681</v>
      </c>
      <c r="I1930" s="76">
        <f ca="1">SUMIF('Production '!$C$4:$AI$4407,'Tracking Sheet'!B1930,'Production '!$V$4:$V$4407)</f>
        <v>0</v>
      </c>
      <c r="J1930" s="76">
        <f ca="1">SUMIF('Production '!$C$4:$AI$4407,'Tracking Sheet'!B1930,'Production '!$AG$4:$AG$4407)</f>
        <v>-2681</v>
      </c>
    </row>
    <row r="1931" spans="2:10" x14ac:dyDescent="0.3">
      <c r="B1931" s="277" t="str">
        <f>'Production '!C1934</f>
        <v>48299 3rd</v>
      </c>
      <c r="C1931" s="76">
        <f ca="1">SUMIF('Production '!$C$4:$AI$4407,'Tracking Sheet'!B1931,'Production '!$M$4:$M$4407)</f>
        <v>0</v>
      </c>
      <c r="D1931" s="76">
        <f ca="1">SUMIF('Production '!$C$4:$AI$4407,'Tracking Sheet'!B1931,'Production '!$Q$4:$Q$4407)</f>
        <v>0</v>
      </c>
      <c r="E1931" s="76">
        <f ca="1">SUMIF('Production '!$C$4:$AI$4407,'Tracking Sheet'!B1931,'Production '!$S$4:$S$4407)</f>
        <v>0</v>
      </c>
      <c r="F1931" s="76">
        <f ca="1">SUMIF('Production '!$C$4:$AI$4407,'Tracking Sheet'!B1931,'Production '!$U$4:$U$4407)</f>
        <v>0</v>
      </c>
      <c r="G1931" s="76">
        <f ca="1">SUMIF('Production '!$C$4:$AI$4407,'Tracking Sheet'!B1931,'Production '!$W$4:$W$4407)</f>
        <v>0</v>
      </c>
      <c r="H1931" s="76">
        <f ca="1">SUMIF('Production '!$C$4:$AI$4407,'Tracking Sheet'!B1931,'Production '!$F$4:$F$4407)</f>
        <v>2681</v>
      </c>
      <c r="I1931" s="76">
        <f ca="1">SUMIF('Production '!$C$4:$AI$4407,'Tracking Sheet'!B1931,'Production '!$V$4:$V$4407)</f>
        <v>0</v>
      </c>
      <c r="J1931" s="76">
        <f ca="1">SUMIF('Production '!$C$4:$AI$4407,'Tracking Sheet'!B1931,'Production '!$AG$4:$AG$4407)</f>
        <v>-2681</v>
      </c>
    </row>
    <row r="1932" spans="2:10" x14ac:dyDescent="0.3">
      <c r="B1932" s="277" t="str">
        <f>'Production '!C1935</f>
        <v>48299 3rd</v>
      </c>
      <c r="C1932" s="76">
        <f ca="1">SUMIF('Production '!$C$4:$AI$4407,'Tracking Sheet'!B1932,'Production '!$M$4:$M$4407)</f>
        <v>0</v>
      </c>
      <c r="D1932" s="76">
        <f ca="1">SUMIF('Production '!$C$4:$AI$4407,'Tracking Sheet'!B1932,'Production '!$Q$4:$Q$4407)</f>
        <v>0</v>
      </c>
      <c r="E1932" s="76">
        <f ca="1">SUMIF('Production '!$C$4:$AI$4407,'Tracking Sheet'!B1932,'Production '!$S$4:$S$4407)</f>
        <v>0</v>
      </c>
      <c r="F1932" s="76">
        <f ca="1">SUMIF('Production '!$C$4:$AI$4407,'Tracking Sheet'!B1932,'Production '!$U$4:$U$4407)</f>
        <v>0</v>
      </c>
      <c r="G1932" s="76">
        <f ca="1">SUMIF('Production '!$C$4:$AI$4407,'Tracking Sheet'!B1932,'Production '!$W$4:$W$4407)</f>
        <v>0</v>
      </c>
      <c r="H1932" s="76">
        <f ca="1">SUMIF('Production '!$C$4:$AI$4407,'Tracking Sheet'!B1932,'Production '!$F$4:$F$4407)</f>
        <v>2681</v>
      </c>
      <c r="I1932" s="76">
        <f ca="1">SUMIF('Production '!$C$4:$AI$4407,'Tracking Sheet'!B1932,'Production '!$V$4:$V$4407)</f>
        <v>0</v>
      </c>
      <c r="J1932" s="76">
        <f ca="1">SUMIF('Production '!$C$4:$AI$4407,'Tracking Sheet'!B1932,'Production '!$AG$4:$AG$4407)</f>
        <v>-2681</v>
      </c>
    </row>
    <row r="1933" spans="2:10" x14ac:dyDescent="0.3">
      <c r="B1933" s="277">
        <f>'Production '!C1936</f>
        <v>0</v>
      </c>
      <c r="C1933" s="76" t="e">
        <f ca="1">SUMIF('Production '!$C$4:$AI$4407,'Tracking Sheet'!B1933,'Production '!$M$4:$M$4407)</f>
        <v>#DIV/0!</v>
      </c>
      <c r="D1933" s="76" t="e">
        <f ca="1">SUMIF('Production '!$C$4:$AI$4407,'Tracking Sheet'!B1933,'Production '!$Q$4:$Q$4407)</f>
        <v>#DIV/0!</v>
      </c>
      <c r="E1933" s="76">
        <f ca="1">SUMIF('Production '!$C$4:$AI$4407,'Tracking Sheet'!B1933,'Production '!$S$4:$S$4407)</f>
        <v>-1268218.9828305368</v>
      </c>
      <c r="F1933" s="76">
        <f ca="1">SUMIF('Production '!$C$4:$AI$4407,'Tracking Sheet'!B1933,'Production '!$U$4:$U$4407)</f>
        <v>-10620.435600016917</v>
      </c>
      <c r="G1933" s="76" t="e">
        <f ca="1">SUMIF('Production '!$C$4:$AI$4407,'Tracking Sheet'!B1933,'Production '!$W$4:$W$4407)</f>
        <v>#DIV/0!</v>
      </c>
      <c r="H1933" s="76">
        <f ca="1">SUMIF('Production '!$C$4:$AI$4407,'Tracking Sheet'!B1933,'Production '!$F$4:$F$4407)</f>
        <v>3230621.3283604058</v>
      </c>
      <c r="I1933" s="76">
        <f ca="1">SUMIF('Production '!$C$4:$AI$4407,'Tracking Sheet'!B1933,'Production '!$V$4:$V$4407)</f>
        <v>-489.86487791182844</v>
      </c>
      <c r="J1933" s="76">
        <f ca="1">SUMIF('Production '!$C$4:$AI$4407,'Tracking Sheet'!B1933,'Production '!$AG$4:$AG$4407)</f>
        <v>0</v>
      </c>
    </row>
    <row r="1934" spans="2:10" x14ac:dyDescent="0.3">
      <c r="B1934" s="277">
        <f>'Production '!C1937</f>
        <v>48203</v>
      </c>
      <c r="C1934" s="76">
        <f ca="1">SUMIF('Production '!$C$4:$AI$4407,'Tracking Sheet'!B1934,'Production '!$M$4:$M$4407)</f>
        <v>6278</v>
      </c>
      <c r="D1934" s="76">
        <f ca="1">SUMIF('Production '!$C$4:$AI$4407,'Tracking Sheet'!B1934,'Production '!$Q$4:$Q$4407)</f>
        <v>6278</v>
      </c>
      <c r="E1934" s="76">
        <f ca="1">SUMIF('Production '!$C$4:$AI$4407,'Tracking Sheet'!B1934,'Production '!$S$4:$S$4407)</f>
        <v>6209</v>
      </c>
      <c r="F1934" s="76">
        <f ca="1">SUMIF('Production '!$C$4:$AI$4407,'Tracking Sheet'!B1934,'Production '!$U$4:$U$4407)</f>
        <v>87</v>
      </c>
      <c r="G1934" s="76">
        <f ca="1">SUMIF('Production '!$C$4:$AI$4407,'Tracking Sheet'!B1934,'Production '!$W$4:$W$4407)</f>
        <v>6122</v>
      </c>
      <c r="H1934" s="76">
        <f ca="1">SUMIF('Production '!$C$4:$AI$4407,'Tracking Sheet'!B1934,'Production '!$F$4:$F$4407)</f>
        <v>6120</v>
      </c>
      <c r="I1934" s="76">
        <f ca="1">SUMIF('Production '!$C$4:$AI$4407,'Tracking Sheet'!B1934,'Production '!$V$4:$V$4407)</f>
        <v>3302</v>
      </c>
      <c r="J1934" s="76">
        <f ca="1">SUMIF('Production '!$C$4:$AI$4407,'Tracking Sheet'!B1934,'Production '!$AG$4:$AG$4407)</f>
        <v>0</v>
      </c>
    </row>
    <row r="1935" spans="2:10" x14ac:dyDescent="0.3">
      <c r="B1935" s="277">
        <f>'Production '!C1938</f>
        <v>48203</v>
      </c>
      <c r="C1935" s="76">
        <f ca="1">SUMIF('Production '!$C$4:$AI$4407,'Tracking Sheet'!B1935,'Production '!$M$4:$M$4407)</f>
        <v>6278</v>
      </c>
      <c r="D1935" s="76">
        <f ca="1">SUMIF('Production '!$C$4:$AI$4407,'Tracking Sheet'!B1935,'Production '!$Q$4:$Q$4407)</f>
        <v>6278</v>
      </c>
      <c r="E1935" s="76">
        <f ca="1">SUMIF('Production '!$C$4:$AI$4407,'Tracking Sheet'!B1935,'Production '!$S$4:$S$4407)</f>
        <v>6209</v>
      </c>
      <c r="F1935" s="76">
        <f ca="1">SUMIF('Production '!$C$4:$AI$4407,'Tracking Sheet'!B1935,'Production '!$U$4:$U$4407)</f>
        <v>87</v>
      </c>
      <c r="G1935" s="76">
        <f ca="1">SUMIF('Production '!$C$4:$AI$4407,'Tracking Sheet'!B1935,'Production '!$W$4:$W$4407)</f>
        <v>6122</v>
      </c>
      <c r="H1935" s="76">
        <f ca="1">SUMIF('Production '!$C$4:$AI$4407,'Tracking Sheet'!B1935,'Production '!$F$4:$F$4407)</f>
        <v>6120</v>
      </c>
      <c r="I1935" s="76">
        <f ca="1">SUMIF('Production '!$C$4:$AI$4407,'Tracking Sheet'!B1935,'Production '!$V$4:$V$4407)</f>
        <v>3302</v>
      </c>
      <c r="J1935" s="76">
        <f ca="1">SUMIF('Production '!$C$4:$AI$4407,'Tracking Sheet'!B1935,'Production '!$AG$4:$AG$4407)</f>
        <v>0</v>
      </c>
    </row>
    <row r="1936" spans="2:10" x14ac:dyDescent="0.3">
      <c r="B1936" s="277">
        <f>'Production '!C1939</f>
        <v>0</v>
      </c>
      <c r="C1936" s="76" t="e">
        <f ca="1">SUMIF('Production '!$C$4:$AI$4407,'Tracking Sheet'!B1936,'Production '!$M$4:$M$4407)</f>
        <v>#DIV/0!</v>
      </c>
      <c r="D1936" s="76" t="e">
        <f ca="1">SUMIF('Production '!$C$4:$AI$4407,'Tracking Sheet'!B1936,'Production '!$Q$4:$Q$4407)</f>
        <v>#DIV/0!</v>
      </c>
      <c r="E1936" s="76">
        <f ca="1">SUMIF('Production '!$C$4:$AI$4407,'Tracking Sheet'!B1936,'Production '!$S$4:$S$4407)</f>
        <v>-1268218.9828305368</v>
      </c>
      <c r="F1936" s="76">
        <f ca="1">SUMIF('Production '!$C$4:$AI$4407,'Tracking Sheet'!B1936,'Production '!$U$4:$U$4407)</f>
        <v>-10620.435600016917</v>
      </c>
      <c r="G1936" s="76" t="e">
        <f ca="1">SUMIF('Production '!$C$4:$AI$4407,'Tracking Sheet'!B1936,'Production '!$W$4:$W$4407)</f>
        <v>#DIV/0!</v>
      </c>
      <c r="H1936" s="76">
        <f ca="1">SUMIF('Production '!$C$4:$AI$4407,'Tracking Sheet'!B1936,'Production '!$F$4:$F$4407)</f>
        <v>3230621.3283604058</v>
      </c>
      <c r="I1936" s="76">
        <f ca="1">SUMIF('Production '!$C$4:$AI$4407,'Tracking Sheet'!B1936,'Production '!$V$4:$V$4407)</f>
        <v>-489.86487791182844</v>
      </c>
      <c r="J1936" s="76">
        <f ca="1">SUMIF('Production '!$C$4:$AI$4407,'Tracking Sheet'!B1936,'Production '!$AG$4:$AG$4407)</f>
        <v>0</v>
      </c>
    </row>
    <row r="1937" spans="2:10" x14ac:dyDescent="0.3">
      <c r="B1937" s="277" t="str">
        <f>'Production '!C1940</f>
        <v>48203 2nd</v>
      </c>
      <c r="C1937" s="76">
        <f ca="1">SUMIF('Production '!$C$4:$AI$4407,'Tracking Sheet'!B1937,'Production '!$M$4:$M$4407)</f>
        <v>1048</v>
      </c>
      <c r="D1937" s="76">
        <f ca="1">SUMIF('Production '!$C$4:$AI$4407,'Tracking Sheet'!B1937,'Production '!$Q$4:$Q$4407)</f>
        <v>1048</v>
      </c>
      <c r="E1937" s="76">
        <f ca="1">SUMIF('Production '!$C$4:$AI$4407,'Tracking Sheet'!B1937,'Production '!$S$4:$S$4407)</f>
        <v>0</v>
      </c>
      <c r="F1937" s="76">
        <f ca="1">SUMIF('Production '!$C$4:$AI$4407,'Tracking Sheet'!B1937,'Production '!$U$4:$U$4407)</f>
        <v>0</v>
      </c>
      <c r="G1937" s="76">
        <f ca="1">SUMIF('Production '!$C$4:$AI$4407,'Tracking Sheet'!B1937,'Production '!$W$4:$W$4407)</f>
        <v>0</v>
      </c>
      <c r="H1937" s="76">
        <f ca="1">SUMIF('Production '!$C$4:$AI$4407,'Tracking Sheet'!B1937,'Production '!$F$4:$F$4407)</f>
        <v>1022</v>
      </c>
      <c r="I1937" s="76">
        <f ca="1">SUMIF('Production '!$C$4:$AI$4407,'Tracking Sheet'!B1937,'Production '!$V$4:$V$4407)</f>
        <v>0</v>
      </c>
      <c r="J1937" s="76">
        <f ca="1">SUMIF('Production '!$C$4:$AI$4407,'Tracking Sheet'!B1937,'Production '!$AG$4:$AG$4407)</f>
        <v>0</v>
      </c>
    </row>
    <row r="1938" spans="2:10" x14ac:dyDescent="0.3">
      <c r="B1938" s="277">
        <f>'Production '!C1941</f>
        <v>0</v>
      </c>
      <c r="C1938" s="76" t="e">
        <f ca="1">SUMIF('Production '!$C$4:$AI$4407,'Tracking Sheet'!B1938,'Production '!$M$4:$M$4407)</f>
        <v>#DIV/0!</v>
      </c>
      <c r="D1938" s="76" t="e">
        <f ca="1">SUMIF('Production '!$C$4:$AI$4407,'Tracking Sheet'!B1938,'Production '!$Q$4:$Q$4407)</f>
        <v>#DIV/0!</v>
      </c>
      <c r="E1938" s="76">
        <f ca="1">SUMIF('Production '!$C$4:$AI$4407,'Tracking Sheet'!B1938,'Production '!$S$4:$S$4407)</f>
        <v>-1268218.9828305368</v>
      </c>
      <c r="F1938" s="76">
        <f ca="1">SUMIF('Production '!$C$4:$AI$4407,'Tracking Sheet'!B1938,'Production '!$U$4:$U$4407)</f>
        <v>-10620.435600016917</v>
      </c>
      <c r="G1938" s="76" t="e">
        <f ca="1">SUMIF('Production '!$C$4:$AI$4407,'Tracking Sheet'!B1938,'Production '!$W$4:$W$4407)</f>
        <v>#DIV/0!</v>
      </c>
      <c r="H1938" s="76">
        <f ca="1">SUMIF('Production '!$C$4:$AI$4407,'Tracking Sheet'!B1938,'Production '!$F$4:$F$4407)</f>
        <v>3230621.3283604058</v>
      </c>
      <c r="I1938" s="76">
        <f ca="1">SUMIF('Production '!$C$4:$AI$4407,'Tracking Sheet'!B1938,'Production '!$V$4:$V$4407)</f>
        <v>-489.86487791182844</v>
      </c>
      <c r="J1938" s="76">
        <f ca="1">SUMIF('Production '!$C$4:$AI$4407,'Tracking Sheet'!B1938,'Production '!$AG$4:$AG$4407)</f>
        <v>0</v>
      </c>
    </row>
    <row r="1939" spans="2:10" x14ac:dyDescent="0.3">
      <c r="B1939" s="277">
        <f>'Production '!C1942</f>
        <v>48212</v>
      </c>
      <c r="C1939" s="76">
        <f ca="1">SUMIF('Production '!$C$4:$AI$4407,'Tracking Sheet'!B1939,'Production '!$M$4:$M$4407)</f>
        <v>0</v>
      </c>
      <c r="D1939" s="76">
        <f ca="1">SUMIF('Production '!$C$4:$AI$4407,'Tracking Sheet'!B1939,'Production '!$Q$4:$Q$4407)</f>
        <v>0</v>
      </c>
      <c r="E1939" s="76">
        <f ca="1">SUMIF('Production '!$C$4:$AI$4407,'Tracking Sheet'!B1939,'Production '!$S$4:$S$4407)</f>
        <v>0</v>
      </c>
      <c r="F1939" s="76">
        <f ca="1">SUMIF('Production '!$C$4:$AI$4407,'Tracking Sheet'!B1939,'Production '!$U$4:$U$4407)</f>
        <v>0</v>
      </c>
      <c r="G1939" s="76">
        <f ca="1">SUMIF('Production '!$C$4:$AI$4407,'Tracking Sheet'!B1939,'Production '!$W$4:$W$4407)</f>
        <v>0</v>
      </c>
      <c r="H1939" s="76">
        <f ca="1">SUMIF('Production '!$C$4:$AI$4407,'Tracking Sheet'!B1939,'Production '!$F$4:$F$4407)</f>
        <v>1008</v>
      </c>
      <c r="I1939" s="76">
        <f ca="1">SUMIF('Production '!$C$4:$AI$4407,'Tracking Sheet'!B1939,'Production '!$V$4:$V$4407)</f>
        <v>0</v>
      </c>
      <c r="J1939" s="76">
        <f ca="1">SUMIF('Production '!$C$4:$AI$4407,'Tracking Sheet'!B1939,'Production '!$AG$4:$AG$4407)</f>
        <v>-1008</v>
      </c>
    </row>
    <row r="1940" spans="2:10" x14ac:dyDescent="0.3">
      <c r="B1940" s="277">
        <f>'Production '!C1943</f>
        <v>48212</v>
      </c>
      <c r="C1940" s="76">
        <f ca="1">SUMIF('Production '!$C$4:$AI$4407,'Tracking Sheet'!B1940,'Production '!$M$4:$M$4407)</f>
        <v>0</v>
      </c>
      <c r="D1940" s="76">
        <f ca="1">SUMIF('Production '!$C$4:$AI$4407,'Tracking Sheet'!B1940,'Production '!$Q$4:$Q$4407)</f>
        <v>0</v>
      </c>
      <c r="E1940" s="76">
        <f ca="1">SUMIF('Production '!$C$4:$AI$4407,'Tracking Sheet'!B1940,'Production '!$S$4:$S$4407)</f>
        <v>0</v>
      </c>
      <c r="F1940" s="76">
        <f ca="1">SUMIF('Production '!$C$4:$AI$4407,'Tracking Sheet'!B1940,'Production '!$U$4:$U$4407)</f>
        <v>0</v>
      </c>
      <c r="G1940" s="76">
        <f ca="1">SUMIF('Production '!$C$4:$AI$4407,'Tracking Sheet'!B1940,'Production '!$W$4:$W$4407)</f>
        <v>0</v>
      </c>
      <c r="H1940" s="76">
        <f ca="1">SUMIF('Production '!$C$4:$AI$4407,'Tracking Sheet'!B1940,'Production '!$F$4:$F$4407)</f>
        <v>1008</v>
      </c>
      <c r="I1940" s="76">
        <f ca="1">SUMIF('Production '!$C$4:$AI$4407,'Tracking Sheet'!B1940,'Production '!$V$4:$V$4407)</f>
        <v>0</v>
      </c>
      <c r="J1940" s="76">
        <f ca="1">SUMIF('Production '!$C$4:$AI$4407,'Tracking Sheet'!B1940,'Production '!$AG$4:$AG$4407)</f>
        <v>-1008</v>
      </c>
    </row>
    <row r="1941" spans="2:10" x14ac:dyDescent="0.3">
      <c r="B1941" s="277">
        <f>'Production '!C1944</f>
        <v>0</v>
      </c>
      <c r="C1941" s="76" t="e">
        <f ca="1">SUMIF('Production '!$C$4:$AI$4407,'Tracking Sheet'!B1941,'Production '!$M$4:$M$4407)</f>
        <v>#DIV/0!</v>
      </c>
      <c r="D1941" s="76" t="e">
        <f ca="1">SUMIF('Production '!$C$4:$AI$4407,'Tracking Sheet'!B1941,'Production '!$Q$4:$Q$4407)</f>
        <v>#DIV/0!</v>
      </c>
      <c r="E1941" s="76">
        <f ca="1">SUMIF('Production '!$C$4:$AI$4407,'Tracking Sheet'!B1941,'Production '!$S$4:$S$4407)</f>
        <v>-1268218.9828305368</v>
      </c>
      <c r="F1941" s="76">
        <f ca="1">SUMIF('Production '!$C$4:$AI$4407,'Tracking Sheet'!B1941,'Production '!$U$4:$U$4407)</f>
        <v>-10620.435600016917</v>
      </c>
      <c r="G1941" s="76" t="e">
        <f ca="1">SUMIF('Production '!$C$4:$AI$4407,'Tracking Sheet'!B1941,'Production '!$W$4:$W$4407)</f>
        <v>#DIV/0!</v>
      </c>
      <c r="H1941" s="76">
        <f ca="1">SUMIF('Production '!$C$4:$AI$4407,'Tracking Sheet'!B1941,'Production '!$F$4:$F$4407)</f>
        <v>3230621.3283604058</v>
      </c>
      <c r="I1941" s="76">
        <f ca="1">SUMIF('Production '!$C$4:$AI$4407,'Tracking Sheet'!B1941,'Production '!$V$4:$V$4407)</f>
        <v>-489.86487791182844</v>
      </c>
      <c r="J1941" s="76">
        <f ca="1">SUMIF('Production '!$C$4:$AI$4407,'Tracking Sheet'!B1941,'Production '!$AG$4:$AG$4407)</f>
        <v>0</v>
      </c>
    </row>
    <row r="1942" spans="2:10" x14ac:dyDescent="0.3">
      <c r="B1942" s="277">
        <f>'Production '!C1945</f>
        <v>48213</v>
      </c>
      <c r="C1942" s="76">
        <f ca="1">SUMIF('Production '!$C$4:$AI$4407,'Tracking Sheet'!B1942,'Production '!$M$4:$M$4407)</f>
        <v>1265</v>
      </c>
      <c r="D1942" s="76">
        <f ca="1">SUMIF('Production '!$C$4:$AI$4407,'Tracking Sheet'!B1942,'Production '!$Q$4:$Q$4407)</f>
        <v>1265</v>
      </c>
      <c r="E1942" s="76">
        <f ca="1">SUMIF('Production '!$C$4:$AI$4407,'Tracking Sheet'!B1942,'Production '!$S$4:$S$4407)</f>
        <v>0</v>
      </c>
      <c r="F1942" s="76">
        <f ca="1">SUMIF('Production '!$C$4:$AI$4407,'Tracking Sheet'!B1942,'Production '!$U$4:$U$4407)</f>
        <v>0</v>
      </c>
      <c r="G1942" s="76">
        <f ca="1">SUMIF('Production '!$C$4:$AI$4407,'Tracking Sheet'!B1942,'Production '!$W$4:$W$4407)</f>
        <v>0</v>
      </c>
      <c r="H1942" s="76">
        <f ca="1">SUMIF('Production '!$C$4:$AI$4407,'Tracking Sheet'!B1942,'Production '!$F$4:$F$4407)</f>
        <v>1220</v>
      </c>
      <c r="I1942" s="76">
        <f ca="1">SUMIF('Production '!$C$4:$AI$4407,'Tracking Sheet'!B1942,'Production '!$V$4:$V$4407)</f>
        <v>0</v>
      </c>
      <c r="J1942" s="76">
        <f ca="1">SUMIF('Production '!$C$4:$AI$4407,'Tracking Sheet'!B1942,'Production '!$AG$4:$AG$4407)</f>
        <v>0</v>
      </c>
    </row>
    <row r="1943" spans="2:10" x14ac:dyDescent="0.3">
      <c r="B1943" s="277">
        <f>'Production '!C1946</f>
        <v>48213</v>
      </c>
      <c r="C1943" s="76">
        <f ca="1">SUMIF('Production '!$C$4:$AI$4407,'Tracking Sheet'!B1943,'Production '!$M$4:$M$4407)</f>
        <v>1265</v>
      </c>
      <c r="D1943" s="76">
        <f ca="1">SUMIF('Production '!$C$4:$AI$4407,'Tracking Sheet'!B1943,'Production '!$Q$4:$Q$4407)</f>
        <v>1265</v>
      </c>
      <c r="E1943" s="76">
        <f ca="1">SUMIF('Production '!$C$4:$AI$4407,'Tracking Sheet'!B1943,'Production '!$S$4:$S$4407)</f>
        <v>0</v>
      </c>
      <c r="F1943" s="76">
        <f ca="1">SUMIF('Production '!$C$4:$AI$4407,'Tracking Sheet'!B1943,'Production '!$U$4:$U$4407)</f>
        <v>0</v>
      </c>
      <c r="G1943" s="76">
        <f ca="1">SUMIF('Production '!$C$4:$AI$4407,'Tracking Sheet'!B1943,'Production '!$W$4:$W$4407)</f>
        <v>0</v>
      </c>
      <c r="H1943" s="76">
        <f ca="1">SUMIF('Production '!$C$4:$AI$4407,'Tracking Sheet'!B1943,'Production '!$F$4:$F$4407)</f>
        <v>1220</v>
      </c>
      <c r="I1943" s="76">
        <f ca="1">SUMIF('Production '!$C$4:$AI$4407,'Tracking Sheet'!B1943,'Production '!$V$4:$V$4407)</f>
        <v>0</v>
      </c>
      <c r="J1943" s="76">
        <f ca="1">SUMIF('Production '!$C$4:$AI$4407,'Tracking Sheet'!B1943,'Production '!$AG$4:$AG$4407)</f>
        <v>0</v>
      </c>
    </row>
    <row r="1944" spans="2:10" x14ac:dyDescent="0.3">
      <c r="B1944" s="277">
        <f>'Production '!C1947</f>
        <v>0</v>
      </c>
      <c r="C1944" s="76" t="e">
        <f ca="1">SUMIF('Production '!$C$4:$AI$4407,'Tracking Sheet'!B1944,'Production '!$M$4:$M$4407)</f>
        <v>#DIV/0!</v>
      </c>
      <c r="D1944" s="76" t="e">
        <f ca="1">SUMIF('Production '!$C$4:$AI$4407,'Tracking Sheet'!B1944,'Production '!$Q$4:$Q$4407)</f>
        <v>#DIV/0!</v>
      </c>
      <c r="E1944" s="76">
        <f ca="1">SUMIF('Production '!$C$4:$AI$4407,'Tracking Sheet'!B1944,'Production '!$S$4:$S$4407)</f>
        <v>-1268218.9828305368</v>
      </c>
      <c r="F1944" s="76">
        <f ca="1">SUMIF('Production '!$C$4:$AI$4407,'Tracking Sheet'!B1944,'Production '!$U$4:$U$4407)</f>
        <v>-10620.435600016917</v>
      </c>
      <c r="G1944" s="76" t="e">
        <f ca="1">SUMIF('Production '!$C$4:$AI$4407,'Tracking Sheet'!B1944,'Production '!$W$4:$W$4407)</f>
        <v>#DIV/0!</v>
      </c>
      <c r="H1944" s="76">
        <f ca="1">SUMIF('Production '!$C$4:$AI$4407,'Tracking Sheet'!B1944,'Production '!$F$4:$F$4407)</f>
        <v>3230621.3283604058</v>
      </c>
      <c r="I1944" s="76">
        <f ca="1">SUMIF('Production '!$C$4:$AI$4407,'Tracking Sheet'!B1944,'Production '!$V$4:$V$4407)</f>
        <v>-489.86487791182844</v>
      </c>
      <c r="J1944" s="76">
        <f ca="1">SUMIF('Production '!$C$4:$AI$4407,'Tracking Sheet'!B1944,'Production '!$AG$4:$AG$4407)</f>
        <v>0</v>
      </c>
    </row>
    <row r="1945" spans="2:10" x14ac:dyDescent="0.3">
      <c r="B1945" s="277">
        <f>'Production '!C1948</f>
        <v>48128</v>
      </c>
      <c r="C1945" s="76">
        <f ca="1">SUMIF('Production '!$C$4:$AI$4407,'Tracking Sheet'!B1945,'Production '!$M$4:$M$4407)</f>
        <v>769</v>
      </c>
      <c r="D1945" s="76">
        <f ca="1">SUMIF('Production '!$C$4:$AI$4407,'Tracking Sheet'!B1945,'Production '!$Q$4:$Q$4407)</f>
        <v>769</v>
      </c>
      <c r="E1945" s="76">
        <f ca="1">SUMIF('Production '!$C$4:$AI$4407,'Tracking Sheet'!B1945,'Production '!$S$4:$S$4407)</f>
        <v>769</v>
      </c>
      <c r="F1945" s="76">
        <f ca="1">SUMIF('Production '!$C$4:$AI$4407,'Tracking Sheet'!B1945,'Production '!$U$4:$U$4407)</f>
        <v>3</v>
      </c>
      <c r="G1945" s="76">
        <f ca="1">SUMIF('Production '!$C$4:$AI$4407,'Tracking Sheet'!B1945,'Production '!$W$4:$W$4407)</f>
        <v>766</v>
      </c>
      <c r="H1945" s="76">
        <f ca="1">SUMIF('Production '!$C$4:$AI$4407,'Tracking Sheet'!B1945,'Production '!$F$4:$F$4407)</f>
        <v>720</v>
      </c>
      <c r="I1945" s="76">
        <f ca="1">SUMIF('Production '!$C$4:$AI$4407,'Tracking Sheet'!B1945,'Production '!$V$4:$V$4407)</f>
        <v>0</v>
      </c>
      <c r="J1945" s="76">
        <f ca="1">SUMIF('Production '!$C$4:$AI$4407,'Tracking Sheet'!B1945,'Production '!$AG$4:$AG$4407)</f>
        <v>0</v>
      </c>
    </row>
    <row r="1946" spans="2:10" x14ac:dyDescent="0.3">
      <c r="B1946" s="277">
        <f>'Production '!C1949</f>
        <v>48128</v>
      </c>
      <c r="C1946" s="76">
        <f ca="1">SUMIF('Production '!$C$4:$AI$4407,'Tracking Sheet'!B1946,'Production '!$M$4:$M$4407)</f>
        <v>769</v>
      </c>
      <c r="D1946" s="76">
        <f ca="1">SUMIF('Production '!$C$4:$AI$4407,'Tracking Sheet'!B1946,'Production '!$Q$4:$Q$4407)</f>
        <v>769</v>
      </c>
      <c r="E1946" s="76">
        <f ca="1">SUMIF('Production '!$C$4:$AI$4407,'Tracking Sheet'!B1946,'Production '!$S$4:$S$4407)</f>
        <v>769</v>
      </c>
      <c r="F1946" s="76">
        <f ca="1">SUMIF('Production '!$C$4:$AI$4407,'Tracking Sheet'!B1946,'Production '!$U$4:$U$4407)</f>
        <v>3</v>
      </c>
      <c r="G1946" s="76">
        <f ca="1">SUMIF('Production '!$C$4:$AI$4407,'Tracking Sheet'!B1946,'Production '!$W$4:$W$4407)</f>
        <v>766</v>
      </c>
      <c r="H1946" s="76">
        <f ca="1">SUMIF('Production '!$C$4:$AI$4407,'Tracking Sheet'!B1946,'Production '!$F$4:$F$4407)</f>
        <v>720</v>
      </c>
      <c r="I1946" s="76">
        <f ca="1">SUMIF('Production '!$C$4:$AI$4407,'Tracking Sheet'!B1946,'Production '!$V$4:$V$4407)</f>
        <v>0</v>
      </c>
      <c r="J1946" s="76">
        <f ca="1">SUMIF('Production '!$C$4:$AI$4407,'Tracking Sheet'!B1946,'Production '!$AG$4:$AG$4407)</f>
        <v>0</v>
      </c>
    </row>
    <row r="1947" spans="2:10" x14ac:dyDescent="0.3">
      <c r="B1947" s="277">
        <f>'Production '!C1950</f>
        <v>0</v>
      </c>
      <c r="C1947" s="76" t="e">
        <f ca="1">SUMIF('Production '!$C$4:$AI$4407,'Tracking Sheet'!B1947,'Production '!$M$4:$M$4407)</f>
        <v>#DIV/0!</v>
      </c>
      <c r="D1947" s="76" t="e">
        <f ca="1">SUMIF('Production '!$C$4:$AI$4407,'Tracking Sheet'!B1947,'Production '!$Q$4:$Q$4407)</f>
        <v>#DIV/0!</v>
      </c>
      <c r="E1947" s="76">
        <f ca="1">SUMIF('Production '!$C$4:$AI$4407,'Tracking Sheet'!B1947,'Production '!$S$4:$S$4407)</f>
        <v>-1268218.9828305368</v>
      </c>
      <c r="F1947" s="76">
        <f ca="1">SUMIF('Production '!$C$4:$AI$4407,'Tracking Sheet'!B1947,'Production '!$U$4:$U$4407)</f>
        <v>-10620.435600016917</v>
      </c>
      <c r="G1947" s="76" t="e">
        <f ca="1">SUMIF('Production '!$C$4:$AI$4407,'Tracking Sheet'!B1947,'Production '!$W$4:$W$4407)</f>
        <v>#DIV/0!</v>
      </c>
      <c r="H1947" s="76">
        <f ca="1">SUMIF('Production '!$C$4:$AI$4407,'Tracking Sheet'!B1947,'Production '!$F$4:$F$4407)</f>
        <v>3230621.3283604058</v>
      </c>
      <c r="I1947" s="76">
        <f ca="1">SUMIF('Production '!$C$4:$AI$4407,'Tracking Sheet'!B1947,'Production '!$V$4:$V$4407)</f>
        <v>-489.86487791182844</v>
      </c>
      <c r="J1947" s="76">
        <f ca="1">SUMIF('Production '!$C$4:$AI$4407,'Tracking Sheet'!B1947,'Production '!$AG$4:$AG$4407)</f>
        <v>0</v>
      </c>
    </row>
    <row r="1948" spans="2:10" x14ac:dyDescent="0.3">
      <c r="B1948" s="277">
        <f>'Production '!C1951</f>
        <v>48127</v>
      </c>
      <c r="C1948" s="76">
        <f ca="1">SUMIF('Production '!$C$4:$AI$4407,'Tracking Sheet'!B1948,'Production '!$M$4:$M$4407)</f>
        <v>1434</v>
      </c>
      <c r="D1948" s="76">
        <f ca="1">SUMIF('Production '!$C$4:$AI$4407,'Tracking Sheet'!B1948,'Production '!$Q$4:$Q$4407)</f>
        <v>1434</v>
      </c>
      <c r="E1948" s="76">
        <f ca="1">SUMIF('Production '!$C$4:$AI$4407,'Tracking Sheet'!B1948,'Production '!$S$4:$S$4407)</f>
        <v>1434</v>
      </c>
      <c r="F1948" s="76">
        <f ca="1">SUMIF('Production '!$C$4:$AI$4407,'Tracking Sheet'!B1948,'Production '!$U$4:$U$4407)</f>
        <v>6</v>
      </c>
      <c r="G1948" s="76">
        <f ca="1">SUMIF('Production '!$C$4:$AI$4407,'Tracking Sheet'!B1948,'Production '!$W$4:$W$4407)</f>
        <v>1428</v>
      </c>
      <c r="H1948" s="76">
        <f ca="1">SUMIF('Production '!$C$4:$AI$4407,'Tracking Sheet'!B1948,'Production '!$F$4:$F$4407)</f>
        <v>1356</v>
      </c>
      <c r="I1948" s="76">
        <f ca="1">SUMIF('Production '!$C$4:$AI$4407,'Tracking Sheet'!B1948,'Production '!$V$4:$V$4407)</f>
        <v>0</v>
      </c>
      <c r="J1948" s="76">
        <f ca="1">SUMIF('Production '!$C$4:$AI$4407,'Tracking Sheet'!B1948,'Production '!$AG$4:$AG$4407)</f>
        <v>0</v>
      </c>
    </row>
    <row r="1949" spans="2:10" x14ac:dyDescent="0.3">
      <c r="B1949" s="277">
        <f>'Production '!C1952</f>
        <v>48127</v>
      </c>
      <c r="C1949" s="76">
        <f ca="1">SUMIF('Production '!$C$4:$AI$4407,'Tracking Sheet'!B1949,'Production '!$M$4:$M$4407)</f>
        <v>1434</v>
      </c>
      <c r="D1949" s="76">
        <f ca="1">SUMIF('Production '!$C$4:$AI$4407,'Tracking Sheet'!B1949,'Production '!$Q$4:$Q$4407)</f>
        <v>1434</v>
      </c>
      <c r="E1949" s="76">
        <f ca="1">SUMIF('Production '!$C$4:$AI$4407,'Tracking Sheet'!B1949,'Production '!$S$4:$S$4407)</f>
        <v>1434</v>
      </c>
      <c r="F1949" s="76">
        <f ca="1">SUMIF('Production '!$C$4:$AI$4407,'Tracking Sheet'!B1949,'Production '!$U$4:$U$4407)</f>
        <v>6</v>
      </c>
      <c r="G1949" s="76">
        <f ca="1">SUMIF('Production '!$C$4:$AI$4407,'Tracking Sheet'!B1949,'Production '!$W$4:$W$4407)</f>
        <v>1428</v>
      </c>
      <c r="H1949" s="76">
        <f ca="1">SUMIF('Production '!$C$4:$AI$4407,'Tracking Sheet'!B1949,'Production '!$F$4:$F$4407)</f>
        <v>1356</v>
      </c>
      <c r="I1949" s="76">
        <f ca="1">SUMIF('Production '!$C$4:$AI$4407,'Tracking Sheet'!B1949,'Production '!$V$4:$V$4407)</f>
        <v>0</v>
      </c>
      <c r="J1949" s="76">
        <f ca="1">SUMIF('Production '!$C$4:$AI$4407,'Tracking Sheet'!B1949,'Production '!$AG$4:$AG$4407)</f>
        <v>0</v>
      </c>
    </row>
    <row r="1950" spans="2:10" x14ac:dyDescent="0.3">
      <c r="B1950" s="277">
        <f>'Production '!C1953</f>
        <v>48127</v>
      </c>
      <c r="C1950" s="76">
        <f ca="1">SUMIF('Production '!$C$4:$AI$4407,'Tracking Sheet'!B1950,'Production '!$M$4:$M$4407)</f>
        <v>1434</v>
      </c>
      <c r="D1950" s="76">
        <f ca="1">SUMIF('Production '!$C$4:$AI$4407,'Tracking Sheet'!B1950,'Production '!$Q$4:$Q$4407)</f>
        <v>1434</v>
      </c>
      <c r="E1950" s="76">
        <f ca="1">SUMIF('Production '!$C$4:$AI$4407,'Tracking Sheet'!B1950,'Production '!$S$4:$S$4407)</f>
        <v>1434</v>
      </c>
      <c r="F1950" s="76">
        <f ca="1">SUMIF('Production '!$C$4:$AI$4407,'Tracking Sheet'!B1950,'Production '!$U$4:$U$4407)</f>
        <v>6</v>
      </c>
      <c r="G1950" s="76">
        <f ca="1">SUMIF('Production '!$C$4:$AI$4407,'Tracking Sheet'!B1950,'Production '!$W$4:$W$4407)</f>
        <v>1428</v>
      </c>
      <c r="H1950" s="76">
        <f ca="1">SUMIF('Production '!$C$4:$AI$4407,'Tracking Sheet'!B1950,'Production '!$F$4:$F$4407)</f>
        <v>1356</v>
      </c>
      <c r="I1950" s="76">
        <f ca="1">SUMIF('Production '!$C$4:$AI$4407,'Tracking Sheet'!B1950,'Production '!$V$4:$V$4407)</f>
        <v>0</v>
      </c>
      <c r="J1950" s="76">
        <f ca="1">SUMIF('Production '!$C$4:$AI$4407,'Tracking Sheet'!B1950,'Production '!$AG$4:$AG$4407)</f>
        <v>0</v>
      </c>
    </row>
    <row r="1951" spans="2:10" x14ac:dyDescent="0.3">
      <c r="B1951" s="277">
        <f>'Production '!C1954</f>
        <v>0</v>
      </c>
      <c r="C1951" s="76" t="e">
        <f ca="1">SUMIF('Production '!$C$4:$AI$4407,'Tracking Sheet'!B1951,'Production '!$M$4:$M$4407)</f>
        <v>#DIV/0!</v>
      </c>
      <c r="D1951" s="76" t="e">
        <f ca="1">SUMIF('Production '!$C$4:$AI$4407,'Tracking Sheet'!B1951,'Production '!$Q$4:$Q$4407)</f>
        <v>#DIV/0!</v>
      </c>
      <c r="E1951" s="76">
        <f ca="1">SUMIF('Production '!$C$4:$AI$4407,'Tracking Sheet'!B1951,'Production '!$S$4:$S$4407)</f>
        <v>-1268218.9828305368</v>
      </c>
      <c r="F1951" s="76">
        <f ca="1">SUMIF('Production '!$C$4:$AI$4407,'Tracking Sheet'!B1951,'Production '!$U$4:$U$4407)</f>
        <v>-10620.435600016917</v>
      </c>
      <c r="G1951" s="76" t="e">
        <f ca="1">SUMIF('Production '!$C$4:$AI$4407,'Tracking Sheet'!B1951,'Production '!$W$4:$W$4407)</f>
        <v>#DIV/0!</v>
      </c>
      <c r="H1951" s="76">
        <f ca="1">SUMIF('Production '!$C$4:$AI$4407,'Tracking Sheet'!B1951,'Production '!$F$4:$F$4407)</f>
        <v>3230621.3283604058</v>
      </c>
      <c r="I1951" s="76">
        <f ca="1">SUMIF('Production '!$C$4:$AI$4407,'Tracking Sheet'!B1951,'Production '!$V$4:$V$4407)</f>
        <v>-489.86487791182844</v>
      </c>
      <c r="J1951" s="76">
        <f ca="1">SUMIF('Production '!$C$4:$AI$4407,'Tracking Sheet'!B1951,'Production '!$AG$4:$AG$4407)</f>
        <v>0</v>
      </c>
    </row>
    <row r="1952" spans="2:10" x14ac:dyDescent="0.3">
      <c r="B1952" s="277">
        <f>'Production '!C1955</f>
        <v>48532</v>
      </c>
      <c r="C1952" s="76">
        <f ca="1">SUMIF('Production '!$C$4:$AI$4407,'Tracking Sheet'!B1952,'Production '!$M$4:$M$4407)</f>
        <v>6190</v>
      </c>
      <c r="D1952" s="76">
        <f ca="1">SUMIF('Production '!$C$4:$AI$4407,'Tracking Sheet'!B1952,'Production '!$Q$4:$Q$4407)</f>
        <v>6003</v>
      </c>
      <c r="E1952" s="76">
        <f ca="1">SUMIF('Production '!$C$4:$AI$4407,'Tracking Sheet'!B1952,'Production '!$S$4:$S$4407)</f>
        <v>0</v>
      </c>
      <c r="F1952" s="76">
        <f ca="1">SUMIF('Production '!$C$4:$AI$4407,'Tracking Sheet'!B1952,'Production '!$U$4:$U$4407)</f>
        <v>0</v>
      </c>
      <c r="G1952" s="76">
        <f ca="1">SUMIF('Production '!$C$4:$AI$4407,'Tracking Sheet'!B1952,'Production '!$W$4:$W$4407)</f>
        <v>0</v>
      </c>
      <c r="H1952" s="76">
        <f ca="1">SUMIF('Production '!$C$4:$AI$4407,'Tracking Sheet'!B1952,'Production '!$F$4:$F$4407)</f>
        <v>12633</v>
      </c>
      <c r="I1952" s="76">
        <f ca="1">SUMIF('Production '!$C$4:$AI$4407,'Tracking Sheet'!B1952,'Production '!$V$4:$V$4407)</f>
        <v>0</v>
      </c>
      <c r="J1952" s="76">
        <f ca="1">SUMIF('Production '!$C$4:$AI$4407,'Tracking Sheet'!B1952,'Production '!$AG$4:$AG$4407)</f>
        <v>-6629</v>
      </c>
    </row>
    <row r="1953" spans="2:10" x14ac:dyDescent="0.3">
      <c r="B1953" s="277">
        <f>'Production '!C1956</f>
        <v>48532</v>
      </c>
      <c r="C1953" s="76">
        <f ca="1">SUMIF('Production '!$C$4:$AI$4407,'Tracking Sheet'!B1953,'Production '!$M$4:$M$4407)</f>
        <v>6190</v>
      </c>
      <c r="D1953" s="76">
        <f ca="1">SUMIF('Production '!$C$4:$AI$4407,'Tracking Sheet'!B1953,'Production '!$Q$4:$Q$4407)</f>
        <v>6003</v>
      </c>
      <c r="E1953" s="76">
        <f ca="1">SUMIF('Production '!$C$4:$AI$4407,'Tracking Sheet'!B1953,'Production '!$S$4:$S$4407)</f>
        <v>0</v>
      </c>
      <c r="F1953" s="76">
        <f ca="1">SUMIF('Production '!$C$4:$AI$4407,'Tracking Sheet'!B1953,'Production '!$U$4:$U$4407)</f>
        <v>0</v>
      </c>
      <c r="G1953" s="76">
        <f ca="1">SUMIF('Production '!$C$4:$AI$4407,'Tracking Sheet'!B1953,'Production '!$W$4:$W$4407)</f>
        <v>0</v>
      </c>
      <c r="H1953" s="76">
        <f ca="1">SUMIF('Production '!$C$4:$AI$4407,'Tracking Sheet'!B1953,'Production '!$F$4:$F$4407)</f>
        <v>12633</v>
      </c>
      <c r="I1953" s="76">
        <f ca="1">SUMIF('Production '!$C$4:$AI$4407,'Tracking Sheet'!B1953,'Production '!$V$4:$V$4407)</f>
        <v>0</v>
      </c>
      <c r="J1953" s="76">
        <f ca="1">SUMIF('Production '!$C$4:$AI$4407,'Tracking Sheet'!B1953,'Production '!$AG$4:$AG$4407)</f>
        <v>-6629</v>
      </c>
    </row>
    <row r="1954" spans="2:10" x14ac:dyDescent="0.3">
      <c r="B1954" s="277">
        <f>'Production '!C1957</f>
        <v>48532</v>
      </c>
      <c r="C1954" s="76">
        <f ca="1">SUMIF('Production '!$C$4:$AI$4407,'Tracking Sheet'!B1954,'Production '!$M$4:$M$4407)</f>
        <v>6190</v>
      </c>
      <c r="D1954" s="76">
        <f ca="1">SUMIF('Production '!$C$4:$AI$4407,'Tracking Sheet'!B1954,'Production '!$Q$4:$Q$4407)</f>
        <v>6003</v>
      </c>
      <c r="E1954" s="76">
        <f ca="1">SUMIF('Production '!$C$4:$AI$4407,'Tracking Sheet'!B1954,'Production '!$S$4:$S$4407)</f>
        <v>0</v>
      </c>
      <c r="F1954" s="76">
        <f ca="1">SUMIF('Production '!$C$4:$AI$4407,'Tracking Sheet'!B1954,'Production '!$U$4:$U$4407)</f>
        <v>0</v>
      </c>
      <c r="G1954" s="76">
        <f ca="1">SUMIF('Production '!$C$4:$AI$4407,'Tracking Sheet'!B1954,'Production '!$W$4:$W$4407)</f>
        <v>0</v>
      </c>
      <c r="H1954" s="76">
        <f ca="1">SUMIF('Production '!$C$4:$AI$4407,'Tracking Sheet'!B1954,'Production '!$F$4:$F$4407)</f>
        <v>12633</v>
      </c>
      <c r="I1954" s="76">
        <f ca="1">SUMIF('Production '!$C$4:$AI$4407,'Tracking Sheet'!B1954,'Production '!$V$4:$V$4407)</f>
        <v>0</v>
      </c>
      <c r="J1954" s="76">
        <f ca="1">SUMIF('Production '!$C$4:$AI$4407,'Tracking Sheet'!B1954,'Production '!$AG$4:$AG$4407)</f>
        <v>-6629</v>
      </c>
    </row>
    <row r="1955" spans="2:10" x14ac:dyDescent="0.3">
      <c r="B1955" s="277">
        <f>'Production '!C1958</f>
        <v>0</v>
      </c>
      <c r="C1955" s="76" t="e">
        <f ca="1">SUMIF('Production '!$C$4:$AI$4407,'Tracking Sheet'!B1955,'Production '!$M$4:$M$4407)</f>
        <v>#DIV/0!</v>
      </c>
      <c r="D1955" s="76" t="e">
        <f ca="1">SUMIF('Production '!$C$4:$AI$4407,'Tracking Sheet'!B1955,'Production '!$Q$4:$Q$4407)</f>
        <v>#DIV/0!</v>
      </c>
      <c r="E1955" s="76">
        <f ca="1">SUMIF('Production '!$C$4:$AI$4407,'Tracking Sheet'!B1955,'Production '!$S$4:$S$4407)</f>
        <v>-1268218.9828305368</v>
      </c>
      <c r="F1955" s="76">
        <f ca="1">SUMIF('Production '!$C$4:$AI$4407,'Tracking Sheet'!B1955,'Production '!$U$4:$U$4407)</f>
        <v>-10620.435600016917</v>
      </c>
      <c r="G1955" s="76" t="e">
        <f ca="1">SUMIF('Production '!$C$4:$AI$4407,'Tracking Sheet'!B1955,'Production '!$W$4:$W$4407)</f>
        <v>#DIV/0!</v>
      </c>
      <c r="H1955" s="76">
        <f ca="1">SUMIF('Production '!$C$4:$AI$4407,'Tracking Sheet'!B1955,'Production '!$F$4:$F$4407)</f>
        <v>3230621.3283604058</v>
      </c>
      <c r="I1955" s="76">
        <f ca="1">SUMIF('Production '!$C$4:$AI$4407,'Tracking Sheet'!B1955,'Production '!$V$4:$V$4407)</f>
        <v>-489.86487791182844</v>
      </c>
      <c r="J1955" s="76">
        <f ca="1">SUMIF('Production '!$C$4:$AI$4407,'Tracking Sheet'!B1955,'Production '!$AG$4:$AG$4407)</f>
        <v>0</v>
      </c>
    </row>
    <row r="1956" spans="2:10" x14ac:dyDescent="0.3">
      <c r="B1956" s="277" t="str">
        <f>'Production '!C1959</f>
        <v>48532 2nd</v>
      </c>
      <c r="C1956" s="76">
        <f ca="1">SUMIF('Production '!$C$4:$AI$4407,'Tracking Sheet'!B1956,'Production '!$M$4:$M$4407)</f>
        <v>0</v>
      </c>
      <c r="D1956" s="76">
        <f ca="1">SUMIF('Production '!$C$4:$AI$4407,'Tracking Sheet'!B1956,'Production '!$Q$4:$Q$4407)</f>
        <v>0</v>
      </c>
      <c r="E1956" s="76">
        <f ca="1">SUMIF('Production '!$C$4:$AI$4407,'Tracking Sheet'!B1956,'Production '!$S$4:$S$4407)</f>
        <v>0</v>
      </c>
      <c r="F1956" s="76">
        <f ca="1">SUMIF('Production '!$C$4:$AI$4407,'Tracking Sheet'!B1956,'Production '!$U$4:$U$4407)</f>
        <v>0</v>
      </c>
      <c r="G1956" s="76">
        <f ca="1">SUMIF('Production '!$C$4:$AI$4407,'Tracking Sheet'!B1956,'Production '!$W$4:$W$4407)</f>
        <v>0</v>
      </c>
      <c r="H1956" s="76">
        <f ca="1">SUMIF('Production '!$C$4:$AI$4407,'Tracking Sheet'!B1956,'Production '!$F$4:$F$4407)</f>
        <v>979</v>
      </c>
      <c r="I1956" s="76">
        <f ca="1">SUMIF('Production '!$C$4:$AI$4407,'Tracking Sheet'!B1956,'Production '!$V$4:$V$4407)</f>
        <v>0</v>
      </c>
      <c r="J1956" s="76">
        <f ca="1">SUMIF('Production '!$C$4:$AI$4407,'Tracking Sheet'!B1956,'Production '!$AG$4:$AG$4407)</f>
        <v>-979</v>
      </c>
    </row>
    <row r="1957" spans="2:10" x14ac:dyDescent="0.3">
      <c r="B1957" s="277" t="str">
        <f>'Production '!C1960</f>
        <v>48532 2nd</v>
      </c>
      <c r="C1957" s="76">
        <f ca="1">SUMIF('Production '!$C$4:$AI$4407,'Tracking Sheet'!B1957,'Production '!$M$4:$M$4407)</f>
        <v>0</v>
      </c>
      <c r="D1957" s="76">
        <f ca="1">SUMIF('Production '!$C$4:$AI$4407,'Tracking Sheet'!B1957,'Production '!$Q$4:$Q$4407)</f>
        <v>0</v>
      </c>
      <c r="E1957" s="76">
        <f ca="1">SUMIF('Production '!$C$4:$AI$4407,'Tracking Sheet'!B1957,'Production '!$S$4:$S$4407)</f>
        <v>0</v>
      </c>
      <c r="F1957" s="76">
        <f ca="1">SUMIF('Production '!$C$4:$AI$4407,'Tracking Sheet'!B1957,'Production '!$U$4:$U$4407)</f>
        <v>0</v>
      </c>
      <c r="G1957" s="76">
        <f ca="1">SUMIF('Production '!$C$4:$AI$4407,'Tracking Sheet'!B1957,'Production '!$W$4:$W$4407)</f>
        <v>0</v>
      </c>
      <c r="H1957" s="76">
        <f ca="1">SUMIF('Production '!$C$4:$AI$4407,'Tracking Sheet'!B1957,'Production '!$F$4:$F$4407)</f>
        <v>979</v>
      </c>
      <c r="I1957" s="76">
        <f ca="1">SUMIF('Production '!$C$4:$AI$4407,'Tracking Sheet'!B1957,'Production '!$V$4:$V$4407)</f>
        <v>0</v>
      </c>
      <c r="J1957" s="76">
        <f ca="1">SUMIF('Production '!$C$4:$AI$4407,'Tracking Sheet'!B1957,'Production '!$AG$4:$AG$4407)</f>
        <v>-979</v>
      </c>
    </row>
    <row r="1958" spans="2:10" x14ac:dyDescent="0.3">
      <c r="B1958" s="277">
        <f>'Production '!C1961</f>
        <v>0</v>
      </c>
      <c r="C1958" s="76" t="e">
        <f ca="1">SUMIF('Production '!$C$4:$AI$4407,'Tracking Sheet'!B1958,'Production '!$M$4:$M$4407)</f>
        <v>#DIV/0!</v>
      </c>
      <c r="D1958" s="76" t="e">
        <f ca="1">SUMIF('Production '!$C$4:$AI$4407,'Tracking Sheet'!B1958,'Production '!$Q$4:$Q$4407)</f>
        <v>#DIV/0!</v>
      </c>
      <c r="E1958" s="76">
        <f ca="1">SUMIF('Production '!$C$4:$AI$4407,'Tracking Sheet'!B1958,'Production '!$S$4:$S$4407)</f>
        <v>-1268218.9828305368</v>
      </c>
      <c r="F1958" s="76">
        <f ca="1">SUMIF('Production '!$C$4:$AI$4407,'Tracking Sheet'!B1958,'Production '!$U$4:$U$4407)</f>
        <v>-10620.435600016917</v>
      </c>
      <c r="G1958" s="76" t="e">
        <f ca="1">SUMIF('Production '!$C$4:$AI$4407,'Tracking Sheet'!B1958,'Production '!$W$4:$W$4407)</f>
        <v>#DIV/0!</v>
      </c>
      <c r="H1958" s="76">
        <f ca="1">SUMIF('Production '!$C$4:$AI$4407,'Tracking Sheet'!B1958,'Production '!$F$4:$F$4407)</f>
        <v>3230621.3283604058</v>
      </c>
      <c r="I1958" s="76">
        <f ca="1">SUMIF('Production '!$C$4:$AI$4407,'Tracking Sheet'!B1958,'Production '!$V$4:$V$4407)</f>
        <v>-489.86487791182844</v>
      </c>
      <c r="J1958" s="76">
        <f ca="1">SUMIF('Production '!$C$4:$AI$4407,'Tracking Sheet'!B1958,'Production '!$AG$4:$AG$4407)</f>
        <v>0</v>
      </c>
    </row>
    <row r="1959" spans="2:10" x14ac:dyDescent="0.3">
      <c r="B1959" s="277" t="str">
        <f>'Production '!C1962</f>
        <v>47070 2nd</v>
      </c>
      <c r="C1959" s="76">
        <f ca="1">SUMIF('Production '!$C$4:$AI$4407,'Tracking Sheet'!B1959,'Production '!$M$4:$M$4407)</f>
        <v>0</v>
      </c>
      <c r="D1959" s="76">
        <f ca="1">SUMIF('Production '!$C$4:$AI$4407,'Tracking Sheet'!B1959,'Production '!$Q$4:$Q$4407)</f>
        <v>0</v>
      </c>
      <c r="E1959" s="76">
        <f ca="1">SUMIF('Production '!$C$4:$AI$4407,'Tracking Sheet'!B1959,'Production '!$S$4:$S$4407)</f>
        <v>0</v>
      </c>
      <c r="F1959" s="76">
        <f ca="1">SUMIF('Production '!$C$4:$AI$4407,'Tracking Sheet'!B1959,'Production '!$U$4:$U$4407)</f>
        <v>0</v>
      </c>
      <c r="G1959" s="76">
        <f ca="1">SUMIF('Production '!$C$4:$AI$4407,'Tracking Sheet'!B1959,'Production '!$W$4:$W$4407)</f>
        <v>0</v>
      </c>
      <c r="H1959" s="76">
        <f ca="1">SUMIF('Production '!$C$4:$AI$4407,'Tracking Sheet'!B1959,'Production '!$F$4:$F$4407)</f>
        <v>1823</v>
      </c>
      <c r="I1959" s="76">
        <f ca="1">SUMIF('Production '!$C$4:$AI$4407,'Tracking Sheet'!B1959,'Production '!$V$4:$V$4407)</f>
        <v>0</v>
      </c>
      <c r="J1959" s="76">
        <f ca="1">SUMIF('Production '!$C$4:$AI$4407,'Tracking Sheet'!B1959,'Production '!$AG$4:$AG$4407)</f>
        <v>-1823</v>
      </c>
    </row>
    <row r="1960" spans="2:10" x14ac:dyDescent="0.3">
      <c r="B1960" s="277" t="str">
        <f>'Production '!C1963</f>
        <v>47070 2nd</v>
      </c>
      <c r="C1960" s="76">
        <f ca="1">SUMIF('Production '!$C$4:$AI$4407,'Tracking Sheet'!B1960,'Production '!$M$4:$M$4407)</f>
        <v>0</v>
      </c>
      <c r="D1960" s="76">
        <f ca="1">SUMIF('Production '!$C$4:$AI$4407,'Tracking Sheet'!B1960,'Production '!$Q$4:$Q$4407)</f>
        <v>0</v>
      </c>
      <c r="E1960" s="76">
        <f ca="1">SUMIF('Production '!$C$4:$AI$4407,'Tracking Sheet'!B1960,'Production '!$S$4:$S$4407)</f>
        <v>0</v>
      </c>
      <c r="F1960" s="76">
        <f ca="1">SUMIF('Production '!$C$4:$AI$4407,'Tracking Sheet'!B1960,'Production '!$U$4:$U$4407)</f>
        <v>0</v>
      </c>
      <c r="G1960" s="76">
        <f ca="1">SUMIF('Production '!$C$4:$AI$4407,'Tracking Sheet'!B1960,'Production '!$W$4:$W$4407)</f>
        <v>0</v>
      </c>
      <c r="H1960" s="76">
        <f ca="1">SUMIF('Production '!$C$4:$AI$4407,'Tracking Sheet'!B1960,'Production '!$F$4:$F$4407)</f>
        <v>1823</v>
      </c>
      <c r="I1960" s="76">
        <f ca="1">SUMIF('Production '!$C$4:$AI$4407,'Tracking Sheet'!B1960,'Production '!$V$4:$V$4407)</f>
        <v>0</v>
      </c>
      <c r="J1960" s="76">
        <f ca="1">SUMIF('Production '!$C$4:$AI$4407,'Tracking Sheet'!B1960,'Production '!$AG$4:$AG$4407)</f>
        <v>-1823</v>
      </c>
    </row>
    <row r="1961" spans="2:10" x14ac:dyDescent="0.3">
      <c r="B1961" s="277">
        <f>'Production '!C1964</f>
        <v>0</v>
      </c>
      <c r="C1961" s="76" t="e">
        <f ca="1">SUMIF('Production '!$C$4:$AI$4407,'Tracking Sheet'!B1961,'Production '!$M$4:$M$4407)</f>
        <v>#DIV/0!</v>
      </c>
      <c r="D1961" s="76" t="e">
        <f ca="1">SUMIF('Production '!$C$4:$AI$4407,'Tracking Sheet'!B1961,'Production '!$Q$4:$Q$4407)</f>
        <v>#DIV/0!</v>
      </c>
      <c r="E1961" s="76">
        <f ca="1">SUMIF('Production '!$C$4:$AI$4407,'Tracking Sheet'!B1961,'Production '!$S$4:$S$4407)</f>
        <v>-1268218.9828305368</v>
      </c>
      <c r="F1961" s="76">
        <f ca="1">SUMIF('Production '!$C$4:$AI$4407,'Tracking Sheet'!B1961,'Production '!$U$4:$U$4407)</f>
        <v>-10620.435600016917</v>
      </c>
      <c r="G1961" s="76" t="e">
        <f ca="1">SUMIF('Production '!$C$4:$AI$4407,'Tracking Sheet'!B1961,'Production '!$W$4:$W$4407)</f>
        <v>#DIV/0!</v>
      </c>
      <c r="H1961" s="76">
        <f ca="1">SUMIF('Production '!$C$4:$AI$4407,'Tracking Sheet'!B1961,'Production '!$F$4:$F$4407)</f>
        <v>3230621.3283604058</v>
      </c>
      <c r="I1961" s="76">
        <f ca="1">SUMIF('Production '!$C$4:$AI$4407,'Tracking Sheet'!B1961,'Production '!$V$4:$V$4407)</f>
        <v>-489.86487791182844</v>
      </c>
      <c r="J1961" s="76">
        <f ca="1">SUMIF('Production '!$C$4:$AI$4407,'Tracking Sheet'!B1961,'Production '!$AG$4:$AG$4407)</f>
        <v>0</v>
      </c>
    </row>
    <row r="1962" spans="2:10" x14ac:dyDescent="0.3">
      <c r="B1962" s="277">
        <f>'Production '!C1965</f>
        <v>48201</v>
      </c>
      <c r="C1962" s="76">
        <f ca="1">SUMIF('Production '!$C$4:$AI$4407,'Tracking Sheet'!B1962,'Production '!$M$4:$M$4407)</f>
        <v>13785</v>
      </c>
      <c r="D1962" s="76">
        <f ca="1">SUMIF('Production '!$C$4:$AI$4407,'Tracking Sheet'!B1962,'Production '!$Q$4:$Q$4407)</f>
        <v>13725</v>
      </c>
      <c r="E1962" s="76">
        <f ca="1">SUMIF('Production '!$C$4:$AI$4407,'Tracking Sheet'!B1962,'Production '!$S$4:$S$4407)</f>
        <v>13658</v>
      </c>
      <c r="F1962" s="76">
        <f ca="1">SUMIF('Production '!$C$4:$AI$4407,'Tracking Sheet'!B1962,'Production '!$U$4:$U$4407)</f>
        <v>4376</v>
      </c>
      <c r="G1962" s="76">
        <f ca="1">SUMIF('Production '!$C$4:$AI$4407,'Tracking Sheet'!B1962,'Production '!$W$4:$W$4407)</f>
        <v>9282</v>
      </c>
      <c r="H1962" s="76">
        <f ca="1">SUMIF('Production '!$C$4:$AI$4407,'Tracking Sheet'!B1962,'Production '!$F$4:$F$4407)</f>
        <v>13406</v>
      </c>
      <c r="I1962" s="76">
        <f ca="1">SUMIF('Production '!$C$4:$AI$4407,'Tracking Sheet'!B1962,'Production '!$V$4:$V$4407)</f>
        <v>0</v>
      </c>
      <c r="J1962" s="76">
        <f ca="1">SUMIF('Production '!$C$4:$AI$4407,'Tracking Sheet'!B1962,'Production '!$AG$4:$AG$4407)</f>
        <v>0</v>
      </c>
    </row>
    <row r="1963" spans="2:10" x14ac:dyDescent="0.3">
      <c r="B1963" s="277">
        <f>'Production '!C1966</f>
        <v>48201</v>
      </c>
      <c r="C1963" s="76">
        <f ca="1">SUMIF('Production '!$C$4:$AI$4407,'Tracking Sheet'!B1963,'Production '!$M$4:$M$4407)</f>
        <v>13785</v>
      </c>
      <c r="D1963" s="76">
        <f ca="1">SUMIF('Production '!$C$4:$AI$4407,'Tracking Sheet'!B1963,'Production '!$Q$4:$Q$4407)</f>
        <v>13725</v>
      </c>
      <c r="E1963" s="76">
        <f ca="1">SUMIF('Production '!$C$4:$AI$4407,'Tracking Sheet'!B1963,'Production '!$S$4:$S$4407)</f>
        <v>13658</v>
      </c>
      <c r="F1963" s="76">
        <f ca="1">SUMIF('Production '!$C$4:$AI$4407,'Tracking Sheet'!B1963,'Production '!$U$4:$U$4407)</f>
        <v>4376</v>
      </c>
      <c r="G1963" s="76">
        <f ca="1">SUMIF('Production '!$C$4:$AI$4407,'Tracking Sheet'!B1963,'Production '!$W$4:$W$4407)</f>
        <v>9282</v>
      </c>
      <c r="H1963" s="76">
        <f ca="1">SUMIF('Production '!$C$4:$AI$4407,'Tracking Sheet'!B1963,'Production '!$F$4:$F$4407)</f>
        <v>13406</v>
      </c>
      <c r="I1963" s="76">
        <f ca="1">SUMIF('Production '!$C$4:$AI$4407,'Tracking Sheet'!B1963,'Production '!$V$4:$V$4407)</f>
        <v>0</v>
      </c>
      <c r="J1963" s="76">
        <f ca="1">SUMIF('Production '!$C$4:$AI$4407,'Tracking Sheet'!B1963,'Production '!$AG$4:$AG$4407)</f>
        <v>0</v>
      </c>
    </row>
    <row r="1964" spans="2:10" x14ac:dyDescent="0.3">
      <c r="B1964" s="277">
        <f>'Production '!C1967</f>
        <v>48201</v>
      </c>
      <c r="C1964" s="76">
        <f ca="1">SUMIF('Production '!$C$4:$AI$4407,'Tracking Sheet'!B1964,'Production '!$M$4:$M$4407)</f>
        <v>13785</v>
      </c>
      <c r="D1964" s="76">
        <f ca="1">SUMIF('Production '!$C$4:$AI$4407,'Tracking Sheet'!B1964,'Production '!$Q$4:$Q$4407)</f>
        <v>13725</v>
      </c>
      <c r="E1964" s="76">
        <f ca="1">SUMIF('Production '!$C$4:$AI$4407,'Tracking Sheet'!B1964,'Production '!$S$4:$S$4407)</f>
        <v>13658</v>
      </c>
      <c r="F1964" s="76">
        <f ca="1">SUMIF('Production '!$C$4:$AI$4407,'Tracking Sheet'!B1964,'Production '!$U$4:$U$4407)</f>
        <v>4376</v>
      </c>
      <c r="G1964" s="76">
        <f ca="1">SUMIF('Production '!$C$4:$AI$4407,'Tracking Sheet'!B1964,'Production '!$W$4:$W$4407)</f>
        <v>9282</v>
      </c>
      <c r="H1964" s="76">
        <f ca="1">SUMIF('Production '!$C$4:$AI$4407,'Tracking Sheet'!B1964,'Production '!$F$4:$F$4407)</f>
        <v>13406</v>
      </c>
      <c r="I1964" s="76">
        <f ca="1">SUMIF('Production '!$C$4:$AI$4407,'Tracking Sheet'!B1964,'Production '!$V$4:$V$4407)</f>
        <v>0</v>
      </c>
      <c r="J1964" s="76">
        <f ca="1">SUMIF('Production '!$C$4:$AI$4407,'Tracking Sheet'!B1964,'Production '!$AG$4:$AG$4407)</f>
        <v>0</v>
      </c>
    </row>
    <row r="1965" spans="2:10" x14ac:dyDescent="0.3">
      <c r="B1965" s="277">
        <f>'Production '!C1968</f>
        <v>0</v>
      </c>
      <c r="C1965" s="76" t="e">
        <f ca="1">SUMIF('Production '!$C$4:$AI$4407,'Tracking Sheet'!B1965,'Production '!$M$4:$M$4407)</f>
        <v>#DIV/0!</v>
      </c>
      <c r="D1965" s="76" t="e">
        <f ca="1">SUMIF('Production '!$C$4:$AI$4407,'Tracking Sheet'!B1965,'Production '!$Q$4:$Q$4407)</f>
        <v>#DIV/0!</v>
      </c>
      <c r="E1965" s="76">
        <f ca="1">SUMIF('Production '!$C$4:$AI$4407,'Tracking Sheet'!B1965,'Production '!$S$4:$S$4407)</f>
        <v>-1268218.9828305368</v>
      </c>
      <c r="F1965" s="76">
        <f ca="1">SUMIF('Production '!$C$4:$AI$4407,'Tracking Sheet'!B1965,'Production '!$U$4:$U$4407)</f>
        <v>-10620.435600016917</v>
      </c>
      <c r="G1965" s="76" t="e">
        <f ca="1">SUMIF('Production '!$C$4:$AI$4407,'Tracking Sheet'!B1965,'Production '!$W$4:$W$4407)</f>
        <v>#DIV/0!</v>
      </c>
      <c r="H1965" s="76">
        <f ca="1">SUMIF('Production '!$C$4:$AI$4407,'Tracking Sheet'!B1965,'Production '!$F$4:$F$4407)</f>
        <v>3230621.3283604058</v>
      </c>
      <c r="I1965" s="76">
        <f ca="1">SUMIF('Production '!$C$4:$AI$4407,'Tracking Sheet'!B1965,'Production '!$V$4:$V$4407)</f>
        <v>-489.86487791182844</v>
      </c>
      <c r="J1965" s="76">
        <f ca="1">SUMIF('Production '!$C$4:$AI$4407,'Tracking Sheet'!B1965,'Production '!$AG$4:$AG$4407)</f>
        <v>0</v>
      </c>
    </row>
    <row r="1966" spans="2:10" x14ac:dyDescent="0.3">
      <c r="B1966" s="277">
        <f>'Production '!C1969</f>
        <v>48202</v>
      </c>
      <c r="C1966" s="76">
        <f ca="1">SUMIF('Production '!$C$4:$AI$4407,'Tracking Sheet'!B1966,'Production '!$M$4:$M$4407)</f>
        <v>22200</v>
      </c>
      <c r="D1966" s="76">
        <f ca="1">SUMIF('Production '!$C$4:$AI$4407,'Tracking Sheet'!B1966,'Production '!$Q$4:$Q$4407)</f>
        <v>22150</v>
      </c>
      <c r="E1966" s="76">
        <f ca="1">SUMIF('Production '!$C$4:$AI$4407,'Tracking Sheet'!B1966,'Production '!$S$4:$S$4407)</f>
        <v>16685</v>
      </c>
      <c r="F1966" s="76">
        <f ca="1">SUMIF('Production '!$C$4:$AI$4407,'Tracking Sheet'!B1966,'Production '!$U$4:$U$4407)</f>
        <v>3477</v>
      </c>
      <c r="G1966" s="76">
        <f ca="1">SUMIF('Production '!$C$4:$AI$4407,'Tracking Sheet'!B1966,'Production '!$W$4:$W$4407)</f>
        <v>13208</v>
      </c>
      <c r="H1966" s="76">
        <f ca="1">SUMIF('Production '!$C$4:$AI$4407,'Tracking Sheet'!B1966,'Production '!$F$4:$F$4407)</f>
        <v>21716</v>
      </c>
      <c r="I1966" s="76">
        <f ca="1">SUMIF('Production '!$C$4:$AI$4407,'Tracking Sheet'!B1966,'Production '!$V$4:$V$4407)</f>
        <v>2672</v>
      </c>
      <c r="J1966" s="76">
        <f ca="1">SUMIF('Production '!$C$4:$AI$4407,'Tracking Sheet'!B1966,'Production '!$AG$4:$AG$4407)</f>
        <v>0</v>
      </c>
    </row>
    <row r="1967" spans="2:10" x14ac:dyDescent="0.3">
      <c r="B1967" s="277">
        <f>'Production '!C1970</f>
        <v>48202</v>
      </c>
      <c r="C1967" s="76">
        <f ca="1">SUMIF('Production '!$C$4:$AI$4407,'Tracking Sheet'!B1967,'Production '!$M$4:$M$4407)</f>
        <v>22200</v>
      </c>
      <c r="D1967" s="76">
        <f ca="1">SUMIF('Production '!$C$4:$AI$4407,'Tracking Sheet'!B1967,'Production '!$Q$4:$Q$4407)</f>
        <v>22150</v>
      </c>
      <c r="E1967" s="76">
        <f ca="1">SUMIF('Production '!$C$4:$AI$4407,'Tracking Sheet'!B1967,'Production '!$S$4:$S$4407)</f>
        <v>16685</v>
      </c>
      <c r="F1967" s="76">
        <f ca="1">SUMIF('Production '!$C$4:$AI$4407,'Tracking Sheet'!B1967,'Production '!$U$4:$U$4407)</f>
        <v>3477</v>
      </c>
      <c r="G1967" s="76">
        <f ca="1">SUMIF('Production '!$C$4:$AI$4407,'Tracking Sheet'!B1967,'Production '!$W$4:$W$4407)</f>
        <v>13208</v>
      </c>
      <c r="H1967" s="76">
        <f ca="1">SUMIF('Production '!$C$4:$AI$4407,'Tracking Sheet'!B1967,'Production '!$F$4:$F$4407)</f>
        <v>21716</v>
      </c>
      <c r="I1967" s="76">
        <f ca="1">SUMIF('Production '!$C$4:$AI$4407,'Tracking Sheet'!B1967,'Production '!$V$4:$V$4407)</f>
        <v>2672</v>
      </c>
      <c r="J1967" s="76">
        <f ca="1">SUMIF('Production '!$C$4:$AI$4407,'Tracking Sheet'!B1967,'Production '!$AG$4:$AG$4407)</f>
        <v>0</v>
      </c>
    </row>
    <row r="1968" spans="2:10" x14ac:dyDescent="0.3">
      <c r="B1968" s="277">
        <f>'Production '!C1971</f>
        <v>48202</v>
      </c>
      <c r="C1968" s="76">
        <f ca="1">SUMIF('Production '!$C$4:$AI$4407,'Tracking Sheet'!B1968,'Production '!$M$4:$M$4407)</f>
        <v>22200</v>
      </c>
      <c r="D1968" s="76">
        <f ca="1">SUMIF('Production '!$C$4:$AI$4407,'Tracking Sheet'!B1968,'Production '!$Q$4:$Q$4407)</f>
        <v>22150</v>
      </c>
      <c r="E1968" s="76">
        <f ca="1">SUMIF('Production '!$C$4:$AI$4407,'Tracking Sheet'!B1968,'Production '!$S$4:$S$4407)</f>
        <v>16685</v>
      </c>
      <c r="F1968" s="76">
        <f ca="1">SUMIF('Production '!$C$4:$AI$4407,'Tracking Sheet'!B1968,'Production '!$U$4:$U$4407)</f>
        <v>3477</v>
      </c>
      <c r="G1968" s="76">
        <f ca="1">SUMIF('Production '!$C$4:$AI$4407,'Tracking Sheet'!B1968,'Production '!$W$4:$W$4407)</f>
        <v>13208</v>
      </c>
      <c r="H1968" s="76">
        <f ca="1">SUMIF('Production '!$C$4:$AI$4407,'Tracking Sheet'!B1968,'Production '!$F$4:$F$4407)</f>
        <v>21716</v>
      </c>
      <c r="I1968" s="76">
        <f ca="1">SUMIF('Production '!$C$4:$AI$4407,'Tracking Sheet'!B1968,'Production '!$V$4:$V$4407)</f>
        <v>2672</v>
      </c>
      <c r="J1968" s="76">
        <f ca="1">SUMIF('Production '!$C$4:$AI$4407,'Tracking Sheet'!B1968,'Production '!$AG$4:$AG$4407)</f>
        <v>0</v>
      </c>
    </row>
    <row r="1969" spans="2:10" x14ac:dyDescent="0.3">
      <c r="B1969" s="277">
        <f>'Production '!C1972</f>
        <v>48202</v>
      </c>
      <c r="C1969" s="76">
        <f ca="1">SUMIF('Production '!$C$4:$AI$4407,'Tracking Sheet'!B1969,'Production '!$M$4:$M$4407)</f>
        <v>22200</v>
      </c>
      <c r="D1969" s="76">
        <f ca="1">SUMIF('Production '!$C$4:$AI$4407,'Tracking Sheet'!B1969,'Production '!$Q$4:$Q$4407)</f>
        <v>22150</v>
      </c>
      <c r="E1969" s="76">
        <f ca="1">SUMIF('Production '!$C$4:$AI$4407,'Tracking Sheet'!B1969,'Production '!$S$4:$S$4407)</f>
        <v>16685</v>
      </c>
      <c r="F1969" s="76">
        <f ca="1">SUMIF('Production '!$C$4:$AI$4407,'Tracking Sheet'!B1969,'Production '!$U$4:$U$4407)</f>
        <v>3477</v>
      </c>
      <c r="G1969" s="76">
        <f ca="1">SUMIF('Production '!$C$4:$AI$4407,'Tracking Sheet'!B1969,'Production '!$W$4:$W$4407)</f>
        <v>13208</v>
      </c>
      <c r="H1969" s="76">
        <f ca="1">SUMIF('Production '!$C$4:$AI$4407,'Tracking Sheet'!B1969,'Production '!$F$4:$F$4407)</f>
        <v>21716</v>
      </c>
      <c r="I1969" s="76">
        <f ca="1">SUMIF('Production '!$C$4:$AI$4407,'Tracking Sheet'!B1969,'Production '!$V$4:$V$4407)</f>
        <v>2672</v>
      </c>
      <c r="J1969" s="76">
        <f ca="1">SUMIF('Production '!$C$4:$AI$4407,'Tracking Sheet'!B1969,'Production '!$AG$4:$AG$4407)</f>
        <v>0</v>
      </c>
    </row>
    <row r="1970" spans="2:10" x14ac:dyDescent="0.3">
      <c r="B1970" s="277">
        <f>'Production '!C1973</f>
        <v>0</v>
      </c>
      <c r="C1970" s="76" t="e">
        <f ca="1">SUMIF('Production '!$C$4:$AI$4407,'Tracking Sheet'!B1970,'Production '!$M$4:$M$4407)</f>
        <v>#DIV/0!</v>
      </c>
      <c r="D1970" s="76" t="e">
        <f ca="1">SUMIF('Production '!$C$4:$AI$4407,'Tracking Sheet'!B1970,'Production '!$Q$4:$Q$4407)</f>
        <v>#DIV/0!</v>
      </c>
      <c r="E1970" s="76">
        <f ca="1">SUMIF('Production '!$C$4:$AI$4407,'Tracking Sheet'!B1970,'Production '!$S$4:$S$4407)</f>
        <v>-1268218.9828305368</v>
      </c>
      <c r="F1970" s="76">
        <f ca="1">SUMIF('Production '!$C$4:$AI$4407,'Tracking Sheet'!B1970,'Production '!$U$4:$U$4407)</f>
        <v>-10620.435600016917</v>
      </c>
      <c r="G1970" s="76" t="e">
        <f ca="1">SUMIF('Production '!$C$4:$AI$4407,'Tracking Sheet'!B1970,'Production '!$W$4:$W$4407)</f>
        <v>#DIV/0!</v>
      </c>
      <c r="H1970" s="76">
        <f ca="1">SUMIF('Production '!$C$4:$AI$4407,'Tracking Sheet'!B1970,'Production '!$F$4:$F$4407)</f>
        <v>3230621.3283604058</v>
      </c>
      <c r="I1970" s="76">
        <f ca="1">SUMIF('Production '!$C$4:$AI$4407,'Tracking Sheet'!B1970,'Production '!$V$4:$V$4407)</f>
        <v>-489.86487791182844</v>
      </c>
      <c r="J1970" s="76">
        <f ca="1">SUMIF('Production '!$C$4:$AI$4407,'Tracking Sheet'!B1970,'Production '!$AG$4:$AG$4407)</f>
        <v>0</v>
      </c>
    </row>
    <row r="1971" spans="2:10" x14ac:dyDescent="0.3">
      <c r="B1971" s="277" t="str">
        <f>'Production '!C1974</f>
        <v>48202 2nd</v>
      </c>
      <c r="C1971" s="76">
        <f ca="1">SUMIF('Production '!$C$4:$AI$4407,'Tracking Sheet'!B1971,'Production '!$M$4:$M$4407)</f>
        <v>3082</v>
      </c>
      <c r="D1971" s="76">
        <f ca="1">SUMIF('Production '!$C$4:$AI$4407,'Tracking Sheet'!B1971,'Production '!$Q$4:$Q$4407)</f>
        <v>3082</v>
      </c>
      <c r="E1971" s="76">
        <f ca="1">SUMIF('Production '!$C$4:$AI$4407,'Tracking Sheet'!B1971,'Production '!$S$4:$S$4407)</f>
        <v>0</v>
      </c>
      <c r="F1971" s="76">
        <f ca="1">SUMIF('Production '!$C$4:$AI$4407,'Tracking Sheet'!B1971,'Production '!$U$4:$U$4407)</f>
        <v>0</v>
      </c>
      <c r="G1971" s="76">
        <f ca="1">SUMIF('Production '!$C$4:$AI$4407,'Tracking Sheet'!B1971,'Production '!$W$4:$W$4407)</f>
        <v>0</v>
      </c>
      <c r="H1971" s="76">
        <f ca="1">SUMIF('Production '!$C$4:$AI$4407,'Tracking Sheet'!B1971,'Production '!$F$4:$F$4407)</f>
        <v>3002</v>
      </c>
      <c r="I1971" s="76">
        <f ca="1">SUMIF('Production '!$C$4:$AI$4407,'Tracking Sheet'!B1971,'Production '!$V$4:$V$4407)</f>
        <v>0</v>
      </c>
      <c r="J1971" s="76">
        <f ca="1">SUMIF('Production '!$C$4:$AI$4407,'Tracking Sheet'!B1971,'Production '!$AG$4:$AG$4407)</f>
        <v>0</v>
      </c>
    </row>
    <row r="1972" spans="2:10" x14ac:dyDescent="0.3">
      <c r="B1972" s="277">
        <f>'Production '!C1975</f>
        <v>0</v>
      </c>
      <c r="C1972" s="76" t="e">
        <f ca="1">SUMIF('Production '!$C$4:$AI$4407,'Tracking Sheet'!B1972,'Production '!$M$4:$M$4407)</f>
        <v>#DIV/0!</v>
      </c>
      <c r="D1972" s="76" t="e">
        <f ca="1">SUMIF('Production '!$C$4:$AI$4407,'Tracking Sheet'!B1972,'Production '!$Q$4:$Q$4407)</f>
        <v>#DIV/0!</v>
      </c>
      <c r="E1972" s="76">
        <f ca="1">SUMIF('Production '!$C$4:$AI$4407,'Tracking Sheet'!B1972,'Production '!$S$4:$S$4407)</f>
        <v>-1268218.9828305368</v>
      </c>
      <c r="F1972" s="76">
        <f ca="1">SUMIF('Production '!$C$4:$AI$4407,'Tracking Sheet'!B1972,'Production '!$U$4:$U$4407)</f>
        <v>-10620.435600016917</v>
      </c>
      <c r="G1972" s="76" t="e">
        <f ca="1">SUMIF('Production '!$C$4:$AI$4407,'Tracking Sheet'!B1972,'Production '!$W$4:$W$4407)</f>
        <v>#DIV/0!</v>
      </c>
      <c r="H1972" s="76">
        <f ca="1">SUMIF('Production '!$C$4:$AI$4407,'Tracking Sheet'!B1972,'Production '!$F$4:$F$4407)</f>
        <v>3230621.3283604058</v>
      </c>
      <c r="I1972" s="76">
        <f ca="1">SUMIF('Production '!$C$4:$AI$4407,'Tracking Sheet'!B1972,'Production '!$V$4:$V$4407)</f>
        <v>-489.86487791182844</v>
      </c>
      <c r="J1972" s="76">
        <f ca="1">SUMIF('Production '!$C$4:$AI$4407,'Tracking Sheet'!B1972,'Production '!$AG$4:$AG$4407)</f>
        <v>0</v>
      </c>
    </row>
    <row r="1973" spans="2:10" x14ac:dyDescent="0.3">
      <c r="B1973" s="277">
        <f>'Production '!C1976</f>
        <v>48205</v>
      </c>
      <c r="C1973" s="76">
        <f ca="1">SUMIF('Production '!$C$4:$AI$4407,'Tracking Sheet'!B1973,'Production '!$M$4:$M$4407)</f>
        <v>514</v>
      </c>
      <c r="D1973" s="76">
        <f ca="1">SUMIF('Production '!$C$4:$AI$4407,'Tracking Sheet'!B1973,'Production '!$Q$4:$Q$4407)</f>
        <v>514</v>
      </c>
      <c r="E1973" s="76">
        <f ca="1">SUMIF('Production '!$C$4:$AI$4407,'Tracking Sheet'!B1973,'Production '!$S$4:$S$4407)</f>
        <v>257</v>
      </c>
      <c r="F1973" s="76">
        <f ca="1">SUMIF('Production '!$C$4:$AI$4407,'Tracking Sheet'!B1973,'Production '!$U$4:$U$4407)</f>
        <v>257</v>
      </c>
      <c r="G1973" s="76">
        <f ca="1">SUMIF('Production '!$C$4:$AI$4407,'Tracking Sheet'!B1973,'Production '!$W$4:$W$4407)</f>
        <v>0</v>
      </c>
      <c r="H1973" s="76">
        <f ca="1">SUMIF('Production '!$C$4:$AI$4407,'Tracking Sheet'!B1973,'Production '!$F$4:$F$4407)</f>
        <v>484</v>
      </c>
      <c r="I1973" s="76">
        <f ca="1">SUMIF('Production '!$C$4:$AI$4407,'Tracking Sheet'!B1973,'Production '!$V$4:$V$4407)</f>
        <v>0</v>
      </c>
      <c r="J1973" s="76">
        <f ca="1">SUMIF('Production '!$C$4:$AI$4407,'Tracking Sheet'!B1973,'Production '!$AG$4:$AG$4407)</f>
        <v>0</v>
      </c>
    </row>
    <row r="1974" spans="2:10" x14ac:dyDescent="0.3">
      <c r="B1974" s="277">
        <f>'Production '!C1977</f>
        <v>48205</v>
      </c>
      <c r="C1974" s="76">
        <f ca="1">SUMIF('Production '!$C$4:$AI$4407,'Tracking Sheet'!B1974,'Production '!$M$4:$M$4407)</f>
        <v>514</v>
      </c>
      <c r="D1974" s="76">
        <f ca="1">SUMIF('Production '!$C$4:$AI$4407,'Tracking Sheet'!B1974,'Production '!$Q$4:$Q$4407)</f>
        <v>514</v>
      </c>
      <c r="E1974" s="76">
        <f ca="1">SUMIF('Production '!$C$4:$AI$4407,'Tracking Sheet'!B1974,'Production '!$S$4:$S$4407)</f>
        <v>257</v>
      </c>
      <c r="F1974" s="76">
        <f ca="1">SUMIF('Production '!$C$4:$AI$4407,'Tracking Sheet'!B1974,'Production '!$U$4:$U$4407)</f>
        <v>257</v>
      </c>
      <c r="G1974" s="76">
        <f ca="1">SUMIF('Production '!$C$4:$AI$4407,'Tracking Sheet'!B1974,'Production '!$W$4:$W$4407)</f>
        <v>0</v>
      </c>
      <c r="H1974" s="76">
        <f ca="1">SUMIF('Production '!$C$4:$AI$4407,'Tracking Sheet'!B1974,'Production '!$F$4:$F$4407)</f>
        <v>484</v>
      </c>
      <c r="I1974" s="76">
        <f ca="1">SUMIF('Production '!$C$4:$AI$4407,'Tracking Sheet'!B1974,'Production '!$V$4:$V$4407)</f>
        <v>0</v>
      </c>
      <c r="J1974" s="76">
        <f ca="1">SUMIF('Production '!$C$4:$AI$4407,'Tracking Sheet'!B1974,'Production '!$AG$4:$AG$4407)</f>
        <v>0</v>
      </c>
    </row>
    <row r="1975" spans="2:10" x14ac:dyDescent="0.3">
      <c r="B1975" s="277">
        <f>'Production '!C1978</f>
        <v>0</v>
      </c>
      <c r="C1975" s="76" t="e">
        <f ca="1">SUMIF('Production '!$C$4:$AI$4407,'Tracking Sheet'!B1975,'Production '!$M$4:$M$4407)</f>
        <v>#DIV/0!</v>
      </c>
      <c r="D1975" s="76" t="e">
        <f ca="1">SUMIF('Production '!$C$4:$AI$4407,'Tracking Sheet'!B1975,'Production '!$Q$4:$Q$4407)</f>
        <v>#DIV/0!</v>
      </c>
      <c r="E1975" s="76">
        <f ca="1">SUMIF('Production '!$C$4:$AI$4407,'Tracking Sheet'!B1975,'Production '!$S$4:$S$4407)</f>
        <v>-1268218.9828305368</v>
      </c>
      <c r="F1975" s="76">
        <f ca="1">SUMIF('Production '!$C$4:$AI$4407,'Tracking Sheet'!B1975,'Production '!$U$4:$U$4407)</f>
        <v>-10620.435600016917</v>
      </c>
      <c r="G1975" s="76" t="e">
        <f ca="1">SUMIF('Production '!$C$4:$AI$4407,'Tracking Sheet'!B1975,'Production '!$W$4:$W$4407)</f>
        <v>#DIV/0!</v>
      </c>
      <c r="H1975" s="76">
        <f ca="1">SUMIF('Production '!$C$4:$AI$4407,'Tracking Sheet'!B1975,'Production '!$F$4:$F$4407)</f>
        <v>3230621.3283604058</v>
      </c>
      <c r="I1975" s="76">
        <f ca="1">SUMIF('Production '!$C$4:$AI$4407,'Tracking Sheet'!B1975,'Production '!$V$4:$V$4407)</f>
        <v>-489.86487791182844</v>
      </c>
      <c r="J1975" s="76">
        <f ca="1">SUMIF('Production '!$C$4:$AI$4407,'Tracking Sheet'!B1975,'Production '!$AG$4:$AG$4407)</f>
        <v>0</v>
      </c>
    </row>
    <row r="1976" spans="2:10" x14ac:dyDescent="0.3">
      <c r="B1976" s="277">
        <f>'Production '!C1979</f>
        <v>48165</v>
      </c>
      <c r="C1976" s="76">
        <f ca="1">SUMIF('Production '!$C$4:$AI$4407,'Tracking Sheet'!B1976,'Production '!$M$4:$M$4407)</f>
        <v>0</v>
      </c>
      <c r="D1976" s="76">
        <f ca="1">SUMIF('Production '!$C$4:$AI$4407,'Tracking Sheet'!B1976,'Production '!$Q$4:$Q$4407)</f>
        <v>0</v>
      </c>
      <c r="E1976" s="76">
        <f ca="1">SUMIF('Production '!$C$4:$AI$4407,'Tracking Sheet'!B1976,'Production '!$S$4:$S$4407)</f>
        <v>0</v>
      </c>
      <c r="F1976" s="76">
        <f ca="1">SUMIF('Production '!$C$4:$AI$4407,'Tracking Sheet'!B1976,'Production '!$U$4:$U$4407)</f>
        <v>0</v>
      </c>
      <c r="G1976" s="76">
        <f ca="1">SUMIF('Production '!$C$4:$AI$4407,'Tracking Sheet'!B1976,'Production '!$W$4:$W$4407)</f>
        <v>0</v>
      </c>
      <c r="H1976" s="76">
        <f ca="1">SUMIF('Production '!$C$4:$AI$4407,'Tracking Sheet'!B1976,'Production '!$F$4:$F$4407)</f>
        <v>4450</v>
      </c>
      <c r="I1976" s="76">
        <f ca="1">SUMIF('Production '!$C$4:$AI$4407,'Tracking Sheet'!B1976,'Production '!$V$4:$V$4407)</f>
        <v>0</v>
      </c>
      <c r="J1976" s="76">
        <f ca="1">SUMIF('Production '!$C$4:$AI$4407,'Tracking Sheet'!B1976,'Production '!$AG$4:$AG$4407)</f>
        <v>-4450</v>
      </c>
    </row>
    <row r="1977" spans="2:10" x14ac:dyDescent="0.3">
      <c r="B1977" s="277">
        <f>'Production '!C1980</f>
        <v>48165</v>
      </c>
      <c r="C1977" s="76">
        <f ca="1">SUMIF('Production '!$C$4:$AI$4407,'Tracking Sheet'!B1977,'Production '!$M$4:$M$4407)</f>
        <v>0</v>
      </c>
      <c r="D1977" s="76">
        <f ca="1">SUMIF('Production '!$C$4:$AI$4407,'Tracking Sheet'!B1977,'Production '!$Q$4:$Q$4407)</f>
        <v>0</v>
      </c>
      <c r="E1977" s="76">
        <f ca="1">SUMIF('Production '!$C$4:$AI$4407,'Tracking Sheet'!B1977,'Production '!$S$4:$S$4407)</f>
        <v>0</v>
      </c>
      <c r="F1977" s="76">
        <f ca="1">SUMIF('Production '!$C$4:$AI$4407,'Tracking Sheet'!B1977,'Production '!$U$4:$U$4407)</f>
        <v>0</v>
      </c>
      <c r="G1977" s="76">
        <f ca="1">SUMIF('Production '!$C$4:$AI$4407,'Tracking Sheet'!B1977,'Production '!$W$4:$W$4407)</f>
        <v>0</v>
      </c>
      <c r="H1977" s="76">
        <f ca="1">SUMIF('Production '!$C$4:$AI$4407,'Tracking Sheet'!B1977,'Production '!$F$4:$F$4407)</f>
        <v>4450</v>
      </c>
      <c r="I1977" s="76">
        <f ca="1">SUMIF('Production '!$C$4:$AI$4407,'Tracking Sheet'!B1977,'Production '!$V$4:$V$4407)</f>
        <v>0</v>
      </c>
      <c r="J1977" s="76">
        <f ca="1">SUMIF('Production '!$C$4:$AI$4407,'Tracking Sheet'!B1977,'Production '!$AG$4:$AG$4407)</f>
        <v>-4450</v>
      </c>
    </row>
    <row r="1978" spans="2:10" x14ac:dyDescent="0.3">
      <c r="B1978" s="277">
        <f>'Production '!C1981</f>
        <v>48165</v>
      </c>
      <c r="C1978" s="76">
        <f ca="1">SUMIF('Production '!$C$4:$AI$4407,'Tracking Sheet'!B1978,'Production '!$M$4:$M$4407)</f>
        <v>0</v>
      </c>
      <c r="D1978" s="76">
        <f ca="1">SUMIF('Production '!$C$4:$AI$4407,'Tracking Sheet'!B1978,'Production '!$Q$4:$Q$4407)</f>
        <v>0</v>
      </c>
      <c r="E1978" s="76">
        <f ca="1">SUMIF('Production '!$C$4:$AI$4407,'Tracking Sheet'!B1978,'Production '!$S$4:$S$4407)</f>
        <v>0</v>
      </c>
      <c r="F1978" s="76">
        <f ca="1">SUMIF('Production '!$C$4:$AI$4407,'Tracking Sheet'!B1978,'Production '!$U$4:$U$4407)</f>
        <v>0</v>
      </c>
      <c r="G1978" s="76">
        <f ca="1">SUMIF('Production '!$C$4:$AI$4407,'Tracking Sheet'!B1978,'Production '!$W$4:$W$4407)</f>
        <v>0</v>
      </c>
      <c r="H1978" s="76">
        <f ca="1">SUMIF('Production '!$C$4:$AI$4407,'Tracking Sheet'!B1978,'Production '!$F$4:$F$4407)</f>
        <v>4450</v>
      </c>
      <c r="I1978" s="76">
        <f ca="1">SUMIF('Production '!$C$4:$AI$4407,'Tracking Sheet'!B1978,'Production '!$V$4:$V$4407)</f>
        <v>0</v>
      </c>
      <c r="J1978" s="76">
        <f ca="1">SUMIF('Production '!$C$4:$AI$4407,'Tracking Sheet'!B1978,'Production '!$AG$4:$AG$4407)</f>
        <v>-4450</v>
      </c>
    </row>
    <row r="1979" spans="2:10" x14ac:dyDescent="0.3">
      <c r="B1979" s="277">
        <f>'Production '!C1982</f>
        <v>48165</v>
      </c>
      <c r="C1979" s="76">
        <f ca="1">SUMIF('Production '!$C$4:$AI$4407,'Tracking Sheet'!B1979,'Production '!$M$4:$M$4407)</f>
        <v>0</v>
      </c>
      <c r="D1979" s="76">
        <f ca="1">SUMIF('Production '!$C$4:$AI$4407,'Tracking Sheet'!B1979,'Production '!$Q$4:$Q$4407)</f>
        <v>0</v>
      </c>
      <c r="E1979" s="76">
        <f ca="1">SUMIF('Production '!$C$4:$AI$4407,'Tracking Sheet'!B1979,'Production '!$S$4:$S$4407)</f>
        <v>0</v>
      </c>
      <c r="F1979" s="76">
        <f ca="1">SUMIF('Production '!$C$4:$AI$4407,'Tracking Sheet'!B1979,'Production '!$U$4:$U$4407)</f>
        <v>0</v>
      </c>
      <c r="G1979" s="76">
        <f ca="1">SUMIF('Production '!$C$4:$AI$4407,'Tracking Sheet'!B1979,'Production '!$W$4:$W$4407)</f>
        <v>0</v>
      </c>
      <c r="H1979" s="76">
        <f ca="1">SUMIF('Production '!$C$4:$AI$4407,'Tracking Sheet'!B1979,'Production '!$F$4:$F$4407)</f>
        <v>4450</v>
      </c>
      <c r="I1979" s="76">
        <f ca="1">SUMIF('Production '!$C$4:$AI$4407,'Tracking Sheet'!B1979,'Production '!$V$4:$V$4407)</f>
        <v>0</v>
      </c>
      <c r="J1979" s="76">
        <f ca="1">SUMIF('Production '!$C$4:$AI$4407,'Tracking Sheet'!B1979,'Production '!$AG$4:$AG$4407)</f>
        <v>-4450</v>
      </c>
    </row>
    <row r="1980" spans="2:10" x14ac:dyDescent="0.3">
      <c r="B1980" s="277">
        <f>'Production '!C1983</f>
        <v>48165</v>
      </c>
      <c r="C1980" s="76">
        <f ca="1">SUMIF('Production '!$C$4:$AI$4407,'Tracking Sheet'!B1980,'Production '!$M$4:$M$4407)</f>
        <v>0</v>
      </c>
      <c r="D1980" s="76">
        <f ca="1">SUMIF('Production '!$C$4:$AI$4407,'Tracking Sheet'!B1980,'Production '!$Q$4:$Q$4407)</f>
        <v>0</v>
      </c>
      <c r="E1980" s="76">
        <f ca="1">SUMIF('Production '!$C$4:$AI$4407,'Tracking Sheet'!B1980,'Production '!$S$4:$S$4407)</f>
        <v>0</v>
      </c>
      <c r="F1980" s="76">
        <f ca="1">SUMIF('Production '!$C$4:$AI$4407,'Tracking Sheet'!B1980,'Production '!$U$4:$U$4407)</f>
        <v>0</v>
      </c>
      <c r="G1980" s="76">
        <f ca="1">SUMIF('Production '!$C$4:$AI$4407,'Tracking Sheet'!B1980,'Production '!$W$4:$W$4407)</f>
        <v>0</v>
      </c>
      <c r="H1980" s="76">
        <f ca="1">SUMIF('Production '!$C$4:$AI$4407,'Tracking Sheet'!B1980,'Production '!$F$4:$F$4407)</f>
        <v>4450</v>
      </c>
      <c r="I1980" s="76">
        <f ca="1">SUMIF('Production '!$C$4:$AI$4407,'Tracking Sheet'!B1980,'Production '!$V$4:$V$4407)</f>
        <v>0</v>
      </c>
      <c r="J1980" s="76">
        <f ca="1">SUMIF('Production '!$C$4:$AI$4407,'Tracking Sheet'!B1980,'Production '!$AG$4:$AG$4407)</f>
        <v>-4450</v>
      </c>
    </row>
    <row r="1981" spans="2:10" x14ac:dyDescent="0.3">
      <c r="B1981" s="277">
        <f>'Production '!C1984</f>
        <v>0</v>
      </c>
      <c r="C1981" s="76" t="e">
        <f ca="1">SUMIF('Production '!$C$4:$AI$4407,'Tracking Sheet'!B1981,'Production '!$M$4:$M$4407)</f>
        <v>#DIV/0!</v>
      </c>
      <c r="D1981" s="76" t="e">
        <f ca="1">SUMIF('Production '!$C$4:$AI$4407,'Tracking Sheet'!B1981,'Production '!$Q$4:$Q$4407)</f>
        <v>#DIV/0!</v>
      </c>
      <c r="E1981" s="76">
        <f ca="1">SUMIF('Production '!$C$4:$AI$4407,'Tracking Sheet'!B1981,'Production '!$S$4:$S$4407)</f>
        <v>-1268218.9828305368</v>
      </c>
      <c r="F1981" s="76">
        <f ca="1">SUMIF('Production '!$C$4:$AI$4407,'Tracking Sheet'!B1981,'Production '!$U$4:$U$4407)</f>
        <v>-10620.435600016917</v>
      </c>
      <c r="G1981" s="76" t="e">
        <f ca="1">SUMIF('Production '!$C$4:$AI$4407,'Tracking Sheet'!B1981,'Production '!$W$4:$W$4407)</f>
        <v>#DIV/0!</v>
      </c>
      <c r="H1981" s="76">
        <f ca="1">SUMIF('Production '!$C$4:$AI$4407,'Tracking Sheet'!B1981,'Production '!$F$4:$F$4407)</f>
        <v>3230621.3283604058</v>
      </c>
      <c r="I1981" s="76">
        <f ca="1">SUMIF('Production '!$C$4:$AI$4407,'Tracking Sheet'!B1981,'Production '!$V$4:$V$4407)</f>
        <v>-489.86487791182844</v>
      </c>
      <c r="J1981" s="76">
        <f ca="1">SUMIF('Production '!$C$4:$AI$4407,'Tracking Sheet'!B1981,'Production '!$AG$4:$AG$4407)</f>
        <v>0</v>
      </c>
    </row>
    <row r="1982" spans="2:10" x14ac:dyDescent="0.3">
      <c r="B1982" s="277">
        <f>'Production '!C1985</f>
        <v>47762</v>
      </c>
      <c r="C1982" s="76">
        <f ca="1">SUMIF('Production '!$C$4:$AI$4407,'Tracking Sheet'!B1982,'Production '!$M$4:$M$4407)</f>
        <v>1712</v>
      </c>
      <c r="D1982" s="76">
        <f ca="1">SUMIF('Production '!$C$4:$AI$4407,'Tracking Sheet'!B1982,'Production '!$Q$4:$Q$4407)</f>
        <v>0</v>
      </c>
      <c r="E1982" s="76">
        <f ca="1">SUMIF('Production '!$C$4:$AI$4407,'Tracking Sheet'!B1982,'Production '!$S$4:$S$4407)</f>
        <v>0</v>
      </c>
      <c r="F1982" s="76">
        <f ca="1">SUMIF('Production '!$C$4:$AI$4407,'Tracking Sheet'!B1982,'Production '!$U$4:$U$4407)</f>
        <v>15</v>
      </c>
      <c r="G1982" s="76">
        <f ca="1">SUMIF('Production '!$C$4:$AI$4407,'Tracking Sheet'!B1982,'Production '!$W$4:$W$4407)</f>
        <v>1697</v>
      </c>
      <c r="H1982" s="76">
        <f ca="1">SUMIF('Production '!$C$4:$AI$4407,'Tracking Sheet'!B1982,'Production '!$F$4:$F$4407)</f>
        <v>1656</v>
      </c>
      <c r="I1982" s="76">
        <f ca="1">SUMIF('Production '!$C$4:$AI$4407,'Tracking Sheet'!B1982,'Production '!$V$4:$V$4407)</f>
        <v>0</v>
      </c>
      <c r="J1982" s="76">
        <f ca="1">SUMIF('Production '!$C$4:$AI$4407,'Tracking Sheet'!B1982,'Production '!$AG$4:$AG$4407)</f>
        <v>0</v>
      </c>
    </row>
    <row r="1983" spans="2:10" x14ac:dyDescent="0.3">
      <c r="B1983" s="277">
        <f>'Production '!C1986</f>
        <v>47762</v>
      </c>
      <c r="C1983" s="76">
        <f ca="1">SUMIF('Production '!$C$4:$AI$4407,'Tracking Sheet'!B1983,'Production '!$M$4:$M$4407)</f>
        <v>1712</v>
      </c>
      <c r="D1983" s="76">
        <f ca="1">SUMIF('Production '!$C$4:$AI$4407,'Tracking Sheet'!B1983,'Production '!$Q$4:$Q$4407)</f>
        <v>0</v>
      </c>
      <c r="E1983" s="76">
        <f ca="1">SUMIF('Production '!$C$4:$AI$4407,'Tracking Sheet'!B1983,'Production '!$S$4:$S$4407)</f>
        <v>0</v>
      </c>
      <c r="F1983" s="76">
        <f ca="1">SUMIF('Production '!$C$4:$AI$4407,'Tracking Sheet'!B1983,'Production '!$U$4:$U$4407)</f>
        <v>15</v>
      </c>
      <c r="G1983" s="76">
        <f ca="1">SUMIF('Production '!$C$4:$AI$4407,'Tracking Sheet'!B1983,'Production '!$W$4:$W$4407)</f>
        <v>1697</v>
      </c>
      <c r="H1983" s="76">
        <f ca="1">SUMIF('Production '!$C$4:$AI$4407,'Tracking Sheet'!B1983,'Production '!$F$4:$F$4407)</f>
        <v>1656</v>
      </c>
      <c r="I1983" s="76">
        <f ca="1">SUMIF('Production '!$C$4:$AI$4407,'Tracking Sheet'!B1983,'Production '!$V$4:$V$4407)</f>
        <v>0</v>
      </c>
      <c r="J1983" s="76">
        <f ca="1">SUMIF('Production '!$C$4:$AI$4407,'Tracking Sheet'!B1983,'Production '!$AG$4:$AG$4407)</f>
        <v>0</v>
      </c>
    </row>
    <row r="1984" spans="2:10" x14ac:dyDescent="0.3">
      <c r="B1984" s="277">
        <f>'Production '!C1987</f>
        <v>0</v>
      </c>
      <c r="C1984" s="76" t="e">
        <f ca="1">SUMIF('Production '!$C$4:$AI$4407,'Tracking Sheet'!B1984,'Production '!$M$4:$M$4407)</f>
        <v>#DIV/0!</v>
      </c>
      <c r="D1984" s="76" t="e">
        <f ca="1">SUMIF('Production '!$C$4:$AI$4407,'Tracking Sheet'!B1984,'Production '!$Q$4:$Q$4407)</f>
        <v>#DIV/0!</v>
      </c>
      <c r="E1984" s="76">
        <f ca="1">SUMIF('Production '!$C$4:$AI$4407,'Tracking Sheet'!B1984,'Production '!$S$4:$S$4407)</f>
        <v>-1268218.9828305368</v>
      </c>
      <c r="F1984" s="76">
        <f ca="1">SUMIF('Production '!$C$4:$AI$4407,'Tracking Sheet'!B1984,'Production '!$U$4:$U$4407)</f>
        <v>-10620.435600016917</v>
      </c>
      <c r="G1984" s="76" t="e">
        <f ca="1">SUMIF('Production '!$C$4:$AI$4407,'Tracking Sheet'!B1984,'Production '!$W$4:$W$4407)</f>
        <v>#DIV/0!</v>
      </c>
      <c r="H1984" s="76">
        <f ca="1">SUMIF('Production '!$C$4:$AI$4407,'Tracking Sheet'!B1984,'Production '!$F$4:$F$4407)</f>
        <v>3230621.3283604058</v>
      </c>
      <c r="I1984" s="76">
        <f ca="1">SUMIF('Production '!$C$4:$AI$4407,'Tracking Sheet'!B1984,'Production '!$V$4:$V$4407)</f>
        <v>-489.86487791182844</v>
      </c>
      <c r="J1984" s="76">
        <f ca="1">SUMIF('Production '!$C$4:$AI$4407,'Tracking Sheet'!B1984,'Production '!$AG$4:$AG$4407)</f>
        <v>0</v>
      </c>
    </row>
    <row r="1985" spans="2:10" x14ac:dyDescent="0.3">
      <c r="B1985" s="277">
        <f>'Production '!C1988</f>
        <v>48617</v>
      </c>
      <c r="C1985" s="76">
        <f ca="1">SUMIF('Production '!$C$4:$AI$4407,'Tracking Sheet'!B1985,'Production '!$M$4:$M$4407)</f>
        <v>0</v>
      </c>
      <c r="D1985" s="76">
        <f ca="1">SUMIF('Production '!$C$4:$AI$4407,'Tracking Sheet'!B1985,'Production '!$Q$4:$Q$4407)</f>
        <v>0</v>
      </c>
      <c r="E1985" s="76">
        <f ca="1">SUMIF('Production '!$C$4:$AI$4407,'Tracking Sheet'!B1985,'Production '!$S$4:$S$4407)</f>
        <v>0</v>
      </c>
      <c r="F1985" s="76">
        <f ca="1">SUMIF('Production '!$C$4:$AI$4407,'Tracking Sheet'!B1985,'Production '!$U$4:$U$4407)</f>
        <v>0</v>
      </c>
      <c r="G1985" s="76">
        <f ca="1">SUMIF('Production '!$C$4:$AI$4407,'Tracking Sheet'!B1985,'Production '!$W$4:$W$4407)</f>
        <v>0</v>
      </c>
      <c r="H1985" s="76">
        <f ca="1">SUMIF('Production '!$C$4:$AI$4407,'Tracking Sheet'!B1985,'Production '!$F$4:$F$4407)</f>
        <v>11940</v>
      </c>
      <c r="I1985" s="76">
        <f ca="1">SUMIF('Production '!$C$4:$AI$4407,'Tracking Sheet'!B1985,'Production '!$V$4:$V$4407)</f>
        <v>0</v>
      </c>
      <c r="J1985" s="76">
        <f ca="1">SUMIF('Production '!$C$4:$AI$4407,'Tracking Sheet'!B1985,'Production '!$AG$4:$AG$4407)</f>
        <v>-11940</v>
      </c>
    </row>
    <row r="1986" spans="2:10" x14ac:dyDescent="0.3">
      <c r="B1986" s="277">
        <f>'Production '!C1989</f>
        <v>48617</v>
      </c>
      <c r="C1986" s="76">
        <f ca="1">SUMIF('Production '!$C$4:$AI$4407,'Tracking Sheet'!B1986,'Production '!$M$4:$M$4407)</f>
        <v>0</v>
      </c>
      <c r="D1986" s="76">
        <f ca="1">SUMIF('Production '!$C$4:$AI$4407,'Tracking Sheet'!B1986,'Production '!$Q$4:$Q$4407)</f>
        <v>0</v>
      </c>
      <c r="E1986" s="76">
        <f ca="1">SUMIF('Production '!$C$4:$AI$4407,'Tracking Sheet'!B1986,'Production '!$S$4:$S$4407)</f>
        <v>0</v>
      </c>
      <c r="F1986" s="76">
        <f ca="1">SUMIF('Production '!$C$4:$AI$4407,'Tracking Sheet'!B1986,'Production '!$U$4:$U$4407)</f>
        <v>0</v>
      </c>
      <c r="G1986" s="76">
        <f ca="1">SUMIF('Production '!$C$4:$AI$4407,'Tracking Sheet'!B1986,'Production '!$W$4:$W$4407)</f>
        <v>0</v>
      </c>
      <c r="H1986" s="76">
        <f ca="1">SUMIF('Production '!$C$4:$AI$4407,'Tracking Sheet'!B1986,'Production '!$F$4:$F$4407)</f>
        <v>11940</v>
      </c>
      <c r="I1986" s="76">
        <f ca="1">SUMIF('Production '!$C$4:$AI$4407,'Tracking Sheet'!B1986,'Production '!$V$4:$V$4407)</f>
        <v>0</v>
      </c>
      <c r="J1986" s="76">
        <f ca="1">SUMIF('Production '!$C$4:$AI$4407,'Tracking Sheet'!B1986,'Production '!$AG$4:$AG$4407)</f>
        <v>-11940</v>
      </c>
    </row>
    <row r="1987" spans="2:10" x14ac:dyDescent="0.3">
      <c r="B1987" s="277">
        <f>'Production '!C1990</f>
        <v>48617</v>
      </c>
      <c r="C1987" s="76">
        <f ca="1">SUMIF('Production '!$C$4:$AI$4407,'Tracking Sheet'!B1987,'Production '!$M$4:$M$4407)</f>
        <v>0</v>
      </c>
      <c r="D1987" s="76">
        <f ca="1">SUMIF('Production '!$C$4:$AI$4407,'Tracking Sheet'!B1987,'Production '!$Q$4:$Q$4407)</f>
        <v>0</v>
      </c>
      <c r="E1987" s="76">
        <f ca="1">SUMIF('Production '!$C$4:$AI$4407,'Tracking Sheet'!B1987,'Production '!$S$4:$S$4407)</f>
        <v>0</v>
      </c>
      <c r="F1987" s="76">
        <f ca="1">SUMIF('Production '!$C$4:$AI$4407,'Tracking Sheet'!B1987,'Production '!$U$4:$U$4407)</f>
        <v>0</v>
      </c>
      <c r="G1987" s="76">
        <f ca="1">SUMIF('Production '!$C$4:$AI$4407,'Tracking Sheet'!B1987,'Production '!$W$4:$W$4407)</f>
        <v>0</v>
      </c>
      <c r="H1987" s="76">
        <f ca="1">SUMIF('Production '!$C$4:$AI$4407,'Tracking Sheet'!B1987,'Production '!$F$4:$F$4407)</f>
        <v>11940</v>
      </c>
      <c r="I1987" s="76">
        <f ca="1">SUMIF('Production '!$C$4:$AI$4407,'Tracking Sheet'!B1987,'Production '!$V$4:$V$4407)</f>
        <v>0</v>
      </c>
      <c r="J1987" s="76">
        <f ca="1">SUMIF('Production '!$C$4:$AI$4407,'Tracking Sheet'!B1987,'Production '!$AG$4:$AG$4407)</f>
        <v>-11940</v>
      </c>
    </row>
    <row r="1988" spans="2:10" x14ac:dyDescent="0.3">
      <c r="B1988" s="277">
        <f>'Production '!C1991</f>
        <v>48617</v>
      </c>
      <c r="C1988" s="76">
        <f ca="1">SUMIF('Production '!$C$4:$AI$4407,'Tracking Sheet'!B1988,'Production '!$M$4:$M$4407)</f>
        <v>0</v>
      </c>
      <c r="D1988" s="76">
        <f ca="1">SUMIF('Production '!$C$4:$AI$4407,'Tracking Sheet'!B1988,'Production '!$Q$4:$Q$4407)</f>
        <v>0</v>
      </c>
      <c r="E1988" s="76">
        <f ca="1">SUMIF('Production '!$C$4:$AI$4407,'Tracking Sheet'!B1988,'Production '!$S$4:$S$4407)</f>
        <v>0</v>
      </c>
      <c r="F1988" s="76">
        <f ca="1">SUMIF('Production '!$C$4:$AI$4407,'Tracking Sheet'!B1988,'Production '!$U$4:$U$4407)</f>
        <v>0</v>
      </c>
      <c r="G1988" s="76">
        <f ca="1">SUMIF('Production '!$C$4:$AI$4407,'Tracking Sheet'!B1988,'Production '!$W$4:$W$4407)</f>
        <v>0</v>
      </c>
      <c r="H1988" s="76">
        <f ca="1">SUMIF('Production '!$C$4:$AI$4407,'Tracking Sheet'!B1988,'Production '!$F$4:$F$4407)</f>
        <v>11940</v>
      </c>
      <c r="I1988" s="76">
        <f ca="1">SUMIF('Production '!$C$4:$AI$4407,'Tracking Sheet'!B1988,'Production '!$V$4:$V$4407)</f>
        <v>0</v>
      </c>
      <c r="J1988" s="76">
        <f ca="1">SUMIF('Production '!$C$4:$AI$4407,'Tracking Sheet'!B1988,'Production '!$AG$4:$AG$4407)</f>
        <v>-11940</v>
      </c>
    </row>
    <row r="1989" spans="2:10" x14ac:dyDescent="0.3">
      <c r="B1989" s="277">
        <f>'Production '!C1992</f>
        <v>48617</v>
      </c>
      <c r="C1989" s="76">
        <f ca="1">SUMIF('Production '!$C$4:$AI$4407,'Tracking Sheet'!B1989,'Production '!$M$4:$M$4407)</f>
        <v>0</v>
      </c>
      <c r="D1989" s="76">
        <f ca="1">SUMIF('Production '!$C$4:$AI$4407,'Tracking Sheet'!B1989,'Production '!$Q$4:$Q$4407)</f>
        <v>0</v>
      </c>
      <c r="E1989" s="76">
        <f ca="1">SUMIF('Production '!$C$4:$AI$4407,'Tracking Sheet'!B1989,'Production '!$S$4:$S$4407)</f>
        <v>0</v>
      </c>
      <c r="F1989" s="76">
        <f ca="1">SUMIF('Production '!$C$4:$AI$4407,'Tracking Sheet'!B1989,'Production '!$U$4:$U$4407)</f>
        <v>0</v>
      </c>
      <c r="G1989" s="76">
        <f ca="1">SUMIF('Production '!$C$4:$AI$4407,'Tracking Sheet'!B1989,'Production '!$W$4:$W$4407)</f>
        <v>0</v>
      </c>
      <c r="H1989" s="76">
        <f ca="1">SUMIF('Production '!$C$4:$AI$4407,'Tracking Sheet'!B1989,'Production '!$F$4:$F$4407)</f>
        <v>11940</v>
      </c>
      <c r="I1989" s="76">
        <f ca="1">SUMIF('Production '!$C$4:$AI$4407,'Tracking Sheet'!B1989,'Production '!$V$4:$V$4407)</f>
        <v>0</v>
      </c>
      <c r="J1989" s="76">
        <f ca="1">SUMIF('Production '!$C$4:$AI$4407,'Tracking Sheet'!B1989,'Production '!$AG$4:$AG$4407)</f>
        <v>-11940</v>
      </c>
    </row>
    <row r="1990" spans="2:10" x14ac:dyDescent="0.3">
      <c r="B1990" s="277">
        <f>'Production '!C1993</f>
        <v>48617</v>
      </c>
      <c r="C1990" s="76">
        <f ca="1">SUMIF('Production '!$C$4:$AI$4407,'Tracking Sheet'!B1990,'Production '!$M$4:$M$4407)</f>
        <v>0</v>
      </c>
      <c r="D1990" s="76">
        <f ca="1">SUMIF('Production '!$C$4:$AI$4407,'Tracking Sheet'!B1990,'Production '!$Q$4:$Q$4407)</f>
        <v>0</v>
      </c>
      <c r="E1990" s="76">
        <f ca="1">SUMIF('Production '!$C$4:$AI$4407,'Tracking Sheet'!B1990,'Production '!$S$4:$S$4407)</f>
        <v>0</v>
      </c>
      <c r="F1990" s="76">
        <f ca="1">SUMIF('Production '!$C$4:$AI$4407,'Tracking Sheet'!B1990,'Production '!$U$4:$U$4407)</f>
        <v>0</v>
      </c>
      <c r="G1990" s="76">
        <f ca="1">SUMIF('Production '!$C$4:$AI$4407,'Tracking Sheet'!B1990,'Production '!$W$4:$W$4407)</f>
        <v>0</v>
      </c>
      <c r="H1990" s="76">
        <f ca="1">SUMIF('Production '!$C$4:$AI$4407,'Tracking Sheet'!B1990,'Production '!$F$4:$F$4407)</f>
        <v>11940</v>
      </c>
      <c r="I1990" s="76">
        <f ca="1">SUMIF('Production '!$C$4:$AI$4407,'Tracking Sheet'!B1990,'Production '!$V$4:$V$4407)</f>
        <v>0</v>
      </c>
      <c r="J1990" s="76">
        <f ca="1">SUMIF('Production '!$C$4:$AI$4407,'Tracking Sheet'!B1990,'Production '!$AG$4:$AG$4407)</f>
        <v>-11940</v>
      </c>
    </row>
    <row r="1991" spans="2:10" x14ac:dyDescent="0.3">
      <c r="B1991" s="277">
        <f>'Production '!C1994</f>
        <v>48617</v>
      </c>
      <c r="C1991" s="76">
        <f ca="1">SUMIF('Production '!$C$4:$AI$4407,'Tracking Sheet'!B1991,'Production '!$M$4:$M$4407)</f>
        <v>0</v>
      </c>
      <c r="D1991" s="76">
        <f ca="1">SUMIF('Production '!$C$4:$AI$4407,'Tracking Sheet'!B1991,'Production '!$Q$4:$Q$4407)</f>
        <v>0</v>
      </c>
      <c r="E1991" s="76">
        <f ca="1">SUMIF('Production '!$C$4:$AI$4407,'Tracking Sheet'!B1991,'Production '!$S$4:$S$4407)</f>
        <v>0</v>
      </c>
      <c r="F1991" s="76">
        <f ca="1">SUMIF('Production '!$C$4:$AI$4407,'Tracking Sheet'!B1991,'Production '!$U$4:$U$4407)</f>
        <v>0</v>
      </c>
      <c r="G1991" s="76">
        <f ca="1">SUMIF('Production '!$C$4:$AI$4407,'Tracking Sheet'!B1991,'Production '!$W$4:$W$4407)</f>
        <v>0</v>
      </c>
      <c r="H1991" s="76">
        <f ca="1">SUMIF('Production '!$C$4:$AI$4407,'Tracking Sheet'!B1991,'Production '!$F$4:$F$4407)</f>
        <v>11940</v>
      </c>
      <c r="I1991" s="76">
        <f ca="1">SUMIF('Production '!$C$4:$AI$4407,'Tracking Sheet'!B1991,'Production '!$V$4:$V$4407)</f>
        <v>0</v>
      </c>
      <c r="J1991" s="76">
        <f ca="1">SUMIF('Production '!$C$4:$AI$4407,'Tracking Sheet'!B1991,'Production '!$AG$4:$AG$4407)</f>
        <v>-11940</v>
      </c>
    </row>
    <row r="1992" spans="2:10" x14ac:dyDescent="0.3">
      <c r="B1992" s="277">
        <f>'Production '!C1995</f>
        <v>48617</v>
      </c>
      <c r="C1992" s="76">
        <f ca="1">SUMIF('Production '!$C$4:$AI$4407,'Tracking Sheet'!B1992,'Production '!$M$4:$M$4407)</f>
        <v>0</v>
      </c>
      <c r="D1992" s="76">
        <f ca="1">SUMIF('Production '!$C$4:$AI$4407,'Tracking Sheet'!B1992,'Production '!$Q$4:$Q$4407)</f>
        <v>0</v>
      </c>
      <c r="E1992" s="76">
        <f ca="1">SUMIF('Production '!$C$4:$AI$4407,'Tracking Sheet'!B1992,'Production '!$S$4:$S$4407)</f>
        <v>0</v>
      </c>
      <c r="F1992" s="76">
        <f ca="1">SUMIF('Production '!$C$4:$AI$4407,'Tracking Sheet'!B1992,'Production '!$U$4:$U$4407)</f>
        <v>0</v>
      </c>
      <c r="G1992" s="76">
        <f ca="1">SUMIF('Production '!$C$4:$AI$4407,'Tracking Sheet'!B1992,'Production '!$W$4:$W$4407)</f>
        <v>0</v>
      </c>
      <c r="H1992" s="76">
        <f ca="1">SUMIF('Production '!$C$4:$AI$4407,'Tracking Sheet'!B1992,'Production '!$F$4:$F$4407)</f>
        <v>11940</v>
      </c>
      <c r="I1992" s="76">
        <f ca="1">SUMIF('Production '!$C$4:$AI$4407,'Tracking Sheet'!B1992,'Production '!$V$4:$V$4407)</f>
        <v>0</v>
      </c>
      <c r="J1992" s="76">
        <f ca="1">SUMIF('Production '!$C$4:$AI$4407,'Tracking Sheet'!B1992,'Production '!$AG$4:$AG$4407)</f>
        <v>-11940</v>
      </c>
    </row>
    <row r="1993" spans="2:10" x14ac:dyDescent="0.3">
      <c r="B1993" s="277">
        <f>'Production '!C1996</f>
        <v>48617</v>
      </c>
      <c r="C1993" s="76">
        <f ca="1">SUMIF('Production '!$C$4:$AI$4407,'Tracking Sheet'!B1993,'Production '!$M$4:$M$4407)</f>
        <v>0</v>
      </c>
      <c r="D1993" s="76">
        <f ca="1">SUMIF('Production '!$C$4:$AI$4407,'Tracking Sheet'!B1993,'Production '!$Q$4:$Q$4407)</f>
        <v>0</v>
      </c>
      <c r="E1993" s="76">
        <f ca="1">SUMIF('Production '!$C$4:$AI$4407,'Tracking Sheet'!B1993,'Production '!$S$4:$S$4407)</f>
        <v>0</v>
      </c>
      <c r="F1993" s="76">
        <f ca="1">SUMIF('Production '!$C$4:$AI$4407,'Tracking Sheet'!B1993,'Production '!$U$4:$U$4407)</f>
        <v>0</v>
      </c>
      <c r="G1993" s="76">
        <f ca="1">SUMIF('Production '!$C$4:$AI$4407,'Tracking Sheet'!B1993,'Production '!$W$4:$W$4407)</f>
        <v>0</v>
      </c>
      <c r="H1993" s="76">
        <f ca="1">SUMIF('Production '!$C$4:$AI$4407,'Tracking Sheet'!B1993,'Production '!$F$4:$F$4407)</f>
        <v>11940</v>
      </c>
      <c r="I1993" s="76">
        <f ca="1">SUMIF('Production '!$C$4:$AI$4407,'Tracking Sheet'!B1993,'Production '!$V$4:$V$4407)</f>
        <v>0</v>
      </c>
      <c r="J1993" s="76">
        <f ca="1">SUMIF('Production '!$C$4:$AI$4407,'Tracking Sheet'!B1993,'Production '!$AG$4:$AG$4407)</f>
        <v>-11940</v>
      </c>
    </row>
    <row r="1994" spans="2:10" x14ac:dyDescent="0.3">
      <c r="B1994" s="277">
        <f>'Production '!C1997</f>
        <v>0</v>
      </c>
      <c r="C1994" s="76" t="e">
        <f ca="1">SUMIF('Production '!$C$4:$AI$4407,'Tracking Sheet'!B1994,'Production '!$M$4:$M$4407)</f>
        <v>#DIV/0!</v>
      </c>
      <c r="D1994" s="76" t="e">
        <f ca="1">SUMIF('Production '!$C$4:$AI$4407,'Tracking Sheet'!B1994,'Production '!$Q$4:$Q$4407)</f>
        <v>#DIV/0!</v>
      </c>
      <c r="E1994" s="76">
        <f ca="1">SUMIF('Production '!$C$4:$AI$4407,'Tracking Sheet'!B1994,'Production '!$S$4:$S$4407)</f>
        <v>-1268218.9828305368</v>
      </c>
      <c r="F1994" s="76">
        <f ca="1">SUMIF('Production '!$C$4:$AI$4407,'Tracking Sheet'!B1994,'Production '!$U$4:$U$4407)</f>
        <v>-10620.435600016917</v>
      </c>
      <c r="G1994" s="76" t="e">
        <f ca="1">SUMIF('Production '!$C$4:$AI$4407,'Tracking Sheet'!B1994,'Production '!$W$4:$W$4407)</f>
        <v>#DIV/0!</v>
      </c>
      <c r="H1994" s="76">
        <f ca="1">SUMIF('Production '!$C$4:$AI$4407,'Tracking Sheet'!B1994,'Production '!$F$4:$F$4407)</f>
        <v>3230621.3283604058</v>
      </c>
      <c r="I1994" s="76">
        <f ca="1">SUMIF('Production '!$C$4:$AI$4407,'Tracking Sheet'!B1994,'Production '!$V$4:$V$4407)</f>
        <v>-489.86487791182844</v>
      </c>
      <c r="J1994" s="76">
        <f ca="1">SUMIF('Production '!$C$4:$AI$4407,'Tracking Sheet'!B1994,'Production '!$AG$4:$AG$4407)</f>
        <v>0</v>
      </c>
    </row>
    <row r="1995" spans="2:10" x14ac:dyDescent="0.3">
      <c r="B1995" s="277" t="str">
        <f>'Production '!C1998</f>
        <v>22034 55th</v>
      </c>
      <c r="C1995" s="76">
        <f ca="1">SUMIF('Production '!$C$4:$AI$4407,'Tracking Sheet'!B1995,'Production '!$M$4:$M$4407)</f>
        <v>4550</v>
      </c>
      <c r="D1995" s="76">
        <f ca="1">SUMIF('Production '!$C$4:$AI$4407,'Tracking Sheet'!B1995,'Production '!$Q$4:$Q$4407)</f>
        <v>0</v>
      </c>
      <c r="E1995" s="76">
        <f ca="1">SUMIF('Production '!$C$4:$AI$4407,'Tracking Sheet'!B1995,'Production '!$S$4:$S$4407)</f>
        <v>0</v>
      </c>
      <c r="F1995" s="76">
        <f ca="1">SUMIF('Production '!$C$4:$AI$4407,'Tracking Sheet'!B1995,'Production '!$U$4:$U$4407)</f>
        <v>4550</v>
      </c>
      <c r="G1995" s="76">
        <f ca="1">SUMIF('Production '!$C$4:$AI$4407,'Tracking Sheet'!B1995,'Production '!$W$4:$W$4407)</f>
        <v>0</v>
      </c>
      <c r="H1995" s="76">
        <f ca="1">SUMIF('Production '!$C$4:$AI$4407,'Tracking Sheet'!B1995,'Production '!$F$4:$F$4407)</f>
        <v>18358</v>
      </c>
      <c r="I1995" s="76">
        <f ca="1">SUMIF('Production '!$C$4:$AI$4407,'Tracking Sheet'!B1995,'Production '!$V$4:$V$4407)</f>
        <v>0</v>
      </c>
      <c r="J1995" s="76">
        <f ca="1">SUMIF('Production '!$C$4:$AI$4407,'Tracking Sheet'!B1995,'Production '!$AG$4:$AG$4407)</f>
        <v>-13808</v>
      </c>
    </row>
    <row r="1996" spans="2:10" x14ac:dyDescent="0.3">
      <c r="B1996" s="277" t="str">
        <f>'Production '!C1999</f>
        <v>22034 55th</v>
      </c>
      <c r="C1996" s="76">
        <f ca="1">SUMIF('Production '!$C$4:$AI$4407,'Tracking Sheet'!B1996,'Production '!$M$4:$M$4407)</f>
        <v>4550</v>
      </c>
      <c r="D1996" s="76">
        <f ca="1">SUMIF('Production '!$C$4:$AI$4407,'Tracking Sheet'!B1996,'Production '!$Q$4:$Q$4407)</f>
        <v>0</v>
      </c>
      <c r="E1996" s="76">
        <f ca="1">SUMIF('Production '!$C$4:$AI$4407,'Tracking Sheet'!B1996,'Production '!$S$4:$S$4407)</f>
        <v>0</v>
      </c>
      <c r="F1996" s="76">
        <f ca="1">SUMIF('Production '!$C$4:$AI$4407,'Tracking Sheet'!B1996,'Production '!$U$4:$U$4407)</f>
        <v>4550</v>
      </c>
      <c r="G1996" s="76">
        <f ca="1">SUMIF('Production '!$C$4:$AI$4407,'Tracking Sheet'!B1996,'Production '!$W$4:$W$4407)</f>
        <v>0</v>
      </c>
      <c r="H1996" s="76">
        <f ca="1">SUMIF('Production '!$C$4:$AI$4407,'Tracking Sheet'!B1996,'Production '!$F$4:$F$4407)</f>
        <v>18358</v>
      </c>
      <c r="I1996" s="76">
        <f ca="1">SUMIF('Production '!$C$4:$AI$4407,'Tracking Sheet'!B1996,'Production '!$V$4:$V$4407)</f>
        <v>0</v>
      </c>
      <c r="J1996" s="76">
        <f ca="1">SUMIF('Production '!$C$4:$AI$4407,'Tracking Sheet'!B1996,'Production '!$AG$4:$AG$4407)</f>
        <v>-13808</v>
      </c>
    </row>
    <row r="1997" spans="2:10" x14ac:dyDescent="0.3">
      <c r="B1997" s="277">
        <f>'Production '!C2000</f>
        <v>0</v>
      </c>
      <c r="C1997" s="76" t="e">
        <f ca="1">SUMIF('Production '!$C$4:$AI$4407,'Tracking Sheet'!B1997,'Production '!$M$4:$M$4407)</f>
        <v>#DIV/0!</v>
      </c>
      <c r="D1997" s="76" t="e">
        <f ca="1">SUMIF('Production '!$C$4:$AI$4407,'Tracking Sheet'!B1997,'Production '!$Q$4:$Q$4407)</f>
        <v>#DIV/0!</v>
      </c>
      <c r="E1997" s="76">
        <f ca="1">SUMIF('Production '!$C$4:$AI$4407,'Tracking Sheet'!B1997,'Production '!$S$4:$S$4407)</f>
        <v>-1268218.9828305368</v>
      </c>
      <c r="F1997" s="76">
        <f ca="1">SUMIF('Production '!$C$4:$AI$4407,'Tracking Sheet'!B1997,'Production '!$U$4:$U$4407)</f>
        <v>-10620.435600016917</v>
      </c>
      <c r="G1997" s="76" t="e">
        <f ca="1">SUMIF('Production '!$C$4:$AI$4407,'Tracking Sheet'!B1997,'Production '!$W$4:$W$4407)</f>
        <v>#DIV/0!</v>
      </c>
      <c r="H1997" s="76">
        <f ca="1">SUMIF('Production '!$C$4:$AI$4407,'Tracking Sheet'!B1997,'Production '!$F$4:$F$4407)</f>
        <v>3230621.3283604058</v>
      </c>
      <c r="I1997" s="76">
        <f ca="1">SUMIF('Production '!$C$4:$AI$4407,'Tracking Sheet'!B1997,'Production '!$V$4:$V$4407)</f>
        <v>-489.86487791182844</v>
      </c>
      <c r="J1997" s="76">
        <f ca="1">SUMIF('Production '!$C$4:$AI$4407,'Tracking Sheet'!B1997,'Production '!$AG$4:$AG$4407)</f>
        <v>0</v>
      </c>
    </row>
    <row r="1998" spans="2:10" x14ac:dyDescent="0.3">
      <c r="B1998" s="277" t="str">
        <f>'Production '!C2001</f>
        <v>48188 2nd</v>
      </c>
      <c r="C1998" s="76">
        <f ca="1">SUMIF('Production '!$C$4:$AI$4407,'Tracking Sheet'!B1998,'Production '!$M$4:$M$4407)</f>
        <v>1063</v>
      </c>
      <c r="D1998" s="76">
        <f ca="1">SUMIF('Production '!$C$4:$AI$4407,'Tracking Sheet'!B1998,'Production '!$Q$4:$Q$4407)</f>
        <v>1063</v>
      </c>
      <c r="E1998" s="76">
        <f ca="1">SUMIF('Production '!$C$4:$AI$4407,'Tracking Sheet'!B1998,'Production '!$S$4:$S$4407)</f>
        <v>1063</v>
      </c>
      <c r="F1998" s="76">
        <f ca="1">SUMIF('Production '!$C$4:$AI$4407,'Tracking Sheet'!B1998,'Production '!$U$4:$U$4407)</f>
        <v>0</v>
      </c>
      <c r="G1998" s="76">
        <f ca="1">SUMIF('Production '!$C$4:$AI$4407,'Tracking Sheet'!B1998,'Production '!$W$4:$W$4407)</f>
        <v>1063</v>
      </c>
      <c r="H1998" s="76">
        <f ca="1">SUMIF('Production '!$C$4:$AI$4407,'Tracking Sheet'!B1998,'Production '!$F$4:$F$4407)</f>
        <v>1040</v>
      </c>
      <c r="I1998" s="76">
        <f ca="1">SUMIF('Production '!$C$4:$AI$4407,'Tracking Sheet'!B1998,'Production '!$V$4:$V$4407)</f>
        <v>0</v>
      </c>
      <c r="J1998" s="76">
        <f ca="1">SUMIF('Production '!$C$4:$AI$4407,'Tracking Sheet'!B1998,'Production '!$AG$4:$AG$4407)</f>
        <v>0</v>
      </c>
    </row>
    <row r="1999" spans="2:10" x14ac:dyDescent="0.3">
      <c r="B1999" s="277">
        <f>'Production '!C2002</f>
        <v>0</v>
      </c>
      <c r="C1999" s="76" t="e">
        <f ca="1">SUMIF('Production '!$C$4:$AI$4407,'Tracking Sheet'!B1999,'Production '!$M$4:$M$4407)</f>
        <v>#DIV/0!</v>
      </c>
      <c r="D1999" s="76" t="e">
        <f ca="1">SUMIF('Production '!$C$4:$AI$4407,'Tracking Sheet'!B1999,'Production '!$Q$4:$Q$4407)</f>
        <v>#DIV/0!</v>
      </c>
      <c r="E1999" s="76">
        <f ca="1">SUMIF('Production '!$C$4:$AI$4407,'Tracking Sheet'!B1999,'Production '!$S$4:$S$4407)</f>
        <v>-1268218.9828305368</v>
      </c>
      <c r="F1999" s="76">
        <f ca="1">SUMIF('Production '!$C$4:$AI$4407,'Tracking Sheet'!B1999,'Production '!$U$4:$U$4407)</f>
        <v>-10620.435600016917</v>
      </c>
      <c r="G1999" s="76" t="e">
        <f ca="1">SUMIF('Production '!$C$4:$AI$4407,'Tracking Sheet'!B1999,'Production '!$W$4:$W$4407)</f>
        <v>#DIV/0!</v>
      </c>
      <c r="H1999" s="76">
        <f ca="1">SUMIF('Production '!$C$4:$AI$4407,'Tracking Sheet'!B1999,'Production '!$F$4:$F$4407)</f>
        <v>3230621.3283604058</v>
      </c>
      <c r="I1999" s="76">
        <f ca="1">SUMIF('Production '!$C$4:$AI$4407,'Tracking Sheet'!B1999,'Production '!$V$4:$V$4407)</f>
        <v>-489.86487791182844</v>
      </c>
      <c r="J1999" s="76">
        <f ca="1">SUMIF('Production '!$C$4:$AI$4407,'Tracking Sheet'!B1999,'Production '!$AG$4:$AG$4407)</f>
        <v>0</v>
      </c>
    </row>
    <row r="2000" spans="2:10" x14ac:dyDescent="0.3">
      <c r="B2000" s="277">
        <f>'Production '!C2003</f>
        <v>48188</v>
      </c>
      <c r="C2000" s="76">
        <f ca="1">SUMIF('Production '!$C$4:$AI$4407,'Tracking Sheet'!B2000,'Production '!$M$4:$M$4407)</f>
        <v>8049</v>
      </c>
      <c r="D2000" s="76">
        <f ca="1">SUMIF('Production '!$C$4:$AI$4407,'Tracking Sheet'!B2000,'Production '!$Q$4:$Q$4407)</f>
        <v>8045</v>
      </c>
      <c r="E2000" s="76">
        <f ca="1">SUMIF('Production '!$C$4:$AI$4407,'Tracking Sheet'!B2000,'Production '!$S$4:$S$4407)</f>
        <v>8037</v>
      </c>
      <c r="F2000" s="76">
        <f ca="1">SUMIF('Production '!$C$4:$AI$4407,'Tracking Sheet'!B2000,'Production '!$U$4:$U$4407)</f>
        <v>12</v>
      </c>
      <c r="G2000" s="76">
        <f ca="1">SUMIF('Production '!$C$4:$AI$4407,'Tracking Sheet'!B2000,'Production '!$W$4:$W$4407)</f>
        <v>8025</v>
      </c>
      <c r="H2000" s="76">
        <f ca="1">SUMIF('Production '!$C$4:$AI$4407,'Tracking Sheet'!B2000,'Production '!$F$4:$F$4407)</f>
        <v>7842</v>
      </c>
      <c r="I2000" s="76">
        <f ca="1">SUMIF('Production '!$C$4:$AI$4407,'Tracking Sheet'!B2000,'Production '!$V$4:$V$4407)</f>
        <v>0</v>
      </c>
      <c r="J2000" s="76">
        <f ca="1">SUMIF('Production '!$C$4:$AI$4407,'Tracking Sheet'!B2000,'Production '!$AG$4:$AG$4407)</f>
        <v>0</v>
      </c>
    </row>
    <row r="2001" spans="2:10" x14ac:dyDescent="0.3">
      <c r="B2001" s="277">
        <f>'Production '!C2004</f>
        <v>48188</v>
      </c>
      <c r="C2001" s="76">
        <f ca="1">SUMIF('Production '!$C$4:$AI$4407,'Tracking Sheet'!B2001,'Production '!$M$4:$M$4407)</f>
        <v>8049</v>
      </c>
      <c r="D2001" s="76">
        <f ca="1">SUMIF('Production '!$C$4:$AI$4407,'Tracking Sheet'!B2001,'Production '!$Q$4:$Q$4407)</f>
        <v>8045</v>
      </c>
      <c r="E2001" s="76">
        <f ca="1">SUMIF('Production '!$C$4:$AI$4407,'Tracking Sheet'!B2001,'Production '!$S$4:$S$4407)</f>
        <v>8037</v>
      </c>
      <c r="F2001" s="76">
        <f ca="1">SUMIF('Production '!$C$4:$AI$4407,'Tracking Sheet'!B2001,'Production '!$U$4:$U$4407)</f>
        <v>12</v>
      </c>
      <c r="G2001" s="76">
        <f ca="1">SUMIF('Production '!$C$4:$AI$4407,'Tracking Sheet'!B2001,'Production '!$W$4:$W$4407)</f>
        <v>8025</v>
      </c>
      <c r="H2001" s="76">
        <f ca="1">SUMIF('Production '!$C$4:$AI$4407,'Tracking Sheet'!B2001,'Production '!$F$4:$F$4407)</f>
        <v>7842</v>
      </c>
      <c r="I2001" s="76">
        <f ca="1">SUMIF('Production '!$C$4:$AI$4407,'Tracking Sheet'!B2001,'Production '!$V$4:$V$4407)</f>
        <v>0</v>
      </c>
      <c r="J2001" s="76">
        <f ca="1">SUMIF('Production '!$C$4:$AI$4407,'Tracking Sheet'!B2001,'Production '!$AG$4:$AG$4407)</f>
        <v>0</v>
      </c>
    </row>
    <row r="2002" spans="2:10" x14ac:dyDescent="0.3">
      <c r="B2002" s="277">
        <f>'Production '!C2005</f>
        <v>48188</v>
      </c>
      <c r="C2002" s="76">
        <f ca="1">SUMIF('Production '!$C$4:$AI$4407,'Tracking Sheet'!B2002,'Production '!$M$4:$M$4407)</f>
        <v>8049</v>
      </c>
      <c r="D2002" s="76">
        <f ca="1">SUMIF('Production '!$C$4:$AI$4407,'Tracking Sheet'!B2002,'Production '!$Q$4:$Q$4407)</f>
        <v>8045</v>
      </c>
      <c r="E2002" s="76">
        <f ca="1">SUMIF('Production '!$C$4:$AI$4407,'Tracking Sheet'!B2002,'Production '!$S$4:$S$4407)</f>
        <v>8037</v>
      </c>
      <c r="F2002" s="76">
        <f ca="1">SUMIF('Production '!$C$4:$AI$4407,'Tracking Sheet'!B2002,'Production '!$U$4:$U$4407)</f>
        <v>12</v>
      </c>
      <c r="G2002" s="76">
        <f ca="1">SUMIF('Production '!$C$4:$AI$4407,'Tracking Sheet'!B2002,'Production '!$W$4:$W$4407)</f>
        <v>8025</v>
      </c>
      <c r="H2002" s="76">
        <f ca="1">SUMIF('Production '!$C$4:$AI$4407,'Tracking Sheet'!B2002,'Production '!$F$4:$F$4407)</f>
        <v>7842</v>
      </c>
      <c r="I2002" s="76">
        <f ca="1">SUMIF('Production '!$C$4:$AI$4407,'Tracking Sheet'!B2002,'Production '!$V$4:$V$4407)</f>
        <v>0</v>
      </c>
      <c r="J2002" s="76">
        <f ca="1">SUMIF('Production '!$C$4:$AI$4407,'Tracking Sheet'!B2002,'Production '!$AG$4:$AG$4407)</f>
        <v>0</v>
      </c>
    </row>
    <row r="2003" spans="2:10" x14ac:dyDescent="0.3">
      <c r="B2003" s="277">
        <f>'Production '!C2006</f>
        <v>48188</v>
      </c>
      <c r="C2003" s="76">
        <f ca="1">SUMIF('Production '!$C$4:$AI$4407,'Tracking Sheet'!B2003,'Production '!$M$4:$M$4407)</f>
        <v>8049</v>
      </c>
      <c r="D2003" s="76">
        <f ca="1">SUMIF('Production '!$C$4:$AI$4407,'Tracking Sheet'!B2003,'Production '!$Q$4:$Q$4407)</f>
        <v>8045</v>
      </c>
      <c r="E2003" s="76">
        <f ca="1">SUMIF('Production '!$C$4:$AI$4407,'Tracking Sheet'!B2003,'Production '!$S$4:$S$4407)</f>
        <v>8037</v>
      </c>
      <c r="F2003" s="76">
        <f ca="1">SUMIF('Production '!$C$4:$AI$4407,'Tracking Sheet'!B2003,'Production '!$U$4:$U$4407)</f>
        <v>12</v>
      </c>
      <c r="G2003" s="76">
        <f ca="1">SUMIF('Production '!$C$4:$AI$4407,'Tracking Sheet'!B2003,'Production '!$W$4:$W$4407)</f>
        <v>8025</v>
      </c>
      <c r="H2003" s="76">
        <f ca="1">SUMIF('Production '!$C$4:$AI$4407,'Tracking Sheet'!B2003,'Production '!$F$4:$F$4407)</f>
        <v>7842</v>
      </c>
      <c r="I2003" s="76">
        <f ca="1">SUMIF('Production '!$C$4:$AI$4407,'Tracking Sheet'!B2003,'Production '!$V$4:$V$4407)</f>
        <v>0</v>
      </c>
      <c r="J2003" s="76">
        <f ca="1">SUMIF('Production '!$C$4:$AI$4407,'Tracking Sheet'!B2003,'Production '!$AG$4:$AG$4407)</f>
        <v>0</v>
      </c>
    </row>
    <row r="2004" spans="2:10" x14ac:dyDescent="0.3">
      <c r="B2004" s="277">
        <f>'Production '!C2007</f>
        <v>48188</v>
      </c>
      <c r="C2004" s="76">
        <f ca="1">SUMIF('Production '!$C$4:$AI$4407,'Tracking Sheet'!B2004,'Production '!$M$4:$M$4407)</f>
        <v>8049</v>
      </c>
      <c r="D2004" s="76">
        <f ca="1">SUMIF('Production '!$C$4:$AI$4407,'Tracking Sheet'!B2004,'Production '!$Q$4:$Q$4407)</f>
        <v>8045</v>
      </c>
      <c r="E2004" s="76">
        <f ca="1">SUMIF('Production '!$C$4:$AI$4407,'Tracking Sheet'!B2004,'Production '!$S$4:$S$4407)</f>
        <v>8037</v>
      </c>
      <c r="F2004" s="76">
        <f ca="1">SUMIF('Production '!$C$4:$AI$4407,'Tracking Sheet'!B2004,'Production '!$U$4:$U$4407)</f>
        <v>12</v>
      </c>
      <c r="G2004" s="76">
        <f ca="1">SUMIF('Production '!$C$4:$AI$4407,'Tracking Sheet'!B2004,'Production '!$W$4:$W$4407)</f>
        <v>8025</v>
      </c>
      <c r="H2004" s="76">
        <f ca="1">SUMIF('Production '!$C$4:$AI$4407,'Tracking Sheet'!B2004,'Production '!$F$4:$F$4407)</f>
        <v>7842</v>
      </c>
      <c r="I2004" s="76">
        <f ca="1">SUMIF('Production '!$C$4:$AI$4407,'Tracking Sheet'!B2004,'Production '!$V$4:$V$4407)</f>
        <v>0</v>
      </c>
      <c r="J2004" s="76">
        <f ca="1">SUMIF('Production '!$C$4:$AI$4407,'Tracking Sheet'!B2004,'Production '!$AG$4:$AG$4407)</f>
        <v>0</v>
      </c>
    </row>
    <row r="2005" spans="2:10" x14ac:dyDescent="0.3">
      <c r="B2005" s="277">
        <f>'Production '!C2008</f>
        <v>0</v>
      </c>
      <c r="C2005" s="76" t="e">
        <f ca="1">SUMIF('Production '!$C$4:$AI$4407,'Tracking Sheet'!B2005,'Production '!$M$4:$M$4407)</f>
        <v>#DIV/0!</v>
      </c>
      <c r="D2005" s="76" t="e">
        <f ca="1">SUMIF('Production '!$C$4:$AI$4407,'Tracking Sheet'!B2005,'Production '!$Q$4:$Q$4407)</f>
        <v>#DIV/0!</v>
      </c>
      <c r="E2005" s="76">
        <f ca="1">SUMIF('Production '!$C$4:$AI$4407,'Tracking Sheet'!B2005,'Production '!$S$4:$S$4407)</f>
        <v>-1268218.9828305368</v>
      </c>
      <c r="F2005" s="76">
        <f ca="1">SUMIF('Production '!$C$4:$AI$4407,'Tracking Sheet'!B2005,'Production '!$U$4:$U$4407)</f>
        <v>-10620.435600016917</v>
      </c>
      <c r="G2005" s="76" t="e">
        <f ca="1">SUMIF('Production '!$C$4:$AI$4407,'Tracking Sheet'!B2005,'Production '!$W$4:$W$4407)</f>
        <v>#DIV/0!</v>
      </c>
      <c r="H2005" s="76">
        <f ca="1">SUMIF('Production '!$C$4:$AI$4407,'Tracking Sheet'!B2005,'Production '!$F$4:$F$4407)</f>
        <v>3230621.3283604058</v>
      </c>
      <c r="I2005" s="76">
        <f ca="1">SUMIF('Production '!$C$4:$AI$4407,'Tracking Sheet'!B2005,'Production '!$V$4:$V$4407)</f>
        <v>-489.86487791182844</v>
      </c>
      <c r="J2005" s="76">
        <f ca="1">SUMIF('Production '!$C$4:$AI$4407,'Tracking Sheet'!B2005,'Production '!$AG$4:$AG$4407)</f>
        <v>0</v>
      </c>
    </row>
    <row r="2006" spans="2:10" x14ac:dyDescent="0.3">
      <c r="B2006" s="277" t="str">
        <f>'Production '!C2009</f>
        <v>48188 3rd</v>
      </c>
      <c r="C2006" s="76">
        <f ca="1">SUMIF('Production '!$C$4:$AI$4407,'Tracking Sheet'!B2006,'Production '!$M$4:$M$4407)</f>
        <v>2142</v>
      </c>
      <c r="D2006" s="76">
        <f ca="1">SUMIF('Production '!$C$4:$AI$4407,'Tracking Sheet'!B2006,'Production '!$Q$4:$Q$4407)</f>
        <v>2126</v>
      </c>
      <c r="E2006" s="76">
        <f ca="1">SUMIF('Production '!$C$4:$AI$4407,'Tracking Sheet'!B2006,'Production '!$S$4:$S$4407)</f>
        <v>2126</v>
      </c>
      <c r="F2006" s="76">
        <f ca="1">SUMIF('Production '!$C$4:$AI$4407,'Tracking Sheet'!B2006,'Production '!$U$4:$U$4407)</f>
        <v>3</v>
      </c>
      <c r="G2006" s="76">
        <f ca="1">SUMIF('Production '!$C$4:$AI$4407,'Tracking Sheet'!B2006,'Production '!$W$4:$W$4407)</f>
        <v>2123</v>
      </c>
      <c r="H2006" s="76">
        <f ca="1">SUMIF('Production '!$C$4:$AI$4407,'Tracking Sheet'!B2006,'Production '!$F$4:$F$4407)</f>
        <v>2080</v>
      </c>
      <c r="I2006" s="76">
        <f ca="1">SUMIF('Production '!$C$4:$AI$4407,'Tracking Sheet'!B2006,'Production '!$V$4:$V$4407)</f>
        <v>0</v>
      </c>
      <c r="J2006" s="76">
        <f ca="1">SUMIF('Production '!$C$4:$AI$4407,'Tracking Sheet'!B2006,'Production '!$AG$4:$AG$4407)</f>
        <v>0</v>
      </c>
    </row>
    <row r="2007" spans="2:10" x14ac:dyDescent="0.3">
      <c r="B2007" s="277" t="str">
        <f>'Production '!C2010</f>
        <v>48188 3rd</v>
      </c>
      <c r="C2007" s="76">
        <f ca="1">SUMIF('Production '!$C$4:$AI$4407,'Tracking Sheet'!B2007,'Production '!$M$4:$M$4407)</f>
        <v>2142</v>
      </c>
      <c r="D2007" s="76">
        <f ca="1">SUMIF('Production '!$C$4:$AI$4407,'Tracking Sheet'!B2007,'Production '!$Q$4:$Q$4407)</f>
        <v>2126</v>
      </c>
      <c r="E2007" s="76">
        <f ca="1">SUMIF('Production '!$C$4:$AI$4407,'Tracking Sheet'!B2007,'Production '!$S$4:$S$4407)</f>
        <v>2126</v>
      </c>
      <c r="F2007" s="76">
        <f ca="1">SUMIF('Production '!$C$4:$AI$4407,'Tracking Sheet'!B2007,'Production '!$U$4:$U$4407)</f>
        <v>3</v>
      </c>
      <c r="G2007" s="76">
        <f ca="1">SUMIF('Production '!$C$4:$AI$4407,'Tracking Sheet'!B2007,'Production '!$W$4:$W$4407)</f>
        <v>2123</v>
      </c>
      <c r="H2007" s="76">
        <f ca="1">SUMIF('Production '!$C$4:$AI$4407,'Tracking Sheet'!B2007,'Production '!$F$4:$F$4407)</f>
        <v>2080</v>
      </c>
      <c r="I2007" s="76">
        <f ca="1">SUMIF('Production '!$C$4:$AI$4407,'Tracking Sheet'!B2007,'Production '!$V$4:$V$4407)</f>
        <v>0</v>
      </c>
      <c r="J2007" s="76">
        <f ca="1">SUMIF('Production '!$C$4:$AI$4407,'Tracking Sheet'!B2007,'Production '!$AG$4:$AG$4407)</f>
        <v>0</v>
      </c>
    </row>
    <row r="2008" spans="2:10" x14ac:dyDescent="0.3">
      <c r="B2008" s="277">
        <f>'Production '!C2011</f>
        <v>0</v>
      </c>
      <c r="C2008" s="76" t="e">
        <f ca="1">SUMIF('Production '!$C$4:$AI$4407,'Tracking Sheet'!B2008,'Production '!$M$4:$M$4407)</f>
        <v>#DIV/0!</v>
      </c>
      <c r="D2008" s="76" t="e">
        <f ca="1">SUMIF('Production '!$C$4:$AI$4407,'Tracking Sheet'!B2008,'Production '!$Q$4:$Q$4407)</f>
        <v>#DIV/0!</v>
      </c>
      <c r="E2008" s="76">
        <f ca="1">SUMIF('Production '!$C$4:$AI$4407,'Tracking Sheet'!B2008,'Production '!$S$4:$S$4407)</f>
        <v>-1268218.9828305368</v>
      </c>
      <c r="F2008" s="76">
        <f ca="1">SUMIF('Production '!$C$4:$AI$4407,'Tracking Sheet'!B2008,'Production '!$U$4:$U$4407)</f>
        <v>-10620.435600016917</v>
      </c>
      <c r="G2008" s="76" t="e">
        <f ca="1">SUMIF('Production '!$C$4:$AI$4407,'Tracking Sheet'!B2008,'Production '!$W$4:$W$4407)</f>
        <v>#DIV/0!</v>
      </c>
      <c r="H2008" s="76">
        <f ca="1">SUMIF('Production '!$C$4:$AI$4407,'Tracking Sheet'!B2008,'Production '!$F$4:$F$4407)</f>
        <v>3230621.3283604058</v>
      </c>
      <c r="I2008" s="76">
        <f ca="1">SUMIF('Production '!$C$4:$AI$4407,'Tracking Sheet'!B2008,'Production '!$V$4:$V$4407)</f>
        <v>-489.86487791182844</v>
      </c>
      <c r="J2008" s="76">
        <f ca="1">SUMIF('Production '!$C$4:$AI$4407,'Tracking Sheet'!B2008,'Production '!$AG$4:$AG$4407)</f>
        <v>0</v>
      </c>
    </row>
    <row r="2009" spans="2:10" x14ac:dyDescent="0.3">
      <c r="B2009" s="277">
        <f>'Production '!C2012</f>
        <v>48174</v>
      </c>
      <c r="C2009" s="76">
        <f ca="1">SUMIF('Production '!$C$4:$AI$4407,'Tracking Sheet'!B2009,'Production '!$M$4:$M$4407)</f>
        <v>6052</v>
      </c>
      <c r="D2009" s="76">
        <f ca="1">SUMIF('Production '!$C$4:$AI$4407,'Tracking Sheet'!B2009,'Production '!$Q$4:$Q$4407)</f>
        <v>6052</v>
      </c>
      <c r="E2009" s="76">
        <f ca="1">SUMIF('Production '!$C$4:$AI$4407,'Tracking Sheet'!B2009,'Production '!$S$4:$S$4407)</f>
        <v>6038</v>
      </c>
      <c r="F2009" s="76">
        <f ca="1">SUMIF('Production '!$C$4:$AI$4407,'Tracking Sheet'!B2009,'Production '!$U$4:$U$4407)</f>
        <v>6038</v>
      </c>
      <c r="G2009" s="76">
        <f ca="1">SUMIF('Production '!$C$4:$AI$4407,'Tracking Sheet'!B2009,'Production '!$W$4:$W$4407)</f>
        <v>0</v>
      </c>
      <c r="H2009" s="76">
        <f ca="1">SUMIF('Production '!$C$4:$AI$4407,'Tracking Sheet'!B2009,'Production '!$F$4:$F$4407)</f>
        <v>5838</v>
      </c>
      <c r="I2009" s="76">
        <f ca="1">SUMIF('Production '!$C$4:$AI$4407,'Tracking Sheet'!B2009,'Production '!$V$4:$V$4407)</f>
        <v>0</v>
      </c>
      <c r="J2009" s="76">
        <f ca="1">SUMIF('Production '!$C$4:$AI$4407,'Tracking Sheet'!B2009,'Production '!$AG$4:$AG$4407)</f>
        <v>0</v>
      </c>
    </row>
    <row r="2010" spans="2:10" x14ac:dyDescent="0.3">
      <c r="B2010" s="277">
        <f>'Production '!C2013</f>
        <v>48174</v>
      </c>
      <c r="C2010" s="76">
        <f ca="1">SUMIF('Production '!$C$4:$AI$4407,'Tracking Sheet'!B2010,'Production '!$M$4:$M$4407)</f>
        <v>6052</v>
      </c>
      <c r="D2010" s="76">
        <f ca="1">SUMIF('Production '!$C$4:$AI$4407,'Tracking Sheet'!B2010,'Production '!$Q$4:$Q$4407)</f>
        <v>6052</v>
      </c>
      <c r="E2010" s="76">
        <f ca="1">SUMIF('Production '!$C$4:$AI$4407,'Tracking Sheet'!B2010,'Production '!$S$4:$S$4407)</f>
        <v>6038</v>
      </c>
      <c r="F2010" s="76">
        <f ca="1">SUMIF('Production '!$C$4:$AI$4407,'Tracking Sheet'!B2010,'Production '!$U$4:$U$4407)</f>
        <v>6038</v>
      </c>
      <c r="G2010" s="76">
        <f ca="1">SUMIF('Production '!$C$4:$AI$4407,'Tracking Sheet'!B2010,'Production '!$W$4:$W$4407)</f>
        <v>0</v>
      </c>
      <c r="H2010" s="76">
        <f ca="1">SUMIF('Production '!$C$4:$AI$4407,'Tracking Sheet'!B2010,'Production '!$F$4:$F$4407)</f>
        <v>5838</v>
      </c>
      <c r="I2010" s="76">
        <f ca="1">SUMIF('Production '!$C$4:$AI$4407,'Tracking Sheet'!B2010,'Production '!$V$4:$V$4407)</f>
        <v>0</v>
      </c>
      <c r="J2010" s="76">
        <f ca="1">SUMIF('Production '!$C$4:$AI$4407,'Tracking Sheet'!B2010,'Production '!$AG$4:$AG$4407)</f>
        <v>0</v>
      </c>
    </row>
    <row r="2011" spans="2:10" x14ac:dyDescent="0.3">
      <c r="B2011" s="277">
        <f>'Production '!C2014</f>
        <v>48174</v>
      </c>
      <c r="C2011" s="76">
        <f ca="1">SUMIF('Production '!$C$4:$AI$4407,'Tracking Sheet'!B2011,'Production '!$M$4:$M$4407)</f>
        <v>6052</v>
      </c>
      <c r="D2011" s="76">
        <f ca="1">SUMIF('Production '!$C$4:$AI$4407,'Tracking Sheet'!B2011,'Production '!$Q$4:$Q$4407)</f>
        <v>6052</v>
      </c>
      <c r="E2011" s="76">
        <f ca="1">SUMIF('Production '!$C$4:$AI$4407,'Tracking Sheet'!B2011,'Production '!$S$4:$S$4407)</f>
        <v>6038</v>
      </c>
      <c r="F2011" s="76">
        <f ca="1">SUMIF('Production '!$C$4:$AI$4407,'Tracking Sheet'!B2011,'Production '!$U$4:$U$4407)</f>
        <v>6038</v>
      </c>
      <c r="G2011" s="76">
        <f ca="1">SUMIF('Production '!$C$4:$AI$4407,'Tracking Sheet'!B2011,'Production '!$W$4:$W$4407)</f>
        <v>0</v>
      </c>
      <c r="H2011" s="76">
        <f ca="1">SUMIF('Production '!$C$4:$AI$4407,'Tracking Sheet'!B2011,'Production '!$F$4:$F$4407)</f>
        <v>5838</v>
      </c>
      <c r="I2011" s="76">
        <f ca="1">SUMIF('Production '!$C$4:$AI$4407,'Tracking Sheet'!B2011,'Production '!$V$4:$V$4407)</f>
        <v>0</v>
      </c>
      <c r="J2011" s="76">
        <f ca="1">SUMIF('Production '!$C$4:$AI$4407,'Tracking Sheet'!B2011,'Production '!$AG$4:$AG$4407)</f>
        <v>0</v>
      </c>
    </row>
    <row r="2012" spans="2:10" x14ac:dyDescent="0.3">
      <c r="B2012" s="277">
        <f>'Production '!C2015</f>
        <v>0</v>
      </c>
      <c r="C2012" s="76" t="e">
        <f ca="1">SUMIF('Production '!$C$4:$AI$4407,'Tracking Sheet'!B2012,'Production '!$M$4:$M$4407)</f>
        <v>#DIV/0!</v>
      </c>
      <c r="D2012" s="76" t="e">
        <f ca="1">SUMIF('Production '!$C$4:$AI$4407,'Tracking Sheet'!B2012,'Production '!$Q$4:$Q$4407)</f>
        <v>#DIV/0!</v>
      </c>
      <c r="E2012" s="76">
        <f ca="1">SUMIF('Production '!$C$4:$AI$4407,'Tracking Sheet'!B2012,'Production '!$S$4:$S$4407)</f>
        <v>-1268218.9828305368</v>
      </c>
      <c r="F2012" s="76">
        <f ca="1">SUMIF('Production '!$C$4:$AI$4407,'Tracking Sheet'!B2012,'Production '!$U$4:$U$4407)</f>
        <v>-10620.435600016917</v>
      </c>
      <c r="G2012" s="76" t="e">
        <f ca="1">SUMIF('Production '!$C$4:$AI$4407,'Tracking Sheet'!B2012,'Production '!$W$4:$W$4407)</f>
        <v>#DIV/0!</v>
      </c>
      <c r="H2012" s="76">
        <f ca="1">SUMIF('Production '!$C$4:$AI$4407,'Tracking Sheet'!B2012,'Production '!$F$4:$F$4407)</f>
        <v>3230621.3283604058</v>
      </c>
      <c r="I2012" s="76">
        <f ca="1">SUMIF('Production '!$C$4:$AI$4407,'Tracking Sheet'!B2012,'Production '!$V$4:$V$4407)</f>
        <v>-489.86487791182844</v>
      </c>
      <c r="J2012" s="76">
        <f ca="1">SUMIF('Production '!$C$4:$AI$4407,'Tracking Sheet'!B2012,'Production '!$AG$4:$AG$4407)</f>
        <v>0</v>
      </c>
    </row>
    <row r="2013" spans="2:10" x14ac:dyDescent="0.3">
      <c r="B2013" s="277">
        <f>'Production '!C2016</f>
        <v>48129</v>
      </c>
      <c r="C2013" s="76">
        <f ca="1">SUMIF('Production '!$C$4:$AI$4407,'Tracking Sheet'!B2013,'Production '!$M$4:$M$4407)</f>
        <v>637</v>
      </c>
      <c r="D2013" s="76">
        <f ca="1">SUMIF('Production '!$C$4:$AI$4407,'Tracking Sheet'!B2013,'Production '!$Q$4:$Q$4407)</f>
        <v>0</v>
      </c>
      <c r="E2013" s="76">
        <f ca="1">SUMIF('Production '!$C$4:$AI$4407,'Tracking Sheet'!B2013,'Production '!$S$4:$S$4407)</f>
        <v>0</v>
      </c>
      <c r="F2013" s="76">
        <f ca="1">SUMIF('Production '!$C$4:$AI$4407,'Tracking Sheet'!B2013,'Production '!$U$4:$U$4407)</f>
        <v>0</v>
      </c>
      <c r="G2013" s="76">
        <f ca="1">SUMIF('Production '!$C$4:$AI$4407,'Tracking Sheet'!B2013,'Production '!$W$4:$W$4407)</f>
        <v>637</v>
      </c>
      <c r="H2013" s="76">
        <f ca="1">SUMIF('Production '!$C$4:$AI$4407,'Tracking Sheet'!B2013,'Production '!$F$4:$F$4407)</f>
        <v>600</v>
      </c>
      <c r="I2013" s="76">
        <f ca="1">SUMIF('Production '!$C$4:$AI$4407,'Tracking Sheet'!B2013,'Production '!$V$4:$V$4407)</f>
        <v>0</v>
      </c>
      <c r="J2013" s="76">
        <f ca="1">SUMIF('Production '!$C$4:$AI$4407,'Tracking Sheet'!B2013,'Production '!$AG$4:$AG$4407)</f>
        <v>0</v>
      </c>
    </row>
    <row r="2014" spans="2:10" x14ac:dyDescent="0.3">
      <c r="B2014" s="277">
        <f>'Production '!C2017</f>
        <v>48129</v>
      </c>
      <c r="C2014" s="76">
        <f ca="1">SUMIF('Production '!$C$4:$AI$4407,'Tracking Sheet'!B2014,'Production '!$M$4:$M$4407)</f>
        <v>637</v>
      </c>
      <c r="D2014" s="76">
        <f ca="1">SUMIF('Production '!$C$4:$AI$4407,'Tracking Sheet'!B2014,'Production '!$Q$4:$Q$4407)</f>
        <v>0</v>
      </c>
      <c r="E2014" s="76">
        <f ca="1">SUMIF('Production '!$C$4:$AI$4407,'Tracking Sheet'!B2014,'Production '!$S$4:$S$4407)</f>
        <v>0</v>
      </c>
      <c r="F2014" s="76">
        <f ca="1">SUMIF('Production '!$C$4:$AI$4407,'Tracking Sheet'!B2014,'Production '!$U$4:$U$4407)</f>
        <v>0</v>
      </c>
      <c r="G2014" s="76">
        <f ca="1">SUMIF('Production '!$C$4:$AI$4407,'Tracking Sheet'!B2014,'Production '!$W$4:$W$4407)</f>
        <v>637</v>
      </c>
      <c r="H2014" s="76">
        <f ca="1">SUMIF('Production '!$C$4:$AI$4407,'Tracking Sheet'!B2014,'Production '!$F$4:$F$4407)</f>
        <v>600</v>
      </c>
      <c r="I2014" s="76">
        <f ca="1">SUMIF('Production '!$C$4:$AI$4407,'Tracking Sheet'!B2014,'Production '!$V$4:$V$4407)</f>
        <v>0</v>
      </c>
      <c r="J2014" s="76">
        <f ca="1">SUMIF('Production '!$C$4:$AI$4407,'Tracking Sheet'!B2014,'Production '!$AG$4:$AG$4407)</f>
        <v>0</v>
      </c>
    </row>
    <row r="2015" spans="2:10" x14ac:dyDescent="0.3">
      <c r="B2015" s="277">
        <f>'Production '!C2018</f>
        <v>0</v>
      </c>
      <c r="C2015" s="76" t="e">
        <f ca="1">SUMIF('Production '!$C$4:$AI$4407,'Tracking Sheet'!B2015,'Production '!$M$4:$M$4407)</f>
        <v>#DIV/0!</v>
      </c>
      <c r="D2015" s="76" t="e">
        <f ca="1">SUMIF('Production '!$C$4:$AI$4407,'Tracking Sheet'!B2015,'Production '!$Q$4:$Q$4407)</f>
        <v>#DIV/0!</v>
      </c>
      <c r="E2015" s="76">
        <f ca="1">SUMIF('Production '!$C$4:$AI$4407,'Tracking Sheet'!B2015,'Production '!$S$4:$S$4407)</f>
        <v>-1268218.9828305368</v>
      </c>
      <c r="F2015" s="76">
        <f ca="1">SUMIF('Production '!$C$4:$AI$4407,'Tracking Sheet'!B2015,'Production '!$U$4:$U$4407)</f>
        <v>-10620.435600016917</v>
      </c>
      <c r="G2015" s="76" t="e">
        <f ca="1">SUMIF('Production '!$C$4:$AI$4407,'Tracking Sheet'!B2015,'Production '!$W$4:$W$4407)</f>
        <v>#DIV/0!</v>
      </c>
      <c r="H2015" s="76">
        <f ca="1">SUMIF('Production '!$C$4:$AI$4407,'Tracking Sheet'!B2015,'Production '!$F$4:$F$4407)</f>
        <v>3230621.3283604058</v>
      </c>
      <c r="I2015" s="76">
        <f ca="1">SUMIF('Production '!$C$4:$AI$4407,'Tracking Sheet'!B2015,'Production '!$V$4:$V$4407)</f>
        <v>-489.86487791182844</v>
      </c>
      <c r="J2015" s="76">
        <f ca="1">SUMIF('Production '!$C$4:$AI$4407,'Tracking Sheet'!B2015,'Production '!$AG$4:$AG$4407)</f>
        <v>0</v>
      </c>
    </row>
    <row r="2016" spans="2:10" x14ac:dyDescent="0.3">
      <c r="B2016" s="277" t="str">
        <f>'Production '!C2019</f>
        <v>29251 14th</v>
      </c>
      <c r="C2016" s="76">
        <f ca="1">SUMIF('Production '!$C$4:$AI$4407,'Tracking Sheet'!B2016,'Production '!$M$4:$M$4407)</f>
        <v>643</v>
      </c>
      <c r="D2016" s="76">
        <f ca="1">SUMIF('Production '!$C$4:$AI$4407,'Tracking Sheet'!B2016,'Production '!$Q$4:$Q$4407)</f>
        <v>0</v>
      </c>
      <c r="E2016" s="76">
        <f ca="1">SUMIF('Production '!$C$4:$AI$4407,'Tracking Sheet'!B2016,'Production '!$S$4:$S$4407)</f>
        <v>0</v>
      </c>
      <c r="F2016" s="76">
        <f ca="1">SUMIF('Production '!$C$4:$AI$4407,'Tracking Sheet'!B2016,'Production '!$U$4:$U$4407)</f>
        <v>643</v>
      </c>
      <c r="G2016" s="76">
        <f ca="1">SUMIF('Production '!$C$4:$AI$4407,'Tracking Sheet'!B2016,'Production '!$W$4:$W$4407)</f>
        <v>0</v>
      </c>
      <c r="H2016" s="76">
        <f ca="1">SUMIF('Production '!$C$4:$AI$4407,'Tracking Sheet'!B2016,'Production '!$F$4:$F$4407)</f>
        <v>600</v>
      </c>
      <c r="I2016" s="76">
        <f ca="1">SUMIF('Production '!$C$4:$AI$4407,'Tracking Sheet'!B2016,'Production '!$V$4:$V$4407)</f>
        <v>0</v>
      </c>
      <c r="J2016" s="76">
        <f ca="1">SUMIF('Production '!$C$4:$AI$4407,'Tracking Sheet'!B2016,'Production '!$AG$4:$AG$4407)</f>
        <v>0</v>
      </c>
    </row>
    <row r="2017" spans="2:10" x14ac:dyDescent="0.3">
      <c r="B2017" s="277" t="str">
        <f>'Production '!C2020</f>
        <v>29251 14th</v>
      </c>
      <c r="C2017" s="76">
        <f ca="1">SUMIF('Production '!$C$4:$AI$4407,'Tracking Sheet'!B2017,'Production '!$M$4:$M$4407)</f>
        <v>643</v>
      </c>
      <c r="D2017" s="76">
        <f ca="1">SUMIF('Production '!$C$4:$AI$4407,'Tracking Sheet'!B2017,'Production '!$Q$4:$Q$4407)</f>
        <v>0</v>
      </c>
      <c r="E2017" s="76">
        <f ca="1">SUMIF('Production '!$C$4:$AI$4407,'Tracking Sheet'!B2017,'Production '!$S$4:$S$4407)</f>
        <v>0</v>
      </c>
      <c r="F2017" s="76">
        <f ca="1">SUMIF('Production '!$C$4:$AI$4407,'Tracking Sheet'!B2017,'Production '!$U$4:$U$4407)</f>
        <v>643</v>
      </c>
      <c r="G2017" s="76">
        <f ca="1">SUMIF('Production '!$C$4:$AI$4407,'Tracking Sheet'!B2017,'Production '!$W$4:$W$4407)</f>
        <v>0</v>
      </c>
      <c r="H2017" s="76">
        <f ca="1">SUMIF('Production '!$C$4:$AI$4407,'Tracking Sheet'!B2017,'Production '!$F$4:$F$4407)</f>
        <v>600</v>
      </c>
      <c r="I2017" s="76">
        <f ca="1">SUMIF('Production '!$C$4:$AI$4407,'Tracking Sheet'!B2017,'Production '!$V$4:$V$4407)</f>
        <v>0</v>
      </c>
      <c r="J2017" s="76">
        <f ca="1">SUMIF('Production '!$C$4:$AI$4407,'Tracking Sheet'!B2017,'Production '!$AG$4:$AG$4407)</f>
        <v>0</v>
      </c>
    </row>
    <row r="2018" spans="2:10" x14ac:dyDescent="0.3">
      <c r="B2018" s="277">
        <f>'Production '!C2021</f>
        <v>0</v>
      </c>
      <c r="C2018" s="76" t="e">
        <f ca="1">SUMIF('Production '!$C$4:$AI$4407,'Tracking Sheet'!B2018,'Production '!$M$4:$M$4407)</f>
        <v>#DIV/0!</v>
      </c>
      <c r="D2018" s="76" t="e">
        <f ca="1">SUMIF('Production '!$C$4:$AI$4407,'Tracking Sheet'!B2018,'Production '!$Q$4:$Q$4407)</f>
        <v>#DIV/0!</v>
      </c>
      <c r="E2018" s="76">
        <f ca="1">SUMIF('Production '!$C$4:$AI$4407,'Tracking Sheet'!B2018,'Production '!$S$4:$S$4407)</f>
        <v>-1268218.9828305368</v>
      </c>
      <c r="F2018" s="76">
        <f ca="1">SUMIF('Production '!$C$4:$AI$4407,'Tracking Sheet'!B2018,'Production '!$U$4:$U$4407)</f>
        <v>-10620.435600016917</v>
      </c>
      <c r="G2018" s="76" t="e">
        <f ca="1">SUMIF('Production '!$C$4:$AI$4407,'Tracking Sheet'!B2018,'Production '!$W$4:$W$4407)</f>
        <v>#DIV/0!</v>
      </c>
      <c r="H2018" s="76">
        <f ca="1">SUMIF('Production '!$C$4:$AI$4407,'Tracking Sheet'!B2018,'Production '!$F$4:$F$4407)</f>
        <v>3230621.3283604058</v>
      </c>
      <c r="I2018" s="76">
        <f ca="1">SUMIF('Production '!$C$4:$AI$4407,'Tracking Sheet'!B2018,'Production '!$V$4:$V$4407)</f>
        <v>-489.86487791182844</v>
      </c>
      <c r="J2018" s="76">
        <f ca="1">SUMIF('Production '!$C$4:$AI$4407,'Tracking Sheet'!B2018,'Production '!$AG$4:$AG$4407)</f>
        <v>0</v>
      </c>
    </row>
    <row r="2019" spans="2:10" x14ac:dyDescent="0.3">
      <c r="B2019" s="277" t="str">
        <f>'Production '!C2022</f>
        <v>44840 8th</v>
      </c>
      <c r="C2019" s="76">
        <f ca="1">SUMIF('Production '!$C$4:$AI$4407,'Tracking Sheet'!B2019,'Production '!$M$4:$M$4407)</f>
        <v>6761</v>
      </c>
      <c r="D2019" s="76">
        <f ca="1">SUMIF('Production '!$C$4:$AI$4407,'Tracking Sheet'!B2019,'Production '!$Q$4:$Q$4407)</f>
        <v>6761</v>
      </c>
      <c r="E2019" s="76">
        <f ca="1">SUMIF('Production '!$C$4:$AI$4407,'Tracking Sheet'!B2019,'Production '!$S$4:$S$4407)</f>
        <v>6666</v>
      </c>
      <c r="F2019" s="76">
        <f ca="1">SUMIF('Production '!$C$4:$AI$4407,'Tracking Sheet'!B2019,'Production '!$U$4:$U$4407)</f>
        <v>0</v>
      </c>
      <c r="G2019" s="76">
        <f ca="1">SUMIF('Production '!$C$4:$AI$4407,'Tracking Sheet'!B2019,'Production '!$W$4:$W$4407)</f>
        <v>6666</v>
      </c>
      <c r="H2019" s="76">
        <f ca="1">SUMIF('Production '!$C$4:$AI$4407,'Tracking Sheet'!B2019,'Production '!$F$4:$F$4407)</f>
        <v>6575</v>
      </c>
      <c r="I2019" s="76">
        <f ca="1">SUMIF('Production '!$C$4:$AI$4407,'Tracking Sheet'!B2019,'Production '!$V$4:$V$4407)</f>
        <v>0</v>
      </c>
      <c r="J2019" s="76">
        <f ca="1">SUMIF('Production '!$C$4:$AI$4407,'Tracking Sheet'!B2019,'Production '!$AG$4:$AG$4407)</f>
        <v>0</v>
      </c>
    </row>
    <row r="2020" spans="2:10" x14ac:dyDescent="0.3">
      <c r="B2020" s="277" t="str">
        <f>'Production '!C2023</f>
        <v>44840 8th</v>
      </c>
      <c r="C2020" s="76">
        <f ca="1">SUMIF('Production '!$C$4:$AI$4407,'Tracking Sheet'!B2020,'Production '!$M$4:$M$4407)</f>
        <v>6761</v>
      </c>
      <c r="D2020" s="76">
        <f ca="1">SUMIF('Production '!$C$4:$AI$4407,'Tracking Sheet'!B2020,'Production '!$Q$4:$Q$4407)</f>
        <v>6761</v>
      </c>
      <c r="E2020" s="76">
        <f ca="1">SUMIF('Production '!$C$4:$AI$4407,'Tracking Sheet'!B2020,'Production '!$S$4:$S$4407)</f>
        <v>6666</v>
      </c>
      <c r="F2020" s="76">
        <f ca="1">SUMIF('Production '!$C$4:$AI$4407,'Tracking Sheet'!B2020,'Production '!$U$4:$U$4407)</f>
        <v>0</v>
      </c>
      <c r="G2020" s="76">
        <f ca="1">SUMIF('Production '!$C$4:$AI$4407,'Tracking Sheet'!B2020,'Production '!$W$4:$W$4407)</f>
        <v>6666</v>
      </c>
      <c r="H2020" s="76">
        <f ca="1">SUMIF('Production '!$C$4:$AI$4407,'Tracking Sheet'!B2020,'Production '!$F$4:$F$4407)</f>
        <v>6575</v>
      </c>
      <c r="I2020" s="76">
        <f ca="1">SUMIF('Production '!$C$4:$AI$4407,'Tracking Sheet'!B2020,'Production '!$V$4:$V$4407)</f>
        <v>0</v>
      </c>
      <c r="J2020" s="76">
        <f ca="1">SUMIF('Production '!$C$4:$AI$4407,'Tracking Sheet'!B2020,'Production '!$AG$4:$AG$4407)</f>
        <v>0</v>
      </c>
    </row>
    <row r="2021" spans="2:10" x14ac:dyDescent="0.3">
      <c r="B2021" s="277">
        <f>'Production '!C2024</f>
        <v>0</v>
      </c>
      <c r="C2021" s="76" t="e">
        <f ca="1">SUMIF('Production '!$C$4:$AI$4407,'Tracking Sheet'!B2021,'Production '!$M$4:$M$4407)</f>
        <v>#DIV/0!</v>
      </c>
      <c r="D2021" s="76" t="e">
        <f ca="1">SUMIF('Production '!$C$4:$AI$4407,'Tracking Sheet'!B2021,'Production '!$Q$4:$Q$4407)</f>
        <v>#DIV/0!</v>
      </c>
      <c r="E2021" s="76">
        <f ca="1">SUMIF('Production '!$C$4:$AI$4407,'Tracking Sheet'!B2021,'Production '!$S$4:$S$4407)</f>
        <v>-1268218.9828305368</v>
      </c>
      <c r="F2021" s="76">
        <f ca="1">SUMIF('Production '!$C$4:$AI$4407,'Tracking Sheet'!B2021,'Production '!$U$4:$U$4407)</f>
        <v>-10620.435600016917</v>
      </c>
      <c r="G2021" s="76" t="e">
        <f ca="1">SUMIF('Production '!$C$4:$AI$4407,'Tracking Sheet'!B2021,'Production '!$W$4:$W$4407)</f>
        <v>#DIV/0!</v>
      </c>
      <c r="H2021" s="76">
        <f ca="1">SUMIF('Production '!$C$4:$AI$4407,'Tracking Sheet'!B2021,'Production '!$F$4:$F$4407)</f>
        <v>3230621.3283604058</v>
      </c>
      <c r="I2021" s="76">
        <f ca="1">SUMIF('Production '!$C$4:$AI$4407,'Tracking Sheet'!B2021,'Production '!$V$4:$V$4407)</f>
        <v>-489.86487791182844</v>
      </c>
      <c r="J2021" s="76">
        <f ca="1">SUMIF('Production '!$C$4:$AI$4407,'Tracking Sheet'!B2021,'Production '!$AG$4:$AG$4407)</f>
        <v>0</v>
      </c>
    </row>
    <row r="2022" spans="2:10" x14ac:dyDescent="0.3">
      <c r="B2022" s="277" t="str">
        <f>'Production '!C2025</f>
        <v>26766 20th</v>
      </c>
      <c r="C2022" s="76">
        <f ca="1">SUMIF('Production '!$C$4:$AI$4407,'Tracking Sheet'!B2022,'Production '!$M$4:$M$4407)</f>
        <v>3523</v>
      </c>
      <c r="D2022" s="76">
        <f ca="1">SUMIF('Production '!$C$4:$AI$4407,'Tracking Sheet'!B2022,'Production '!$Q$4:$Q$4407)</f>
        <v>3523</v>
      </c>
      <c r="E2022" s="76">
        <f ca="1">SUMIF('Production '!$C$4:$AI$4407,'Tracking Sheet'!B2022,'Production '!$S$4:$S$4407)</f>
        <v>3523</v>
      </c>
      <c r="F2022" s="76">
        <f ca="1">SUMIF('Production '!$C$4:$AI$4407,'Tracking Sheet'!B2022,'Production '!$U$4:$U$4407)</f>
        <v>33</v>
      </c>
      <c r="G2022" s="76">
        <f ca="1">SUMIF('Production '!$C$4:$AI$4407,'Tracking Sheet'!B2022,'Production '!$W$4:$W$4407)</f>
        <v>3490</v>
      </c>
      <c r="H2022" s="76">
        <f ca="1">SUMIF('Production '!$C$4:$AI$4407,'Tracking Sheet'!B2022,'Production '!$F$4:$F$4407)</f>
        <v>3408</v>
      </c>
      <c r="I2022" s="76">
        <f ca="1">SUMIF('Production '!$C$4:$AI$4407,'Tracking Sheet'!B2022,'Production '!$V$4:$V$4407)</f>
        <v>0</v>
      </c>
      <c r="J2022" s="76">
        <f ca="1">SUMIF('Production '!$C$4:$AI$4407,'Tracking Sheet'!B2022,'Production '!$AG$4:$AG$4407)</f>
        <v>0</v>
      </c>
    </row>
    <row r="2023" spans="2:10" x14ac:dyDescent="0.3">
      <c r="B2023" s="277" t="str">
        <f>'Production '!C2026</f>
        <v>26766 20th</v>
      </c>
      <c r="C2023" s="76">
        <f ca="1">SUMIF('Production '!$C$4:$AI$4407,'Tracking Sheet'!B2023,'Production '!$M$4:$M$4407)</f>
        <v>3523</v>
      </c>
      <c r="D2023" s="76">
        <f ca="1">SUMIF('Production '!$C$4:$AI$4407,'Tracking Sheet'!B2023,'Production '!$Q$4:$Q$4407)</f>
        <v>3523</v>
      </c>
      <c r="E2023" s="76">
        <f ca="1">SUMIF('Production '!$C$4:$AI$4407,'Tracking Sheet'!B2023,'Production '!$S$4:$S$4407)</f>
        <v>3523</v>
      </c>
      <c r="F2023" s="76">
        <f ca="1">SUMIF('Production '!$C$4:$AI$4407,'Tracking Sheet'!B2023,'Production '!$U$4:$U$4407)</f>
        <v>33</v>
      </c>
      <c r="G2023" s="76">
        <f ca="1">SUMIF('Production '!$C$4:$AI$4407,'Tracking Sheet'!B2023,'Production '!$W$4:$W$4407)</f>
        <v>3490</v>
      </c>
      <c r="H2023" s="76">
        <f ca="1">SUMIF('Production '!$C$4:$AI$4407,'Tracking Sheet'!B2023,'Production '!$F$4:$F$4407)</f>
        <v>3408</v>
      </c>
      <c r="I2023" s="76">
        <f ca="1">SUMIF('Production '!$C$4:$AI$4407,'Tracking Sheet'!B2023,'Production '!$V$4:$V$4407)</f>
        <v>0</v>
      </c>
      <c r="J2023" s="76">
        <f ca="1">SUMIF('Production '!$C$4:$AI$4407,'Tracking Sheet'!B2023,'Production '!$AG$4:$AG$4407)</f>
        <v>0</v>
      </c>
    </row>
    <row r="2024" spans="2:10" x14ac:dyDescent="0.3">
      <c r="B2024" s="277">
        <f>'Production '!C2027</f>
        <v>0</v>
      </c>
      <c r="C2024" s="76" t="e">
        <f ca="1">SUMIF('Production '!$C$4:$AI$4407,'Tracking Sheet'!B2024,'Production '!$M$4:$M$4407)</f>
        <v>#DIV/0!</v>
      </c>
      <c r="D2024" s="76" t="e">
        <f ca="1">SUMIF('Production '!$C$4:$AI$4407,'Tracking Sheet'!B2024,'Production '!$Q$4:$Q$4407)</f>
        <v>#DIV/0!</v>
      </c>
      <c r="E2024" s="76">
        <f ca="1">SUMIF('Production '!$C$4:$AI$4407,'Tracking Sheet'!B2024,'Production '!$S$4:$S$4407)</f>
        <v>-1268218.9828305368</v>
      </c>
      <c r="F2024" s="76">
        <f ca="1">SUMIF('Production '!$C$4:$AI$4407,'Tracking Sheet'!B2024,'Production '!$U$4:$U$4407)</f>
        <v>-10620.435600016917</v>
      </c>
      <c r="G2024" s="76" t="e">
        <f ca="1">SUMIF('Production '!$C$4:$AI$4407,'Tracking Sheet'!B2024,'Production '!$W$4:$W$4407)</f>
        <v>#DIV/0!</v>
      </c>
      <c r="H2024" s="76">
        <f ca="1">SUMIF('Production '!$C$4:$AI$4407,'Tracking Sheet'!B2024,'Production '!$F$4:$F$4407)</f>
        <v>3230621.3283604058</v>
      </c>
      <c r="I2024" s="76">
        <f ca="1">SUMIF('Production '!$C$4:$AI$4407,'Tracking Sheet'!B2024,'Production '!$V$4:$V$4407)</f>
        <v>-489.86487791182844</v>
      </c>
      <c r="J2024" s="76">
        <f ca="1">SUMIF('Production '!$C$4:$AI$4407,'Tracking Sheet'!B2024,'Production '!$AG$4:$AG$4407)</f>
        <v>0</v>
      </c>
    </row>
    <row r="2025" spans="2:10" x14ac:dyDescent="0.3">
      <c r="B2025" s="277">
        <f>'Production '!C2028</f>
        <v>48171</v>
      </c>
      <c r="C2025" s="76">
        <f ca="1">SUMIF('Production '!$C$4:$AI$4407,'Tracking Sheet'!B2025,'Production '!$M$4:$M$4407)</f>
        <v>10864</v>
      </c>
      <c r="D2025" s="76">
        <f ca="1">SUMIF('Production '!$C$4:$AI$4407,'Tracking Sheet'!B2025,'Production '!$Q$4:$Q$4407)</f>
        <v>10864</v>
      </c>
      <c r="E2025" s="76">
        <f ca="1">SUMIF('Production '!$C$4:$AI$4407,'Tracking Sheet'!B2025,'Production '!$S$4:$S$4407)</f>
        <v>10844</v>
      </c>
      <c r="F2025" s="76">
        <f ca="1">SUMIF('Production '!$C$4:$AI$4407,'Tracking Sheet'!B2025,'Production '!$U$4:$U$4407)</f>
        <v>55</v>
      </c>
      <c r="G2025" s="76">
        <f ca="1">SUMIF('Production '!$C$4:$AI$4407,'Tracking Sheet'!B2025,'Production '!$W$4:$W$4407)</f>
        <v>10789</v>
      </c>
      <c r="H2025" s="76">
        <f ca="1">SUMIF('Production '!$C$4:$AI$4407,'Tracking Sheet'!B2025,'Production '!$F$4:$F$4407)</f>
        <v>10578</v>
      </c>
      <c r="I2025" s="76">
        <f ca="1">SUMIF('Production '!$C$4:$AI$4407,'Tracking Sheet'!B2025,'Production '!$V$4:$V$4407)</f>
        <v>0</v>
      </c>
      <c r="J2025" s="76">
        <f ca="1">SUMIF('Production '!$C$4:$AI$4407,'Tracking Sheet'!B2025,'Production '!$AG$4:$AG$4407)</f>
        <v>0</v>
      </c>
    </row>
    <row r="2026" spans="2:10" x14ac:dyDescent="0.3">
      <c r="B2026" s="277">
        <f>'Production '!C2029</f>
        <v>48171</v>
      </c>
      <c r="C2026" s="76">
        <f ca="1">SUMIF('Production '!$C$4:$AI$4407,'Tracking Sheet'!B2026,'Production '!$M$4:$M$4407)</f>
        <v>10864</v>
      </c>
      <c r="D2026" s="76">
        <f ca="1">SUMIF('Production '!$C$4:$AI$4407,'Tracking Sheet'!B2026,'Production '!$Q$4:$Q$4407)</f>
        <v>10864</v>
      </c>
      <c r="E2026" s="76">
        <f ca="1">SUMIF('Production '!$C$4:$AI$4407,'Tracking Sheet'!B2026,'Production '!$S$4:$S$4407)</f>
        <v>10844</v>
      </c>
      <c r="F2026" s="76">
        <f ca="1">SUMIF('Production '!$C$4:$AI$4407,'Tracking Sheet'!B2026,'Production '!$U$4:$U$4407)</f>
        <v>55</v>
      </c>
      <c r="G2026" s="76">
        <f ca="1">SUMIF('Production '!$C$4:$AI$4407,'Tracking Sheet'!B2026,'Production '!$W$4:$W$4407)</f>
        <v>10789</v>
      </c>
      <c r="H2026" s="76">
        <f ca="1">SUMIF('Production '!$C$4:$AI$4407,'Tracking Sheet'!B2026,'Production '!$F$4:$F$4407)</f>
        <v>10578</v>
      </c>
      <c r="I2026" s="76">
        <f ca="1">SUMIF('Production '!$C$4:$AI$4407,'Tracking Sheet'!B2026,'Production '!$V$4:$V$4407)</f>
        <v>0</v>
      </c>
      <c r="J2026" s="76">
        <f ca="1">SUMIF('Production '!$C$4:$AI$4407,'Tracking Sheet'!B2026,'Production '!$AG$4:$AG$4407)</f>
        <v>0</v>
      </c>
    </row>
    <row r="2027" spans="2:10" x14ac:dyDescent="0.3">
      <c r="B2027" s="277">
        <f>'Production '!C2030</f>
        <v>48171</v>
      </c>
      <c r="C2027" s="76">
        <f ca="1">SUMIF('Production '!$C$4:$AI$4407,'Tracking Sheet'!B2027,'Production '!$M$4:$M$4407)</f>
        <v>10864</v>
      </c>
      <c r="D2027" s="76">
        <f ca="1">SUMIF('Production '!$C$4:$AI$4407,'Tracking Sheet'!B2027,'Production '!$Q$4:$Q$4407)</f>
        <v>10864</v>
      </c>
      <c r="E2027" s="76">
        <f ca="1">SUMIF('Production '!$C$4:$AI$4407,'Tracking Sheet'!B2027,'Production '!$S$4:$S$4407)</f>
        <v>10844</v>
      </c>
      <c r="F2027" s="76">
        <f ca="1">SUMIF('Production '!$C$4:$AI$4407,'Tracking Sheet'!B2027,'Production '!$U$4:$U$4407)</f>
        <v>55</v>
      </c>
      <c r="G2027" s="76">
        <f ca="1">SUMIF('Production '!$C$4:$AI$4407,'Tracking Sheet'!B2027,'Production '!$W$4:$W$4407)</f>
        <v>10789</v>
      </c>
      <c r="H2027" s="76">
        <f ca="1">SUMIF('Production '!$C$4:$AI$4407,'Tracking Sheet'!B2027,'Production '!$F$4:$F$4407)</f>
        <v>10578</v>
      </c>
      <c r="I2027" s="76">
        <f ca="1">SUMIF('Production '!$C$4:$AI$4407,'Tracking Sheet'!B2027,'Production '!$V$4:$V$4407)</f>
        <v>0</v>
      </c>
      <c r="J2027" s="76">
        <f ca="1">SUMIF('Production '!$C$4:$AI$4407,'Tracking Sheet'!B2027,'Production '!$AG$4:$AG$4407)</f>
        <v>0</v>
      </c>
    </row>
    <row r="2028" spans="2:10" x14ac:dyDescent="0.3">
      <c r="B2028" s="277">
        <f>'Production '!C2031</f>
        <v>48171</v>
      </c>
      <c r="C2028" s="76">
        <f ca="1">SUMIF('Production '!$C$4:$AI$4407,'Tracking Sheet'!B2028,'Production '!$M$4:$M$4407)</f>
        <v>10864</v>
      </c>
      <c r="D2028" s="76">
        <f ca="1">SUMIF('Production '!$C$4:$AI$4407,'Tracking Sheet'!B2028,'Production '!$Q$4:$Q$4407)</f>
        <v>10864</v>
      </c>
      <c r="E2028" s="76">
        <f ca="1">SUMIF('Production '!$C$4:$AI$4407,'Tracking Sheet'!B2028,'Production '!$S$4:$S$4407)</f>
        <v>10844</v>
      </c>
      <c r="F2028" s="76">
        <f ca="1">SUMIF('Production '!$C$4:$AI$4407,'Tracking Sheet'!B2028,'Production '!$U$4:$U$4407)</f>
        <v>55</v>
      </c>
      <c r="G2028" s="76">
        <f ca="1">SUMIF('Production '!$C$4:$AI$4407,'Tracking Sheet'!B2028,'Production '!$W$4:$W$4407)</f>
        <v>10789</v>
      </c>
      <c r="H2028" s="76">
        <f ca="1">SUMIF('Production '!$C$4:$AI$4407,'Tracking Sheet'!B2028,'Production '!$F$4:$F$4407)</f>
        <v>10578</v>
      </c>
      <c r="I2028" s="76">
        <f ca="1">SUMIF('Production '!$C$4:$AI$4407,'Tracking Sheet'!B2028,'Production '!$V$4:$V$4407)</f>
        <v>0</v>
      </c>
      <c r="J2028" s="76">
        <f ca="1">SUMIF('Production '!$C$4:$AI$4407,'Tracking Sheet'!B2028,'Production '!$AG$4:$AG$4407)</f>
        <v>0</v>
      </c>
    </row>
    <row r="2029" spans="2:10" x14ac:dyDescent="0.3">
      <c r="B2029" s="277">
        <f>'Production '!C2032</f>
        <v>48171</v>
      </c>
      <c r="C2029" s="76">
        <f ca="1">SUMIF('Production '!$C$4:$AI$4407,'Tracking Sheet'!B2029,'Production '!$M$4:$M$4407)</f>
        <v>10864</v>
      </c>
      <c r="D2029" s="76">
        <f ca="1">SUMIF('Production '!$C$4:$AI$4407,'Tracking Sheet'!B2029,'Production '!$Q$4:$Q$4407)</f>
        <v>10864</v>
      </c>
      <c r="E2029" s="76">
        <f ca="1">SUMIF('Production '!$C$4:$AI$4407,'Tracking Sheet'!B2029,'Production '!$S$4:$S$4407)</f>
        <v>10844</v>
      </c>
      <c r="F2029" s="76">
        <f ca="1">SUMIF('Production '!$C$4:$AI$4407,'Tracking Sheet'!B2029,'Production '!$U$4:$U$4407)</f>
        <v>55</v>
      </c>
      <c r="G2029" s="76">
        <f ca="1">SUMIF('Production '!$C$4:$AI$4407,'Tracking Sheet'!B2029,'Production '!$W$4:$W$4407)</f>
        <v>10789</v>
      </c>
      <c r="H2029" s="76">
        <f ca="1">SUMIF('Production '!$C$4:$AI$4407,'Tracking Sheet'!B2029,'Production '!$F$4:$F$4407)</f>
        <v>10578</v>
      </c>
      <c r="I2029" s="76">
        <f ca="1">SUMIF('Production '!$C$4:$AI$4407,'Tracking Sheet'!B2029,'Production '!$V$4:$V$4407)</f>
        <v>0</v>
      </c>
      <c r="J2029" s="76">
        <f ca="1">SUMIF('Production '!$C$4:$AI$4407,'Tracking Sheet'!B2029,'Production '!$AG$4:$AG$4407)</f>
        <v>0</v>
      </c>
    </row>
    <row r="2030" spans="2:10" x14ac:dyDescent="0.3">
      <c r="B2030" s="277">
        <f>'Production '!C2033</f>
        <v>48171</v>
      </c>
      <c r="C2030" s="76">
        <f ca="1">SUMIF('Production '!$C$4:$AI$4407,'Tracking Sheet'!B2030,'Production '!$M$4:$M$4407)</f>
        <v>10864</v>
      </c>
      <c r="D2030" s="76">
        <f ca="1">SUMIF('Production '!$C$4:$AI$4407,'Tracking Sheet'!B2030,'Production '!$Q$4:$Q$4407)</f>
        <v>10864</v>
      </c>
      <c r="E2030" s="76">
        <f ca="1">SUMIF('Production '!$C$4:$AI$4407,'Tracking Sheet'!B2030,'Production '!$S$4:$S$4407)</f>
        <v>10844</v>
      </c>
      <c r="F2030" s="76">
        <f ca="1">SUMIF('Production '!$C$4:$AI$4407,'Tracking Sheet'!B2030,'Production '!$U$4:$U$4407)</f>
        <v>55</v>
      </c>
      <c r="G2030" s="76">
        <f ca="1">SUMIF('Production '!$C$4:$AI$4407,'Tracking Sheet'!B2030,'Production '!$W$4:$W$4407)</f>
        <v>10789</v>
      </c>
      <c r="H2030" s="76">
        <f ca="1">SUMIF('Production '!$C$4:$AI$4407,'Tracking Sheet'!B2030,'Production '!$F$4:$F$4407)</f>
        <v>10578</v>
      </c>
      <c r="I2030" s="76">
        <f ca="1">SUMIF('Production '!$C$4:$AI$4407,'Tracking Sheet'!B2030,'Production '!$V$4:$V$4407)</f>
        <v>0</v>
      </c>
      <c r="J2030" s="76">
        <f ca="1">SUMIF('Production '!$C$4:$AI$4407,'Tracking Sheet'!B2030,'Production '!$AG$4:$AG$4407)</f>
        <v>0</v>
      </c>
    </row>
    <row r="2031" spans="2:10" x14ac:dyDescent="0.3">
      <c r="B2031" s="277">
        <f>'Production '!C2034</f>
        <v>48171</v>
      </c>
      <c r="C2031" s="76">
        <f ca="1">SUMIF('Production '!$C$4:$AI$4407,'Tracking Sheet'!B2031,'Production '!$M$4:$M$4407)</f>
        <v>10864</v>
      </c>
      <c r="D2031" s="76">
        <f ca="1">SUMIF('Production '!$C$4:$AI$4407,'Tracking Sheet'!B2031,'Production '!$Q$4:$Q$4407)</f>
        <v>10864</v>
      </c>
      <c r="E2031" s="76">
        <f ca="1">SUMIF('Production '!$C$4:$AI$4407,'Tracking Sheet'!B2031,'Production '!$S$4:$S$4407)</f>
        <v>10844</v>
      </c>
      <c r="F2031" s="76">
        <f ca="1">SUMIF('Production '!$C$4:$AI$4407,'Tracking Sheet'!B2031,'Production '!$U$4:$U$4407)</f>
        <v>55</v>
      </c>
      <c r="G2031" s="76">
        <f ca="1">SUMIF('Production '!$C$4:$AI$4407,'Tracking Sheet'!B2031,'Production '!$W$4:$W$4407)</f>
        <v>10789</v>
      </c>
      <c r="H2031" s="76">
        <f ca="1">SUMIF('Production '!$C$4:$AI$4407,'Tracking Sheet'!B2031,'Production '!$F$4:$F$4407)</f>
        <v>10578</v>
      </c>
      <c r="I2031" s="76">
        <f ca="1">SUMIF('Production '!$C$4:$AI$4407,'Tracking Sheet'!B2031,'Production '!$V$4:$V$4407)</f>
        <v>0</v>
      </c>
      <c r="J2031" s="76">
        <f ca="1">SUMIF('Production '!$C$4:$AI$4407,'Tracking Sheet'!B2031,'Production '!$AG$4:$AG$4407)</f>
        <v>0</v>
      </c>
    </row>
    <row r="2032" spans="2:10" x14ac:dyDescent="0.3">
      <c r="B2032" s="277">
        <f>'Production '!C2035</f>
        <v>0</v>
      </c>
      <c r="C2032" s="76" t="e">
        <f ca="1">SUMIF('Production '!$C$4:$AI$4407,'Tracking Sheet'!B2032,'Production '!$M$4:$M$4407)</f>
        <v>#DIV/0!</v>
      </c>
      <c r="D2032" s="76" t="e">
        <f ca="1">SUMIF('Production '!$C$4:$AI$4407,'Tracking Sheet'!B2032,'Production '!$Q$4:$Q$4407)</f>
        <v>#DIV/0!</v>
      </c>
      <c r="E2032" s="76">
        <f ca="1">SUMIF('Production '!$C$4:$AI$4407,'Tracking Sheet'!B2032,'Production '!$S$4:$S$4407)</f>
        <v>-1268218.9828305368</v>
      </c>
      <c r="F2032" s="76">
        <f ca="1">SUMIF('Production '!$C$4:$AI$4407,'Tracking Sheet'!B2032,'Production '!$U$4:$U$4407)</f>
        <v>-10620.435600016917</v>
      </c>
      <c r="G2032" s="76" t="e">
        <f ca="1">SUMIF('Production '!$C$4:$AI$4407,'Tracking Sheet'!B2032,'Production '!$W$4:$W$4407)</f>
        <v>#DIV/0!</v>
      </c>
      <c r="H2032" s="76">
        <f ca="1">SUMIF('Production '!$C$4:$AI$4407,'Tracking Sheet'!B2032,'Production '!$F$4:$F$4407)</f>
        <v>3230621.3283604058</v>
      </c>
      <c r="I2032" s="76">
        <f ca="1">SUMIF('Production '!$C$4:$AI$4407,'Tracking Sheet'!B2032,'Production '!$V$4:$V$4407)</f>
        <v>-489.86487791182844</v>
      </c>
      <c r="J2032" s="76">
        <f ca="1">SUMIF('Production '!$C$4:$AI$4407,'Tracking Sheet'!B2032,'Production '!$AG$4:$AG$4407)</f>
        <v>0</v>
      </c>
    </row>
    <row r="2033" spans="2:10" x14ac:dyDescent="0.3">
      <c r="B2033" s="277">
        <f>'Production '!C2036</f>
        <v>48172</v>
      </c>
      <c r="C2033" s="76">
        <f ca="1">SUMIF('Production '!$C$4:$AI$4407,'Tracking Sheet'!B2033,'Production '!$M$4:$M$4407)</f>
        <v>0</v>
      </c>
      <c r="D2033" s="76">
        <f ca="1">SUMIF('Production '!$C$4:$AI$4407,'Tracking Sheet'!B2033,'Production '!$Q$4:$Q$4407)</f>
        <v>0</v>
      </c>
      <c r="E2033" s="76">
        <f ca="1">SUMIF('Production '!$C$4:$AI$4407,'Tracking Sheet'!B2033,'Production '!$S$4:$S$4407)</f>
        <v>0</v>
      </c>
      <c r="F2033" s="76">
        <f ca="1">SUMIF('Production '!$C$4:$AI$4407,'Tracking Sheet'!B2033,'Production '!$U$4:$U$4407)</f>
        <v>0</v>
      </c>
      <c r="G2033" s="76">
        <f ca="1">SUMIF('Production '!$C$4:$AI$4407,'Tracking Sheet'!B2033,'Production '!$W$4:$W$4407)</f>
        <v>0</v>
      </c>
      <c r="H2033" s="76">
        <f ca="1">SUMIF('Production '!$C$4:$AI$4407,'Tracking Sheet'!B2033,'Production '!$F$4:$F$4407)</f>
        <v>4023</v>
      </c>
      <c r="I2033" s="76">
        <f ca="1">SUMIF('Production '!$C$4:$AI$4407,'Tracking Sheet'!B2033,'Production '!$V$4:$V$4407)</f>
        <v>0</v>
      </c>
      <c r="J2033" s="76">
        <f ca="1">SUMIF('Production '!$C$4:$AI$4407,'Tracking Sheet'!B2033,'Production '!$AG$4:$AG$4407)</f>
        <v>-4023</v>
      </c>
    </row>
    <row r="2034" spans="2:10" x14ac:dyDescent="0.3">
      <c r="B2034" s="277">
        <f>'Production '!C2037</f>
        <v>48172</v>
      </c>
      <c r="C2034" s="76">
        <f ca="1">SUMIF('Production '!$C$4:$AI$4407,'Tracking Sheet'!B2034,'Production '!$M$4:$M$4407)</f>
        <v>0</v>
      </c>
      <c r="D2034" s="76">
        <f ca="1">SUMIF('Production '!$C$4:$AI$4407,'Tracking Sheet'!B2034,'Production '!$Q$4:$Q$4407)</f>
        <v>0</v>
      </c>
      <c r="E2034" s="76">
        <f ca="1">SUMIF('Production '!$C$4:$AI$4407,'Tracking Sheet'!B2034,'Production '!$S$4:$S$4407)</f>
        <v>0</v>
      </c>
      <c r="F2034" s="76">
        <f ca="1">SUMIF('Production '!$C$4:$AI$4407,'Tracking Sheet'!B2034,'Production '!$U$4:$U$4407)</f>
        <v>0</v>
      </c>
      <c r="G2034" s="76">
        <f ca="1">SUMIF('Production '!$C$4:$AI$4407,'Tracking Sheet'!B2034,'Production '!$W$4:$W$4407)</f>
        <v>0</v>
      </c>
      <c r="H2034" s="76">
        <f ca="1">SUMIF('Production '!$C$4:$AI$4407,'Tracking Sheet'!B2034,'Production '!$F$4:$F$4407)</f>
        <v>4023</v>
      </c>
      <c r="I2034" s="76">
        <f ca="1">SUMIF('Production '!$C$4:$AI$4407,'Tracking Sheet'!B2034,'Production '!$V$4:$V$4407)</f>
        <v>0</v>
      </c>
      <c r="J2034" s="76">
        <f ca="1">SUMIF('Production '!$C$4:$AI$4407,'Tracking Sheet'!B2034,'Production '!$AG$4:$AG$4407)</f>
        <v>-4023</v>
      </c>
    </row>
    <row r="2035" spans="2:10" x14ac:dyDescent="0.3">
      <c r="B2035" s="277">
        <f>'Production '!C2038</f>
        <v>48172</v>
      </c>
      <c r="C2035" s="76">
        <f ca="1">SUMIF('Production '!$C$4:$AI$4407,'Tracking Sheet'!B2035,'Production '!$M$4:$M$4407)</f>
        <v>0</v>
      </c>
      <c r="D2035" s="76">
        <f ca="1">SUMIF('Production '!$C$4:$AI$4407,'Tracking Sheet'!B2035,'Production '!$Q$4:$Q$4407)</f>
        <v>0</v>
      </c>
      <c r="E2035" s="76">
        <f ca="1">SUMIF('Production '!$C$4:$AI$4407,'Tracking Sheet'!B2035,'Production '!$S$4:$S$4407)</f>
        <v>0</v>
      </c>
      <c r="F2035" s="76">
        <f ca="1">SUMIF('Production '!$C$4:$AI$4407,'Tracking Sheet'!B2035,'Production '!$U$4:$U$4407)</f>
        <v>0</v>
      </c>
      <c r="G2035" s="76">
        <f ca="1">SUMIF('Production '!$C$4:$AI$4407,'Tracking Sheet'!B2035,'Production '!$W$4:$W$4407)</f>
        <v>0</v>
      </c>
      <c r="H2035" s="76">
        <f ca="1">SUMIF('Production '!$C$4:$AI$4407,'Tracking Sheet'!B2035,'Production '!$F$4:$F$4407)</f>
        <v>4023</v>
      </c>
      <c r="I2035" s="76">
        <f ca="1">SUMIF('Production '!$C$4:$AI$4407,'Tracking Sheet'!B2035,'Production '!$V$4:$V$4407)</f>
        <v>0</v>
      </c>
      <c r="J2035" s="76">
        <f ca="1">SUMIF('Production '!$C$4:$AI$4407,'Tracking Sheet'!B2035,'Production '!$AG$4:$AG$4407)</f>
        <v>-4023</v>
      </c>
    </row>
    <row r="2036" spans="2:10" x14ac:dyDescent="0.3">
      <c r="B2036" s="277">
        <f>'Production '!C2039</f>
        <v>48172</v>
      </c>
      <c r="C2036" s="76">
        <f ca="1">SUMIF('Production '!$C$4:$AI$4407,'Tracking Sheet'!B2036,'Production '!$M$4:$M$4407)</f>
        <v>0</v>
      </c>
      <c r="D2036" s="76">
        <f ca="1">SUMIF('Production '!$C$4:$AI$4407,'Tracking Sheet'!B2036,'Production '!$Q$4:$Q$4407)</f>
        <v>0</v>
      </c>
      <c r="E2036" s="76">
        <f ca="1">SUMIF('Production '!$C$4:$AI$4407,'Tracking Sheet'!B2036,'Production '!$S$4:$S$4407)</f>
        <v>0</v>
      </c>
      <c r="F2036" s="76">
        <f ca="1">SUMIF('Production '!$C$4:$AI$4407,'Tracking Sheet'!B2036,'Production '!$U$4:$U$4407)</f>
        <v>0</v>
      </c>
      <c r="G2036" s="76">
        <f ca="1">SUMIF('Production '!$C$4:$AI$4407,'Tracking Sheet'!B2036,'Production '!$W$4:$W$4407)</f>
        <v>0</v>
      </c>
      <c r="H2036" s="76">
        <f ca="1">SUMIF('Production '!$C$4:$AI$4407,'Tracking Sheet'!B2036,'Production '!$F$4:$F$4407)</f>
        <v>4023</v>
      </c>
      <c r="I2036" s="76">
        <f ca="1">SUMIF('Production '!$C$4:$AI$4407,'Tracking Sheet'!B2036,'Production '!$V$4:$V$4407)</f>
        <v>0</v>
      </c>
      <c r="J2036" s="76">
        <f ca="1">SUMIF('Production '!$C$4:$AI$4407,'Tracking Sheet'!B2036,'Production '!$AG$4:$AG$4407)</f>
        <v>-4023</v>
      </c>
    </row>
    <row r="2037" spans="2:10" x14ac:dyDescent="0.3">
      <c r="B2037" s="277">
        <f>'Production '!C2040</f>
        <v>48172</v>
      </c>
      <c r="C2037" s="76">
        <f ca="1">SUMIF('Production '!$C$4:$AI$4407,'Tracking Sheet'!B2037,'Production '!$M$4:$M$4407)</f>
        <v>0</v>
      </c>
      <c r="D2037" s="76">
        <f ca="1">SUMIF('Production '!$C$4:$AI$4407,'Tracking Sheet'!B2037,'Production '!$Q$4:$Q$4407)</f>
        <v>0</v>
      </c>
      <c r="E2037" s="76">
        <f ca="1">SUMIF('Production '!$C$4:$AI$4407,'Tracking Sheet'!B2037,'Production '!$S$4:$S$4407)</f>
        <v>0</v>
      </c>
      <c r="F2037" s="76">
        <f ca="1">SUMIF('Production '!$C$4:$AI$4407,'Tracking Sheet'!B2037,'Production '!$U$4:$U$4407)</f>
        <v>0</v>
      </c>
      <c r="G2037" s="76">
        <f ca="1">SUMIF('Production '!$C$4:$AI$4407,'Tracking Sheet'!B2037,'Production '!$W$4:$W$4407)</f>
        <v>0</v>
      </c>
      <c r="H2037" s="76">
        <f ca="1">SUMIF('Production '!$C$4:$AI$4407,'Tracking Sheet'!B2037,'Production '!$F$4:$F$4407)</f>
        <v>4023</v>
      </c>
      <c r="I2037" s="76">
        <f ca="1">SUMIF('Production '!$C$4:$AI$4407,'Tracking Sheet'!B2037,'Production '!$V$4:$V$4407)</f>
        <v>0</v>
      </c>
      <c r="J2037" s="76">
        <f ca="1">SUMIF('Production '!$C$4:$AI$4407,'Tracking Sheet'!B2037,'Production '!$AG$4:$AG$4407)</f>
        <v>-4023</v>
      </c>
    </row>
    <row r="2038" spans="2:10" x14ac:dyDescent="0.3">
      <c r="B2038" s="277">
        <f>'Production '!C2041</f>
        <v>48172</v>
      </c>
      <c r="C2038" s="76">
        <f ca="1">SUMIF('Production '!$C$4:$AI$4407,'Tracking Sheet'!B2038,'Production '!$M$4:$M$4407)</f>
        <v>0</v>
      </c>
      <c r="D2038" s="76">
        <f ca="1">SUMIF('Production '!$C$4:$AI$4407,'Tracking Sheet'!B2038,'Production '!$Q$4:$Q$4407)</f>
        <v>0</v>
      </c>
      <c r="E2038" s="76">
        <f ca="1">SUMIF('Production '!$C$4:$AI$4407,'Tracking Sheet'!B2038,'Production '!$S$4:$S$4407)</f>
        <v>0</v>
      </c>
      <c r="F2038" s="76">
        <f ca="1">SUMIF('Production '!$C$4:$AI$4407,'Tracking Sheet'!B2038,'Production '!$U$4:$U$4407)</f>
        <v>0</v>
      </c>
      <c r="G2038" s="76">
        <f ca="1">SUMIF('Production '!$C$4:$AI$4407,'Tracking Sheet'!B2038,'Production '!$W$4:$W$4407)</f>
        <v>0</v>
      </c>
      <c r="H2038" s="76">
        <f ca="1">SUMIF('Production '!$C$4:$AI$4407,'Tracking Sheet'!B2038,'Production '!$F$4:$F$4407)</f>
        <v>4023</v>
      </c>
      <c r="I2038" s="76">
        <f ca="1">SUMIF('Production '!$C$4:$AI$4407,'Tracking Sheet'!B2038,'Production '!$V$4:$V$4407)</f>
        <v>0</v>
      </c>
      <c r="J2038" s="76">
        <f ca="1">SUMIF('Production '!$C$4:$AI$4407,'Tracking Sheet'!B2038,'Production '!$AG$4:$AG$4407)</f>
        <v>-4023</v>
      </c>
    </row>
    <row r="2039" spans="2:10" x14ac:dyDescent="0.3">
      <c r="B2039" s="277">
        <f>'Production '!C2042</f>
        <v>0</v>
      </c>
      <c r="C2039" s="76" t="e">
        <f ca="1">SUMIF('Production '!$C$4:$AI$4407,'Tracking Sheet'!B2039,'Production '!$M$4:$M$4407)</f>
        <v>#DIV/0!</v>
      </c>
      <c r="D2039" s="76" t="e">
        <f ca="1">SUMIF('Production '!$C$4:$AI$4407,'Tracking Sheet'!B2039,'Production '!$Q$4:$Q$4407)</f>
        <v>#DIV/0!</v>
      </c>
      <c r="E2039" s="76">
        <f ca="1">SUMIF('Production '!$C$4:$AI$4407,'Tracking Sheet'!B2039,'Production '!$S$4:$S$4407)</f>
        <v>-1268218.9828305368</v>
      </c>
      <c r="F2039" s="76">
        <f ca="1">SUMIF('Production '!$C$4:$AI$4407,'Tracking Sheet'!B2039,'Production '!$U$4:$U$4407)</f>
        <v>-10620.435600016917</v>
      </c>
      <c r="G2039" s="76" t="e">
        <f ca="1">SUMIF('Production '!$C$4:$AI$4407,'Tracking Sheet'!B2039,'Production '!$W$4:$W$4407)</f>
        <v>#DIV/0!</v>
      </c>
      <c r="H2039" s="76">
        <f ca="1">SUMIF('Production '!$C$4:$AI$4407,'Tracking Sheet'!B2039,'Production '!$F$4:$F$4407)</f>
        <v>3230621.3283604058</v>
      </c>
      <c r="I2039" s="76">
        <f ca="1">SUMIF('Production '!$C$4:$AI$4407,'Tracking Sheet'!B2039,'Production '!$V$4:$V$4407)</f>
        <v>-489.86487791182844</v>
      </c>
      <c r="J2039" s="76">
        <f ca="1">SUMIF('Production '!$C$4:$AI$4407,'Tracking Sheet'!B2039,'Production '!$AG$4:$AG$4407)</f>
        <v>0</v>
      </c>
    </row>
    <row r="2040" spans="2:10" x14ac:dyDescent="0.3">
      <c r="B2040" s="277" t="str">
        <f>'Production '!C2043</f>
        <v>45330 2nd</v>
      </c>
      <c r="C2040" s="76">
        <f ca="1">SUMIF('Production '!$C$4:$AI$4407,'Tracking Sheet'!B2040,'Production '!$M$4:$M$4407)</f>
        <v>0</v>
      </c>
      <c r="D2040" s="76">
        <f ca="1">SUMIF('Production '!$C$4:$AI$4407,'Tracking Sheet'!B2040,'Production '!$Q$4:$Q$4407)</f>
        <v>0</v>
      </c>
      <c r="E2040" s="76">
        <f ca="1">SUMIF('Production '!$C$4:$AI$4407,'Tracking Sheet'!B2040,'Production '!$S$4:$S$4407)</f>
        <v>0</v>
      </c>
      <c r="F2040" s="76">
        <f ca="1">SUMIF('Production '!$C$4:$AI$4407,'Tracking Sheet'!B2040,'Production '!$U$4:$U$4407)</f>
        <v>0</v>
      </c>
      <c r="G2040" s="76">
        <f ca="1">SUMIF('Production '!$C$4:$AI$4407,'Tracking Sheet'!B2040,'Production '!$W$4:$W$4407)</f>
        <v>0</v>
      </c>
      <c r="H2040" s="76">
        <f ca="1">SUMIF('Production '!$C$4:$AI$4407,'Tracking Sheet'!B2040,'Production '!$F$4:$F$4407)</f>
        <v>14102</v>
      </c>
      <c r="I2040" s="76">
        <f ca="1">SUMIF('Production '!$C$4:$AI$4407,'Tracking Sheet'!B2040,'Production '!$V$4:$V$4407)</f>
        <v>0</v>
      </c>
      <c r="J2040" s="76">
        <f ca="1">SUMIF('Production '!$C$4:$AI$4407,'Tracking Sheet'!B2040,'Production '!$AG$4:$AG$4407)</f>
        <v>-14102</v>
      </c>
    </row>
    <row r="2041" spans="2:10" x14ac:dyDescent="0.3">
      <c r="B2041" s="277" t="str">
        <f>'Production '!C2044</f>
        <v>45330 2nd</v>
      </c>
      <c r="C2041" s="76">
        <f ca="1">SUMIF('Production '!$C$4:$AI$4407,'Tracking Sheet'!B2041,'Production '!$M$4:$M$4407)</f>
        <v>0</v>
      </c>
      <c r="D2041" s="76">
        <f ca="1">SUMIF('Production '!$C$4:$AI$4407,'Tracking Sheet'!B2041,'Production '!$Q$4:$Q$4407)</f>
        <v>0</v>
      </c>
      <c r="E2041" s="76">
        <f ca="1">SUMIF('Production '!$C$4:$AI$4407,'Tracking Sheet'!B2041,'Production '!$S$4:$S$4407)</f>
        <v>0</v>
      </c>
      <c r="F2041" s="76">
        <f ca="1">SUMIF('Production '!$C$4:$AI$4407,'Tracking Sheet'!B2041,'Production '!$U$4:$U$4407)</f>
        <v>0</v>
      </c>
      <c r="G2041" s="76">
        <f ca="1">SUMIF('Production '!$C$4:$AI$4407,'Tracking Sheet'!B2041,'Production '!$W$4:$W$4407)</f>
        <v>0</v>
      </c>
      <c r="H2041" s="76">
        <f ca="1">SUMIF('Production '!$C$4:$AI$4407,'Tracking Sheet'!B2041,'Production '!$F$4:$F$4407)</f>
        <v>14102</v>
      </c>
      <c r="I2041" s="76">
        <f ca="1">SUMIF('Production '!$C$4:$AI$4407,'Tracking Sheet'!B2041,'Production '!$V$4:$V$4407)</f>
        <v>0</v>
      </c>
      <c r="J2041" s="76">
        <f ca="1">SUMIF('Production '!$C$4:$AI$4407,'Tracking Sheet'!B2041,'Production '!$AG$4:$AG$4407)</f>
        <v>-14102</v>
      </c>
    </row>
    <row r="2042" spans="2:10" x14ac:dyDescent="0.3">
      <c r="B2042" s="277">
        <f>'Production '!C2045</f>
        <v>0</v>
      </c>
      <c r="C2042" s="76" t="e">
        <f ca="1">SUMIF('Production '!$C$4:$AI$4407,'Tracking Sheet'!B2042,'Production '!$M$4:$M$4407)</f>
        <v>#DIV/0!</v>
      </c>
      <c r="D2042" s="76" t="e">
        <f ca="1">SUMIF('Production '!$C$4:$AI$4407,'Tracking Sheet'!B2042,'Production '!$Q$4:$Q$4407)</f>
        <v>#DIV/0!</v>
      </c>
      <c r="E2042" s="76">
        <f ca="1">SUMIF('Production '!$C$4:$AI$4407,'Tracking Sheet'!B2042,'Production '!$S$4:$S$4407)</f>
        <v>-1268218.9828305368</v>
      </c>
      <c r="F2042" s="76">
        <f ca="1">SUMIF('Production '!$C$4:$AI$4407,'Tracking Sheet'!B2042,'Production '!$U$4:$U$4407)</f>
        <v>-10620.435600016917</v>
      </c>
      <c r="G2042" s="76" t="e">
        <f ca="1">SUMIF('Production '!$C$4:$AI$4407,'Tracking Sheet'!B2042,'Production '!$W$4:$W$4407)</f>
        <v>#DIV/0!</v>
      </c>
      <c r="H2042" s="76">
        <f ca="1">SUMIF('Production '!$C$4:$AI$4407,'Tracking Sheet'!B2042,'Production '!$F$4:$F$4407)</f>
        <v>3230621.3283604058</v>
      </c>
      <c r="I2042" s="76">
        <f ca="1">SUMIF('Production '!$C$4:$AI$4407,'Tracking Sheet'!B2042,'Production '!$V$4:$V$4407)</f>
        <v>-489.86487791182844</v>
      </c>
      <c r="J2042" s="76">
        <f ca="1">SUMIF('Production '!$C$4:$AI$4407,'Tracking Sheet'!B2042,'Production '!$AG$4:$AG$4407)</f>
        <v>0</v>
      </c>
    </row>
    <row r="2043" spans="2:10" x14ac:dyDescent="0.3">
      <c r="B2043" s="277" t="str">
        <f>'Production '!C2046</f>
        <v>46300 2nd</v>
      </c>
      <c r="C2043" s="76">
        <f ca="1">SUMIF('Production '!$C$4:$AI$4407,'Tracking Sheet'!B2043,'Production '!$M$4:$M$4407)</f>
        <v>1759</v>
      </c>
      <c r="D2043" s="76">
        <f ca="1">SUMIF('Production '!$C$4:$AI$4407,'Tracking Sheet'!B2043,'Production '!$Q$4:$Q$4407)</f>
        <v>1747</v>
      </c>
      <c r="E2043" s="76">
        <f ca="1">SUMIF('Production '!$C$4:$AI$4407,'Tracking Sheet'!B2043,'Production '!$S$4:$S$4407)</f>
        <v>1747</v>
      </c>
      <c r="F2043" s="76">
        <f ca="1">SUMIF('Production '!$C$4:$AI$4407,'Tracking Sheet'!B2043,'Production '!$U$4:$U$4407)</f>
        <v>11</v>
      </c>
      <c r="G2043" s="76">
        <f ca="1">SUMIF('Production '!$C$4:$AI$4407,'Tracking Sheet'!B2043,'Production '!$W$4:$W$4407)</f>
        <v>1736</v>
      </c>
      <c r="H2043" s="76">
        <f ca="1">SUMIF('Production '!$C$4:$AI$4407,'Tracking Sheet'!B2043,'Production '!$F$4:$F$4407)</f>
        <v>1700</v>
      </c>
      <c r="I2043" s="76">
        <f ca="1">SUMIF('Production '!$C$4:$AI$4407,'Tracking Sheet'!B2043,'Production '!$V$4:$V$4407)</f>
        <v>0</v>
      </c>
      <c r="J2043" s="76">
        <f ca="1">SUMIF('Production '!$C$4:$AI$4407,'Tracking Sheet'!B2043,'Production '!$AG$4:$AG$4407)</f>
        <v>0</v>
      </c>
    </row>
    <row r="2044" spans="2:10" x14ac:dyDescent="0.3">
      <c r="B2044" s="277" t="str">
        <f>'Production '!C2047</f>
        <v>46300 2nd</v>
      </c>
      <c r="C2044" s="76">
        <f ca="1">SUMIF('Production '!$C$4:$AI$4407,'Tracking Sheet'!B2044,'Production '!$M$4:$M$4407)</f>
        <v>1759</v>
      </c>
      <c r="D2044" s="76">
        <f ca="1">SUMIF('Production '!$C$4:$AI$4407,'Tracking Sheet'!B2044,'Production '!$Q$4:$Q$4407)</f>
        <v>1747</v>
      </c>
      <c r="E2044" s="76">
        <f ca="1">SUMIF('Production '!$C$4:$AI$4407,'Tracking Sheet'!B2044,'Production '!$S$4:$S$4407)</f>
        <v>1747</v>
      </c>
      <c r="F2044" s="76">
        <f ca="1">SUMIF('Production '!$C$4:$AI$4407,'Tracking Sheet'!B2044,'Production '!$U$4:$U$4407)</f>
        <v>11</v>
      </c>
      <c r="G2044" s="76">
        <f ca="1">SUMIF('Production '!$C$4:$AI$4407,'Tracking Sheet'!B2044,'Production '!$W$4:$W$4407)</f>
        <v>1736</v>
      </c>
      <c r="H2044" s="76">
        <f ca="1">SUMIF('Production '!$C$4:$AI$4407,'Tracking Sheet'!B2044,'Production '!$F$4:$F$4407)</f>
        <v>1700</v>
      </c>
      <c r="I2044" s="76">
        <f ca="1">SUMIF('Production '!$C$4:$AI$4407,'Tracking Sheet'!B2044,'Production '!$V$4:$V$4407)</f>
        <v>0</v>
      </c>
      <c r="J2044" s="76">
        <f ca="1">SUMIF('Production '!$C$4:$AI$4407,'Tracking Sheet'!B2044,'Production '!$AG$4:$AG$4407)</f>
        <v>0</v>
      </c>
    </row>
    <row r="2045" spans="2:10" x14ac:dyDescent="0.3">
      <c r="B2045" s="277">
        <f>'Production '!C2048</f>
        <v>0</v>
      </c>
      <c r="C2045" s="76" t="e">
        <f ca="1">SUMIF('Production '!$C$4:$AI$4407,'Tracking Sheet'!B2045,'Production '!$M$4:$M$4407)</f>
        <v>#DIV/0!</v>
      </c>
      <c r="D2045" s="76" t="e">
        <f ca="1">SUMIF('Production '!$C$4:$AI$4407,'Tracking Sheet'!B2045,'Production '!$Q$4:$Q$4407)</f>
        <v>#DIV/0!</v>
      </c>
      <c r="E2045" s="76">
        <f ca="1">SUMIF('Production '!$C$4:$AI$4407,'Tracking Sheet'!B2045,'Production '!$S$4:$S$4407)</f>
        <v>-1268218.9828305368</v>
      </c>
      <c r="F2045" s="76">
        <f ca="1">SUMIF('Production '!$C$4:$AI$4407,'Tracking Sheet'!B2045,'Production '!$U$4:$U$4407)</f>
        <v>-10620.435600016917</v>
      </c>
      <c r="G2045" s="76" t="e">
        <f ca="1">SUMIF('Production '!$C$4:$AI$4407,'Tracking Sheet'!B2045,'Production '!$W$4:$W$4407)</f>
        <v>#DIV/0!</v>
      </c>
      <c r="H2045" s="76">
        <f ca="1">SUMIF('Production '!$C$4:$AI$4407,'Tracking Sheet'!B2045,'Production '!$F$4:$F$4407)</f>
        <v>3230621.3283604058</v>
      </c>
      <c r="I2045" s="76">
        <f ca="1">SUMIF('Production '!$C$4:$AI$4407,'Tracking Sheet'!B2045,'Production '!$V$4:$V$4407)</f>
        <v>-489.86487791182844</v>
      </c>
      <c r="J2045" s="76">
        <f ca="1">SUMIF('Production '!$C$4:$AI$4407,'Tracking Sheet'!B2045,'Production '!$AG$4:$AG$4407)</f>
        <v>0</v>
      </c>
    </row>
    <row r="2046" spans="2:10" x14ac:dyDescent="0.3">
      <c r="B2046" s="277" t="str">
        <f>'Production '!C2049</f>
        <v>46301 2nd</v>
      </c>
      <c r="C2046" s="76">
        <f ca="1">SUMIF('Production '!$C$4:$AI$4407,'Tracking Sheet'!B2046,'Production '!$M$4:$M$4407)</f>
        <v>1553</v>
      </c>
      <c r="D2046" s="76">
        <f ca="1">SUMIF('Production '!$C$4:$AI$4407,'Tracking Sheet'!B2046,'Production '!$Q$4:$Q$4407)</f>
        <v>1553</v>
      </c>
      <c r="E2046" s="76">
        <f ca="1">SUMIF('Production '!$C$4:$AI$4407,'Tracking Sheet'!B2046,'Production '!$S$4:$S$4407)</f>
        <v>1553</v>
      </c>
      <c r="F2046" s="76">
        <f ca="1">SUMIF('Production '!$C$4:$AI$4407,'Tracking Sheet'!B2046,'Production '!$U$4:$U$4407)</f>
        <v>3</v>
      </c>
      <c r="G2046" s="76">
        <f ca="1">SUMIF('Production '!$C$4:$AI$4407,'Tracking Sheet'!B2046,'Production '!$W$4:$W$4407)</f>
        <v>1550</v>
      </c>
      <c r="H2046" s="76">
        <f ca="1">SUMIF('Production '!$C$4:$AI$4407,'Tracking Sheet'!B2046,'Production '!$F$4:$F$4407)</f>
        <v>1504</v>
      </c>
      <c r="I2046" s="76">
        <f ca="1">SUMIF('Production '!$C$4:$AI$4407,'Tracking Sheet'!B2046,'Production '!$V$4:$V$4407)</f>
        <v>0</v>
      </c>
      <c r="J2046" s="76">
        <f ca="1">SUMIF('Production '!$C$4:$AI$4407,'Tracking Sheet'!B2046,'Production '!$AG$4:$AG$4407)</f>
        <v>0</v>
      </c>
    </row>
    <row r="2047" spans="2:10" x14ac:dyDescent="0.3">
      <c r="B2047" s="277" t="str">
        <f>'Production '!C2050</f>
        <v>46301 2nd</v>
      </c>
      <c r="C2047" s="76">
        <f ca="1">SUMIF('Production '!$C$4:$AI$4407,'Tracking Sheet'!B2047,'Production '!$M$4:$M$4407)</f>
        <v>1553</v>
      </c>
      <c r="D2047" s="76">
        <f ca="1">SUMIF('Production '!$C$4:$AI$4407,'Tracking Sheet'!B2047,'Production '!$Q$4:$Q$4407)</f>
        <v>1553</v>
      </c>
      <c r="E2047" s="76">
        <f ca="1">SUMIF('Production '!$C$4:$AI$4407,'Tracking Sheet'!B2047,'Production '!$S$4:$S$4407)</f>
        <v>1553</v>
      </c>
      <c r="F2047" s="76">
        <f ca="1">SUMIF('Production '!$C$4:$AI$4407,'Tracking Sheet'!B2047,'Production '!$U$4:$U$4407)</f>
        <v>3</v>
      </c>
      <c r="G2047" s="76">
        <f ca="1">SUMIF('Production '!$C$4:$AI$4407,'Tracking Sheet'!B2047,'Production '!$W$4:$W$4407)</f>
        <v>1550</v>
      </c>
      <c r="H2047" s="76">
        <f ca="1">SUMIF('Production '!$C$4:$AI$4407,'Tracking Sheet'!B2047,'Production '!$F$4:$F$4407)</f>
        <v>1504</v>
      </c>
      <c r="I2047" s="76">
        <f ca="1">SUMIF('Production '!$C$4:$AI$4407,'Tracking Sheet'!B2047,'Production '!$V$4:$V$4407)</f>
        <v>0</v>
      </c>
      <c r="J2047" s="76">
        <f ca="1">SUMIF('Production '!$C$4:$AI$4407,'Tracking Sheet'!B2047,'Production '!$AG$4:$AG$4407)</f>
        <v>0</v>
      </c>
    </row>
    <row r="2048" spans="2:10" x14ac:dyDescent="0.3">
      <c r="B2048" s="277">
        <f>'Production '!C2051</f>
        <v>0</v>
      </c>
      <c r="C2048" s="76" t="e">
        <f ca="1">SUMIF('Production '!$C$4:$AI$4407,'Tracking Sheet'!B2048,'Production '!$M$4:$M$4407)</f>
        <v>#DIV/0!</v>
      </c>
      <c r="D2048" s="76" t="e">
        <f ca="1">SUMIF('Production '!$C$4:$AI$4407,'Tracking Sheet'!B2048,'Production '!$Q$4:$Q$4407)</f>
        <v>#DIV/0!</v>
      </c>
      <c r="E2048" s="76">
        <f ca="1">SUMIF('Production '!$C$4:$AI$4407,'Tracking Sheet'!B2048,'Production '!$S$4:$S$4407)</f>
        <v>-1268218.9828305368</v>
      </c>
      <c r="F2048" s="76">
        <f ca="1">SUMIF('Production '!$C$4:$AI$4407,'Tracking Sheet'!B2048,'Production '!$U$4:$U$4407)</f>
        <v>-10620.435600016917</v>
      </c>
      <c r="G2048" s="76" t="e">
        <f ca="1">SUMIF('Production '!$C$4:$AI$4407,'Tracking Sheet'!B2048,'Production '!$W$4:$W$4407)</f>
        <v>#DIV/0!</v>
      </c>
      <c r="H2048" s="76">
        <f ca="1">SUMIF('Production '!$C$4:$AI$4407,'Tracking Sheet'!B2048,'Production '!$F$4:$F$4407)</f>
        <v>3230621.3283604058</v>
      </c>
      <c r="I2048" s="76">
        <f ca="1">SUMIF('Production '!$C$4:$AI$4407,'Tracking Sheet'!B2048,'Production '!$V$4:$V$4407)</f>
        <v>-489.86487791182844</v>
      </c>
      <c r="J2048" s="76">
        <f ca="1">SUMIF('Production '!$C$4:$AI$4407,'Tracking Sheet'!B2048,'Production '!$AG$4:$AG$4407)</f>
        <v>0</v>
      </c>
    </row>
    <row r="2049" spans="2:10" x14ac:dyDescent="0.3">
      <c r="B2049" s="277" t="str">
        <f>'Production '!C2052</f>
        <v>46304 2nd</v>
      </c>
      <c r="C2049" s="76">
        <f ca="1">SUMIF('Production '!$C$4:$AI$4407,'Tracking Sheet'!B2049,'Production '!$M$4:$M$4407)</f>
        <v>3711</v>
      </c>
      <c r="D2049" s="76">
        <f ca="1">SUMIF('Production '!$C$4:$AI$4407,'Tracking Sheet'!B2049,'Production '!$Q$4:$Q$4407)</f>
        <v>3711</v>
      </c>
      <c r="E2049" s="76">
        <f ca="1">SUMIF('Production '!$C$4:$AI$4407,'Tracking Sheet'!B2049,'Production '!$S$4:$S$4407)</f>
        <v>3711</v>
      </c>
      <c r="F2049" s="76">
        <f ca="1">SUMIF('Production '!$C$4:$AI$4407,'Tracking Sheet'!B2049,'Production '!$U$4:$U$4407)</f>
        <v>2</v>
      </c>
      <c r="G2049" s="76">
        <f ca="1">SUMIF('Production '!$C$4:$AI$4407,'Tracking Sheet'!B2049,'Production '!$W$4:$W$4407)</f>
        <v>3709</v>
      </c>
      <c r="H2049" s="76">
        <f ca="1">SUMIF('Production '!$C$4:$AI$4407,'Tracking Sheet'!B2049,'Production '!$F$4:$F$4407)</f>
        <v>3630</v>
      </c>
      <c r="I2049" s="76">
        <f ca="1">SUMIF('Production '!$C$4:$AI$4407,'Tracking Sheet'!B2049,'Production '!$V$4:$V$4407)</f>
        <v>0</v>
      </c>
      <c r="J2049" s="76">
        <f ca="1">SUMIF('Production '!$C$4:$AI$4407,'Tracking Sheet'!B2049,'Production '!$AG$4:$AG$4407)</f>
        <v>0</v>
      </c>
    </row>
    <row r="2050" spans="2:10" x14ac:dyDescent="0.3">
      <c r="B2050" s="277" t="str">
        <f>'Production '!C2053</f>
        <v>46304 2nd</v>
      </c>
      <c r="C2050" s="76">
        <f ca="1">SUMIF('Production '!$C$4:$AI$4407,'Tracking Sheet'!B2050,'Production '!$M$4:$M$4407)</f>
        <v>3711</v>
      </c>
      <c r="D2050" s="76">
        <f ca="1">SUMIF('Production '!$C$4:$AI$4407,'Tracking Sheet'!B2050,'Production '!$Q$4:$Q$4407)</f>
        <v>3711</v>
      </c>
      <c r="E2050" s="76">
        <f ca="1">SUMIF('Production '!$C$4:$AI$4407,'Tracking Sheet'!B2050,'Production '!$S$4:$S$4407)</f>
        <v>3711</v>
      </c>
      <c r="F2050" s="76">
        <f ca="1">SUMIF('Production '!$C$4:$AI$4407,'Tracking Sheet'!B2050,'Production '!$U$4:$U$4407)</f>
        <v>2</v>
      </c>
      <c r="G2050" s="76">
        <f ca="1">SUMIF('Production '!$C$4:$AI$4407,'Tracking Sheet'!B2050,'Production '!$W$4:$W$4407)</f>
        <v>3709</v>
      </c>
      <c r="H2050" s="76">
        <f ca="1">SUMIF('Production '!$C$4:$AI$4407,'Tracking Sheet'!B2050,'Production '!$F$4:$F$4407)</f>
        <v>3630</v>
      </c>
      <c r="I2050" s="76">
        <f ca="1">SUMIF('Production '!$C$4:$AI$4407,'Tracking Sheet'!B2050,'Production '!$V$4:$V$4407)</f>
        <v>0</v>
      </c>
      <c r="J2050" s="76">
        <f ca="1">SUMIF('Production '!$C$4:$AI$4407,'Tracking Sheet'!B2050,'Production '!$AG$4:$AG$4407)</f>
        <v>0</v>
      </c>
    </row>
    <row r="2051" spans="2:10" x14ac:dyDescent="0.3">
      <c r="B2051" s="277">
        <f>'Production '!C2054</f>
        <v>0</v>
      </c>
      <c r="C2051" s="76" t="e">
        <f ca="1">SUMIF('Production '!$C$4:$AI$4407,'Tracking Sheet'!B2051,'Production '!$M$4:$M$4407)</f>
        <v>#DIV/0!</v>
      </c>
      <c r="D2051" s="76" t="e">
        <f ca="1">SUMIF('Production '!$C$4:$AI$4407,'Tracking Sheet'!B2051,'Production '!$Q$4:$Q$4407)</f>
        <v>#DIV/0!</v>
      </c>
      <c r="E2051" s="76">
        <f ca="1">SUMIF('Production '!$C$4:$AI$4407,'Tracking Sheet'!B2051,'Production '!$S$4:$S$4407)</f>
        <v>-1268218.9828305368</v>
      </c>
      <c r="F2051" s="76">
        <f ca="1">SUMIF('Production '!$C$4:$AI$4407,'Tracking Sheet'!B2051,'Production '!$U$4:$U$4407)</f>
        <v>-10620.435600016917</v>
      </c>
      <c r="G2051" s="76" t="e">
        <f ca="1">SUMIF('Production '!$C$4:$AI$4407,'Tracking Sheet'!B2051,'Production '!$W$4:$W$4407)</f>
        <v>#DIV/0!</v>
      </c>
      <c r="H2051" s="76">
        <f ca="1">SUMIF('Production '!$C$4:$AI$4407,'Tracking Sheet'!B2051,'Production '!$F$4:$F$4407)</f>
        <v>3230621.3283604058</v>
      </c>
      <c r="I2051" s="76">
        <f ca="1">SUMIF('Production '!$C$4:$AI$4407,'Tracking Sheet'!B2051,'Production '!$V$4:$V$4407)</f>
        <v>-489.86487791182844</v>
      </c>
      <c r="J2051" s="76">
        <f ca="1">SUMIF('Production '!$C$4:$AI$4407,'Tracking Sheet'!B2051,'Production '!$AG$4:$AG$4407)</f>
        <v>0</v>
      </c>
    </row>
    <row r="2052" spans="2:10" x14ac:dyDescent="0.3">
      <c r="B2052" s="277">
        <f>'Production '!C2055</f>
        <v>48167</v>
      </c>
      <c r="C2052" s="76">
        <f ca="1">SUMIF('Production '!$C$4:$AI$4407,'Tracking Sheet'!B2052,'Production '!$M$4:$M$4407)</f>
        <v>0</v>
      </c>
      <c r="D2052" s="76">
        <f ca="1">SUMIF('Production '!$C$4:$AI$4407,'Tracking Sheet'!B2052,'Production '!$Q$4:$Q$4407)</f>
        <v>0</v>
      </c>
      <c r="E2052" s="76">
        <f ca="1">SUMIF('Production '!$C$4:$AI$4407,'Tracking Sheet'!B2052,'Production '!$S$4:$S$4407)</f>
        <v>0</v>
      </c>
      <c r="F2052" s="76">
        <f ca="1">SUMIF('Production '!$C$4:$AI$4407,'Tracking Sheet'!B2052,'Production '!$U$4:$U$4407)</f>
        <v>0</v>
      </c>
      <c r="G2052" s="76">
        <f ca="1">SUMIF('Production '!$C$4:$AI$4407,'Tracking Sheet'!B2052,'Production '!$W$4:$W$4407)</f>
        <v>0</v>
      </c>
      <c r="H2052" s="76">
        <f ca="1">SUMIF('Production '!$C$4:$AI$4407,'Tracking Sheet'!B2052,'Production '!$F$4:$F$4407)</f>
        <v>6780</v>
      </c>
      <c r="I2052" s="76">
        <f ca="1">SUMIF('Production '!$C$4:$AI$4407,'Tracking Sheet'!B2052,'Production '!$V$4:$V$4407)</f>
        <v>0</v>
      </c>
      <c r="J2052" s="76">
        <f ca="1">SUMIF('Production '!$C$4:$AI$4407,'Tracking Sheet'!B2052,'Production '!$AG$4:$AG$4407)</f>
        <v>-6780</v>
      </c>
    </row>
    <row r="2053" spans="2:10" x14ac:dyDescent="0.3">
      <c r="B2053" s="277">
        <f>'Production '!C2056</f>
        <v>48167</v>
      </c>
      <c r="C2053" s="76">
        <f ca="1">SUMIF('Production '!$C$4:$AI$4407,'Tracking Sheet'!B2053,'Production '!$M$4:$M$4407)</f>
        <v>0</v>
      </c>
      <c r="D2053" s="76">
        <f ca="1">SUMIF('Production '!$C$4:$AI$4407,'Tracking Sheet'!B2053,'Production '!$Q$4:$Q$4407)</f>
        <v>0</v>
      </c>
      <c r="E2053" s="76">
        <f ca="1">SUMIF('Production '!$C$4:$AI$4407,'Tracking Sheet'!B2053,'Production '!$S$4:$S$4407)</f>
        <v>0</v>
      </c>
      <c r="F2053" s="76">
        <f ca="1">SUMIF('Production '!$C$4:$AI$4407,'Tracking Sheet'!B2053,'Production '!$U$4:$U$4407)</f>
        <v>0</v>
      </c>
      <c r="G2053" s="76">
        <f ca="1">SUMIF('Production '!$C$4:$AI$4407,'Tracking Sheet'!B2053,'Production '!$W$4:$W$4407)</f>
        <v>0</v>
      </c>
      <c r="H2053" s="76">
        <f ca="1">SUMIF('Production '!$C$4:$AI$4407,'Tracking Sheet'!B2053,'Production '!$F$4:$F$4407)</f>
        <v>6780</v>
      </c>
      <c r="I2053" s="76">
        <f ca="1">SUMIF('Production '!$C$4:$AI$4407,'Tracking Sheet'!B2053,'Production '!$V$4:$V$4407)</f>
        <v>0</v>
      </c>
      <c r="J2053" s="76">
        <f ca="1">SUMIF('Production '!$C$4:$AI$4407,'Tracking Sheet'!B2053,'Production '!$AG$4:$AG$4407)</f>
        <v>-6780</v>
      </c>
    </row>
    <row r="2054" spans="2:10" x14ac:dyDescent="0.3">
      <c r="B2054" s="277">
        <f>'Production '!C2057</f>
        <v>48167</v>
      </c>
      <c r="C2054" s="76">
        <f ca="1">SUMIF('Production '!$C$4:$AI$4407,'Tracking Sheet'!B2054,'Production '!$M$4:$M$4407)</f>
        <v>0</v>
      </c>
      <c r="D2054" s="76">
        <f ca="1">SUMIF('Production '!$C$4:$AI$4407,'Tracking Sheet'!B2054,'Production '!$Q$4:$Q$4407)</f>
        <v>0</v>
      </c>
      <c r="E2054" s="76">
        <f ca="1">SUMIF('Production '!$C$4:$AI$4407,'Tracking Sheet'!B2054,'Production '!$S$4:$S$4407)</f>
        <v>0</v>
      </c>
      <c r="F2054" s="76">
        <f ca="1">SUMIF('Production '!$C$4:$AI$4407,'Tracking Sheet'!B2054,'Production '!$U$4:$U$4407)</f>
        <v>0</v>
      </c>
      <c r="G2054" s="76">
        <f ca="1">SUMIF('Production '!$C$4:$AI$4407,'Tracking Sheet'!B2054,'Production '!$W$4:$W$4407)</f>
        <v>0</v>
      </c>
      <c r="H2054" s="76">
        <f ca="1">SUMIF('Production '!$C$4:$AI$4407,'Tracking Sheet'!B2054,'Production '!$F$4:$F$4407)</f>
        <v>6780</v>
      </c>
      <c r="I2054" s="76">
        <f ca="1">SUMIF('Production '!$C$4:$AI$4407,'Tracking Sheet'!B2054,'Production '!$V$4:$V$4407)</f>
        <v>0</v>
      </c>
      <c r="J2054" s="76">
        <f ca="1">SUMIF('Production '!$C$4:$AI$4407,'Tracking Sheet'!B2054,'Production '!$AG$4:$AG$4407)</f>
        <v>-6780</v>
      </c>
    </row>
    <row r="2055" spans="2:10" x14ac:dyDescent="0.3">
      <c r="B2055" s="277">
        <f>'Production '!C2058</f>
        <v>48167</v>
      </c>
      <c r="C2055" s="76">
        <f ca="1">SUMIF('Production '!$C$4:$AI$4407,'Tracking Sheet'!B2055,'Production '!$M$4:$M$4407)</f>
        <v>0</v>
      </c>
      <c r="D2055" s="76">
        <f ca="1">SUMIF('Production '!$C$4:$AI$4407,'Tracking Sheet'!B2055,'Production '!$Q$4:$Q$4407)</f>
        <v>0</v>
      </c>
      <c r="E2055" s="76">
        <f ca="1">SUMIF('Production '!$C$4:$AI$4407,'Tracking Sheet'!B2055,'Production '!$S$4:$S$4407)</f>
        <v>0</v>
      </c>
      <c r="F2055" s="76">
        <f ca="1">SUMIF('Production '!$C$4:$AI$4407,'Tracking Sheet'!B2055,'Production '!$U$4:$U$4407)</f>
        <v>0</v>
      </c>
      <c r="G2055" s="76">
        <f ca="1">SUMIF('Production '!$C$4:$AI$4407,'Tracking Sheet'!B2055,'Production '!$W$4:$W$4407)</f>
        <v>0</v>
      </c>
      <c r="H2055" s="76">
        <f ca="1">SUMIF('Production '!$C$4:$AI$4407,'Tracking Sheet'!B2055,'Production '!$F$4:$F$4407)</f>
        <v>6780</v>
      </c>
      <c r="I2055" s="76">
        <f ca="1">SUMIF('Production '!$C$4:$AI$4407,'Tracking Sheet'!B2055,'Production '!$V$4:$V$4407)</f>
        <v>0</v>
      </c>
      <c r="J2055" s="76">
        <f ca="1">SUMIF('Production '!$C$4:$AI$4407,'Tracking Sheet'!B2055,'Production '!$AG$4:$AG$4407)</f>
        <v>-6780</v>
      </c>
    </row>
    <row r="2056" spans="2:10" x14ac:dyDescent="0.3">
      <c r="B2056" s="277">
        <f>'Production '!C2059</f>
        <v>48167</v>
      </c>
      <c r="C2056" s="76">
        <f ca="1">SUMIF('Production '!$C$4:$AI$4407,'Tracking Sheet'!B2056,'Production '!$M$4:$M$4407)</f>
        <v>0</v>
      </c>
      <c r="D2056" s="76">
        <f ca="1">SUMIF('Production '!$C$4:$AI$4407,'Tracking Sheet'!B2056,'Production '!$Q$4:$Q$4407)</f>
        <v>0</v>
      </c>
      <c r="E2056" s="76">
        <f ca="1">SUMIF('Production '!$C$4:$AI$4407,'Tracking Sheet'!B2056,'Production '!$S$4:$S$4407)</f>
        <v>0</v>
      </c>
      <c r="F2056" s="76">
        <f ca="1">SUMIF('Production '!$C$4:$AI$4407,'Tracking Sheet'!B2056,'Production '!$U$4:$U$4407)</f>
        <v>0</v>
      </c>
      <c r="G2056" s="76">
        <f ca="1">SUMIF('Production '!$C$4:$AI$4407,'Tracking Sheet'!B2056,'Production '!$W$4:$W$4407)</f>
        <v>0</v>
      </c>
      <c r="H2056" s="76">
        <f ca="1">SUMIF('Production '!$C$4:$AI$4407,'Tracking Sheet'!B2056,'Production '!$F$4:$F$4407)</f>
        <v>6780</v>
      </c>
      <c r="I2056" s="76">
        <f ca="1">SUMIF('Production '!$C$4:$AI$4407,'Tracking Sheet'!B2056,'Production '!$V$4:$V$4407)</f>
        <v>0</v>
      </c>
      <c r="J2056" s="76">
        <f ca="1">SUMIF('Production '!$C$4:$AI$4407,'Tracking Sheet'!B2056,'Production '!$AG$4:$AG$4407)</f>
        <v>-6780</v>
      </c>
    </row>
    <row r="2057" spans="2:10" x14ac:dyDescent="0.3">
      <c r="B2057" s="277">
        <f>'Production '!C2060</f>
        <v>48167</v>
      </c>
      <c r="C2057" s="76">
        <f ca="1">SUMIF('Production '!$C$4:$AI$4407,'Tracking Sheet'!B2057,'Production '!$M$4:$M$4407)</f>
        <v>0</v>
      </c>
      <c r="D2057" s="76">
        <f ca="1">SUMIF('Production '!$C$4:$AI$4407,'Tracking Sheet'!B2057,'Production '!$Q$4:$Q$4407)</f>
        <v>0</v>
      </c>
      <c r="E2057" s="76">
        <f ca="1">SUMIF('Production '!$C$4:$AI$4407,'Tracking Sheet'!B2057,'Production '!$S$4:$S$4407)</f>
        <v>0</v>
      </c>
      <c r="F2057" s="76">
        <f ca="1">SUMIF('Production '!$C$4:$AI$4407,'Tracking Sheet'!B2057,'Production '!$U$4:$U$4407)</f>
        <v>0</v>
      </c>
      <c r="G2057" s="76">
        <f ca="1">SUMIF('Production '!$C$4:$AI$4407,'Tracking Sheet'!B2057,'Production '!$W$4:$W$4407)</f>
        <v>0</v>
      </c>
      <c r="H2057" s="76">
        <f ca="1">SUMIF('Production '!$C$4:$AI$4407,'Tracking Sheet'!B2057,'Production '!$F$4:$F$4407)</f>
        <v>6780</v>
      </c>
      <c r="I2057" s="76">
        <f ca="1">SUMIF('Production '!$C$4:$AI$4407,'Tracking Sheet'!B2057,'Production '!$V$4:$V$4407)</f>
        <v>0</v>
      </c>
      <c r="J2057" s="76">
        <f ca="1">SUMIF('Production '!$C$4:$AI$4407,'Tracking Sheet'!B2057,'Production '!$AG$4:$AG$4407)</f>
        <v>-6780</v>
      </c>
    </row>
    <row r="2058" spans="2:10" x14ac:dyDescent="0.3">
      <c r="B2058" s="277">
        <f>'Production '!C2061</f>
        <v>0</v>
      </c>
      <c r="C2058" s="76" t="e">
        <f ca="1">SUMIF('Production '!$C$4:$AI$4407,'Tracking Sheet'!B2058,'Production '!$M$4:$M$4407)</f>
        <v>#DIV/0!</v>
      </c>
      <c r="D2058" s="76" t="e">
        <f ca="1">SUMIF('Production '!$C$4:$AI$4407,'Tracking Sheet'!B2058,'Production '!$Q$4:$Q$4407)</f>
        <v>#DIV/0!</v>
      </c>
      <c r="E2058" s="76">
        <f ca="1">SUMIF('Production '!$C$4:$AI$4407,'Tracking Sheet'!B2058,'Production '!$S$4:$S$4407)</f>
        <v>-1268218.9828305368</v>
      </c>
      <c r="F2058" s="76">
        <f ca="1">SUMIF('Production '!$C$4:$AI$4407,'Tracking Sheet'!B2058,'Production '!$U$4:$U$4407)</f>
        <v>-10620.435600016917</v>
      </c>
      <c r="G2058" s="76" t="e">
        <f ca="1">SUMIF('Production '!$C$4:$AI$4407,'Tracking Sheet'!B2058,'Production '!$W$4:$W$4407)</f>
        <v>#DIV/0!</v>
      </c>
      <c r="H2058" s="76">
        <f ca="1">SUMIF('Production '!$C$4:$AI$4407,'Tracking Sheet'!B2058,'Production '!$F$4:$F$4407)</f>
        <v>3230621.3283604058</v>
      </c>
      <c r="I2058" s="76">
        <f ca="1">SUMIF('Production '!$C$4:$AI$4407,'Tracking Sheet'!B2058,'Production '!$V$4:$V$4407)</f>
        <v>-489.86487791182844</v>
      </c>
      <c r="J2058" s="76">
        <f ca="1">SUMIF('Production '!$C$4:$AI$4407,'Tracking Sheet'!B2058,'Production '!$AG$4:$AG$4407)</f>
        <v>0</v>
      </c>
    </row>
    <row r="2059" spans="2:10" x14ac:dyDescent="0.3">
      <c r="B2059" s="277" t="str">
        <f>'Production '!C2062</f>
        <v>44916 2nd</v>
      </c>
      <c r="C2059" s="76">
        <f ca="1">SUMIF('Production '!$C$4:$AI$4407,'Tracking Sheet'!B2059,'Production '!$M$4:$M$4407)</f>
        <v>0</v>
      </c>
      <c r="D2059" s="76">
        <f ca="1">SUMIF('Production '!$C$4:$AI$4407,'Tracking Sheet'!B2059,'Production '!$Q$4:$Q$4407)</f>
        <v>0</v>
      </c>
      <c r="E2059" s="76">
        <f ca="1">SUMIF('Production '!$C$4:$AI$4407,'Tracking Sheet'!B2059,'Production '!$S$4:$S$4407)</f>
        <v>0</v>
      </c>
      <c r="F2059" s="76">
        <f ca="1">SUMIF('Production '!$C$4:$AI$4407,'Tracking Sheet'!B2059,'Production '!$U$4:$U$4407)</f>
        <v>0</v>
      </c>
      <c r="G2059" s="76">
        <f ca="1">SUMIF('Production '!$C$4:$AI$4407,'Tracking Sheet'!B2059,'Production '!$W$4:$W$4407)</f>
        <v>0</v>
      </c>
      <c r="H2059" s="76">
        <f ca="1">SUMIF('Production '!$C$4:$AI$4407,'Tracking Sheet'!B2059,'Production '!$F$4:$F$4407)</f>
        <v>5784</v>
      </c>
      <c r="I2059" s="76">
        <f ca="1">SUMIF('Production '!$C$4:$AI$4407,'Tracking Sheet'!B2059,'Production '!$V$4:$V$4407)</f>
        <v>0</v>
      </c>
      <c r="J2059" s="76">
        <f ca="1">SUMIF('Production '!$C$4:$AI$4407,'Tracking Sheet'!B2059,'Production '!$AG$4:$AG$4407)</f>
        <v>-5784</v>
      </c>
    </row>
    <row r="2060" spans="2:10" x14ac:dyDescent="0.3">
      <c r="B2060" s="277" t="str">
        <f>'Production '!C2063</f>
        <v>44916 2nd</v>
      </c>
      <c r="C2060" s="76">
        <f ca="1">SUMIF('Production '!$C$4:$AI$4407,'Tracking Sheet'!B2060,'Production '!$M$4:$M$4407)</f>
        <v>0</v>
      </c>
      <c r="D2060" s="76">
        <f ca="1">SUMIF('Production '!$C$4:$AI$4407,'Tracking Sheet'!B2060,'Production '!$Q$4:$Q$4407)</f>
        <v>0</v>
      </c>
      <c r="E2060" s="76">
        <f ca="1">SUMIF('Production '!$C$4:$AI$4407,'Tracking Sheet'!B2060,'Production '!$S$4:$S$4407)</f>
        <v>0</v>
      </c>
      <c r="F2060" s="76">
        <f ca="1">SUMIF('Production '!$C$4:$AI$4407,'Tracking Sheet'!B2060,'Production '!$U$4:$U$4407)</f>
        <v>0</v>
      </c>
      <c r="G2060" s="76">
        <f ca="1">SUMIF('Production '!$C$4:$AI$4407,'Tracking Sheet'!B2060,'Production '!$W$4:$W$4407)</f>
        <v>0</v>
      </c>
      <c r="H2060" s="76">
        <f ca="1">SUMIF('Production '!$C$4:$AI$4407,'Tracking Sheet'!B2060,'Production '!$F$4:$F$4407)</f>
        <v>5784</v>
      </c>
      <c r="I2060" s="76">
        <f ca="1">SUMIF('Production '!$C$4:$AI$4407,'Tracking Sheet'!B2060,'Production '!$V$4:$V$4407)</f>
        <v>0</v>
      </c>
      <c r="J2060" s="76">
        <f ca="1">SUMIF('Production '!$C$4:$AI$4407,'Tracking Sheet'!B2060,'Production '!$AG$4:$AG$4407)</f>
        <v>-5784</v>
      </c>
    </row>
    <row r="2061" spans="2:10" x14ac:dyDescent="0.3">
      <c r="B2061" s="277" t="str">
        <f>'Production '!C2064</f>
        <v>44916 2nd</v>
      </c>
      <c r="C2061" s="76">
        <f ca="1">SUMIF('Production '!$C$4:$AI$4407,'Tracking Sheet'!B2061,'Production '!$M$4:$M$4407)</f>
        <v>0</v>
      </c>
      <c r="D2061" s="76">
        <f ca="1">SUMIF('Production '!$C$4:$AI$4407,'Tracking Sheet'!B2061,'Production '!$Q$4:$Q$4407)</f>
        <v>0</v>
      </c>
      <c r="E2061" s="76">
        <f ca="1">SUMIF('Production '!$C$4:$AI$4407,'Tracking Sheet'!B2061,'Production '!$S$4:$S$4407)</f>
        <v>0</v>
      </c>
      <c r="F2061" s="76">
        <f ca="1">SUMIF('Production '!$C$4:$AI$4407,'Tracking Sheet'!B2061,'Production '!$U$4:$U$4407)</f>
        <v>0</v>
      </c>
      <c r="G2061" s="76">
        <f ca="1">SUMIF('Production '!$C$4:$AI$4407,'Tracking Sheet'!B2061,'Production '!$W$4:$W$4407)</f>
        <v>0</v>
      </c>
      <c r="H2061" s="76">
        <f ca="1">SUMIF('Production '!$C$4:$AI$4407,'Tracking Sheet'!B2061,'Production '!$F$4:$F$4407)</f>
        <v>5784</v>
      </c>
      <c r="I2061" s="76">
        <f ca="1">SUMIF('Production '!$C$4:$AI$4407,'Tracking Sheet'!B2061,'Production '!$V$4:$V$4407)</f>
        <v>0</v>
      </c>
      <c r="J2061" s="76">
        <f ca="1">SUMIF('Production '!$C$4:$AI$4407,'Tracking Sheet'!B2061,'Production '!$AG$4:$AG$4407)</f>
        <v>-5784</v>
      </c>
    </row>
    <row r="2062" spans="2:10" x14ac:dyDescent="0.3">
      <c r="B2062" s="277" t="str">
        <f>'Production '!C2065</f>
        <v>44916 2nd</v>
      </c>
      <c r="C2062" s="76">
        <f ca="1">SUMIF('Production '!$C$4:$AI$4407,'Tracking Sheet'!B2062,'Production '!$M$4:$M$4407)</f>
        <v>0</v>
      </c>
      <c r="D2062" s="76">
        <f ca="1">SUMIF('Production '!$C$4:$AI$4407,'Tracking Sheet'!B2062,'Production '!$Q$4:$Q$4407)</f>
        <v>0</v>
      </c>
      <c r="E2062" s="76">
        <f ca="1">SUMIF('Production '!$C$4:$AI$4407,'Tracking Sheet'!B2062,'Production '!$S$4:$S$4407)</f>
        <v>0</v>
      </c>
      <c r="F2062" s="76">
        <f ca="1">SUMIF('Production '!$C$4:$AI$4407,'Tracking Sheet'!B2062,'Production '!$U$4:$U$4407)</f>
        <v>0</v>
      </c>
      <c r="G2062" s="76">
        <f ca="1">SUMIF('Production '!$C$4:$AI$4407,'Tracking Sheet'!B2062,'Production '!$W$4:$W$4407)</f>
        <v>0</v>
      </c>
      <c r="H2062" s="76">
        <f ca="1">SUMIF('Production '!$C$4:$AI$4407,'Tracking Sheet'!B2062,'Production '!$F$4:$F$4407)</f>
        <v>5784</v>
      </c>
      <c r="I2062" s="76">
        <f ca="1">SUMIF('Production '!$C$4:$AI$4407,'Tracking Sheet'!B2062,'Production '!$V$4:$V$4407)</f>
        <v>0</v>
      </c>
      <c r="J2062" s="76">
        <f ca="1">SUMIF('Production '!$C$4:$AI$4407,'Tracking Sheet'!B2062,'Production '!$AG$4:$AG$4407)</f>
        <v>-5784</v>
      </c>
    </row>
    <row r="2063" spans="2:10" x14ac:dyDescent="0.3">
      <c r="B2063" s="277" t="str">
        <f>'Production '!C2066</f>
        <v>44916 2nd</v>
      </c>
      <c r="C2063" s="76">
        <f ca="1">SUMIF('Production '!$C$4:$AI$4407,'Tracking Sheet'!B2063,'Production '!$M$4:$M$4407)</f>
        <v>0</v>
      </c>
      <c r="D2063" s="76">
        <f ca="1">SUMIF('Production '!$C$4:$AI$4407,'Tracking Sheet'!B2063,'Production '!$Q$4:$Q$4407)</f>
        <v>0</v>
      </c>
      <c r="E2063" s="76">
        <f ca="1">SUMIF('Production '!$C$4:$AI$4407,'Tracking Sheet'!B2063,'Production '!$S$4:$S$4407)</f>
        <v>0</v>
      </c>
      <c r="F2063" s="76">
        <f ca="1">SUMIF('Production '!$C$4:$AI$4407,'Tracking Sheet'!B2063,'Production '!$U$4:$U$4407)</f>
        <v>0</v>
      </c>
      <c r="G2063" s="76">
        <f ca="1">SUMIF('Production '!$C$4:$AI$4407,'Tracking Sheet'!B2063,'Production '!$W$4:$W$4407)</f>
        <v>0</v>
      </c>
      <c r="H2063" s="76">
        <f ca="1">SUMIF('Production '!$C$4:$AI$4407,'Tracking Sheet'!B2063,'Production '!$F$4:$F$4407)</f>
        <v>5784</v>
      </c>
      <c r="I2063" s="76">
        <f ca="1">SUMIF('Production '!$C$4:$AI$4407,'Tracking Sheet'!B2063,'Production '!$V$4:$V$4407)</f>
        <v>0</v>
      </c>
      <c r="J2063" s="76">
        <f ca="1">SUMIF('Production '!$C$4:$AI$4407,'Tracking Sheet'!B2063,'Production '!$AG$4:$AG$4407)</f>
        <v>-5784</v>
      </c>
    </row>
    <row r="2064" spans="2:10" x14ac:dyDescent="0.3">
      <c r="B2064" s="277">
        <f>'Production '!C2067</f>
        <v>0</v>
      </c>
      <c r="C2064" s="76" t="e">
        <f ca="1">SUMIF('Production '!$C$4:$AI$4407,'Tracking Sheet'!B2064,'Production '!$M$4:$M$4407)</f>
        <v>#DIV/0!</v>
      </c>
      <c r="D2064" s="76" t="e">
        <f ca="1">SUMIF('Production '!$C$4:$AI$4407,'Tracking Sheet'!B2064,'Production '!$Q$4:$Q$4407)</f>
        <v>#DIV/0!</v>
      </c>
      <c r="E2064" s="76">
        <f ca="1">SUMIF('Production '!$C$4:$AI$4407,'Tracking Sheet'!B2064,'Production '!$S$4:$S$4407)</f>
        <v>-1268218.9828305368</v>
      </c>
      <c r="F2064" s="76">
        <f ca="1">SUMIF('Production '!$C$4:$AI$4407,'Tracking Sheet'!B2064,'Production '!$U$4:$U$4407)</f>
        <v>-10620.435600016917</v>
      </c>
      <c r="G2064" s="76" t="e">
        <f ca="1">SUMIF('Production '!$C$4:$AI$4407,'Tracking Sheet'!B2064,'Production '!$W$4:$W$4407)</f>
        <v>#DIV/0!</v>
      </c>
      <c r="H2064" s="76">
        <f ca="1">SUMIF('Production '!$C$4:$AI$4407,'Tracking Sheet'!B2064,'Production '!$F$4:$F$4407)</f>
        <v>3230621.3283604058</v>
      </c>
      <c r="I2064" s="76">
        <f ca="1">SUMIF('Production '!$C$4:$AI$4407,'Tracking Sheet'!B2064,'Production '!$V$4:$V$4407)</f>
        <v>-489.86487791182844</v>
      </c>
      <c r="J2064" s="76">
        <f ca="1">SUMIF('Production '!$C$4:$AI$4407,'Tracking Sheet'!B2064,'Production '!$AG$4:$AG$4407)</f>
        <v>0</v>
      </c>
    </row>
    <row r="2065" spans="2:10" x14ac:dyDescent="0.3">
      <c r="B2065" s="277" t="str">
        <f>'Production '!C2068</f>
        <v>44675 2nd</v>
      </c>
      <c r="C2065" s="76">
        <f ca="1">SUMIF('Production '!$C$4:$AI$4407,'Tracking Sheet'!B2065,'Production '!$M$4:$M$4407)</f>
        <v>11313</v>
      </c>
      <c r="D2065" s="76">
        <f ca="1">SUMIF('Production '!$C$4:$AI$4407,'Tracking Sheet'!B2065,'Production '!$Q$4:$Q$4407)</f>
        <v>11308</v>
      </c>
      <c r="E2065" s="76">
        <f ca="1">SUMIF('Production '!$C$4:$AI$4407,'Tracking Sheet'!B2065,'Production '!$S$4:$S$4407)</f>
        <v>11306</v>
      </c>
      <c r="F2065" s="76">
        <f ca="1">SUMIF('Production '!$C$4:$AI$4407,'Tracking Sheet'!B2065,'Production '!$U$4:$U$4407)</f>
        <v>27</v>
      </c>
      <c r="G2065" s="76">
        <f ca="1">SUMIF('Production '!$C$4:$AI$4407,'Tracking Sheet'!B2065,'Production '!$W$4:$W$4407)</f>
        <v>11279</v>
      </c>
      <c r="H2065" s="76">
        <f ca="1">SUMIF('Production '!$C$4:$AI$4407,'Tracking Sheet'!B2065,'Production '!$F$4:$F$4407)</f>
        <v>11044</v>
      </c>
      <c r="I2065" s="76">
        <f ca="1">SUMIF('Production '!$C$4:$AI$4407,'Tracking Sheet'!B2065,'Production '!$V$4:$V$4407)</f>
        <v>0</v>
      </c>
      <c r="J2065" s="76">
        <f ca="1">SUMIF('Production '!$C$4:$AI$4407,'Tracking Sheet'!B2065,'Production '!$AG$4:$AG$4407)</f>
        <v>0</v>
      </c>
    </row>
    <row r="2066" spans="2:10" x14ac:dyDescent="0.3">
      <c r="B2066" s="277" t="str">
        <f>'Production '!C2069</f>
        <v>44675 2nd</v>
      </c>
      <c r="C2066" s="76">
        <f ca="1">SUMIF('Production '!$C$4:$AI$4407,'Tracking Sheet'!B2066,'Production '!$M$4:$M$4407)</f>
        <v>11313</v>
      </c>
      <c r="D2066" s="76">
        <f ca="1">SUMIF('Production '!$C$4:$AI$4407,'Tracking Sheet'!B2066,'Production '!$Q$4:$Q$4407)</f>
        <v>11308</v>
      </c>
      <c r="E2066" s="76">
        <f ca="1">SUMIF('Production '!$C$4:$AI$4407,'Tracking Sheet'!B2066,'Production '!$S$4:$S$4407)</f>
        <v>11306</v>
      </c>
      <c r="F2066" s="76">
        <f ca="1">SUMIF('Production '!$C$4:$AI$4407,'Tracking Sheet'!B2066,'Production '!$U$4:$U$4407)</f>
        <v>27</v>
      </c>
      <c r="G2066" s="76">
        <f ca="1">SUMIF('Production '!$C$4:$AI$4407,'Tracking Sheet'!B2066,'Production '!$W$4:$W$4407)</f>
        <v>11279</v>
      </c>
      <c r="H2066" s="76">
        <f ca="1">SUMIF('Production '!$C$4:$AI$4407,'Tracking Sheet'!B2066,'Production '!$F$4:$F$4407)</f>
        <v>11044</v>
      </c>
      <c r="I2066" s="76">
        <f ca="1">SUMIF('Production '!$C$4:$AI$4407,'Tracking Sheet'!B2066,'Production '!$V$4:$V$4407)</f>
        <v>0</v>
      </c>
      <c r="J2066" s="76">
        <f ca="1">SUMIF('Production '!$C$4:$AI$4407,'Tracking Sheet'!B2066,'Production '!$AG$4:$AG$4407)</f>
        <v>0</v>
      </c>
    </row>
    <row r="2067" spans="2:10" x14ac:dyDescent="0.3">
      <c r="B2067" s="277" t="str">
        <f>'Production '!C2070</f>
        <v>44675 2nd</v>
      </c>
      <c r="C2067" s="76">
        <f ca="1">SUMIF('Production '!$C$4:$AI$4407,'Tracking Sheet'!B2067,'Production '!$M$4:$M$4407)</f>
        <v>11313</v>
      </c>
      <c r="D2067" s="76">
        <f ca="1">SUMIF('Production '!$C$4:$AI$4407,'Tracking Sheet'!B2067,'Production '!$Q$4:$Q$4407)</f>
        <v>11308</v>
      </c>
      <c r="E2067" s="76">
        <f ca="1">SUMIF('Production '!$C$4:$AI$4407,'Tracking Sheet'!B2067,'Production '!$S$4:$S$4407)</f>
        <v>11306</v>
      </c>
      <c r="F2067" s="76">
        <f ca="1">SUMIF('Production '!$C$4:$AI$4407,'Tracking Sheet'!B2067,'Production '!$U$4:$U$4407)</f>
        <v>27</v>
      </c>
      <c r="G2067" s="76">
        <f ca="1">SUMIF('Production '!$C$4:$AI$4407,'Tracking Sheet'!B2067,'Production '!$W$4:$W$4407)</f>
        <v>11279</v>
      </c>
      <c r="H2067" s="76">
        <f ca="1">SUMIF('Production '!$C$4:$AI$4407,'Tracking Sheet'!B2067,'Production '!$F$4:$F$4407)</f>
        <v>11044</v>
      </c>
      <c r="I2067" s="76">
        <f ca="1">SUMIF('Production '!$C$4:$AI$4407,'Tracking Sheet'!B2067,'Production '!$V$4:$V$4407)</f>
        <v>0</v>
      </c>
      <c r="J2067" s="76">
        <f ca="1">SUMIF('Production '!$C$4:$AI$4407,'Tracking Sheet'!B2067,'Production '!$AG$4:$AG$4407)</f>
        <v>0</v>
      </c>
    </row>
    <row r="2068" spans="2:10" x14ac:dyDescent="0.3">
      <c r="B2068" s="277" t="str">
        <f>'Production '!C2071</f>
        <v>44675 2nd</v>
      </c>
      <c r="C2068" s="76">
        <f ca="1">SUMIF('Production '!$C$4:$AI$4407,'Tracking Sheet'!B2068,'Production '!$M$4:$M$4407)</f>
        <v>11313</v>
      </c>
      <c r="D2068" s="76">
        <f ca="1">SUMIF('Production '!$C$4:$AI$4407,'Tracking Sheet'!B2068,'Production '!$Q$4:$Q$4407)</f>
        <v>11308</v>
      </c>
      <c r="E2068" s="76">
        <f ca="1">SUMIF('Production '!$C$4:$AI$4407,'Tracking Sheet'!B2068,'Production '!$S$4:$S$4407)</f>
        <v>11306</v>
      </c>
      <c r="F2068" s="76">
        <f ca="1">SUMIF('Production '!$C$4:$AI$4407,'Tracking Sheet'!B2068,'Production '!$U$4:$U$4407)</f>
        <v>27</v>
      </c>
      <c r="G2068" s="76">
        <f ca="1">SUMIF('Production '!$C$4:$AI$4407,'Tracking Sheet'!B2068,'Production '!$W$4:$W$4407)</f>
        <v>11279</v>
      </c>
      <c r="H2068" s="76">
        <f ca="1">SUMIF('Production '!$C$4:$AI$4407,'Tracking Sheet'!B2068,'Production '!$F$4:$F$4407)</f>
        <v>11044</v>
      </c>
      <c r="I2068" s="76">
        <f ca="1">SUMIF('Production '!$C$4:$AI$4407,'Tracking Sheet'!B2068,'Production '!$V$4:$V$4407)</f>
        <v>0</v>
      </c>
      <c r="J2068" s="76">
        <f ca="1">SUMIF('Production '!$C$4:$AI$4407,'Tracking Sheet'!B2068,'Production '!$AG$4:$AG$4407)</f>
        <v>0</v>
      </c>
    </row>
    <row r="2069" spans="2:10" x14ac:dyDescent="0.3">
      <c r="B2069" s="277" t="str">
        <f>'Production '!C2072</f>
        <v>44675 2nd</v>
      </c>
      <c r="C2069" s="76">
        <f ca="1">SUMIF('Production '!$C$4:$AI$4407,'Tracking Sheet'!B2069,'Production '!$M$4:$M$4407)</f>
        <v>11313</v>
      </c>
      <c r="D2069" s="76">
        <f ca="1">SUMIF('Production '!$C$4:$AI$4407,'Tracking Sheet'!B2069,'Production '!$Q$4:$Q$4407)</f>
        <v>11308</v>
      </c>
      <c r="E2069" s="76">
        <f ca="1">SUMIF('Production '!$C$4:$AI$4407,'Tracking Sheet'!B2069,'Production '!$S$4:$S$4407)</f>
        <v>11306</v>
      </c>
      <c r="F2069" s="76">
        <f ca="1">SUMIF('Production '!$C$4:$AI$4407,'Tracking Sheet'!B2069,'Production '!$U$4:$U$4407)</f>
        <v>27</v>
      </c>
      <c r="G2069" s="76">
        <f ca="1">SUMIF('Production '!$C$4:$AI$4407,'Tracking Sheet'!B2069,'Production '!$W$4:$W$4407)</f>
        <v>11279</v>
      </c>
      <c r="H2069" s="76">
        <f ca="1">SUMIF('Production '!$C$4:$AI$4407,'Tracking Sheet'!B2069,'Production '!$F$4:$F$4407)</f>
        <v>11044</v>
      </c>
      <c r="I2069" s="76">
        <f ca="1">SUMIF('Production '!$C$4:$AI$4407,'Tracking Sheet'!B2069,'Production '!$V$4:$V$4407)</f>
        <v>0</v>
      </c>
      <c r="J2069" s="76">
        <f ca="1">SUMIF('Production '!$C$4:$AI$4407,'Tracking Sheet'!B2069,'Production '!$AG$4:$AG$4407)</f>
        <v>0</v>
      </c>
    </row>
    <row r="2070" spans="2:10" x14ac:dyDescent="0.3">
      <c r="B2070" s="277" t="str">
        <f>'Production '!C2073</f>
        <v>44675 2nd</v>
      </c>
      <c r="C2070" s="76">
        <f ca="1">SUMIF('Production '!$C$4:$AI$4407,'Tracking Sheet'!B2070,'Production '!$M$4:$M$4407)</f>
        <v>11313</v>
      </c>
      <c r="D2070" s="76">
        <f ca="1">SUMIF('Production '!$C$4:$AI$4407,'Tracking Sheet'!B2070,'Production '!$Q$4:$Q$4407)</f>
        <v>11308</v>
      </c>
      <c r="E2070" s="76">
        <f ca="1">SUMIF('Production '!$C$4:$AI$4407,'Tracking Sheet'!B2070,'Production '!$S$4:$S$4407)</f>
        <v>11306</v>
      </c>
      <c r="F2070" s="76">
        <f ca="1">SUMIF('Production '!$C$4:$AI$4407,'Tracking Sheet'!B2070,'Production '!$U$4:$U$4407)</f>
        <v>27</v>
      </c>
      <c r="G2070" s="76">
        <f ca="1">SUMIF('Production '!$C$4:$AI$4407,'Tracking Sheet'!B2070,'Production '!$W$4:$W$4407)</f>
        <v>11279</v>
      </c>
      <c r="H2070" s="76">
        <f ca="1">SUMIF('Production '!$C$4:$AI$4407,'Tracking Sheet'!B2070,'Production '!$F$4:$F$4407)</f>
        <v>11044</v>
      </c>
      <c r="I2070" s="76">
        <f ca="1">SUMIF('Production '!$C$4:$AI$4407,'Tracking Sheet'!B2070,'Production '!$V$4:$V$4407)</f>
        <v>0</v>
      </c>
      <c r="J2070" s="76">
        <f ca="1">SUMIF('Production '!$C$4:$AI$4407,'Tracking Sheet'!B2070,'Production '!$AG$4:$AG$4407)</f>
        <v>0</v>
      </c>
    </row>
    <row r="2071" spans="2:10" x14ac:dyDescent="0.3">
      <c r="B2071" s="277">
        <f>'Production '!C2074</f>
        <v>0</v>
      </c>
      <c r="C2071" s="76" t="e">
        <f ca="1">SUMIF('Production '!$C$4:$AI$4407,'Tracking Sheet'!B2071,'Production '!$M$4:$M$4407)</f>
        <v>#DIV/0!</v>
      </c>
      <c r="D2071" s="76" t="e">
        <f ca="1">SUMIF('Production '!$C$4:$AI$4407,'Tracking Sheet'!B2071,'Production '!$Q$4:$Q$4407)</f>
        <v>#DIV/0!</v>
      </c>
      <c r="E2071" s="76">
        <f ca="1">SUMIF('Production '!$C$4:$AI$4407,'Tracking Sheet'!B2071,'Production '!$S$4:$S$4407)</f>
        <v>-1268218.9828305368</v>
      </c>
      <c r="F2071" s="76">
        <f ca="1">SUMIF('Production '!$C$4:$AI$4407,'Tracking Sheet'!B2071,'Production '!$U$4:$U$4407)</f>
        <v>-10620.435600016917</v>
      </c>
      <c r="G2071" s="76" t="e">
        <f ca="1">SUMIF('Production '!$C$4:$AI$4407,'Tracking Sheet'!B2071,'Production '!$W$4:$W$4407)</f>
        <v>#DIV/0!</v>
      </c>
      <c r="H2071" s="76">
        <f ca="1">SUMIF('Production '!$C$4:$AI$4407,'Tracking Sheet'!B2071,'Production '!$F$4:$F$4407)</f>
        <v>3230621.3283604058</v>
      </c>
      <c r="I2071" s="76">
        <f ca="1">SUMIF('Production '!$C$4:$AI$4407,'Tracking Sheet'!B2071,'Production '!$V$4:$V$4407)</f>
        <v>-489.86487791182844</v>
      </c>
      <c r="J2071" s="76">
        <f ca="1">SUMIF('Production '!$C$4:$AI$4407,'Tracking Sheet'!B2071,'Production '!$AG$4:$AG$4407)</f>
        <v>0</v>
      </c>
    </row>
    <row r="2072" spans="2:10" x14ac:dyDescent="0.3">
      <c r="B2072" s="277">
        <f>'Production '!C2075</f>
        <v>48209</v>
      </c>
      <c r="C2072" s="76">
        <f ca="1">SUMIF('Production '!$C$4:$AI$4407,'Tracking Sheet'!B2072,'Production '!$M$4:$M$4407)</f>
        <v>0</v>
      </c>
      <c r="D2072" s="76">
        <f ca="1">SUMIF('Production '!$C$4:$AI$4407,'Tracking Sheet'!B2072,'Production '!$Q$4:$Q$4407)</f>
        <v>0</v>
      </c>
      <c r="E2072" s="76">
        <f ca="1">SUMIF('Production '!$C$4:$AI$4407,'Tracking Sheet'!B2072,'Production '!$S$4:$S$4407)</f>
        <v>0</v>
      </c>
      <c r="F2072" s="76">
        <f ca="1">SUMIF('Production '!$C$4:$AI$4407,'Tracking Sheet'!B2072,'Production '!$U$4:$U$4407)</f>
        <v>0</v>
      </c>
      <c r="G2072" s="76">
        <f ca="1">SUMIF('Production '!$C$4:$AI$4407,'Tracking Sheet'!B2072,'Production '!$W$4:$W$4407)</f>
        <v>0</v>
      </c>
      <c r="H2072" s="76">
        <f ca="1">SUMIF('Production '!$C$4:$AI$4407,'Tracking Sheet'!B2072,'Production '!$F$4:$F$4407)</f>
        <v>2602</v>
      </c>
      <c r="I2072" s="76">
        <f ca="1">SUMIF('Production '!$C$4:$AI$4407,'Tracking Sheet'!B2072,'Production '!$V$4:$V$4407)</f>
        <v>0</v>
      </c>
      <c r="J2072" s="76">
        <f ca="1">SUMIF('Production '!$C$4:$AI$4407,'Tracking Sheet'!B2072,'Production '!$AG$4:$AG$4407)</f>
        <v>-2602</v>
      </c>
    </row>
    <row r="2073" spans="2:10" x14ac:dyDescent="0.3">
      <c r="B2073" s="277">
        <f>'Production '!C2076</f>
        <v>48209</v>
      </c>
      <c r="C2073" s="76">
        <f ca="1">SUMIF('Production '!$C$4:$AI$4407,'Tracking Sheet'!B2073,'Production '!$M$4:$M$4407)</f>
        <v>0</v>
      </c>
      <c r="D2073" s="76">
        <f ca="1">SUMIF('Production '!$C$4:$AI$4407,'Tracking Sheet'!B2073,'Production '!$Q$4:$Q$4407)</f>
        <v>0</v>
      </c>
      <c r="E2073" s="76">
        <f ca="1">SUMIF('Production '!$C$4:$AI$4407,'Tracking Sheet'!B2073,'Production '!$S$4:$S$4407)</f>
        <v>0</v>
      </c>
      <c r="F2073" s="76">
        <f ca="1">SUMIF('Production '!$C$4:$AI$4407,'Tracking Sheet'!B2073,'Production '!$U$4:$U$4407)</f>
        <v>0</v>
      </c>
      <c r="G2073" s="76">
        <f ca="1">SUMIF('Production '!$C$4:$AI$4407,'Tracking Sheet'!B2073,'Production '!$W$4:$W$4407)</f>
        <v>0</v>
      </c>
      <c r="H2073" s="76">
        <f ca="1">SUMIF('Production '!$C$4:$AI$4407,'Tracking Sheet'!B2073,'Production '!$F$4:$F$4407)</f>
        <v>2602</v>
      </c>
      <c r="I2073" s="76">
        <f ca="1">SUMIF('Production '!$C$4:$AI$4407,'Tracking Sheet'!B2073,'Production '!$V$4:$V$4407)</f>
        <v>0</v>
      </c>
      <c r="J2073" s="76">
        <f ca="1">SUMIF('Production '!$C$4:$AI$4407,'Tracking Sheet'!B2073,'Production '!$AG$4:$AG$4407)</f>
        <v>-2602</v>
      </c>
    </row>
    <row r="2074" spans="2:10" x14ac:dyDescent="0.3">
      <c r="B2074" s="277">
        <f>'Production '!C2077</f>
        <v>48209</v>
      </c>
      <c r="C2074" s="76">
        <f ca="1">SUMIF('Production '!$C$4:$AI$4407,'Tracking Sheet'!B2074,'Production '!$M$4:$M$4407)</f>
        <v>0</v>
      </c>
      <c r="D2074" s="76">
        <f ca="1">SUMIF('Production '!$C$4:$AI$4407,'Tracking Sheet'!B2074,'Production '!$Q$4:$Q$4407)</f>
        <v>0</v>
      </c>
      <c r="E2074" s="76">
        <f ca="1">SUMIF('Production '!$C$4:$AI$4407,'Tracking Sheet'!B2074,'Production '!$S$4:$S$4407)</f>
        <v>0</v>
      </c>
      <c r="F2074" s="76">
        <f ca="1">SUMIF('Production '!$C$4:$AI$4407,'Tracking Sheet'!B2074,'Production '!$U$4:$U$4407)</f>
        <v>0</v>
      </c>
      <c r="G2074" s="76">
        <f ca="1">SUMIF('Production '!$C$4:$AI$4407,'Tracking Sheet'!B2074,'Production '!$W$4:$W$4407)</f>
        <v>0</v>
      </c>
      <c r="H2074" s="76">
        <f ca="1">SUMIF('Production '!$C$4:$AI$4407,'Tracking Sheet'!B2074,'Production '!$F$4:$F$4407)</f>
        <v>2602</v>
      </c>
      <c r="I2074" s="76">
        <f ca="1">SUMIF('Production '!$C$4:$AI$4407,'Tracking Sheet'!B2074,'Production '!$V$4:$V$4407)</f>
        <v>0</v>
      </c>
      <c r="J2074" s="76">
        <f ca="1">SUMIF('Production '!$C$4:$AI$4407,'Tracking Sheet'!B2074,'Production '!$AG$4:$AG$4407)</f>
        <v>-2602</v>
      </c>
    </row>
    <row r="2075" spans="2:10" x14ac:dyDescent="0.3">
      <c r="B2075" s="277">
        <f>'Production '!C2078</f>
        <v>48209</v>
      </c>
      <c r="C2075" s="76">
        <f ca="1">SUMIF('Production '!$C$4:$AI$4407,'Tracking Sheet'!B2075,'Production '!$M$4:$M$4407)</f>
        <v>0</v>
      </c>
      <c r="D2075" s="76">
        <f ca="1">SUMIF('Production '!$C$4:$AI$4407,'Tracking Sheet'!B2075,'Production '!$Q$4:$Q$4407)</f>
        <v>0</v>
      </c>
      <c r="E2075" s="76">
        <f ca="1">SUMIF('Production '!$C$4:$AI$4407,'Tracking Sheet'!B2075,'Production '!$S$4:$S$4407)</f>
        <v>0</v>
      </c>
      <c r="F2075" s="76">
        <f ca="1">SUMIF('Production '!$C$4:$AI$4407,'Tracking Sheet'!B2075,'Production '!$U$4:$U$4407)</f>
        <v>0</v>
      </c>
      <c r="G2075" s="76">
        <f ca="1">SUMIF('Production '!$C$4:$AI$4407,'Tracking Sheet'!B2075,'Production '!$W$4:$W$4407)</f>
        <v>0</v>
      </c>
      <c r="H2075" s="76">
        <f ca="1">SUMIF('Production '!$C$4:$AI$4407,'Tracking Sheet'!B2075,'Production '!$F$4:$F$4407)</f>
        <v>2602</v>
      </c>
      <c r="I2075" s="76">
        <f ca="1">SUMIF('Production '!$C$4:$AI$4407,'Tracking Sheet'!B2075,'Production '!$V$4:$V$4407)</f>
        <v>0</v>
      </c>
      <c r="J2075" s="76">
        <f ca="1">SUMIF('Production '!$C$4:$AI$4407,'Tracking Sheet'!B2075,'Production '!$AG$4:$AG$4407)</f>
        <v>-2602</v>
      </c>
    </row>
    <row r="2076" spans="2:10" x14ac:dyDescent="0.3">
      <c r="B2076" s="277">
        <f>'Production '!C2079</f>
        <v>48209</v>
      </c>
      <c r="C2076" s="76">
        <f ca="1">SUMIF('Production '!$C$4:$AI$4407,'Tracking Sheet'!B2076,'Production '!$M$4:$M$4407)</f>
        <v>0</v>
      </c>
      <c r="D2076" s="76">
        <f ca="1">SUMIF('Production '!$C$4:$AI$4407,'Tracking Sheet'!B2076,'Production '!$Q$4:$Q$4407)</f>
        <v>0</v>
      </c>
      <c r="E2076" s="76">
        <f ca="1">SUMIF('Production '!$C$4:$AI$4407,'Tracking Sheet'!B2076,'Production '!$S$4:$S$4407)</f>
        <v>0</v>
      </c>
      <c r="F2076" s="76">
        <f ca="1">SUMIF('Production '!$C$4:$AI$4407,'Tracking Sheet'!B2076,'Production '!$U$4:$U$4407)</f>
        <v>0</v>
      </c>
      <c r="G2076" s="76">
        <f ca="1">SUMIF('Production '!$C$4:$AI$4407,'Tracking Sheet'!B2076,'Production '!$W$4:$W$4407)</f>
        <v>0</v>
      </c>
      <c r="H2076" s="76">
        <f ca="1">SUMIF('Production '!$C$4:$AI$4407,'Tracking Sheet'!B2076,'Production '!$F$4:$F$4407)</f>
        <v>2602</v>
      </c>
      <c r="I2076" s="76">
        <f ca="1">SUMIF('Production '!$C$4:$AI$4407,'Tracking Sheet'!B2076,'Production '!$V$4:$V$4407)</f>
        <v>0</v>
      </c>
      <c r="J2076" s="76">
        <f ca="1">SUMIF('Production '!$C$4:$AI$4407,'Tracking Sheet'!B2076,'Production '!$AG$4:$AG$4407)</f>
        <v>-2602</v>
      </c>
    </row>
    <row r="2077" spans="2:10" x14ac:dyDescent="0.3">
      <c r="B2077" s="277">
        <f>'Production '!C2080</f>
        <v>0</v>
      </c>
      <c r="C2077" s="76" t="e">
        <f ca="1">SUMIF('Production '!$C$4:$AI$4407,'Tracking Sheet'!B2077,'Production '!$M$4:$M$4407)</f>
        <v>#DIV/0!</v>
      </c>
      <c r="D2077" s="76" t="e">
        <f ca="1">SUMIF('Production '!$C$4:$AI$4407,'Tracking Sheet'!B2077,'Production '!$Q$4:$Q$4407)</f>
        <v>#DIV/0!</v>
      </c>
      <c r="E2077" s="76">
        <f ca="1">SUMIF('Production '!$C$4:$AI$4407,'Tracking Sheet'!B2077,'Production '!$S$4:$S$4407)</f>
        <v>-1268218.9828305368</v>
      </c>
      <c r="F2077" s="76">
        <f ca="1">SUMIF('Production '!$C$4:$AI$4407,'Tracking Sheet'!B2077,'Production '!$U$4:$U$4407)</f>
        <v>-10620.435600016917</v>
      </c>
      <c r="G2077" s="76" t="e">
        <f ca="1">SUMIF('Production '!$C$4:$AI$4407,'Tracking Sheet'!B2077,'Production '!$W$4:$W$4407)</f>
        <v>#DIV/0!</v>
      </c>
      <c r="H2077" s="76">
        <f ca="1">SUMIF('Production '!$C$4:$AI$4407,'Tracking Sheet'!B2077,'Production '!$F$4:$F$4407)</f>
        <v>3230621.3283604058</v>
      </c>
      <c r="I2077" s="76">
        <f ca="1">SUMIF('Production '!$C$4:$AI$4407,'Tracking Sheet'!B2077,'Production '!$V$4:$V$4407)</f>
        <v>-489.86487791182844</v>
      </c>
      <c r="J2077" s="76">
        <f ca="1">SUMIF('Production '!$C$4:$AI$4407,'Tracking Sheet'!B2077,'Production '!$AG$4:$AG$4407)</f>
        <v>0</v>
      </c>
    </row>
    <row r="2078" spans="2:10" x14ac:dyDescent="0.3">
      <c r="B2078" s="277">
        <f>'Production '!C2081</f>
        <v>48164</v>
      </c>
      <c r="C2078" s="76">
        <f ca="1">SUMIF('Production '!$C$4:$AI$4407,'Tracking Sheet'!B2078,'Production '!$M$4:$M$4407)</f>
        <v>4655</v>
      </c>
      <c r="D2078" s="76">
        <f ca="1">SUMIF('Production '!$C$4:$AI$4407,'Tracking Sheet'!B2078,'Production '!$Q$4:$Q$4407)</f>
        <v>3936</v>
      </c>
      <c r="E2078" s="76">
        <f ca="1">SUMIF('Production '!$C$4:$AI$4407,'Tracking Sheet'!B2078,'Production '!$S$4:$S$4407)</f>
        <v>0</v>
      </c>
      <c r="F2078" s="76">
        <f ca="1">SUMIF('Production '!$C$4:$AI$4407,'Tracking Sheet'!B2078,'Production '!$U$4:$U$4407)</f>
        <v>0</v>
      </c>
      <c r="G2078" s="76">
        <f ca="1">SUMIF('Production '!$C$4:$AI$4407,'Tracking Sheet'!B2078,'Production '!$W$4:$W$4407)</f>
        <v>0</v>
      </c>
      <c r="H2078" s="76">
        <f ca="1">SUMIF('Production '!$C$4:$AI$4407,'Tracking Sheet'!B2078,'Production '!$F$4:$F$4407)</f>
        <v>4539</v>
      </c>
      <c r="I2078" s="76">
        <f ca="1">SUMIF('Production '!$C$4:$AI$4407,'Tracking Sheet'!B2078,'Production '!$V$4:$V$4407)</f>
        <v>0</v>
      </c>
      <c r="J2078" s="76">
        <f ca="1">SUMIF('Production '!$C$4:$AI$4407,'Tracking Sheet'!B2078,'Production '!$AG$4:$AG$4407)</f>
        <v>0</v>
      </c>
    </row>
    <row r="2079" spans="2:10" x14ac:dyDescent="0.3">
      <c r="B2079" s="277">
        <f>'Production '!C2082</f>
        <v>48164</v>
      </c>
      <c r="C2079" s="76">
        <f ca="1">SUMIF('Production '!$C$4:$AI$4407,'Tracking Sheet'!B2079,'Production '!$M$4:$M$4407)</f>
        <v>4655</v>
      </c>
      <c r="D2079" s="76">
        <f ca="1">SUMIF('Production '!$C$4:$AI$4407,'Tracking Sheet'!B2079,'Production '!$Q$4:$Q$4407)</f>
        <v>3936</v>
      </c>
      <c r="E2079" s="76">
        <f ca="1">SUMIF('Production '!$C$4:$AI$4407,'Tracking Sheet'!B2079,'Production '!$S$4:$S$4407)</f>
        <v>0</v>
      </c>
      <c r="F2079" s="76">
        <f ca="1">SUMIF('Production '!$C$4:$AI$4407,'Tracking Sheet'!B2079,'Production '!$U$4:$U$4407)</f>
        <v>0</v>
      </c>
      <c r="G2079" s="76">
        <f ca="1">SUMIF('Production '!$C$4:$AI$4407,'Tracking Sheet'!B2079,'Production '!$W$4:$W$4407)</f>
        <v>0</v>
      </c>
      <c r="H2079" s="76">
        <f ca="1">SUMIF('Production '!$C$4:$AI$4407,'Tracking Sheet'!B2079,'Production '!$F$4:$F$4407)</f>
        <v>4539</v>
      </c>
      <c r="I2079" s="76">
        <f ca="1">SUMIF('Production '!$C$4:$AI$4407,'Tracking Sheet'!B2079,'Production '!$V$4:$V$4407)</f>
        <v>0</v>
      </c>
      <c r="J2079" s="76">
        <f ca="1">SUMIF('Production '!$C$4:$AI$4407,'Tracking Sheet'!B2079,'Production '!$AG$4:$AG$4407)</f>
        <v>0</v>
      </c>
    </row>
    <row r="2080" spans="2:10" x14ac:dyDescent="0.3">
      <c r="B2080" s="277">
        <f>'Production '!C2083</f>
        <v>48164</v>
      </c>
      <c r="C2080" s="76">
        <f ca="1">SUMIF('Production '!$C$4:$AI$4407,'Tracking Sheet'!B2080,'Production '!$M$4:$M$4407)</f>
        <v>4655</v>
      </c>
      <c r="D2080" s="76">
        <f ca="1">SUMIF('Production '!$C$4:$AI$4407,'Tracking Sheet'!B2080,'Production '!$Q$4:$Q$4407)</f>
        <v>3936</v>
      </c>
      <c r="E2080" s="76">
        <f ca="1">SUMIF('Production '!$C$4:$AI$4407,'Tracking Sheet'!B2080,'Production '!$S$4:$S$4407)</f>
        <v>0</v>
      </c>
      <c r="F2080" s="76">
        <f ca="1">SUMIF('Production '!$C$4:$AI$4407,'Tracking Sheet'!B2080,'Production '!$U$4:$U$4407)</f>
        <v>0</v>
      </c>
      <c r="G2080" s="76">
        <f ca="1">SUMIF('Production '!$C$4:$AI$4407,'Tracking Sheet'!B2080,'Production '!$W$4:$W$4407)</f>
        <v>0</v>
      </c>
      <c r="H2080" s="76">
        <f ca="1">SUMIF('Production '!$C$4:$AI$4407,'Tracking Sheet'!B2080,'Production '!$F$4:$F$4407)</f>
        <v>4539</v>
      </c>
      <c r="I2080" s="76">
        <f ca="1">SUMIF('Production '!$C$4:$AI$4407,'Tracking Sheet'!B2080,'Production '!$V$4:$V$4407)</f>
        <v>0</v>
      </c>
      <c r="J2080" s="76">
        <f ca="1">SUMIF('Production '!$C$4:$AI$4407,'Tracking Sheet'!B2080,'Production '!$AG$4:$AG$4407)</f>
        <v>0</v>
      </c>
    </row>
    <row r="2081" spans="2:10" x14ac:dyDescent="0.3">
      <c r="B2081" s="277">
        <f>'Production '!C2084</f>
        <v>0</v>
      </c>
      <c r="C2081" s="76" t="e">
        <f ca="1">SUMIF('Production '!$C$4:$AI$4407,'Tracking Sheet'!B2081,'Production '!$M$4:$M$4407)</f>
        <v>#DIV/0!</v>
      </c>
      <c r="D2081" s="76" t="e">
        <f ca="1">SUMIF('Production '!$C$4:$AI$4407,'Tracking Sheet'!B2081,'Production '!$Q$4:$Q$4407)</f>
        <v>#DIV/0!</v>
      </c>
      <c r="E2081" s="76">
        <f ca="1">SUMIF('Production '!$C$4:$AI$4407,'Tracking Sheet'!B2081,'Production '!$S$4:$S$4407)</f>
        <v>-1268218.9828305368</v>
      </c>
      <c r="F2081" s="76">
        <f ca="1">SUMIF('Production '!$C$4:$AI$4407,'Tracking Sheet'!B2081,'Production '!$U$4:$U$4407)</f>
        <v>-10620.435600016917</v>
      </c>
      <c r="G2081" s="76" t="e">
        <f ca="1">SUMIF('Production '!$C$4:$AI$4407,'Tracking Sheet'!B2081,'Production '!$W$4:$W$4407)</f>
        <v>#DIV/0!</v>
      </c>
      <c r="H2081" s="76">
        <f ca="1">SUMIF('Production '!$C$4:$AI$4407,'Tracking Sheet'!B2081,'Production '!$F$4:$F$4407)</f>
        <v>3230621.3283604058</v>
      </c>
      <c r="I2081" s="76">
        <f ca="1">SUMIF('Production '!$C$4:$AI$4407,'Tracking Sheet'!B2081,'Production '!$V$4:$V$4407)</f>
        <v>-489.86487791182844</v>
      </c>
      <c r="J2081" s="76">
        <f ca="1">SUMIF('Production '!$C$4:$AI$4407,'Tracking Sheet'!B2081,'Production '!$AG$4:$AG$4407)</f>
        <v>0</v>
      </c>
    </row>
    <row r="2082" spans="2:10" x14ac:dyDescent="0.3">
      <c r="B2082" s="277" t="str">
        <f>'Production '!C2085</f>
        <v>44672 4th</v>
      </c>
      <c r="C2082" s="76">
        <f ca="1">SUMIF('Production '!$C$4:$AI$4407,'Tracking Sheet'!B2082,'Production '!$M$4:$M$4407)</f>
        <v>24345</v>
      </c>
      <c r="D2082" s="76">
        <f ca="1">SUMIF('Production '!$C$4:$AI$4407,'Tracking Sheet'!B2082,'Production '!$Q$4:$Q$4407)</f>
        <v>24310</v>
      </c>
      <c r="E2082" s="76">
        <f ca="1">SUMIF('Production '!$C$4:$AI$4407,'Tracking Sheet'!B2082,'Production '!$S$4:$S$4407)</f>
        <v>22864</v>
      </c>
      <c r="F2082" s="76">
        <f ca="1">SUMIF('Production '!$C$4:$AI$4407,'Tracking Sheet'!B2082,'Production '!$U$4:$U$4407)</f>
        <v>8333</v>
      </c>
      <c r="G2082" s="76">
        <f ca="1">SUMIF('Production '!$C$4:$AI$4407,'Tracking Sheet'!B2082,'Production '!$W$4:$W$4407)</f>
        <v>14531</v>
      </c>
      <c r="H2082" s="76">
        <f ca="1">SUMIF('Production '!$C$4:$AI$4407,'Tracking Sheet'!B2082,'Production '!$F$4:$F$4407)</f>
        <v>23772</v>
      </c>
      <c r="I2082" s="76">
        <f ca="1">SUMIF('Production '!$C$4:$AI$4407,'Tracking Sheet'!B2082,'Production '!$V$4:$V$4407)</f>
        <v>0</v>
      </c>
      <c r="J2082" s="76">
        <f ca="1">SUMIF('Production '!$C$4:$AI$4407,'Tracking Sheet'!B2082,'Production '!$AG$4:$AG$4407)</f>
        <v>0</v>
      </c>
    </row>
    <row r="2083" spans="2:10" x14ac:dyDescent="0.3">
      <c r="B2083" s="277" t="str">
        <f>'Production '!C2086</f>
        <v>44672 4th</v>
      </c>
      <c r="C2083" s="76">
        <f ca="1">SUMIF('Production '!$C$4:$AI$4407,'Tracking Sheet'!B2083,'Production '!$M$4:$M$4407)</f>
        <v>24345</v>
      </c>
      <c r="D2083" s="76">
        <f ca="1">SUMIF('Production '!$C$4:$AI$4407,'Tracking Sheet'!B2083,'Production '!$Q$4:$Q$4407)</f>
        <v>24310</v>
      </c>
      <c r="E2083" s="76">
        <f ca="1">SUMIF('Production '!$C$4:$AI$4407,'Tracking Sheet'!B2083,'Production '!$S$4:$S$4407)</f>
        <v>22864</v>
      </c>
      <c r="F2083" s="76">
        <f ca="1">SUMIF('Production '!$C$4:$AI$4407,'Tracking Sheet'!B2083,'Production '!$U$4:$U$4407)</f>
        <v>8333</v>
      </c>
      <c r="G2083" s="76">
        <f ca="1">SUMIF('Production '!$C$4:$AI$4407,'Tracking Sheet'!B2083,'Production '!$W$4:$W$4407)</f>
        <v>14531</v>
      </c>
      <c r="H2083" s="76">
        <f ca="1">SUMIF('Production '!$C$4:$AI$4407,'Tracking Sheet'!B2083,'Production '!$F$4:$F$4407)</f>
        <v>23772</v>
      </c>
      <c r="I2083" s="76">
        <f ca="1">SUMIF('Production '!$C$4:$AI$4407,'Tracking Sheet'!B2083,'Production '!$V$4:$V$4407)</f>
        <v>0</v>
      </c>
      <c r="J2083" s="76">
        <f ca="1">SUMIF('Production '!$C$4:$AI$4407,'Tracking Sheet'!B2083,'Production '!$AG$4:$AG$4407)</f>
        <v>0</v>
      </c>
    </row>
    <row r="2084" spans="2:10" x14ac:dyDescent="0.3">
      <c r="B2084" s="277" t="str">
        <f>'Production '!C2087</f>
        <v>44672 4th</v>
      </c>
      <c r="C2084" s="76">
        <f ca="1">SUMIF('Production '!$C$4:$AI$4407,'Tracking Sheet'!B2084,'Production '!$M$4:$M$4407)</f>
        <v>24345</v>
      </c>
      <c r="D2084" s="76">
        <f ca="1">SUMIF('Production '!$C$4:$AI$4407,'Tracking Sheet'!B2084,'Production '!$Q$4:$Q$4407)</f>
        <v>24310</v>
      </c>
      <c r="E2084" s="76">
        <f ca="1">SUMIF('Production '!$C$4:$AI$4407,'Tracking Sheet'!B2084,'Production '!$S$4:$S$4407)</f>
        <v>22864</v>
      </c>
      <c r="F2084" s="76">
        <f ca="1">SUMIF('Production '!$C$4:$AI$4407,'Tracking Sheet'!B2084,'Production '!$U$4:$U$4407)</f>
        <v>8333</v>
      </c>
      <c r="G2084" s="76">
        <f ca="1">SUMIF('Production '!$C$4:$AI$4407,'Tracking Sheet'!B2084,'Production '!$W$4:$W$4407)</f>
        <v>14531</v>
      </c>
      <c r="H2084" s="76">
        <f ca="1">SUMIF('Production '!$C$4:$AI$4407,'Tracking Sheet'!B2084,'Production '!$F$4:$F$4407)</f>
        <v>23772</v>
      </c>
      <c r="I2084" s="76">
        <f ca="1">SUMIF('Production '!$C$4:$AI$4407,'Tracking Sheet'!B2084,'Production '!$V$4:$V$4407)</f>
        <v>0</v>
      </c>
      <c r="J2084" s="76">
        <f ca="1">SUMIF('Production '!$C$4:$AI$4407,'Tracking Sheet'!B2084,'Production '!$AG$4:$AG$4407)</f>
        <v>0</v>
      </c>
    </row>
    <row r="2085" spans="2:10" x14ac:dyDescent="0.3">
      <c r="B2085" s="277" t="str">
        <f>'Production '!C2088</f>
        <v>44672 4th</v>
      </c>
      <c r="C2085" s="76">
        <f ca="1">SUMIF('Production '!$C$4:$AI$4407,'Tracking Sheet'!B2085,'Production '!$M$4:$M$4407)</f>
        <v>24345</v>
      </c>
      <c r="D2085" s="76">
        <f ca="1">SUMIF('Production '!$C$4:$AI$4407,'Tracking Sheet'!B2085,'Production '!$Q$4:$Q$4407)</f>
        <v>24310</v>
      </c>
      <c r="E2085" s="76">
        <f ca="1">SUMIF('Production '!$C$4:$AI$4407,'Tracking Sheet'!B2085,'Production '!$S$4:$S$4407)</f>
        <v>22864</v>
      </c>
      <c r="F2085" s="76">
        <f ca="1">SUMIF('Production '!$C$4:$AI$4407,'Tracking Sheet'!B2085,'Production '!$U$4:$U$4407)</f>
        <v>8333</v>
      </c>
      <c r="G2085" s="76">
        <f ca="1">SUMIF('Production '!$C$4:$AI$4407,'Tracking Sheet'!B2085,'Production '!$W$4:$W$4407)</f>
        <v>14531</v>
      </c>
      <c r="H2085" s="76">
        <f ca="1">SUMIF('Production '!$C$4:$AI$4407,'Tracking Sheet'!B2085,'Production '!$F$4:$F$4407)</f>
        <v>23772</v>
      </c>
      <c r="I2085" s="76">
        <f ca="1">SUMIF('Production '!$C$4:$AI$4407,'Tracking Sheet'!B2085,'Production '!$V$4:$V$4407)</f>
        <v>0</v>
      </c>
      <c r="J2085" s="76">
        <f ca="1">SUMIF('Production '!$C$4:$AI$4407,'Tracking Sheet'!B2085,'Production '!$AG$4:$AG$4407)</f>
        <v>0</v>
      </c>
    </row>
    <row r="2086" spans="2:10" x14ac:dyDescent="0.3">
      <c r="B2086" s="277" t="str">
        <f>'Production '!C2089</f>
        <v>44672 4th</v>
      </c>
      <c r="C2086" s="76">
        <f ca="1">SUMIF('Production '!$C$4:$AI$4407,'Tracking Sheet'!B2086,'Production '!$M$4:$M$4407)</f>
        <v>24345</v>
      </c>
      <c r="D2086" s="76">
        <f ca="1">SUMIF('Production '!$C$4:$AI$4407,'Tracking Sheet'!B2086,'Production '!$Q$4:$Q$4407)</f>
        <v>24310</v>
      </c>
      <c r="E2086" s="76">
        <f ca="1">SUMIF('Production '!$C$4:$AI$4407,'Tracking Sheet'!B2086,'Production '!$S$4:$S$4407)</f>
        <v>22864</v>
      </c>
      <c r="F2086" s="76">
        <f ca="1">SUMIF('Production '!$C$4:$AI$4407,'Tracking Sheet'!B2086,'Production '!$U$4:$U$4407)</f>
        <v>8333</v>
      </c>
      <c r="G2086" s="76">
        <f ca="1">SUMIF('Production '!$C$4:$AI$4407,'Tracking Sheet'!B2086,'Production '!$W$4:$W$4407)</f>
        <v>14531</v>
      </c>
      <c r="H2086" s="76">
        <f ca="1">SUMIF('Production '!$C$4:$AI$4407,'Tracking Sheet'!B2086,'Production '!$F$4:$F$4407)</f>
        <v>23772</v>
      </c>
      <c r="I2086" s="76">
        <f ca="1">SUMIF('Production '!$C$4:$AI$4407,'Tracking Sheet'!B2086,'Production '!$V$4:$V$4407)</f>
        <v>0</v>
      </c>
      <c r="J2086" s="76">
        <f ca="1">SUMIF('Production '!$C$4:$AI$4407,'Tracking Sheet'!B2086,'Production '!$AG$4:$AG$4407)</f>
        <v>0</v>
      </c>
    </row>
    <row r="2087" spans="2:10" x14ac:dyDescent="0.3">
      <c r="B2087" s="277" t="str">
        <f>'Production '!C2090</f>
        <v>44672 4th</v>
      </c>
      <c r="C2087" s="76">
        <f ca="1">SUMIF('Production '!$C$4:$AI$4407,'Tracking Sheet'!B2087,'Production '!$M$4:$M$4407)</f>
        <v>24345</v>
      </c>
      <c r="D2087" s="76">
        <f ca="1">SUMIF('Production '!$C$4:$AI$4407,'Tracking Sheet'!B2087,'Production '!$Q$4:$Q$4407)</f>
        <v>24310</v>
      </c>
      <c r="E2087" s="76">
        <f ca="1">SUMIF('Production '!$C$4:$AI$4407,'Tracking Sheet'!B2087,'Production '!$S$4:$S$4407)</f>
        <v>22864</v>
      </c>
      <c r="F2087" s="76">
        <f ca="1">SUMIF('Production '!$C$4:$AI$4407,'Tracking Sheet'!B2087,'Production '!$U$4:$U$4407)</f>
        <v>8333</v>
      </c>
      <c r="G2087" s="76">
        <f ca="1">SUMIF('Production '!$C$4:$AI$4407,'Tracking Sheet'!B2087,'Production '!$W$4:$W$4407)</f>
        <v>14531</v>
      </c>
      <c r="H2087" s="76">
        <f ca="1">SUMIF('Production '!$C$4:$AI$4407,'Tracking Sheet'!B2087,'Production '!$F$4:$F$4407)</f>
        <v>23772</v>
      </c>
      <c r="I2087" s="76">
        <f ca="1">SUMIF('Production '!$C$4:$AI$4407,'Tracking Sheet'!B2087,'Production '!$V$4:$V$4407)</f>
        <v>0</v>
      </c>
      <c r="J2087" s="76">
        <f ca="1">SUMIF('Production '!$C$4:$AI$4407,'Tracking Sheet'!B2087,'Production '!$AG$4:$AG$4407)</f>
        <v>0</v>
      </c>
    </row>
    <row r="2088" spans="2:10" x14ac:dyDescent="0.3">
      <c r="B2088" s="277" t="str">
        <f>'Production '!C2091</f>
        <v>44672 4th</v>
      </c>
      <c r="C2088" s="76">
        <f ca="1">SUMIF('Production '!$C$4:$AI$4407,'Tracking Sheet'!B2088,'Production '!$M$4:$M$4407)</f>
        <v>24345</v>
      </c>
      <c r="D2088" s="76">
        <f ca="1">SUMIF('Production '!$C$4:$AI$4407,'Tracking Sheet'!B2088,'Production '!$Q$4:$Q$4407)</f>
        <v>24310</v>
      </c>
      <c r="E2088" s="76">
        <f ca="1">SUMIF('Production '!$C$4:$AI$4407,'Tracking Sheet'!B2088,'Production '!$S$4:$S$4407)</f>
        <v>22864</v>
      </c>
      <c r="F2088" s="76">
        <f ca="1">SUMIF('Production '!$C$4:$AI$4407,'Tracking Sheet'!B2088,'Production '!$U$4:$U$4407)</f>
        <v>8333</v>
      </c>
      <c r="G2088" s="76">
        <f ca="1">SUMIF('Production '!$C$4:$AI$4407,'Tracking Sheet'!B2088,'Production '!$W$4:$W$4407)</f>
        <v>14531</v>
      </c>
      <c r="H2088" s="76">
        <f ca="1">SUMIF('Production '!$C$4:$AI$4407,'Tracking Sheet'!B2088,'Production '!$F$4:$F$4407)</f>
        <v>23772</v>
      </c>
      <c r="I2088" s="76">
        <f ca="1">SUMIF('Production '!$C$4:$AI$4407,'Tracking Sheet'!B2088,'Production '!$V$4:$V$4407)</f>
        <v>0</v>
      </c>
      <c r="J2088" s="76">
        <f ca="1">SUMIF('Production '!$C$4:$AI$4407,'Tracking Sheet'!B2088,'Production '!$AG$4:$AG$4407)</f>
        <v>0</v>
      </c>
    </row>
    <row r="2089" spans="2:10" x14ac:dyDescent="0.3">
      <c r="B2089" s="277">
        <f>'Production '!C2092</f>
        <v>0</v>
      </c>
      <c r="C2089" s="76" t="e">
        <f ca="1">SUMIF('Production '!$C$4:$AI$4407,'Tracking Sheet'!B2089,'Production '!$M$4:$M$4407)</f>
        <v>#DIV/0!</v>
      </c>
      <c r="D2089" s="76" t="e">
        <f ca="1">SUMIF('Production '!$C$4:$AI$4407,'Tracking Sheet'!B2089,'Production '!$Q$4:$Q$4407)</f>
        <v>#DIV/0!</v>
      </c>
      <c r="E2089" s="76">
        <f ca="1">SUMIF('Production '!$C$4:$AI$4407,'Tracking Sheet'!B2089,'Production '!$S$4:$S$4407)</f>
        <v>-1268218.9828305368</v>
      </c>
      <c r="F2089" s="76">
        <f ca="1">SUMIF('Production '!$C$4:$AI$4407,'Tracking Sheet'!B2089,'Production '!$U$4:$U$4407)</f>
        <v>-10620.435600016917</v>
      </c>
      <c r="G2089" s="76" t="e">
        <f ca="1">SUMIF('Production '!$C$4:$AI$4407,'Tracking Sheet'!B2089,'Production '!$W$4:$W$4407)</f>
        <v>#DIV/0!</v>
      </c>
      <c r="H2089" s="76">
        <f ca="1">SUMIF('Production '!$C$4:$AI$4407,'Tracking Sheet'!B2089,'Production '!$F$4:$F$4407)</f>
        <v>3230621.3283604058</v>
      </c>
      <c r="I2089" s="76">
        <f ca="1">SUMIF('Production '!$C$4:$AI$4407,'Tracking Sheet'!B2089,'Production '!$V$4:$V$4407)</f>
        <v>-489.86487791182844</v>
      </c>
      <c r="J2089" s="76">
        <f ca="1">SUMIF('Production '!$C$4:$AI$4407,'Tracking Sheet'!B2089,'Production '!$AG$4:$AG$4407)</f>
        <v>0</v>
      </c>
    </row>
    <row r="2090" spans="2:10" x14ac:dyDescent="0.3">
      <c r="B2090" s="277" t="str">
        <f>'Production '!C2093</f>
        <v>44672 5th</v>
      </c>
      <c r="C2090" s="76">
        <f ca="1">SUMIF('Production '!$C$4:$AI$4407,'Tracking Sheet'!B2090,'Production '!$M$4:$M$4407)</f>
        <v>3777</v>
      </c>
      <c r="D2090" s="76">
        <f ca="1">SUMIF('Production '!$C$4:$AI$4407,'Tracking Sheet'!B2090,'Production '!$Q$4:$Q$4407)</f>
        <v>3777</v>
      </c>
      <c r="E2090" s="76">
        <f ca="1">SUMIF('Production '!$C$4:$AI$4407,'Tracking Sheet'!B2090,'Production '!$S$4:$S$4407)</f>
        <v>0</v>
      </c>
      <c r="F2090" s="76">
        <f ca="1">SUMIF('Production '!$C$4:$AI$4407,'Tracking Sheet'!B2090,'Production '!$U$4:$U$4407)</f>
        <v>0</v>
      </c>
      <c r="G2090" s="76">
        <f ca="1">SUMIF('Production '!$C$4:$AI$4407,'Tracking Sheet'!B2090,'Production '!$W$4:$W$4407)</f>
        <v>0</v>
      </c>
      <c r="H2090" s="76">
        <f ca="1">SUMIF('Production '!$C$4:$AI$4407,'Tracking Sheet'!B2090,'Production '!$F$4:$F$4407)</f>
        <v>7018</v>
      </c>
      <c r="I2090" s="76">
        <f ca="1">SUMIF('Production '!$C$4:$AI$4407,'Tracking Sheet'!B2090,'Production '!$V$4:$V$4407)</f>
        <v>0</v>
      </c>
      <c r="J2090" s="76">
        <f ca="1">SUMIF('Production '!$C$4:$AI$4407,'Tracking Sheet'!B2090,'Production '!$AG$4:$AG$4407)</f>
        <v>-3344</v>
      </c>
    </row>
    <row r="2091" spans="2:10" x14ac:dyDescent="0.3">
      <c r="B2091" s="277" t="str">
        <f>'Production '!C2094</f>
        <v>44672 5th</v>
      </c>
      <c r="C2091" s="76">
        <f ca="1">SUMIF('Production '!$C$4:$AI$4407,'Tracking Sheet'!B2091,'Production '!$M$4:$M$4407)</f>
        <v>3777</v>
      </c>
      <c r="D2091" s="76">
        <f ca="1">SUMIF('Production '!$C$4:$AI$4407,'Tracking Sheet'!B2091,'Production '!$Q$4:$Q$4407)</f>
        <v>3777</v>
      </c>
      <c r="E2091" s="76">
        <f ca="1">SUMIF('Production '!$C$4:$AI$4407,'Tracking Sheet'!B2091,'Production '!$S$4:$S$4407)</f>
        <v>0</v>
      </c>
      <c r="F2091" s="76">
        <f ca="1">SUMIF('Production '!$C$4:$AI$4407,'Tracking Sheet'!B2091,'Production '!$U$4:$U$4407)</f>
        <v>0</v>
      </c>
      <c r="G2091" s="76">
        <f ca="1">SUMIF('Production '!$C$4:$AI$4407,'Tracking Sheet'!B2091,'Production '!$W$4:$W$4407)</f>
        <v>0</v>
      </c>
      <c r="H2091" s="76">
        <f ca="1">SUMIF('Production '!$C$4:$AI$4407,'Tracking Sheet'!B2091,'Production '!$F$4:$F$4407)</f>
        <v>7018</v>
      </c>
      <c r="I2091" s="76">
        <f ca="1">SUMIF('Production '!$C$4:$AI$4407,'Tracking Sheet'!B2091,'Production '!$V$4:$V$4407)</f>
        <v>0</v>
      </c>
      <c r="J2091" s="76">
        <f ca="1">SUMIF('Production '!$C$4:$AI$4407,'Tracking Sheet'!B2091,'Production '!$AG$4:$AG$4407)</f>
        <v>-3344</v>
      </c>
    </row>
    <row r="2092" spans="2:10" x14ac:dyDescent="0.3">
      <c r="B2092" s="277" t="str">
        <f>'Production '!C2095</f>
        <v>44672 5th</v>
      </c>
      <c r="C2092" s="76">
        <f ca="1">SUMIF('Production '!$C$4:$AI$4407,'Tracking Sheet'!B2092,'Production '!$M$4:$M$4407)</f>
        <v>3777</v>
      </c>
      <c r="D2092" s="76">
        <f ca="1">SUMIF('Production '!$C$4:$AI$4407,'Tracking Sheet'!B2092,'Production '!$Q$4:$Q$4407)</f>
        <v>3777</v>
      </c>
      <c r="E2092" s="76">
        <f ca="1">SUMIF('Production '!$C$4:$AI$4407,'Tracking Sheet'!B2092,'Production '!$S$4:$S$4407)</f>
        <v>0</v>
      </c>
      <c r="F2092" s="76">
        <f ca="1">SUMIF('Production '!$C$4:$AI$4407,'Tracking Sheet'!B2092,'Production '!$U$4:$U$4407)</f>
        <v>0</v>
      </c>
      <c r="G2092" s="76">
        <f ca="1">SUMIF('Production '!$C$4:$AI$4407,'Tracking Sheet'!B2092,'Production '!$W$4:$W$4407)</f>
        <v>0</v>
      </c>
      <c r="H2092" s="76">
        <f ca="1">SUMIF('Production '!$C$4:$AI$4407,'Tracking Sheet'!B2092,'Production '!$F$4:$F$4407)</f>
        <v>7018</v>
      </c>
      <c r="I2092" s="76">
        <f ca="1">SUMIF('Production '!$C$4:$AI$4407,'Tracking Sheet'!B2092,'Production '!$V$4:$V$4407)</f>
        <v>0</v>
      </c>
      <c r="J2092" s="76">
        <f ca="1">SUMIF('Production '!$C$4:$AI$4407,'Tracking Sheet'!B2092,'Production '!$AG$4:$AG$4407)</f>
        <v>-3344</v>
      </c>
    </row>
    <row r="2093" spans="2:10" x14ac:dyDescent="0.3">
      <c r="B2093" s="277" t="str">
        <f>'Production '!C2096</f>
        <v>44672 5th</v>
      </c>
      <c r="C2093" s="76">
        <f ca="1">SUMIF('Production '!$C$4:$AI$4407,'Tracking Sheet'!B2093,'Production '!$M$4:$M$4407)</f>
        <v>3777</v>
      </c>
      <c r="D2093" s="76">
        <f ca="1">SUMIF('Production '!$C$4:$AI$4407,'Tracking Sheet'!B2093,'Production '!$Q$4:$Q$4407)</f>
        <v>3777</v>
      </c>
      <c r="E2093" s="76">
        <f ca="1">SUMIF('Production '!$C$4:$AI$4407,'Tracking Sheet'!B2093,'Production '!$S$4:$S$4407)</f>
        <v>0</v>
      </c>
      <c r="F2093" s="76">
        <f ca="1">SUMIF('Production '!$C$4:$AI$4407,'Tracking Sheet'!B2093,'Production '!$U$4:$U$4407)</f>
        <v>0</v>
      </c>
      <c r="G2093" s="76">
        <f ca="1">SUMIF('Production '!$C$4:$AI$4407,'Tracking Sheet'!B2093,'Production '!$W$4:$W$4407)</f>
        <v>0</v>
      </c>
      <c r="H2093" s="76">
        <f ca="1">SUMIF('Production '!$C$4:$AI$4407,'Tracking Sheet'!B2093,'Production '!$F$4:$F$4407)</f>
        <v>7018</v>
      </c>
      <c r="I2093" s="76">
        <f ca="1">SUMIF('Production '!$C$4:$AI$4407,'Tracking Sheet'!B2093,'Production '!$V$4:$V$4407)</f>
        <v>0</v>
      </c>
      <c r="J2093" s="76">
        <f ca="1">SUMIF('Production '!$C$4:$AI$4407,'Tracking Sheet'!B2093,'Production '!$AG$4:$AG$4407)</f>
        <v>-3344</v>
      </c>
    </row>
    <row r="2094" spans="2:10" x14ac:dyDescent="0.3">
      <c r="B2094" s="277">
        <f>'Production '!C2097</f>
        <v>0</v>
      </c>
      <c r="C2094" s="76" t="e">
        <f ca="1">SUMIF('Production '!$C$4:$AI$4407,'Tracking Sheet'!B2094,'Production '!$M$4:$M$4407)</f>
        <v>#DIV/0!</v>
      </c>
      <c r="D2094" s="76" t="e">
        <f ca="1">SUMIF('Production '!$C$4:$AI$4407,'Tracking Sheet'!B2094,'Production '!$Q$4:$Q$4407)</f>
        <v>#DIV/0!</v>
      </c>
      <c r="E2094" s="76">
        <f ca="1">SUMIF('Production '!$C$4:$AI$4407,'Tracking Sheet'!B2094,'Production '!$S$4:$S$4407)</f>
        <v>-1268218.9828305368</v>
      </c>
      <c r="F2094" s="76">
        <f ca="1">SUMIF('Production '!$C$4:$AI$4407,'Tracking Sheet'!B2094,'Production '!$U$4:$U$4407)</f>
        <v>-10620.435600016917</v>
      </c>
      <c r="G2094" s="76" t="e">
        <f ca="1">SUMIF('Production '!$C$4:$AI$4407,'Tracking Sheet'!B2094,'Production '!$W$4:$W$4407)</f>
        <v>#DIV/0!</v>
      </c>
      <c r="H2094" s="76">
        <f ca="1">SUMIF('Production '!$C$4:$AI$4407,'Tracking Sheet'!B2094,'Production '!$F$4:$F$4407)</f>
        <v>3230621.3283604058</v>
      </c>
      <c r="I2094" s="76">
        <f ca="1">SUMIF('Production '!$C$4:$AI$4407,'Tracking Sheet'!B2094,'Production '!$V$4:$V$4407)</f>
        <v>-489.86487791182844</v>
      </c>
      <c r="J2094" s="76">
        <f ca="1">SUMIF('Production '!$C$4:$AI$4407,'Tracking Sheet'!B2094,'Production '!$AG$4:$AG$4407)</f>
        <v>0</v>
      </c>
    </row>
    <row r="2095" spans="2:10" x14ac:dyDescent="0.3">
      <c r="B2095" s="277" t="str">
        <f>'Production '!C2098</f>
        <v>48302 2nd</v>
      </c>
      <c r="C2095" s="76">
        <f ca="1">SUMIF('Production '!$C$4:$AI$4407,'Tracking Sheet'!B2095,'Production '!$M$4:$M$4407)</f>
        <v>0</v>
      </c>
      <c r="D2095" s="76">
        <f ca="1">SUMIF('Production '!$C$4:$AI$4407,'Tracking Sheet'!B2095,'Production '!$Q$4:$Q$4407)</f>
        <v>0</v>
      </c>
      <c r="E2095" s="76">
        <f ca="1">SUMIF('Production '!$C$4:$AI$4407,'Tracking Sheet'!B2095,'Production '!$S$4:$S$4407)</f>
        <v>0</v>
      </c>
      <c r="F2095" s="76">
        <f ca="1">SUMIF('Production '!$C$4:$AI$4407,'Tracking Sheet'!B2095,'Production '!$U$4:$U$4407)</f>
        <v>0</v>
      </c>
      <c r="G2095" s="76">
        <f ca="1">SUMIF('Production '!$C$4:$AI$4407,'Tracking Sheet'!B2095,'Production '!$W$4:$W$4407)</f>
        <v>0</v>
      </c>
      <c r="H2095" s="76">
        <f ca="1">SUMIF('Production '!$C$4:$AI$4407,'Tracking Sheet'!B2095,'Production '!$F$4:$F$4407)</f>
        <v>24000</v>
      </c>
      <c r="I2095" s="76">
        <f ca="1">SUMIF('Production '!$C$4:$AI$4407,'Tracking Sheet'!B2095,'Production '!$V$4:$V$4407)</f>
        <v>0</v>
      </c>
      <c r="J2095" s="76">
        <f ca="1">SUMIF('Production '!$C$4:$AI$4407,'Tracking Sheet'!B2095,'Production '!$AG$4:$AG$4407)</f>
        <v>-24000</v>
      </c>
    </row>
    <row r="2096" spans="2:10" x14ac:dyDescent="0.3">
      <c r="B2096" s="277" t="str">
        <f>'Production '!C2099</f>
        <v>48302 2nd</v>
      </c>
      <c r="C2096" s="76">
        <f ca="1">SUMIF('Production '!$C$4:$AI$4407,'Tracking Sheet'!B2096,'Production '!$M$4:$M$4407)</f>
        <v>0</v>
      </c>
      <c r="D2096" s="76">
        <f ca="1">SUMIF('Production '!$C$4:$AI$4407,'Tracking Sheet'!B2096,'Production '!$Q$4:$Q$4407)</f>
        <v>0</v>
      </c>
      <c r="E2096" s="76">
        <f ca="1">SUMIF('Production '!$C$4:$AI$4407,'Tracking Sheet'!B2096,'Production '!$S$4:$S$4407)</f>
        <v>0</v>
      </c>
      <c r="F2096" s="76">
        <f ca="1">SUMIF('Production '!$C$4:$AI$4407,'Tracking Sheet'!B2096,'Production '!$U$4:$U$4407)</f>
        <v>0</v>
      </c>
      <c r="G2096" s="76">
        <f ca="1">SUMIF('Production '!$C$4:$AI$4407,'Tracking Sheet'!B2096,'Production '!$W$4:$W$4407)</f>
        <v>0</v>
      </c>
      <c r="H2096" s="76">
        <f ca="1">SUMIF('Production '!$C$4:$AI$4407,'Tracking Sheet'!B2096,'Production '!$F$4:$F$4407)</f>
        <v>24000</v>
      </c>
      <c r="I2096" s="76">
        <f ca="1">SUMIF('Production '!$C$4:$AI$4407,'Tracking Sheet'!B2096,'Production '!$V$4:$V$4407)</f>
        <v>0</v>
      </c>
      <c r="J2096" s="76">
        <f ca="1">SUMIF('Production '!$C$4:$AI$4407,'Tracking Sheet'!B2096,'Production '!$AG$4:$AG$4407)</f>
        <v>-24000</v>
      </c>
    </row>
    <row r="2097" spans="2:10" x14ac:dyDescent="0.3">
      <c r="B2097" s="277" t="str">
        <f>'Production '!C2100</f>
        <v>48302 2nd</v>
      </c>
      <c r="C2097" s="76">
        <f ca="1">SUMIF('Production '!$C$4:$AI$4407,'Tracking Sheet'!B2097,'Production '!$M$4:$M$4407)</f>
        <v>0</v>
      </c>
      <c r="D2097" s="76">
        <f ca="1">SUMIF('Production '!$C$4:$AI$4407,'Tracking Sheet'!B2097,'Production '!$Q$4:$Q$4407)</f>
        <v>0</v>
      </c>
      <c r="E2097" s="76">
        <f ca="1">SUMIF('Production '!$C$4:$AI$4407,'Tracking Sheet'!B2097,'Production '!$S$4:$S$4407)</f>
        <v>0</v>
      </c>
      <c r="F2097" s="76">
        <f ca="1">SUMIF('Production '!$C$4:$AI$4407,'Tracking Sheet'!B2097,'Production '!$U$4:$U$4407)</f>
        <v>0</v>
      </c>
      <c r="G2097" s="76">
        <f ca="1">SUMIF('Production '!$C$4:$AI$4407,'Tracking Sheet'!B2097,'Production '!$W$4:$W$4407)</f>
        <v>0</v>
      </c>
      <c r="H2097" s="76">
        <f ca="1">SUMIF('Production '!$C$4:$AI$4407,'Tracking Sheet'!B2097,'Production '!$F$4:$F$4407)</f>
        <v>24000</v>
      </c>
      <c r="I2097" s="76">
        <f ca="1">SUMIF('Production '!$C$4:$AI$4407,'Tracking Sheet'!B2097,'Production '!$V$4:$V$4407)</f>
        <v>0</v>
      </c>
      <c r="J2097" s="76">
        <f ca="1">SUMIF('Production '!$C$4:$AI$4407,'Tracking Sheet'!B2097,'Production '!$AG$4:$AG$4407)</f>
        <v>-24000</v>
      </c>
    </row>
    <row r="2098" spans="2:10" x14ac:dyDescent="0.3">
      <c r="B2098" s="277">
        <f>'Production '!C2101</f>
        <v>0</v>
      </c>
      <c r="C2098" s="76" t="e">
        <f ca="1">SUMIF('Production '!$C$4:$AI$4407,'Tracking Sheet'!B2098,'Production '!$M$4:$M$4407)</f>
        <v>#DIV/0!</v>
      </c>
      <c r="D2098" s="76" t="e">
        <f ca="1">SUMIF('Production '!$C$4:$AI$4407,'Tracking Sheet'!B2098,'Production '!$Q$4:$Q$4407)</f>
        <v>#DIV/0!</v>
      </c>
      <c r="E2098" s="76">
        <f ca="1">SUMIF('Production '!$C$4:$AI$4407,'Tracking Sheet'!B2098,'Production '!$S$4:$S$4407)</f>
        <v>-1268218.9828305368</v>
      </c>
      <c r="F2098" s="76">
        <f ca="1">SUMIF('Production '!$C$4:$AI$4407,'Tracking Sheet'!B2098,'Production '!$U$4:$U$4407)</f>
        <v>-10620.435600016917</v>
      </c>
      <c r="G2098" s="76" t="e">
        <f ca="1">SUMIF('Production '!$C$4:$AI$4407,'Tracking Sheet'!B2098,'Production '!$W$4:$W$4407)</f>
        <v>#DIV/0!</v>
      </c>
      <c r="H2098" s="76">
        <f ca="1">SUMIF('Production '!$C$4:$AI$4407,'Tracking Sheet'!B2098,'Production '!$F$4:$F$4407)</f>
        <v>3230621.3283604058</v>
      </c>
      <c r="I2098" s="76">
        <f ca="1">SUMIF('Production '!$C$4:$AI$4407,'Tracking Sheet'!B2098,'Production '!$V$4:$V$4407)</f>
        <v>-489.86487791182844</v>
      </c>
      <c r="J2098" s="76">
        <f ca="1">SUMIF('Production '!$C$4:$AI$4407,'Tracking Sheet'!B2098,'Production '!$AG$4:$AG$4407)</f>
        <v>0</v>
      </c>
    </row>
    <row r="2099" spans="2:10" x14ac:dyDescent="0.3">
      <c r="B2099" s="277">
        <f>'Production '!C2102</f>
        <v>48258</v>
      </c>
      <c r="C2099" s="76">
        <f ca="1">SUMIF('Production '!$C$4:$AI$4407,'Tracking Sheet'!B2099,'Production '!$M$4:$M$4407)</f>
        <v>26539</v>
      </c>
      <c r="D2099" s="76">
        <f ca="1">SUMIF('Production '!$C$4:$AI$4407,'Tracking Sheet'!B2099,'Production '!$Q$4:$Q$4407)</f>
        <v>0</v>
      </c>
      <c r="E2099" s="76">
        <f ca="1">SUMIF('Production '!$C$4:$AI$4407,'Tracking Sheet'!B2099,'Production '!$S$4:$S$4407)</f>
        <v>0</v>
      </c>
      <c r="F2099" s="76">
        <f ca="1">SUMIF('Production '!$C$4:$AI$4407,'Tracking Sheet'!B2099,'Production '!$U$4:$U$4407)</f>
        <v>164</v>
      </c>
      <c r="G2099" s="76">
        <f ca="1">SUMIF('Production '!$C$4:$AI$4407,'Tracking Sheet'!B2099,'Production '!$W$4:$W$4407)</f>
        <v>26375</v>
      </c>
      <c r="H2099" s="76">
        <f ca="1">SUMIF('Production '!$C$4:$AI$4407,'Tracking Sheet'!B2099,'Production '!$F$4:$F$4407)</f>
        <v>26278</v>
      </c>
      <c r="I2099" s="76">
        <f ca="1">SUMIF('Production '!$C$4:$AI$4407,'Tracking Sheet'!B2099,'Production '!$V$4:$V$4407)</f>
        <v>0</v>
      </c>
      <c r="J2099" s="76">
        <f ca="1">SUMIF('Production '!$C$4:$AI$4407,'Tracking Sheet'!B2099,'Production '!$AG$4:$AG$4407)</f>
        <v>0</v>
      </c>
    </row>
    <row r="2100" spans="2:10" x14ac:dyDescent="0.3">
      <c r="B2100" s="277">
        <f>'Production '!C2103</f>
        <v>48258</v>
      </c>
      <c r="C2100" s="76">
        <f ca="1">SUMIF('Production '!$C$4:$AI$4407,'Tracking Sheet'!B2100,'Production '!$M$4:$M$4407)</f>
        <v>26539</v>
      </c>
      <c r="D2100" s="76">
        <f ca="1">SUMIF('Production '!$C$4:$AI$4407,'Tracking Sheet'!B2100,'Production '!$Q$4:$Q$4407)</f>
        <v>0</v>
      </c>
      <c r="E2100" s="76">
        <f ca="1">SUMIF('Production '!$C$4:$AI$4407,'Tracking Sheet'!B2100,'Production '!$S$4:$S$4407)</f>
        <v>0</v>
      </c>
      <c r="F2100" s="76">
        <f ca="1">SUMIF('Production '!$C$4:$AI$4407,'Tracking Sheet'!B2100,'Production '!$U$4:$U$4407)</f>
        <v>164</v>
      </c>
      <c r="G2100" s="76">
        <f ca="1">SUMIF('Production '!$C$4:$AI$4407,'Tracking Sheet'!B2100,'Production '!$W$4:$W$4407)</f>
        <v>26375</v>
      </c>
      <c r="H2100" s="76">
        <f ca="1">SUMIF('Production '!$C$4:$AI$4407,'Tracking Sheet'!B2100,'Production '!$F$4:$F$4407)</f>
        <v>26278</v>
      </c>
      <c r="I2100" s="76">
        <f ca="1">SUMIF('Production '!$C$4:$AI$4407,'Tracking Sheet'!B2100,'Production '!$V$4:$V$4407)</f>
        <v>0</v>
      </c>
      <c r="J2100" s="76">
        <f ca="1">SUMIF('Production '!$C$4:$AI$4407,'Tracking Sheet'!B2100,'Production '!$AG$4:$AG$4407)</f>
        <v>0</v>
      </c>
    </row>
    <row r="2101" spans="2:10" x14ac:dyDescent="0.3">
      <c r="B2101" s="277">
        <f>'Production '!C2104</f>
        <v>0</v>
      </c>
      <c r="C2101" s="76" t="e">
        <f ca="1">SUMIF('Production '!$C$4:$AI$4407,'Tracking Sheet'!B2101,'Production '!$M$4:$M$4407)</f>
        <v>#DIV/0!</v>
      </c>
      <c r="D2101" s="76" t="e">
        <f ca="1">SUMIF('Production '!$C$4:$AI$4407,'Tracking Sheet'!B2101,'Production '!$Q$4:$Q$4407)</f>
        <v>#DIV/0!</v>
      </c>
      <c r="E2101" s="76">
        <f ca="1">SUMIF('Production '!$C$4:$AI$4407,'Tracking Sheet'!B2101,'Production '!$S$4:$S$4407)</f>
        <v>-1268218.9828305368</v>
      </c>
      <c r="F2101" s="76">
        <f ca="1">SUMIF('Production '!$C$4:$AI$4407,'Tracking Sheet'!B2101,'Production '!$U$4:$U$4407)</f>
        <v>-10620.435600016917</v>
      </c>
      <c r="G2101" s="76" t="e">
        <f ca="1">SUMIF('Production '!$C$4:$AI$4407,'Tracking Sheet'!B2101,'Production '!$W$4:$W$4407)</f>
        <v>#DIV/0!</v>
      </c>
      <c r="H2101" s="76">
        <f ca="1">SUMIF('Production '!$C$4:$AI$4407,'Tracking Sheet'!B2101,'Production '!$F$4:$F$4407)</f>
        <v>3230621.3283604058</v>
      </c>
      <c r="I2101" s="76">
        <f ca="1">SUMIF('Production '!$C$4:$AI$4407,'Tracking Sheet'!B2101,'Production '!$V$4:$V$4407)</f>
        <v>-489.86487791182844</v>
      </c>
      <c r="J2101" s="76">
        <f ca="1">SUMIF('Production '!$C$4:$AI$4407,'Tracking Sheet'!B2101,'Production '!$AG$4:$AG$4407)</f>
        <v>0</v>
      </c>
    </row>
    <row r="2102" spans="2:10" x14ac:dyDescent="0.3">
      <c r="B2102" s="277" t="str">
        <f>'Production '!C2105</f>
        <v>47047 2nd</v>
      </c>
      <c r="C2102" s="76">
        <f ca="1">SUMIF('Production '!$C$4:$AI$4407,'Tracking Sheet'!B2102,'Production '!$M$4:$M$4407)</f>
        <v>3444</v>
      </c>
      <c r="D2102" s="76">
        <f ca="1">SUMIF('Production '!$C$4:$AI$4407,'Tracking Sheet'!B2102,'Production '!$Q$4:$Q$4407)</f>
        <v>0</v>
      </c>
      <c r="E2102" s="76">
        <f ca="1">SUMIF('Production '!$C$4:$AI$4407,'Tracking Sheet'!B2102,'Production '!$S$4:$S$4407)</f>
        <v>0</v>
      </c>
      <c r="F2102" s="76">
        <f ca="1">SUMIF('Production '!$C$4:$AI$4407,'Tracking Sheet'!B2102,'Production '!$U$4:$U$4407)</f>
        <v>7</v>
      </c>
      <c r="G2102" s="76">
        <f ca="1">SUMIF('Production '!$C$4:$AI$4407,'Tracking Sheet'!B2102,'Production '!$W$4:$W$4407)</f>
        <v>3437</v>
      </c>
      <c r="H2102" s="76">
        <f ca="1">SUMIF('Production '!$C$4:$AI$4407,'Tracking Sheet'!B2102,'Production '!$F$4:$F$4407)</f>
        <v>3345</v>
      </c>
      <c r="I2102" s="76">
        <f ca="1">SUMIF('Production '!$C$4:$AI$4407,'Tracking Sheet'!B2102,'Production '!$V$4:$V$4407)</f>
        <v>0</v>
      </c>
      <c r="J2102" s="76">
        <f ca="1">SUMIF('Production '!$C$4:$AI$4407,'Tracking Sheet'!B2102,'Production '!$AG$4:$AG$4407)</f>
        <v>0</v>
      </c>
    </row>
    <row r="2103" spans="2:10" x14ac:dyDescent="0.3">
      <c r="B2103" s="277" t="str">
        <f>'Production '!C2106</f>
        <v>47047 2nd</v>
      </c>
      <c r="C2103" s="76">
        <f ca="1">SUMIF('Production '!$C$4:$AI$4407,'Tracking Sheet'!B2103,'Production '!$M$4:$M$4407)</f>
        <v>3444</v>
      </c>
      <c r="D2103" s="76">
        <f ca="1">SUMIF('Production '!$C$4:$AI$4407,'Tracking Sheet'!B2103,'Production '!$Q$4:$Q$4407)</f>
        <v>0</v>
      </c>
      <c r="E2103" s="76">
        <f ca="1">SUMIF('Production '!$C$4:$AI$4407,'Tracking Sheet'!B2103,'Production '!$S$4:$S$4407)</f>
        <v>0</v>
      </c>
      <c r="F2103" s="76">
        <f ca="1">SUMIF('Production '!$C$4:$AI$4407,'Tracking Sheet'!B2103,'Production '!$U$4:$U$4407)</f>
        <v>7</v>
      </c>
      <c r="G2103" s="76">
        <f ca="1">SUMIF('Production '!$C$4:$AI$4407,'Tracking Sheet'!B2103,'Production '!$W$4:$W$4407)</f>
        <v>3437</v>
      </c>
      <c r="H2103" s="76">
        <f ca="1">SUMIF('Production '!$C$4:$AI$4407,'Tracking Sheet'!B2103,'Production '!$F$4:$F$4407)</f>
        <v>3345</v>
      </c>
      <c r="I2103" s="76">
        <f ca="1">SUMIF('Production '!$C$4:$AI$4407,'Tracking Sheet'!B2103,'Production '!$V$4:$V$4407)</f>
        <v>0</v>
      </c>
      <c r="J2103" s="76">
        <f ca="1">SUMIF('Production '!$C$4:$AI$4407,'Tracking Sheet'!B2103,'Production '!$AG$4:$AG$4407)</f>
        <v>0</v>
      </c>
    </row>
    <row r="2104" spans="2:10" x14ac:dyDescent="0.3">
      <c r="B2104" s="277" t="str">
        <f>'Production '!C2107</f>
        <v>47047 2nd</v>
      </c>
      <c r="C2104" s="76">
        <f ca="1">SUMIF('Production '!$C$4:$AI$4407,'Tracking Sheet'!B2104,'Production '!$M$4:$M$4407)</f>
        <v>3444</v>
      </c>
      <c r="D2104" s="76">
        <f ca="1">SUMIF('Production '!$C$4:$AI$4407,'Tracking Sheet'!B2104,'Production '!$Q$4:$Q$4407)</f>
        <v>0</v>
      </c>
      <c r="E2104" s="76">
        <f ca="1">SUMIF('Production '!$C$4:$AI$4407,'Tracking Sheet'!B2104,'Production '!$S$4:$S$4407)</f>
        <v>0</v>
      </c>
      <c r="F2104" s="76">
        <f ca="1">SUMIF('Production '!$C$4:$AI$4407,'Tracking Sheet'!B2104,'Production '!$U$4:$U$4407)</f>
        <v>7</v>
      </c>
      <c r="G2104" s="76">
        <f ca="1">SUMIF('Production '!$C$4:$AI$4407,'Tracking Sheet'!B2104,'Production '!$W$4:$W$4407)</f>
        <v>3437</v>
      </c>
      <c r="H2104" s="76">
        <f ca="1">SUMIF('Production '!$C$4:$AI$4407,'Tracking Sheet'!B2104,'Production '!$F$4:$F$4407)</f>
        <v>3345</v>
      </c>
      <c r="I2104" s="76">
        <f ca="1">SUMIF('Production '!$C$4:$AI$4407,'Tracking Sheet'!B2104,'Production '!$V$4:$V$4407)</f>
        <v>0</v>
      </c>
      <c r="J2104" s="76">
        <f ca="1">SUMIF('Production '!$C$4:$AI$4407,'Tracking Sheet'!B2104,'Production '!$AG$4:$AG$4407)</f>
        <v>0</v>
      </c>
    </row>
    <row r="2105" spans="2:10" x14ac:dyDescent="0.3">
      <c r="B2105" s="277">
        <f>'Production '!C2108</f>
        <v>0</v>
      </c>
      <c r="C2105" s="76" t="e">
        <f ca="1">SUMIF('Production '!$C$4:$AI$4407,'Tracking Sheet'!B2105,'Production '!$M$4:$M$4407)</f>
        <v>#DIV/0!</v>
      </c>
      <c r="D2105" s="76" t="e">
        <f ca="1">SUMIF('Production '!$C$4:$AI$4407,'Tracking Sheet'!B2105,'Production '!$Q$4:$Q$4407)</f>
        <v>#DIV/0!</v>
      </c>
      <c r="E2105" s="76">
        <f ca="1">SUMIF('Production '!$C$4:$AI$4407,'Tracking Sheet'!B2105,'Production '!$S$4:$S$4407)</f>
        <v>-1268218.9828305368</v>
      </c>
      <c r="F2105" s="76">
        <f ca="1">SUMIF('Production '!$C$4:$AI$4407,'Tracking Sheet'!B2105,'Production '!$U$4:$U$4407)</f>
        <v>-10620.435600016917</v>
      </c>
      <c r="G2105" s="76" t="e">
        <f ca="1">SUMIF('Production '!$C$4:$AI$4407,'Tracking Sheet'!B2105,'Production '!$W$4:$W$4407)</f>
        <v>#DIV/0!</v>
      </c>
      <c r="H2105" s="76">
        <f ca="1">SUMIF('Production '!$C$4:$AI$4407,'Tracking Sheet'!B2105,'Production '!$F$4:$F$4407)</f>
        <v>3230621.3283604058</v>
      </c>
      <c r="I2105" s="76">
        <f ca="1">SUMIF('Production '!$C$4:$AI$4407,'Tracking Sheet'!B2105,'Production '!$V$4:$V$4407)</f>
        <v>-489.86487791182844</v>
      </c>
      <c r="J2105" s="76">
        <f ca="1">SUMIF('Production '!$C$4:$AI$4407,'Tracking Sheet'!B2105,'Production '!$AG$4:$AG$4407)</f>
        <v>0</v>
      </c>
    </row>
    <row r="2106" spans="2:10" x14ac:dyDescent="0.3">
      <c r="B2106" s="277">
        <f>'Production '!C2109</f>
        <v>48179</v>
      </c>
      <c r="C2106" s="76">
        <f ca="1">SUMIF('Production '!$C$4:$AI$4407,'Tracking Sheet'!B2106,'Production '!$M$4:$M$4407)</f>
        <v>4266</v>
      </c>
      <c r="D2106" s="76">
        <f ca="1">SUMIF('Production '!$C$4:$AI$4407,'Tracking Sheet'!B2106,'Production '!$Q$4:$Q$4407)</f>
        <v>4266</v>
      </c>
      <c r="E2106" s="76">
        <f ca="1">SUMIF('Production '!$C$4:$AI$4407,'Tracking Sheet'!B2106,'Production '!$S$4:$S$4407)</f>
        <v>3022</v>
      </c>
      <c r="F2106" s="76">
        <f ca="1">SUMIF('Production '!$C$4:$AI$4407,'Tracking Sheet'!B2106,'Production '!$U$4:$U$4407)</f>
        <v>3022</v>
      </c>
      <c r="G2106" s="76">
        <f ca="1">SUMIF('Production '!$C$4:$AI$4407,'Tracking Sheet'!B2106,'Production '!$W$4:$W$4407)</f>
        <v>0</v>
      </c>
      <c r="H2106" s="76">
        <f ca="1">SUMIF('Production '!$C$4:$AI$4407,'Tracking Sheet'!B2106,'Production '!$F$4:$F$4407)</f>
        <v>4179</v>
      </c>
      <c r="I2106" s="76">
        <f ca="1">SUMIF('Production '!$C$4:$AI$4407,'Tracking Sheet'!B2106,'Production '!$V$4:$V$4407)</f>
        <v>0</v>
      </c>
      <c r="J2106" s="76">
        <f ca="1">SUMIF('Production '!$C$4:$AI$4407,'Tracking Sheet'!B2106,'Production '!$AG$4:$AG$4407)</f>
        <v>0</v>
      </c>
    </row>
    <row r="2107" spans="2:10" x14ac:dyDescent="0.3">
      <c r="B2107" s="277">
        <f>'Production '!C2110</f>
        <v>48179</v>
      </c>
      <c r="C2107" s="76">
        <f ca="1">SUMIF('Production '!$C$4:$AI$4407,'Tracking Sheet'!B2107,'Production '!$M$4:$M$4407)</f>
        <v>4266</v>
      </c>
      <c r="D2107" s="76">
        <f ca="1">SUMIF('Production '!$C$4:$AI$4407,'Tracking Sheet'!B2107,'Production '!$Q$4:$Q$4407)</f>
        <v>4266</v>
      </c>
      <c r="E2107" s="76">
        <f ca="1">SUMIF('Production '!$C$4:$AI$4407,'Tracking Sheet'!B2107,'Production '!$S$4:$S$4407)</f>
        <v>3022</v>
      </c>
      <c r="F2107" s="76">
        <f ca="1">SUMIF('Production '!$C$4:$AI$4407,'Tracking Sheet'!B2107,'Production '!$U$4:$U$4407)</f>
        <v>3022</v>
      </c>
      <c r="G2107" s="76">
        <f ca="1">SUMIF('Production '!$C$4:$AI$4407,'Tracking Sheet'!B2107,'Production '!$W$4:$W$4407)</f>
        <v>0</v>
      </c>
      <c r="H2107" s="76">
        <f ca="1">SUMIF('Production '!$C$4:$AI$4407,'Tracking Sheet'!B2107,'Production '!$F$4:$F$4407)</f>
        <v>4179</v>
      </c>
      <c r="I2107" s="76">
        <f ca="1">SUMIF('Production '!$C$4:$AI$4407,'Tracking Sheet'!B2107,'Production '!$V$4:$V$4407)</f>
        <v>0</v>
      </c>
      <c r="J2107" s="76">
        <f ca="1">SUMIF('Production '!$C$4:$AI$4407,'Tracking Sheet'!B2107,'Production '!$AG$4:$AG$4407)</f>
        <v>0</v>
      </c>
    </row>
    <row r="2108" spans="2:10" x14ac:dyDescent="0.3">
      <c r="B2108" s="277">
        <f>'Production '!C2111</f>
        <v>48179</v>
      </c>
      <c r="C2108" s="76">
        <f ca="1">SUMIF('Production '!$C$4:$AI$4407,'Tracking Sheet'!B2108,'Production '!$M$4:$M$4407)</f>
        <v>4266</v>
      </c>
      <c r="D2108" s="76">
        <f ca="1">SUMIF('Production '!$C$4:$AI$4407,'Tracking Sheet'!B2108,'Production '!$Q$4:$Q$4407)</f>
        <v>4266</v>
      </c>
      <c r="E2108" s="76">
        <f ca="1">SUMIF('Production '!$C$4:$AI$4407,'Tracking Sheet'!B2108,'Production '!$S$4:$S$4407)</f>
        <v>3022</v>
      </c>
      <c r="F2108" s="76">
        <f ca="1">SUMIF('Production '!$C$4:$AI$4407,'Tracking Sheet'!B2108,'Production '!$U$4:$U$4407)</f>
        <v>3022</v>
      </c>
      <c r="G2108" s="76">
        <f ca="1">SUMIF('Production '!$C$4:$AI$4407,'Tracking Sheet'!B2108,'Production '!$W$4:$W$4407)</f>
        <v>0</v>
      </c>
      <c r="H2108" s="76">
        <f ca="1">SUMIF('Production '!$C$4:$AI$4407,'Tracking Sheet'!B2108,'Production '!$F$4:$F$4407)</f>
        <v>4179</v>
      </c>
      <c r="I2108" s="76">
        <f ca="1">SUMIF('Production '!$C$4:$AI$4407,'Tracking Sheet'!B2108,'Production '!$V$4:$V$4407)</f>
        <v>0</v>
      </c>
      <c r="J2108" s="76">
        <f ca="1">SUMIF('Production '!$C$4:$AI$4407,'Tracking Sheet'!B2108,'Production '!$AG$4:$AG$4407)</f>
        <v>0</v>
      </c>
    </row>
    <row r="2109" spans="2:10" x14ac:dyDescent="0.3">
      <c r="B2109" s="277">
        <f>'Production '!C2112</f>
        <v>0</v>
      </c>
      <c r="C2109" s="76" t="e">
        <f ca="1">SUMIF('Production '!$C$4:$AI$4407,'Tracking Sheet'!B2109,'Production '!$M$4:$M$4407)</f>
        <v>#DIV/0!</v>
      </c>
      <c r="D2109" s="76" t="e">
        <f ca="1">SUMIF('Production '!$C$4:$AI$4407,'Tracking Sheet'!B2109,'Production '!$Q$4:$Q$4407)</f>
        <v>#DIV/0!</v>
      </c>
      <c r="E2109" s="76">
        <f ca="1">SUMIF('Production '!$C$4:$AI$4407,'Tracking Sheet'!B2109,'Production '!$S$4:$S$4407)</f>
        <v>-1268218.9828305368</v>
      </c>
      <c r="F2109" s="76">
        <f ca="1">SUMIF('Production '!$C$4:$AI$4407,'Tracking Sheet'!B2109,'Production '!$U$4:$U$4407)</f>
        <v>-10620.435600016917</v>
      </c>
      <c r="G2109" s="76" t="e">
        <f ca="1">SUMIF('Production '!$C$4:$AI$4407,'Tracking Sheet'!B2109,'Production '!$W$4:$W$4407)</f>
        <v>#DIV/0!</v>
      </c>
      <c r="H2109" s="76">
        <f ca="1">SUMIF('Production '!$C$4:$AI$4407,'Tracking Sheet'!B2109,'Production '!$F$4:$F$4407)</f>
        <v>3230621.3283604058</v>
      </c>
      <c r="I2109" s="76">
        <f ca="1">SUMIF('Production '!$C$4:$AI$4407,'Tracking Sheet'!B2109,'Production '!$V$4:$V$4407)</f>
        <v>-489.86487791182844</v>
      </c>
      <c r="J2109" s="76">
        <f ca="1">SUMIF('Production '!$C$4:$AI$4407,'Tracking Sheet'!B2109,'Production '!$AG$4:$AG$4407)</f>
        <v>0</v>
      </c>
    </row>
    <row r="2110" spans="2:10" x14ac:dyDescent="0.3">
      <c r="B2110" s="277">
        <f>'Production '!C2113</f>
        <v>48177</v>
      </c>
      <c r="C2110" s="76">
        <f ca="1">SUMIF('Production '!$C$4:$AI$4407,'Tracking Sheet'!B2110,'Production '!$M$4:$M$4407)</f>
        <v>1752</v>
      </c>
      <c r="D2110" s="76">
        <f ca="1">SUMIF('Production '!$C$4:$AI$4407,'Tracking Sheet'!B2110,'Production '!$Q$4:$Q$4407)</f>
        <v>1752</v>
      </c>
      <c r="E2110" s="76">
        <f ca="1">SUMIF('Production '!$C$4:$AI$4407,'Tracking Sheet'!B2110,'Production '!$S$4:$S$4407)</f>
        <v>1749</v>
      </c>
      <c r="F2110" s="76">
        <f ca="1">SUMIF('Production '!$C$4:$AI$4407,'Tracking Sheet'!B2110,'Production '!$U$4:$U$4407)</f>
        <v>6</v>
      </c>
      <c r="G2110" s="76">
        <f ca="1">SUMIF('Production '!$C$4:$AI$4407,'Tracking Sheet'!B2110,'Production '!$W$4:$W$4407)</f>
        <v>1743</v>
      </c>
      <c r="H2110" s="76">
        <f ca="1">SUMIF('Production '!$C$4:$AI$4407,'Tracking Sheet'!B2110,'Production '!$F$4:$F$4407)</f>
        <v>1704</v>
      </c>
      <c r="I2110" s="76">
        <f ca="1">SUMIF('Production '!$C$4:$AI$4407,'Tracking Sheet'!B2110,'Production '!$V$4:$V$4407)</f>
        <v>0</v>
      </c>
      <c r="J2110" s="76">
        <f ca="1">SUMIF('Production '!$C$4:$AI$4407,'Tracking Sheet'!B2110,'Production '!$AG$4:$AG$4407)</f>
        <v>0</v>
      </c>
    </row>
    <row r="2111" spans="2:10" x14ac:dyDescent="0.3">
      <c r="B2111" s="277">
        <f>'Production '!C2114</f>
        <v>48177</v>
      </c>
      <c r="C2111" s="76">
        <f ca="1">SUMIF('Production '!$C$4:$AI$4407,'Tracking Sheet'!B2111,'Production '!$M$4:$M$4407)</f>
        <v>1752</v>
      </c>
      <c r="D2111" s="76">
        <f ca="1">SUMIF('Production '!$C$4:$AI$4407,'Tracking Sheet'!B2111,'Production '!$Q$4:$Q$4407)</f>
        <v>1752</v>
      </c>
      <c r="E2111" s="76">
        <f ca="1">SUMIF('Production '!$C$4:$AI$4407,'Tracking Sheet'!B2111,'Production '!$S$4:$S$4407)</f>
        <v>1749</v>
      </c>
      <c r="F2111" s="76">
        <f ca="1">SUMIF('Production '!$C$4:$AI$4407,'Tracking Sheet'!B2111,'Production '!$U$4:$U$4407)</f>
        <v>6</v>
      </c>
      <c r="G2111" s="76">
        <f ca="1">SUMIF('Production '!$C$4:$AI$4407,'Tracking Sheet'!B2111,'Production '!$W$4:$W$4407)</f>
        <v>1743</v>
      </c>
      <c r="H2111" s="76">
        <f ca="1">SUMIF('Production '!$C$4:$AI$4407,'Tracking Sheet'!B2111,'Production '!$F$4:$F$4407)</f>
        <v>1704</v>
      </c>
      <c r="I2111" s="76">
        <f ca="1">SUMIF('Production '!$C$4:$AI$4407,'Tracking Sheet'!B2111,'Production '!$V$4:$V$4407)</f>
        <v>0</v>
      </c>
      <c r="J2111" s="76">
        <f ca="1">SUMIF('Production '!$C$4:$AI$4407,'Tracking Sheet'!B2111,'Production '!$AG$4:$AG$4407)</f>
        <v>0</v>
      </c>
    </row>
    <row r="2112" spans="2:10" x14ac:dyDescent="0.3">
      <c r="B2112" s="277">
        <f>'Production '!C2115</f>
        <v>48177</v>
      </c>
      <c r="C2112" s="76">
        <f ca="1">SUMIF('Production '!$C$4:$AI$4407,'Tracking Sheet'!B2112,'Production '!$M$4:$M$4407)</f>
        <v>1752</v>
      </c>
      <c r="D2112" s="76">
        <f ca="1">SUMIF('Production '!$C$4:$AI$4407,'Tracking Sheet'!B2112,'Production '!$Q$4:$Q$4407)</f>
        <v>1752</v>
      </c>
      <c r="E2112" s="76">
        <f ca="1">SUMIF('Production '!$C$4:$AI$4407,'Tracking Sheet'!B2112,'Production '!$S$4:$S$4407)</f>
        <v>1749</v>
      </c>
      <c r="F2112" s="76">
        <f ca="1">SUMIF('Production '!$C$4:$AI$4407,'Tracking Sheet'!B2112,'Production '!$U$4:$U$4407)</f>
        <v>6</v>
      </c>
      <c r="G2112" s="76">
        <f ca="1">SUMIF('Production '!$C$4:$AI$4407,'Tracking Sheet'!B2112,'Production '!$W$4:$W$4407)</f>
        <v>1743</v>
      </c>
      <c r="H2112" s="76">
        <f ca="1">SUMIF('Production '!$C$4:$AI$4407,'Tracking Sheet'!B2112,'Production '!$F$4:$F$4407)</f>
        <v>1704</v>
      </c>
      <c r="I2112" s="76">
        <f ca="1">SUMIF('Production '!$C$4:$AI$4407,'Tracking Sheet'!B2112,'Production '!$V$4:$V$4407)</f>
        <v>0</v>
      </c>
      <c r="J2112" s="76">
        <f ca="1">SUMIF('Production '!$C$4:$AI$4407,'Tracking Sheet'!B2112,'Production '!$AG$4:$AG$4407)</f>
        <v>0</v>
      </c>
    </row>
    <row r="2113" spans="2:10" x14ac:dyDescent="0.3">
      <c r="B2113" s="277">
        <f>'Production '!C2116</f>
        <v>0</v>
      </c>
      <c r="C2113" s="76" t="e">
        <f ca="1">SUMIF('Production '!$C$4:$AI$4407,'Tracking Sheet'!B2113,'Production '!$M$4:$M$4407)</f>
        <v>#DIV/0!</v>
      </c>
      <c r="D2113" s="76" t="e">
        <f ca="1">SUMIF('Production '!$C$4:$AI$4407,'Tracking Sheet'!B2113,'Production '!$Q$4:$Q$4407)</f>
        <v>#DIV/0!</v>
      </c>
      <c r="E2113" s="76">
        <f ca="1">SUMIF('Production '!$C$4:$AI$4407,'Tracking Sheet'!B2113,'Production '!$S$4:$S$4407)</f>
        <v>-1268218.9828305368</v>
      </c>
      <c r="F2113" s="76">
        <f ca="1">SUMIF('Production '!$C$4:$AI$4407,'Tracking Sheet'!B2113,'Production '!$U$4:$U$4407)</f>
        <v>-10620.435600016917</v>
      </c>
      <c r="G2113" s="76" t="e">
        <f ca="1">SUMIF('Production '!$C$4:$AI$4407,'Tracking Sheet'!B2113,'Production '!$W$4:$W$4407)</f>
        <v>#DIV/0!</v>
      </c>
      <c r="H2113" s="76">
        <f ca="1">SUMIF('Production '!$C$4:$AI$4407,'Tracking Sheet'!B2113,'Production '!$F$4:$F$4407)</f>
        <v>3230621.3283604058</v>
      </c>
      <c r="I2113" s="76">
        <f ca="1">SUMIF('Production '!$C$4:$AI$4407,'Tracking Sheet'!B2113,'Production '!$V$4:$V$4407)</f>
        <v>-489.86487791182844</v>
      </c>
      <c r="J2113" s="76">
        <f ca="1">SUMIF('Production '!$C$4:$AI$4407,'Tracking Sheet'!B2113,'Production '!$AG$4:$AG$4407)</f>
        <v>0</v>
      </c>
    </row>
    <row r="2114" spans="2:10" x14ac:dyDescent="0.3">
      <c r="B2114" s="277">
        <f>'Production '!C2117</f>
        <v>48175</v>
      </c>
      <c r="C2114" s="76">
        <f ca="1">SUMIF('Production '!$C$4:$AI$4407,'Tracking Sheet'!B2114,'Production '!$M$4:$M$4407)</f>
        <v>1458</v>
      </c>
      <c r="D2114" s="76">
        <f ca="1">SUMIF('Production '!$C$4:$AI$4407,'Tracking Sheet'!B2114,'Production '!$Q$4:$Q$4407)</f>
        <v>0</v>
      </c>
      <c r="E2114" s="76">
        <f ca="1">SUMIF('Production '!$C$4:$AI$4407,'Tracking Sheet'!B2114,'Production '!$S$4:$S$4407)</f>
        <v>0</v>
      </c>
      <c r="F2114" s="76">
        <f ca="1">SUMIF('Production '!$C$4:$AI$4407,'Tracking Sheet'!B2114,'Production '!$U$4:$U$4407)</f>
        <v>0</v>
      </c>
      <c r="G2114" s="76">
        <f ca="1">SUMIF('Production '!$C$4:$AI$4407,'Tracking Sheet'!B2114,'Production '!$W$4:$W$4407)</f>
        <v>1458</v>
      </c>
      <c r="H2114" s="76">
        <f ca="1">SUMIF('Production '!$C$4:$AI$4407,'Tracking Sheet'!B2114,'Production '!$F$4:$F$4407)</f>
        <v>1416</v>
      </c>
      <c r="I2114" s="76">
        <f ca="1">SUMIF('Production '!$C$4:$AI$4407,'Tracking Sheet'!B2114,'Production '!$V$4:$V$4407)</f>
        <v>0</v>
      </c>
      <c r="J2114" s="76">
        <f ca="1">SUMIF('Production '!$C$4:$AI$4407,'Tracking Sheet'!B2114,'Production '!$AG$4:$AG$4407)</f>
        <v>0</v>
      </c>
    </row>
    <row r="2115" spans="2:10" x14ac:dyDescent="0.3">
      <c r="B2115" s="277">
        <f>'Production '!C2118</f>
        <v>48175</v>
      </c>
      <c r="C2115" s="76">
        <f ca="1">SUMIF('Production '!$C$4:$AI$4407,'Tracking Sheet'!B2115,'Production '!$M$4:$M$4407)</f>
        <v>1458</v>
      </c>
      <c r="D2115" s="76">
        <f ca="1">SUMIF('Production '!$C$4:$AI$4407,'Tracking Sheet'!B2115,'Production '!$Q$4:$Q$4407)</f>
        <v>0</v>
      </c>
      <c r="E2115" s="76">
        <f ca="1">SUMIF('Production '!$C$4:$AI$4407,'Tracking Sheet'!B2115,'Production '!$S$4:$S$4407)</f>
        <v>0</v>
      </c>
      <c r="F2115" s="76">
        <f ca="1">SUMIF('Production '!$C$4:$AI$4407,'Tracking Sheet'!B2115,'Production '!$U$4:$U$4407)</f>
        <v>0</v>
      </c>
      <c r="G2115" s="76">
        <f ca="1">SUMIF('Production '!$C$4:$AI$4407,'Tracking Sheet'!B2115,'Production '!$W$4:$W$4407)</f>
        <v>1458</v>
      </c>
      <c r="H2115" s="76">
        <f ca="1">SUMIF('Production '!$C$4:$AI$4407,'Tracking Sheet'!B2115,'Production '!$F$4:$F$4407)</f>
        <v>1416</v>
      </c>
      <c r="I2115" s="76">
        <f ca="1">SUMIF('Production '!$C$4:$AI$4407,'Tracking Sheet'!B2115,'Production '!$V$4:$V$4407)</f>
        <v>0</v>
      </c>
      <c r="J2115" s="76">
        <f ca="1">SUMIF('Production '!$C$4:$AI$4407,'Tracking Sheet'!B2115,'Production '!$AG$4:$AG$4407)</f>
        <v>0</v>
      </c>
    </row>
    <row r="2116" spans="2:10" x14ac:dyDescent="0.3">
      <c r="B2116" s="277">
        <f>'Production '!C2119</f>
        <v>0</v>
      </c>
      <c r="C2116" s="76" t="e">
        <f ca="1">SUMIF('Production '!$C$4:$AI$4407,'Tracking Sheet'!B2116,'Production '!$M$4:$M$4407)</f>
        <v>#DIV/0!</v>
      </c>
      <c r="D2116" s="76" t="e">
        <f ca="1">SUMIF('Production '!$C$4:$AI$4407,'Tracking Sheet'!B2116,'Production '!$Q$4:$Q$4407)</f>
        <v>#DIV/0!</v>
      </c>
      <c r="E2116" s="76">
        <f ca="1">SUMIF('Production '!$C$4:$AI$4407,'Tracking Sheet'!B2116,'Production '!$S$4:$S$4407)</f>
        <v>-1268218.9828305368</v>
      </c>
      <c r="F2116" s="76">
        <f ca="1">SUMIF('Production '!$C$4:$AI$4407,'Tracking Sheet'!B2116,'Production '!$U$4:$U$4407)</f>
        <v>-10620.435600016917</v>
      </c>
      <c r="G2116" s="76" t="e">
        <f ca="1">SUMIF('Production '!$C$4:$AI$4407,'Tracking Sheet'!B2116,'Production '!$W$4:$W$4407)</f>
        <v>#DIV/0!</v>
      </c>
      <c r="H2116" s="76">
        <f ca="1">SUMIF('Production '!$C$4:$AI$4407,'Tracking Sheet'!B2116,'Production '!$F$4:$F$4407)</f>
        <v>3230621.3283604058</v>
      </c>
      <c r="I2116" s="76">
        <f ca="1">SUMIF('Production '!$C$4:$AI$4407,'Tracking Sheet'!B2116,'Production '!$V$4:$V$4407)</f>
        <v>-489.86487791182844</v>
      </c>
      <c r="J2116" s="76">
        <f ca="1">SUMIF('Production '!$C$4:$AI$4407,'Tracking Sheet'!B2116,'Production '!$AG$4:$AG$4407)</f>
        <v>0</v>
      </c>
    </row>
    <row r="2117" spans="2:10" x14ac:dyDescent="0.3">
      <c r="B2117" s="277">
        <f>'Production '!C2120</f>
        <v>48176</v>
      </c>
      <c r="C2117" s="76">
        <f ca="1">SUMIF('Production '!$C$4:$AI$4407,'Tracking Sheet'!B2117,'Production '!$M$4:$M$4407)</f>
        <v>4129</v>
      </c>
      <c r="D2117" s="76">
        <f ca="1">SUMIF('Production '!$C$4:$AI$4407,'Tracking Sheet'!B2117,'Production '!$Q$4:$Q$4407)</f>
        <v>4129</v>
      </c>
      <c r="E2117" s="76">
        <f ca="1">SUMIF('Production '!$C$4:$AI$4407,'Tracking Sheet'!B2117,'Production '!$S$4:$S$4407)</f>
        <v>4120</v>
      </c>
      <c r="F2117" s="76">
        <f ca="1">SUMIF('Production '!$C$4:$AI$4407,'Tracking Sheet'!B2117,'Production '!$U$4:$U$4407)</f>
        <v>14</v>
      </c>
      <c r="G2117" s="76">
        <f ca="1">SUMIF('Production '!$C$4:$AI$4407,'Tracking Sheet'!B2117,'Production '!$W$4:$W$4407)</f>
        <v>4106</v>
      </c>
      <c r="H2117" s="76">
        <f ca="1">SUMIF('Production '!$C$4:$AI$4407,'Tracking Sheet'!B2117,'Production '!$F$4:$F$4407)</f>
        <v>4032</v>
      </c>
      <c r="I2117" s="76">
        <f ca="1">SUMIF('Production '!$C$4:$AI$4407,'Tracking Sheet'!B2117,'Production '!$V$4:$V$4407)</f>
        <v>0</v>
      </c>
      <c r="J2117" s="76">
        <f ca="1">SUMIF('Production '!$C$4:$AI$4407,'Tracking Sheet'!B2117,'Production '!$AG$4:$AG$4407)</f>
        <v>0</v>
      </c>
    </row>
    <row r="2118" spans="2:10" x14ac:dyDescent="0.3">
      <c r="B2118" s="277">
        <f>'Production '!C2121</f>
        <v>48176</v>
      </c>
      <c r="C2118" s="76">
        <f ca="1">SUMIF('Production '!$C$4:$AI$4407,'Tracking Sheet'!B2118,'Production '!$M$4:$M$4407)</f>
        <v>4129</v>
      </c>
      <c r="D2118" s="76">
        <f ca="1">SUMIF('Production '!$C$4:$AI$4407,'Tracking Sheet'!B2118,'Production '!$Q$4:$Q$4407)</f>
        <v>4129</v>
      </c>
      <c r="E2118" s="76">
        <f ca="1">SUMIF('Production '!$C$4:$AI$4407,'Tracking Sheet'!B2118,'Production '!$S$4:$S$4407)</f>
        <v>4120</v>
      </c>
      <c r="F2118" s="76">
        <f ca="1">SUMIF('Production '!$C$4:$AI$4407,'Tracking Sheet'!B2118,'Production '!$U$4:$U$4407)</f>
        <v>14</v>
      </c>
      <c r="G2118" s="76">
        <f ca="1">SUMIF('Production '!$C$4:$AI$4407,'Tracking Sheet'!B2118,'Production '!$W$4:$W$4407)</f>
        <v>4106</v>
      </c>
      <c r="H2118" s="76">
        <f ca="1">SUMIF('Production '!$C$4:$AI$4407,'Tracking Sheet'!B2118,'Production '!$F$4:$F$4407)</f>
        <v>4032</v>
      </c>
      <c r="I2118" s="76">
        <f ca="1">SUMIF('Production '!$C$4:$AI$4407,'Tracking Sheet'!B2118,'Production '!$V$4:$V$4407)</f>
        <v>0</v>
      </c>
      <c r="J2118" s="76">
        <f ca="1">SUMIF('Production '!$C$4:$AI$4407,'Tracking Sheet'!B2118,'Production '!$AG$4:$AG$4407)</f>
        <v>0</v>
      </c>
    </row>
    <row r="2119" spans="2:10" x14ac:dyDescent="0.3">
      <c r="B2119" s="277">
        <f>'Production '!C2122</f>
        <v>0</v>
      </c>
      <c r="C2119" s="76" t="e">
        <f ca="1">SUMIF('Production '!$C$4:$AI$4407,'Tracking Sheet'!B2119,'Production '!$M$4:$M$4407)</f>
        <v>#DIV/0!</v>
      </c>
      <c r="D2119" s="76" t="e">
        <f ca="1">SUMIF('Production '!$C$4:$AI$4407,'Tracking Sheet'!B2119,'Production '!$Q$4:$Q$4407)</f>
        <v>#DIV/0!</v>
      </c>
      <c r="E2119" s="76">
        <f ca="1">SUMIF('Production '!$C$4:$AI$4407,'Tracking Sheet'!B2119,'Production '!$S$4:$S$4407)</f>
        <v>-1268218.9828305368</v>
      </c>
      <c r="F2119" s="76">
        <f ca="1">SUMIF('Production '!$C$4:$AI$4407,'Tracking Sheet'!B2119,'Production '!$U$4:$U$4407)</f>
        <v>-10620.435600016917</v>
      </c>
      <c r="G2119" s="76" t="e">
        <f ca="1">SUMIF('Production '!$C$4:$AI$4407,'Tracking Sheet'!B2119,'Production '!$W$4:$W$4407)</f>
        <v>#DIV/0!</v>
      </c>
      <c r="H2119" s="76">
        <f ca="1">SUMIF('Production '!$C$4:$AI$4407,'Tracking Sheet'!B2119,'Production '!$F$4:$F$4407)</f>
        <v>3230621.3283604058</v>
      </c>
      <c r="I2119" s="76">
        <f ca="1">SUMIF('Production '!$C$4:$AI$4407,'Tracking Sheet'!B2119,'Production '!$V$4:$V$4407)</f>
        <v>-489.86487791182844</v>
      </c>
      <c r="J2119" s="76">
        <f ca="1">SUMIF('Production '!$C$4:$AI$4407,'Tracking Sheet'!B2119,'Production '!$AG$4:$AG$4407)</f>
        <v>0</v>
      </c>
    </row>
    <row r="2120" spans="2:10" x14ac:dyDescent="0.3">
      <c r="B2120" s="277" t="str">
        <f>'Production '!C2123</f>
        <v>44115 14th</v>
      </c>
      <c r="C2120" s="76">
        <f ca="1">SUMIF('Production '!$C$4:$AI$4407,'Tracking Sheet'!B2120,'Production '!$M$4:$M$4407)</f>
        <v>3821</v>
      </c>
      <c r="D2120" s="76">
        <f ca="1">SUMIF('Production '!$C$4:$AI$4407,'Tracking Sheet'!B2120,'Production '!$Q$4:$Q$4407)</f>
        <v>3815</v>
      </c>
      <c r="E2120" s="76">
        <f ca="1">SUMIF('Production '!$C$4:$AI$4407,'Tracking Sheet'!B2120,'Production '!$S$4:$S$4407)</f>
        <v>3805</v>
      </c>
      <c r="F2120" s="76">
        <f ca="1">SUMIF('Production '!$C$4:$AI$4407,'Tracking Sheet'!B2120,'Production '!$U$4:$U$4407)</f>
        <v>18</v>
      </c>
      <c r="G2120" s="76">
        <f ca="1">SUMIF('Production '!$C$4:$AI$4407,'Tracking Sheet'!B2120,'Production '!$W$4:$W$4407)</f>
        <v>3787</v>
      </c>
      <c r="H2120" s="76">
        <f ca="1">SUMIF('Production '!$C$4:$AI$4407,'Tracking Sheet'!B2120,'Production '!$F$4:$F$4407)</f>
        <v>3705</v>
      </c>
      <c r="I2120" s="76">
        <f ca="1">SUMIF('Production '!$C$4:$AI$4407,'Tracking Sheet'!B2120,'Production '!$V$4:$V$4407)</f>
        <v>0</v>
      </c>
      <c r="J2120" s="76">
        <f ca="1">SUMIF('Production '!$C$4:$AI$4407,'Tracking Sheet'!B2120,'Production '!$AG$4:$AG$4407)</f>
        <v>0</v>
      </c>
    </row>
    <row r="2121" spans="2:10" x14ac:dyDescent="0.3">
      <c r="B2121" s="277" t="str">
        <f>'Production '!C2124</f>
        <v>44115 14th</v>
      </c>
      <c r="C2121" s="76">
        <f ca="1">SUMIF('Production '!$C$4:$AI$4407,'Tracking Sheet'!B2121,'Production '!$M$4:$M$4407)</f>
        <v>3821</v>
      </c>
      <c r="D2121" s="76">
        <f ca="1">SUMIF('Production '!$C$4:$AI$4407,'Tracking Sheet'!B2121,'Production '!$Q$4:$Q$4407)</f>
        <v>3815</v>
      </c>
      <c r="E2121" s="76">
        <f ca="1">SUMIF('Production '!$C$4:$AI$4407,'Tracking Sheet'!B2121,'Production '!$S$4:$S$4407)</f>
        <v>3805</v>
      </c>
      <c r="F2121" s="76">
        <f ca="1">SUMIF('Production '!$C$4:$AI$4407,'Tracking Sheet'!B2121,'Production '!$U$4:$U$4407)</f>
        <v>18</v>
      </c>
      <c r="G2121" s="76">
        <f ca="1">SUMIF('Production '!$C$4:$AI$4407,'Tracking Sheet'!B2121,'Production '!$W$4:$W$4407)</f>
        <v>3787</v>
      </c>
      <c r="H2121" s="76">
        <f ca="1">SUMIF('Production '!$C$4:$AI$4407,'Tracking Sheet'!B2121,'Production '!$F$4:$F$4407)</f>
        <v>3705</v>
      </c>
      <c r="I2121" s="76">
        <f ca="1">SUMIF('Production '!$C$4:$AI$4407,'Tracking Sheet'!B2121,'Production '!$V$4:$V$4407)</f>
        <v>0</v>
      </c>
      <c r="J2121" s="76">
        <f ca="1">SUMIF('Production '!$C$4:$AI$4407,'Tracking Sheet'!B2121,'Production '!$AG$4:$AG$4407)</f>
        <v>0</v>
      </c>
    </row>
    <row r="2122" spans="2:10" x14ac:dyDescent="0.3">
      <c r="B2122" s="277" t="str">
        <f>'Production '!C2125</f>
        <v>44115 14th</v>
      </c>
      <c r="C2122" s="76">
        <f ca="1">SUMIF('Production '!$C$4:$AI$4407,'Tracking Sheet'!B2122,'Production '!$M$4:$M$4407)</f>
        <v>3821</v>
      </c>
      <c r="D2122" s="76">
        <f ca="1">SUMIF('Production '!$C$4:$AI$4407,'Tracking Sheet'!B2122,'Production '!$Q$4:$Q$4407)</f>
        <v>3815</v>
      </c>
      <c r="E2122" s="76">
        <f ca="1">SUMIF('Production '!$C$4:$AI$4407,'Tracking Sheet'!B2122,'Production '!$S$4:$S$4407)</f>
        <v>3805</v>
      </c>
      <c r="F2122" s="76">
        <f ca="1">SUMIF('Production '!$C$4:$AI$4407,'Tracking Sheet'!B2122,'Production '!$U$4:$U$4407)</f>
        <v>18</v>
      </c>
      <c r="G2122" s="76">
        <f ca="1">SUMIF('Production '!$C$4:$AI$4407,'Tracking Sheet'!B2122,'Production '!$W$4:$W$4407)</f>
        <v>3787</v>
      </c>
      <c r="H2122" s="76">
        <f ca="1">SUMIF('Production '!$C$4:$AI$4407,'Tracking Sheet'!B2122,'Production '!$F$4:$F$4407)</f>
        <v>3705</v>
      </c>
      <c r="I2122" s="76">
        <f ca="1">SUMIF('Production '!$C$4:$AI$4407,'Tracking Sheet'!B2122,'Production '!$V$4:$V$4407)</f>
        <v>0</v>
      </c>
      <c r="J2122" s="76">
        <f ca="1">SUMIF('Production '!$C$4:$AI$4407,'Tracking Sheet'!B2122,'Production '!$AG$4:$AG$4407)</f>
        <v>0</v>
      </c>
    </row>
    <row r="2123" spans="2:10" x14ac:dyDescent="0.3">
      <c r="B2123" s="277">
        <f>'Production '!C2126</f>
        <v>0</v>
      </c>
      <c r="C2123" s="76" t="e">
        <f ca="1">SUMIF('Production '!$C$4:$AI$4407,'Tracking Sheet'!B2123,'Production '!$M$4:$M$4407)</f>
        <v>#DIV/0!</v>
      </c>
      <c r="D2123" s="76" t="e">
        <f ca="1">SUMIF('Production '!$C$4:$AI$4407,'Tracking Sheet'!B2123,'Production '!$Q$4:$Q$4407)</f>
        <v>#DIV/0!</v>
      </c>
      <c r="E2123" s="76">
        <f ca="1">SUMIF('Production '!$C$4:$AI$4407,'Tracking Sheet'!B2123,'Production '!$S$4:$S$4407)</f>
        <v>-1268218.9828305368</v>
      </c>
      <c r="F2123" s="76">
        <f ca="1">SUMIF('Production '!$C$4:$AI$4407,'Tracking Sheet'!B2123,'Production '!$U$4:$U$4407)</f>
        <v>-10620.435600016917</v>
      </c>
      <c r="G2123" s="76" t="e">
        <f ca="1">SUMIF('Production '!$C$4:$AI$4407,'Tracking Sheet'!B2123,'Production '!$W$4:$W$4407)</f>
        <v>#DIV/0!</v>
      </c>
      <c r="H2123" s="76">
        <f ca="1">SUMIF('Production '!$C$4:$AI$4407,'Tracking Sheet'!B2123,'Production '!$F$4:$F$4407)</f>
        <v>3230621.3283604058</v>
      </c>
      <c r="I2123" s="76">
        <f ca="1">SUMIF('Production '!$C$4:$AI$4407,'Tracking Sheet'!B2123,'Production '!$V$4:$V$4407)</f>
        <v>-489.86487791182844</v>
      </c>
      <c r="J2123" s="76">
        <f ca="1">SUMIF('Production '!$C$4:$AI$4407,'Tracking Sheet'!B2123,'Production '!$AG$4:$AG$4407)</f>
        <v>0</v>
      </c>
    </row>
    <row r="2124" spans="2:10" x14ac:dyDescent="0.3">
      <c r="B2124" s="277" t="str">
        <f>'Production '!C2127</f>
        <v>44115 15th</v>
      </c>
      <c r="C2124" s="76">
        <f ca="1">SUMIF('Production '!$C$4:$AI$4407,'Tracking Sheet'!B2124,'Production '!$M$4:$M$4407)</f>
        <v>2080</v>
      </c>
      <c r="D2124" s="76">
        <f ca="1">SUMIF('Production '!$C$4:$AI$4407,'Tracking Sheet'!B2124,'Production '!$Q$4:$Q$4407)</f>
        <v>2080</v>
      </c>
      <c r="E2124" s="76">
        <f ca="1">SUMIF('Production '!$C$4:$AI$4407,'Tracking Sheet'!B2124,'Production '!$S$4:$S$4407)</f>
        <v>2080</v>
      </c>
      <c r="F2124" s="76">
        <f ca="1">SUMIF('Production '!$C$4:$AI$4407,'Tracking Sheet'!B2124,'Production '!$U$4:$U$4407)</f>
        <v>2080</v>
      </c>
      <c r="G2124" s="76">
        <f ca="1">SUMIF('Production '!$C$4:$AI$4407,'Tracking Sheet'!B2124,'Production '!$W$4:$W$4407)</f>
        <v>0</v>
      </c>
      <c r="H2124" s="76">
        <f ca="1">SUMIF('Production '!$C$4:$AI$4407,'Tracking Sheet'!B2124,'Production '!$F$4:$F$4407)</f>
        <v>2016</v>
      </c>
      <c r="I2124" s="76">
        <f ca="1">SUMIF('Production '!$C$4:$AI$4407,'Tracking Sheet'!B2124,'Production '!$V$4:$V$4407)</f>
        <v>0</v>
      </c>
      <c r="J2124" s="76">
        <f ca="1">SUMIF('Production '!$C$4:$AI$4407,'Tracking Sheet'!B2124,'Production '!$AG$4:$AG$4407)</f>
        <v>0</v>
      </c>
    </row>
    <row r="2125" spans="2:10" x14ac:dyDescent="0.3">
      <c r="B2125" s="277">
        <f>'Production '!C2128</f>
        <v>0</v>
      </c>
      <c r="C2125" s="76" t="e">
        <f ca="1">SUMIF('Production '!$C$4:$AI$4407,'Tracking Sheet'!B2125,'Production '!$M$4:$M$4407)</f>
        <v>#DIV/0!</v>
      </c>
      <c r="D2125" s="76" t="e">
        <f ca="1">SUMIF('Production '!$C$4:$AI$4407,'Tracking Sheet'!B2125,'Production '!$Q$4:$Q$4407)</f>
        <v>#DIV/0!</v>
      </c>
      <c r="E2125" s="76">
        <f ca="1">SUMIF('Production '!$C$4:$AI$4407,'Tracking Sheet'!B2125,'Production '!$S$4:$S$4407)</f>
        <v>-1268218.9828305368</v>
      </c>
      <c r="F2125" s="76">
        <f ca="1">SUMIF('Production '!$C$4:$AI$4407,'Tracking Sheet'!B2125,'Production '!$U$4:$U$4407)</f>
        <v>-10620.435600016917</v>
      </c>
      <c r="G2125" s="76" t="e">
        <f ca="1">SUMIF('Production '!$C$4:$AI$4407,'Tracking Sheet'!B2125,'Production '!$W$4:$W$4407)</f>
        <v>#DIV/0!</v>
      </c>
      <c r="H2125" s="76">
        <f ca="1">SUMIF('Production '!$C$4:$AI$4407,'Tracking Sheet'!B2125,'Production '!$F$4:$F$4407)</f>
        <v>3230621.3283604058</v>
      </c>
      <c r="I2125" s="76">
        <f ca="1">SUMIF('Production '!$C$4:$AI$4407,'Tracking Sheet'!B2125,'Production '!$V$4:$V$4407)</f>
        <v>-489.86487791182844</v>
      </c>
      <c r="J2125" s="76">
        <f ca="1">SUMIF('Production '!$C$4:$AI$4407,'Tracking Sheet'!B2125,'Production '!$AG$4:$AG$4407)</f>
        <v>0</v>
      </c>
    </row>
    <row r="2126" spans="2:10" x14ac:dyDescent="0.3">
      <c r="B2126" s="277">
        <f>'Production '!C2129</f>
        <v>48208</v>
      </c>
      <c r="C2126" s="76">
        <f ca="1">SUMIF('Production '!$C$4:$AI$4407,'Tracking Sheet'!B2126,'Production '!$M$4:$M$4407)</f>
        <v>0</v>
      </c>
      <c r="D2126" s="76">
        <f ca="1">SUMIF('Production '!$C$4:$AI$4407,'Tracking Sheet'!B2126,'Production '!$Q$4:$Q$4407)</f>
        <v>0</v>
      </c>
      <c r="E2126" s="76">
        <f ca="1">SUMIF('Production '!$C$4:$AI$4407,'Tracking Sheet'!B2126,'Production '!$S$4:$S$4407)</f>
        <v>0</v>
      </c>
      <c r="F2126" s="76">
        <f ca="1">SUMIF('Production '!$C$4:$AI$4407,'Tracking Sheet'!B2126,'Production '!$U$4:$U$4407)</f>
        <v>0</v>
      </c>
      <c r="G2126" s="76">
        <f ca="1">SUMIF('Production '!$C$4:$AI$4407,'Tracking Sheet'!B2126,'Production '!$W$4:$W$4407)</f>
        <v>0</v>
      </c>
      <c r="H2126" s="76">
        <f ca="1">SUMIF('Production '!$C$4:$AI$4407,'Tracking Sheet'!B2126,'Production '!$F$4:$F$4407)</f>
        <v>780</v>
      </c>
      <c r="I2126" s="76">
        <f ca="1">SUMIF('Production '!$C$4:$AI$4407,'Tracking Sheet'!B2126,'Production '!$V$4:$V$4407)</f>
        <v>0</v>
      </c>
      <c r="J2126" s="76">
        <f ca="1">SUMIF('Production '!$C$4:$AI$4407,'Tracking Sheet'!B2126,'Production '!$AG$4:$AG$4407)</f>
        <v>-780</v>
      </c>
    </row>
    <row r="2127" spans="2:10" x14ac:dyDescent="0.3">
      <c r="B2127" s="277">
        <f>'Production '!C2130</f>
        <v>0</v>
      </c>
      <c r="C2127" s="76" t="e">
        <f ca="1">SUMIF('Production '!$C$4:$AI$4407,'Tracking Sheet'!B2127,'Production '!$M$4:$M$4407)</f>
        <v>#DIV/0!</v>
      </c>
      <c r="D2127" s="76" t="e">
        <f ca="1">SUMIF('Production '!$C$4:$AI$4407,'Tracking Sheet'!B2127,'Production '!$Q$4:$Q$4407)</f>
        <v>#DIV/0!</v>
      </c>
      <c r="E2127" s="76">
        <f ca="1">SUMIF('Production '!$C$4:$AI$4407,'Tracking Sheet'!B2127,'Production '!$S$4:$S$4407)</f>
        <v>-1268218.9828305368</v>
      </c>
      <c r="F2127" s="76">
        <f ca="1">SUMIF('Production '!$C$4:$AI$4407,'Tracking Sheet'!B2127,'Production '!$U$4:$U$4407)</f>
        <v>-10620.435600016917</v>
      </c>
      <c r="G2127" s="76" t="e">
        <f ca="1">SUMIF('Production '!$C$4:$AI$4407,'Tracking Sheet'!B2127,'Production '!$W$4:$W$4407)</f>
        <v>#DIV/0!</v>
      </c>
      <c r="H2127" s="76">
        <f ca="1">SUMIF('Production '!$C$4:$AI$4407,'Tracking Sheet'!B2127,'Production '!$F$4:$F$4407)</f>
        <v>3230621.3283604058</v>
      </c>
      <c r="I2127" s="76">
        <f ca="1">SUMIF('Production '!$C$4:$AI$4407,'Tracking Sheet'!B2127,'Production '!$V$4:$V$4407)</f>
        <v>-489.86487791182844</v>
      </c>
      <c r="J2127" s="76">
        <f ca="1">SUMIF('Production '!$C$4:$AI$4407,'Tracking Sheet'!B2127,'Production '!$AG$4:$AG$4407)</f>
        <v>0</v>
      </c>
    </row>
    <row r="2128" spans="2:10" x14ac:dyDescent="0.3">
      <c r="B2128" s="277">
        <f>'Production '!C2131</f>
        <v>48185</v>
      </c>
      <c r="C2128" s="76">
        <f ca="1">SUMIF('Production '!$C$4:$AI$4407,'Tracking Sheet'!B2128,'Production '!$M$4:$M$4407)</f>
        <v>521</v>
      </c>
      <c r="D2128" s="76">
        <f ca="1">SUMIF('Production '!$C$4:$AI$4407,'Tracking Sheet'!B2128,'Production '!$Q$4:$Q$4407)</f>
        <v>521</v>
      </c>
      <c r="E2128" s="76">
        <f ca="1">SUMIF('Production '!$C$4:$AI$4407,'Tracking Sheet'!B2128,'Production '!$S$4:$S$4407)</f>
        <v>519</v>
      </c>
      <c r="F2128" s="76">
        <f ca="1">SUMIF('Production '!$C$4:$AI$4407,'Tracking Sheet'!B2128,'Production '!$U$4:$U$4407)</f>
        <v>0</v>
      </c>
      <c r="G2128" s="76">
        <f ca="1">SUMIF('Production '!$C$4:$AI$4407,'Tracking Sheet'!B2128,'Production '!$W$4:$W$4407)</f>
        <v>519</v>
      </c>
      <c r="H2128" s="76">
        <f ca="1">SUMIF('Production '!$C$4:$AI$4407,'Tracking Sheet'!B2128,'Production '!$F$4:$F$4407)</f>
        <v>504</v>
      </c>
      <c r="I2128" s="76">
        <f ca="1">SUMIF('Production '!$C$4:$AI$4407,'Tracking Sheet'!B2128,'Production '!$V$4:$V$4407)</f>
        <v>0</v>
      </c>
      <c r="J2128" s="76">
        <f ca="1">SUMIF('Production '!$C$4:$AI$4407,'Tracking Sheet'!B2128,'Production '!$AG$4:$AG$4407)</f>
        <v>0</v>
      </c>
    </row>
    <row r="2129" spans="2:10" x14ac:dyDescent="0.3">
      <c r="B2129" s="277">
        <f>'Production '!C2132</f>
        <v>0</v>
      </c>
      <c r="C2129" s="76" t="e">
        <f ca="1">SUMIF('Production '!$C$4:$AI$4407,'Tracking Sheet'!B2129,'Production '!$M$4:$M$4407)</f>
        <v>#DIV/0!</v>
      </c>
      <c r="D2129" s="76" t="e">
        <f ca="1">SUMIF('Production '!$C$4:$AI$4407,'Tracking Sheet'!B2129,'Production '!$Q$4:$Q$4407)</f>
        <v>#DIV/0!</v>
      </c>
      <c r="E2129" s="76">
        <f ca="1">SUMIF('Production '!$C$4:$AI$4407,'Tracking Sheet'!B2129,'Production '!$S$4:$S$4407)</f>
        <v>-1268218.9828305368</v>
      </c>
      <c r="F2129" s="76">
        <f ca="1">SUMIF('Production '!$C$4:$AI$4407,'Tracking Sheet'!B2129,'Production '!$U$4:$U$4407)</f>
        <v>-10620.435600016917</v>
      </c>
      <c r="G2129" s="76" t="e">
        <f ca="1">SUMIF('Production '!$C$4:$AI$4407,'Tracking Sheet'!B2129,'Production '!$W$4:$W$4407)</f>
        <v>#DIV/0!</v>
      </c>
      <c r="H2129" s="76">
        <f ca="1">SUMIF('Production '!$C$4:$AI$4407,'Tracking Sheet'!B2129,'Production '!$F$4:$F$4407)</f>
        <v>3230621.3283604058</v>
      </c>
      <c r="I2129" s="76">
        <f ca="1">SUMIF('Production '!$C$4:$AI$4407,'Tracking Sheet'!B2129,'Production '!$V$4:$V$4407)</f>
        <v>-489.86487791182844</v>
      </c>
      <c r="J2129" s="76">
        <f ca="1">SUMIF('Production '!$C$4:$AI$4407,'Tracking Sheet'!B2129,'Production '!$AG$4:$AG$4407)</f>
        <v>0</v>
      </c>
    </row>
    <row r="2130" spans="2:10" x14ac:dyDescent="0.3">
      <c r="B2130" s="277" t="str">
        <f>'Production '!C2133</f>
        <v>44669 2nd</v>
      </c>
      <c r="C2130" s="76">
        <f ca="1">SUMIF('Production '!$C$4:$AI$4407,'Tracking Sheet'!B2130,'Production '!$M$4:$M$4407)</f>
        <v>1622</v>
      </c>
      <c r="D2130" s="76">
        <f ca="1">SUMIF('Production '!$C$4:$AI$4407,'Tracking Sheet'!B2130,'Production '!$Q$4:$Q$4407)</f>
        <v>1622</v>
      </c>
      <c r="E2130" s="76">
        <f ca="1">SUMIF('Production '!$C$4:$AI$4407,'Tracking Sheet'!B2130,'Production '!$S$4:$S$4407)</f>
        <v>1622</v>
      </c>
      <c r="F2130" s="76">
        <f ca="1">SUMIF('Production '!$C$4:$AI$4407,'Tracking Sheet'!B2130,'Production '!$U$4:$U$4407)</f>
        <v>3</v>
      </c>
      <c r="G2130" s="76">
        <f ca="1">SUMIF('Production '!$C$4:$AI$4407,'Tracking Sheet'!B2130,'Production '!$W$4:$W$4407)</f>
        <v>1619</v>
      </c>
      <c r="H2130" s="76">
        <f ca="1">SUMIF('Production '!$C$4:$AI$4407,'Tracking Sheet'!B2130,'Production '!$F$4:$F$4407)</f>
        <v>1584</v>
      </c>
      <c r="I2130" s="76">
        <f ca="1">SUMIF('Production '!$C$4:$AI$4407,'Tracking Sheet'!B2130,'Production '!$V$4:$V$4407)</f>
        <v>0</v>
      </c>
      <c r="J2130" s="76">
        <f ca="1">SUMIF('Production '!$C$4:$AI$4407,'Tracking Sheet'!B2130,'Production '!$AG$4:$AG$4407)</f>
        <v>0</v>
      </c>
    </row>
    <row r="2131" spans="2:10" x14ac:dyDescent="0.3">
      <c r="B2131" s="277">
        <f>'Production '!C2134</f>
        <v>0</v>
      </c>
      <c r="C2131" s="76" t="e">
        <f ca="1">SUMIF('Production '!$C$4:$AI$4407,'Tracking Sheet'!B2131,'Production '!$M$4:$M$4407)</f>
        <v>#DIV/0!</v>
      </c>
      <c r="D2131" s="76" t="e">
        <f ca="1">SUMIF('Production '!$C$4:$AI$4407,'Tracking Sheet'!B2131,'Production '!$Q$4:$Q$4407)</f>
        <v>#DIV/0!</v>
      </c>
      <c r="E2131" s="76">
        <f ca="1">SUMIF('Production '!$C$4:$AI$4407,'Tracking Sheet'!B2131,'Production '!$S$4:$S$4407)</f>
        <v>-1268218.9828305368</v>
      </c>
      <c r="F2131" s="76">
        <f ca="1">SUMIF('Production '!$C$4:$AI$4407,'Tracking Sheet'!B2131,'Production '!$U$4:$U$4407)</f>
        <v>-10620.435600016917</v>
      </c>
      <c r="G2131" s="76" t="e">
        <f ca="1">SUMIF('Production '!$C$4:$AI$4407,'Tracking Sheet'!B2131,'Production '!$W$4:$W$4407)</f>
        <v>#DIV/0!</v>
      </c>
      <c r="H2131" s="76">
        <f ca="1">SUMIF('Production '!$C$4:$AI$4407,'Tracking Sheet'!B2131,'Production '!$F$4:$F$4407)</f>
        <v>3230621.3283604058</v>
      </c>
      <c r="I2131" s="76">
        <f ca="1">SUMIF('Production '!$C$4:$AI$4407,'Tracking Sheet'!B2131,'Production '!$V$4:$V$4407)</f>
        <v>-489.86487791182844</v>
      </c>
      <c r="J2131" s="76">
        <f ca="1">SUMIF('Production '!$C$4:$AI$4407,'Tracking Sheet'!B2131,'Production '!$AG$4:$AG$4407)</f>
        <v>0</v>
      </c>
    </row>
    <row r="2132" spans="2:10" x14ac:dyDescent="0.3">
      <c r="B2132" s="277" t="str">
        <f>'Production '!C2135</f>
        <v>30709 9th</v>
      </c>
      <c r="C2132" s="76">
        <f ca="1">SUMIF('Production '!$C$4:$AI$4407,'Tracking Sheet'!B2132,'Production '!$M$4:$M$4407)</f>
        <v>6733</v>
      </c>
      <c r="D2132" s="76">
        <f ca="1">SUMIF('Production '!$C$4:$AI$4407,'Tracking Sheet'!B2132,'Production '!$Q$4:$Q$4407)</f>
        <v>0</v>
      </c>
      <c r="E2132" s="76">
        <f ca="1">SUMIF('Production '!$C$4:$AI$4407,'Tracking Sheet'!B2132,'Production '!$S$4:$S$4407)</f>
        <v>0</v>
      </c>
      <c r="F2132" s="76">
        <f ca="1">SUMIF('Production '!$C$4:$AI$4407,'Tracking Sheet'!B2132,'Production '!$U$4:$U$4407)</f>
        <v>0</v>
      </c>
      <c r="G2132" s="76">
        <f ca="1">SUMIF('Production '!$C$4:$AI$4407,'Tracking Sheet'!B2132,'Production '!$W$4:$W$4407)</f>
        <v>6733</v>
      </c>
      <c r="H2132" s="76">
        <f ca="1">SUMIF('Production '!$C$4:$AI$4407,'Tracking Sheet'!B2132,'Production '!$F$4:$F$4407)</f>
        <v>6660</v>
      </c>
      <c r="I2132" s="76">
        <f ca="1">SUMIF('Production '!$C$4:$AI$4407,'Tracking Sheet'!B2132,'Production '!$V$4:$V$4407)</f>
        <v>0</v>
      </c>
      <c r="J2132" s="76">
        <f ca="1">SUMIF('Production '!$C$4:$AI$4407,'Tracking Sheet'!B2132,'Production '!$AG$4:$AG$4407)</f>
        <v>0</v>
      </c>
    </row>
    <row r="2133" spans="2:10" x14ac:dyDescent="0.3">
      <c r="B2133" s="277">
        <f>'Production '!C2136</f>
        <v>0</v>
      </c>
      <c r="C2133" s="76" t="e">
        <f ca="1">SUMIF('Production '!$C$4:$AI$4407,'Tracking Sheet'!B2133,'Production '!$M$4:$M$4407)</f>
        <v>#DIV/0!</v>
      </c>
      <c r="D2133" s="76" t="e">
        <f ca="1">SUMIF('Production '!$C$4:$AI$4407,'Tracking Sheet'!B2133,'Production '!$Q$4:$Q$4407)</f>
        <v>#DIV/0!</v>
      </c>
      <c r="E2133" s="76">
        <f ca="1">SUMIF('Production '!$C$4:$AI$4407,'Tracking Sheet'!B2133,'Production '!$S$4:$S$4407)</f>
        <v>-1268218.9828305368</v>
      </c>
      <c r="F2133" s="76">
        <f ca="1">SUMIF('Production '!$C$4:$AI$4407,'Tracking Sheet'!B2133,'Production '!$U$4:$U$4407)</f>
        <v>-10620.435600016917</v>
      </c>
      <c r="G2133" s="76" t="e">
        <f ca="1">SUMIF('Production '!$C$4:$AI$4407,'Tracking Sheet'!B2133,'Production '!$W$4:$W$4407)</f>
        <v>#DIV/0!</v>
      </c>
      <c r="H2133" s="76">
        <f ca="1">SUMIF('Production '!$C$4:$AI$4407,'Tracking Sheet'!B2133,'Production '!$F$4:$F$4407)</f>
        <v>3230621.3283604058</v>
      </c>
      <c r="I2133" s="76">
        <f ca="1">SUMIF('Production '!$C$4:$AI$4407,'Tracking Sheet'!B2133,'Production '!$V$4:$V$4407)</f>
        <v>-489.86487791182844</v>
      </c>
      <c r="J2133" s="76">
        <f ca="1">SUMIF('Production '!$C$4:$AI$4407,'Tracking Sheet'!B2133,'Production '!$AG$4:$AG$4407)</f>
        <v>0</v>
      </c>
    </row>
    <row r="2134" spans="2:10" x14ac:dyDescent="0.3">
      <c r="B2134" s="277">
        <f>'Production '!C2137</f>
        <v>48200</v>
      </c>
      <c r="C2134" s="76">
        <f ca="1">SUMIF('Production '!$C$4:$AI$4407,'Tracking Sheet'!B2134,'Production '!$M$4:$M$4407)</f>
        <v>613</v>
      </c>
      <c r="D2134" s="76">
        <f ca="1">SUMIF('Production '!$C$4:$AI$4407,'Tracking Sheet'!B2134,'Production '!$Q$4:$Q$4407)</f>
        <v>613</v>
      </c>
      <c r="E2134" s="76">
        <f ca="1">SUMIF('Production '!$C$4:$AI$4407,'Tracking Sheet'!B2134,'Production '!$S$4:$S$4407)</f>
        <v>613</v>
      </c>
      <c r="F2134" s="76">
        <f ca="1">SUMIF('Production '!$C$4:$AI$4407,'Tracking Sheet'!B2134,'Production '!$U$4:$U$4407)</f>
        <v>613</v>
      </c>
      <c r="G2134" s="76">
        <f ca="1">SUMIF('Production '!$C$4:$AI$4407,'Tracking Sheet'!B2134,'Production '!$W$4:$W$4407)</f>
        <v>0</v>
      </c>
      <c r="H2134" s="76">
        <f ca="1">SUMIF('Production '!$C$4:$AI$4407,'Tracking Sheet'!B2134,'Production '!$F$4:$F$4407)</f>
        <v>578</v>
      </c>
      <c r="I2134" s="76">
        <f ca="1">SUMIF('Production '!$C$4:$AI$4407,'Tracking Sheet'!B2134,'Production '!$V$4:$V$4407)</f>
        <v>0</v>
      </c>
      <c r="J2134" s="76">
        <f ca="1">SUMIF('Production '!$C$4:$AI$4407,'Tracking Sheet'!B2134,'Production '!$AG$4:$AG$4407)</f>
        <v>0</v>
      </c>
    </row>
    <row r="2135" spans="2:10" x14ac:dyDescent="0.3">
      <c r="B2135" s="277">
        <f>'Production '!C2138</f>
        <v>0</v>
      </c>
      <c r="C2135" s="76" t="e">
        <f ca="1">SUMIF('Production '!$C$4:$AI$4407,'Tracking Sheet'!B2135,'Production '!$M$4:$M$4407)</f>
        <v>#DIV/0!</v>
      </c>
      <c r="D2135" s="76" t="e">
        <f ca="1">SUMIF('Production '!$C$4:$AI$4407,'Tracking Sheet'!B2135,'Production '!$Q$4:$Q$4407)</f>
        <v>#DIV/0!</v>
      </c>
      <c r="E2135" s="76">
        <f ca="1">SUMIF('Production '!$C$4:$AI$4407,'Tracking Sheet'!B2135,'Production '!$S$4:$S$4407)</f>
        <v>-1268218.9828305368</v>
      </c>
      <c r="F2135" s="76">
        <f ca="1">SUMIF('Production '!$C$4:$AI$4407,'Tracking Sheet'!B2135,'Production '!$U$4:$U$4407)</f>
        <v>-10620.435600016917</v>
      </c>
      <c r="G2135" s="76" t="e">
        <f ca="1">SUMIF('Production '!$C$4:$AI$4407,'Tracking Sheet'!B2135,'Production '!$W$4:$W$4407)</f>
        <v>#DIV/0!</v>
      </c>
      <c r="H2135" s="76">
        <f ca="1">SUMIF('Production '!$C$4:$AI$4407,'Tracking Sheet'!B2135,'Production '!$F$4:$F$4407)</f>
        <v>3230621.3283604058</v>
      </c>
      <c r="I2135" s="76">
        <f ca="1">SUMIF('Production '!$C$4:$AI$4407,'Tracking Sheet'!B2135,'Production '!$V$4:$V$4407)</f>
        <v>-489.86487791182844</v>
      </c>
      <c r="J2135" s="76">
        <f ca="1">SUMIF('Production '!$C$4:$AI$4407,'Tracking Sheet'!B2135,'Production '!$AG$4:$AG$4407)</f>
        <v>0</v>
      </c>
    </row>
    <row r="2136" spans="2:10" x14ac:dyDescent="0.3">
      <c r="B2136" s="277" t="str">
        <f>'Production '!C2139</f>
        <v>41880 25th</v>
      </c>
      <c r="C2136" s="76">
        <f ca="1">SUMIF('Production '!$C$4:$AI$4407,'Tracking Sheet'!B2136,'Production '!$M$4:$M$4407)</f>
        <v>2358</v>
      </c>
      <c r="D2136" s="76">
        <f ca="1">SUMIF('Production '!$C$4:$AI$4407,'Tracking Sheet'!B2136,'Production '!$Q$4:$Q$4407)</f>
        <v>2358</v>
      </c>
      <c r="E2136" s="76">
        <f ca="1">SUMIF('Production '!$C$4:$AI$4407,'Tracking Sheet'!B2136,'Production '!$S$4:$S$4407)</f>
        <v>2358</v>
      </c>
      <c r="F2136" s="76">
        <f ca="1">SUMIF('Production '!$C$4:$AI$4407,'Tracking Sheet'!B2136,'Production '!$U$4:$U$4407)</f>
        <v>15</v>
      </c>
      <c r="G2136" s="76">
        <f ca="1">SUMIF('Production '!$C$4:$AI$4407,'Tracking Sheet'!B2136,'Production '!$W$4:$W$4407)</f>
        <v>2343</v>
      </c>
      <c r="H2136" s="76">
        <f ca="1">SUMIF('Production '!$C$4:$AI$4407,'Tracking Sheet'!B2136,'Production '!$F$4:$F$4407)</f>
        <v>3500</v>
      </c>
      <c r="I2136" s="76">
        <f ca="1">SUMIF('Production '!$C$4:$AI$4407,'Tracking Sheet'!B2136,'Production '!$V$4:$V$4407)</f>
        <v>0</v>
      </c>
      <c r="J2136" s="76">
        <f ca="1">SUMIF('Production '!$C$4:$AI$4407,'Tracking Sheet'!B2136,'Production '!$AG$4:$AG$4407)</f>
        <v>-1142</v>
      </c>
    </row>
    <row r="2137" spans="2:10" x14ac:dyDescent="0.3">
      <c r="B2137" s="277">
        <f>'Production '!C2140</f>
        <v>0</v>
      </c>
      <c r="C2137" s="76" t="e">
        <f ca="1">SUMIF('Production '!$C$4:$AI$4407,'Tracking Sheet'!B2137,'Production '!$M$4:$M$4407)</f>
        <v>#DIV/0!</v>
      </c>
      <c r="D2137" s="76" t="e">
        <f ca="1">SUMIF('Production '!$C$4:$AI$4407,'Tracking Sheet'!B2137,'Production '!$Q$4:$Q$4407)</f>
        <v>#DIV/0!</v>
      </c>
      <c r="E2137" s="76">
        <f ca="1">SUMIF('Production '!$C$4:$AI$4407,'Tracking Sheet'!B2137,'Production '!$S$4:$S$4407)</f>
        <v>-1268218.9828305368</v>
      </c>
      <c r="F2137" s="76">
        <f ca="1">SUMIF('Production '!$C$4:$AI$4407,'Tracking Sheet'!B2137,'Production '!$U$4:$U$4407)</f>
        <v>-10620.435600016917</v>
      </c>
      <c r="G2137" s="76" t="e">
        <f ca="1">SUMIF('Production '!$C$4:$AI$4407,'Tracking Sheet'!B2137,'Production '!$W$4:$W$4407)</f>
        <v>#DIV/0!</v>
      </c>
      <c r="H2137" s="76">
        <f ca="1">SUMIF('Production '!$C$4:$AI$4407,'Tracking Sheet'!B2137,'Production '!$F$4:$F$4407)</f>
        <v>3230621.3283604058</v>
      </c>
      <c r="I2137" s="76">
        <f ca="1">SUMIF('Production '!$C$4:$AI$4407,'Tracking Sheet'!B2137,'Production '!$V$4:$V$4407)</f>
        <v>-489.86487791182844</v>
      </c>
      <c r="J2137" s="76">
        <f ca="1">SUMIF('Production '!$C$4:$AI$4407,'Tracking Sheet'!B2137,'Production '!$AG$4:$AG$4407)</f>
        <v>0</v>
      </c>
    </row>
    <row r="2138" spans="2:10" x14ac:dyDescent="0.3">
      <c r="B2138" s="277" t="str">
        <f>'Production '!C2141</f>
        <v>41880 24th</v>
      </c>
      <c r="C2138" s="76">
        <f ca="1">SUMIF('Production '!$C$4:$AI$4407,'Tracking Sheet'!B2138,'Production '!$M$4:$M$4407)</f>
        <v>6087</v>
      </c>
      <c r="D2138" s="76">
        <f ca="1">SUMIF('Production '!$C$4:$AI$4407,'Tracking Sheet'!B2138,'Production '!$Q$4:$Q$4407)</f>
        <v>6087</v>
      </c>
      <c r="E2138" s="76">
        <f ca="1">SUMIF('Production '!$C$4:$AI$4407,'Tracking Sheet'!B2138,'Production '!$S$4:$S$4407)</f>
        <v>6087</v>
      </c>
      <c r="F2138" s="76">
        <f ca="1">SUMIF('Production '!$C$4:$AI$4407,'Tracking Sheet'!B2138,'Production '!$U$4:$U$4407)</f>
        <v>0</v>
      </c>
      <c r="G2138" s="76">
        <f ca="1">SUMIF('Production '!$C$4:$AI$4407,'Tracking Sheet'!B2138,'Production '!$W$4:$W$4407)</f>
        <v>6087</v>
      </c>
      <c r="H2138" s="76">
        <f ca="1">SUMIF('Production '!$C$4:$AI$4407,'Tracking Sheet'!B2138,'Production '!$F$4:$F$4407)</f>
        <v>6000</v>
      </c>
      <c r="I2138" s="76">
        <f ca="1">SUMIF('Production '!$C$4:$AI$4407,'Tracking Sheet'!B2138,'Production '!$V$4:$V$4407)</f>
        <v>0</v>
      </c>
      <c r="J2138" s="76">
        <f ca="1">SUMIF('Production '!$C$4:$AI$4407,'Tracking Sheet'!B2138,'Production '!$AG$4:$AG$4407)</f>
        <v>0</v>
      </c>
    </row>
    <row r="2139" spans="2:10" x14ac:dyDescent="0.3">
      <c r="B2139" s="277">
        <f>'Production '!C2142</f>
        <v>0</v>
      </c>
      <c r="C2139" s="76" t="e">
        <f ca="1">SUMIF('Production '!$C$4:$AI$4407,'Tracking Sheet'!B2139,'Production '!$M$4:$M$4407)</f>
        <v>#DIV/0!</v>
      </c>
      <c r="D2139" s="76" t="e">
        <f ca="1">SUMIF('Production '!$C$4:$AI$4407,'Tracking Sheet'!B2139,'Production '!$Q$4:$Q$4407)</f>
        <v>#DIV/0!</v>
      </c>
      <c r="E2139" s="76">
        <f ca="1">SUMIF('Production '!$C$4:$AI$4407,'Tracking Sheet'!B2139,'Production '!$S$4:$S$4407)</f>
        <v>-1268218.9828305368</v>
      </c>
      <c r="F2139" s="76">
        <f ca="1">SUMIF('Production '!$C$4:$AI$4407,'Tracking Sheet'!B2139,'Production '!$U$4:$U$4407)</f>
        <v>-10620.435600016917</v>
      </c>
      <c r="G2139" s="76" t="e">
        <f ca="1">SUMIF('Production '!$C$4:$AI$4407,'Tracking Sheet'!B2139,'Production '!$W$4:$W$4407)</f>
        <v>#DIV/0!</v>
      </c>
      <c r="H2139" s="76">
        <f ca="1">SUMIF('Production '!$C$4:$AI$4407,'Tracking Sheet'!B2139,'Production '!$F$4:$F$4407)</f>
        <v>3230621.3283604058</v>
      </c>
      <c r="I2139" s="76">
        <f ca="1">SUMIF('Production '!$C$4:$AI$4407,'Tracking Sheet'!B2139,'Production '!$V$4:$V$4407)</f>
        <v>-489.86487791182844</v>
      </c>
      <c r="J2139" s="76">
        <f ca="1">SUMIF('Production '!$C$4:$AI$4407,'Tracking Sheet'!B2139,'Production '!$AG$4:$AG$4407)</f>
        <v>0</v>
      </c>
    </row>
    <row r="2140" spans="2:10" x14ac:dyDescent="0.3">
      <c r="B2140" s="277">
        <f>'Production '!C2143</f>
        <v>48299</v>
      </c>
      <c r="C2140" s="76">
        <f ca="1">SUMIF('Production '!$C$4:$AI$4407,'Tracking Sheet'!B2140,'Production '!$M$4:$M$4407)</f>
        <v>664</v>
      </c>
      <c r="D2140" s="76">
        <f ca="1">SUMIF('Production '!$C$4:$AI$4407,'Tracking Sheet'!B2140,'Production '!$Q$4:$Q$4407)</f>
        <v>664</v>
      </c>
      <c r="E2140" s="76">
        <f ca="1">SUMIF('Production '!$C$4:$AI$4407,'Tracking Sheet'!B2140,'Production '!$S$4:$S$4407)</f>
        <v>664</v>
      </c>
      <c r="F2140" s="76">
        <f ca="1">SUMIF('Production '!$C$4:$AI$4407,'Tracking Sheet'!B2140,'Production '!$U$4:$U$4407)</f>
        <v>1</v>
      </c>
      <c r="G2140" s="76">
        <f ca="1">SUMIF('Production '!$C$4:$AI$4407,'Tracking Sheet'!B2140,'Production '!$W$4:$W$4407)</f>
        <v>663</v>
      </c>
      <c r="H2140" s="76">
        <f ca="1">SUMIF('Production '!$C$4:$AI$4407,'Tracking Sheet'!B2140,'Production '!$F$4:$F$4407)</f>
        <v>640</v>
      </c>
      <c r="I2140" s="76">
        <f ca="1">SUMIF('Production '!$C$4:$AI$4407,'Tracking Sheet'!B2140,'Production '!$V$4:$V$4407)</f>
        <v>0</v>
      </c>
      <c r="J2140" s="76">
        <f ca="1">SUMIF('Production '!$C$4:$AI$4407,'Tracking Sheet'!B2140,'Production '!$AG$4:$AG$4407)</f>
        <v>0</v>
      </c>
    </row>
    <row r="2141" spans="2:10" x14ac:dyDescent="0.3">
      <c r="B2141" s="277">
        <f>'Production '!C2144</f>
        <v>0</v>
      </c>
      <c r="C2141" s="76" t="e">
        <f ca="1">SUMIF('Production '!$C$4:$AI$4407,'Tracking Sheet'!B2141,'Production '!$M$4:$M$4407)</f>
        <v>#DIV/0!</v>
      </c>
      <c r="D2141" s="76" t="e">
        <f ca="1">SUMIF('Production '!$C$4:$AI$4407,'Tracking Sheet'!B2141,'Production '!$Q$4:$Q$4407)</f>
        <v>#DIV/0!</v>
      </c>
      <c r="E2141" s="76">
        <f ca="1">SUMIF('Production '!$C$4:$AI$4407,'Tracking Sheet'!B2141,'Production '!$S$4:$S$4407)</f>
        <v>-1268218.9828305368</v>
      </c>
      <c r="F2141" s="76">
        <f ca="1">SUMIF('Production '!$C$4:$AI$4407,'Tracking Sheet'!B2141,'Production '!$U$4:$U$4407)</f>
        <v>-10620.435600016917</v>
      </c>
      <c r="G2141" s="76" t="e">
        <f ca="1">SUMIF('Production '!$C$4:$AI$4407,'Tracking Sheet'!B2141,'Production '!$W$4:$W$4407)</f>
        <v>#DIV/0!</v>
      </c>
      <c r="H2141" s="76">
        <f ca="1">SUMIF('Production '!$C$4:$AI$4407,'Tracking Sheet'!B2141,'Production '!$F$4:$F$4407)</f>
        <v>3230621.3283604058</v>
      </c>
      <c r="I2141" s="76">
        <f ca="1">SUMIF('Production '!$C$4:$AI$4407,'Tracking Sheet'!B2141,'Production '!$V$4:$V$4407)</f>
        <v>-489.86487791182844</v>
      </c>
      <c r="J2141" s="76">
        <f ca="1">SUMIF('Production '!$C$4:$AI$4407,'Tracking Sheet'!B2141,'Production '!$AG$4:$AG$4407)</f>
        <v>0</v>
      </c>
    </row>
    <row r="2142" spans="2:10" x14ac:dyDescent="0.3">
      <c r="B2142" s="277">
        <f>'Production '!C2145</f>
        <v>47650</v>
      </c>
      <c r="C2142" s="76">
        <f ca="1">SUMIF('Production '!$C$4:$AI$4407,'Tracking Sheet'!B2142,'Production '!$M$4:$M$4407)</f>
        <v>917</v>
      </c>
      <c r="D2142" s="76">
        <f ca="1">SUMIF('Production '!$C$4:$AI$4407,'Tracking Sheet'!B2142,'Production '!$Q$4:$Q$4407)</f>
        <v>917</v>
      </c>
      <c r="E2142" s="76">
        <f ca="1">SUMIF('Production '!$C$4:$AI$4407,'Tracking Sheet'!B2142,'Production '!$S$4:$S$4407)</f>
        <v>910</v>
      </c>
      <c r="F2142" s="76">
        <f ca="1">SUMIF('Production '!$C$4:$AI$4407,'Tracking Sheet'!B2142,'Production '!$U$4:$U$4407)</f>
        <v>0</v>
      </c>
      <c r="G2142" s="76">
        <f ca="1">SUMIF('Production '!$C$4:$AI$4407,'Tracking Sheet'!B2142,'Production '!$W$4:$W$4407)</f>
        <v>910</v>
      </c>
      <c r="H2142" s="76">
        <f ca="1">SUMIF('Production '!$C$4:$AI$4407,'Tracking Sheet'!B2142,'Production '!$F$4:$F$4407)</f>
        <v>878</v>
      </c>
      <c r="I2142" s="76">
        <f ca="1">SUMIF('Production '!$C$4:$AI$4407,'Tracking Sheet'!B2142,'Production '!$V$4:$V$4407)</f>
        <v>0</v>
      </c>
      <c r="J2142" s="76">
        <f ca="1">SUMIF('Production '!$C$4:$AI$4407,'Tracking Sheet'!B2142,'Production '!$AG$4:$AG$4407)</f>
        <v>0</v>
      </c>
    </row>
    <row r="2143" spans="2:10" x14ac:dyDescent="0.3">
      <c r="B2143" s="277">
        <f>'Production '!C2146</f>
        <v>0</v>
      </c>
      <c r="C2143" s="76" t="e">
        <f ca="1">SUMIF('Production '!$C$4:$AI$4407,'Tracking Sheet'!B2143,'Production '!$M$4:$M$4407)</f>
        <v>#DIV/0!</v>
      </c>
      <c r="D2143" s="76" t="e">
        <f ca="1">SUMIF('Production '!$C$4:$AI$4407,'Tracking Sheet'!B2143,'Production '!$Q$4:$Q$4407)</f>
        <v>#DIV/0!</v>
      </c>
      <c r="E2143" s="76">
        <f ca="1">SUMIF('Production '!$C$4:$AI$4407,'Tracking Sheet'!B2143,'Production '!$S$4:$S$4407)</f>
        <v>-1268218.9828305368</v>
      </c>
      <c r="F2143" s="76">
        <f ca="1">SUMIF('Production '!$C$4:$AI$4407,'Tracking Sheet'!B2143,'Production '!$U$4:$U$4407)</f>
        <v>-10620.435600016917</v>
      </c>
      <c r="G2143" s="76" t="e">
        <f ca="1">SUMIF('Production '!$C$4:$AI$4407,'Tracking Sheet'!B2143,'Production '!$W$4:$W$4407)</f>
        <v>#DIV/0!</v>
      </c>
      <c r="H2143" s="76">
        <f ca="1">SUMIF('Production '!$C$4:$AI$4407,'Tracking Sheet'!B2143,'Production '!$F$4:$F$4407)</f>
        <v>3230621.3283604058</v>
      </c>
      <c r="I2143" s="76">
        <f ca="1">SUMIF('Production '!$C$4:$AI$4407,'Tracking Sheet'!B2143,'Production '!$V$4:$V$4407)</f>
        <v>-489.86487791182844</v>
      </c>
      <c r="J2143" s="76">
        <f ca="1">SUMIF('Production '!$C$4:$AI$4407,'Tracking Sheet'!B2143,'Production '!$AG$4:$AG$4407)</f>
        <v>0</v>
      </c>
    </row>
    <row r="2144" spans="2:10" x14ac:dyDescent="0.3">
      <c r="B2144" s="277">
        <f>'Production '!C2147</f>
        <v>47654</v>
      </c>
      <c r="C2144" s="76">
        <f ca="1">SUMIF('Production '!$C$4:$AI$4407,'Tracking Sheet'!B2144,'Production '!$M$4:$M$4407)</f>
        <v>946</v>
      </c>
      <c r="D2144" s="76">
        <f ca="1">SUMIF('Production '!$C$4:$AI$4407,'Tracking Sheet'!B2144,'Production '!$Q$4:$Q$4407)</f>
        <v>946</v>
      </c>
      <c r="E2144" s="76">
        <f ca="1">SUMIF('Production '!$C$4:$AI$4407,'Tracking Sheet'!B2144,'Production '!$S$4:$S$4407)</f>
        <v>945</v>
      </c>
      <c r="F2144" s="76">
        <f ca="1">SUMIF('Production '!$C$4:$AI$4407,'Tracking Sheet'!B2144,'Production '!$U$4:$U$4407)</f>
        <v>0</v>
      </c>
      <c r="G2144" s="76">
        <f ca="1">SUMIF('Production '!$C$4:$AI$4407,'Tracking Sheet'!B2144,'Production '!$W$4:$W$4407)</f>
        <v>945</v>
      </c>
      <c r="H2144" s="76">
        <f ca="1">SUMIF('Production '!$C$4:$AI$4407,'Tracking Sheet'!B2144,'Production '!$F$4:$F$4407)</f>
        <v>830</v>
      </c>
      <c r="I2144" s="76">
        <f ca="1">SUMIF('Production '!$C$4:$AI$4407,'Tracking Sheet'!B2144,'Production '!$V$4:$V$4407)</f>
        <v>0</v>
      </c>
      <c r="J2144" s="76">
        <f ca="1">SUMIF('Production '!$C$4:$AI$4407,'Tracking Sheet'!B2144,'Production '!$AG$4:$AG$4407)</f>
        <v>0</v>
      </c>
    </row>
    <row r="2145" spans="2:10" x14ac:dyDescent="0.3">
      <c r="B2145" s="277">
        <f>'Production '!C2148</f>
        <v>0</v>
      </c>
      <c r="C2145" s="76" t="e">
        <f ca="1">SUMIF('Production '!$C$4:$AI$4407,'Tracking Sheet'!B2145,'Production '!$M$4:$M$4407)</f>
        <v>#DIV/0!</v>
      </c>
      <c r="D2145" s="76" t="e">
        <f ca="1">SUMIF('Production '!$C$4:$AI$4407,'Tracking Sheet'!B2145,'Production '!$Q$4:$Q$4407)</f>
        <v>#DIV/0!</v>
      </c>
      <c r="E2145" s="76">
        <f ca="1">SUMIF('Production '!$C$4:$AI$4407,'Tracking Sheet'!B2145,'Production '!$S$4:$S$4407)</f>
        <v>-1268218.9828305368</v>
      </c>
      <c r="F2145" s="76">
        <f ca="1">SUMIF('Production '!$C$4:$AI$4407,'Tracking Sheet'!B2145,'Production '!$U$4:$U$4407)</f>
        <v>-10620.435600016917</v>
      </c>
      <c r="G2145" s="76" t="e">
        <f ca="1">SUMIF('Production '!$C$4:$AI$4407,'Tracking Sheet'!B2145,'Production '!$W$4:$W$4407)</f>
        <v>#DIV/0!</v>
      </c>
      <c r="H2145" s="76">
        <f ca="1">SUMIF('Production '!$C$4:$AI$4407,'Tracking Sheet'!B2145,'Production '!$F$4:$F$4407)</f>
        <v>3230621.3283604058</v>
      </c>
      <c r="I2145" s="76">
        <f ca="1">SUMIF('Production '!$C$4:$AI$4407,'Tracking Sheet'!B2145,'Production '!$V$4:$V$4407)</f>
        <v>-489.86487791182844</v>
      </c>
      <c r="J2145" s="76">
        <f ca="1">SUMIF('Production '!$C$4:$AI$4407,'Tracking Sheet'!B2145,'Production '!$AG$4:$AG$4407)</f>
        <v>0</v>
      </c>
    </row>
    <row r="2146" spans="2:10" x14ac:dyDescent="0.3">
      <c r="B2146" s="277">
        <f>'Production '!C2149</f>
        <v>47975</v>
      </c>
      <c r="C2146" s="76">
        <f ca="1">SUMIF('Production '!$C$4:$AI$4407,'Tracking Sheet'!B2146,'Production '!$M$4:$M$4407)</f>
        <v>4509</v>
      </c>
      <c r="D2146" s="76">
        <f ca="1">SUMIF('Production '!$C$4:$AI$4407,'Tracking Sheet'!B2146,'Production '!$Q$4:$Q$4407)</f>
        <v>0</v>
      </c>
      <c r="E2146" s="76">
        <f ca="1">SUMIF('Production '!$C$4:$AI$4407,'Tracking Sheet'!B2146,'Production '!$S$4:$S$4407)</f>
        <v>0</v>
      </c>
      <c r="F2146" s="76">
        <f ca="1">SUMIF('Production '!$C$4:$AI$4407,'Tracking Sheet'!B2146,'Production '!$U$4:$U$4407)</f>
        <v>15</v>
      </c>
      <c r="G2146" s="76">
        <f ca="1">SUMIF('Production '!$C$4:$AI$4407,'Tracking Sheet'!B2146,'Production '!$W$4:$W$4407)</f>
        <v>4494</v>
      </c>
      <c r="H2146" s="76">
        <f ca="1">SUMIF('Production '!$C$4:$AI$4407,'Tracking Sheet'!B2146,'Production '!$F$4:$F$4407)</f>
        <v>4470</v>
      </c>
      <c r="I2146" s="76">
        <f ca="1">SUMIF('Production '!$C$4:$AI$4407,'Tracking Sheet'!B2146,'Production '!$V$4:$V$4407)</f>
        <v>0</v>
      </c>
      <c r="J2146" s="76">
        <f ca="1">SUMIF('Production '!$C$4:$AI$4407,'Tracking Sheet'!B2146,'Production '!$AG$4:$AG$4407)</f>
        <v>0</v>
      </c>
    </row>
    <row r="2147" spans="2:10" x14ac:dyDescent="0.3">
      <c r="B2147" s="277">
        <f>'Production '!C2150</f>
        <v>0</v>
      </c>
      <c r="C2147" s="76" t="e">
        <f ca="1">SUMIF('Production '!$C$4:$AI$4407,'Tracking Sheet'!B2147,'Production '!$M$4:$M$4407)</f>
        <v>#DIV/0!</v>
      </c>
      <c r="D2147" s="76" t="e">
        <f ca="1">SUMIF('Production '!$C$4:$AI$4407,'Tracking Sheet'!B2147,'Production '!$Q$4:$Q$4407)</f>
        <v>#DIV/0!</v>
      </c>
      <c r="E2147" s="76">
        <f ca="1">SUMIF('Production '!$C$4:$AI$4407,'Tracking Sheet'!B2147,'Production '!$S$4:$S$4407)</f>
        <v>-1268218.9828305368</v>
      </c>
      <c r="F2147" s="76">
        <f ca="1">SUMIF('Production '!$C$4:$AI$4407,'Tracking Sheet'!B2147,'Production '!$U$4:$U$4407)</f>
        <v>-10620.435600016917</v>
      </c>
      <c r="G2147" s="76" t="e">
        <f ca="1">SUMIF('Production '!$C$4:$AI$4407,'Tracking Sheet'!B2147,'Production '!$W$4:$W$4407)</f>
        <v>#DIV/0!</v>
      </c>
      <c r="H2147" s="76">
        <f ca="1">SUMIF('Production '!$C$4:$AI$4407,'Tracking Sheet'!B2147,'Production '!$F$4:$F$4407)</f>
        <v>3230621.3283604058</v>
      </c>
      <c r="I2147" s="76">
        <f ca="1">SUMIF('Production '!$C$4:$AI$4407,'Tracking Sheet'!B2147,'Production '!$V$4:$V$4407)</f>
        <v>-489.86487791182844</v>
      </c>
      <c r="J2147" s="76">
        <f ca="1">SUMIF('Production '!$C$4:$AI$4407,'Tracking Sheet'!B2147,'Production '!$AG$4:$AG$4407)</f>
        <v>0</v>
      </c>
    </row>
    <row r="2148" spans="2:10" x14ac:dyDescent="0.3">
      <c r="B2148" s="277">
        <f>'Production '!C2151</f>
        <v>47653</v>
      </c>
      <c r="C2148" s="76">
        <f ca="1">SUMIF('Production '!$C$4:$AI$4407,'Tracking Sheet'!B2148,'Production '!$M$4:$M$4407)</f>
        <v>450</v>
      </c>
      <c r="D2148" s="76">
        <f ca="1">SUMIF('Production '!$C$4:$AI$4407,'Tracking Sheet'!B2148,'Production '!$Q$4:$Q$4407)</f>
        <v>450</v>
      </c>
      <c r="E2148" s="76">
        <f ca="1">SUMIF('Production '!$C$4:$AI$4407,'Tracking Sheet'!B2148,'Production '!$S$4:$S$4407)</f>
        <v>446</v>
      </c>
      <c r="F2148" s="76">
        <f ca="1">SUMIF('Production '!$C$4:$AI$4407,'Tracking Sheet'!B2148,'Production '!$U$4:$U$4407)</f>
        <v>1</v>
      </c>
      <c r="G2148" s="76">
        <f ca="1">SUMIF('Production '!$C$4:$AI$4407,'Tracking Sheet'!B2148,'Production '!$W$4:$W$4407)</f>
        <v>445</v>
      </c>
      <c r="H2148" s="76">
        <f ca="1">SUMIF('Production '!$C$4:$AI$4407,'Tracking Sheet'!B2148,'Production '!$F$4:$F$4407)</f>
        <v>422</v>
      </c>
      <c r="I2148" s="76">
        <f ca="1">SUMIF('Production '!$C$4:$AI$4407,'Tracking Sheet'!B2148,'Production '!$V$4:$V$4407)</f>
        <v>0</v>
      </c>
      <c r="J2148" s="76">
        <f ca="1">SUMIF('Production '!$C$4:$AI$4407,'Tracking Sheet'!B2148,'Production '!$AG$4:$AG$4407)</f>
        <v>0</v>
      </c>
    </row>
    <row r="2149" spans="2:10" x14ac:dyDescent="0.3">
      <c r="B2149" s="277">
        <f>'Production '!C2152</f>
        <v>0</v>
      </c>
      <c r="C2149" s="76" t="e">
        <f ca="1">SUMIF('Production '!$C$4:$AI$4407,'Tracking Sheet'!B2149,'Production '!$M$4:$M$4407)</f>
        <v>#DIV/0!</v>
      </c>
      <c r="D2149" s="76" t="e">
        <f ca="1">SUMIF('Production '!$C$4:$AI$4407,'Tracking Sheet'!B2149,'Production '!$Q$4:$Q$4407)</f>
        <v>#DIV/0!</v>
      </c>
      <c r="E2149" s="76">
        <f ca="1">SUMIF('Production '!$C$4:$AI$4407,'Tracking Sheet'!B2149,'Production '!$S$4:$S$4407)</f>
        <v>-1268218.9828305368</v>
      </c>
      <c r="F2149" s="76">
        <f ca="1">SUMIF('Production '!$C$4:$AI$4407,'Tracking Sheet'!B2149,'Production '!$U$4:$U$4407)</f>
        <v>-10620.435600016917</v>
      </c>
      <c r="G2149" s="76" t="e">
        <f ca="1">SUMIF('Production '!$C$4:$AI$4407,'Tracking Sheet'!B2149,'Production '!$W$4:$W$4407)</f>
        <v>#DIV/0!</v>
      </c>
      <c r="H2149" s="76">
        <f ca="1">SUMIF('Production '!$C$4:$AI$4407,'Tracking Sheet'!B2149,'Production '!$F$4:$F$4407)</f>
        <v>3230621.3283604058</v>
      </c>
      <c r="I2149" s="76">
        <f ca="1">SUMIF('Production '!$C$4:$AI$4407,'Tracking Sheet'!B2149,'Production '!$V$4:$V$4407)</f>
        <v>-489.86487791182844</v>
      </c>
      <c r="J2149" s="76">
        <f ca="1">SUMIF('Production '!$C$4:$AI$4407,'Tracking Sheet'!B2149,'Production '!$AG$4:$AG$4407)</f>
        <v>0</v>
      </c>
    </row>
    <row r="2150" spans="2:10" x14ac:dyDescent="0.3">
      <c r="B2150" s="277">
        <f>'Production '!C2153</f>
        <v>47977</v>
      </c>
      <c r="C2150" s="76">
        <f ca="1">SUMIF('Production '!$C$4:$AI$4407,'Tracking Sheet'!B2150,'Production '!$M$4:$M$4407)</f>
        <v>2718</v>
      </c>
      <c r="D2150" s="76">
        <f ca="1">SUMIF('Production '!$C$4:$AI$4407,'Tracking Sheet'!B2150,'Production '!$Q$4:$Q$4407)</f>
        <v>0</v>
      </c>
      <c r="E2150" s="76">
        <f ca="1">SUMIF('Production '!$C$4:$AI$4407,'Tracking Sheet'!B2150,'Production '!$S$4:$S$4407)</f>
        <v>0</v>
      </c>
      <c r="F2150" s="76">
        <f ca="1">SUMIF('Production '!$C$4:$AI$4407,'Tracking Sheet'!B2150,'Production '!$U$4:$U$4407)</f>
        <v>0</v>
      </c>
      <c r="G2150" s="76">
        <f ca="1">SUMIF('Production '!$C$4:$AI$4407,'Tracking Sheet'!B2150,'Production '!$W$4:$W$4407)</f>
        <v>2718</v>
      </c>
      <c r="H2150" s="76">
        <f ca="1">SUMIF('Production '!$C$4:$AI$4407,'Tracking Sheet'!B2150,'Production '!$F$4:$F$4407)</f>
        <v>2670</v>
      </c>
      <c r="I2150" s="76">
        <f ca="1">SUMIF('Production '!$C$4:$AI$4407,'Tracking Sheet'!B2150,'Production '!$V$4:$V$4407)</f>
        <v>0</v>
      </c>
      <c r="J2150" s="76">
        <f ca="1">SUMIF('Production '!$C$4:$AI$4407,'Tracking Sheet'!B2150,'Production '!$AG$4:$AG$4407)</f>
        <v>0</v>
      </c>
    </row>
    <row r="2151" spans="2:10" x14ac:dyDescent="0.3">
      <c r="B2151" s="277">
        <f>'Production '!C2154</f>
        <v>0</v>
      </c>
      <c r="C2151" s="76" t="e">
        <f ca="1">SUMIF('Production '!$C$4:$AI$4407,'Tracking Sheet'!B2151,'Production '!$M$4:$M$4407)</f>
        <v>#DIV/0!</v>
      </c>
      <c r="D2151" s="76" t="e">
        <f ca="1">SUMIF('Production '!$C$4:$AI$4407,'Tracking Sheet'!B2151,'Production '!$Q$4:$Q$4407)</f>
        <v>#DIV/0!</v>
      </c>
      <c r="E2151" s="76">
        <f ca="1">SUMIF('Production '!$C$4:$AI$4407,'Tracking Sheet'!B2151,'Production '!$S$4:$S$4407)</f>
        <v>-1268218.9828305368</v>
      </c>
      <c r="F2151" s="76">
        <f ca="1">SUMIF('Production '!$C$4:$AI$4407,'Tracking Sheet'!B2151,'Production '!$U$4:$U$4407)</f>
        <v>-10620.435600016917</v>
      </c>
      <c r="G2151" s="76" t="e">
        <f ca="1">SUMIF('Production '!$C$4:$AI$4407,'Tracking Sheet'!B2151,'Production '!$W$4:$W$4407)</f>
        <v>#DIV/0!</v>
      </c>
      <c r="H2151" s="76">
        <f ca="1">SUMIF('Production '!$C$4:$AI$4407,'Tracking Sheet'!B2151,'Production '!$F$4:$F$4407)</f>
        <v>3230621.3283604058</v>
      </c>
      <c r="I2151" s="76">
        <f ca="1">SUMIF('Production '!$C$4:$AI$4407,'Tracking Sheet'!B2151,'Production '!$V$4:$V$4407)</f>
        <v>-489.86487791182844</v>
      </c>
      <c r="J2151" s="76">
        <f ca="1">SUMIF('Production '!$C$4:$AI$4407,'Tracking Sheet'!B2151,'Production '!$AG$4:$AG$4407)</f>
        <v>0</v>
      </c>
    </row>
    <row r="2152" spans="2:10" x14ac:dyDescent="0.3">
      <c r="B2152" s="277" t="str">
        <f>'Production '!C2155</f>
        <v>48139 2nd</v>
      </c>
      <c r="C2152" s="76">
        <f ca="1">SUMIF('Production '!$C$4:$AI$4407,'Tracking Sheet'!B2152,'Production '!$M$4:$M$4407)</f>
        <v>632</v>
      </c>
      <c r="D2152" s="76">
        <f ca="1">SUMIF('Production '!$C$4:$AI$4407,'Tracking Sheet'!B2152,'Production '!$Q$4:$Q$4407)</f>
        <v>0</v>
      </c>
      <c r="E2152" s="76">
        <f ca="1">SUMIF('Production '!$C$4:$AI$4407,'Tracking Sheet'!B2152,'Production '!$S$4:$S$4407)</f>
        <v>0</v>
      </c>
      <c r="F2152" s="76">
        <f ca="1">SUMIF('Production '!$C$4:$AI$4407,'Tracking Sheet'!B2152,'Production '!$U$4:$U$4407)</f>
        <v>0</v>
      </c>
      <c r="G2152" s="76">
        <f ca="1">SUMIF('Production '!$C$4:$AI$4407,'Tracking Sheet'!B2152,'Production '!$W$4:$W$4407)</f>
        <v>632</v>
      </c>
      <c r="H2152" s="76">
        <f ca="1">SUMIF('Production '!$C$4:$AI$4407,'Tracking Sheet'!B2152,'Production '!$F$4:$F$4407)</f>
        <v>600</v>
      </c>
      <c r="I2152" s="76">
        <f ca="1">SUMIF('Production '!$C$4:$AI$4407,'Tracking Sheet'!B2152,'Production '!$V$4:$V$4407)</f>
        <v>0</v>
      </c>
      <c r="J2152" s="76">
        <f ca="1">SUMIF('Production '!$C$4:$AI$4407,'Tracking Sheet'!B2152,'Production '!$AG$4:$AG$4407)</f>
        <v>0</v>
      </c>
    </row>
    <row r="2153" spans="2:10" x14ac:dyDescent="0.3">
      <c r="B2153" s="277">
        <f>'Production '!C2156</f>
        <v>0</v>
      </c>
      <c r="C2153" s="76" t="e">
        <f ca="1">SUMIF('Production '!$C$4:$AI$4407,'Tracking Sheet'!B2153,'Production '!$M$4:$M$4407)</f>
        <v>#DIV/0!</v>
      </c>
      <c r="D2153" s="76" t="e">
        <f ca="1">SUMIF('Production '!$C$4:$AI$4407,'Tracking Sheet'!B2153,'Production '!$Q$4:$Q$4407)</f>
        <v>#DIV/0!</v>
      </c>
      <c r="E2153" s="76">
        <f ca="1">SUMIF('Production '!$C$4:$AI$4407,'Tracking Sheet'!B2153,'Production '!$S$4:$S$4407)</f>
        <v>-1268218.9828305368</v>
      </c>
      <c r="F2153" s="76">
        <f ca="1">SUMIF('Production '!$C$4:$AI$4407,'Tracking Sheet'!B2153,'Production '!$U$4:$U$4407)</f>
        <v>-10620.435600016917</v>
      </c>
      <c r="G2153" s="76" t="e">
        <f ca="1">SUMIF('Production '!$C$4:$AI$4407,'Tracking Sheet'!B2153,'Production '!$W$4:$W$4407)</f>
        <v>#DIV/0!</v>
      </c>
      <c r="H2153" s="76">
        <f ca="1">SUMIF('Production '!$C$4:$AI$4407,'Tracking Sheet'!B2153,'Production '!$F$4:$F$4407)</f>
        <v>3230621.3283604058</v>
      </c>
      <c r="I2153" s="76">
        <f ca="1">SUMIF('Production '!$C$4:$AI$4407,'Tracking Sheet'!B2153,'Production '!$V$4:$V$4407)</f>
        <v>-489.86487791182844</v>
      </c>
      <c r="J2153" s="76">
        <f ca="1">SUMIF('Production '!$C$4:$AI$4407,'Tracking Sheet'!B2153,'Production '!$AG$4:$AG$4407)</f>
        <v>0</v>
      </c>
    </row>
    <row r="2154" spans="2:10" x14ac:dyDescent="0.3">
      <c r="B2154" s="277">
        <f>'Production '!C2157</f>
        <v>47774</v>
      </c>
      <c r="C2154" s="76">
        <f ca="1">SUMIF('Production '!$C$4:$AI$4407,'Tracking Sheet'!B2154,'Production '!$M$4:$M$4407)</f>
        <v>538</v>
      </c>
      <c r="D2154" s="76">
        <f ca="1">SUMIF('Production '!$C$4:$AI$4407,'Tracking Sheet'!B2154,'Production '!$Q$4:$Q$4407)</f>
        <v>538</v>
      </c>
      <c r="E2154" s="76">
        <f ca="1">SUMIF('Production '!$C$4:$AI$4407,'Tracking Sheet'!B2154,'Production '!$S$4:$S$4407)</f>
        <v>538</v>
      </c>
      <c r="F2154" s="76">
        <f ca="1">SUMIF('Production '!$C$4:$AI$4407,'Tracking Sheet'!B2154,'Production '!$U$4:$U$4407)</f>
        <v>0</v>
      </c>
      <c r="G2154" s="76">
        <f ca="1">SUMIF('Production '!$C$4:$AI$4407,'Tracking Sheet'!B2154,'Production '!$W$4:$W$4407)</f>
        <v>538</v>
      </c>
      <c r="H2154" s="76">
        <f ca="1">SUMIF('Production '!$C$4:$AI$4407,'Tracking Sheet'!B2154,'Production '!$F$4:$F$4407)</f>
        <v>513</v>
      </c>
      <c r="I2154" s="76">
        <f ca="1">SUMIF('Production '!$C$4:$AI$4407,'Tracking Sheet'!B2154,'Production '!$V$4:$V$4407)</f>
        <v>0</v>
      </c>
      <c r="J2154" s="76">
        <f ca="1">SUMIF('Production '!$C$4:$AI$4407,'Tracking Sheet'!B2154,'Production '!$AG$4:$AG$4407)</f>
        <v>0</v>
      </c>
    </row>
    <row r="2155" spans="2:10" x14ac:dyDescent="0.3">
      <c r="B2155" s="277">
        <f>'Production '!C2158</f>
        <v>0</v>
      </c>
      <c r="C2155" s="76" t="e">
        <f ca="1">SUMIF('Production '!$C$4:$AI$4407,'Tracking Sheet'!B2155,'Production '!$M$4:$M$4407)</f>
        <v>#DIV/0!</v>
      </c>
      <c r="D2155" s="76" t="e">
        <f ca="1">SUMIF('Production '!$C$4:$AI$4407,'Tracking Sheet'!B2155,'Production '!$Q$4:$Q$4407)</f>
        <v>#DIV/0!</v>
      </c>
      <c r="E2155" s="76">
        <f ca="1">SUMIF('Production '!$C$4:$AI$4407,'Tracking Sheet'!B2155,'Production '!$S$4:$S$4407)</f>
        <v>-1268218.9828305368</v>
      </c>
      <c r="F2155" s="76">
        <f ca="1">SUMIF('Production '!$C$4:$AI$4407,'Tracking Sheet'!B2155,'Production '!$U$4:$U$4407)</f>
        <v>-10620.435600016917</v>
      </c>
      <c r="G2155" s="76" t="e">
        <f ca="1">SUMIF('Production '!$C$4:$AI$4407,'Tracking Sheet'!B2155,'Production '!$W$4:$W$4407)</f>
        <v>#DIV/0!</v>
      </c>
      <c r="H2155" s="76">
        <f ca="1">SUMIF('Production '!$C$4:$AI$4407,'Tracking Sheet'!B2155,'Production '!$F$4:$F$4407)</f>
        <v>3230621.3283604058</v>
      </c>
      <c r="I2155" s="76">
        <f ca="1">SUMIF('Production '!$C$4:$AI$4407,'Tracking Sheet'!B2155,'Production '!$V$4:$V$4407)</f>
        <v>-489.86487791182844</v>
      </c>
      <c r="J2155" s="76">
        <f ca="1">SUMIF('Production '!$C$4:$AI$4407,'Tracking Sheet'!B2155,'Production '!$AG$4:$AG$4407)</f>
        <v>0</v>
      </c>
    </row>
    <row r="2156" spans="2:10" x14ac:dyDescent="0.3">
      <c r="B2156" s="277">
        <f>'Production '!C2159</f>
        <v>48181</v>
      </c>
      <c r="C2156" s="76">
        <f ca="1">SUMIF('Production '!$C$4:$AI$4407,'Tracking Sheet'!B2156,'Production '!$M$4:$M$4407)</f>
        <v>546</v>
      </c>
      <c r="D2156" s="76">
        <f ca="1">SUMIF('Production '!$C$4:$AI$4407,'Tracking Sheet'!B2156,'Production '!$Q$4:$Q$4407)</f>
        <v>546</v>
      </c>
      <c r="E2156" s="76">
        <f ca="1">SUMIF('Production '!$C$4:$AI$4407,'Tracking Sheet'!B2156,'Production '!$S$4:$S$4407)</f>
        <v>546</v>
      </c>
      <c r="F2156" s="76">
        <f ca="1">SUMIF('Production '!$C$4:$AI$4407,'Tracking Sheet'!B2156,'Production '!$U$4:$U$4407)</f>
        <v>0</v>
      </c>
      <c r="G2156" s="76">
        <f ca="1">SUMIF('Production '!$C$4:$AI$4407,'Tracking Sheet'!B2156,'Production '!$W$4:$W$4407)</f>
        <v>546</v>
      </c>
      <c r="H2156" s="76">
        <f ca="1">SUMIF('Production '!$C$4:$AI$4407,'Tracking Sheet'!B2156,'Production '!$F$4:$F$4407)</f>
        <v>525</v>
      </c>
      <c r="I2156" s="76">
        <f ca="1">SUMIF('Production '!$C$4:$AI$4407,'Tracking Sheet'!B2156,'Production '!$V$4:$V$4407)</f>
        <v>0</v>
      </c>
      <c r="J2156" s="76">
        <f ca="1">SUMIF('Production '!$C$4:$AI$4407,'Tracking Sheet'!B2156,'Production '!$AG$4:$AG$4407)</f>
        <v>0</v>
      </c>
    </row>
    <row r="2157" spans="2:10" x14ac:dyDescent="0.3">
      <c r="B2157" s="277">
        <f>'Production '!C2160</f>
        <v>0</v>
      </c>
      <c r="C2157" s="76" t="e">
        <f ca="1">SUMIF('Production '!$C$4:$AI$4407,'Tracking Sheet'!B2157,'Production '!$M$4:$M$4407)</f>
        <v>#DIV/0!</v>
      </c>
      <c r="D2157" s="76" t="e">
        <f ca="1">SUMIF('Production '!$C$4:$AI$4407,'Tracking Sheet'!B2157,'Production '!$Q$4:$Q$4407)</f>
        <v>#DIV/0!</v>
      </c>
      <c r="E2157" s="76">
        <f ca="1">SUMIF('Production '!$C$4:$AI$4407,'Tracking Sheet'!B2157,'Production '!$S$4:$S$4407)</f>
        <v>-1268218.9828305368</v>
      </c>
      <c r="F2157" s="76">
        <f ca="1">SUMIF('Production '!$C$4:$AI$4407,'Tracking Sheet'!B2157,'Production '!$U$4:$U$4407)</f>
        <v>-10620.435600016917</v>
      </c>
      <c r="G2157" s="76" t="e">
        <f ca="1">SUMIF('Production '!$C$4:$AI$4407,'Tracking Sheet'!B2157,'Production '!$W$4:$W$4407)</f>
        <v>#DIV/0!</v>
      </c>
      <c r="H2157" s="76">
        <f ca="1">SUMIF('Production '!$C$4:$AI$4407,'Tracking Sheet'!B2157,'Production '!$F$4:$F$4407)</f>
        <v>3230621.3283604058</v>
      </c>
      <c r="I2157" s="76">
        <f ca="1">SUMIF('Production '!$C$4:$AI$4407,'Tracking Sheet'!B2157,'Production '!$V$4:$V$4407)</f>
        <v>-489.86487791182844</v>
      </c>
      <c r="J2157" s="76">
        <f ca="1">SUMIF('Production '!$C$4:$AI$4407,'Tracking Sheet'!B2157,'Production '!$AG$4:$AG$4407)</f>
        <v>0</v>
      </c>
    </row>
    <row r="2158" spans="2:10" x14ac:dyDescent="0.3">
      <c r="B2158" s="277" t="str">
        <f>'Production '!C2161</f>
        <v>44668 2nd</v>
      </c>
      <c r="C2158" s="76">
        <f ca="1">SUMIF('Production '!$C$4:$AI$4407,'Tracking Sheet'!B2158,'Production '!$M$4:$M$4407)</f>
        <v>1068</v>
      </c>
      <c r="D2158" s="76">
        <f ca="1">SUMIF('Production '!$C$4:$AI$4407,'Tracking Sheet'!B2158,'Production '!$Q$4:$Q$4407)</f>
        <v>1060</v>
      </c>
      <c r="E2158" s="76">
        <f ca="1">SUMIF('Production '!$C$4:$AI$4407,'Tracking Sheet'!B2158,'Production '!$S$4:$S$4407)</f>
        <v>0</v>
      </c>
      <c r="F2158" s="76">
        <f ca="1">SUMIF('Production '!$C$4:$AI$4407,'Tracking Sheet'!B2158,'Production '!$U$4:$U$4407)</f>
        <v>0</v>
      </c>
      <c r="G2158" s="76">
        <f ca="1">SUMIF('Production '!$C$4:$AI$4407,'Tracking Sheet'!B2158,'Production '!$W$4:$W$4407)</f>
        <v>0</v>
      </c>
      <c r="H2158" s="76">
        <f ca="1">SUMIF('Production '!$C$4:$AI$4407,'Tracking Sheet'!B2158,'Production '!$F$4:$F$4407)</f>
        <v>1044</v>
      </c>
      <c r="I2158" s="76">
        <f ca="1">SUMIF('Production '!$C$4:$AI$4407,'Tracking Sheet'!B2158,'Production '!$V$4:$V$4407)</f>
        <v>0</v>
      </c>
      <c r="J2158" s="76">
        <f ca="1">SUMIF('Production '!$C$4:$AI$4407,'Tracking Sheet'!B2158,'Production '!$AG$4:$AG$4407)</f>
        <v>0</v>
      </c>
    </row>
    <row r="2159" spans="2:10" x14ac:dyDescent="0.3">
      <c r="B2159" s="277">
        <f>'Production '!C2162</f>
        <v>0</v>
      </c>
      <c r="C2159" s="76" t="e">
        <f ca="1">SUMIF('Production '!$C$4:$AI$4407,'Tracking Sheet'!B2159,'Production '!$M$4:$M$4407)</f>
        <v>#DIV/0!</v>
      </c>
      <c r="D2159" s="76" t="e">
        <f ca="1">SUMIF('Production '!$C$4:$AI$4407,'Tracking Sheet'!B2159,'Production '!$Q$4:$Q$4407)</f>
        <v>#DIV/0!</v>
      </c>
      <c r="E2159" s="76">
        <f ca="1">SUMIF('Production '!$C$4:$AI$4407,'Tracking Sheet'!B2159,'Production '!$S$4:$S$4407)</f>
        <v>-1268218.9828305368</v>
      </c>
      <c r="F2159" s="76">
        <f ca="1">SUMIF('Production '!$C$4:$AI$4407,'Tracking Sheet'!B2159,'Production '!$U$4:$U$4407)</f>
        <v>-10620.435600016917</v>
      </c>
      <c r="G2159" s="76" t="e">
        <f ca="1">SUMIF('Production '!$C$4:$AI$4407,'Tracking Sheet'!B2159,'Production '!$W$4:$W$4407)</f>
        <v>#DIV/0!</v>
      </c>
      <c r="H2159" s="76">
        <f ca="1">SUMIF('Production '!$C$4:$AI$4407,'Tracking Sheet'!B2159,'Production '!$F$4:$F$4407)</f>
        <v>3230621.3283604058</v>
      </c>
      <c r="I2159" s="76">
        <f ca="1">SUMIF('Production '!$C$4:$AI$4407,'Tracking Sheet'!B2159,'Production '!$V$4:$V$4407)</f>
        <v>-489.86487791182844</v>
      </c>
      <c r="J2159" s="76">
        <f ca="1">SUMIF('Production '!$C$4:$AI$4407,'Tracking Sheet'!B2159,'Production '!$AG$4:$AG$4407)</f>
        <v>0</v>
      </c>
    </row>
    <row r="2160" spans="2:10" x14ac:dyDescent="0.3">
      <c r="B2160" s="277">
        <f>'Production '!C2163</f>
        <v>47891</v>
      </c>
      <c r="C2160" s="76">
        <f ca="1">SUMIF('Production '!$C$4:$AI$4407,'Tracking Sheet'!B2160,'Production '!$M$4:$M$4407)</f>
        <v>2162</v>
      </c>
      <c r="D2160" s="76">
        <f ca="1">SUMIF('Production '!$C$4:$AI$4407,'Tracking Sheet'!B2160,'Production '!$Q$4:$Q$4407)</f>
        <v>0</v>
      </c>
      <c r="E2160" s="76">
        <f ca="1">SUMIF('Production '!$C$4:$AI$4407,'Tracking Sheet'!B2160,'Production '!$S$4:$S$4407)</f>
        <v>0</v>
      </c>
      <c r="F2160" s="76">
        <f ca="1">SUMIF('Production '!$C$4:$AI$4407,'Tracking Sheet'!B2160,'Production '!$U$4:$U$4407)</f>
        <v>0</v>
      </c>
      <c r="G2160" s="76">
        <f ca="1">SUMIF('Production '!$C$4:$AI$4407,'Tracking Sheet'!B2160,'Production '!$W$4:$W$4407)</f>
        <v>2162</v>
      </c>
      <c r="H2160" s="76">
        <f ca="1">SUMIF('Production '!$C$4:$AI$4407,'Tracking Sheet'!B2160,'Production '!$F$4:$F$4407)</f>
        <v>2140</v>
      </c>
      <c r="I2160" s="76">
        <f ca="1">SUMIF('Production '!$C$4:$AI$4407,'Tracking Sheet'!B2160,'Production '!$V$4:$V$4407)</f>
        <v>0</v>
      </c>
      <c r="J2160" s="76">
        <f ca="1">SUMIF('Production '!$C$4:$AI$4407,'Tracking Sheet'!B2160,'Production '!$AG$4:$AG$4407)</f>
        <v>0</v>
      </c>
    </row>
    <row r="2161" spans="2:10" x14ac:dyDescent="0.3">
      <c r="B2161" s="277">
        <f>'Production '!C2164</f>
        <v>0</v>
      </c>
      <c r="C2161" s="76" t="e">
        <f ca="1">SUMIF('Production '!$C$4:$AI$4407,'Tracking Sheet'!B2161,'Production '!$M$4:$M$4407)</f>
        <v>#DIV/0!</v>
      </c>
      <c r="D2161" s="76" t="e">
        <f ca="1">SUMIF('Production '!$C$4:$AI$4407,'Tracking Sheet'!B2161,'Production '!$Q$4:$Q$4407)</f>
        <v>#DIV/0!</v>
      </c>
      <c r="E2161" s="76">
        <f ca="1">SUMIF('Production '!$C$4:$AI$4407,'Tracking Sheet'!B2161,'Production '!$S$4:$S$4407)</f>
        <v>-1268218.9828305368</v>
      </c>
      <c r="F2161" s="76">
        <f ca="1">SUMIF('Production '!$C$4:$AI$4407,'Tracking Sheet'!B2161,'Production '!$U$4:$U$4407)</f>
        <v>-10620.435600016917</v>
      </c>
      <c r="G2161" s="76" t="e">
        <f ca="1">SUMIF('Production '!$C$4:$AI$4407,'Tracking Sheet'!B2161,'Production '!$W$4:$W$4407)</f>
        <v>#DIV/0!</v>
      </c>
      <c r="H2161" s="76">
        <f ca="1">SUMIF('Production '!$C$4:$AI$4407,'Tracking Sheet'!B2161,'Production '!$F$4:$F$4407)</f>
        <v>3230621.3283604058</v>
      </c>
      <c r="I2161" s="76">
        <f ca="1">SUMIF('Production '!$C$4:$AI$4407,'Tracking Sheet'!B2161,'Production '!$V$4:$V$4407)</f>
        <v>-489.86487791182844</v>
      </c>
      <c r="J2161" s="76">
        <f ca="1">SUMIF('Production '!$C$4:$AI$4407,'Tracking Sheet'!B2161,'Production '!$AG$4:$AG$4407)</f>
        <v>0</v>
      </c>
    </row>
    <row r="2162" spans="2:10" x14ac:dyDescent="0.3">
      <c r="B2162" s="277">
        <f>'Production '!C2165</f>
        <v>48240</v>
      </c>
      <c r="C2162" s="76">
        <f ca="1">SUMIF('Production '!$C$4:$AI$4407,'Tracking Sheet'!B2162,'Production '!$M$4:$M$4407)</f>
        <v>6097</v>
      </c>
      <c r="D2162" s="76">
        <f ca="1">SUMIF('Production '!$C$4:$AI$4407,'Tracking Sheet'!B2162,'Production '!$Q$4:$Q$4407)</f>
        <v>6096</v>
      </c>
      <c r="E2162" s="76">
        <f ca="1">SUMIF('Production '!$C$4:$AI$4407,'Tracking Sheet'!B2162,'Production '!$S$4:$S$4407)</f>
        <v>5778</v>
      </c>
      <c r="F2162" s="76">
        <f ca="1">SUMIF('Production '!$C$4:$AI$4407,'Tracking Sheet'!B2162,'Production '!$U$4:$U$4407)</f>
        <v>2404</v>
      </c>
      <c r="G2162" s="76">
        <f ca="1">SUMIF('Production '!$C$4:$AI$4407,'Tracking Sheet'!B2162,'Production '!$W$4:$W$4407)</f>
        <v>3374</v>
      </c>
      <c r="H2162" s="76">
        <f ca="1">SUMIF('Production '!$C$4:$AI$4407,'Tracking Sheet'!B2162,'Production '!$F$4:$F$4407)</f>
        <v>5968</v>
      </c>
      <c r="I2162" s="76">
        <f ca="1">SUMIF('Production '!$C$4:$AI$4407,'Tracking Sheet'!B2162,'Production '!$V$4:$V$4407)</f>
        <v>0</v>
      </c>
      <c r="J2162" s="76">
        <f ca="1">SUMIF('Production '!$C$4:$AI$4407,'Tracking Sheet'!B2162,'Production '!$AG$4:$AG$4407)</f>
        <v>0</v>
      </c>
    </row>
    <row r="2163" spans="2:10" x14ac:dyDescent="0.3">
      <c r="B2163" s="277">
        <f>'Production '!C2166</f>
        <v>0</v>
      </c>
      <c r="C2163" s="76" t="e">
        <f ca="1">SUMIF('Production '!$C$4:$AI$4407,'Tracking Sheet'!B2163,'Production '!$M$4:$M$4407)</f>
        <v>#DIV/0!</v>
      </c>
      <c r="D2163" s="76" t="e">
        <f ca="1">SUMIF('Production '!$C$4:$AI$4407,'Tracking Sheet'!B2163,'Production '!$Q$4:$Q$4407)</f>
        <v>#DIV/0!</v>
      </c>
      <c r="E2163" s="76">
        <f ca="1">SUMIF('Production '!$C$4:$AI$4407,'Tracking Sheet'!B2163,'Production '!$S$4:$S$4407)</f>
        <v>-1268218.9828305368</v>
      </c>
      <c r="F2163" s="76">
        <f ca="1">SUMIF('Production '!$C$4:$AI$4407,'Tracking Sheet'!B2163,'Production '!$U$4:$U$4407)</f>
        <v>-10620.435600016917</v>
      </c>
      <c r="G2163" s="76" t="e">
        <f ca="1">SUMIF('Production '!$C$4:$AI$4407,'Tracking Sheet'!B2163,'Production '!$W$4:$W$4407)</f>
        <v>#DIV/0!</v>
      </c>
      <c r="H2163" s="76">
        <f ca="1">SUMIF('Production '!$C$4:$AI$4407,'Tracking Sheet'!B2163,'Production '!$F$4:$F$4407)</f>
        <v>3230621.3283604058</v>
      </c>
      <c r="I2163" s="76">
        <f ca="1">SUMIF('Production '!$C$4:$AI$4407,'Tracking Sheet'!B2163,'Production '!$V$4:$V$4407)</f>
        <v>-489.86487791182844</v>
      </c>
      <c r="J2163" s="76">
        <f ca="1">SUMIF('Production '!$C$4:$AI$4407,'Tracking Sheet'!B2163,'Production '!$AG$4:$AG$4407)</f>
        <v>0</v>
      </c>
    </row>
    <row r="2164" spans="2:10" x14ac:dyDescent="0.3">
      <c r="B2164" s="277">
        <f>'Production '!C2167</f>
        <v>48219</v>
      </c>
      <c r="C2164" s="76">
        <f ca="1">SUMIF('Production '!$C$4:$AI$4407,'Tracking Sheet'!B2164,'Production '!$M$4:$M$4407)</f>
        <v>0</v>
      </c>
      <c r="D2164" s="76">
        <f ca="1">SUMIF('Production '!$C$4:$AI$4407,'Tracking Sheet'!B2164,'Production '!$Q$4:$Q$4407)</f>
        <v>0</v>
      </c>
      <c r="E2164" s="76">
        <f ca="1">SUMIF('Production '!$C$4:$AI$4407,'Tracking Sheet'!B2164,'Production '!$S$4:$S$4407)</f>
        <v>0</v>
      </c>
      <c r="F2164" s="76">
        <f ca="1">SUMIF('Production '!$C$4:$AI$4407,'Tracking Sheet'!B2164,'Production '!$U$4:$U$4407)</f>
        <v>0</v>
      </c>
      <c r="G2164" s="76">
        <f ca="1">SUMIF('Production '!$C$4:$AI$4407,'Tracking Sheet'!B2164,'Production '!$W$4:$W$4407)</f>
        <v>0</v>
      </c>
      <c r="H2164" s="76">
        <f ca="1">SUMIF('Production '!$C$4:$AI$4407,'Tracking Sheet'!B2164,'Production '!$F$4:$F$4407)</f>
        <v>784</v>
      </c>
      <c r="I2164" s="76">
        <f ca="1">SUMIF('Production '!$C$4:$AI$4407,'Tracking Sheet'!B2164,'Production '!$V$4:$V$4407)</f>
        <v>0</v>
      </c>
      <c r="J2164" s="76">
        <f ca="1">SUMIF('Production '!$C$4:$AI$4407,'Tracking Sheet'!B2164,'Production '!$AG$4:$AG$4407)</f>
        <v>-784</v>
      </c>
    </row>
    <row r="2165" spans="2:10" x14ac:dyDescent="0.3">
      <c r="B2165" s="277">
        <f>'Production '!C2168</f>
        <v>48219</v>
      </c>
      <c r="C2165" s="76">
        <f ca="1">SUMIF('Production '!$C$4:$AI$4407,'Tracking Sheet'!B2165,'Production '!$M$4:$M$4407)</f>
        <v>0</v>
      </c>
      <c r="D2165" s="76">
        <f ca="1">SUMIF('Production '!$C$4:$AI$4407,'Tracking Sheet'!B2165,'Production '!$Q$4:$Q$4407)</f>
        <v>0</v>
      </c>
      <c r="E2165" s="76">
        <f ca="1">SUMIF('Production '!$C$4:$AI$4407,'Tracking Sheet'!B2165,'Production '!$S$4:$S$4407)</f>
        <v>0</v>
      </c>
      <c r="F2165" s="76">
        <f ca="1">SUMIF('Production '!$C$4:$AI$4407,'Tracking Sheet'!B2165,'Production '!$U$4:$U$4407)</f>
        <v>0</v>
      </c>
      <c r="G2165" s="76">
        <f ca="1">SUMIF('Production '!$C$4:$AI$4407,'Tracking Sheet'!B2165,'Production '!$W$4:$W$4407)</f>
        <v>0</v>
      </c>
      <c r="H2165" s="76">
        <f ca="1">SUMIF('Production '!$C$4:$AI$4407,'Tracking Sheet'!B2165,'Production '!$F$4:$F$4407)</f>
        <v>784</v>
      </c>
      <c r="I2165" s="76">
        <f ca="1">SUMIF('Production '!$C$4:$AI$4407,'Tracking Sheet'!B2165,'Production '!$V$4:$V$4407)</f>
        <v>0</v>
      </c>
      <c r="J2165" s="76">
        <f ca="1">SUMIF('Production '!$C$4:$AI$4407,'Tracking Sheet'!B2165,'Production '!$AG$4:$AG$4407)</f>
        <v>-784</v>
      </c>
    </row>
    <row r="2166" spans="2:10" x14ac:dyDescent="0.3">
      <c r="B2166" s="277">
        <f>'Production '!C2169</f>
        <v>0</v>
      </c>
      <c r="C2166" s="76" t="e">
        <f ca="1">SUMIF('Production '!$C$4:$AI$4407,'Tracking Sheet'!B2166,'Production '!$M$4:$M$4407)</f>
        <v>#DIV/0!</v>
      </c>
      <c r="D2166" s="76" t="e">
        <f ca="1">SUMIF('Production '!$C$4:$AI$4407,'Tracking Sheet'!B2166,'Production '!$Q$4:$Q$4407)</f>
        <v>#DIV/0!</v>
      </c>
      <c r="E2166" s="76">
        <f ca="1">SUMIF('Production '!$C$4:$AI$4407,'Tracking Sheet'!B2166,'Production '!$S$4:$S$4407)</f>
        <v>-1268218.9828305368</v>
      </c>
      <c r="F2166" s="76">
        <f ca="1">SUMIF('Production '!$C$4:$AI$4407,'Tracking Sheet'!B2166,'Production '!$U$4:$U$4407)</f>
        <v>-10620.435600016917</v>
      </c>
      <c r="G2166" s="76" t="e">
        <f ca="1">SUMIF('Production '!$C$4:$AI$4407,'Tracking Sheet'!B2166,'Production '!$W$4:$W$4407)</f>
        <v>#DIV/0!</v>
      </c>
      <c r="H2166" s="76">
        <f ca="1">SUMIF('Production '!$C$4:$AI$4407,'Tracking Sheet'!B2166,'Production '!$F$4:$F$4407)</f>
        <v>3230621.3283604058</v>
      </c>
      <c r="I2166" s="76">
        <f ca="1">SUMIF('Production '!$C$4:$AI$4407,'Tracking Sheet'!B2166,'Production '!$V$4:$V$4407)</f>
        <v>-489.86487791182844</v>
      </c>
      <c r="J2166" s="76">
        <f ca="1">SUMIF('Production '!$C$4:$AI$4407,'Tracking Sheet'!B2166,'Production '!$AG$4:$AG$4407)</f>
        <v>0</v>
      </c>
    </row>
    <row r="2167" spans="2:10" x14ac:dyDescent="0.3">
      <c r="B2167" s="277">
        <f>'Production '!C2170</f>
        <v>48211</v>
      </c>
      <c r="C2167" s="76">
        <f ca="1">SUMIF('Production '!$C$4:$AI$4407,'Tracking Sheet'!B2167,'Production '!$M$4:$M$4407)</f>
        <v>397</v>
      </c>
      <c r="D2167" s="76">
        <f ca="1">SUMIF('Production '!$C$4:$AI$4407,'Tracking Sheet'!B2167,'Production '!$Q$4:$Q$4407)</f>
        <v>0</v>
      </c>
      <c r="E2167" s="76">
        <f ca="1">SUMIF('Production '!$C$4:$AI$4407,'Tracking Sheet'!B2167,'Production '!$S$4:$S$4407)</f>
        <v>0</v>
      </c>
      <c r="F2167" s="76">
        <f ca="1">SUMIF('Production '!$C$4:$AI$4407,'Tracking Sheet'!B2167,'Production '!$U$4:$U$4407)</f>
        <v>397</v>
      </c>
      <c r="G2167" s="76">
        <f ca="1">SUMIF('Production '!$C$4:$AI$4407,'Tracking Sheet'!B2167,'Production '!$W$4:$W$4407)</f>
        <v>0</v>
      </c>
      <c r="H2167" s="76">
        <f ca="1">SUMIF('Production '!$C$4:$AI$4407,'Tracking Sheet'!B2167,'Production '!$F$4:$F$4407)</f>
        <v>688</v>
      </c>
      <c r="I2167" s="76">
        <f ca="1">SUMIF('Production '!$C$4:$AI$4407,'Tracking Sheet'!B2167,'Production '!$V$4:$V$4407)</f>
        <v>0</v>
      </c>
      <c r="J2167" s="76">
        <f ca="1">SUMIF('Production '!$C$4:$AI$4407,'Tracking Sheet'!B2167,'Production '!$AG$4:$AG$4407)</f>
        <v>-302</v>
      </c>
    </row>
    <row r="2168" spans="2:10" x14ac:dyDescent="0.3">
      <c r="B2168" s="277">
        <f>'Production '!C2171</f>
        <v>48211</v>
      </c>
      <c r="C2168" s="76">
        <f ca="1">SUMIF('Production '!$C$4:$AI$4407,'Tracking Sheet'!B2168,'Production '!$M$4:$M$4407)</f>
        <v>397</v>
      </c>
      <c r="D2168" s="76">
        <f ca="1">SUMIF('Production '!$C$4:$AI$4407,'Tracking Sheet'!B2168,'Production '!$Q$4:$Q$4407)</f>
        <v>0</v>
      </c>
      <c r="E2168" s="76">
        <f ca="1">SUMIF('Production '!$C$4:$AI$4407,'Tracking Sheet'!B2168,'Production '!$S$4:$S$4407)</f>
        <v>0</v>
      </c>
      <c r="F2168" s="76">
        <f ca="1">SUMIF('Production '!$C$4:$AI$4407,'Tracking Sheet'!B2168,'Production '!$U$4:$U$4407)</f>
        <v>397</v>
      </c>
      <c r="G2168" s="76">
        <f ca="1">SUMIF('Production '!$C$4:$AI$4407,'Tracking Sheet'!B2168,'Production '!$W$4:$W$4407)</f>
        <v>0</v>
      </c>
      <c r="H2168" s="76">
        <f ca="1">SUMIF('Production '!$C$4:$AI$4407,'Tracking Sheet'!B2168,'Production '!$F$4:$F$4407)</f>
        <v>688</v>
      </c>
      <c r="I2168" s="76">
        <f ca="1">SUMIF('Production '!$C$4:$AI$4407,'Tracking Sheet'!B2168,'Production '!$V$4:$V$4407)</f>
        <v>0</v>
      </c>
      <c r="J2168" s="76">
        <f ca="1">SUMIF('Production '!$C$4:$AI$4407,'Tracking Sheet'!B2168,'Production '!$AG$4:$AG$4407)</f>
        <v>-302</v>
      </c>
    </row>
    <row r="2169" spans="2:10" x14ac:dyDescent="0.3">
      <c r="B2169" s="277">
        <f>'Production '!C2172</f>
        <v>0</v>
      </c>
      <c r="C2169" s="76" t="e">
        <f ca="1">SUMIF('Production '!$C$4:$AI$4407,'Tracking Sheet'!B2169,'Production '!$M$4:$M$4407)</f>
        <v>#DIV/0!</v>
      </c>
      <c r="D2169" s="76" t="e">
        <f ca="1">SUMIF('Production '!$C$4:$AI$4407,'Tracking Sheet'!B2169,'Production '!$Q$4:$Q$4407)</f>
        <v>#DIV/0!</v>
      </c>
      <c r="E2169" s="76">
        <f ca="1">SUMIF('Production '!$C$4:$AI$4407,'Tracking Sheet'!B2169,'Production '!$S$4:$S$4407)</f>
        <v>-1268218.9828305368</v>
      </c>
      <c r="F2169" s="76">
        <f ca="1">SUMIF('Production '!$C$4:$AI$4407,'Tracking Sheet'!B2169,'Production '!$U$4:$U$4407)</f>
        <v>-10620.435600016917</v>
      </c>
      <c r="G2169" s="76" t="e">
        <f ca="1">SUMIF('Production '!$C$4:$AI$4407,'Tracking Sheet'!B2169,'Production '!$W$4:$W$4407)</f>
        <v>#DIV/0!</v>
      </c>
      <c r="H2169" s="76">
        <f ca="1">SUMIF('Production '!$C$4:$AI$4407,'Tracking Sheet'!B2169,'Production '!$F$4:$F$4407)</f>
        <v>3230621.3283604058</v>
      </c>
      <c r="I2169" s="76">
        <f ca="1">SUMIF('Production '!$C$4:$AI$4407,'Tracking Sheet'!B2169,'Production '!$V$4:$V$4407)</f>
        <v>-489.86487791182844</v>
      </c>
      <c r="J2169" s="76">
        <f ca="1">SUMIF('Production '!$C$4:$AI$4407,'Tracking Sheet'!B2169,'Production '!$AG$4:$AG$4407)</f>
        <v>0</v>
      </c>
    </row>
    <row r="2170" spans="2:10" x14ac:dyDescent="0.3">
      <c r="B2170" s="277">
        <f>'Production '!C2173</f>
        <v>48183</v>
      </c>
      <c r="C2170" s="76">
        <f ca="1">SUMIF('Production '!$C$4:$AI$4407,'Tracking Sheet'!B2170,'Production '!$M$4:$M$4407)</f>
        <v>499</v>
      </c>
      <c r="D2170" s="76">
        <f ca="1">SUMIF('Production '!$C$4:$AI$4407,'Tracking Sheet'!B2170,'Production '!$Q$4:$Q$4407)</f>
        <v>499</v>
      </c>
      <c r="E2170" s="76">
        <f ca="1">SUMIF('Production '!$C$4:$AI$4407,'Tracking Sheet'!B2170,'Production '!$S$4:$S$4407)</f>
        <v>499</v>
      </c>
      <c r="F2170" s="76">
        <f ca="1">SUMIF('Production '!$C$4:$AI$4407,'Tracking Sheet'!B2170,'Production '!$U$4:$U$4407)</f>
        <v>1</v>
      </c>
      <c r="G2170" s="76">
        <f ca="1">SUMIF('Production '!$C$4:$AI$4407,'Tracking Sheet'!B2170,'Production '!$W$4:$W$4407)</f>
        <v>498</v>
      </c>
      <c r="H2170" s="76">
        <f ca="1">SUMIF('Production '!$C$4:$AI$4407,'Tracking Sheet'!B2170,'Production '!$F$4:$F$4407)</f>
        <v>480</v>
      </c>
      <c r="I2170" s="76">
        <f ca="1">SUMIF('Production '!$C$4:$AI$4407,'Tracking Sheet'!B2170,'Production '!$V$4:$V$4407)</f>
        <v>0</v>
      </c>
      <c r="J2170" s="76">
        <f ca="1">SUMIF('Production '!$C$4:$AI$4407,'Tracking Sheet'!B2170,'Production '!$AG$4:$AG$4407)</f>
        <v>0</v>
      </c>
    </row>
    <row r="2171" spans="2:10" x14ac:dyDescent="0.3">
      <c r="B2171" s="277">
        <f>'Production '!C2174</f>
        <v>0</v>
      </c>
      <c r="C2171" s="76" t="e">
        <f ca="1">SUMIF('Production '!$C$4:$AI$4407,'Tracking Sheet'!B2171,'Production '!$M$4:$M$4407)</f>
        <v>#DIV/0!</v>
      </c>
      <c r="D2171" s="76" t="e">
        <f ca="1">SUMIF('Production '!$C$4:$AI$4407,'Tracking Sheet'!B2171,'Production '!$Q$4:$Q$4407)</f>
        <v>#DIV/0!</v>
      </c>
      <c r="E2171" s="76">
        <f ca="1">SUMIF('Production '!$C$4:$AI$4407,'Tracking Sheet'!B2171,'Production '!$S$4:$S$4407)</f>
        <v>-1268218.9828305368</v>
      </c>
      <c r="F2171" s="76">
        <f ca="1">SUMIF('Production '!$C$4:$AI$4407,'Tracking Sheet'!B2171,'Production '!$U$4:$U$4407)</f>
        <v>-10620.435600016917</v>
      </c>
      <c r="G2171" s="76" t="e">
        <f ca="1">SUMIF('Production '!$C$4:$AI$4407,'Tracking Sheet'!B2171,'Production '!$W$4:$W$4407)</f>
        <v>#DIV/0!</v>
      </c>
      <c r="H2171" s="76">
        <f ca="1">SUMIF('Production '!$C$4:$AI$4407,'Tracking Sheet'!B2171,'Production '!$F$4:$F$4407)</f>
        <v>3230621.3283604058</v>
      </c>
      <c r="I2171" s="76">
        <f ca="1">SUMIF('Production '!$C$4:$AI$4407,'Tracking Sheet'!B2171,'Production '!$V$4:$V$4407)</f>
        <v>-489.86487791182844</v>
      </c>
      <c r="J2171" s="76">
        <f ca="1">SUMIF('Production '!$C$4:$AI$4407,'Tracking Sheet'!B2171,'Production '!$AG$4:$AG$4407)</f>
        <v>0</v>
      </c>
    </row>
    <row r="2172" spans="2:10" x14ac:dyDescent="0.3">
      <c r="B2172" s="277">
        <f>'Production '!C2175</f>
        <v>47637</v>
      </c>
      <c r="C2172" s="76">
        <f ca="1">SUMIF('Production '!$C$4:$AI$4407,'Tracking Sheet'!B2172,'Production '!$M$4:$M$4407)</f>
        <v>575</v>
      </c>
      <c r="D2172" s="76">
        <f ca="1">SUMIF('Production '!$C$4:$AI$4407,'Tracking Sheet'!B2172,'Production '!$Q$4:$Q$4407)</f>
        <v>575</v>
      </c>
      <c r="E2172" s="76">
        <f ca="1">SUMIF('Production '!$C$4:$AI$4407,'Tracking Sheet'!B2172,'Production '!$S$4:$S$4407)</f>
        <v>575</v>
      </c>
      <c r="F2172" s="76">
        <f ca="1">SUMIF('Production '!$C$4:$AI$4407,'Tracking Sheet'!B2172,'Production '!$U$4:$U$4407)</f>
        <v>4</v>
      </c>
      <c r="G2172" s="76">
        <f ca="1">SUMIF('Production '!$C$4:$AI$4407,'Tracking Sheet'!B2172,'Production '!$W$4:$W$4407)</f>
        <v>571</v>
      </c>
      <c r="H2172" s="76">
        <f ca="1">SUMIF('Production '!$C$4:$AI$4407,'Tracking Sheet'!B2172,'Production '!$F$4:$F$4407)</f>
        <v>530</v>
      </c>
      <c r="I2172" s="76">
        <f ca="1">SUMIF('Production '!$C$4:$AI$4407,'Tracking Sheet'!B2172,'Production '!$V$4:$V$4407)</f>
        <v>0</v>
      </c>
      <c r="J2172" s="76">
        <f ca="1">SUMIF('Production '!$C$4:$AI$4407,'Tracking Sheet'!B2172,'Production '!$AG$4:$AG$4407)</f>
        <v>0</v>
      </c>
    </row>
    <row r="2173" spans="2:10" x14ac:dyDescent="0.3">
      <c r="B2173" s="277">
        <f>'Production '!C2176</f>
        <v>0</v>
      </c>
      <c r="C2173" s="76" t="e">
        <f ca="1">SUMIF('Production '!$C$4:$AI$4407,'Tracking Sheet'!B2173,'Production '!$M$4:$M$4407)</f>
        <v>#DIV/0!</v>
      </c>
      <c r="D2173" s="76" t="e">
        <f ca="1">SUMIF('Production '!$C$4:$AI$4407,'Tracking Sheet'!B2173,'Production '!$Q$4:$Q$4407)</f>
        <v>#DIV/0!</v>
      </c>
      <c r="E2173" s="76">
        <f ca="1">SUMIF('Production '!$C$4:$AI$4407,'Tracking Sheet'!B2173,'Production '!$S$4:$S$4407)</f>
        <v>-1268218.9828305368</v>
      </c>
      <c r="F2173" s="76">
        <f ca="1">SUMIF('Production '!$C$4:$AI$4407,'Tracking Sheet'!B2173,'Production '!$U$4:$U$4407)</f>
        <v>-10620.435600016917</v>
      </c>
      <c r="G2173" s="76" t="e">
        <f ca="1">SUMIF('Production '!$C$4:$AI$4407,'Tracking Sheet'!B2173,'Production '!$W$4:$W$4407)</f>
        <v>#DIV/0!</v>
      </c>
      <c r="H2173" s="76">
        <f ca="1">SUMIF('Production '!$C$4:$AI$4407,'Tracking Sheet'!B2173,'Production '!$F$4:$F$4407)</f>
        <v>3230621.3283604058</v>
      </c>
      <c r="I2173" s="76">
        <f ca="1">SUMIF('Production '!$C$4:$AI$4407,'Tracking Sheet'!B2173,'Production '!$V$4:$V$4407)</f>
        <v>-489.86487791182844</v>
      </c>
      <c r="J2173" s="76">
        <f ca="1">SUMIF('Production '!$C$4:$AI$4407,'Tracking Sheet'!B2173,'Production '!$AG$4:$AG$4407)</f>
        <v>0</v>
      </c>
    </row>
    <row r="2174" spans="2:10" x14ac:dyDescent="0.3">
      <c r="B2174" s="277">
        <f>'Production '!C2177</f>
        <v>47976</v>
      </c>
      <c r="C2174" s="76">
        <f ca="1">SUMIF('Production '!$C$4:$AI$4407,'Tracking Sheet'!B2174,'Production '!$M$4:$M$4407)</f>
        <v>2478</v>
      </c>
      <c r="D2174" s="76">
        <f ca="1">SUMIF('Production '!$C$4:$AI$4407,'Tracking Sheet'!B2174,'Production '!$Q$4:$Q$4407)</f>
        <v>0</v>
      </c>
      <c r="E2174" s="76">
        <f ca="1">SUMIF('Production '!$C$4:$AI$4407,'Tracking Sheet'!B2174,'Production '!$S$4:$S$4407)</f>
        <v>0</v>
      </c>
      <c r="F2174" s="76">
        <f ca="1">SUMIF('Production '!$C$4:$AI$4407,'Tracking Sheet'!B2174,'Production '!$U$4:$U$4407)</f>
        <v>0</v>
      </c>
      <c r="G2174" s="76">
        <f ca="1">SUMIF('Production '!$C$4:$AI$4407,'Tracking Sheet'!B2174,'Production '!$W$4:$W$4407)</f>
        <v>2478</v>
      </c>
      <c r="H2174" s="76">
        <f ca="1">SUMIF('Production '!$C$4:$AI$4407,'Tracking Sheet'!B2174,'Production '!$F$4:$F$4407)</f>
        <v>2430</v>
      </c>
      <c r="I2174" s="76">
        <f ca="1">SUMIF('Production '!$C$4:$AI$4407,'Tracking Sheet'!B2174,'Production '!$V$4:$V$4407)</f>
        <v>0</v>
      </c>
      <c r="J2174" s="76">
        <f ca="1">SUMIF('Production '!$C$4:$AI$4407,'Tracking Sheet'!B2174,'Production '!$AG$4:$AG$4407)</f>
        <v>0</v>
      </c>
    </row>
    <row r="2175" spans="2:10" x14ac:dyDescent="0.3">
      <c r="B2175" s="277">
        <f>'Production '!C2178</f>
        <v>0</v>
      </c>
      <c r="C2175" s="76" t="e">
        <f ca="1">SUMIF('Production '!$C$4:$AI$4407,'Tracking Sheet'!B2175,'Production '!$M$4:$M$4407)</f>
        <v>#DIV/0!</v>
      </c>
      <c r="D2175" s="76" t="e">
        <f ca="1">SUMIF('Production '!$C$4:$AI$4407,'Tracking Sheet'!B2175,'Production '!$Q$4:$Q$4407)</f>
        <v>#DIV/0!</v>
      </c>
      <c r="E2175" s="76">
        <f ca="1">SUMIF('Production '!$C$4:$AI$4407,'Tracking Sheet'!B2175,'Production '!$S$4:$S$4407)</f>
        <v>-1268218.9828305368</v>
      </c>
      <c r="F2175" s="76">
        <f ca="1">SUMIF('Production '!$C$4:$AI$4407,'Tracking Sheet'!B2175,'Production '!$U$4:$U$4407)</f>
        <v>-10620.435600016917</v>
      </c>
      <c r="G2175" s="76" t="e">
        <f ca="1">SUMIF('Production '!$C$4:$AI$4407,'Tracking Sheet'!B2175,'Production '!$W$4:$W$4407)</f>
        <v>#DIV/0!</v>
      </c>
      <c r="H2175" s="76">
        <f ca="1">SUMIF('Production '!$C$4:$AI$4407,'Tracking Sheet'!B2175,'Production '!$F$4:$F$4407)</f>
        <v>3230621.3283604058</v>
      </c>
      <c r="I2175" s="76">
        <f ca="1">SUMIF('Production '!$C$4:$AI$4407,'Tracking Sheet'!B2175,'Production '!$V$4:$V$4407)</f>
        <v>-489.86487791182844</v>
      </c>
      <c r="J2175" s="76">
        <f ca="1">SUMIF('Production '!$C$4:$AI$4407,'Tracking Sheet'!B2175,'Production '!$AG$4:$AG$4407)</f>
        <v>0</v>
      </c>
    </row>
    <row r="2176" spans="2:10" x14ac:dyDescent="0.3">
      <c r="B2176" s="277">
        <f>'Production '!C2179</f>
        <v>48264</v>
      </c>
      <c r="C2176" s="76">
        <f ca="1">SUMIF('Production '!$C$4:$AI$4407,'Tracking Sheet'!B2176,'Production '!$M$4:$M$4407)</f>
        <v>524</v>
      </c>
      <c r="D2176" s="76">
        <f ca="1">SUMIF('Production '!$C$4:$AI$4407,'Tracking Sheet'!B2176,'Production '!$Q$4:$Q$4407)</f>
        <v>524</v>
      </c>
      <c r="E2176" s="76">
        <f ca="1">SUMIF('Production '!$C$4:$AI$4407,'Tracking Sheet'!B2176,'Production '!$S$4:$S$4407)</f>
        <v>524</v>
      </c>
      <c r="F2176" s="76">
        <f ca="1">SUMIF('Production '!$C$4:$AI$4407,'Tracking Sheet'!B2176,'Production '!$U$4:$U$4407)</f>
        <v>0</v>
      </c>
      <c r="G2176" s="76">
        <f ca="1">SUMIF('Production '!$C$4:$AI$4407,'Tracking Sheet'!B2176,'Production '!$W$4:$W$4407)</f>
        <v>524</v>
      </c>
      <c r="H2176" s="76">
        <f ca="1">SUMIF('Production '!$C$4:$AI$4407,'Tracking Sheet'!B2176,'Production '!$F$4:$F$4407)</f>
        <v>504</v>
      </c>
      <c r="I2176" s="76">
        <f ca="1">SUMIF('Production '!$C$4:$AI$4407,'Tracking Sheet'!B2176,'Production '!$V$4:$V$4407)</f>
        <v>0</v>
      </c>
      <c r="J2176" s="76">
        <f ca="1">SUMIF('Production '!$C$4:$AI$4407,'Tracking Sheet'!B2176,'Production '!$AG$4:$AG$4407)</f>
        <v>0</v>
      </c>
    </row>
    <row r="2177" spans="2:10" x14ac:dyDescent="0.3">
      <c r="B2177" s="277">
        <f>'Production '!C2180</f>
        <v>0</v>
      </c>
      <c r="C2177" s="76" t="e">
        <f ca="1">SUMIF('Production '!$C$4:$AI$4407,'Tracking Sheet'!B2177,'Production '!$M$4:$M$4407)</f>
        <v>#DIV/0!</v>
      </c>
      <c r="D2177" s="76" t="e">
        <f ca="1">SUMIF('Production '!$C$4:$AI$4407,'Tracking Sheet'!B2177,'Production '!$Q$4:$Q$4407)</f>
        <v>#DIV/0!</v>
      </c>
      <c r="E2177" s="76">
        <f ca="1">SUMIF('Production '!$C$4:$AI$4407,'Tracking Sheet'!B2177,'Production '!$S$4:$S$4407)</f>
        <v>-1268218.9828305368</v>
      </c>
      <c r="F2177" s="76">
        <f ca="1">SUMIF('Production '!$C$4:$AI$4407,'Tracking Sheet'!B2177,'Production '!$U$4:$U$4407)</f>
        <v>-10620.435600016917</v>
      </c>
      <c r="G2177" s="76" t="e">
        <f ca="1">SUMIF('Production '!$C$4:$AI$4407,'Tracking Sheet'!B2177,'Production '!$W$4:$W$4407)</f>
        <v>#DIV/0!</v>
      </c>
      <c r="H2177" s="76">
        <f ca="1">SUMIF('Production '!$C$4:$AI$4407,'Tracking Sheet'!B2177,'Production '!$F$4:$F$4407)</f>
        <v>3230621.3283604058</v>
      </c>
      <c r="I2177" s="76">
        <f ca="1">SUMIF('Production '!$C$4:$AI$4407,'Tracking Sheet'!B2177,'Production '!$V$4:$V$4407)</f>
        <v>-489.86487791182844</v>
      </c>
      <c r="J2177" s="76">
        <f ca="1">SUMIF('Production '!$C$4:$AI$4407,'Tracking Sheet'!B2177,'Production '!$AG$4:$AG$4407)</f>
        <v>0</v>
      </c>
    </row>
    <row r="2178" spans="2:10" x14ac:dyDescent="0.3">
      <c r="B2178" s="277">
        <f>'Production '!C2181</f>
        <v>48335</v>
      </c>
      <c r="C2178" s="76">
        <f ca="1">SUMIF('Production '!$C$4:$AI$4407,'Tracking Sheet'!B2178,'Production '!$M$4:$M$4407)</f>
        <v>830</v>
      </c>
      <c r="D2178" s="76">
        <f ca="1">SUMIF('Production '!$C$4:$AI$4407,'Tracking Sheet'!B2178,'Production '!$Q$4:$Q$4407)</f>
        <v>830</v>
      </c>
      <c r="E2178" s="76">
        <f ca="1">SUMIF('Production '!$C$4:$AI$4407,'Tracking Sheet'!B2178,'Production '!$S$4:$S$4407)</f>
        <v>830</v>
      </c>
      <c r="F2178" s="76">
        <f ca="1">SUMIF('Production '!$C$4:$AI$4407,'Tracking Sheet'!B2178,'Production '!$U$4:$U$4407)</f>
        <v>0</v>
      </c>
      <c r="G2178" s="76">
        <f ca="1">SUMIF('Production '!$C$4:$AI$4407,'Tracking Sheet'!B2178,'Production '!$W$4:$W$4407)</f>
        <v>830</v>
      </c>
      <c r="H2178" s="76">
        <f ca="1">SUMIF('Production '!$C$4:$AI$4407,'Tracking Sheet'!B2178,'Production '!$F$4:$F$4407)</f>
        <v>810</v>
      </c>
      <c r="I2178" s="76">
        <f ca="1">SUMIF('Production '!$C$4:$AI$4407,'Tracking Sheet'!B2178,'Production '!$V$4:$V$4407)</f>
        <v>0</v>
      </c>
      <c r="J2178" s="76">
        <f ca="1">SUMIF('Production '!$C$4:$AI$4407,'Tracking Sheet'!B2178,'Production '!$AG$4:$AG$4407)</f>
        <v>0</v>
      </c>
    </row>
    <row r="2179" spans="2:10" x14ac:dyDescent="0.3">
      <c r="B2179" s="277">
        <f>'Production '!C2182</f>
        <v>0</v>
      </c>
      <c r="C2179" s="76" t="e">
        <f ca="1">SUMIF('Production '!$C$4:$AI$4407,'Tracking Sheet'!B2179,'Production '!$M$4:$M$4407)</f>
        <v>#DIV/0!</v>
      </c>
      <c r="D2179" s="76" t="e">
        <f ca="1">SUMIF('Production '!$C$4:$AI$4407,'Tracking Sheet'!B2179,'Production '!$Q$4:$Q$4407)</f>
        <v>#DIV/0!</v>
      </c>
      <c r="E2179" s="76">
        <f ca="1">SUMIF('Production '!$C$4:$AI$4407,'Tracking Sheet'!B2179,'Production '!$S$4:$S$4407)</f>
        <v>-1268218.9828305368</v>
      </c>
      <c r="F2179" s="76">
        <f ca="1">SUMIF('Production '!$C$4:$AI$4407,'Tracking Sheet'!B2179,'Production '!$U$4:$U$4407)</f>
        <v>-10620.435600016917</v>
      </c>
      <c r="G2179" s="76" t="e">
        <f ca="1">SUMIF('Production '!$C$4:$AI$4407,'Tracking Sheet'!B2179,'Production '!$W$4:$W$4407)</f>
        <v>#DIV/0!</v>
      </c>
      <c r="H2179" s="76">
        <f ca="1">SUMIF('Production '!$C$4:$AI$4407,'Tracking Sheet'!B2179,'Production '!$F$4:$F$4407)</f>
        <v>3230621.3283604058</v>
      </c>
      <c r="I2179" s="76">
        <f ca="1">SUMIF('Production '!$C$4:$AI$4407,'Tracking Sheet'!B2179,'Production '!$V$4:$V$4407)</f>
        <v>-489.86487791182844</v>
      </c>
      <c r="J2179" s="76">
        <f ca="1">SUMIF('Production '!$C$4:$AI$4407,'Tracking Sheet'!B2179,'Production '!$AG$4:$AG$4407)</f>
        <v>0</v>
      </c>
    </row>
    <row r="2180" spans="2:10" x14ac:dyDescent="0.3">
      <c r="B2180" s="277">
        <f>'Production '!C2183</f>
        <v>48239</v>
      </c>
      <c r="C2180" s="76">
        <f ca="1">SUMIF('Production '!$C$4:$AI$4407,'Tracking Sheet'!B2180,'Production '!$M$4:$M$4407)</f>
        <v>0</v>
      </c>
      <c r="D2180" s="76">
        <f ca="1">SUMIF('Production '!$C$4:$AI$4407,'Tracking Sheet'!B2180,'Production '!$Q$4:$Q$4407)</f>
        <v>0</v>
      </c>
      <c r="E2180" s="76">
        <f ca="1">SUMIF('Production '!$C$4:$AI$4407,'Tracking Sheet'!B2180,'Production '!$S$4:$S$4407)</f>
        <v>0</v>
      </c>
      <c r="F2180" s="76">
        <f ca="1">SUMIF('Production '!$C$4:$AI$4407,'Tracking Sheet'!B2180,'Production '!$U$4:$U$4407)</f>
        <v>0</v>
      </c>
      <c r="G2180" s="76">
        <f ca="1">SUMIF('Production '!$C$4:$AI$4407,'Tracking Sheet'!B2180,'Production '!$W$4:$W$4407)</f>
        <v>0</v>
      </c>
      <c r="H2180" s="76">
        <f ca="1">SUMIF('Production '!$C$4:$AI$4407,'Tracking Sheet'!B2180,'Production '!$F$4:$F$4407)</f>
        <v>508</v>
      </c>
      <c r="I2180" s="76">
        <f ca="1">SUMIF('Production '!$C$4:$AI$4407,'Tracking Sheet'!B2180,'Production '!$V$4:$V$4407)</f>
        <v>0</v>
      </c>
      <c r="J2180" s="76">
        <f ca="1">SUMIF('Production '!$C$4:$AI$4407,'Tracking Sheet'!B2180,'Production '!$AG$4:$AG$4407)</f>
        <v>-508</v>
      </c>
    </row>
    <row r="2181" spans="2:10" x14ac:dyDescent="0.3">
      <c r="B2181" s="277">
        <f>'Production '!C2184</f>
        <v>0</v>
      </c>
      <c r="C2181" s="76" t="e">
        <f ca="1">SUMIF('Production '!$C$4:$AI$4407,'Tracking Sheet'!B2181,'Production '!$M$4:$M$4407)</f>
        <v>#DIV/0!</v>
      </c>
      <c r="D2181" s="76" t="e">
        <f ca="1">SUMIF('Production '!$C$4:$AI$4407,'Tracking Sheet'!B2181,'Production '!$Q$4:$Q$4407)</f>
        <v>#DIV/0!</v>
      </c>
      <c r="E2181" s="76">
        <f ca="1">SUMIF('Production '!$C$4:$AI$4407,'Tracking Sheet'!B2181,'Production '!$S$4:$S$4407)</f>
        <v>-1268218.9828305368</v>
      </c>
      <c r="F2181" s="76">
        <f ca="1">SUMIF('Production '!$C$4:$AI$4407,'Tracking Sheet'!B2181,'Production '!$U$4:$U$4407)</f>
        <v>-10620.435600016917</v>
      </c>
      <c r="G2181" s="76" t="e">
        <f ca="1">SUMIF('Production '!$C$4:$AI$4407,'Tracking Sheet'!B2181,'Production '!$W$4:$W$4407)</f>
        <v>#DIV/0!</v>
      </c>
      <c r="H2181" s="76">
        <f ca="1">SUMIF('Production '!$C$4:$AI$4407,'Tracking Sheet'!B2181,'Production '!$F$4:$F$4407)</f>
        <v>3230621.3283604058</v>
      </c>
      <c r="I2181" s="76">
        <f ca="1">SUMIF('Production '!$C$4:$AI$4407,'Tracking Sheet'!B2181,'Production '!$V$4:$V$4407)</f>
        <v>-489.86487791182844</v>
      </c>
      <c r="J2181" s="76">
        <f ca="1">SUMIF('Production '!$C$4:$AI$4407,'Tracking Sheet'!B2181,'Production '!$AG$4:$AG$4407)</f>
        <v>0</v>
      </c>
    </row>
    <row r="2182" spans="2:10" x14ac:dyDescent="0.3">
      <c r="B2182" s="277" t="str">
        <f>'Production '!C2185</f>
        <v>41875 16th</v>
      </c>
      <c r="C2182" s="76">
        <f ca="1">SUMIF('Production '!$C$4:$AI$4407,'Tracking Sheet'!B2182,'Production '!$M$4:$M$4407)</f>
        <v>1554</v>
      </c>
      <c r="D2182" s="76">
        <f ca="1">SUMIF('Production '!$C$4:$AI$4407,'Tracking Sheet'!B2182,'Production '!$Q$4:$Q$4407)</f>
        <v>1554</v>
      </c>
      <c r="E2182" s="76">
        <f ca="1">SUMIF('Production '!$C$4:$AI$4407,'Tracking Sheet'!B2182,'Production '!$S$4:$S$4407)</f>
        <v>1554</v>
      </c>
      <c r="F2182" s="76">
        <f ca="1">SUMIF('Production '!$C$4:$AI$4407,'Tracking Sheet'!B2182,'Production '!$U$4:$U$4407)</f>
        <v>18</v>
      </c>
      <c r="G2182" s="76">
        <f ca="1">SUMIF('Production '!$C$4:$AI$4407,'Tracking Sheet'!B2182,'Production '!$W$4:$W$4407)</f>
        <v>1536</v>
      </c>
      <c r="H2182" s="76">
        <f ca="1">SUMIF('Production '!$C$4:$AI$4407,'Tracking Sheet'!B2182,'Production '!$F$4:$F$4407)</f>
        <v>1520</v>
      </c>
      <c r="I2182" s="76">
        <f ca="1">SUMIF('Production '!$C$4:$AI$4407,'Tracking Sheet'!B2182,'Production '!$V$4:$V$4407)</f>
        <v>0</v>
      </c>
      <c r="J2182" s="76">
        <f ca="1">SUMIF('Production '!$C$4:$AI$4407,'Tracking Sheet'!B2182,'Production '!$AG$4:$AG$4407)</f>
        <v>0</v>
      </c>
    </row>
    <row r="2183" spans="2:10" x14ac:dyDescent="0.3">
      <c r="B2183" s="277">
        <f>'Production '!C2186</f>
        <v>0</v>
      </c>
      <c r="C2183" s="76" t="e">
        <f ca="1">SUMIF('Production '!$C$4:$AI$4407,'Tracking Sheet'!B2183,'Production '!$M$4:$M$4407)</f>
        <v>#DIV/0!</v>
      </c>
      <c r="D2183" s="76" t="e">
        <f ca="1">SUMIF('Production '!$C$4:$AI$4407,'Tracking Sheet'!B2183,'Production '!$Q$4:$Q$4407)</f>
        <v>#DIV/0!</v>
      </c>
      <c r="E2183" s="76">
        <f ca="1">SUMIF('Production '!$C$4:$AI$4407,'Tracking Sheet'!B2183,'Production '!$S$4:$S$4407)</f>
        <v>-1268218.9828305368</v>
      </c>
      <c r="F2183" s="76">
        <f ca="1">SUMIF('Production '!$C$4:$AI$4407,'Tracking Sheet'!B2183,'Production '!$U$4:$U$4407)</f>
        <v>-10620.435600016917</v>
      </c>
      <c r="G2183" s="76" t="e">
        <f ca="1">SUMIF('Production '!$C$4:$AI$4407,'Tracking Sheet'!B2183,'Production '!$W$4:$W$4407)</f>
        <v>#DIV/0!</v>
      </c>
      <c r="H2183" s="76">
        <f ca="1">SUMIF('Production '!$C$4:$AI$4407,'Tracking Sheet'!B2183,'Production '!$F$4:$F$4407)</f>
        <v>3230621.3283604058</v>
      </c>
      <c r="I2183" s="76">
        <f ca="1">SUMIF('Production '!$C$4:$AI$4407,'Tracking Sheet'!B2183,'Production '!$V$4:$V$4407)</f>
        <v>-489.86487791182844</v>
      </c>
      <c r="J2183" s="76">
        <f ca="1">SUMIF('Production '!$C$4:$AI$4407,'Tracking Sheet'!B2183,'Production '!$AG$4:$AG$4407)</f>
        <v>0</v>
      </c>
    </row>
    <row r="2184" spans="2:10" x14ac:dyDescent="0.3">
      <c r="B2184" s="277" t="str">
        <f>'Production '!C2187</f>
        <v>41875 17th</v>
      </c>
      <c r="C2184" s="76">
        <f ca="1">SUMIF('Production '!$C$4:$AI$4407,'Tracking Sheet'!B2184,'Production '!$M$4:$M$4407)</f>
        <v>588</v>
      </c>
      <c r="D2184" s="76">
        <f ca="1">SUMIF('Production '!$C$4:$AI$4407,'Tracking Sheet'!B2184,'Production '!$Q$4:$Q$4407)</f>
        <v>0</v>
      </c>
      <c r="E2184" s="76">
        <f ca="1">SUMIF('Production '!$C$4:$AI$4407,'Tracking Sheet'!B2184,'Production '!$S$4:$S$4407)</f>
        <v>0</v>
      </c>
      <c r="F2184" s="76">
        <f ca="1">SUMIF('Production '!$C$4:$AI$4407,'Tracking Sheet'!B2184,'Production '!$U$4:$U$4407)</f>
        <v>588</v>
      </c>
      <c r="G2184" s="76">
        <f ca="1">SUMIF('Production '!$C$4:$AI$4407,'Tracking Sheet'!B2184,'Production '!$W$4:$W$4407)</f>
        <v>0</v>
      </c>
      <c r="H2184" s="76">
        <f ca="1">SUMIF('Production '!$C$4:$AI$4407,'Tracking Sheet'!B2184,'Production '!$F$4:$F$4407)</f>
        <v>576</v>
      </c>
      <c r="I2184" s="76">
        <f ca="1">SUMIF('Production '!$C$4:$AI$4407,'Tracking Sheet'!B2184,'Production '!$V$4:$V$4407)</f>
        <v>0</v>
      </c>
      <c r="J2184" s="76">
        <f ca="1">SUMIF('Production '!$C$4:$AI$4407,'Tracking Sheet'!B2184,'Production '!$AG$4:$AG$4407)</f>
        <v>0</v>
      </c>
    </row>
    <row r="2185" spans="2:10" x14ac:dyDescent="0.3">
      <c r="B2185" s="277">
        <f>'Production '!C2188</f>
        <v>0</v>
      </c>
      <c r="C2185" s="76" t="e">
        <f ca="1">SUMIF('Production '!$C$4:$AI$4407,'Tracking Sheet'!B2185,'Production '!$M$4:$M$4407)</f>
        <v>#DIV/0!</v>
      </c>
      <c r="D2185" s="76" t="e">
        <f ca="1">SUMIF('Production '!$C$4:$AI$4407,'Tracking Sheet'!B2185,'Production '!$Q$4:$Q$4407)</f>
        <v>#DIV/0!</v>
      </c>
      <c r="E2185" s="76">
        <f ca="1">SUMIF('Production '!$C$4:$AI$4407,'Tracking Sheet'!B2185,'Production '!$S$4:$S$4407)</f>
        <v>-1268218.9828305368</v>
      </c>
      <c r="F2185" s="76">
        <f ca="1">SUMIF('Production '!$C$4:$AI$4407,'Tracking Sheet'!B2185,'Production '!$U$4:$U$4407)</f>
        <v>-10620.435600016917</v>
      </c>
      <c r="G2185" s="76" t="e">
        <f ca="1">SUMIF('Production '!$C$4:$AI$4407,'Tracking Sheet'!B2185,'Production '!$W$4:$W$4407)</f>
        <v>#DIV/0!</v>
      </c>
      <c r="H2185" s="76">
        <f ca="1">SUMIF('Production '!$C$4:$AI$4407,'Tracking Sheet'!B2185,'Production '!$F$4:$F$4407)</f>
        <v>3230621.3283604058</v>
      </c>
      <c r="I2185" s="76">
        <f ca="1">SUMIF('Production '!$C$4:$AI$4407,'Tracking Sheet'!B2185,'Production '!$V$4:$V$4407)</f>
        <v>-489.86487791182844</v>
      </c>
      <c r="J2185" s="76">
        <f ca="1">SUMIF('Production '!$C$4:$AI$4407,'Tracking Sheet'!B2185,'Production '!$AG$4:$AG$4407)</f>
        <v>0</v>
      </c>
    </row>
    <row r="2186" spans="2:10" x14ac:dyDescent="0.3">
      <c r="B2186" s="277" t="str">
        <f>'Production '!C2189</f>
        <v>30530 5th</v>
      </c>
      <c r="C2186" s="76">
        <f ca="1">SUMIF('Production '!$C$4:$AI$4407,'Tracking Sheet'!B2186,'Production '!$M$4:$M$4407)</f>
        <v>0</v>
      </c>
      <c r="D2186" s="76">
        <f ca="1">SUMIF('Production '!$C$4:$AI$4407,'Tracking Sheet'!B2186,'Production '!$Q$4:$Q$4407)</f>
        <v>0</v>
      </c>
      <c r="E2186" s="76">
        <f ca="1">SUMIF('Production '!$C$4:$AI$4407,'Tracking Sheet'!B2186,'Production '!$S$4:$S$4407)</f>
        <v>0</v>
      </c>
      <c r="F2186" s="76">
        <f ca="1">SUMIF('Production '!$C$4:$AI$4407,'Tracking Sheet'!B2186,'Production '!$U$4:$U$4407)</f>
        <v>0</v>
      </c>
      <c r="G2186" s="76">
        <f ca="1">SUMIF('Production '!$C$4:$AI$4407,'Tracking Sheet'!B2186,'Production '!$W$4:$W$4407)</f>
        <v>0</v>
      </c>
      <c r="H2186" s="76">
        <f ca="1">SUMIF('Production '!$C$4:$AI$4407,'Tracking Sheet'!B2186,'Production '!$F$4:$F$4407)</f>
        <v>1716</v>
      </c>
      <c r="I2186" s="76">
        <f ca="1">SUMIF('Production '!$C$4:$AI$4407,'Tracking Sheet'!B2186,'Production '!$V$4:$V$4407)</f>
        <v>0</v>
      </c>
      <c r="J2186" s="76">
        <f ca="1">SUMIF('Production '!$C$4:$AI$4407,'Tracking Sheet'!B2186,'Production '!$AG$4:$AG$4407)</f>
        <v>-1716</v>
      </c>
    </row>
    <row r="2187" spans="2:10" x14ac:dyDescent="0.3">
      <c r="B2187" s="277">
        <f>'Production '!C2190</f>
        <v>0</v>
      </c>
      <c r="C2187" s="76" t="e">
        <f ca="1">SUMIF('Production '!$C$4:$AI$4407,'Tracking Sheet'!B2187,'Production '!$M$4:$M$4407)</f>
        <v>#DIV/0!</v>
      </c>
      <c r="D2187" s="76" t="e">
        <f ca="1">SUMIF('Production '!$C$4:$AI$4407,'Tracking Sheet'!B2187,'Production '!$Q$4:$Q$4407)</f>
        <v>#DIV/0!</v>
      </c>
      <c r="E2187" s="76">
        <f ca="1">SUMIF('Production '!$C$4:$AI$4407,'Tracking Sheet'!B2187,'Production '!$S$4:$S$4407)</f>
        <v>-1268218.9828305368</v>
      </c>
      <c r="F2187" s="76">
        <f ca="1">SUMIF('Production '!$C$4:$AI$4407,'Tracking Sheet'!B2187,'Production '!$U$4:$U$4407)</f>
        <v>-10620.435600016917</v>
      </c>
      <c r="G2187" s="76" t="e">
        <f ca="1">SUMIF('Production '!$C$4:$AI$4407,'Tracking Sheet'!B2187,'Production '!$W$4:$W$4407)</f>
        <v>#DIV/0!</v>
      </c>
      <c r="H2187" s="76">
        <f ca="1">SUMIF('Production '!$C$4:$AI$4407,'Tracking Sheet'!B2187,'Production '!$F$4:$F$4407)</f>
        <v>3230621.3283604058</v>
      </c>
      <c r="I2187" s="76">
        <f ca="1">SUMIF('Production '!$C$4:$AI$4407,'Tracking Sheet'!B2187,'Production '!$V$4:$V$4407)</f>
        <v>-489.86487791182844</v>
      </c>
      <c r="J2187" s="76">
        <f ca="1">SUMIF('Production '!$C$4:$AI$4407,'Tracking Sheet'!B2187,'Production '!$AG$4:$AG$4407)</f>
        <v>0</v>
      </c>
    </row>
    <row r="2188" spans="2:10" x14ac:dyDescent="0.3">
      <c r="B2188" s="277" t="str">
        <f>'Production '!C2191</f>
        <v>41873 12th</v>
      </c>
      <c r="C2188" s="76">
        <f ca="1">SUMIF('Production '!$C$4:$AI$4407,'Tracking Sheet'!B2188,'Production '!$M$4:$M$4407)</f>
        <v>1562</v>
      </c>
      <c r="D2188" s="76">
        <f ca="1">SUMIF('Production '!$C$4:$AI$4407,'Tracking Sheet'!B2188,'Production '!$Q$4:$Q$4407)</f>
        <v>1562</v>
      </c>
      <c r="E2188" s="76">
        <f ca="1">SUMIF('Production '!$C$4:$AI$4407,'Tracking Sheet'!B2188,'Production '!$S$4:$S$4407)</f>
        <v>1553</v>
      </c>
      <c r="F2188" s="76">
        <f ca="1">SUMIF('Production '!$C$4:$AI$4407,'Tracking Sheet'!B2188,'Production '!$U$4:$U$4407)</f>
        <v>0</v>
      </c>
      <c r="G2188" s="76">
        <f ca="1">SUMIF('Production '!$C$4:$AI$4407,'Tracking Sheet'!B2188,'Production '!$W$4:$W$4407)</f>
        <v>1553</v>
      </c>
      <c r="H2188" s="76">
        <f ca="1">SUMIF('Production '!$C$4:$AI$4407,'Tracking Sheet'!B2188,'Production '!$F$4:$F$4407)</f>
        <v>1520</v>
      </c>
      <c r="I2188" s="76">
        <f ca="1">SUMIF('Production '!$C$4:$AI$4407,'Tracking Sheet'!B2188,'Production '!$V$4:$V$4407)</f>
        <v>0</v>
      </c>
      <c r="J2188" s="76">
        <f ca="1">SUMIF('Production '!$C$4:$AI$4407,'Tracking Sheet'!B2188,'Production '!$AG$4:$AG$4407)</f>
        <v>0</v>
      </c>
    </row>
    <row r="2189" spans="2:10" x14ac:dyDescent="0.3">
      <c r="B2189" s="277">
        <f>'Production '!C2192</f>
        <v>0</v>
      </c>
      <c r="C2189" s="76" t="e">
        <f ca="1">SUMIF('Production '!$C$4:$AI$4407,'Tracking Sheet'!B2189,'Production '!$M$4:$M$4407)</f>
        <v>#DIV/0!</v>
      </c>
      <c r="D2189" s="76" t="e">
        <f ca="1">SUMIF('Production '!$C$4:$AI$4407,'Tracking Sheet'!B2189,'Production '!$Q$4:$Q$4407)</f>
        <v>#DIV/0!</v>
      </c>
      <c r="E2189" s="76">
        <f ca="1">SUMIF('Production '!$C$4:$AI$4407,'Tracking Sheet'!B2189,'Production '!$S$4:$S$4407)</f>
        <v>-1268218.9828305368</v>
      </c>
      <c r="F2189" s="76">
        <f ca="1">SUMIF('Production '!$C$4:$AI$4407,'Tracking Sheet'!B2189,'Production '!$U$4:$U$4407)</f>
        <v>-10620.435600016917</v>
      </c>
      <c r="G2189" s="76" t="e">
        <f ca="1">SUMIF('Production '!$C$4:$AI$4407,'Tracking Sheet'!B2189,'Production '!$W$4:$W$4407)</f>
        <v>#DIV/0!</v>
      </c>
      <c r="H2189" s="76">
        <f ca="1">SUMIF('Production '!$C$4:$AI$4407,'Tracking Sheet'!B2189,'Production '!$F$4:$F$4407)</f>
        <v>3230621.3283604058</v>
      </c>
      <c r="I2189" s="76">
        <f ca="1">SUMIF('Production '!$C$4:$AI$4407,'Tracking Sheet'!B2189,'Production '!$V$4:$V$4407)</f>
        <v>-489.86487791182844</v>
      </c>
      <c r="J2189" s="76">
        <f ca="1">SUMIF('Production '!$C$4:$AI$4407,'Tracking Sheet'!B2189,'Production '!$AG$4:$AG$4407)</f>
        <v>0</v>
      </c>
    </row>
    <row r="2190" spans="2:10" x14ac:dyDescent="0.3">
      <c r="B2190" s="277" t="str">
        <f>'Production '!C2193</f>
        <v>41873 13th</v>
      </c>
      <c r="C2190" s="76">
        <f ca="1">SUMIF('Production '!$C$4:$AI$4407,'Tracking Sheet'!B2190,'Production '!$M$4:$M$4407)</f>
        <v>0</v>
      </c>
      <c r="D2190" s="76">
        <f ca="1">SUMIF('Production '!$C$4:$AI$4407,'Tracking Sheet'!B2190,'Production '!$Q$4:$Q$4407)</f>
        <v>0</v>
      </c>
      <c r="E2190" s="76">
        <f ca="1">SUMIF('Production '!$C$4:$AI$4407,'Tracking Sheet'!B2190,'Production '!$S$4:$S$4407)</f>
        <v>0</v>
      </c>
      <c r="F2190" s="76">
        <f ca="1">SUMIF('Production '!$C$4:$AI$4407,'Tracking Sheet'!B2190,'Production '!$U$4:$U$4407)</f>
        <v>0</v>
      </c>
      <c r="G2190" s="76">
        <f ca="1">SUMIF('Production '!$C$4:$AI$4407,'Tracking Sheet'!B2190,'Production '!$W$4:$W$4407)</f>
        <v>0</v>
      </c>
      <c r="H2190" s="76">
        <f ca="1">SUMIF('Production '!$C$4:$AI$4407,'Tracking Sheet'!B2190,'Production '!$F$4:$F$4407)</f>
        <v>848</v>
      </c>
      <c r="I2190" s="76">
        <f ca="1">SUMIF('Production '!$C$4:$AI$4407,'Tracking Sheet'!B2190,'Production '!$V$4:$V$4407)</f>
        <v>0</v>
      </c>
      <c r="J2190" s="76">
        <f ca="1">SUMIF('Production '!$C$4:$AI$4407,'Tracking Sheet'!B2190,'Production '!$AG$4:$AG$4407)</f>
        <v>-848</v>
      </c>
    </row>
    <row r="2191" spans="2:10" x14ac:dyDescent="0.3">
      <c r="B2191" s="277">
        <f>'Production '!C2194</f>
        <v>0</v>
      </c>
      <c r="C2191" s="76" t="e">
        <f ca="1">SUMIF('Production '!$C$4:$AI$4407,'Tracking Sheet'!B2191,'Production '!$M$4:$M$4407)</f>
        <v>#DIV/0!</v>
      </c>
      <c r="D2191" s="76" t="e">
        <f ca="1">SUMIF('Production '!$C$4:$AI$4407,'Tracking Sheet'!B2191,'Production '!$Q$4:$Q$4407)</f>
        <v>#DIV/0!</v>
      </c>
      <c r="E2191" s="76">
        <f ca="1">SUMIF('Production '!$C$4:$AI$4407,'Tracking Sheet'!B2191,'Production '!$S$4:$S$4407)</f>
        <v>-1268218.9828305368</v>
      </c>
      <c r="F2191" s="76">
        <f ca="1">SUMIF('Production '!$C$4:$AI$4407,'Tracking Sheet'!B2191,'Production '!$U$4:$U$4407)</f>
        <v>-10620.435600016917</v>
      </c>
      <c r="G2191" s="76" t="e">
        <f ca="1">SUMIF('Production '!$C$4:$AI$4407,'Tracking Sheet'!B2191,'Production '!$W$4:$W$4407)</f>
        <v>#DIV/0!</v>
      </c>
      <c r="H2191" s="76">
        <f ca="1">SUMIF('Production '!$C$4:$AI$4407,'Tracking Sheet'!B2191,'Production '!$F$4:$F$4407)</f>
        <v>3230621.3283604058</v>
      </c>
      <c r="I2191" s="76">
        <f ca="1">SUMIF('Production '!$C$4:$AI$4407,'Tracking Sheet'!B2191,'Production '!$V$4:$V$4407)</f>
        <v>-489.86487791182844</v>
      </c>
      <c r="J2191" s="76">
        <f ca="1">SUMIF('Production '!$C$4:$AI$4407,'Tracking Sheet'!B2191,'Production '!$AG$4:$AG$4407)</f>
        <v>0</v>
      </c>
    </row>
    <row r="2192" spans="2:10" x14ac:dyDescent="0.3">
      <c r="B2192" s="277">
        <f>'Production '!C2195</f>
        <v>48238</v>
      </c>
      <c r="C2192" s="76">
        <f ca="1">SUMIF('Production '!$C$4:$AI$4407,'Tracking Sheet'!B2192,'Production '!$M$4:$M$4407)</f>
        <v>533</v>
      </c>
      <c r="D2192" s="76">
        <f ca="1">SUMIF('Production '!$C$4:$AI$4407,'Tracking Sheet'!B2192,'Production '!$Q$4:$Q$4407)</f>
        <v>533</v>
      </c>
      <c r="E2192" s="76">
        <f ca="1">SUMIF('Production '!$C$4:$AI$4407,'Tracking Sheet'!B2192,'Production '!$S$4:$S$4407)</f>
        <v>0</v>
      </c>
      <c r="F2192" s="76">
        <f ca="1">SUMIF('Production '!$C$4:$AI$4407,'Tracking Sheet'!B2192,'Production '!$U$4:$U$4407)</f>
        <v>0</v>
      </c>
      <c r="G2192" s="76">
        <f ca="1">SUMIF('Production '!$C$4:$AI$4407,'Tracking Sheet'!B2192,'Production '!$W$4:$W$4407)</f>
        <v>0</v>
      </c>
      <c r="H2192" s="76">
        <f ca="1">SUMIF('Production '!$C$4:$AI$4407,'Tracking Sheet'!B2192,'Production '!$F$4:$F$4407)</f>
        <v>520</v>
      </c>
      <c r="I2192" s="76">
        <f ca="1">SUMIF('Production '!$C$4:$AI$4407,'Tracking Sheet'!B2192,'Production '!$V$4:$V$4407)</f>
        <v>0</v>
      </c>
      <c r="J2192" s="76">
        <f ca="1">SUMIF('Production '!$C$4:$AI$4407,'Tracking Sheet'!B2192,'Production '!$AG$4:$AG$4407)</f>
        <v>0</v>
      </c>
    </row>
    <row r="2193" spans="2:10" x14ac:dyDescent="0.3">
      <c r="B2193" s="277">
        <f>'Production '!C2196</f>
        <v>0</v>
      </c>
      <c r="C2193" s="76" t="e">
        <f ca="1">SUMIF('Production '!$C$4:$AI$4407,'Tracking Sheet'!B2193,'Production '!$M$4:$M$4407)</f>
        <v>#DIV/0!</v>
      </c>
      <c r="D2193" s="76" t="e">
        <f ca="1">SUMIF('Production '!$C$4:$AI$4407,'Tracking Sheet'!B2193,'Production '!$Q$4:$Q$4407)</f>
        <v>#DIV/0!</v>
      </c>
      <c r="E2193" s="76">
        <f ca="1">SUMIF('Production '!$C$4:$AI$4407,'Tracking Sheet'!B2193,'Production '!$S$4:$S$4407)</f>
        <v>-1268218.9828305368</v>
      </c>
      <c r="F2193" s="76">
        <f ca="1">SUMIF('Production '!$C$4:$AI$4407,'Tracking Sheet'!B2193,'Production '!$U$4:$U$4407)</f>
        <v>-10620.435600016917</v>
      </c>
      <c r="G2193" s="76" t="e">
        <f ca="1">SUMIF('Production '!$C$4:$AI$4407,'Tracking Sheet'!B2193,'Production '!$W$4:$W$4407)</f>
        <v>#DIV/0!</v>
      </c>
      <c r="H2193" s="76">
        <f ca="1">SUMIF('Production '!$C$4:$AI$4407,'Tracking Sheet'!B2193,'Production '!$F$4:$F$4407)</f>
        <v>3230621.3283604058</v>
      </c>
      <c r="I2193" s="76">
        <f ca="1">SUMIF('Production '!$C$4:$AI$4407,'Tracking Sheet'!B2193,'Production '!$V$4:$V$4407)</f>
        <v>-489.86487791182844</v>
      </c>
      <c r="J2193" s="76">
        <f ca="1">SUMIF('Production '!$C$4:$AI$4407,'Tracking Sheet'!B2193,'Production '!$AG$4:$AG$4407)</f>
        <v>0</v>
      </c>
    </row>
    <row r="2194" spans="2:10" x14ac:dyDescent="0.3">
      <c r="B2194" s="277" t="str">
        <f>'Production '!C2197</f>
        <v>45314 6th</v>
      </c>
      <c r="C2194" s="76">
        <f ca="1">SUMIF('Production '!$C$4:$AI$4407,'Tracking Sheet'!B2194,'Production '!$M$4:$M$4407)</f>
        <v>0</v>
      </c>
      <c r="D2194" s="76">
        <f ca="1">SUMIF('Production '!$C$4:$AI$4407,'Tracking Sheet'!B2194,'Production '!$Q$4:$Q$4407)</f>
        <v>0</v>
      </c>
      <c r="E2194" s="76">
        <f ca="1">SUMIF('Production '!$C$4:$AI$4407,'Tracking Sheet'!B2194,'Production '!$S$4:$S$4407)</f>
        <v>0</v>
      </c>
      <c r="F2194" s="76">
        <f ca="1">SUMIF('Production '!$C$4:$AI$4407,'Tracking Sheet'!B2194,'Production '!$U$4:$U$4407)</f>
        <v>0</v>
      </c>
      <c r="G2194" s="76">
        <f ca="1">SUMIF('Production '!$C$4:$AI$4407,'Tracking Sheet'!B2194,'Production '!$W$4:$W$4407)</f>
        <v>0</v>
      </c>
      <c r="H2194" s="76">
        <f ca="1">SUMIF('Production '!$C$4:$AI$4407,'Tracking Sheet'!B2194,'Production '!$F$4:$F$4407)</f>
        <v>305</v>
      </c>
      <c r="I2194" s="76">
        <f ca="1">SUMIF('Production '!$C$4:$AI$4407,'Tracking Sheet'!B2194,'Production '!$V$4:$V$4407)</f>
        <v>0</v>
      </c>
      <c r="J2194" s="76">
        <f ca="1">SUMIF('Production '!$C$4:$AI$4407,'Tracking Sheet'!B2194,'Production '!$AG$4:$AG$4407)</f>
        <v>-305</v>
      </c>
    </row>
    <row r="2195" spans="2:10" x14ac:dyDescent="0.3">
      <c r="B2195" s="277">
        <f>'Production '!C2198</f>
        <v>0</v>
      </c>
      <c r="C2195" s="76" t="e">
        <f ca="1">SUMIF('Production '!$C$4:$AI$4407,'Tracking Sheet'!B2195,'Production '!$M$4:$M$4407)</f>
        <v>#DIV/0!</v>
      </c>
      <c r="D2195" s="76" t="e">
        <f ca="1">SUMIF('Production '!$C$4:$AI$4407,'Tracking Sheet'!B2195,'Production '!$Q$4:$Q$4407)</f>
        <v>#DIV/0!</v>
      </c>
      <c r="E2195" s="76">
        <f ca="1">SUMIF('Production '!$C$4:$AI$4407,'Tracking Sheet'!B2195,'Production '!$S$4:$S$4407)</f>
        <v>-1268218.9828305368</v>
      </c>
      <c r="F2195" s="76">
        <f ca="1">SUMIF('Production '!$C$4:$AI$4407,'Tracking Sheet'!B2195,'Production '!$U$4:$U$4407)</f>
        <v>-10620.435600016917</v>
      </c>
      <c r="G2195" s="76" t="e">
        <f ca="1">SUMIF('Production '!$C$4:$AI$4407,'Tracking Sheet'!B2195,'Production '!$W$4:$W$4407)</f>
        <v>#DIV/0!</v>
      </c>
      <c r="H2195" s="76">
        <f ca="1">SUMIF('Production '!$C$4:$AI$4407,'Tracking Sheet'!B2195,'Production '!$F$4:$F$4407)</f>
        <v>3230621.3283604058</v>
      </c>
      <c r="I2195" s="76">
        <f ca="1">SUMIF('Production '!$C$4:$AI$4407,'Tracking Sheet'!B2195,'Production '!$V$4:$V$4407)</f>
        <v>-489.86487791182844</v>
      </c>
      <c r="J2195" s="76">
        <f ca="1">SUMIF('Production '!$C$4:$AI$4407,'Tracking Sheet'!B2195,'Production '!$AG$4:$AG$4407)</f>
        <v>0</v>
      </c>
    </row>
    <row r="2196" spans="2:10" x14ac:dyDescent="0.3">
      <c r="B2196" s="277" t="str">
        <f>'Production '!C2199</f>
        <v>47709 2nd</v>
      </c>
      <c r="C2196" s="76">
        <f ca="1">SUMIF('Production '!$C$4:$AI$4407,'Tracking Sheet'!B2196,'Production '!$M$4:$M$4407)</f>
        <v>1628</v>
      </c>
      <c r="D2196" s="76">
        <f ca="1">SUMIF('Production '!$C$4:$AI$4407,'Tracking Sheet'!B2196,'Production '!$Q$4:$Q$4407)</f>
        <v>0</v>
      </c>
      <c r="E2196" s="76">
        <f ca="1">SUMIF('Production '!$C$4:$AI$4407,'Tracking Sheet'!B2196,'Production '!$S$4:$S$4407)</f>
        <v>0</v>
      </c>
      <c r="F2196" s="76">
        <f ca="1">SUMIF('Production '!$C$4:$AI$4407,'Tracking Sheet'!B2196,'Production '!$U$4:$U$4407)</f>
        <v>0</v>
      </c>
      <c r="G2196" s="76">
        <f ca="1">SUMIF('Production '!$C$4:$AI$4407,'Tracking Sheet'!B2196,'Production '!$W$4:$W$4407)</f>
        <v>1628</v>
      </c>
      <c r="H2196" s="76">
        <f ca="1">SUMIF('Production '!$C$4:$AI$4407,'Tracking Sheet'!B2196,'Production '!$F$4:$F$4407)</f>
        <v>1612</v>
      </c>
      <c r="I2196" s="76">
        <f ca="1">SUMIF('Production '!$C$4:$AI$4407,'Tracking Sheet'!B2196,'Production '!$V$4:$V$4407)</f>
        <v>1628</v>
      </c>
      <c r="J2196" s="76">
        <f ca="1">SUMIF('Production '!$C$4:$AI$4407,'Tracking Sheet'!B2196,'Production '!$AG$4:$AG$4407)</f>
        <v>0</v>
      </c>
    </row>
    <row r="2197" spans="2:10" x14ac:dyDescent="0.3">
      <c r="B2197" s="277">
        <f>'Production '!C2200</f>
        <v>0</v>
      </c>
      <c r="C2197" s="76" t="e">
        <f ca="1">SUMIF('Production '!$C$4:$AI$4407,'Tracking Sheet'!B2197,'Production '!$M$4:$M$4407)</f>
        <v>#DIV/0!</v>
      </c>
      <c r="D2197" s="76" t="e">
        <f ca="1">SUMIF('Production '!$C$4:$AI$4407,'Tracking Sheet'!B2197,'Production '!$Q$4:$Q$4407)</f>
        <v>#DIV/0!</v>
      </c>
      <c r="E2197" s="76">
        <f ca="1">SUMIF('Production '!$C$4:$AI$4407,'Tracking Sheet'!B2197,'Production '!$S$4:$S$4407)</f>
        <v>-1268218.9828305368</v>
      </c>
      <c r="F2197" s="76">
        <f ca="1">SUMIF('Production '!$C$4:$AI$4407,'Tracking Sheet'!B2197,'Production '!$U$4:$U$4407)</f>
        <v>-10620.435600016917</v>
      </c>
      <c r="G2197" s="76" t="e">
        <f ca="1">SUMIF('Production '!$C$4:$AI$4407,'Tracking Sheet'!B2197,'Production '!$W$4:$W$4407)</f>
        <v>#DIV/0!</v>
      </c>
      <c r="H2197" s="76">
        <f ca="1">SUMIF('Production '!$C$4:$AI$4407,'Tracking Sheet'!B2197,'Production '!$F$4:$F$4407)</f>
        <v>3230621.3283604058</v>
      </c>
      <c r="I2197" s="76">
        <f ca="1">SUMIF('Production '!$C$4:$AI$4407,'Tracking Sheet'!B2197,'Production '!$V$4:$V$4407)</f>
        <v>-489.86487791182844</v>
      </c>
      <c r="J2197" s="76">
        <f ca="1">SUMIF('Production '!$C$4:$AI$4407,'Tracking Sheet'!B2197,'Production '!$AG$4:$AG$4407)</f>
        <v>0</v>
      </c>
    </row>
    <row r="2198" spans="2:10" x14ac:dyDescent="0.3">
      <c r="B2198" s="277" t="str">
        <f>'Production '!C2201</f>
        <v>44700 5th</v>
      </c>
      <c r="C2198" s="76">
        <f ca="1">SUMIF('Production '!$C$4:$AI$4407,'Tracking Sheet'!B2198,'Production '!$M$4:$M$4407)</f>
        <v>0</v>
      </c>
      <c r="D2198" s="76">
        <f ca="1">SUMIF('Production '!$C$4:$AI$4407,'Tracking Sheet'!B2198,'Production '!$Q$4:$Q$4407)</f>
        <v>0</v>
      </c>
      <c r="E2198" s="76">
        <f ca="1">SUMIF('Production '!$C$4:$AI$4407,'Tracking Sheet'!B2198,'Production '!$S$4:$S$4407)</f>
        <v>0</v>
      </c>
      <c r="F2198" s="76">
        <f ca="1">SUMIF('Production '!$C$4:$AI$4407,'Tracking Sheet'!B2198,'Production '!$U$4:$U$4407)</f>
        <v>0</v>
      </c>
      <c r="G2198" s="76">
        <f ca="1">SUMIF('Production '!$C$4:$AI$4407,'Tracking Sheet'!B2198,'Production '!$W$4:$W$4407)</f>
        <v>0</v>
      </c>
      <c r="H2198" s="76">
        <f ca="1">SUMIF('Production '!$C$4:$AI$4407,'Tracking Sheet'!B2198,'Production '!$F$4:$F$4407)</f>
        <v>720</v>
      </c>
      <c r="I2198" s="76">
        <f ca="1">SUMIF('Production '!$C$4:$AI$4407,'Tracking Sheet'!B2198,'Production '!$V$4:$V$4407)</f>
        <v>0</v>
      </c>
      <c r="J2198" s="76">
        <f ca="1">SUMIF('Production '!$C$4:$AI$4407,'Tracking Sheet'!B2198,'Production '!$AG$4:$AG$4407)</f>
        <v>-720</v>
      </c>
    </row>
    <row r="2199" spans="2:10" x14ac:dyDescent="0.3">
      <c r="B2199" s="277">
        <f>'Production '!C2202</f>
        <v>0</v>
      </c>
      <c r="C2199" s="76" t="e">
        <f ca="1">SUMIF('Production '!$C$4:$AI$4407,'Tracking Sheet'!B2199,'Production '!$M$4:$M$4407)</f>
        <v>#DIV/0!</v>
      </c>
      <c r="D2199" s="76" t="e">
        <f ca="1">SUMIF('Production '!$C$4:$AI$4407,'Tracking Sheet'!B2199,'Production '!$Q$4:$Q$4407)</f>
        <v>#DIV/0!</v>
      </c>
      <c r="E2199" s="76">
        <f ca="1">SUMIF('Production '!$C$4:$AI$4407,'Tracking Sheet'!B2199,'Production '!$S$4:$S$4407)</f>
        <v>-1268218.9828305368</v>
      </c>
      <c r="F2199" s="76">
        <f ca="1">SUMIF('Production '!$C$4:$AI$4407,'Tracking Sheet'!B2199,'Production '!$U$4:$U$4407)</f>
        <v>-10620.435600016917</v>
      </c>
      <c r="G2199" s="76" t="e">
        <f ca="1">SUMIF('Production '!$C$4:$AI$4407,'Tracking Sheet'!B2199,'Production '!$W$4:$W$4407)</f>
        <v>#DIV/0!</v>
      </c>
      <c r="H2199" s="76">
        <f ca="1">SUMIF('Production '!$C$4:$AI$4407,'Tracking Sheet'!B2199,'Production '!$F$4:$F$4407)</f>
        <v>3230621.3283604058</v>
      </c>
      <c r="I2199" s="76">
        <f ca="1">SUMIF('Production '!$C$4:$AI$4407,'Tracking Sheet'!B2199,'Production '!$V$4:$V$4407)</f>
        <v>-489.86487791182844</v>
      </c>
      <c r="J2199" s="76">
        <f ca="1">SUMIF('Production '!$C$4:$AI$4407,'Tracking Sheet'!B2199,'Production '!$AG$4:$AG$4407)</f>
        <v>0</v>
      </c>
    </row>
    <row r="2200" spans="2:10" x14ac:dyDescent="0.3">
      <c r="B2200" s="277" t="str">
        <f>'Production '!C2203</f>
        <v>47066 4th</v>
      </c>
      <c r="C2200" s="76">
        <f ca="1">SUMIF('Production '!$C$4:$AI$4407,'Tracking Sheet'!B2200,'Production '!$M$4:$M$4407)</f>
        <v>0</v>
      </c>
      <c r="D2200" s="76">
        <f ca="1">SUMIF('Production '!$C$4:$AI$4407,'Tracking Sheet'!B2200,'Production '!$Q$4:$Q$4407)</f>
        <v>0</v>
      </c>
      <c r="E2200" s="76">
        <f ca="1">SUMIF('Production '!$C$4:$AI$4407,'Tracking Sheet'!B2200,'Production '!$S$4:$S$4407)</f>
        <v>0</v>
      </c>
      <c r="F2200" s="76">
        <f ca="1">SUMIF('Production '!$C$4:$AI$4407,'Tracking Sheet'!B2200,'Production '!$U$4:$U$4407)</f>
        <v>0</v>
      </c>
      <c r="G2200" s="76">
        <f ca="1">SUMIF('Production '!$C$4:$AI$4407,'Tracking Sheet'!B2200,'Production '!$W$4:$W$4407)</f>
        <v>0</v>
      </c>
      <c r="H2200" s="76">
        <f ca="1">SUMIF('Production '!$C$4:$AI$4407,'Tracking Sheet'!B2200,'Production '!$F$4:$F$4407)</f>
        <v>616</v>
      </c>
      <c r="I2200" s="76">
        <f ca="1">SUMIF('Production '!$C$4:$AI$4407,'Tracking Sheet'!B2200,'Production '!$V$4:$V$4407)</f>
        <v>0</v>
      </c>
      <c r="J2200" s="76">
        <f ca="1">SUMIF('Production '!$C$4:$AI$4407,'Tracking Sheet'!B2200,'Production '!$AG$4:$AG$4407)</f>
        <v>-616</v>
      </c>
    </row>
    <row r="2201" spans="2:10" x14ac:dyDescent="0.3">
      <c r="B2201" s="277">
        <f>'Production '!C2204</f>
        <v>0</v>
      </c>
      <c r="C2201" s="76" t="e">
        <f ca="1">SUMIF('Production '!$C$4:$AI$4407,'Tracking Sheet'!B2201,'Production '!$M$4:$M$4407)</f>
        <v>#DIV/0!</v>
      </c>
      <c r="D2201" s="76" t="e">
        <f ca="1">SUMIF('Production '!$C$4:$AI$4407,'Tracking Sheet'!B2201,'Production '!$Q$4:$Q$4407)</f>
        <v>#DIV/0!</v>
      </c>
      <c r="E2201" s="76">
        <f ca="1">SUMIF('Production '!$C$4:$AI$4407,'Tracking Sheet'!B2201,'Production '!$S$4:$S$4407)</f>
        <v>-1268218.9828305368</v>
      </c>
      <c r="F2201" s="76">
        <f ca="1">SUMIF('Production '!$C$4:$AI$4407,'Tracking Sheet'!B2201,'Production '!$U$4:$U$4407)</f>
        <v>-10620.435600016917</v>
      </c>
      <c r="G2201" s="76" t="e">
        <f ca="1">SUMIF('Production '!$C$4:$AI$4407,'Tracking Sheet'!B2201,'Production '!$W$4:$W$4407)</f>
        <v>#DIV/0!</v>
      </c>
      <c r="H2201" s="76">
        <f ca="1">SUMIF('Production '!$C$4:$AI$4407,'Tracking Sheet'!B2201,'Production '!$F$4:$F$4407)</f>
        <v>3230621.3283604058</v>
      </c>
      <c r="I2201" s="76">
        <f ca="1">SUMIF('Production '!$C$4:$AI$4407,'Tracking Sheet'!B2201,'Production '!$V$4:$V$4407)</f>
        <v>-489.86487791182844</v>
      </c>
      <c r="J2201" s="76">
        <f ca="1">SUMIF('Production '!$C$4:$AI$4407,'Tracking Sheet'!B2201,'Production '!$AG$4:$AG$4407)</f>
        <v>0</v>
      </c>
    </row>
    <row r="2202" spans="2:10" x14ac:dyDescent="0.3">
      <c r="B2202" s="277" t="str">
        <f>'Production '!C2205</f>
        <v>48189 2nd</v>
      </c>
      <c r="C2202" s="76">
        <f ca="1">SUMIF('Production '!$C$4:$AI$4407,'Tracking Sheet'!B2202,'Production '!$M$4:$M$4407)</f>
        <v>0</v>
      </c>
      <c r="D2202" s="76">
        <f ca="1">SUMIF('Production '!$C$4:$AI$4407,'Tracking Sheet'!B2202,'Production '!$Q$4:$Q$4407)</f>
        <v>0</v>
      </c>
      <c r="E2202" s="76">
        <f ca="1">SUMIF('Production '!$C$4:$AI$4407,'Tracking Sheet'!B2202,'Production '!$S$4:$S$4407)</f>
        <v>0</v>
      </c>
      <c r="F2202" s="76">
        <f ca="1">SUMIF('Production '!$C$4:$AI$4407,'Tracking Sheet'!B2202,'Production '!$U$4:$U$4407)</f>
        <v>0</v>
      </c>
      <c r="G2202" s="76">
        <f ca="1">SUMIF('Production '!$C$4:$AI$4407,'Tracking Sheet'!B2202,'Production '!$W$4:$W$4407)</f>
        <v>0</v>
      </c>
      <c r="H2202" s="76">
        <f ca="1">SUMIF('Production '!$C$4:$AI$4407,'Tracking Sheet'!B2202,'Production '!$F$4:$F$4407)</f>
        <v>1000</v>
      </c>
      <c r="I2202" s="76">
        <f ca="1">SUMIF('Production '!$C$4:$AI$4407,'Tracking Sheet'!B2202,'Production '!$V$4:$V$4407)</f>
        <v>0</v>
      </c>
      <c r="J2202" s="76">
        <f ca="1">SUMIF('Production '!$C$4:$AI$4407,'Tracking Sheet'!B2202,'Production '!$AG$4:$AG$4407)</f>
        <v>-1000</v>
      </c>
    </row>
    <row r="2203" spans="2:10" x14ac:dyDescent="0.3">
      <c r="B2203" s="277">
        <f>'Production '!C2206</f>
        <v>0</v>
      </c>
      <c r="C2203" s="76" t="e">
        <f ca="1">SUMIF('Production '!$C$4:$AI$4407,'Tracking Sheet'!B2203,'Production '!$M$4:$M$4407)</f>
        <v>#DIV/0!</v>
      </c>
      <c r="D2203" s="76" t="e">
        <f ca="1">SUMIF('Production '!$C$4:$AI$4407,'Tracking Sheet'!B2203,'Production '!$Q$4:$Q$4407)</f>
        <v>#DIV/0!</v>
      </c>
      <c r="E2203" s="76">
        <f ca="1">SUMIF('Production '!$C$4:$AI$4407,'Tracking Sheet'!B2203,'Production '!$S$4:$S$4407)</f>
        <v>-1268218.9828305368</v>
      </c>
      <c r="F2203" s="76">
        <f ca="1">SUMIF('Production '!$C$4:$AI$4407,'Tracking Sheet'!B2203,'Production '!$U$4:$U$4407)</f>
        <v>-10620.435600016917</v>
      </c>
      <c r="G2203" s="76" t="e">
        <f ca="1">SUMIF('Production '!$C$4:$AI$4407,'Tracking Sheet'!B2203,'Production '!$W$4:$W$4407)</f>
        <v>#DIV/0!</v>
      </c>
      <c r="H2203" s="76">
        <f ca="1">SUMIF('Production '!$C$4:$AI$4407,'Tracking Sheet'!B2203,'Production '!$F$4:$F$4407)</f>
        <v>3230621.3283604058</v>
      </c>
      <c r="I2203" s="76">
        <f ca="1">SUMIF('Production '!$C$4:$AI$4407,'Tracking Sheet'!B2203,'Production '!$V$4:$V$4407)</f>
        <v>-489.86487791182844</v>
      </c>
      <c r="J2203" s="76">
        <f ca="1">SUMIF('Production '!$C$4:$AI$4407,'Tracking Sheet'!B2203,'Production '!$AG$4:$AG$4407)</f>
        <v>0</v>
      </c>
    </row>
    <row r="2204" spans="2:10" x14ac:dyDescent="0.3">
      <c r="B2204" s="277" t="str">
        <f>'Production '!C2207</f>
        <v>45313 11th</v>
      </c>
      <c r="C2204" s="76">
        <f ca="1">SUMIF('Production '!$C$4:$AI$4407,'Tracking Sheet'!B2204,'Production '!$M$4:$M$4407)</f>
        <v>0</v>
      </c>
      <c r="D2204" s="76">
        <f ca="1">SUMIF('Production '!$C$4:$AI$4407,'Tracking Sheet'!B2204,'Production '!$Q$4:$Q$4407)</f>
        <v>0</v>
      </c>
      <c r="E2204" s="76">
        <f ca="1">SUMIF('Production '!$C$4:$AI$4407,'Tracking Sheet'!B2204,'Production '!$S$4:$S$4407)</f>
        <v>0</v>
      </c>
      <c r="F2204" s="76">
        <f ca="1">SUMIF('Production '!$C$4:$AI$4407,'Tracking Sheet'!B2204,'Production '!$U$4:$U$4407)</f>
        <v>0</v>
      </c>
      <c r="G2204" s="76">
        <f ca="1">SUMIF('Production '!$C$4:$AI$4407,'Tracking Sheet'!B2204,'Production '!$W$4:$W$4407)</f>
        <v>0</v>
      </c>
      <c r="H2204" s="76">
        <f ca="1">SUMIF('Production '!$C$4:$AI$4407,'Tracking Sheet'!B2204,'Production '!$F$4:$F$4407)</f>
        <v>2265</v>
      </c>
      <c r="I2204" s="76">
        <f ca="1">SUMIF('Production '!$C$4:$AI$4407,'Tracking Sheet'!B2204,'Production '!$V$4:$V$4407)</f>
        <v>0</v>
      </c>
      <c r="J2204" s="76">
        <f ca="1">SUMIF('Production '!$C$4:$AI$4407,'Tracking Sheet'!B2204,'Production '!$AG$4:$AG$4407)</f>
        <v>-2265</v>
      </c>
    </row>
    <row r="2205" spans="2:10" x14ac:dyDescent="0.3">
      <c r="B2205" s="277">
        <f>'Production '!C2208</f>
        <v>0</v>
      </c>
      <c r="C2205" s="76" t="e">
        <f ca="1">SUMIF('Production '!$C$4:$AI$4407,'Tracking Sheet'!B2205,'Production '!$M$4:$M$4407)</f>
        <v>#DIV/0!</v>
      </c>
      <c r="D2205" s="76" t="e">
        <f ca="1">SUMIF('Production '!$C$4:$AI$4407,'Tracking Sheet'!B2205,'Production '!$Q$4:$Q$4407)</f>
        <v>#DIV/0!</v>
      </c>
      <c r="E2205" s="76">
        <f ca="1">SUMIF('Production '!$C$4:$AI$4407,'Tracking Sheet'!B2205,'Production '!$S$4:$S$4407)</f>
        <v>-1268218.9828305368</v>
      </c>
      <c r="F2205" s="76">
        <f ca="1">SUMIF('Production '!$C$4:$AI$4407,'Tracking Sheet'!B2205,'Production '!$U$4:$U$4407)</f>
        <v>-10620.435600016917</v>
      </c>
      <c r="G2205" s="76" t="e">
        <f ca="1">SUMIF('Production '!$C$4:$AI$4407,'Tracking Sheet'!B2205,'Production '!$W$4:$W$4407)</f>
        <v>#DIV/0!</v>
      </c>
      <c r="H2205" s="76">
        <f ca="1">SUMIF('Production '!$C$4:$AI$4407,'Tracking Sheet'!B2205,'Production '!$F$4:$F$4407)</f>
        <v>3230621.3283604058</v>
      </c>
      <c r="I2205" s="76">
        <f ca="1">SUMIF('Production '!$C$4:$AI$4407,'Tracking Sheet'!B2205,'Production '!$V$4:$V$4407)</f>
        <v>-489.86487791182844</v>
      </c>
      <c r="J2205" s="76">
        <f ca="1">SUMIF('Production '!$C$4:$AI$4407,'Tracking Sheet'!B2205,'Production '!$AG$4:$AG$4407)</f>
        <v>0</v>
      </c>
    </row>
    <row r="2206" spans="2:10" x14ac:dyDescent="0.3">
      <c r="B2206" s="277" t="str">
        <f>'Production '!C2209</f>
        <v>45317 5th</v>
      </c>
      <c r="C2206" s="76">
        <f ca="1">SUMIF('Production '!$C$4:$AI$4407,'Tracking Sheet'!B2206,'Production '!$M$4:$M$4407)</f>
        <v>1537</v>
      </c>
      <c r="D2206" s="76">
        <f ca="1">SUMIF('Production '!$C$4:$AI$4407,'Tracking Sheet'!B2206,'Production '!$Q$4:$Q$4407)</f>
        <v>1537</v>
      </c>
      <c r="E2206" s="76">
        <f ca="1">SUMIF('Production '!$C$4:$AI$4407,'Tracking Sheet'!B2206,'Production '!$S$4:$S$4407)</f>
        <v>1537</v>
      </c>
      <c r="F2206" s="76">
        <f ca="1">SUMIF('Production '!$C$4:$AI$4407,'Tracking Sheet'!B2206,'Production '!$U$4:$U$4407)</f>
        <v>0</v>
      </c>
      <c r="G2206" s="76">
        <f ca="1">SUMIF('Production '!$C$4:$AI$4407,'Tracking Sheet'!B2206,'Production '!$W$4:$W$4407)</f>
        <v>1537</v>
      </c>
      <c r="H2206" s="76">
        <f ca="1">SUMIF('Production '!$C$4:$AI$4407,'Tracking Sheet'!B2206,'Production '!$F$4:$F$4407)</f>
        <v>1500</v>
      </c>
      <c r="I2206" s="76">
        <f ca="1">SUMIF('Production '!$C$4:$AI$4407,'Tracking Sheet'!B2206,'Production '!$V$4:$V$4407)</f>
        <v>0</v>
      </c>
      <c r="J2206" s="76">
        <f ca="1">SUMIF('Production '!$C$4:$AI$4407,'Tracking Sheet'!B2206,'Production '!$AG$4:$AG$4407)</f>
        <v>0</v>
      </c>
    </row>
    <row r="2207" spans="2:10" x14ac:dyDescent="0.3">
      <c r="B2207" s="277">
        <f>'Production '!C2210</f>
        <v>0</v>
      </c>
      <c r="C2207" s="76" t="e">
        <f ca="1">SUMIF('Production '!$C$4:$AI$4407,'Tracking Sheet'!B2207,'Production '!$M$4:$M$4407)</f>
        <v>#DIV/0!</v>
      </c>
      <c r="D2207" s="76" t="e">
        <f ca="1">SUMIF('Production '!$C$4:$AI$4407,'Tracking Sheet'!B2207,'Production '!$Q$4:$Q$4407)</f>
        <v>#DIV/0!</v>
      </c>
      <c r="E2207" s="76">
        <f ca="1">SUMIF('Production '!$C$4:$AI$4407,'Tracking Sheet'!B2207,'Production '!$S$4:$S$4407)</f>
        <v>-1268218.9828305368</v>
      </c>
      <c r="F2207" s="76">
        <f ca="1">SUMIF('Production '!$C$4:$AI$4407,'Tracking Sheet'!B2207,'Production '!$U$4:$U$4407)</f>
        <v>-10620.435600016917</v>
      </c>
      <c r="G2207" s="76" t="e">
        <f ca="1">SUMIF('Production '!$C$4:$AI$4407,'Tracking Sheet'!B2207,'Production '!$W$4:$W$4407)</f>
        <v>#DIV/0!</v>
      </c>
      <c r="H2207" s="76">
        <f ca="1">SUMIF('Production '!$C$4:$AI$4407,'Tracking Sheet'!B2207,'Production '!$F$4:$F$4407)</f>
        <v>3230621.3283604058</v>
      </c>
      <c r="I2207" s="76">
        <f ca="1">SUMIF('Production '!$C$4:$AI$4407,'Tracking Sheet'!B2207,'Production '!$V$4:$V$4407)</f>
        <v>-489.86487791182844</v>
      </c>
      <c r="J2207" s="76">
        <f ca="1">SUMIF('Production '!$C$4:$AI$4407,'Tracking Sheet'!B2207,'Production '!$AG$4:$AG$4407)</f>
        <v>0</v>
      </c>
    </row>
    <row r="2208" spans="2:10" x14ac:dyDescent="0.3">
      <c r="B2208" s="277" t="str">
        <f>'Production '!C2211</f>
        <v>45317 6th</v>
      </c>
      <c r="C2208" s="76">
        <f ca="1">SUMIF('Production '!$C$4:$AI$4407,'Tracking Sheet'!B2208,'Production '!$M$4:$M$4407)</f>
        <v>0</v>
      </c>
      <c r="D2208" s="76">
        <f ca="1">SUMIF('Production '!$C$4:$AI$4407,'Tracking Sheet'!B2208,'Production '!$Q$4:$Q$4407)</f>
        <v>0</v>
      </c>
      <c r="E2208" s="76">
        <f ca="1">SUMIF('Production '!$C$4:$AI$4407,'Tracking Sheet'!B2208,'Production '!$S$4:$S$4407)</f>
        <v>0</v>
      </c>
      <c r="F2208" s="76">
        <f ca="1">SUMIF('Production '!$C$4:$AI$4407,'Tracking Sheet'!B2208,'Production '!$U$4:$U$4407)</f>
        <v>0</v>
      </c>
      <c r="G2208" s="76">
        <f ca="1">SUMIF('Production '!$C$4:$AI$4407,'Tracking Sheet'!B2208,'Production '!$W$4:$W$4407)</f>
        <v>0</v>
      </c>
      <c r="H2208" s="76">
        <f ca="1">SUMIF('Production '!$C$4:$AI$4407,'Tracking Sheet'!B2208,'Production '!$F$4:$F$4407)</f>
        <v>2193</v>
      </c>
      <c r="I2208" s="76">
        <f ca="1">SUMIF('Production '!$C$4:$AI$4407,'Tracking Sheet'!B2208,'Production '!$V$4:$V$4407)</f>
        <v>0</v>
      </c>
      <c r="J2208" s="76">
        <f ca="1">SUMIF('Production '!$C$4:$AI$4407,'Tracking Sheet'!B2208,'Production '!$AG$4:$AG$4407)</f>
        <v>-2193</v>
      </c>
    </row>
    <row r="2209" spans="2:10" x14ac:dyDescent="0.3">
      <c r="B2209" s="277">
        <f>'Production '!C2212</f>
        <v>0</v>
      </c>
      <c r="C2209" s="76" t="e">
        <f ca="1">SUMIF('Production '!$C$4:$AI$4407,'Tracking Sheet'!B2209,'Production '!$M$4:$M$4407)</f>
        <v>#DIV/0!</v>
      </c>
      <c r="D2209" s="76" t="e">
        <f ca="1">SUMIF('Production '!$C$4:$AI$4407,'Tracking Sheet'!B2209,'Production '!$Q$4:$Q$4407)</f>
        <v>#DIV/0!</v>
      </c>
      <c r="E2209" s="76">
        <f ca="1">SUMIF('Production '!$C$4:$AI$4407,'Tracking Sheet'!B2209,'Production '!$S$4:$S$4407)</f>
        <v>-1268218.9828305368</v>
      </c>
      <c r="F2209" s="76">
        <f ca="1">SUMIF('Production '!$C$4:$AI$4407,'Tracking Sheet'!B2209,'Production '!$U$4:$U$4407)</f>
        <v>-10620.435600016917</v>
      </c>
      <c r="G2209" s="76" t="e">
        <f ca="1">SUMIF('Production '!$C$4:$AI$4407,'Tracking Sheet'!B2209,'Production '!$W$4:$W$4407)</f>
        <v>#DIV/0!</v>
      </c>
      <c r="H2209" s="76">
        <f ca="1">SUMIF('Production '!$C$4:$AI$4407,'Tracking Sheet'!B2209,'Production '!$F$4:$F$4407)</f>
        <v>3230621.3283604058</v>
      </c>
      <c r="I2209" s="76">
        <f ca="1">SUMIF('Production '!$C$4:$AI$4407,'Tracking Sheet'!B2209,'Production '!$V$4:$V$4407)</f>
        <v>-489.86487791182844</v>
      </c>
      <c r="J2209" s="76">
        <f ca="1">SUMIF('Production '!$C$4:$AI$4407,'Tracking Sheet'!B2209,'Production '!$AG$4:$AG$4407)</f>
        <v>0</v>
      </c>
    </row>
    <row r="2210" spans="2:10" x14ac:dyDescent="0.3">
      <c r="B2210" s="277" t="str">
        <f>'Production '!C2213</f>
        <v>45315 5th</v>
      </c>
      <c r="C2210" s="76">
        <f ca="1">SUMIF('Production '!$C$4:$AI$4407,'Tracking Sheet'!B2210,'Production '!$M$4:$M$4407)</f>
        <v>1568</v>
      </c>
      <c r="D2210" s="76">
        <f ca="1">SUMIF('Production '!$C$4:$AI$4407,'Tracking Sheet'!B2210,'Production '!$Q$4:$Q$4407)</f>
        <v>1568</v>
      </c>
      <c r="E2210" s="76">
        <f ca="1">SUMIF('Production '!$C$4:$AI$4407,'Tracking Sheet'!B2210,'Production '!$S$4:$S$4407)</f>
        <v>1568</v>
      </c>
      <c r="F2210" s="76">
        <f ca="1">SUMIF('Production '!$C$4:$AI$4407,'Tracking Sheet'!B2210,'Production '!$U$4:$U$4407)</f>
        <v>0</v>
      </c>
      <c r="G2210" s="76">
        <f ca="1">SUMIF('Production '!$C$4:$AI$4407,'Tracking Sheet'!B2210,'Production '!$W$4:$W$4407)</f>
        <v>1568</v>
      </c>
      <c r="H2210" s="76">
        <f ca="1">SUMIF('Production '!$C$4:$AI$4407,'Tracking Sheet'!B2210,'Production '!$F$4:$F$4407)</f>
        <v>1520</v>
      </c>
      <c r="I2210" s="76">
        <f ca="1">SUMIF('Production '!$C$4:$AI$4407,'Tracking Sheet'!B2210,'Production '!$V$4:$V$4407)</f>
        <v>0</v>
      </c>
      <c r="J2210" s="76">
        <f ca="1">SUMIF('Production '!$C$4:$AI$4407,'Tracking Sheet'!B2210,'Production '!$AG$4:$AG$4407)</f>
        <v>0</v>
      </c>
    </row>
    <row r="2211" spans="2:10" x14ac:dyDescent="0.3">
      <c r="B2211" s="277">
        <f>'Production '!C2214</f>
        <v>0</v>
      </c>
      <c r="C2211" s="76" t="e">
        <f ca="1">SUMIF('Production '!$C$4:$AI$4407,'Tracking Sheet'!B2211,'Production '!$M$4:$M$4407)</f>
        <v>#DIV/0!</v>
      </c>
      <c r="D2211" s="76" t="e">
        <f ca="1">SUMIF('Production '!$C$4:$AI$4407,'Tracking Sheet'!B2211,'Production '!$Q$4:$Q$4407)</f>
        <v>#DIV/0!</v>
      </c>
      <c r="E2211" s="76">
        <f ca="1">SUMIF('Production '!$C$4:$AI$4407,'Tracking Sheet'!B2211,'Production '!$S$4:$S$4407)</f>
        <v>-1268218.9828305368</v>
      </c>
      <c r="F2211" s="76">
        <f ca="1">SUMIF('Production '!$C$4:$AI$4407,'Tracking Sheet'!B2211,'Production '!$U$4:$U$4407)</f>
        <v>-10620.435600016917</v>
      </c>
      <c r="G2211" s="76" t="e">
        <f ca="1">SUMIF('Production '!$C$4:$AI$4407,'Tracking Sheet'!B2211,'Production '!$W$4:$W$4407)</f>
        <v>#DIV/0!</v>
      </c>
      <c r="H2211" s="76">
        <f ca="1">SUMIF('Production '!$C$4:$AI$4407,'Tracking Sheet'!B2211,'Production '!$F$4:$F$4407)</f>
        <v>3230621.3283604058</v>
      </c>
      <c r="I2211" s="76">
        <f ca="1">SUMIF('Production '!$C$4:$AI$4407,'Tracking Sheet'!B2211,'Production '!$V$4:$V$4407)</f>
        <v>-489.86487791182844</v>
      </c>
      <c r="J2211" s="76">
        <f ca="1">SUMIF('Production '!$C$4:$AI$4407,'Tracking Sheet'!B2211,'Production '!$AG$4:$AG$4407)</f>
        <v>0</v>
      </c>
    </row>
    <row r="2212" spans="2:10" x14ac:dyDescent="0.3">
      <c r="B2212" s="277" t="str">
        <f>'Production '!C2215</f>
        <v>22036 37th</v>
      </c>
      <c r="C2212" s="76">
        <f ca="1">SUMIF('Production '!$C$4:$AI$4407,'Tracking Sheet'!B2212,'Production '!$M$4:$M$4407)</f>
        <v>4081</v>
      </c>
      <c r="D2212" s="76">
        <f ca="1">SUMIF('Production '!$C$4:$AI$4407,'Tracking Sheet'!B2212,'Production '!$Q$4:$Q$4407)</f>
        <v>0</v>
      </c>
      <c r="E2212" s="76">
        <f ca="1">SUMIF('Production '!$C$4:$AI$4407,'Tracking Sheet'!B2212,'Production '!$S$4:$S$4407)</f>
        <v>0</v>
      </c>
      <c r="F2212" s="76">
        <f ca="1">SUMIF('Production '!$C$4:$AI$4407,'Tracking Sheet'!B2212,'Production '!$U$4:$U$4407)</f>
        <v>5</v>
      </c>
      <c r="G2212" s="76">
        <f ca="1">SUMIF('Production '!$C$4:$AI$4407,'Tracking Sheet'!B2212,'Production '!$W$4:$W$4407)</f>
        <v>4076</v>
      </c>
      <c r="H2212" s="76">
        <f ca="1">SUMIF('Production '!$C$4:$AI$4407,'Tracking Sheet'!B2212,'Production '!$F$4:$F$4407)</f>
        <v>4000</v>
      </c>
      <c r="I2212" s="76">
        <f ca="1">SUMIF('Production '!$C$4:$AI$4407,'Tracking Sheet'!B2212,'Production '!$V$4:$V$4407)</f>
        <v>0</v>
      </c>
      <c r="J2212" s="76">
        <f ca="1">SUMIF('Production '!$C$4:$AI$4407,'Tracking Sheet'!B2212,'Production '!$AG$4:$AG$4407)</f>
        <v>0</v>
      </c>
    </row>
    <row r="2213" spans="2:10" x14ac:dyDescent="0.3">
      <c r="B2213" s="277">
        <f>'Production '!C2216</f>
        <v>0</v>
      </c>
      <c r="C2213" s="76" t="e">
        <f ca="1">SUMIF('Production '!$C$4:$AI$4407,'Tracking Sheet'!B2213,'Production '!$M$4:$M$4407)</f>
        <v>#DIV/0!</v>
      </c>
      <c r="D2213" s="76" t="e">
        <f ca="1">SUMIF('Production '!$C$4:$AI$4407,'Tracking Sheet'!B2213,'Production '!$Q$4:$Q$4407)</f>
        <v>#DIV/0!</v>
      </c>
      <c r="E2213" s="76">
        <f ca="1">SUMIF('Production '!$C$4:$AI$4407,'Tracking Sheet'!B2213,'Production '!$S$4:$S$4407)</f>
        <v>-1268218.9828305368</v>
      </c>
      <c r="F2213" s="76">
        <f ca="1">SUMIF('Production '!$C$4:$AI$4407,'Tracking Sheet'!B2213,'Production '!$U$4:$U$4407)</f>
        <v>-10620.435600016917</v>
      </c>
      <c r="G2213" s="76" t="e">
        <f ca="1">SUMIF('Production '!$C$4:$AI$4407,'Tracking Sheet'!B2213,'Production '!$W$4:$W$4407)</f>
        <v>#DIV/0!</v>
      </c>
      <c r="H2213" s="76">
        <f ca="1">SUMIF('Production '!$C$4:$AI$4407,'Tracking Sheet'!B2213,'Production '!$F$4:$F$4407)</f>
        <v>3230621.3283604058</v>
      </c>
      <c r="I2213" s="76">
        <f ca="1">SUMIF('Production '!$C$4:$AI$4407,'Tracking Sheet'!B2213,'Production '!$V$4:$V$4407)</f>
        <v>-489.86487791182844</v>
      </c>
      <c r="J2213" s="76">
        <f ca="1">SUMIF('Production '!$C$4:$AI$4407,'Tracking Sheet'!B2213,'Production '!$AG$4:$AG$4407)</f>
        <v>0</v>
      </c>
    </row>
    <row r="2214" spans="2:10" x14ac:dyDescent="0.3">
      <c r="B2214" s="277" t="str">
        <f>'Production '!C2217</f>
        <v>22036 38th</v>
      </c>
      <c r="C2214" s="76">
        <f ca="1">SUMIF('Production '!$C$4:$AI$4407,'Tracking Sheet'!B2214,'Production '!$M$4:$M$4407)</f>
        <v>10110</v>
      </c>
      <c r="D2214" s="76">
        <f ca="1">SUMIF('Production '!$C$4:$AI$4407,'Tracking Sheet'!B2214,'Production '!$Q$4:$Q$4407)</f>
        <v>0</v>
      </c>
      <c r="E2214" s="76">
        <f ca="1">SUMIF('Production '!$C$4:$AI$4407,'Tracking Sheet'!B2214,'Production '!$S$4:$S$4407)</f>
        <v>0</v>
      </c>
      <c r="F2214" s="76">
        <f ca="1">SUMIF('Production '!$C$4:$AI$4407,'Tracking Sheet'!B2214,'Production '!$U$4:$U$4407)</f>
        <v>0</v>
      </c>
      <c r="G2214" s="76">
        <f ca="1">SUMIF('Production '!$C$4:$AI$4407,'Tracking Sheet'!B2214,'Production '!$W$4:$W$4407)</f>
        <v>10110</v>
      </c>
      <c r="H2214" s="76">
        <f ca="1">SUMIF('Production '!$C$4:$AI$4407,'Tracking Sheet'!B2214,'Production '!$F$4:$F$4407)</f>
        <v>10000</v>
      </c>
      <c r="I2214" s="76">
        <f ca="1">SUMIF('Production '!$C$4:$AI$4407,'Tracking Sheet'!B2214,'Production '!$V$4:$V$4407)</f>
        <v>0</v>
      </c>
      <c r="J2214" s="76">
        <f ca="1">SUMIF('Production '!$C$4:$AI$4407,'Tracking Sheet'!B2214,'Production '!$AG$4:$AG$4407)</f>
        <v>0</v>
      </c>
    </row>
    <row r="2215" spans="2:10" x14ac:dyDescent="0.3">
      <c r="B2215" s="277">
        <f>'Production '!C2218</f>
        <v>0</v>
      </c>
      <c r="C2215" s="76" t="e">
        <f ca="1">SUMIF('Production '!$C$4:$AI$4407,'Tracking Sheet'!B2215,'Production '!$M$4:$M$4407)</f>
        <v>#DIV/0!</v>
      </c>
      <c r="D2215" s="76" t="e">
        <f ca="1">SUMIF('Production '!$C$4:$AI$4407,'Tracking Sheet'!B2215,'Production '!$Q$4:$Q$4407)</f>
        <v>#DIV/0!</v>
      </c>
      <c r="E2215" s="76">
        <f ca="1">SUMIF('Production '!$C$4:$AI$4407,'Tracking Sheet'!B2215,'Production '!$S$4:$S$4407)</f>
        <v>-1268218.9828305368</v>
      </c>
      <c r="F2215" s="76">
        <f ca="1">SUMIF('Production '!$C$4:$AI$4407,'Tracking Sheet'!B2215,'Production '!$U$4:$U$4407)</f>
        <v>-10620.435600016917</v>
      </c>
      <c r="G2215" s="76" t="e">
        <f ca="1">SUMIF('Production '!$C$4:$AI$4407,'Tracking Sheet'!B2215,'Production '!$W$4:$W$4407)</f>
        <v>#DIV/0!</v>
      </c>
      <c r="H2215" s="76">
        <f ca="1">SUMIF('Production '!$C$4:$AI$4407,'Tracking Sheet'!B2215,'Production '!$F$4:$F$4407)</f>
        <v>3230621.3283604058</v>
      </c>
      <c r="I2215" s="76">
        <f ca="1">SUMIF('Production '!$C$4:$AI$4407,'Tracking Sheet'!B2215,'Production '!$V$4:$V$4407)</f>
        <v>-489.86487791182844</v>
      </c>
      <c r="J2215" s="76">
        <f ca="1">SUMIF('Production '!$C$4:$AI$4407,'Tracking Sheet'!B2215,'Production '!$AG$4:$AG$4407)</f>
        <v>0</v>
      </c>
    </row>
    <row r="2216" spans="2:10" x14ac:dyDescent="0.3">
      <c r="B2216" s="277">
        <f>'Production '!C2219</f>
        <v>47316</v>
      </c>
      <c r="C2216" s="76">
        <f ca="1">SUMIF('Production '!$C$4:$AI$4407,'Tracking Sheet'!B2216,'Production '!$M$4:$M$4407)</f>
        <v>421</v>
      </c>
      <c r="D2216" s="76">
        <f ca="1">SUMIF('Production '!$C$4:$AI$4407,'Tracking Sheet'!B2216,'Production '!$Q$4:$Q$4407)</f>
        <v>0</v>
      </c>
      <c r="E2216" s="76">
        <f ca="1">SUMIF('Production '!$C$4:$AI$4407,'Tracking Sheet'!B2216,'Production '!$S$4:$S$4407)</f>
        <v>0</v>
      </c>
      <c r="F2216" s="76">
        <f ca="1">SUMIF('Production '!$C$4:$AI$4407,'Tracking Sheet'!B2216,'Production '!$U$4:$U$4407)</f>
        <v>0</v>
      </c>
      <c r="G2216" s="76">
        <f ca="1">SUMIF('Production '!$C$4:$AI$4407,'Tracking Sheet'!B2216,'Production '!$W$4:$W$4407)</f>
        <v>421</v>
      </c>
      <c r="H2216" s="76">
        <f ca="1">SUMIF('Production '!$C$4:$AI$4407,'Tracking Sheet'!B2216,'Production '!$F$4:$F$4407)</f>
        <v>398</v>
      </c>
      <c r="I2216" s="76">
        <f ca="1">SUMIF('Production '!$C$4:$AI$4407,'Tracking Sheet'!B2216,'Production '!$V$4:$V$4407)</f>
        <v>0</v>
      </c>
      <c r="J2216" s="76">
        <f ca="1">SUMIF('Production '!$C$4:$AI$4407,'Tracking Sheet'!B2216,'Production '!$AG$4:$AG$4407)</f>
        <v>0</v>
      </c>
    </row>
    <row r="2217" spans="2:10" x14ac:dyDescent="0.3">
      <c r="B2217" s="277">
        <f>'Production '!C2220</f>
        <v>0</v>
      </c>
      <c r="C2217" s="76" t="e">
        <f ca="1">SUMIF('Production '!$C$4:$AI$4407,'Tracking Sheet'!B2217,'Production '!$M$4:$M$4407)</f>
        <v>#DIV/0!</v>
      </c>
      <c r="D2217" s="76" t="e">
        <f ca="1">SUMIF('Production '!$C$4:$AI$4407,'Tracking Sheet'!B2217,'Production '!$Q$4:$Q$4407)</f>
        <v>#DIV/0!</v>
      </c>
      <c r="E2217" s="76">
        <f ca="1">SUMIF('Production '!$C$4:$AI$4407,'Tracking Sheet'!B2217,'Production '!$S$4:$S$4407)</f>
        <v>-1268218.9828305368</v>
      </c>
      <c r="F2217" s="76">
        <f ca="1">SUMIF('Production '!$C$4:$AI$4407,'Tracking Sheet'!B2217,'Production '!$U$4:$U$4407)</f>
        <v>-10620.435600016917</v>
      </c>
      <c r="G2217" s="76" t="e">
        <f ca="1">SUMIF('Production '!$C$4:$AI$4407,'Tracking Sheet'!B2217,'Production '!$W$4:$W$4407)</f>
        <v>#DIV/0!</v>
      </c>
      <c r="H2217" s="76">
        <f ca="1">SUMIF('Production '!$C$4:$AI$4407,'Tracking Sheet'!B2217,'Production '!$F$4:$F$4407)</f>
        <v>3230621.3283604058</v>
      </c>
      <c r="I2217" s="76">
        <f ca="1">SUMIF('Production '!$C$4:$AI$4407,'Tracking Sheet'!B2217,'Production '!$V$4:$V$4407)</f>
        <v>-489.86487791182844</v>
      </c>
      <c r="J2217" s="76">
        <f ca="1">SUMIF('Production '!$C$4:$AI$4407,'Tracking Sheet'!B2217,'Production '!$AG$4:$AG$4407)</f>
        <v>0</v>
      </c>
    </row>
    <row r="2218" spans="2:10" x14ac:dyDescent="0.3">
      <c r="B2218" s="277">
        <f>'Production '!C2221</f>
        <v>48692</v>
      </c>
      <c r="C2218" s="76">
        <f ca="1">SUMIF('Production '!$C$4:$AI$4407,'Tracking Sheet'!B2218,'Production '!$M$4:$M$4407)</f>
        <v>0</v>
      </c>
      <c r="D2218" s="76">
        <f ca="1">SUMIF('Production '!$C$4:$AI$4407,'Tracking Sheet'!B2218,'Production '!$Q$4:$Q$4407)</f>
        <v>0</v>
      </c>
      <c r="E2218" s="76">
        <f ca="1">SUMIF('Production '!$C$4:$AI$4407,'Tracking Sheet'!B2218,'Production '!$S$4:$S$4407)</f>
        <v>0</v>
      </c>
      <c r="F2218" s="76">
        <f ca="1">SUMIF('Production '!$C$4:$AI$4407,'Tracking Sheet'!B2218,'Production '!$U$4:$U$4407)</f>
        <v>0</v>
      </c>
      <c r="G2218" s="76">
        <f ca="1">SUMIF('Production '!$C$4:$AI$4407,'Tracking Sheet'!B2218,'Production '!$W$4:$W$4407)</f>
        <v>0</v>
      </c>
      <c r="H2218" s="76">
        <f ca="1">SUMIF('Production '!$C$4:$AI$4407,'Tracking Sheet'!B2218,'Production '!$F$4:$F$4407)</f>
        <v>504</v>
      </c>
      <c r="I2218" s="76">
        <f ca="1">SUMIF('Production '!$C$4:$AI$4407,'Tracking Sheet'!B2218,'Production '!$V$4:$V$4407)</f>
        <v>0</v>
      </c>
      <c r="J2218" s="76">
        <f ca="1">SUMIF('Production '!$C$4:$AI$4407,'Tracking Sheet'!B2218,'Production '!$AG$4:$AG$4407)</f>
        <v>-504</v>
      </c>
    </row>
    <row r="2219" spans="2:10" x14ac:dyDescent="0.3">
      <c r="B2219" s="277">
        <f>'Production '!C2222</f>
        <v>0</v>
      </c>
      <c r="C2219" s="76" t="e">
        <f ca="1">SUMIF('Production '!$C$4:$AI$4407,'Tracking Sheet'!B2219,'Production '!$M$4:$M$4407)</f>
        <v>#DIV/0!</v>
      </c>
      <c r="D2219" s="76" t="e">
        <f ca="1">SUMIF('Production '!$C$4:$AI$4407,'Tracking Sheet'!B2219,'Production '!$Q$4:$Q$4407)</f>
        <v>#DIV/0!</v>
      </c>
      <c r="E2219" s="76">
        <f ca="1">SUMIF('Production '!$C$4:$AI$4407,'Tracking Sheet'!B2219,'Production '!$S$4:$S$4407)</f>
        <v>-1268218.9828305368</v>
      </c>
      <c r="F2219" s="76">
        <f ca="1">SUMIF('Production '!$C$4:$AI$4407,'Tracking Sheet'!B2219,'Production '!$U$4:$U$4407)</f>
        <v>-10620.435600016917</v>
      </c>
      <c r="G2219" s="76" t="e">
        <f ca="1">SUMIF('Production '!$C$4:$AI$4407,'Tracking Sheet'!B2219,'Production '!$W$4:$W$4407)</f>
        <v>#DIV/0!</v>
      </c>
      <c r="H2219" s="76">
        <f ca="1">SUMIF('Production '!$C$4:$AI$4407,'Tracking Sheet'!B2219,'Production '!$F$4:$F$4407)</f>
        <v>3230621.3283604058</v>
      </c>
      <c r="I2219" s="76">
        <f ca="1">SUMIF('Production '!$C$4:$AI$4407,'Tracking Sheet'!B2219,'Production '!$V$4:$V$4407)</f>
        <v>-489.86487791182844</v>
      </c>
      <c r="J2219" s="76">
        <f ca="1">SUMIF('Production '!$C$4:$AI$4407,'Tracking Sheet'!B2219,'Production '!$AG$4:$AG$4407)</f>
        <v>0</v>
      </c>
    </row>
    <row r="2220" spans="2:10" x14ac:dyDescent="0.3">
      <c r="B2220" s="277">
        <f>'Production '!C2223</f>
        <v>48624</v>
      </c>
      <c r="C2220" s="76">
        <f ca="1">SUMIF('Production '!$C$4:$AI$4407,'Tracking Sheet'!B2220,'Production '!$M$4:$M$4407)</f>
        <v>0</v>
      </c>
      <c r="D2220" s="76">
        <f ca="1">SUMIF('Production '!$C$4:$AI$4407,'Tracking Sheet'!B2220,'Production '!$Q$4:$Q$4407)</f>
        <v>0</v>
      </c>
      <c r="E2220" s="76">
        <f ca="1">SUMIF('Production '!$C$4:$AI$4407,'Tracking Sheet'!B2220,'Production '!$S$4:$S$4407)</f>
        <v>0</v>
      </c>
      <c r="F2220" s="76">
        <f ca="1">SUMIF('Production '!$C$4:$AI$4407,'Tracking Sheet'!B2220,'Production '!$U$4:$U$4407)</f>
        <v>0</v>
      </c>
      <c r="G2220" s="76">
        <f ca="1">SUMIF('Production '!$C$4:$AI$4407,'Tracking Sheet'!B2220,'Production '!$W$4:$W$4407)</f>
        <v>0</v>
      </c>
      <c r="H2220" s="76">
        <f ca="1">SUMIF('Production '!$C$4:$AI$4407,'Tracking Sheet'!B2220,'Production '!$F$4:$F$4407)</f>
        <v>564</v>
      </c>
      <c r="I2220" s="76">
        <f ca="1">SUMIF('Production '!$C$4:$AI$4407,'Tracking Sheet'!B2220,'Production '!$V$4:$V$4407)</f>
        <v>0</v>
      </c>
      <c r="J2220" s="76">
        <f ca="1">SUMIF('Production '!$C$4:$AI$4407,'Tracking Sheet'!B2220,'Production '!$AG$4:$AG$4407)</f>
        <v>-564</v>
      </c>
    </row>
    <row r="2221" spans="2:10" x14ac:dyDescent="0.3">
      <c r="B2221" s="277">
        <f>'Production '!C2224</f>
        <v>0</v>
      </c>
      <c r="C2221" s="76" t="e">
        <f ca="1">SUMIF('Production '!$C$4:$AI$4407,'Tracking Sheet'!B2221,'Production '!$M$4:$M$4407)</f>
        <v>#DIV/0!</v>
      </c>
      <c r="D2221" s="76" t="e">
        <f ca="1">SUMIF('Production '!$C$4:$AI$4407,'Tracking Sheet'!B2221,'Production '!$Q$4:$Q$4407)</f>
        <v>#DIV/0!</v>
      </c>
      <c r="E2221" s="76">
        <f ca="1">SUMIF('Production '!$C$4:$AI$4407,'Tracking Sheet'!B2221,'Production '!$S$4:$S$4407)</f>
        <v>-1268218.9828305368</v>
      </c>
      <c r="F2221" s="76">
        <f ca="1">SUMIF('Production '!$C$4:$AI$4407,'Tracking Sheet'!B2221,'Production '!$U$4:$U$4407)</f>
        <v>-10620.435600016917</v>
      </c>
      <c r="G2221" s="76" t="e">
        <f ca="1">SUMIF('Production '!$C$4:$AI$4407,'Tracking Sheet'!B2221,'Production '!$W$4:$W$4407)</f>
        <v>#DIV/0!</v>
      </c>
      <c r="H2221" s="76">
        <f ca="1">SUMIF('Production '!$C$4:$AI$4407,'Tracking Sheet'!B2221,'Production '!$F$4:$F$4407)</f>
        <v>3230621.3283604058</v>
      </c>
      <c r="I2221" s="76">
        <f ca="1">SUMIF('Production '!$C$4:$AI$4407,'Tracking Sheet'!B2221,'Production '!$V$4:$V$4407)</f>
        <v>-489.86487791182844</v>
      </c>
      <c r="J2221" s="76">
        <f ca="1">SUMIF('Production '!$C$4:$AI$4407,'Tracking Sheet'!B2221,'Production '!$AG$4:$AG$4407)</f>
        <v>0</v>
      </c>
    </row>
    <row r="2222" spans="2:10" x14ac:dyDescent="0.3">
      <c r="B2222" s="277">
        <f>'Production '!C2225</f>
        <v>48187</v>
      </c>
      <c r="C2222" s="76">
        <f ca="1">SUMIF('Production '!$C$4:$AI$4407,'Tracking Sheet'!B2222,'Production '!$M$4:$M$4407)</f>
        <v>0</v>
      </c>
      <c r="D2222" s="76">
        <f ca="1">SUMIF('Production '!$C$4:$AI$4407,'Tracking Sheet'!B2222,'Production '!$Q$4:$Q$4407)</f>
        <v>0</v>
      </c>
      <c r="E2222" s="76">
        <f ca="1">SUMIF('Production '!$C$4:$AI$4407,'Tracking Sheet'!B2222,'Production '!$S$4:$S$4407)</f>
        <v>0</v>
      </c>
      <c r="F2222" s="76">
        <f ca="1">SUMIF('Production '!$C$4:$AI$4407,'Tracking Sheet'!B2222,'Production '!$U$4:$U$4407)</f>
        <v>0</v>
      </c>
      <c r="G2222" s="76">
        <f ca="1">SUMIF('Production '!$C$4:$AI$4407,'Tracking Sheet'!B2222,'Production '!$W$4:$W$4407)</f>
        <v>0</v>
      </c>
      <c r="H2222" s="76">
        <f ca="1">SUMIF('Production '!$C$4:$AI$4407,'Tracking Sheet'!B2222,'Production '!$F$4:$F$4407)</f>
        <v>504</v>
      </c>
      <c r="I2222" s="76">
        <f ca="1">SUMIF('Production '!$C$4:$AI$4407,'Tracking Sheet'!B2222,'Production '!$V$4:$V$4407)</f>
        <v>0</v>
      </c>
      <c r="J2222" s="76">
        <f ca="1">SUMIF('Production '!$C$4:$AI$4407,'Tracking Sheet'!B2222,'Production '!$AG$4:$AG$4407)</f>
        <v>-504</v>
      </c>
    </row>
    <row r="2223" spans="2:10" x14ac:dyDescent="0.3">
      <c r="B2223" s="277">
        <f>'Production '!C2226</f>
        <v>0</v>
      </c>
      <c r="C2223" s="76" t="e">
        <f ca="1">SUMIF('Production '!$C$4:$AI$4407,'Tracking Sheet'!B2223,'Production '!$M$4:$M$4407)</f>
        <v>#DIV/0!</v>
      </c>
      <c r="D2223" s="76" t="e">
        <f ca="1">SUMIF('Production '!$C$4:$AI$4407,'Tracking Sheet'!B2223,'Production '!$Q$4:$Q$4407)</f>
        <v>#DIV/0!</v>
      </c>
      <c r="E2223" s="76">
        <f ca="1">SUMIF('Production '!$C$4:$AI$4407,'Tracking Sheet'!B2223,'Production '!$S$4:$S$4407)</f>
        <v>-1268218.9828305368</v>
      </c>
      <c r="F2223" s="76">
        <f ca="1">SUMIF('Production '!$C$4:$AI$4407,'Tracking Sheet'!B2223,'Production '!$U$4:$U$4407)</f>
        <v>-10620.435600016917</v>
      </c>
      <c r="G2223" s="76" t="e">
        <f ca="1">SUMIF('Production '!$C$4:$AI$4407,'Tracking Sheet'!B2223,'Production '!$W$4:$W$4407)</f>
        <v>#DIV/0!</v>
      </c>
      <c r="H2223" s="76">
        <f ca="1">SUMIF('Production '!$C$4:$AI$4407,'Tracking Sheet'!B2223,'Production '!$F$4:$F$4407)</f>
        <v>3230621.3283604058</v>
      </c>
      <c r="I2223" s="76">
        <f ca="1">SUMIF('Production '!$C$4:$AI$4407,'Tracking Sheet'!B2223,'Production '!$V$4:$V$4407)</f>
        <v>-489.86487791182844</v>
      </c>
      <c r="J2223" s="76">
        <f ca="1">SUMIF('Production '!$C$4:$AI$4407,'Tracking Sheet'!B2223,'Production '!$AG$4:$AG$4407)</f>
        <v>0</v>
      </c>
    </row>
    <row r="2224" spans="2:10" x14ac:dyDescent="0.3">
      <c r="B2224" s="277">
        <f>'Production '!C2227</f>
        <v>48305</v>
      </c>
      <c r="C2224" s="76">
        <f ca="1">SUMIF('Production '!$C$4:$AI$4407,'Tracking Sheet'!B2224,'Production '!$M$4:$M$4407)</f>
        <v>0</v>
      </c>
      <c r="D2224" s="76">
        <f ca="1">SUMIF('Production '!$C$4:$AI$4407,'Tracking Sheet'!B2224,'Production '!$Q$4:$Q$4407)</f>
        <v>0</v>
      </c>
      <c r="E2224" s="76">
        <f ca="1">SUMIF('Production '!$C$4:$AI$4407,'Tracking Sheet'!B2224,'Production '!$S$4:$S$4407)</f>
        <v>0</v>
      </c>
      <c r="F2224" s="76">
        <f ca="1">SUMIF('Production '!$C$4:$AI$4407,'Tracking Sheet'!B2224,'Production '!$U$4:$U$4407)</f>
        <v>0</v>
      </c>
      <c r="G2224" s="76">
        <f ca="1">SUMIF('Production '!$C$4:$AI$4407,'Tracking Sheet'!B2224,'Production '!$W$4:$W$4407)</f>
        <v>0</v>
      </c>
      <c r="H2224" s="76">
        <f ca="1">SUMIF('Production '!$C$4:$AI$4407,'Tracking Sheet'!B2224,'Production '!$F$4:$F$4407)</f>
        <v>2940</v>
      </c>
      <c r="I2224" s="76">
        <f ca="1">SUMIF('Production '!$C$4:$AI$4407,'Tracking Sheet'!B2224,'Production '!$V$4:$V$4407)</f>
        <v>0</v>
      </c>
      <c r="J2224" s="76">
        <f ca="1">SUMIF('Production '!$C$4:$AI$4407,'Tracking Sheet'!B2224,'Production '!$AG$4:$AG$4407)</f>
        <v>-2940</v>
      </c>
    </row>
    <row r="2225" spans="2:10" x14ac:dyDescent="0.3">
      <c r="B2225" s="277">
        <f>'Production '!C2228</f>
        <v>0</v>
      </c>
      <c r="C2225" s="76" t="e">
        <f ca="1">SUMIF('Production '!$C$4:$AI$4407,'Tracking Sheet'!B2225,'Production '!$M$4:$M$4407)</f>
        <v>#DIV/0!</v>
      </c>
      <c r="D2225" s="76" t="e">
        <f ca="1">SUMIF('Production '!$C$4:$AI$4407,'Tracking Sheet'!B2225,'Production '!$Q$4:$Q$4407)</f>
        <v>#DIV/0!</v>
      </c>
      <c r="E2225" s="76">
        <f ca="1">SUMIF('Production '!$C$4:$AI$4407,'Tracking Sheet'!B2225,'Production '!$S$4:$S$4407)</f>
        <v>-1268218.9828305368</v>
      </c>
      <c r="F2225" s="76">
        <f ca="1">SUMIF('Production '!$C$4:$AI$4407,'Tracking Sheet'!B2225,'Production '!$U$4:$U$4407)</f>
        <v>-10620.435600016917</v>
      </c>
      <c r="G2225" s="76" t="e">
        <f ca="1">SUMIF('Production '!$C$4:$AI$4407,'Tracking Sheet'!B2225,'Production '!$W$4:$W$4407)</f>
        <v>#DIV/0!</v>
      </c>
      <c r="H2225" s="76">
        <f ca="1">SUMIF('Production '!$C$4:$AI$4407,'Tracking Sheet'!B2225,'Production '!$F$4:$F$4407)</f>
        <v>3230621.3283604058</v>
      </c>
      <c r="I2225" s="76">
        <f ca="1">SUMIF('Production '!$C$4:$AI$4407,'Tracking Sheet'!B2225,'Production '!$V$4:$V$4407)</f>
        <v>-489.86487791182844</v>
      </c>
      <c r="J2225" s="76">
        <f ca="1">SUMIF('Production '!$C$4:$AI$4407,'Tracking Sheet'!B2225,'Production '!$AG$4:$AG$4407)</f>
        <v>0</v>
      </c>
    </row>
    <row r="2226" spans="2:10" x14ac:dyDescent="0.3">
      <c r="B2226" s="277">
        <f>'Production '!C2229</f>
        <v>48236</v>
      </c>
      <c r="C2226" s="76">
        <f ca="1">SUMIF('Production '!$C$4:$AI$4407,'Tracking Sheet'!B2226,'Production '!$M$4:$M$4407)</f>
        <v>0</v>
      </c>
      <c r="D2226" s="76">
        <f ca="1">SUMIF('Production '!$C$4:$AI$4407,'Tracking Sheet'!B2226,'Production '!$Q$4:$Q$4407)</f>
        <v>0</v>
      </c>
      <c r="E2226" s="76">
        <f ca="1">SUMIF('Production '!$C$4:$AI$4407,'Tracking Sheet'!B2226,'Production '!$S$4:$S$4407)</f>
        <v>0</v>
      </c>
      <c r="F2226" s="76">
        <f ca="1">SUMIF('Production '!$C$4:$AI$4407,'Tracking Sheet'!B2226,'Production '!$U$4:$U$4407)</f>
        <v>0</v>
      </c>
      <c r="G2226" s="76">
        <f ca="1">SUMIF('Production '!$C$4:$AI$4407,'Tracking Sheet'!B2226,'Production '!$W$4:$W$4407)</f>
        <v>0</v>
      </c>
      <c r="H2226" s="76">
        <f ca="1">SUMIF('Production '!$C$4:$AI$4407,'Tracking Sheet'!B2226,'Production '!$F$4:$F$4407)</f>
        <v>1394</v>
      </c>
      <c r="I2226" s="76">
        <f ca="1">SUMIF('Production '!$C$4:$AI$4407,'Tracking Sheet'!B2226,'Production '!$V$4:$V$4407)</f>
        <v>0</v>
      </c>
      <c r="J2226" s="76">
        <f ca="1">SUMIF('Production '!$C$4:$AI$4407,'Tracking Sheet'!B2226,'Production '!$AG$4:$AG$4407)</f>
        <v>-1394</v>
      </c>
    </row>
    <row r="2227" spans="2:10" x14ac:dyDescent="0.3">
      <c r="B2227" s="277">
        <f>'Production '!C2230</f>
        <v>0</v>
      </c>
      <c r="C2227" s="76" t="e">
        <f ca="1">SUMIF('Production '!$C$4:$AI$4407,'Tracking Sheet'!B2227,'Production '!$M$4:$M$4407)</f>
        <v>#DIV/0!</v>
      </c>
      <c r="D2227" s="76" t="e">
        <f ca="1">SUMIF('Production '!$C$4:$AI$4407,'Tracking Sheet'!B2227,'Production '!$Q$4:$Q$4407)</f>
        <v>#DIV/0!</v>
      </c>
      <c r="E2227" s="76">
        <f ca="1">SUMIF('Production '!$C$4:$AI$4407,'Tracking Sheet'!B2227,'Production '!$S$4:$S$4407)</f>
        <v>-1268218.9828305368</v>
      </c>
      <c r="F2227" s="76">
        <f ca="1">SUMIF('Production '!$C$4:$AI$4407,'Tracking Sheet'!B2227,'Production '!$U$4:$U$4407)</f>
        <v>-10620.435600016917</v>
      </c>
      <c r="G2227" s="76" t="e">
        <f ca="1">SUMIF('Production '!$C$4:$AI$4407,'Tracking Sheet'!B2227,'Production '!$W$4:$W$4407)</f>
        <v>#DIV/0!</v>
      </c>
      <c r="H2227" s="76">
        <f ca="1">SUMIF('Production '!$C$4:$AI$4407,'Tracking Sheet'!B2227,'Production '!$F$4:$F$4407)</f>
        <v>3230621.3283604058</v>
      </c>
      <c r="I2227" s="76">
        <f ca="1">SUMIF('Production '!$C$4:$AI$4407,'Tracking Sheet'!B2227,'Production '!$V$4:$V$4407)</f>
        <v>-489.86487791182844</v>
      </c>
      <c r="J2227" s="76">
        <f ca="1">SUMIF('Production '!$C$4:$AI$4407,'Tracking Sheet'!B2227,'Production '!$AG$4:$AG$4407)</f>
        <v>0</v>
      </c>
    </row>
    <row r="2228" spans="2:10" x14ac:dyDescent="0.3">
      <c r="B2228" s="277" t="str">
        <f>'Production '!C2231</f>
        <v>22040 27th</v>
      </c>
      <c r="C2228" s="76">
        <f ca="1">SUMIF('Production '!$C$4:$AI$4407,'Tracking Sheet'!B2228,'Production '!$M$4:$M$4407)</f>
        <v>3348</v>
      </c>
      <c r="D2228" s="76">
        <f ca="1">SUMIF('Production '!$C$4:$AI$4407,'Tracking Sheet'!B2228,'Production '!$Q$4:$Q$4407)</f>
        <v>0</v>
      </c>
      <c r="E2228" s="76">
        <f ca="1">SUMIF('Production '!$C$4:$AI$4407,'Tracking Sheet'!B2228,'Production '!$S$4:$S$4407)</f>
        <v>0</v>
      </c>
      <c r="F2228" s="76">
        <f ca="1">SUMIF('Production '!$C$4:$AI$4407,'Tracking Sheet'!B2228,'Production '!$U$4:$U$4407)</f>
        <v>3348</v>
      </c>
      <c r="G2228" s="76">
        <f ca="1">SUMIF('Production '!$C$4:$AI$4407,'Tracking Sheet'!B2228,'Production '!$W$4:$W$4407)</f>
        <v>0</v>
      </c>
      <c r="H2228" s="76">
        <f ca="1">SUMIF('Production '!$C$4:$AI$4407,'Tracking Sheet'!B2228,'Production '!$F$4:$F$4407)</f>
        <v>3300</v>
      </c>
      <c r="I2228" s="76">
        <f ca="1">SUMIF('Production '!$C$4:$AI$4407,'Tracking Sheet'!B2228,'Production '!$V$4:$V$4407)</f>
        <v>0</v>
      </c>
      <c r="J2228" s="76">
        <f ca="1">SUMIF('Production '!$C$4:$AI$4407,'Tracking Sheet'!B2228,'Production '!$AG$4:$AG$4407)</f>
        <v>0</v>
      </c>
    </row>
    <row r="2229" spans="2:10" x14ac:dyDescent="0.3">
      <c r="B2229" s="277">
        <f>'Production '!C2232</f>
        <v>0</v>
      </c>
      <c r="C2229" s="76" t="e">
        <f ca="1">SUMIF('Production '!$C$4:$AI$4407,'Tracking Sheet'!B2229,'Production '!$M$4:$M$4407)</f>
        <v>#DIV/0!</v>
      </c>
      <c r="D2229" s="76" t="e">
        <f ca="1">SUMIF('Production '!$C$4:$AI$4407,'Tracking Sheet'!B2229,'Production '!$Q$4:$Q$4407)</f>
        <v>#DIV/0!</v>
      </c>
      <c r="E2229" s="76">
        <f ca="1">SUMIF('Production '!$C$4:$AI$4407,'Tracking Sheet'!B2229,'Production '!$S$4:$S$4407)</f>
        <v>-1268218.9828305368</v>
      </c>
      <c r="F2229" s="76">
        <f ca="1">SUMIF('Production '!$C$4:$AI$4407,'Tracking Sheet'!B2229,'Production '!$U$4:$U$4407)</f>
        <v>-10620.435600016917</v>
      </c>
      <c r="G2229" s="76" t="e">
        <f ca="1">SUMIF('Production '!$C$4:$AI$4407,'Tracking Sheet'!B2229,'Production '!$W$4:$W$4407)</f>
        <v>#DIV/0!</v>
      </c>
      <c r="H2229" s="76">
        <f ca="1">SUMIF('Production '!$C$4:$AI$4407,'Tracking Sheet'!B2229,'Production '!$F$4:$F$4407)</f>
        <v>3230621.3283604058</v>
      </c>
      <c r="I2229" s="76">
        <f ca="1">SUMIF('Production '!$C$4:$AI$4407,'Tracking Sheet'!B2229,'Production '!$V$4:$V$4407)</f>
        <v>-489.86487791182844</v>
      </c>
      <c r="J2229" s="76">
        <f ca="1">SUMIF('Production '!$C$4:$AI$4407,'Tracking Sheet'!B2229,'Production '!$AG$4:$AG$4407)</f>
        <v>0</v>
      </c>
    </row>
    <row r="2230" spans="2:10" x14ac:dyDescent="0.3">
      <c r="B2230" s="277" t="str">
        <f>'Production '!C2233</f>
        <v>22040 28th</v>
      </c>
      <c r="C2230" s="76">
        <f ca="1">SUMIF('Production '!$C$4:$AI$4407,'Tracking Sheet'!B2230,'Production '!$M$4:$M$4407)</f>
        <v>0</v>
      </c>
      <c r="D2230" s="76">
        <f ca="1">SUMIF('Production '!$C$4:$AI$4407,'Tracking Sheet'!B2230,'Production '!$Q$4:$Q$4407)</f>
        <v>0</v>
      </c>
      <c r="E2230" s="76">
        <f ca="1">SUMIF('Production '!$C$4:$AI$4407,'Tracking Sheet'!B2230,'Production '!$S$4:$S$4407)</f>
        <v>0</v>
      </c>
      <c r="F2230" s="76">
        <f ca="1">SUMIF('Production '!$C$4:$AI$4407,'Tracking Sheet'!B2230,'Production '!$U$4:$U$4407)</f>
        <v>0</v>
      </c>
      <c r="G2230" s="76">
        <f ca="1">SUMIF('Production '!$C$4:$AI$4407,'Tracking Sheet'!B2230,'Production '!$W$4:$W$4407)</f>
        <v>0</v>
      </c>
      <c r="H2230" s="76">
        <f ca="1">SUMIF('Production '!$C$4:$AI$4407,'Tracking Sheet'!B2230,'Production '!$F$4:$F$4407)</f>
        <v>10000</v>
      </c>
      <c r="I2230" s="76">
        <f ca="1">SUMIF('Production '!$C$4:$AI$4407,'Tracking Sheet'!B2230,'Production '!$V$4:$V$4407)</f>
        <v>0</v>
      </c>
      <c r="J2230" s="76">
        <f ca="1">SUMIF('Production '!$C$4:$AI$4407,'Tracking Sheet'!B2230,'Production '!$AG$4:$AG$4407)</f>
        <v>-10000</v>
      </c>
    </row>
    <row r="2231" spans="2:10" x14ac:dyDescent="0.3">
      <c r="B2231" s="277">
        <f>'Production '!C2234</f>
        <v>0</v>
      </c>
      <c r="C2231" s="76" t="e">
        <f ca="1">SUMIF('Production '!$C$4:$AI$4407,'Tracking Sheet'!B2231,'Production '!$M$4:$M$4407)</f>
        <v>#DIV/0!</v>
      </c>
      <c r="D2231" s="76" t="e">
        <f ca="1">SUMIF('Production '!$C$4:$AI$4407,'Tracking Sheet'!B2231,'Production '!$Q$4:$Q$4407)</f>
        <v>#DIV/0!</v>
      </c>
      <c r="E2231" s="76">
        <f ca="1">SUMIF('Production '!$C$4:$AI$4407,'Tracking Sheet'!B2231,'Production '!$S$4:$S$4407)</f>
        <v>-1268218.9828305368</v>
      </c>
      <c r="F2231" s="76">
        <f ca="1">SUMIF('Production '!$C$4:$AI$4407,'Tracking Sheet'!B2231,'Production '!$U$4:$U$4407)</f>
        <v>-10620.435600016917</v>
      </c>
      <c r="G2231" s="76" t="e">
        <f ca="1">SUMIF('Production '!$C$4:$AI$4407,'Tracking Sheet'!B2231,'Production '!$W$4:$W$4407)</f>
        <v>#DIV/0!</v>
      </c>
      <c r="H2231" s="76">
        <f ca="1">SUMIF('Production '!$C$4:$AI$4407,'Tracking Sheet'!B2231,'Production '!$F$4:$F$4407)</f>
        <v>3230621.3283604058</v>
      </c>
      <c r="I2231" s="76">
        <f ca="1">SUMIF('Production '!$C$4:$AI$4407,'Tracking Sheet'!B2231,'Production '!$V$4:$V$4407)</f>
        <v>-489.86487791182844</v>
      </c>
      <c r="J2231" s="76">
        <f ca="1">SUMIF('Production '!$C$4:$AI$4407,'Tracking Sheet'!B2231,'Production '!$AG$4:$AG$4407)</f>
        <v>0</v>
      </c>
    </row>
    <row r="2232" spans="2:10" x14ac:dyDescent="0.3">
      <c r="B2232" s="277">
        <f>'Production '!C2235</f>
        <v>48163</v>
      </c>
      <c r="C2232" s="76">
        <f ca="1">SUMIF('Production '!$C$4:$AI$4407,'Tracking Sheet'!B2232,'Production '!$M$4:$M$4407)</f>
        <v>1446</v>
      </c>
      <c r="D2232" s="76">
        <f ca="1">SUMIF('Production '!$C$4:$AI$4407,'Tracking Sheet'!B2232,'Production '!$Q$4:$Q$4407)</f>
        <v>1446</v>
      </c>
      <c r="E2232" s="76">
        <f ca="1">SUMIF('Production '!$C$4:$AI$4407,'Tracking Sheet'!B2232,'Production '!$S$4:$S$4407)</f>
        <v>0</v>
      </c>
      <c r="F2232" s="76">
        <f ca="1">SUMIF('Production '!$C$4:$AI$4407,'Tracking Sheet'!B2232,'Production '!$U$4:$U$4407)</f>
        <v>0</v>
      </c>
      <c r="G2232" s="76">
        <f ca="1">SUMIF('Production '!$C$4:$AI$4407,'Tracking Sheet'!B2232,'Production '!$W$4:$W$4407)</f>
        <v>0</v>
      </c>
      <c r="H2232" s="76">
        <f ca="1">SUMIF('Production '!$C$4:$AI$4407,'Tracking Sheet'!B2232,'Production '!$F$4:$F$4407)</f>
        <v>2808</v>
      </c>
      <c r="I2232" s="76">
        <f ca="1">SUMIF('Production '!$C$4:$AI$4407,'Tracking Sheet'!B2232,'Production '!$V$4:$V$4407)</f>
        <v>0</v>
      </c>
      <c r="J2232" s="76">
        <f ca="1">SUMIF('Production '!$C$4:$AI$4407,'Tracking Sheet'!B2232,'Production '!$AG$4:$AG$4407)</f>
        <v>-1404</v>
      </c>
    </row>
    <row r="2233" spans="2:10" x14ac:dyDescent="0.3">
      <c r="B2233" s="277">
        <f>'Production '!C2236</f>
        <v>48163</v>
      </c>
      <c r="C2233" s="76">
        <f ca="1">SUMIF('Production '!$C$4:$AI$4407,'Tracking Sheet'!B2233,'Production '!$M$4:$M$4407)</f>
        <v>1446</v>
      </c>
      <c r="D2233" s="76">
        <f ca="1">SUMIF('Production '!$C$4:$AI$4407,'Tracking Sheet'!B2233,'Production '!$Q$4:$Q$4407)</f>
        <v>1446</v>
      </c>
      <c r="E2233" s="76">
        <f ca="1">SUMIF('Production '!$C$4:$AI$4407,'Tracking Sheet'!B2233,'Production '!$S$4:$S$4407)</f>
        <v>0</v>
      </c>
      <c r="F2233" s="76">
        <f ca="1">SUMIF('Production '!$C$4:$AI$4407,'Tracking Sheet'!B2233,'Production '!$U$4:$U$4407)</f>
        <v>0</v>
      </c>
      <c r="G2233" s="76">
        <f ca="1">SUMIF('Production '!$C$4:$AI$4407,'Tracking Sheet'!B2233,'Production '!$W$4:$W$4407)</f>
        <v>0</v>
      </c>
      <c r="H2233" s="76">
        <f ca="1">SUMIF('Production '!$C$4:$AI$4407,'Tracking Sheet'!B2233,'Production '!$F$4:$F$4407)</f>
        <v>2808</v>
      </c>
      <c r="I2233" s="76">
        <f ca="1">SUMIF('Production '!$C$4:$AI$4407,'Tracking Sheet'!B2233,'Production '!$V$4:$V$4407)</f>
        <v>0</v>
      </c>
      <c r="J2233" s="76">
        <f ca="1">SUMIF('Production '!$C$4:$AI$4407,'Tracking Sheet'!B2233,'Production '!$AG$4:$AG$4407)</f>
        <v>-1404</v>
      </c>
    </row>
    <row r="2234" spans="2:10" x14ac:dyDescent="0.3">
      <c r="B2234" s="277">
        <f>'Production '!C2237</f>
        <v>0</v>
      </c>
      <c r="C2234" s="76" t="e">
        <f ca="1">SUMIF('Production '!$C$4:$AI$4407,'Tracking Sheet'!B2234,'Production '!$M$4:$M$4407)</f>
        <v>#DIV/0!</v>
      </c>
      <c r="D2234" s="76" t="e">
        <f ca="1">SUMIF('Production '!$C$4:$AI$4407,'Tracking Sheet'!B2234,'Production '!$Q$4:$Q$4407)</f>
        <v>#DIV/0!</v>
      </c>
      <c r="E2234" s="76">
        <f ca="1">SUMIF('Production '!$C$4:$AI$4407,'Tracking Sheet'!B2234,'Production '!$S$4:$S$4407)</f>
        <v>-1268218.9828305368</v>
      </c>
      <c r="F2234" s="76">
        <f ca="1">SUMIF('Production '!$C$4:$AI$4407,'Tracking Sheet'!B2234,'Production '!$U$4:$U$4407)</f>
        <v>-10620.435600016917</v>
      </c>
      <c r="G2234" s="76" t="e">
        <f ca="1">SUMIF('Production '!$C$4:$AI$4407,'Tracking Sheet'!B2234,'Production '!$W$4:$W$4407)</f>
        <v>#DIV/0!</v>
      </c>
      <c r="H2234" s="76">
        <f ca="1">SUMIF('Production '!$C$4:$AI$4407,'Tracking Sheet'!B2234,'Production '!$F$4:$F$4407)</f>
        <v>3230621.3283604058</v>
      </c>
      <c r="I2234" s="76">
        <f ca="1">SUMIF('Production '!$C$4:$AI$4407,'Tracking Sheet'!B2234,'Production '!$V$4:$V$4407)</f>
        <v>-489.86487791182844</v>
      </c>
      <c r="J2234" s="76">
        <f ca="1">SUMIF('Production '!$C$4:$AI$4407,'Tracking Sheet'!B2234,'Production '!$AG$4:$AG$4407)</f>
        <v>0</v>
      </c>
    </row>
    <row r="2235" spans="2:10" x14ac:dyDescent="0.3">
      <c r="B2235" s="277">
        <f>'Production '!C2238</f>
        <v>48126</v>
      </c>
      <c r="C2235" s="76">
        <f ca="1">SUMIF('Production '!$C$4:$AI$4407,'Tracking Sheet'!B2235,'Production '!$M$4:$M$4407)</f>
        <v>0</v>
      </c>
      <c r="D2235" s="76">
        <f ca="1">SUMIF('Production '!$C$4:$AI$4407,'Tracking Sheet'!B2235,'Production '!$Q$4:$Q$4407)</f>
        <v>0</v>
      </c>
      <c r="E2235" s="76">
        <f ca="1">SUMIF('Production '!$C$4:$AI$4407,'Tracking Sheet'!B2235,'Production '!$S$4:$S$4407)</f>
        <v>0</v>
      </c>
      <c r="F2235" s="76">
        <f ca="1">SUMIF('Production '!$C$4:$AI$4407,'Tracking Sheet'!B2235,'Production '!$U$4:$U$4407)</f>
        <v>0</v>
      </c>
      <c r="G2235" s="76">
        <f ca="1">SUMIF('Production '!$C$4:$AI$4407,'Tracking Sheet'!B2235,'Production '!$W$4:$W$4407)</f>
        <v>0</v>
      </c>
      <c r="H2235" s="76">
        <f ca="1">SUMIF('Production '!$C$4:$AI$4407,'Tracking Sheet'!B2235,'Production '!$F$4:$F$4407)</f>
        <v>324</v>
      </c>
      <c r="I2235" s="76">
        <f ca="1">SUMIF('Production '!$C$4:$AI$4407,'Tracking Sheet'!B2235,'Production '!$V$4:$V$4407)</f>
        <v>0</v>
      </c>
      <c r="J2235" s="76">
        <f ca="1">SUMIF('Production '!$C$4:$AI$4407,'Tracking Sheet'!B2235,'Production '!$AG$4:$AG$4407)</f>
        <v>-324</v>
      </c>
    </row>
    <row r="2236" spans="2:10" x14ac:dyDescent="0.3">
      <c r="B2236" s="277">
        <f>'Production '!C2239</f>
        <v>0</v>
      </c>
      <c r="C2236" s="76" t="e">
        <f ca="1">SUMIF('Production '!$C$4:$AI$4407,'Tracking Sheet'!B2236,'Production '!$M$4:$M$4407)</f>
        <v>#DIV/0!</v>
      </c>
      <c r="D2236" s="76" t="e">
        <f ca="1">SUMIF('Production '!$C$4:$AI$4407,'Tracking Sheet'!B2236,'Production '!$Q$4:$Q$4407)</f>
        <v>#DIV/0!</v>
      </c>
      <c r="E2236" s="76">
        <f ca="1">SUMIF('Production '!$C$4:$AI$4407,'Tracking Sheet'!B2236,'Production '!$S$4:$S$4407)</f>
        <v>-1268218.9828305368</v>
      </c>
      <c r="F2236" s="76">
        <f ca="1">SUMIF('Production '!$C$4:$AI$4407,'Tracking Sheet'!B2236,'Production '!$U$4:$U$4407)</f>
        <v>-10620.435600016917</v>
      </c>
      <c r="G2236" s="76" t="e">
        <f ca="1">SUMIF('Production '!$C$4:$AI$4407,'Tracking Sheet'!B2236,'Production '!$W$4:$W$4407)</f>
        <v>#DIV/0!</v>
      </c>
      <c r="H2236" s="76">
        <f ca="1">SUMIF('Production '!$C$4:$AI$4407,'Tracking Sheet'!B2236,'Production '!$F$4:$F$4407)</f>
        <v>3230621.3283604058</v>
      </c>
      <c r="I2236" s="76">
        <f ca="1">SUMIF('Production '!$C$4:$AI$4407,'Tracking Sheet'!B2236,'Production '!$V$4:$V$4407)</f>
        <v>-489.86487791182844</v>
      </c>
      <c r="J2236" s="76">
        <f ca="1">SUMIF('Production '!$C$4:$AI$4407,'Tracking Sheet'!B2236,'Production '!$AG$4:$AG$4407)</f>
        <v>0</v>
      </c>
    </row>
    <row r="2237" spans="2:10" x14ac:dyDescent="0.3">
      <c r="B2237" s="277">
        <f>'Production '!C2240</f>
        <v>47760</v>
      </c>
      <c r="C2237" s="76">
        <f ca="1">SUMIF('Production '!$C$4:$AI$4407,'Tracking Sheet'!B2237,'Production '!$M$4:$M$4407)</f>
        <v>535</v>
      </c>
      <c r="D2237" s="76">
        <f ca="1">SUMIF('Production '!$C$4:$AI$4407,'Tracking Sheet'!B2237,'Production '!$Q$4:$Q$4407)</f>
        <v>535</v>
      </c>
      <c r="E2237" s="76">
        <f ca="1">SUMIF('Production '!$C$4:$AI$4407,'Tracking Sheet'!B2237,'Production '!$S$4:$S$4407)</f>
        <v>535</v>
      </c>
      <c r="F2237" s="76">
        <f ca="1">SUMIF('Production '!$C$4:$AI$4407,'Tracking Sheet'!B2237,'Production '!$U$4:$U$4407)</f>
        <v>3</v>
      </c>
      <c r="G2237" s="76">
        <f ca="1">SUMIF('Production '!$C$4:$AI$4407,'Tracking Sheet'!B2237,'Production '!$W$4:$W$4407)</f>
        <v>532</v>
      </c>
      <c r="H2237" s="76">
        <f ca="1">SUMIF('Production '!$C$4:$AI$4407,'Tracking Sheet'!B2237,'Production '!$F$4:$F$4407)</f>
        <v>516</v>
      </c>
      <c r="I2237" s="76">
        <f ca="1">SUMIF('Production '!$C$4:$AI$4407,'Tracking Sheet'!B2237,'Production '!$V$4:$V$4407)</f>
        <v>0</v>
      </c>
      <c r="J2237" s="76">
        <f ca="1">SUMIF('Production '!$C$4:$AI$4407,'Tracking Sheet'!B2237,'Production '!$AG$4:$AG$4407)</f>
        <v>0</v>
      </c>
    </row>
    <row r="2238" spans="2:10" x14ac:dyDescent="0.3">
      <c r="B2238" s="277">
        <f>'Production '!C2241</f>
        <v>0</v>
      </c>
      <c r="C2238" s="76" t="e">
        <f ca="1">SUMIF('Production '!$C$4:$AI$4407,'Tracking Sheet'!B2238,'Production '!$M$4:$M$4407)</f>
        <v>#DIV/0!</v>
      </c>
      <c r="D2238" s="76" t="e">
        <f ca="1">SUMIF('Production '!$C$4:$AI$4407,'Tracking Sheet'!B2238,'Production '!$Q$4:$Q$4407)</f>
        <v>#DIV/0!</v>
      </c>
      <c r="E2238" s="76">
        <f ca="1">SUMIF('Production '!$C$4:$AI$4407,'Tracking Sheet'!B2238,'Production '!$S$4:$S$4407)</f>
        <v>-1268218.9828305368</v>
      </c>
      <c r="F2238" s="76">
        <f ca="1">SUMIF('Production '!$C$4:$AI$4407,'Tracking Sheet'!B2238,'Production '!$U$4:$U$4407)</f>
        <v>-10620.435600016917</v>
      </c>
      <c r="G2238" s="76" t="e">
        <f ca="1">SUMIF('Production '!$C$4:$AI$4407,'Tracking Sheet'!B2238,'Production '!$W$4:$W$4407)</f>
        <v>#DIV/0!</v>
      </c>
      <c r="H2238" s="76">
        <f ca="1">SUMIF('Production '!$C$4:$AI$4407,'Tracking Sheet'!B2238,'Production '!$F$4:$F$4407)</f>
        <v>3230621.3283604058</v>
      </c>
      <c r="I2238" s="76">
        <f ca="1">SUMIF('Production '!$C$4:$AI$4407,'Tracking Sheet'!B2238,'Production '!$V$4:$V$4407)</f>
        <v>-489.86487791182844</v>
      </c>
      <c r="J2238" s="76">
        <f ca="1">SUMIF('Production '!$C$4:$AI$4407,'Tracking Sheet'!B2238,'Production '!$AG$4:$AG$4407)</f>
        <v>0</v>
      </c>
    </row>
    <row r="2239" spans="2:10" x14ac:dyDescent="0.3">
      <c r="B2239" s="277" t="str">
        <f>'Production '!C2242</f>
        <v>45320 7th</v>
      </c>
      <c r="C2239" s="76">
        <f ca="1">SUMIF('Production '!$C$4:$AI$4407,'Tracking Sheet'!B2239,'Production '!$M$4:$M$4407)</f>
        <v>1975</v>
      </c>
      <c r="D2239" s="76">
        <f ca="1">SUMIF('Production '!$C$4:$AI$4407,'Tracking Sheet'!B2239,'Production '!$Q$4:$Q$4407)</f>
        <v>1203</v>
      </c>
      <c r="E2239" s="76">
        <f ca="1">SUMIF('Production '!$C$4:$AI$4407,'Tracking Sheet'!B2239,'Production '!$S$4:$S$4407)</f>
        <v>0</v>
      </c>
      <c r="F2239" s="76">
        <f ca="1">SUMIF('Production '!$C$4:$AI$4407,'Tracking Sheet'!B2239,'Production '!$U$4:$U$4407)</f>
        <v>0</v>
      </c>
      <c r="G2239" s="76">
        <f ca="1">SUMIF('Production '!$C$4:$AI$4407,'Tracking Sheet'!B2239,'Production '!$W$4:$W$4407)</f>
        <v>0</v>
      </c>
      <c r="H2239" s="76">
        <f ca="1">SUMIF('Production '!$C$4:$AI$4407,'Tracking Sheet'!B2239,'Production '!$F$4:$F$4407)</f>
        <v>1940</v>
      </c>
      <c r="I2239" s="76">
        <f ca="1">SUMIF('Production '!$C$4:$AI$4407,'Tracking Sheet'!B2239,'Production '!$V$4:$V$4407)</f>
        <v>0</v>
      </c>
      <c r="J2239" s="76">
        <f ca="1">SUMIF('Production '!$C$4:$AI$4407,'Tracking Sheet'!B2239,'Production '!$AG$4:$AG$4407)</f>
        <v>0</v>
      </c>
    </row>
    <row r="2240" spans="2:10" x14ac:dyDescent="0.3">
      <c r="B2240" s="277">
        <f>'Production '!C2243</f>
        <v>0</v>
      </c>
      <c r="C2240" s="76" t="e">
        <f ca="1">SUMIF('Production '!$C$4:$AI$4407,'Tracking Sheet'!B2240,'Production '!$M$4:$M$4407)</f>
        <v>#DIV/0!</v>
      </c>
      <c r="D2240" s="76" t="e">
        <f ca="1">SUMIF('Production '!$C$4:$AI$4407,'Tracking Sheet'!B2240,'Production '!$Q$4:$Q$4407)</f>
        <v>#DIV/0!</v>
      </c>
      <c r="E2240" s="76">
        <f ca="1">SUMIF('Production '!$C$4:$AI$4407,'Tracking Sheet'!B2240,'Production '!$S$4:$S$4407)</f>
        <v>-1268218.9828305368</v>
      </c>
      <c r="F2240" s="76">
        <f ca="1">SUMIF('Production '!$C$4:$AI$4407,'Tracking Sheet'!B2240,'Production '!$U$4:$U$4407)</f>
        <v>-10620.435600016917</v>
      </c>
      <c r="G2240" s="76" t="e">
        <f ca="1">SUMIF('Production '!$C$4:$AI$4407,'Tracking Sheet'!B2240,'Production '!$W$4:$W$4407)</f>
        <v>#DIV/0!</v>
      </c>
      <c r="H2240" s="76">
        <f ca="1">SUMIF('Production '!$C$4:$AI$4407,'Tracking Sheet'!B2240,'Production '!$F$4:$F$4407)</f>
        <v>3230621.3283604058</v>
      </c>
      <c r="I2240" s="76">
        <f ca="1">SUMIF('Production '!$C$4:$AI$4407,'Tracking Sheet'!B2240,'Production '!$V$4:$V$4407)</f>
        <v>-489.86487791182844</v>
      </c>
      <c r="J2240" s="76">
        <f ca="1">SUMIF('Production '!$C$4:$AI$4407,'Tracking Sheet'!B2240,'Production '!$AG$4:$AG$4407)</f>
        <v>0</v>
      </c>
    </row>
    <row r="2241" spans="2:10" x14ac:dyDescent="0.3">
      <c r="B2241" s="277" t="str">
        <f>'Production '!C2244</f>
        <v>46309 5th</v>
      </c>
      <c r="C2241" s="76">
        <f ca="1">SUMIF('Production '!$C$4:$AI$4407,'Tracking Sheet'!B2241,'Production '!$M$4:$M$4407)</f>
        <v>2043</v>
      </c>
      <c r="D2241" s="76">
        <f ca="1">SUMIF('Production '!$C$4:$AI$4407,'Tracking Sheet'!B2241,'Production '!$Q$4:$Q$4407)</f>
        <v>0</v>
      </c>
      <c r="E2241" s="76">
        <f ca="1">SUMIF('Production '!$C$4:$AI$4407,'Tracking Sheet'!B2241,'Production '!$S$4:$S$4407)</f>
        <v>0</v>
      </c>
      <c r="F2241" s="76">
        <f ca="1">SUMIF('Production '!$C$4:$AI$4407,'Tracking Sheet'!B2241,'Production '!$U$4:$U$4407)</f>
        <v>0</v>
      </c>
      <c r="G2241" s="76">
        <f ca="1">SUMIF('Production '!$C$4:$AI$4407,'Tracking Sheet'!B2241,'Production '!$W$4:$W$4407)</f>
        <v>2043</v>
      </c>
      <c r="H2241" s="76">
        <f ca="1">SUMIF('Production '!$C$4:$AI$4407,'Tracking Sheet'!B2241,'Production '!$F$4:$F$4407)</f>
        <v>2000</v>
      </c>
      <c r="I2241" s="76">
        <f ca="1">SUMIF('Production '!$C$4:$AI$4407,'Tracking Sheet'!B2241,'Production '!$V$4:$V$4407)</f>
        <v>0</v>
      </c>
      <c r="J2241" s="76">
        <f ca="1">SUMIF('Production '!$C$4:$AI$4407,'Tracking Sheet'!B2241,'Production '!$AG$4:$AG$4407)</f>
        <v>0</v>
      </c>
    </row>
    <row r="2242" spans="2:10" x14ac:dyDescent="0.3">
      <c r="B2242" s="277">
        <f>'Production '!C2245</f>
        <v>0</v>
      </c>
      <c r="C2242" s="76" t="e">
        <f ca="1">SUMIF('Production '!$C$4:$AI$4407,'Tracking Sheet'!B2242,'Production '!$M$4:$M$4407)</f>
        <v>#DIV/0!</v>
      </c>
      <c r="D2242" s="76" t="e">
        <f ca="1">SUMIF('Production '!$C$4:$AI$4407,'Tracking Sheet'!B2242,'Production '!$Q$4:$Q$4407)</f>
        <v>#DIV/0!</v>
      </c>
      <c r="E2242" s="76">
        <f ca="1">SUMIF('Production '!$C$4:$AI$4407,'Tracking Sheet'!B2242,'Production '!$S$4:$S$4407)</f>
        <v>-1268218.9828305368</v>
      </c>
      <c r="F2242" s="76">
        <f ca="1">SUMIF('Production '!$C$4:$AI$4407,'Tracking Sheet'!B2242,'Production '!$U$4:$U$4407)</f>
        <v>-10620.435600016917</v>
      </c>
      <c r="G2242" s="76" t="e">
        <f ca="1">SUMIF('Production '!$C$4:$AI$4407,'Tracking Sheet'!B2242,'Production '!$W$4:$W$4407)</f>
        <v>#DIV/0!</v>
      </c>
      <c r="H2242" s="76">
        <f ca="1">SUMIF('Production '!$C$4:$AI$4407,'Tracking Sheet'!B2242,'Production '!$F$4:$F$4407)</f>
        <v>3230621.3283604058</v>
      </c>
      <c r="I2242" s="76">
        <f ca="1">SUMIF('Production '!$C$4:$AI$4407,'Tracking Sheet'!B2242,'Production '!$V$4:$V$4407)</f>
        <v>-489.86487791182844</v>
      </c>
      <c r="J2242" s="76">
        <f ca="1">SUMIF('Production '!$C$4:$AI$4407,'Tracking Sheet'!B2242,'Production '!$AG$4:$AG$4407)</f>
        <v>0</v>
      </c>
    </row>
    <row r="2243" spans="2:10" x14ac:dyDescent="0.3">
      <c r="B2243" s="277" t="str">
        <f>'Production '!C2246</f>
        <v>46309 6th</v>
      </c>
      <c r="C2243" s="76">
        <f ca="1">SUMIF('Production '!$C$4:$AI$4407,'Tracking Sheet'!B2243,'Production '!$M$4:$M$4407)</f>
        <v>0</v>
      </c>
      <c r="D2243" s="76">
        <f ca="1">SUMIF('Production '!$C$4:$AI$4407,'Tracking Sheet'!B2243,'Production '!$Q$4:$Q$4407)</f>
        <v>0</v>
      </c>
      <c r="E2243" s="76">
        <f ca="1">SUMIF('Production '!$C$4:$AI$4407,'Tracking Sheet'!B2243,'Production '!$S$4:$S$4407)</f>
        <v>0</v>
      </c>
      <c r="F2243" s="76">
        <f ca="1">SUMIF('Production '!$C$4:$AI$4407,'Tracking Sheet'!B2243,'Production '!$U$4:$U$4407)</f>
        <v>0</v>
      </c>
      <c r="G2243" s="76">
        <f ca="1">SUMIF('Production '!$C$4:$AI$4407,'Tracking Sheet'!B2243,'Production '!$W$4:$W$4407)</f>
        <v>0</v>
      </c>
      <c r="H2243" s="76">
        <f ca="1">SUMIF('Production '!$C$4:$AI$4407,'Tracking Sheet'!B2243,'Production '!$F$4:$F$4407)</f>
        <v>2000</v>
      </c>
      <c r="I2243" s="76">
        <f ca="1">SUMIF('Production '!$C$4:$AI$4407,'Tracking Sheet'!B2243,'Production '!$V$4:$V$4407)</f>
        <v>0</v>
      </c>
      <c r="J2243" s="76">
        <f ca="1">SUMIF('Production '!$C$4:$AI$4407,'Tracking Sheet'!B2243,'Production '!$AG$4:$AG$4407)</f>
        <v>-2000</v>
      </c>
    </row>
    <row r="2244" spans="2:10" x14ac:dyDescent="0.3">
      <c r="B2244" s="277">
        <f>'Production '!C2247</f>
        <v>0</v>
      </c>
      <c r="C2244" s="76" t="e">
        <f ca="1">SUMIF('Production '!$C$4:$AI$4407,'Tracking Sheet'!B2244,'Production '!$M$4:$M$4407)</f>
        <v>#DIV/0!</v>
      </c>
      <c r="D2244" s="76" t="e">
        <f ca="1">SUMIF('Production '!$C$4:$AI$4407,'Tracking Sheet'!B2244,'Production '!$Q$4:$Q$4407)</f>
        <v>#DIV/0!</v>
      </c>
      <c r="E2244" s="76">
        <f ca="1">SUMIF('Production '!$C$4:$AI$4407,'Tracking Sheet'!B2244,'Production '!$S$4:$S$4407)</f>
        <v>-1268218.9828305368</v>
      </c>
      <c r="F2244" s="76">
        <f ca="1">SUMIF('Production '!$C$4:$AI$4407,'Tracking Sheet'!B2244,'Production '!$U$4:$U$4407)</f>
        <v>-10620.435600016917</v>
      </c>
      <c r="G2244" s="76" t="e">
        <f ca="1">SUMIF('Production '!$C$4:$AI$4407,'Tracking Sheet'!B2244,'Production '!$W$4:$W$4407)</f>
        <v>#DIV/0!</v>
      </c>
      <c r="H2244" s="76">
        <f ca="1">SUMIF('Production '!$C$4:$AI$4407,'Tracking Sheet'!B2244,'Production '!$F$4:$F$4407)</f>
        <v>3230621.3283604058</v>
      </c>
      <c r="I2244" s="76">
        <f ca="1">SUMIF('Production '!$C$4:$AI$4407,'Tracking Sheet'!B2244,'Production '!$V$4:$V$4407)</f>
        <v>-489.86487791182844</v>
      </c>
      <c r="J2244" s="76">
        <f ca="1">SUMIF('Production '!$C$4:$AI$4407,'Tracking Sheet'!B2244,'Production '!$AG$4:$AG$4407)</f>
        <v>0</v>
      </c>
    </row>
    <row r="2245" spans="2:10" x14ac:dyDescent="0.3">
      <c r="B2245" s="277">
        <f>'Production '!C2248</f>
        <v>48303</v>
      </c>
      <c r="C2245" s="76">
        <f ca="1">SUMIF('Production '!$C$4:$AI$4407,'Tracking Sheet'!B2245,'Production '!$M$4:$M$4407)</f>
        <v>2137</v>
      </c>
      <c r="D2245" s="76">
        <f ca="1">SUMIF('Production '!$C$4:$AI$4407,'Tracking Sheet'!B2245,'Production '!$Q$4:$Q$4407)</f>
        <v>2137</v>
      </c>
      <c r="E2245" s="76">
        <f ca="1">SUMIF('Production '!$C$4:$AI$4407,'Tracking Sheet'!B2245,'Production '!$S$4:$S$4407)</f>
        <v>2137</v>
      </c>
      <c r="F2245" s="76">
        <f ca="1">SUMIF('Production '!$C$4:$AI$4407,'Tracking Sheet'!B2245,'Production '!$U$4:$U$4407)</f>
        <v>21</v>
      </c>
      <c r="G2245" s="76">
        <f ca="1">SUMIF('Production '!$C$4:$AI$4407,'Tracking Sheet'!B2245,'Production '!$W$4:$W$4407)</f>
        <v>2035</v>
      </c>
      <c r="H2245" s="76">
        <f ca="1">SUMIF('Production '!$C$4:$AI$4407,'Tracking Sheet'!B2245,'Production '!$F$4:$F$4407)</f>
        <v>1980</v>
      </c>
      <c r="I2245" s="76">
        <f ca="1">SUMIF('Production '!$C$4:$AI$4407,'Tracking Sheet'!B2245,'Production '!$V$4:$V$4407)</f>
        <v>0</v>
      </c>
      <c r="J2245" s="76">
        <f ca="1">SUMIF('Production '!$C$4:$AI$4407,'Tracking Sheet'!B2245,'Production '!$AG$4:$AG$4407)</f>
        <v>0</v>
      </c>
    </row>
    <row r="2246" spans="2:10" x14ac:dyDescent="0.3">
      <c r="B2246" s="277">
        <f>'Production '!C2249</f>
        <v>48303</v>
      </c>
      <c r="C2246" s="76">
        <f ca="1">SUMIF('Production '!$C$4:$AI$4407,'Tracking Sheet'!B2246,'Production '!$M$4:$M$4407)</f>
        <v>2137</v>
      </c>
      <c r="D2246" s="76">
        <f ca="1">SUMIF('Production '!$C$4:$AI$4407,'Tracking Sheet'!B2246,'Production '!$Q$4:$Q$4407)</f>
        <v>2137</v>
      </c>
      <c r="E2246" s="76">
        <f ca="1">SUMIF('Production '!$C$4:$AI$4407,'Tracking Sheet'!B2246,'Production '!$S$4:$S$4407)</f>
        <v>2137</v>
      </c>
      <c r="F2246" s="76">
        <f ca="1">SUMIF('Production '!$C$4:$AI$4407,'Tracking Sheet'!B2246,'Production '!$U$4:$U$4407)</f>
        <v>21</v>
      </c>
      <c r="G2246" s="76">
        <f ca="1">SUMIF('Production '!$C$4:$AI$4407,'Tracking Sheet'!B2246,'Production '!$W$4:$W$4407)</f>
        <v>2035</v>
      </c>
      <c r="H2246" s="76">
        <f ca="1">SUMIF('Production '!$C$4:$AI$4407,'Tracking Sheet'!B2246,'Production '!$F$4:$F$4407)</f>
        <v>1980</v>
      </c>
      <c r="I2246" s="76">
        <f ca="1">SUMIF('Production '!$C$4:$AI$4407,'Tracking Sheet'!B2246,'Production '!$V$4:$V$4407)</f>
        <v>0</v>
      </c>
      <c r="J2246" s="76">
        <f ca="1">SUMIF('Production '!$C$4:$AI$4407,'Tracking Sheet'!B2246,'Production '!$AG$4:$AG$4407)</f>
        <v>0</v>
      </c>
    </row>
    <row r="2247" spans="2:10" x14ac:dyDescent="0.3">
      <c r="B2247" s="277">
        <f>'Production '!C2250</f>
        <v>0</v>
      </c>
      <c r="C2247" s="76" t="e">
        <f ca="1">SUMIF('Production '!$C$4:$AI$4407,'Tracking Sheet'!B2247,'Production '!$M$4:$M$4407)</f>
        <v>#DIV/0!</v>
      </c>
      <c r="D2247" s="76" t="e">
        <f ca="1">SUMIF('Production '!$C$4:$AI$4407,'Tracking Sheet'!B2247,'Production '!$Q$4:$Q$4407)</f>
        <v>#DIV/0!</v>
      </c>
      <c r="E2247" s="76">
        <f ca="1">SUMIF('Production '!$C$4:$AI$4407,'Tracking Sheet'!B2247,'Production '!$S$4:$S$4407)</f>
        <v>-1268218.9828305368</v>
      </c>
      <c r="F2247" s="76">
        <f ca="1">SUMIF('Production '!$C$4:$AI$4407,'Tracking Sheet'!B2247,'Production '!$U$4:$U$4407)</f>
        <v>-10620.435600016917</v>
      </c>
      <c r="G2247" s="76" t="e">
        <f ca="1">SUMIF('Production '!$C$4:$AI$4407,'Tracking Sheet'!B2247,'Production '!$W$4:$W$4407)</f>
        <v>#DIV/0!</v>
      </c>
      <c r="H2247" s="76">
        <f ca="1">SUMIF('Production '!$C$4:$AI$4407,'Tracking Sheet'!B2247,'Production '!$F$4:$F$4407)</f>
        <v>3230621.3283604058</v>
      </c>
      <c r="I2247" s="76">
        <f ca="1">SUMIF('Production '!$C$4:$AI$4407,'Tracking Sheet'!B2247,'Production '!$V$4:$V$4407)</f>
        <v>-489.86487791182844</v>
      </c>
      <c r="J2247" s="76">
        <f ca="1">SUMIF('Production '!$C$4:$AI$4407,'Tracking Sheet'!B2247,'Production '!$AG$4:$AG$4407)</f>
        <v>0</v>
      </c>
    </row>
    <row r="2248" spans="2:10" x14ac:dyDescent="0.3">
      <c r="B2248" s="277">
        <f>'Production '!C2251</f>
        <v>47758</v>
      </c>
      <c r="C2248" s="76">
        <f ca="1">SUMIF('Production '!$C$4:$AI$4407,'Tracking Sheet'!B2248,'Production '!$M$4:$M$4407)</f>
        <v>1174</v>
      </c>
      <c r="D2248" s="76">
        <f ca="1">SUMIF('Production '!$C$4:$AI$4407,'Tracking Sheet'!B2248,'Production '!$Q$4:$Q$4407)</f>
        <v>1174</v>
      </c>
      <c r="E2248" s="76">
        <f ca="1">SUMIF('Production '!$C$4:$AI$4407,'Tracking Sheet'!B2248,'Production '!$S$4:$S$4407)</f>
        <v>1174</v>
      </c>
      <c r="F2248" s="76">
        <f ca="1">SUMIF('Production '!$C$4:$AI$4407,'Tracking Sheet'!B2248,'Production '!$U$4:$U$4407)</f>
        <v>17</v>
      </c>
      <c r="G2248" s="76">
        <f ca="1">SUMIF('Production '!$C$4:$AI$4407,'Tracking Sheet'!B2248,'Production '!$W$4:$W$4407)</f>
        <v>1157</v>
      </c>
      <c r="H2248" s="76">
        <f ca="1">SUMIF('Production '!$C$4:$AI$4407,'Tracking Sheet'!B2248,'Production '!$F$4:$F$4407)</f>
        <v>1137</v>
      </c>
      <c r="I2248" s="76">
        <f ca="1">SUMIF('Production '!$C$4:$AI$4407,'Tracking Sheet'!B2248,'Production '!$V$4:$V$4407)</f>
        <v>0</v>
      </c>
      <c r="J2248" s="76">
        <f ca="1">SUMIF('Production '!$C$4:$AI$4407,'Tracking Sheet'!B2248,'Production '!$AG$4:$AG$4407)</f>
        <v>0</v>
      </c>
    </row>
    <row r="2249" spans="2:10" x14ac:dyDescent="0.3">
      <c r="B2249" s="277">
        <f>'Production '!C2252</f>
        <v>0</v>
      </c>
      <c r="C2249" s="76" t="e">
        <f ca="1">SUMIF('Production '!$C$4:$AI$4407,'Tracking Sheet'!B2249,'Production '!$M$4:$M$4407)</f>
        <v>#DIV/0!</v>
      </c>
      <c r="D2249" s="76" t="e">
        <f ca="1">SUMIF('Production '!$C$4:$AI$4407,'Tracking Sheet'!B2249,'Production '!$Q$4:$Q$4407)</f>
        <v>#DIV/0!</v>
      </c>
      <c r="E2249" s="76">
        <f ca="1">SUMIF('Production '!$C$4:$AI$4407,'Tracking Sheet'!B2249,'Production '!$S$4:$S$4407)</f>
        <v>-1268218.9828305368</v>
      </c>
      <c r="F2249" s="76">
        <f ca="1">SUMIF('Production '!$C$4:$AI$4407,'Tracking Sheet'!B2249,'Production '!$U$4:$U$4407)</f>
        <v>-10620.435600016917</v>
      </c>
      <c r="G2249" s="76" t="e">
        <f ca="1">SUMIF('Production '!$C$4:$AI$4407,'Tracking Sheet'!B2249,'Production '!$W$4:$W$4407)</f>
        <v>#DIV/0!</v>
      </c>
      <c r="H2249" s="76">
        <f ca="1">SUMIF('Production '!$C$4:$AI$4407,'Tracking Sheet'!B2249,'Production '!$F$4:$F$4407)</f>
        <v>3230621.3283604058</v>
      </c>
      <c r="I2249" s="76">
        <f ca="1">SUMIF('Production '!$C$4:$AI$4407,'Tracking Sheet'!B2249,'Production '!$V$4:$V$4407)</f>
        <v>-489.86487791182844</v>
      </c>
      <c r="J2249" s="76">
        <f ca="1">SUMIF('Production '!$C$4:$AI$4407,'Tracking Sheet'!B2249,'Production '!$AG$4:$AG$4407)</f>
        <v>0</v>
      </c>
    </row>
    <row r="2250" spans="2:10" x14ac:dyDescent="0.3">
      <c r="B2250" s="277">
        <f>'Production '!C2253</f>
        <v>48166</v>
      </c>
      <c r="C2250" s="76">
        <f ca="1">SUMIF('Production '!$C$4:$AI$4407,'Tracking Sheet'!B2250,'Production '!$M$4:$M$4407)</f>
        <v>0</v>
      </c>
      <c r="D2250" s="76">
        <f ca="1">SUMIF('Production '!$C$4:$AI$4407,'Tracking Sheet'!B2250,'Production '!$Q$4:$Q$4407)</f>
        <v>0</v>
      </c>
      <c r="E2250" s="76">
        <f ca="1">SUMIF('Production '!$C$4:$AI$4407,'Tracking Sheet'!B2250,'Production '!$S$4:$S$4407)</f>
        <v>0</v>
      </c>
      <c r="F2250" s="76">
        <f ca="1">SUMIF('Production '!$C$4:$AI$4407,'Tracking Sheet'!B2250,'Production '!$U$4:$U$4407)</f>
        <v>0</v>
      </c>
      <c r="G2250" s="76">
        <f ca="1">SUMIF('Production '!$C$4:$AI$4407,'Tracking Sheet'!B2250,'Production '!$W$4:$W$4407)</f>
        <v>0</v>
      </c>
      <c r="H2250" s="76">
        <f ca="1">SUMIF('Production '!$C$4:$AI$4407,'Tracking Sheet'!B2250,'Production '!$F$4:$F$4407)</f>
        <v>1188</v>
      </c>
      <c r="I2250" s="76">
        <f ca="1">SUMIF('Production '!$C$4:$AI$4407,'Tracking Sheet'!B2250,'Production '!$V$4:$V$4407)</f>
        <v>0</v>
      </c>
      <c r="J2250" s="76">
        <f ca="1">SUMIF('Production '!$C$4:$AI$4407,'Tracking Sheet'!B2250,'Production '!$AG$4:$AG$4407)</f>
        <v>-1188</v>
      </c>
    </row>
    <row r="2251" spans="2:10" x14ac:dyDescent="0.3">
      <c r="B2251" s="277">
        <f>'Production '!C2254</f>
        <v>0</v>
      </c>
      <c r="C2251" s="76" t="e">
        <f ca="1">SUMIF('Production '!$C$4:$AI$4407,'Tracking Sheet'!B2251,'Production '!$M$4:$M$4407)</f>
        <v>#DIV/0!</v>
      </c>
      <c r="D2251" s="76" t="e">
        <f ca="1">SUMIF('Production '!$C$4:$AI$4407,'Tracking Sheet'!B2251,'Production '!$Q$4:$Q$4407)</f>
        <v>#DIV/0!</v>
      </c>
      <c r="E2251" s="76">
        <f ca="1">SUMIF('Production '!$C$4:$AI$4407,'Tracking Sheet'!B2251,'Production '!$S$4:$S$4407)</f>
        <v>-1268218.9828305368</v>
      </c>
      <c r="F2251" s="76">
        <f ca="1">SUMIF('Production '!$C$4:$AI$4407,'Tracking Sheet'!B2251,'Production '!$U$4:$U$4407)</f>
        <v>-10620.435600016917</v>
      </c>
      <c r="G2251" s="76" t="e">
        <f ca="1">SUMIF('Production '!$C$4:$AI$4407,'Tracking Sheet'!B2251,'Production '!$W$4:$W$4407)</f>
        <v>#DIV/0!</v>
      </c>
      <c r="H2251" s="76">
        <f ca="1">SUMIF('Production '!$C$4:$AI$4407,'Tracking Sheet'!B2251,'Production '!$F$4:$F$4407)</f>
        <v>3230621.3283604058</v>
      </c>
      <c r="I2251" s="76">
        <f ca="1">SUMIF('Production '!$C$4:$AI$4407,'Tracking Sheet'!B2251,'Production '!$V$4:$V$4407)</f>
        <v>-489.86487791182844</v>
      </c>
      <c r="J2251" s="76">
        <f ca="1">SUMIF('Production '!$C$4:$AI$4407,'Tracking Sheet'!B2251,'Production '!$AG$4:$AG$4407)</f>
        <v>0</v>
      </c>
    </row>
    <row r="2252" spans="2:10" x14ac:dyDescent="0.3">
      <c r="B2252" s="277">
        <f>'Production '!C2255</f>
        <v>47759</v>
      </c>
      <c r="C2252" s="76">
        <f ca="1">SUMIF('Production '!$C$4:$AI$4407,'Tracking Sheet'!B2252,'Production '!$M$4:$M$4407)</f>
        <v>537</v>
      </c>
      <c r="D2252" s="76">
        <f ca="1">SUMIF('Production '!$C$4:$AI$4407,'Tracking Sheet'!B2252,'Production '!$Q$4:$Q$4407)</f>
        <v>537</v>
      </c>
      <c r="E2252" s="76">
        <f ca="1">SUMIF('Production '!$C$4:$AI$4407,'Tracking Sheet'!B2252,'Production '!$S$4:$S$4407)</f>
        <v>537</v>
      </c>
      <c r="F2252" s="76">
        <f ca="1">SUMIF('Production '!$C$4:$AI$4407,'Tracking Sheet'!B2252,'Production '!$U$4:$U$4407)</f>
        <v>0</v>
      </c>
      <c r="G2252" s="76">
        <f ca="1">SUMIF('Production '!$C$4:$AI$4407,'Tracking Sheet'!B2252,'Production '!$W$4:$W$4407)</f>
        <v>537</v>
      </c>
      <c r="H2252" s="76">
        <f ca="1">SUMIF('Production '!$C$4:$AI$4407,'Tracking Sheet'!B2252,'Production '!$F$4:$F$4407)</f>
        <v>501</v>
      </c>
      <c r="I2252" s="76">
        <f ca="1">SUMIF('Production '!$C$4:$AI$4407,'Tracking Sheet'!B2252,'Production '!$V$4:$V$4407)</f>
        <v>0</v>
      </c>
      <c r="J2252" s="76">
        <f ca="1">SUMIF('Production '!$C$4:$AI$4407,'Tracking Sheet'!B2252,'Production '!$AG$4:$AG$4407)</f>
        <v>0</v>
      </c>
    </row>
    <row r="2253" spans="2:10" x14ac:dyDescent="0.3">
      <c r="B2253" s="277">
        <f>'Production '!C2256</f>
        <v>0</v>
      </c>
      <c r="C2253" s="76" t="e">
        <f ca="1">SUMIF('Production '!$C$4:$AI$4407,'Tracking Sheet'!B2253,'Production '!$M$4:$M$4407)</f>
        <v>#DIV/0!</v>
      </c>
      <c r="D2253" s="76" t="e">
        <f ca="1">SUMIF('Production '!$C$4:$AI$4407,'Tracking Sheet'!B2253,'Production '!$Q$4:$Q$4407)</f>
        <v>#DIV/0!</v>
      </c>
      <c r="E2253" s="76">
        <f ca="1">SUMIF('Production '!$C$4:$AI$4407,'Tracking Sheet'!B2253,'Production '!$S$4:$S$4407)</f>
        <v>-1268218.9828305368</v>
      </c>
      <c r="F2253" s="76">
        <f ca="1">SUMIF('Production '!$C$4:$AI$4407,'Tracking Sheet'!B2253,'Production '!$U$4:$U$4407)</f>
        <v>-10620.435600016917</v>
      </c>
      <c r="G2253" s="76" t="e">
        <f ca="1">SUMIF('Production '!$C$4:$AI$4407,'Tracking Sheet'!B2253,'Production '!$W$4:$W$4407)</f>
        <v>#DIV/0!</v>
      </c>
      <c r="H2253" s="76">
        <f ca="1">SUMIF('Production '!$C$4:$AI$4407,'Tracking Sheet'!B2253,'Production '!$F$4:$F$4407)</f>
        <v>3230621.3283604058</v>
      </c>
      <c r="I2253" s="76">
        <f ca="1">SUMIF('Production '!$C$4:$AI$4407,'Tracking Sheet'!B2253,'Production '!$V$4:$V$4407)</f>
        <v>-489.86487791182844</v>
      </c>
      <c r="J2253" s="76">
        <f ca="1">SUMIF('Production '!$C$4:$AI$4407,'Tracking Sheet'!B2253,'Production '!$AG$4:$AG$4407)</f>
        <v>0</v>
      </c>
    </row>
    <row r="2254" spans="2:10" x14ac:dyDescent="0.3">
      <c r="B2254" s="277">
        <f>'Production '!C2257</f>
        <v>0</v>
      </c>
      <c r="C2254" s="76" t="e">
        <f ca="1">SUMIF('Production '!$C$4:$AI$4407,'Tracking Sheet'!B2254,'Production '!$M$4:$M$4407)</f>
        <v>#DIV/0!</v>
      </c>
      <c r="D2254" s="76" t="e">
        <f ca="1">SUMIF('Production '!$C$4:$AI$4407,'Tracking Sheet'!B2254,'Production '!$Q$4:$Q$4407)</f>
        <v>#DIV/0!</v>
      </c>
      <c r="E2254" s="76">
        <f ca="1">SUMIF('Production '!$C$4:$AI$4407,'Tracking Sheet'!B2254,'Production '!$S$4:$S$4407)</f>
        <v>-1268218.9828305368</v>
      </c>
      <c r="F2254" s="76">
        <f ca="1">SUMIF('Production '!$C$4:$AI$4407,'Tracking Sheet'!B2254,'Production '!$U$4:$U$4407)</f>
        <v>-10620.435600016917</v>
      </c>
      <c r="G2254" s="76" t="e">
        <f ca="1">SUMIF('Production '!$C$4:$AI$4407,'Tracking Sheet'!B2254,'Production '!$W$4:$W$4407)</f>
        <v>#DIV/0!</v>
      </c>
      <c r="H2254" s="76">
        <f ca="1">SUMIF('Production '!$C$4:$AI$4407,'Tracking Sheet'!B2254,'Production '!$F$4:$F$4407)</f>
        <v>3230621.3283604058</v>
      </c>
      <c r="I2254" s="76">
        <f ca="1">SUMIF('Production '!$C$4:$AI$4407,'Tracking Sheet'!B2254,'Production '!$V$4:$V$4407)</f>
        <v>-489.86487791182844</v>
      </c>
      <c r="J2254" s="76">
        <f ca="1">SUMIF('Production '!$C$4:$AI$4407,'Tracking Sheet'!B2254,'Production '!$AG$4:$AG$4407)</f>
        <v>0</v>
      </c>
    </row>
    <row r="2255" spans="2:10" x14ac:dyDescent="0.3">
      <c r="B2255" s="277">
        <f>'Production '!C2258</f>
        <v>0</v>
      </c>
      <c r="C2255" s="76" t="e">
        <f ca="1">SUMIF('Production '!$C$4:$AI$4407,'Tracking Sheet'!B2255,'Production '!$M$4:$M$4407)</f>
        <v>#DIV/0!</v>
      </c>
      <c r="D2255" s="76" t="e">
        <f ca="1">SUMIF('Production '!$C$4:$AI$4407,'Tracking Sheet'!B2255,'Production '!$Q$4:$Q$4407)</f>
        <v>#DIV/0!</v>
      </c>
      <c r="E2255" s="76">
        <f ca="1">SUMIF('Production '!$C$4:$AI$4407,'Tracking Sheet'!B2255,'Production '!$S$4:$S$4407)</f>
        <v>-1268218.9828305368</v>
      </c>
      <c r="F2255" s="76">
        <f ca="1">SUMIF('Production '!$C$4:$AI$4407,'Tracking Sheet'!B2255,'Production '!$U$4:$U$4407)</f>
        <v>-10620.435600016917</v>
      </c>
      <c r="G2255" s="76" t="e">
        <f ca="1">SUMIF('Production '!$C$4:$AI$4407,'Tracking Sheet'!B2255,'Production '!$W$4:$W$4407)</f>
        <v>#DIV/0!</v>
      </c>
      <c r="H2255" s="76">
        <f ca="1">SUMIF('Production '!$C$4:$AI$4407,'Tracking Sheet'!B2255,'Production '!$F$4:$F$4407)</f>
        <v>3230621.3283604058</v>
      </c>
      <c r="I2255" s="76">
        <f ca="1">SUMIF('Production '!$C$4:$AI$4407,'Tracking Sheet'!B2255,'Production '!$V$4:$V$4407)</f>
        <v>-489.86487791182844</v>
      </c>
      <c r="J2255" s="76">
        <f ca="1">SUMIF('Production '!$C$4:$AI$4407,'Tracking Sheet'!B2255,'Production '!$AG$4:$AG$4407)</f>
        <v>0</v>
      </c>
    </row>
    <row r="2256" spans="2:10" x14ac:dyDescent="0.3">
      <c r="B2256" s="277">
        <f>'Production '!C2259</f>
        <v>0</v>
      </c>
      <c r="C2256" s="76" t="e">
        <f ca="1">SUMIF('Production '!$C$4:$AI$4407,'Tracking Sheet'!B2256,'Production '!$M$4:$M$4407)</f>
        <v>#DIV/0!</v>
      </c>
      <c r="D2256" s="76" t="e">
        <f ca="1">SUMIF('Production '!$C$4:$AI$4407,'Tracking Sheet'!B2256,'Production '!$Q$4:$Q$4407)</f>
        <v>#DIV/0!</v>
      </c>
      <c r="E2256" s="76">
        <f ca="1">SUMIF('Production '!$C$4:$AI$4407,'Tracking Sheet'!B2256,'Production '!$S$4:$S$4407)</f>
        <v>-1268218.9828305368</v>
      </c>
      <c r="F2256" s="76">
        <f ca="1">SUMIF('Production '!$C$4:$AI$4407,'Tracking Sheet'!B2256,'Production '!$U$4:$U$4407)</f>
        <v>-10620.435600016917</v>
      </c>
      <c r="G2256" s="76" t="e">
        <f ca="1">SUMIF('Production '!$C$4:$AI$4407,'Tracking Sheet'!B2256,'Production '!$W$4:$W$4407)</f>
        <v>#DIV/0!</v>
      </c>
      <c r="H2256" s="76">
        <f ca="1">SUMIF('Production '!$C$4:$AI$4407,'Tracking Sheet'!B2256,'Production '!$F$4:$F$4407)</f>
        <v>3230621.3283604058</v>
      </c>
      <c r="I2256" s="76">
        <f ca="1">SUMIF('Production '!$C$4:$AI$4407,'Tracking Sheet'!B2256,'Production '!$V$4:$V$4407)</f>
        <v>-489.86487791182844</v>
      </c>
      <c r="J2256" s="76">
        <f ca="1">SUMIF('Production '!$C$4:$AI$4407,'Tracking Sheet'!B2256,'Production '!$AG$4:$AG$4407)</f>
        <v>0</v>
      </c>
    </row>
    <row r="2257" spans="2:10" x14ac:dyDescent="0.3">
      <c r="B2257" s="277">
        <f>'Production '!C2260</f>
        <v>0</v>
      </c>
      <c r="C2257" s="76" t="e">
        <f ca="1">SUMIF('Production '!$C$4:$AI$4407,'Tracking Sheet'!B2257,'Production '!$M$4:$M$4407)</f>
        <v>#DIV/0!</v>
      </c>
      <c r="D2257" s="76" t="e">
        <f ca="1">SUMIF('Production '!$C$4:$AI$4407,'Tracking Sheet'!B2257,'Production '!$Q$4:$Q$4407)</f>
        <v>#DIV/0!</v>
      </c>
      <c r="E2257" s="76">
        <f ca="1">SUMIF('Production '!$C$4:$AI$4407,'Tracking Sheet'!B2257,'Production '!$S$4:$S$4407)</f>
        <v>-1268218.9828305368</v>
      </c>
      <c r="F2257" s="76">
        <f ca="1">SUMIF('Production '!$C$4:$AI$4407,'Tracking Sheet'!B2257,'Production '!$U$4:$U$4407)</f>
        <v>-10620.435600016917</v>
      </c>
      <c r="G2257" s="76" t="e">
        <f ca="1">SUMIF('Production '!$C$4:$AI$4407,'Tracking Sheet'!B2257,'Production '!$W$4:$W$4407)</f>
        <v>#DIV/0!</v>
      </c>
      <c r="H2257" s="76">
        <f ca="1">SUMIF('Production '!$C$4:$AI$4407,'Tracking Sheet'!B2257,'Production '!$F$4:$F$4407)</f>
        <v>3230621.3283604058</v>
      </c>
      <c r="I2257" s="76">
        <f ca="1">SUMIF('Production '!$C$4:$AI$4407,'Tracking Sheet'!B2257,'Production '!$V$4:$V$4407)</f>
        <v>-489.86487791182844</v>
      </c>
      <c r="J2257" s="76">
        <f ca="1">SUMIF('Production '!$C$4:$AI$4407,'Tracking Sheet'!B2257,'Production '!$AG$4:$AG$4407)</f>
        <v>0</v>
      </c>
    </row>
    <row r="2258" spans="2:10" x14ac:dyDescent="0.3">
      <c r="B2258" s="277">
        <f>'Production '!C2261</f>
        <v>0</v>
      </c>
      <c r="C2258" s="76" t="e">
        <f ca="1">SUMIF('Production '!$C$4:$AI$4407,'Tracking Sheet'!B2258,'Production '!$M$4:$M$4407)</f>
        <v>#DIV/0!</v>
      </c>
      <c r="D2258" s="76" t="e">
        <f ca="1">SUMIF('Production '!$C$4:$AI$4407,'Tracking Sheet'!B2258,'Production '!$Q$4:$Q$4407)</f>
        <v>#DIV/0!</v>
      </c>
      <c r="E2258" s="76">
        <f ca="1">SUMIF('Production '!$C$4:$AI$4407,'Tracking Sheet'!B2258,'Production '!$S$4:$S$4407)</f>
        <v>-1268218.9828305368</v>
      </c>
      <c r="F2258" s="76">
        <f ca="1">SUMIF('Production '!$C$4:$AI$4407,'Tracking Sheet'!B2258,'Production '!$U$4:$U$4407)</f>
        <v>-10620.435600016917</v>
      </c>
      <c r="G2258" s="76" t="e">
        <f ca="1">SUMIF('Production '!$C$4:$AI$4407,'Tracking Sheet'!B2258,'Production '!$W$4:$W$4407)</f>
        <v>#DIV/0!</v>
      </c>
      <c r="H2258" s="76">
        <f ca="1">SUMIF('Production '!$C$4:$AI$4407,'Tracking Sheet'!B2258,'Production '!$F$4:$F$4407)</f>
        <v>3230621.3283604058</v>
      </c>
      <c r="I2258" s="76">
        <f ca="1">SUMIF('Production '!$C$4:$AI$4407,'Tracking Sheet'!B2258,'Production '!$V$4:$V$4407)</f>
        <v>-489.86487791182844</v>
      </c>
      <c r="J2258" s="76">
        <f ca="1">SUMIF('Production '!$C$4:$AI$4407,'Tracking Sheet'!B2258,'Production '!$AG$4:$AG$4407)</f>
        <v>0</v>
      </c>
    </row>
    <row r="2259" spans="2:10" x14ac:dyDescent="0.3">
      <c r="B2259" s="277">
        <f>'Production '!C2262</f>
        <v>0</v>
      </c>
      <c r="C2259" s="76" t="e">
        <f ca="1">SUMIF('Production '!$C$4:$AI$4407,'Tracking Sheet'!B2259,'Production '!$M$4:$M$4407)</f>
        <v>#DIV/0!</v>
      </c>
      <c r="D2259" s="76" t="e">
        <f ca="1">SUMIF('Production '!$C$4:$AI$4407,'Tracking Sheet'!B2259,'Production '!$Q$4:$Q$4407)</f>
        <v>#DIV/0!</v>
      </c>
      <c r="E2259" s="76">
        <f ca="1">SUMIF('Production '!$C$4:$AI$4407,'Tracking Sheet'!B2259,'Production '!$S$4:$S$4407)</f>
        <v>-1268218.9828305368</v>
      </c>
      <c r="F2259" s="76">
        <f ca="1">SUMIF('Production '!$C$4:$AI$4407,'Tracking Sheet'!B2259,'Production '!$U$4:$U$4407)</f>
        <v>-10620.435600016917</v>
      </c>
      <c r="G2259" s="76" t="e">
        <f ca="1">SUMIF('Production '!$C$4:$AI$4407,'Tracking Sheet'!B2259,'Production '!$W$4:$W$4407)</f>
        <v>#DIV/0!</v>
      </c>
      <c r="H2259" s="76">
        <f ca="1">SUMIF('Production '!$C$4:$AI$4407,'Tracking Sheet'!B2259,'Production '!$F$4:$F$4407)</f>
        <v>3230621.3283604058</v>
      </c>
      <c r="I2259" s="76">
        <f ca="1">SUMIF('Production '!$C$4:$AI$4407,'Tracking Sheet'!B2259,'Production '!$V$4:$V$4407)</f>
        <v>-489.86487791182844</v>
      </c>
      <c r="J2259" s="76">
        <f ca="1">SUMIF('Production '!$C$4:$AI$4407,'Tracking Sheet'!B2259,'Production '!$AG$4:$AG$4407)</f>
        <v>0</v>
      </c>
    </row>
    <row r="2260" spans="2:10" x14ac:dyDescent="0.3">
      <c r="B2260" s="277">
        <f>'Production '!C2263</f>
        <v>0</v>
      </c>
      <c r="C2260" s="76" t="e">
        <f ca="1">SUMIF('Production '!$C$4:$AI$4407,'Tracking Sheet'!B2260,'Production '!$M$4:$M$4407)</f>
        <v>#DIV/0!</v>
      </c>
      <c r="D2260" s="76" t="e">
        <f ca="1">SUMIF('Production '!$C$4:$AI$4407,'Tracking Sheet'!B2260,'Production '!$Q$4:$Q$4407)</f>
        <v>#DIV/0!</v>
      </c>
      <c r="E2260" s="76">
        <f ca="1">SUMIF('Production '!$C$4:$AI$4407,'Tracking Sheet'!B2260,'Production '!$S$4:$S$4407)</f>
        <v>-1268218.9828305368</v>
      </c>
      <c r="F2260" s="76">
        <f ca="1">SUMIF('Production '!$C$4:$AI$4407,'Tracking Sheet'!B2260,'Production '!$U$4:$U$4407)</f>
        <v>-10620.435600016917</v>
      </c>
      <c r="G2260" s="76" t="e">
        <f ca="1">SUMIF('Production '!$C$4:$AI$4407,'Tracking Sheet'!B2260,'Production '!$W$4:$W$4407)</f>
        <v>#DIV/0!</v>
      </c>
      <c r="H2260" s="76">
        <f ca="1">SUMIF('Production '!$C$4:$AI$4407,'Tracking Sheet'!B2260,'Production '!$F$4:$F$4407)</f>
        <v>3230621.3283604058</v>
      </c>
      <c r="I2260" s="76">
        <f ca="1">SUMIF('Production '!$C$4:$AI$4407,'Tracking Sheet'!B2260,'Production '!$V$4:$V$4407)</f>
        <v>-489.86487791182844</v>
      </c>
      <c r="J2260" s="76">
        <f ca="1">SUMIF('Production '!$C$4:$AI$4407,'Tracking Sheet'!B2260,'Production '!$AG$4:$AG$4407)</f>
        <v>0</v>
      </c>
    </row>
    <row r="2261" spans="2:10" x14ac:dyDescent="0.3">
      <c r="B2261" s="277">
        <f>'Production '!C2264</f>
        <v>0</v>
      </c>
      <c r="C2261" s="76" t="e">
        <f ca="1">SUMIF('Production '!$C$4:$AI$4407,'Tracking Sheet'!B2261,'Production '!$M$4:$M$4407)</f>
        <v>#DIV/0!</v>
      </c>
      <c r="D2261" s="76" t="e">
        <f ca="1">SUMIF('Production '!$C$4:$AI$4407,'Tracking Sheet'!B2261,'Production '!$Q$4:$Q$4407)</f>
        <v>#DIV/0!</v>
      </c>
      <c r="E2261" s="76">
        <f ca="1">SUMIF('Production '!$C$4:$AI$4407,'Tracking Sheet'!B2261,'Production '!$S$4:$S$4407)</f>
        <v>-1268218.9828305368</v>
      </c>
      <c r="F2261" s="76">
        <f ca="1">SUMIF('Production '!$C$4:$AI$4407,'Tracking Sheet'!B2261,'Production '!$U$4:$U$4407)</f>
        <v>-10620.435600016917</v>
      </c>
      <c r="G2261" s="76" t="e">
        <f ca="1">SUMIF('Production '!$C$4:$AI$4407,'Tracking Sheet'!B2261,'Production '!$W$4:$W$4407)</f>
        <v>#DIV/0!</v>
      </c>
      <c r="H2261" s="76">
        <f ca="1">SUMIF('Production '!$C$4:$AI$4407,'Tracking Sheet'!B2261,'Production '!$F$4:$F$4407)</f>
        <v>3230621.3283604058</v>
      </c>
      <c r="I2261" s="76">
        <f ca="1">SUMIF('Production '!$C$4:$AI$4407,'Tracking Sheet'!B2261,'Production '!$V$4:$V$4407)</f>
        <v>-489.86487791182844</v>
      </c>
      <c r="J2261" s="76">
        <f ca="1">SUMIF('Production '!$C$4:$AI$4407,'Tracking Sheet'!B2261,'Production '!$AG$4:$AG$4407)</f>
        <v>0</v>
      </c>
    </row>
    <row r="2262" spans="2:10" x14ac:dyDescent="0.3">
      <c r="B2262" s="277">
        <f>'Production '!C2265</f>
        <v>0</v>
      </c>
      <c r="C2262" s="76" t="e">
        <f ca="1">SUMIF('Production '!$C$4:$AI$4407,'Tracking Sheet'!B2262,'Production '!$M$4:$M$4407)</f>
        <v>#DIV/0!</v>
      </c>
      <c r="D2262" s="76" t="e">
        <f ca="1">SUMIF('Production '!$C$4:$AI$4407,'Tracking Sheet'!B2262,'Production '!$Q$4:$Q$4407)</f>
        <v>#DIV/0!</v>
      </c>
      <c r="E2262" s="76">
        <f ca="1">SUMIF('Production '!$C$4:$AI$4407,'Tracking Sheet'!B2262,'Production '!$S$4:$S$4407)</f>
        <v>-1268218.9828305368</v>
      </c>
      <c r="F2262" s="76">
        <f ca="1">SUMIF('Production '!$C$4:$AI$4407,'Tracking Sheet'!B2262,'Production '!$U$4:$U$4407)</f>
        <v>-10620.435600016917</v>
      </c>
      <c r="G2262" s="76" t="e">
        <f ca="1">SUMIF('Production '!$C$4:$AI$4407,'Tracking Sheet'!B2262,'Production '!$W$4:$W$4407)</f>
        <v>#DIV/0!</v>
      </c>
      <c r="H2262" s="76">
        <f ca="1">SUMIF('Production '!$C$4:$AI$4407,'Tracking Sheet'!B2262,'Production '!$F$4:$F$4407)</f>
        <v>3230621.3283604058</v>
      </c>
      <c r="I2262" s="76">
        <f ca="1">SUMIF('Production '!$C$4:$AI$4407,'Tracking Sheet'!B2262,'Production '!$V$4:$V$4407)</f>
        <v>-489.86487791182844</v>
      </c>
      <c r="J2262" s="76">
        <f ca="1">SUMIF('Production '!$C$4:$AI$4407,'Tracking Sheet'!B2262,'Production '!$AG$4:$AG$4407)</f>
        <v>0</v>
      </c>
    </row>
    <row r="2263" spans="2:10" x14ac:dyDescent="0.3">
      <c r="B2263" s="277">
        <f>'Production '!C2266</f>
        <v>0</v>
      </c>
      <c r="C2263" s="76" t="e">
        <f ca="1">SUMIF('Production '!$C$4:$AI$4407,'Tracking Sheet'!B2263,'Production '!$M$4:$M$4407)</f>
        <v>#DIV/0!</v>
      </c>
      <c r="D2263" s="76" t="e">
        <f ca="1">SUMIF('Production '!$C$4:$AI$4407,'Tracking Sheet'!B2263,'Production '!$Q$4:$Q$4407)</f>
        <v>#DIV/0!</v>
      </c>
      <c r="E2263" s="76">
        <f ca="1">SUMIF('Production '!$C$4:$AI$4407,'Tracking Sheet'!B2263,'Production '!$S$4:$S$4407)</f>
        <v>-1268218.9828305368</v>
      </c>
      <c r="F2263" s="76">
        <f ca="1">SUMIF('Production '!$C$4:$AI$4407,'Tracking Sheet'!B2263,'Production '!$U$4:$U$4407)</f>
        <v>-10620.435600016917</v>
      </c>
      <c r="G2263" s="76" t="e">
        <f ca="1">SUMIF('Production '!$C$4:$AI$4407,'Tracking Sheet'!B2263,'Production '!$W$4:$W$4407)</f>
        <v>#DIV/0!</v>
      </c>
      <c r="H2263" s="76">
        <f ca="1">SUMIF('Production '!$C$4:$AI$4407,'Tracking Sheet'!B2263,'Production '!$F$4:$F$4407)</f>
        <v>3230621.3283604058</v>
      </c>
      <c r="I2263" s="76">
        <f ca="1">SUMIF('Production '!$C$4:$AI$4407,'Tracking Sheet'!B2263,'Production '!$V$4:$V$4407)</f>
        <v>-489.86487791182844</v>
      </c>
      <c r="J2263" s="76">
        <f ca="1">SUMIF('Production '!$C$4:$AI$4407,'Tracking Sheet'!B2263,'Production '!$AG$4:$AG$4407)</f>
        <v>0</v>
      </c>
    </row>
    <row r="2264" spans="2:10" x14ac:dyDescent="0.3">
      <c r="B2264" s="277">
        <f>'Production '!C2267</f>
        <v>0</v>
      </c>
      <c r="C2264" s="76" t="e">
        <f ca="1">SUMIF('Production '!$C$4:$AI$4407,'Tracking Sheet'!B2264,'Production '!$M$4:$M$4407)</f>
        <v>#DIV/0!</v>
      </c>
      <c r="D2264" s="76" t="e">
        <f ca="1">SUMIF('Production '!$C$4:$AI$4407,'Tracking Sheet'!B2264,'Production '!$Q$4:$Q$4407)</f>
        <v>#DIV/0!</v>
      </c>
      <c r="E2264" s="76">
        <f ca="1">SUMIF('Production '!$C$4:$AI$4407,'Tracking Sheet'!B2264,'Production '!$S$4:$S$4407)</f>
        <v>-1268218.9828305368</v>
      </c>
      <c r="F2264" s="76">
        <f ca="1">SUMIF('Production '!$C$4:$AI$4407,'Tracking Sheet'!B2264,'Production '!$U$4:$U$4407)</f>
        <v>-10620.435600016917</v>
      </c>
      <c r="G2264" s="76" t="e">
        <f ca="1">SUMIF('Production '!$C$4:$AI$4407,'Tracking Sheet'!B2264,'Production '!$W$4:$W$4407)</f>
        <v>#DIV/0!</v>
      </c>
      <c r="H2264" s="76">
        <f ca="1">SUMIF('Production '!$C$4:$AI$4407,'Tracking Sheet'!B2264,'Production '!$F$4:$F$4407)</f>
        <v>3230621.3283604058</v>
      </c>
      <c r="I2264" s="76">
        <f ca="1">SUMIF('Production '!$C$4:$AI$4407,'Tracking Sheet'!B2264,'Production '!$V$4:$V$4407)</f>
        <v>-489.86487791182844</v>
      </c>
      <c r="J2264" s="76">
        <f ca="1">SUMIF('Production '!$C$4:$AI$4407,'Tracking Sheet'!B2264,'Production '!$AG$4:$AG$4407)</f>
        <v>0</v>
      </c>
    </row>
    <row r="2265" spans="2:10" x14ac:dyDescent="0.3">
      <c r="B2265" s="277">
        <f>'Production '!C2268</f>
        <v>0</v>
      </c>
      <c r="C2265" s="76" t="e">
        <f ca="1">SUMIF('Production '!$C$4:$AI$4407,'Tracking Sheet'!B2265,'Production '!$M$4:$M$4407)</f>
        <v>#DIV/0!</v>
      </c>
      <c r="D2265" s="76" t="e">
        <f ca="1">SUMIF('Production '!$C$4:$AI$4407,'Tracking Sheet'!B2265,'Production '!$Q$4:$Q$4407)</f>
        <v>#DIV/0!</v>
      </c>
      <c r="E2265" s="76">
        <f ca="1">SUMIF('Production '!$C$4:$AI$4407,'Tracking Sheet'!B2265,'Production '!$S$4:$S$4407)</f>
        <v>-1268218.9828305368</v>
      </c>
      <c r="F2265" s="76">
        <f ca="1">SUMIF('Production '!$C$4:$AI$4407,'Tracking Sheet'!B2265,'Production '!$U$4:$U$4407)</f>
        <v>-10620.435600016917</v>
      </c>
      <c r="G2265" s="76" t="e">
        <f ca="1">SUMIF('Production '!$C$4:$AI$4407,'Tracking Sheet'!B2265,'Production '!$W$4:$W$4407)</f>
        <v>#DIV/0!</v>
      </c>
      <c r="H2265" s="76">
        <f ca="1">SUMIF('Production '!$C$4:$AI$4407,'Tracking Sheet'!B2265,'Production '!$F$4:$F$4407)</f>
        <v>3230621.3283604058</v>
      </c>
      <c r="I2265" s="76">
        <f ca="1">SUMIF('Production '!$C$4:$AI$4407,'Tracking Sheet'!B2265,'Production '!$V$4:$V$4407)</f>
        <v>-489.86487791182844</v>
      </c>
      <c r="J2265" s="76">
        <f ca="1">SUMIF('Production '!$C$4:$AI$4407,'Tracking Sheet'!B2265,'Production '!$AG$4:$AG$4407)</f>
        <v>0</v>
      </c>
    </row>
    <row r="2266" spans="2:10" x14ac:dyDescent="0.3">
      <c r="B2266" s="277">
        <f>'Production '!C2269</f>
        <v>0</v>
      </c>
      <c r="C2266" s="76" t="e">
        <f ca="1">SUMIF('Production '!$C$4:$AI$4407,'Tracking Sheet'!B2266,'Production '!$M$4:$M$4407)</f>
        <v>#DIV/0!</v>
      </c>
      <c r="D2266" s="76" t="e">
        <f ca="1">SUMIF('Production '!$C$4:$AI$4407,'Tracking Sheet'!B2266,'Production '!$Q$4:$Q$4407)</f>
        <v>#DIV/0!</v>
      </c>
      <c r="E2266" s="76">
        <f ca="1">SUMIF('Production '!$C$4:$AI$4407,'Tracking Sheet'!B2266,'Production '!$S$4:$S$4407)</f>
        <v>-1268218.9828305368</v>
      </c>
      <c r="F2266" s="76">
        <f ca="1">SUMIF('Production '!$C$4:$AI$4407,'Tracking Sheet'!B2266,'Production '!$U$4:$U$4407)</f>
        <v>-10620.435600016917</v>
      </c>
      <c r="G2266" s="76" t="e">
        <f ca="1">SUMIF('Production '!$C$4:$AI$4407,'Tracking Sheet'!B2266,'Production '!$W$4:$W$4407)</f>
        <v>#DIV/0!</v>
      </c>
      <c r="H2266" s="76">
        <f ca="1">SUMIF('Production '!$C$4:$AI$4407,'Tracking Sheet'!B2266,'Production '!$F$4:$F$4407)</f>
        <v>3230621.3283604058</v>
      </c>
      <c r="I2266" s="76">
        <f ca="1">SUMIF('Production '!$C$4:$AI$4407,'Tracking Sheet'!B2266,'Production '!$V$4:$V$4407)</f>
        <v>-489.86487791182844</v>
      </c>
      <c r="J2266" s="76">
        <f ca="1">SUMIF('Production '!$C$4:$AI$4407,'Tracking Sheet'!B2266,'Production '!$AG$4:$AG$4407)</f>
        <v>0</v>
      </c>
    </row>
    <row r="2267" spans="2:10" x14ac:dyDescent="0.3">
      <c r="B2267" s="277">
        <f>'Production '!C2270</f>
        <v>0</v>
      </c>
      <c r="C2267" s="76" t="e">
        <f ca="1">SUMIF('Production '!$C$4:$AI$4407,'Tracking Sheet'!B2267,'Production '!$M$4:$M$4407)</f>
        <v>#DIV/0!</v>
      </c>
      <c r="D2267" s="76" t="e">
        <f ca="1">SUMIF('Production '!$C$4:$AI$4407,'Tracking Sheet'!B2267,'Production '!$Q$4:$Q$4407)</f>
        <v>#DIV/0!</v>
      </c>
      <c r="E2267" s="76">
        <f ca="1">SUMIF('Production '!$C$4:$AI$4407,'Tracking Sheet'!B2267,'Production '!$S$4:$S$4407)</f>
        <v>-1268218.9828305368</v>
      </c>
      <c r="F2267" s="76">
        <f ca="1">SUMIF('Production '!$C$4:$AI$4407,'Tracking Sheet'!B2267,'Production '!$U$4:$U$4407)</f>
        <v>-10620.435600016917</v>
      </c>
      <c r="G2267" s="76" t="e">
        <f ca="1">SUMIF('Production '!$C$4:$AI$4407,'Tracking Sheet'!B2267,'Production '!$W$4:$W$4407)</f>
        <v>#DIV/0!</v>
      </c>
      <c r="H2267" s="76">
        <f ca="1">SUMIF('Production '!$C$4:$AI$4407,'Tracking Sheet'!B2267,'Production '!$F$4:$F$4407)</f>
        <v>3230621.3283604058</v>
      </c>
      <c r="I2267" s="76">
        <f ca="1">SUMIF('Production '!$C$4:$AI$4407,'Tracking Sheet'!B2267,'Production '!$V$4:$V$4407)</f>
        <v>-489.86487791182844</v>
      </c>
      <c r="J2267" s="76">
        <f ca="1">SUMIF('Production '!$C$4:$AI$4407,'Tracking Sheet'!B2267,'Production '!$AG$4:$AG$4407)</f>
        <v>0</v>
      </c>
    </row>
    <row r="2268" spans="2:10" x14ac:dyDescent="0.3">
      <c r="B2268" s="277">
        <f>'Production '!C2271</f>
        <v>0</v>
      </c>
      <c r="C2268" s="76" t="e">
        <f ca="1">SUMIF('Production '!$C$4:$AI$4407,'Tracking Sheet'!B2268,'Production '!$M$4:$M$4407)</f>
        <v>#DIV/0!</v>
      </c>
      <c r="D2268" s="76" t="e">
        <f ca="1">SUMIF('Production '!$C$4:$AI$4407,'Tracking Sheet'!B2268,'Production '!$Q$4:$Q$4407)</f>
        <v>#DIV/0!</v>
      </c>
      <c r="E2268" s="76">
        <f ca="1">SUMIF('Production '!$C$4:$AI$4407,'Tracking Sheet'!B2268,'Production '!$S$4:$S$4407)</f>
        <v>-1268218.9828305368</v>
      </c>
      <c r="F2268" s="76">
        <f ca="1">SUMIF('Production '!$C$4:$AI$4407,'Tracking Sheet'!B2268,'Production '!$U$4:$U$4407)</f>
        <v>-10620.435600016917</v>
      </c>
      <c r="G2268" s="76" t="e">
        <f ca="1">SUMIF('Production '!$C$4:$AI$4407,'Tracking Sheet'!B2268,'Production '!$W$4:$W$4407)</f>
        <v>#DIV/0!</v>
      </c>
      <c r="H2268" s="76">
        <f ca="1">SUMIF('Production '!$C$4:$AI$4407,'Tracking Sheet'!B2268,'Production '!$F$4:$F$4407)</f>
        <v>3230621.3283604058</v>
      </c>
      <c r="I2268" s="76">
        <f ca="1">SUMIF('Production '!$C$4:$AI$4407,'Tracking Sheet'!B2268,'Production '!$V$4:$V$4407)</f>
        <v>-489.86487791182844</v>
      </c>
      <c r="J2268" s="76">
        <f ca="1">SUMIF('Production '!$C$4:$AI$4407,'Tracking Sheet'!B2268,'Production '!$AG$4:$AG$4407)</f>
        <v>0</v>
      </c>
    </row>
    <row r="2269" spans="2:10" x14ac:dyDescent="0.3">
      <c r="B2269" s="277">
        <f>'Production '!C2272</f>
        <v>0</v>
      </c>
      <c r="C2269" s="76" t="e">
        <f ca="1">SUMIF('Production '!$C$4:$AI$4407,'Tracking Sheet'!B2269,'Production '!$M$4:$M$4407)</f>
        <v>#DIV/0!</v>
      </c>
      <c r="D2269" s="76" t="e">
        <f ca="1">SUMIF('Production '!$C$4:$AI$4407,'Tracking Sheet'!B2269,'Production '!$Q$4:$Q$4407)</f>
        <v>#DIV/0!</v>
      </c>
      <c r="E2269" s="76">
        <f ca="1">SUMIF('Production '!$C$4:$AI$4407,'Tracking Sheet'!B2269,'Production '!$S$4:$S$4407)</f>
        <v>-1268218.9828305368</v>
      </c>
      <c r="F2269" s="76">
        <f ca="1">SUMIF('Production '!$C$4:$AI$4407,'Tracking Sheet'!B2269,'Production '!$U$4:$U$4407)</f>
        <v>-10620.435600016917</v>
      </c>
      <c r="G2269" s="76" t="e">
        <f ca="1">SUMIF('Production '!$C$4:$AI$4407,'Tracking Sheet'!B2269,'Production '!$W$4:$W$4407)</f>
        <v>#DIV/0!</v>
      </c>
      <c r="H2269" s="76">
        <f ca="1">SUMIF('Production '!$C$4:$AI$4407,'Tracking Sheet'!B2269,'Production '!$F$4:$F$4407)</f>
        <v>3230621.3283604058</v>
      </c>
      <c r="I2269" s="76">
        <f ca="1">SUMIF('Production '!$C$4:$AI$4407,'Tracking Sheet'!B2269,'Production '!$V$4:$V$4407)</f>
        <v>-489.86487791182844</v>
      </c>
      <c r="J2269" s="76">
        <f ca="1">SUMIF('Production '!$C$4:$AI$4407,'Tracking Sheet'!B2269,'Production '!$AG$4:$AG$4407)</f>
        <v>0</v>
      </c>
    </row>
    <row r="2270" spans="2:10" x14ac:dyDescent="0.3">
      <c r="B2270" s="277">
        <f>'Production '!C2273</f>
        <v>0</v>
      </c>
      <c r="C2270" s="76" t="e">
        <f ca="1">SUMIF('Production '!$C$4:$AI$4407,'Tracking Sheet'!B2270,'Production '!$M$4:$M$4407)</f>
        <v>#DIV/0!</v>
      </c>
      <c r="D2270" s="76" t="e">
        <f ca="1">SUMIF('Production '!$C$4:$AI$4407,'Tracking Sheet'!B2270,'Production '!$Q$4:$Q$4407)</f>
        <v>#DIV/0!</v>
      </c>
      <c r="E2270" s="76">
        <f ca="1">SUMIF('Production '!$C$4:$AI$4407,'Tracking Sheet'!B2270,'Production '!$S$4:$S$4407)</f>
        <v>-1268218.9828305368</v>
      </c>
      <c r="F2270" s="76">
        <f ca="1">SUMIF('Production '!$C$4:$AI$4407,'Tracking Sheet'!B2270,'Production '!$U$4:$U$4407)</f>
        <v>-10620.435600016917</v>
      </c>
      <c r="G2270" s="76" t="e">
        <f ca="1">SUMIF('Production '!$C$4:$AI$4407,'Tracking Sheet'!B2270,'Production '!$W$4:$W$4407)</f>
        <v>#DIV/0!</v>
      </c>
      <c r="H2270" s="76">
        <f ca="1">SUMIF('Production '!$C$4:$AI$4407,'Tracking Sheet'!B2270,'Production '!$F$4:$F$4407)</f>
        <v>3230621.3283604058</v>
      </c>
      <c r="I2270" s="76">
        <f ca="1">SUMIF('Production '!$C$4:$AI$4407,'Tracking Sheet'!B2270,'Production '!$V$4:$V$4407)</f>
        <v>-489.86487791182844</v>
      </c>
      <c r="J2270" s="76">
        <f ca="1">SUMIF('Production '!$C$4:$AI$4407,'Tracking Sheet'!B2270,'Production '!$AG$4:$AG$4407)</f>
        <v>0</v>
      </c>
    </row>
    <row r="2271" spans="2:10" x14ac:dyDescent="0.3">
      <c r="B2271" s="277">
        <f>'Production '!C2274</f>
        <v>0</v>
      </c>
      <c r="C2271" s="76" t="e">
        <f ca="1">SUMIF('Production '!$C$4:$AI$4407,'Tracking Sheet'!B2271,'Production '!$M$4:$M$4407)</f>
        <v>#DIV/0!</v>
      </c>
      <c r="D2271" s="76" t="e">
        <f ca="1">SUMIF('Production '!$C$4:$AI$4407,'Tracking Sheet'!B2271,'Production '!$Q$4:$Q$4407)</f>
        <v>#DIV/0!</v>
      </c>
      <c r="E2271" s="76">
        <f ca="1">SUMIF('Production '!$C$4:$AI$4407,'Tracking Sheet'!B2271,'Production '!$S$4:$S$4407)</f>
        <v>-1268218.9828305368</v>
      </c>
      <c r="F2271" s="76">
        <f ca="1">SUMIF('Production '!$C$4:$AI$4407,'Tracking Sheet'!B2271,'Production '!$U$4:$U$4407)</f>
        <v>-10620.435600016917</v>
      </c>
      <c r="G2271" s="76" t="e">
        <f ca="1">SUMIF('Production '!$C$4:$AI$4407,'Tracking Sheet'!B2271,'Production '!$W$4:$W$4407)</f>
        <v>#DIV/0!</v>
      </c>
      <c r="H2271" s="76">
        <f ca="1">SUMIF('Production '!$C$4:$AI$4407,'Tracking Sheet'!B2271,'Production '!$F$4:$F$4407)</f>
        <v>3230621.3283604058</v>
      </c>
      <c r="I2271" s="76">
        <f ca="1">SUMIF('Production '!$C$4:$AI$4407,'Tracking Sheet'!B2271,'Production '!$V$4:$V$4407)</f>
        <v>-489.86487791182844</v>
      </c>
      <c r="J2271" s="76">
        <f ca="1">SUMIF('Production '!$C$4:$AI$4407,'Tracking Sheet'!B2271,'Production '!$AG$4:$AG$4407)</f>
        <v>0</v>
      </c>
    </row>
    <row r="2272" spans="2:10" x14ac:dyDescent="0.3">
      <c r="B2272" s="277">
        <f>'Production '!C2275</f>
        <v>0</v>
      </c>
      <c r="C2272" s="76" t="e">
        <f ca="1">SUMIF('Production '!$C$4:$AI$4407,'Tracking Sheet'!B2272,'Production '!$M$4:$M$4407)</f>
        <v>#DIV/0!</v>
      </c>
      <c r="D2272" s="76" t="e">
        <f ca="1">SUMIF('Production '!$C$4:$AI$4407,'Tracking Sheet'!B2272,'Production '!$Q$4:$Q$4407)</f>
        <v>#DIV/0!</v>
      </c>
      <c r="E2272" s="76">
        <f ca="1">SUMIF('Production '!$C$4:$AI$4407,'Tracking Sheet'!B2272,'Production '!$S$4:$S$4407)</f>
        <v>-1268218.9828305368</v>
      </c>
      <c r="F2272" s="76">
        <f ca="1">SUMIF('Production '!$C$4:$AI$4407,'Tracking Sheet'!B2272,'Production '!$U$4:$U$4407)</f>
        <v>-10620.435600016917</v>
      </c>
      <c r="G2272" s="76" t="e">
        <f ca="1">SUMIF('Production '!$C$4:$AI$4407,'Tracking Sheet'!B2272,'Production '!$W$4:$W$4407)</f>
        <v>#DIV/0!</v>
      </c>
      <c r="H2272" s="76">
        <f ca="1">SUMIF('Production '!$C$4:$AI$4407,'Tracking Sheet'!B2272,'Production '!$F$4:$F$4407)</f>
        <v>3230621.3283604058</v>
      </c>
      <c r="I2272" s="76">
        <f ca="1">SUMIF('Production '!$C$4:$AI$4407,'Tracking Sheet'!B2272,'Production '!$V$4:$V$4407)</f>
        <v>-489.86487791182844</v>
      </c>
      <c r="J2272" s="76">
        <f ca="1">SUMIF('Production '!$C$4:$AI$4407,'Tracking Sheet'!B2272,'Production '!$AG$4:$AG$4407)</f>
        <v>0</v>
      </c>
    </row>
    <row r="2273" spans="2:10" x14ac:dyDescent="0.3">
      <c r="B2273" s="277">
        <f>'Production '!C2276</f>
        <v>0</v>
      </c>
      <c r="C2273" s="76" t="e">
        <f ca="1">SUMIF('Production '!$C$4:$AI$4407,'Tracking Sheet'!B2273,'Production '!$M$4:$M$4407)</f>
        <v>#DIV/0!</v>
      </c>
      <c r="D2273" s="76" t="e">
        <f ca="1">SUMIF('Production '!$C$4:$AI$4407,'Tracking Sheet'!B2273,'Production '!$Q$4:$Q$4407)</f>
        <v>#DIV/0!</v>
      </c>
      <c r="E2273" s="76">
        <f ca="1">SUMIF('Production '!$C$4:$AI$4407,'Tracking Sheet'!B2273,'Production '!$S$4:$S$4407)</f>
        <v>-1268218.9828305368</v>
      </c>
      <c r="F2273" s="76">
        <f ca="1">SUMIF('Production '!$C$4:$AI$4407,'Tracking Sheet'!B2273,'Production '!$U$4:$U$4407)</f>
        <v>-10620.435600016917</v>
      </c>
      <c r="G2273" s="76" t="e">
        <f ca="1">SUMIF('Production '!$C$4:$AI$4407,'Tracking Sheet'!B2273,'Production '!$W$4:$W$4407)</f>
        <v>#DIV/0!</v>
      </c>
      <c r="H2273" s="76">
        <f ca="1">SUMIF('Production '!$C$4:$AI$4407,'Tracking Sheet'!B2273,'Production '!$F$4:$F$4407)</f>
        <v>3230621.3283604058</v>
      </c>
      <c r="I2273" s="76">
        <f ca="1">SUMIF('Production '!$C$4:$AI$4407,'Tracking Sheet'!B2273,'Production '!$V$4:$V$4407)</f>
        <v>-489.86487791182844</v>
      </c>
      <c r="J2273" s="76">
        <f ca="1">SUMIF('Production '!$C$4:$AI$4407,'Tracking Sheet'!B2273,'Production '!$AG$4:$AG$4407)</f>
        <v>0</v>
      </c>
    </row>
    <row r="2274" spans="2:10" x14ac:dyDescent="0.3">
      <c r="B2274" s="277">
        <f>'Production '!C2277</f>
        <v>0</v>
      </c>
      <c r="C2274" s="76" t="e">
        <f ca="1">SUMIF('Production '!$C$4:$AI$4407,'Tracking Sheet'!B2274,'Production '!$M$4:$M$4407)</f>
        <v>#DIV/0!</v>
      </c>
      <c r="D2274" s="76" t="e">
        <f ca="1">SUMIF('Production '!$C$4:$AI$4407,'Tracking Sheet'!B2274,'Production '!$Q$4:$Q$4407)</f>
        <v>#DIV/0!</v>
      </c>
      <c r="E2274" s="76">
        <f ca="1">SUMIF('Production '!$C$4:$AI$4407,'Tracking Sheet'!B2274,'Production '!$S$4:$S$4407)</f>
        <v>-1268218.9828305368</v>
      </c>
      <c r="F2274" s="76">
        <f ca="1">SUMIF('Production '!$C$4:$AI$4407,'Tracking Sheet'!B2274,'Production '!$U$4:$U$4407)</f>
        <v>-10620.435600016917</v>
      </c>
      <c r="G2274" s="76" t="e">
        <f ca="1">SUMIF('Production '!$C$4:$AI$4407,'Tracking Sheet'!B2274,'Production '!$W$4:$W$4407)</f>
        <v>#DIV/0!</v>
      </c>
      <c r="H2274" s="76">
        <f ca="1">SUMIF('Production '!$C$4:$AI$4407,'Tracking Sheet'!B2274,'Production '!$F$4:$F$4407)</f>
        <v>3230621.3283604058</v>
      </c>
      <c r="I2274" s="76">
        <f ca="1">SUMIF('Production '!$C$4:$AI$4407,'Tracking Sheet'!B2274,'Production '!$V$4:$V$4407)</f>
        <v>-489.86487791182844</v>
      </c>
      <c r="J2274" s="76">
        <f ca="1">SUMIF('Production '!$C$4:$AI$4407,'Tracking Sheet'!B2274,'Production '!$AG$4:$AG$4407)</f>
        <v>0</v>
      </c>
    </row>
    <row r="2275" spans="2:10" x14ac:dyDescent="0.3">
      <c r="B2275" s="277">
        <f>'Production '!C2278</f>
        <v>0</v>
      </c>
      <c r="C2275" s="76" t="e">
        <f ca="1">SUMIF('Production '!$C$4:$AI$4407,'Tracking Sheet'!B2275,'Production '!$M$4:$M$4407)</f>
        <v>#DIV/0!</v>
      </c>
      <c r="D2275" s="76" t="e">
        <f ca="1">SUMIF('Production '!$C$4:$AI$4407,'Tracking Sheet'!B2275,'Production '!$Q$4:$Q$4407)</f>
        <v>#DIV/0!</v>
      </c>
      <c r="E2275" s="76">
        <f ca="1">SUMIF('Production '!$C$4:$AI$4407,'Tracking Sheet'!B2275,'Production '!$S$4:$S$4407)</f>
        <v>-1268218.9828305368</v>
      </c>
      <c r="F2275" s="76">
        <f ca="1">SUMIF('Production '!$C$4:$AI$4407,'Tracking Sheet'!B2275,'Production '!$U$4:$U$4407)</f>
        <v>-10620.435600016917</v>
      </c>
      <c r="G2275" s="76" t="e">
        <f ca="1">SUMIF('Production '!$C$4:$AI$4407,'Tracking Sheet'!B2275,'Production '!$W$4:$W$4407)</f>
        <v>#DIV/0!</v>
      </c>
      <c r="H2275" s="76">
        <f ca="1">SUMIF('Production '!$C$4:$AI$4407,'Tracking Sheet'!B2275,'Production '!$F$4:$F$4407)</f>
        <v>3230621.3283604058</v>
      </c>
      <c r="I2275" s="76">
        <f ca="1">SUMIF('Production '!$C$4:$AI$4407,'Tracking Sheet'!B2275,'Production '!$V$4:$V$4407)</f>
        <v>-489.86487791182844</v>
      </c>
      <c r="J2275" s="76">
        <f ca="1">SUMIF('Production '!$C$4:$AI$4407,'Tracking Sheet'!B2275,'Production '!$AG$4:$AG$4407)</f>
        <v>0</v>
      </c>
    </row>
    <row r="2276" spans="2:10" x14ac:dyDescent="0.3">
      <c r="B2276" s="277">
        <f>'Production '!C2279</f>
        <v>0</v>
      </c>
      <c r="C2276" s="76" t="e">
        <f ca="1">SUMIF('Production '!$C$4:$AI$4407,'Tracking Sheet'!B2276,'Production '!$M$4:$M$4407)</f>
        <v>#DIV/0!</v>
      </c>
      <c r="D2276" s="76" t="e">
        <f ca="1">SUMIF('Production '!$C$4:$AI$4407,'Tracking Sheet'!B2276,'Production '!$Q$4:$Q$4407)</f>
        <v>#DIV/0!</v>
      </c>
      <c r="E2276" s="76">
        <f ca="1">SUMIF('Production '!$C$4:$AI$4407,'Tracking Sheet'!B2276,'Production '!$S$4:$S$4407)</f>
        <v>-1268218.9828305368</v>
      </c>
      <c r="F2276" s="76">
        <f ca="1">SUMIF('Production '!$C$4:$AI$4407,'Tracking Sheet'!B2276,'Production '!$U$4:$U$4407)</f>
        <v>-10620.435600016917</v>
      </c>
      <c r="G2276" s="76" t="e">
        <f ca="1">SUMIF('Production '!$C$4:$AI$4407,'Tracking Sheet'!B2276,'Production '!$W$4:$W$4407)</f>
        <v>#DIV/0!</v>
      </c>
      <c r="H2276" s="76">
        <f ca="1">SUMIF('Production '!$C$4:$AI$4407,'Tracking Sheet'!B2276,'Production '!$F$4:$F$4407)</f>
        <v>3230621.3283604058</v>
      </c>
      <c r="I2276" s="76">
        <f ca="1">SUMIF('Production '!$C$4:$AI$4407,'Tracking Sheet'!B2276,'Production '!$V$4:$V$4407)</f>
        <v>-489.86487791182844</v>
      </c>
      <c r="J2276" s="76">
        <f ca="1">SUMIF('Production '!$C$4:$AI$4407,'Tracking Sheet'!B2276,'Production '!$AG$4:$AG$4407)</f>
        <v>0</v>
      </c>
    </row>
    <row r="2277" spans="2:10" x14ac:dyDescent="0.3">
      <c r="B2277" s="277">
        <f>'Production '!C2280</f>
        <v>0</v>
      </c>
      <c r="C2277" s="76" t="e">
        <f ca="1">SUMIF('Production '!$C$4:$AI$4407,'Tracking Sheet'!B2277,'Production '!$M$4:$M$4407)</f>
        <v>#DIV/0!</v>
      </c>
      <c r="D2277" s="76" t="e">
        <f ca="1">SUMIF('Production '!$C$4:$AI$4407,'Tracking Sheet'!B2277,'Production '!$Q$4:$Q$4407)</f>
        <v>#DIV/0!</v>
      </c>
      <c r="E2277" s="76">
        <f ca="1">SUMIF('Production '!$C$4:$AI$4407,'Tracking Sheet'!B2277,'Production '!$S$4:$S$4407)</f>
        <v>-1268218.9828305368</v>
      </c>
      <c r="F2277" s="76">
        <f ca="1">SUMIF('Production '!$C$4:$AI$4407,'Tracking Sheet'!B2277,'Production '!$U$4:$U$4407)</f>
        <v>-10620.435600016917</v>
      </c>
      <c r="G2277" s="76" t="e">
        <f ca="1">SUMIF('Production '!$C$4:$AI$4407,'Tracking Sheet'!B2277,'Production '!$W$4:$W$4407)</f>
        <v>#DIV/0!</v>
      </c>
      <c r="H2277" s="76">
        <f ca="1">SUMIF('Production '!$C$4:$AI$4407,'Tracking Sheet'!B2277,'Production '!$F$4:$F$4407)</f>
        <v>3230621.3283604058</v>
      </c>
      <c r="I2277" s="76">
        <f ca="1">SUMIF('Production '!$C$4:$AI$4407,'Tracking Sheet'!B2277,'Production '!$V$4:$V$4407)</f>
        <v>-489.86487791182844</v>
      </c>
      <c r="J2277" s="76">
        <f ca="1">SUMIF('Production '!$C$4:$AI$4407,'Tracking Sheet'!B2277,'Production '!$AG$4:$AG$4407)</f>
        <v>0</v>
      </c>
    </row>
    <row r="2278" spans="2:10" x14ac:dyDescent="0.3">
      <c r="B2278" s="277">
        <f>'Production '!C2281</f>
        <v>0</v>
      </c>
      <c r="C2278" s="76" t="e">
        <f ca="1">SUMIF('Production '!$C$4:$AI$4407,'Tracking Sheet'!B2278,'Production '!$M$4:$M$4407)</f>
        <v>#DIV/0!</v>
      </c>
      <c r="D2278" s="76" t="e">
        <f ca="1">SUMIF('Production '!$C$4:$AI$4407,'Tracking Sheet'!B2278,'Production '!$Q$4:$Q$4407)</f>
        <v>#DIV/0!</v>
      </c>
      <c r="E2278" s="76">
        <f ca="1">SUMIF('Production '!$C$4:$AI$4407,'Tracking Sheet'!B2278,'Production '!$S$4:$S$4407)</f>
        <v>-1268218.9828305368</v>
      </c>
      <c r="F2278" s="76">
        <f ca="1">SUMIF('Production '!$C$4:$AI$4407,'Tracking Sheet'!B2278,'Production '!$U$4:$U$4407)</f>
        <v>-10620.435600016917</v>
      </c>
      <c r="G2278" s="76" t="e">
        <f ca="1">SUMIF('Production '!$C$4:$AI$4407,'Tracking Sheet'!B2278,'Production '!$W$4:$W$4407)</f>
        <v>#DIV/0!</v>
      </c>
      <c r="H2278" s="76">
        <f ca="1">SUMIF('Production '!$C$4:$AI$4407,'Tracking Sheet'!B2278,'Production '!$F$4:$F$4407)</f>
        <v>3230621.3283604058</v>
      </c>
      <c r="I2278" s="76">
        <f ca="1">SUMIF('Production '!$C$4:$AI$4407,'Tracking Sheet'!B2278,'Production '!$V$4:$V$4407)</f>
        <v>-489.86487791182844</v>
      </c>
      <c r="J2278" s="76">
        <f ca="1">SUMIF('Production '!$C$4:$AI$4407,'Tracking Sheet'!B2278,'Production '!$AG$4:$AG$4407)</f>
        <v>0</v>
      </c>
    </row>
    <row r="2279" spans="2:10" x14ac:dyDescent="0.3">
      <c r="B2279" s="277">
        <f>'Production '!C2282</f>
        <v>0</v>
      </c>
      <c r="C2279" s="76" t="e">
        <f ca="1">SUMIF('Production '!$C$4:$AI$4407,'Tracking Sheet'!B2279,'Production '!$M$4:$M$4407)</f>
        <v>#DIV/0!</v>
      </c>
      <c r="D2279" s="76" t="e">
        <f ca="1">SUMIF('Production '!$C$4:$AI$4407,'Tracking Sheet'!B2279,'Production '!$Q$4:$Q$4407)</f>
        <v>#DIV/0!</v>
      </c>
      <c r="E2279" s="76">
        <f ca="1">SUMIF('Production '!$C$4:$AI$4407,'Tracking Sheet'!B2279,'Production '!$S$4:$S$4407)</f>
        <v>-1268218.9828305368</v>
      </c>
      <c r="F2279" s="76">
        <f ca="1">SUMIF('Production '!$C$4:$AI$4407,'Tracking Sheet'!B2279,'Production '!$U$4:$U$4407)</f>
        <v>-10620.435600016917</v>
      </c>
      <c r="G2279" s="76" t="e">
        <f ca="1">SUMIF('Production '!$C$4:$AI$4407,'Tracking Sheet'!B2279,'Production '!$W$4:$W$4407)</f>
        <v>#DIV/0!</v>
      </c>
      <c r="H2279" s="76">
        <f ca="1">SUMIF('Production '!$C$4:$AI$4407,'Tracking Sheet'!B2279,'Production '!$F$4:$F$4407)</f>
        <v>3230621.3283604058</v>
      </c>
      <c r="I2279" s="76">
        <f ca="1">SUMIF('Production '!$C$4:$AI$4407,'Tracking Sheet'!B2279,'Production '!$V$4:$V$4407)</f>
        <v>-489.86487791182844</v>
      </c>
      <c r="J2279" s="76">
        <f ca="1">SUMIF('Production '!$C$4:$AI$4407,'Tracking Sheet'!B2279,'Production '!$AG$4:$AG$4407)</f>
        <v>0</v>
      </c>
    </row>
    <row r="2280" spans="2:10" x14ac:dyDescent="0.3">
      <c r="B2280" s="277">
        <f>'Production '!C2283</f>
        <v>0</v>
      </c>
      <c r="C2280" s="76" t="e">
        <f ca="1">SUMIF('Production '!$C$4:$AI$4407,'Tracking Sheet'!B2280,'Production '!$M$4:$M$4407)</f>
        <v>#DIV/0!</v>
      </c>
      <c r="D2280" s="76" t="e">
        <f ca="1">SUMIF('Production '!$C$4:$AI$4407,'Tracking Sheet'!B2280,'Production '!$Q$4:$Q$4407)</f>
        <v>#DIV/0!</v>
      </c>
      <c r="E2280" s="76">
        <f ca="1">SUMIF('Production '!$C$4:$AI$4407,'Tracking Sheet'!B2280,'Production '!$S$4:$S$4407)</f>
        <v>-1268218.9828305368</v>
      </c>
      <c r="F2280" s="76">
        <f ca="1">SUMIF('Production '!$C$4:$AI$4407,'Tracking Sheet'!B2280,'Production '!$U$4:$U$4407)</f>
        <v>-10620.435600016917</v>
      </c>
      <c r="G2280" s="76" t="e">
        <f ca="1">SUMIF('Production '!$C$4:$AI$4407,'Tracking Sheet'!B2280,'Production '!$W$4:$W$4407)</f>
        <v>#DIV/0!</v>
      </c>
      <c r="H2280" s="76">
        <f ca="1">SUMIF('Production '!$C$4:$AI$4407,'Tracking Sheet'!B2280,'Production '!$F$4:$F$4407)</f>
        <v>3230621.3283604058</v>
      </c>
      <c r="I2280" s="76">
        <f ca="1">SUMIF('Production '!$C$4:$AI$4407,'Tracking Sheet'!B2280,'Production '!$V$4:$V$4407)</f>
        <v>-489.86487791182844</v>
      </c>
      <c r="J2280" s="76">
        <f ca="1">SUMIF('Production '!$C$4:$AI$4407,'Tracking Sheet'!B2280,'Production '!$AG$4:$AG$4407)</f>
        <v>0</v>
      </c>
    </row>
    <row r="2281" spans="2:10" x14ac:dyDescent="0.3">
      <c r="B2281" s="277">
        <f>'Production '!C2284</f>
        <v>0</v>
      </c>
      <c r="C2281" s="76" t="e">
        <f ca="1">SUMIF('Production '!$C$4:$AI$4407,'Tracking Sheet'!B2281,'Production '!$M$4:$M$4407)</f>
        <v>#DIV/0!</v>
      </c>
      <c r="D2281" s="76" t="e">
        <f ca="1">SUMIF('Production '!$C$4:$AI$4407,'Tracking Sheet'!B2281,'Production '!$Q$4:$Q$4407)</f>
        <v>#DIV/0!</v>
      </c>
      <c r="E2281" s="76">
        <f ca="1">SUMIF('Production '!$C$4:$AI$4407,'Tracking Sheet'!B2281,'Production '!$S$4:$S$4407)</f>
        <v>-1268218.9828305368</v>
      </c>
      <c r="F2281" s="76">
        <f ca="1">SUMIF('Production '!$C$4:$AI$4407,'Tracking Sheet'!B2281,'Production '!$U$4:$U$4407)</f>
        <v>-10620.435600016917</v>
      </c>
      <c r="G2281" s="76" t="e">
        <f ca="1">SUMIF('Production '!$C$4:$AI$4407,'Tracking Sheet'!B2281,'Production '!$W$4:$W$4407)</f>
        <v>#DIV/0!</v>
      </c>
      <c r="H2281" s="76">
        <f ca="1">SUMIF('Production '!$C$4:$AI$4407,'Tracking Sheet'!B2281,'Production '!$F$4:$F$4407)</f>
        <v>3230621.3283604058</v>
      </c>
      <c r="I2281" s="76">
        <f ca="1">SUMIF('Production '!$C$4:$AI$4407,'Tracking Sheet'!B2281,'Production '!$V$4:$V$4407)</f>
        <v>-489.86487791182844</v>
      </c>
      <c r="J2281" s="76">
        <f ca="1">SUMIF('Production '!$C$4:$AI$4407,'Tracking Sheet'!B2281,'Production '!$AG$4:$AG$4407)</f>
        <v>0</v>
      </c>
    </row>
    <row r="2282" spans="2:10" x14ac:dyDescent="0.3">
      <c r="B2282" s="277">
        <f>'Production '!C2285</f>
        <v>0</v>
      </c>
      <c r="C2282" s="76" t="e">
        <f ca="1">SUMIF('Production '!$C$4:$AI$4407,'Tracking Sheet'!B2282,'Production '!$M$4:$M$4407)</f>
        <v>#DIV/0!</v>
      </c>
      <c r="D2282" s="76" t="e">
        <f ca="1">SUMIF('Production '!$C$4:$AI$4407,'Tracking Sheet'!B2282,'Production '!$Q$4:$Q$4407)</f>
        <v>#DIV/0!</v>
      </c>
      <c r="E2282" s="76">
        <f ca="1">SUMIF('Production '!$C$4:$AI$4407,'Tracking Sheet'!B2282,'Production '!$S$4:$S$4407)</f>
        <v>-1268218.9828305368</v>
      </c>
      <c r="F2282" s="76">
        <f ca="1">SUMIF('Production '!$C$4:$AI$4407,'Tracking Sheet'!B2282,'Production '!$U$4:$U$4407)</f>
        <v>-10620.435600016917</v>
      </c>
      <c r="G2282" s="76" t="e">
        <f ca="1">SUMIF('Production '!$C$4:$AI$4407,'Tracking Sheet'!B2282,'Production '!$W$4:$W$4407)</f>
        <v>#DIV/0!</v>
      </c>
      <c r="H2282" s="76">
        <f ca="1">SUMIF('Production '!$C$4:$AI$4407,'Tracking Sheet'!B2282,'Production '!$F$4:$F$4407)</f>
        <v>3230621.3283604058</v>
      </c>
      <c r="I2282" s="76">
        <f ca="1">SUMIF('Production '!$C$4:$AI$4407,'Tracking Sheet'!B2282,'Production '!$V$4:$V$4407)</f>
        <v>-489.86487791182844</v>
      </c>
      <c r="J2282" s="76">
        <f ca="1">SUMIF('Production '!$C$4:$AI$4407,'Tracking Sheet'!B2282,'Production '!$AG$4:$AG$4407)</f>
        <v>0</v>
      </c>
    </row>
    <row r="2283" spans="2:10" x14ac:dyDescent="0.3">
      <c r="B2283" s="277">
        <f>'Production '!C2286</f>
        <v>0</v>
      </c>
      <c r="C2283" s="76" t="e">
        <f ca="1">SUMIF('Production '!$C$4:$AI$4407,'Tracking Sheet'!B2283,'Production '!$M$4:$M$4407)</f>
        <v>#DIV/0!</v>
      </c>
      <c r="D2283" s="76" t="e">
        <f ca="1">SUMIF('Production '!$C$4:$AI$4407,'Tracking Sheet'!B2283,'Production '!$Q$4:$Q$4407)</f>
        <v>#DIV/0!</v>
      </c>
      <c r="E2283" s="76">
        <f ca="1">SUMIF('Production '!$C$4:$AI$4407,'Tracking Sheet'!B2283,'Production '!$S$4:$S$4407)</f>
        <v>-1268218.9828305368</v>
      </c>
      <c r="F2283" s="76">
        <f ca="1">SUMIF('Production '!$C$4:$AI$4407,'Tracking Sheet'!B2283,'Production '!$U$4:$U$4407)</f>
        <v>-10620.435600016917</v>
      </c>
      <c r="G2283" s="76" t="e">
        <f ca="1">SUMIF('Production '!$C$4:$AI$4407,'Tracking Sheet'!B2283,'Production '!$W$4:$W$4407)</f>
        <v>#DIV/0!</v>
      </c>
      <c r="H2283" s="76">
        <f ca="1">SUMIF('Production '!$C$4:$AI$4407,'Tracking Sheet'!B2283,'Production '!$F$4:$F$4407)</f>
        <v>3230621.3283604058</v>
      </c>
      <c r="I2283" s="76">
        <f ca="1">SUMIF('Production '!$C$4:$AI$4407,'Tracking Sheet'!B2283,'Production '!$V$4:$V$4407)</f>
        <v>-489.86487791182844</v>
      </c>
      <c r="J2283" s="76">
        <f ca="1">SUMIF('Production '!$C$4:$AI$4407,'Tracking Sheet'!B2283,'Production '!$AG$4:$AG$4407)</f>
        <v>0</v>
      </c>
    </row>
    <row r="2284" spans="2:10" x14ac:dyDescent="0.3">
      <c r="B2284" s="277">
        <f>'Production '!C2287</f>
        <v>0</v>
      </c>
      <c r="C2284" s="76" t="e">
        <f ca="1">SUMIF('Production '!$C$4:$AI$4407,'Tracking Sheet'!B2284,'Production '!$M$4:$M$4407)</f>
        <v>#DIV/0!</v>
      </c>
      <c r="D2284" s="76" t="e">
        <f ca="1">SUMIF('Production '!$C$4:$AI$4407,'Tracking Sheet'!B2284,'Production '!$Q$4:$Q$4407)</f>
        <v>#DIV/0!</v>
      </c>
      <c r="E2284" s="76">
        <f ca="1">SUMIF('Production '!$C$4:$AI$4407,'Tracking Sheet'!B2284,'Production '!$S$4:$S$4407)</f>
        <v>-1268218.9828305368</v>
      </c>
      <c r="F2284" s="76">
        <f ca="1">SUMIF('Production '!$C$4:$AI$4407,'Tracking Sheet'!B2284,'Production '!$U$4:$U$4407)</f>
        <v>-10620.435600016917</v>
      </c>
      <c r="G2284" s="76" t="e">
        <f ca="1">SUMIF('Production '!$C$4:$AI$4407,'Tracking Sheet'!B2284,'Production '!$W$4:$W$4407)</f>
        <v>#DIV/0!</v>
      </c>
      <c r="H2284" s="76">
        <f ca="1">SUMIF('Production '!$C$4:$AI$4407,'Tracking Sheet'!B2284,'Production '!$F$4:$F$4407)</f>
        <v>3230621.3283604058</v>
      </c>
      <c r="I2284" s="76">
        <f ca="1">SUMIF('Production '!$C$4:$AI$4407,'Tracking Sheet'!B2284,'Production '!$V$4:$V$4407)</f>
        <v>-489.86487791182844</v>
      </c>
      <c r="J2284" s="76">
        <f ca="1">SUMIF('Production '!$C$4:$AI$4407,'Tracking Sheet'!B2284,'Production '!$AG$4:$AG$4407)</f>
        <v>0</v>
      </c>
    </row>
    <row r="2285" spans="2:10" x14ac:dyDescent="0.3">
      <c r="B2285" s="277">
        <f>'Production '!C2288</f>
        <v>0</v>
      </c>
      <c r="C2285" s="76" t="e">
        <f ca="1">SUMIF('Production '!$C$4:$AI$4407,'Tracking Sheet'!B2285,'Production '!$M$4:$M$4407)</f>
        <v>#DIV/0!</v>
      </c>
      <c r="D2285" s="76" t="e">
        <f ca="1">SUMIF('Production '!$C$4:$AI$4407,'Tracking Sheet'!B2285,'Production '!$Q$4:$Q$4407)</f>
        <v>#DIV/0!</v>
      </c>
      <c r="E2285" s="76">
        <f ca="1">SUMIF('Production '!$C$4:$AI$4407,'Tracking Sheet'!B2285,'Production '!$S$4:$S$4407)</f>
        <v>-1268218.9828305368</v>
      </c>
      <c r="F2285" s="76">
        <f ca="1">SUMIF('Production '!$C$4:$AI$4407,'Tracking Sheet'!B2285,'Production '!$U$4:$U$4407)</f>
        <v>-10620.435600016917</v>
      </c>
      <c r="G2285" s="76" t="e">
        <f ca="1">SUMIF('Production '!$C$4:$AI$4407,'Tracking Sheet'!B2285,'Production '!$W$4:$W$4407)</f>
        <v>#DIV/0!</v>
      </c>
      <c r="H2285" s="76">
        <f ca="1">SUMIF('Production '!$C$4:$AI$4407,'Tracking Sheet'!B2285,'Production '!$F$4:$F$4407)</f>
        <v>3230621.3283604058</v>
      </c>
      <c r="I2285" s="76">
        <f ca="1">SUMIF('Production '!$C$4:$AI$4407,'Tracking Sheet'!B2285,'Production '!$V$4:$V$4407)</f>
        <v>-489.86487791182844</v>
      </c>
      <c r="J2285" s="76">
        <f ca="1">SUMIF('Production '!$C$4:$AI$4407,'Tracking Sheet'!B2285,'Production '!$AG$4:$AG$4407)</f>
        <v>0</v>
      </c>
    </row>
    <row r="2286" spans="2:10" x14ac:dyDescent="0.3">
      <c r="B2286" s="277">
        <f>'Production '!C2289</f>
        <v>0</v>
      </c>
      <c r="C2286" s="76" t="e">
        <f ca="1">SUMIF('Production '!$C$4:$AI$4407,'Tracking Sheet'!B2286,'Production '!$M$4:$M$4407)</f>
        <v>#DIV/0!</v>
      </c>
      <c r="D2286" s="76" t="e">
        <f ca="1">SUMIF('Production '!$C$4:$AI$4407,'Tracking Sheet'!B2286,'Production '!$Q$4:$Q$4407)</f>
        <v>#DIV/0!</v>
      </c>
      <c r="E2286" s="76">
        <f ca="1">SUMIF('Production '!$C$4:$AI$4407,'Tracking Sheet'!B2286,'Production '!$S$4:$S$4407)</f>
        <v>-1268218.9828305368</v>
      </c>
      <c r="F2286" s="76">
        <f ca="1">SUMIF('Production '!$C$4:$AI$4407,'Tracking Sheet'!B2286,'Production '!$U$4:$U$4407)</f>
        <v>-10620.435600016917</v>
      </c>
      <c r="G2286" s="76" t="e">
        <f ca="1">SUMIF('Production '!$C$4:$AI$4407,'Tracking Sheet'!B2286,'Production '!$W$4:$W$4407)</f>
        <v>#DIV/0!</v>
      </c>
      <c r="H2286" s="76">
        <f ca="1">SUMIF('Production '!$C$4:$AI$4407,'Tracking Sheet'!B2286,'Production '!$F$4:$F$4407)</f>
        <v>3230621.3283604058</v>
      </c>
      <c r="I2286" s="76">
        <f ca="1">SUMIF('Production '!$C$4:$AI$4407,'Tracking Sheet'!B2286,'Production '!$V$4:$V$4407)</f>
        <v>-489.86487791182844</v>
      </c>
      <c r="J2286" s="76">
        <f ca="1">SUMIF('Production '!$C$4:$AI$4407,'Tracking Sheet'!B2286,'Production '!$AG$4:$AG$4407)</f>
        <v>0</v>
      </c>
    </row>
    <row r="2287" spans="2:10" x14ac:dyDescent="0.3">
      <c r="B2287" s="277">
        <f>'Production '!C2290</f>
        <v>0</v>
      </c>
      <c r="C2287" s="76" t="e">
        <f ca="1">SUMIF('Production '!$C$4:$AI$4407,'Tracking Sheet'!B2287,'Production '!$M$4:$M$4407)</f>
        <v>#DIV/0!</v>
      </c>
      <c r="D2287" s="76" t="e">
        <f ca="1">SUMIF('Production '!$C$4:$AI$4407,'Tracking Sheet'!B2287,'Production '!$Q$4:$Q$4407)</f>
        <v>#DIV/0!</v>
      </c>
      <c r="E2287" s="76">
        <f ca="1">SUMIF('Production '!$C$4:$AI$4407,'Tracking Sheet'!B2287,'Production '!$S$4:$S$4407)</f>
        <v>-1268218.9828305368</v>
      </c>
      <c r="F2287" s="76">
        <f ca="1">SUMIF('Production '!$C$4:$AI$4407,'Tracking Sheet'!B2287,'Production '!$U$4:$U$4407)</f>
        <v>-10620.435600016917</v>
      </c>
      <c r="G2287" s="76" t="e">
        <f ca="1">SUMIF('Production '!$C$4:$AI$4407,'Tracking Sheet'!B2287,'Production '!$W$4:$W$4407)</f>
        <v>#DIV/0!</v>
      </c>
      <c r="H2287" s="76">
        <f ca="1">SUMIF('Production '!$C$4:$AI$4407,'Tracking Sheet'!B2287,'Production '!$F$4:$F$4407)</f>
        <v>3230621.3283604058</v>
      </c>
      <c r="I2287" s="76">
        <f ca="1">SUMIF('Production '!$C$4:$AI$4407,'Tracking Sheet'!B2287,'Production '!$V$4:$V$4407)</f>
        <v>-489.86487791182844</v>
      </c>
      <c r="J2287" s="76">
        <f ca="1">SUMIF('Production '!$C$4:$AI$4407,'Tracking Sheet'!B2287,'Production '!$AG$4:$AG$4407)</f>
        <v>0</v>
      </c>
    </row>
    <row r="2288" spans="2:10" x14ac:dyDescent="0.3">
      <c r="B2288" s="277">
        <f>'Production '!C2291</f>
        <v>0</v>
      </c>
      <c r="C2288" s="76" t="e">
        <f ca="1">SUMIF('Production '!$C$4:$AI$4407,'Tracking Sheet'!B2288,'Production '!$M$4:$M$4407)</f>
        <v>#DIV/0!</v>
      </c>
      <c r="D2288" s="76" t="e">
        <f ca="1">SUMIF('Production '!$C$4:$AI$4407,'Tracking Sheet'!B2288,'Production '!$Q$4:$Q$4407)</f>
        <v>#DIV/0!</v>
      </c>
      <c r="E2288" s="76">
        <f ca="1">SUMIF('Production '!$C$4:$AI$4407,'Tracking Sheet'!B2288,'Production '!$S$4:$S$4407)</f>
        <v>-1268218.9828305368</v>
      </c>
      <c r="F2288" s="76">
        <f ca="1">SUMIF('Production '!$C$4:$AI$4407,'Tracking Sheet'!B2288,'Production '!$U$4:$U$4407)</f>
        <v>-10620.435600016917</v>
      </c>
      <c r="G2288" s="76" t="e">
        <f ca="1">SUMIF('Production '!$C$4:$AI$4407,'Tracking Sheet'!B2288,'Production '!$W$4:$W$4407)</f>
        <v>#DIV/0!</v>
      </c>
      <c r="H2288" s="76">
        <f ca="1">SUMIF('Production '!$C$4:$AI$4407,'Tracking Sheet'!B2288,'Production '!$F$4:$F$4407)</f>
        <v>3230621.3283604058</v>
      </c>
      <c r="I2288" s="76">
        <f ca="1">SUMIF('Production '!$C$4:$AI$4407,'Tracking Sheet'!B2288,'Production '!$V$4:$V$4407)</f>
        <v>-489.86487791182844</v>
      </c>
      <c r="J2288" s="76">
        <f ca="1">SUMIF('Production '!$C$4:$AI$4407,'Tracking Sheet'!B2288,'Production '!$AG$4:$AG$4407)</f>
        <v>0</v>
      </c>
    </row>
    <row r="2289" spans="2:10" x14ac:dyDescent="0.3">
      <c r="B2289" s="277">
        <f>'Production '!C2292</f>
        <v>0</v>
      </c>
      <c r="C2289" s="76" t="e">
        <f ca="1">SUMIF('Production '!$C$4:$AI$4407,'Tracking Sheet'!B2289,'Production '!$M$4:$M$4407)</f>
        <v>#DIV/0!</v>
      </c>
      <c r="D2289" s="76" t="e">
        <f ca="1">SUMIF('Production '!$C$4:$AI$4407,'Tracking Sheet'!B2289,'Production '!$Q$4:$Q$4407)</f>
        <v>#DIV/0!</v>
      </c>
      <c r="E2289" s="76">
        <f ca="1">SUMIF('Production '!$C$4:$AI$4407,'Tracking Sheet'!B2289,'Production '!$S$4:$S$4407)</f>
        <v>-1268218.9828305368</v>
      </c>
      <c r="F2289" s="76">
        <f ca="1">SUMIF('Production '!$C$4:$AI$4407,'Tracking Sheet'!B2289,'Production '!$U$4:$U$4407)</f>
        <v>-10620.435600016917</v>
      </c>
      <c r="G2289" s="76" t="e">
        <f ca="1">SUMIF('Production '!$C$4:$AI$4407,'Tracking Sheet'!B2289,'Production '!$W$4:$W$4407)</f>
        <v>#DIV/0!</v>
      </c>
      <c r="H2289" s="76">
        <f ca="1">SUMIF('Production '!$C$4:$AI$4407,'Tracking Sheet'!B2289,'Production '!$F$4:$F$4407)</f>
        <v>3230621.3283604058</v>
      </c>
      <c r="I2289" s="76">
        <f ca="1">SUMIF('Production '!$C$4:$AI$4407,'Tracking Sheet'!B2289,'Production '!$V$4:$V$4407)</f>
        <v>-489.86487791182844</v>
      </c>
      <c r="J2289" s="76">
        <f ca="1">SUMIF('Production '!$C$4:$AI$4407,'Tracking Sheet'!B2289,'Production '!$AG$4:$AG$4407)</f>
        <v>0</v>
      </c>
    </row>
    <row r="2290" spans="2:10" x14ac:dyDescent="0.3">
      <c r="B2290" s="277">
        <f>'Production '!C2293</f>
        <v>0</v>
      </c>
      <c r="C2290" s="76" t="e">
        <f ca="1">SUMIF('Production '!$C$4:$AI$4407,'Tracking Sheet'!B2290,'Production '!$M$4:$M$4407)</f>
        <v>#DIV/0!</v>
      </c>
      <c r="D2290" s="76" t="e">
        <f ca="1">SUMIF('Production '!$C$4:$AI$4407,'Tracking Sheet'!B2290,'Production '!$Q$4:$Q$4407)</f>
        <v>#DIV/0!</v>
      </c>
      <c r="E2290" s="76">
        <f ca="1">SUMIF('Production '!$C$4:$AI$4407,'Tracking Sheet'!B2290,'Production '!$S$4:$S$4407)</f>
        <v>-1268218.9828305368</v>
      </c>
      <c r="F2290" s="76">
        <f ca="1">SUMIF('Production '!$C$4:$AI$4407,'Tracking Sheet'!B2290,'Production '!$U$4:$U$4407)</f>
        <v>-10620.435600016917</v>
      </c>
      <c r="G2290" s="76" t="e">
        <f ca="1">SUMIF('Production '!$C$4:$AI$4407,'Tracking Sheet'!B2290,'Production '!$W$4:$W$4407)</f>
        <v>#DIV/0!</v>
      </c>
      <c r="H2290" s="76">
        <f ca="1">SUMIF('Production '!$C$4:$AI$4407,'Tracking Sheet'!B2290,'Production '!$F$4:$F$4407)</f>
        <v>3230621.3283604058</v>
      </c>
      <c r="I2290" s="76">
        <f ca="1">SUMIF('Production '!$C$4:$AI$4407,'Tracking Sheet'!B2290,'Production '!$V$4:$V$4407)</f>
        <v>-489.86487791182844</v>
      </c>
      <c r="J2290" s="76">
        <f ca="1">SUMIF('Production '!$C$4:$AI$4407,'Tracking Sheet'!B2290,'Production '!$AG$4:$AG$4407)</f>
        <v>0</v>
      </c>
    </row>
    <row r="2291" spans="2:10" x14ac:dyDescent="0.3">
      <c r="B2291" s="277">
        <f>'Production '!C2294</f>
        <v>0</v>
      </c>
      <c r="C2291" s="76" t="e">
        <f ca="1">SUMIF('Production '!$C$4:$AI$4407,'Tracking Sheet'!B2291,'Production '!$M$4:$M$4407)</f>
        <v>#DIV/0!</v>
      </c>
      <c r="D2291" s="76" t="e">
        <f ca="1">SUMIF('Production '!$C$4:$AI$4407,'Tracking Sheet'!B2291,'Production '!$Q$4:$Q$4407)</f>
        <v>#DIV/0!</v>
      </c>
      <c r="E2291" s="76">
        <f ca="1">SUMIF('Production '!$C$4:$AI$4407,'Tracking Sheet'!B2291,'Production '!$S$4:$S$4407)</f>
        <v>-1268218.9828305368</v>
      </c>
      <c r="F2291" s="76">
        <f ca="1">SUMIF('Production '!$C$4:$AI$4407,'Tracking Sheet'!B2291,'Production '!$U$4:$U$4407)</f>
        <v>-10620.435600016917</v>
      </c>
      <c r="G2291" s="76" t="e">
        <f ca="1">SUMIF('Production '!$C$4:$AI$4407,'Tracking Sheet'!B2291,'Production '!$W$4:$W$4407)</f>
        <v>#DIV/0!</v>
      </c>
      <c r="H2291" s="76">
        <f ca="1">SUMIF('Production '!$C$4:$AI$4407,'Tracking Sheet'!B2291,'Production '!$F$4:$F$4407)</f>
        <v>3230621.3283604058</v>
      </c>
      <c r="I2291" s="76">
        <f ca="1">SUMIF('Production '!$C$4:$AI$4407,'Tracking Sheet'!B2291,'Production '!$V$4:$V$4407)</f>
        <v>-489.86487791182844</v>
      </c>
      <c r="J2291" s="76">
        <f ca="1">SUMIF('Production '!$C$4:$AI$4407,'Tracking Sheet'!B2291,'Production '!$AG$4:$AG$4407)</f>
        <v>0</v>
      </c>
    </row>
    <row r="2292" spans="2:10" x14ac:dyDescent="0.3">
      <c r="B2292" s="277">
        <f>'Production '!C2295</f>
        <v>0</v>
      </c>
      <c r="C2292" s="76" t="e">
        <f ca="1">SUMIF('Production '!$C$4:$AI$4407,'Tracking Sheet'!B2292,'Production '!$M$4:$M$4407)</f>
        <v>#DIV/0!</v>
      </c>
      <c r="D2292" s="76" t="e">
        <f ca="1">SUMIF('Production '!$C$4:$AI$4407,'Tracking Sheet'!B2292,'Production '!$Q$4:$Q$4407)</f>
        <v>#DIV/0!</v>
      </c>
      <c r="E2292" s="76">
        <f ca="1">SUMIF('Production '!$C$4:$AI$4407,'Tracking Sheet'!B2292,'Production '!$S$4:$S$4407)</f>
        <v>-1268218.9828305368</v>
      </c>
      <c r="F2292" s="76">
        <f ca="1">SUMIF('Production '!$C$4:$AI$4407,'Tracking Sheet'!B2292,'Production '!$U$4:$U$4407)</f>
        <v>-10620.435600016917</v>
      </c>
      <c r="G2292" s="76" t="e">
        <f ca="1">SUMIF('Production '!$C$4:$AI$4407,'Tracking Sheet'!B2292,'Production '!$W$4:$W$4407)</f>
        <v>#DIV/0!</v>
      </c>
      <c r="H2292" s="76">
        <f ca="1">SUMIF('Production '!$C$4:$AI$4407,'Tracking Sheet'!B2292,'Production '!$F$4:$F$4407)</f>
        <v>3230621.3283604058</v>
      </c>
      <c r="I2292" s="76">
        <f ca="1">SUMIF('Production '!$C$4:$AI$4407,'Tracking Sheet'!B2292,'Production '!$V$4:$V$4407)</f>
        <v>-489.86487791182844</v>
      </c>
      <c r="J2292" s="76">
        <f ca="1">SUMIF('Production '!$C$4:$AI$4407,'Tracking Sheet'!B2292,'Production '!$AG$4:$AG$4407)</f>
        <v>0</v>
      </c>
    </row>
    <row r="2293" spans="2:10" x14ac:dyDescent="0.3">
      <c r="B2293" s="277">
        <f>'Production '!C2296</f>
        <v>0</v>
      </c>
      <c r="C2293" s="76" t="e">
        <f ca="1">SUMIF('Production '!$C$4:$AI$4407,'Tracking Sheet'!B2293,'Production '!$M$4:$M$4407)</f>
        <v>#DIV/0!</v>
      </c>
      <c r="D2293" s="76" t="e">
        <f ca="1">SUMIF('Production '!$C$4:$AI$4407,'Tracking Sheet'!B2293,'Production '!$Q$4:$Q$4407)</f>
        <v>#DIV/0!</v>
      </c>
      <c r="E2293" s="76">
        <f ca="1">SUMIF('Production '!$C$4:$AI$4407,'Tracking Sheet'!B2293,'Production '!$S$4:$S$4407)</f>
        <v>-1268218.9828305368</v>
      </c>
      <c r="F2293" s="76">
        <f ca="1">SUMIF('Production '!$C$4:$AI$4407,'Tracking Sheet'!B2293,'Production '!$U$4:$U$4407)</f>
        <v>-10620.435600016917</v>
      </c>
      <c r="G2293" s="76" t="e">
        <f ca="1">SUMIF('Production '!$C$4:$AI$4407,'Tracking Sheet'!B2293,'Production '!$W$4:$W$4407)</f>
        <v>#DIV/0!</v>
      </c>
      <c r="H2293" s="76">
        <f ca="1">SUMIF('Production '!$C$4:$AI$4407,'Tracking Sheet'!B2293,'Production '!$F$4:$F$4407)</f>
        <v>3230621.3283604058</v>
      </c>
      <c r="I2293" s="76">
        <f ca="1">SUMIF('Production '!$C$4:$AI$4407,'Tracking Sheet'!B2293,'Production '!$V$4:$V$4407)</f>
        <v>-489.86487791182844</v>
      </c>
      <c r="J2293" s="76">
        <f ca="1">SUMIF('Production '!$C$4:$AI$4407,'Tracking Sheet'!B2293,'Production '!$AG$4:$AG$4407)</f>
        <v>0</v>
      </c>
    </row>
    <row r="2294" spans="2:10" x14ac:dyDescent="0.3">
      <c r="B2294" s="277">
        <f>'Production '!C2297</f>
        <v>0</v>
      </c>
      <c r="C2294" s="76" t="e">
        <f ca="1">SUMIF('Production '!$C$4:$AI$4407,'Tracking Sheet'!B2294,'Production '!$M$4:$M$4407)</f>
        <v>#DIV/0!</v>
      </c>
      <c r="D2294" s="76" t="e">
        <f ca="1">SUMIF('Production '!$C$4:$AI$4407,'Tracking Sheet'!B2294,'Production '!$Q$4:$Q$4407)</f>
        <v>#DIV/0!</v>
      </c>
      <c r="E2294" s="76">
        <f ca="1">SUMIF('Production '!$C$4:$AI$4407,'Tracking Sheet'!B2294,'Production '!$S$4:$S$4407)</f>
        <v>-1268218.9828305368</v>
      </c>
      <c r="F2294" s="76">
        <f ca="1">SUMIF('Production '!$C$4:$AI$4407,'Tracking Sheet'!B2294,'Production '!$U$4:$U$4407)</f>
        <v>-10620.435600016917</v>
      </c>
      <c r="G2294" s="76" t="e">
        <f ca="1">SUMIF('Production '!$C$4:$AI$4407,'Tracking Sheet'!B2294,'Production '!$W$4:$W$4407)</f>
        <v>#DIV/0!</v>
      </c>
      <c r="H2294" s="76">
        <f ca="1">SUMIF('Production '!$C$4:$AI$4407,'Tracking Sheet'!B2294,'Production '!$F$4:$F$4407)</f>
        <v>3230621.3283604058</v>
      </c>
      <c r="I2294" s="76">
        <f ca="1">SUMIF('Production '!$C$4:$AI$4407,'Tracking Sheet'!B2294,'Production '!$V$4:$V$4407)</f>
        <v>-489.86487791182844</v>
      </c>
      <c r="J2294" s="76">
        <f ca="1">SUMIF('Production '!$C$4:$AI$4407,'Tracking Sheet'!B2294,'Production '!$AG$4:$AG$4407)</f>
        <v>0</v>
      </c>
    </row>
    <row r="2295" spans="2:10" x14ac:dyDescent="0.3">
      <c r="B2295" s="277">
        <f>'Production '!C2298</f>
        <v>0</v>
      </c>
      <c r="C2295" s="76" t="e">
        <f ca="1">SUMIF('Production '!$C$4:$AI$4407,'Tracking Sheet'!B2295,'Production '!$M$4:$M$4407)</f>
        <v>#DIV/0!</v>
      </c>
      <c r="D2295" s="76" t="e">
        <f ca="1">SUMIF('Production '!$C$4:$AI$4407,'Tracking Sheet'!B2295,'Production '!$Q$4:$Q$4407)</f>
        <v>#DIV/0!</v>
      </c>
      <c r="E2295" s="76">
        <f ca="1">SUMIF('Production '!$C$4:$AI$4407,'Tracking Sheet'!B2295,'Production '!$S$4:$S$4407)</f>
        <v>-1268218.9828305368</v>
      </c>
      <c r="F2295" s="76">
        <f ca="1">SUMIF('Production '!$C$4:$AI$4407,'Tracking Sheet'!B2295,'Production '!$U$4:$U$4407)</f>
        <v>-10620.435600016917</v>
      </c>
      <c r="G2295" s="76" t="e">
        <f ca="1">SUMIF('Production '!$C$4:$AI$4407,'Tracking Sheet'!B2295,'Production '!$W$4:$W$4407)</f>
        <v>#DIV/0!</v>
      </c>
      <c r="H2295" s="76">
        <f ca="1">SUMIF('Production '!$C$4:$AI$4407,'Tracking Sheet'!B2295,'Production '!$F$4:$F$4407)</f>
        <v>3230621.3283604058</v>
      </c>
      <c r="I2295" s="76">
        <f ca="1">SUMIF('Production '!$C$4:$AI$4407,'Tracking Sheet'!B2295,'Production '!$V$4:$V$4407)</f>
        <v>-489.86487791182844</v>
      </c>
      <c r="J2295" s="76">
        <f ca="1">SUMIF('Production '!$C$4:$AI$4407,'Tracking Sheet'!B2295,'Production '!$AG$4:$AG$4407)</f>
        <v>0</v>
      </c>
    </row>
    <row r="2296" spans="2:10" x14ac:dyDescent="0.3">
      <c r="B2296" s="277">
        <f>'Production '!C2299</f>
        <v>0</v>
      </c>
      <c r="C2296" s="76" t="e">
        <f ca="1">SUMIF('Production '!$C$4:$AI$4407,'Tracking Sheet'!B2296,'Production '!$M$4:$M$4407)</f>
        <v>#DIV/0!</v>
      </c>
      <c r="D2296" s="76" t="e">
        <f ca="1">SUMIF('Production '!$C$4:$AI$4407,'Tracking Sheet'!B2296,'Production '!$Q$4:$Q$4407)</f>
        <v>#DIV/0!</v>
      </c>
      <c r="E2296" s="76">
        <f ca="1">SUMIF('Production '!$C$4:$AI$4407,'Tracking Sheet'!B2296,'Production '!$S$4:$S$4407)</f>
        <v>-1268218.9828305368</v>
      </c>
      <c r="F2296" s="76">
        <f ca="1">SUMIF('Production '!$C$4:$AI$4407,'Tracking Sheet'!B2296,'Production '!$U$4:$U$4407)</f>
        <v>-10620.435600016917</v>
      </c>
      <c r="G2296" s="76" t="e">
        <f ca="1">SUMIF('Production '!$C$4:$AI$4407,'Tracking Sheet'!B2296,'Production '!$W$4:$W$4407)</f>
        <v>#DIV/0!</v>
      </c>
      <c r="H2296" s="76">
        <f ca="1">SUMIF('Production '!$C$4:$AI$4407,'Tracking Sheet'!B2296,'Production '!$F$4:$F$4407)</f>
        <v>3230621.3283604058</v>
      </c>
      <c r="I2296" s="76">
        <f ca="1">SUMIF('Production '!$C$4:$AI$4407,'Tracking Sheet'!B2296,'Production '!$V$4:$V$4407)</f>
        <v>-489.86487791182844</v>
      </c>
      <c r="J2296" s="76">
        <f ca="1">SUMIF('Production '!$C$4:$AI$4407,'Tracking Sheet'!B2296,'Production '!$AG$4:$AG$4407)</f>
        <v>0</v>
      </c>
    </row>
    <row r="2297" spans="2:10" x14ac:dyDescent="0.3">
      <c r="B2297" s="277">
        <f>'Production '!C2300</f>
        <v>0</v>
      </c>
      <c r="C2297" s="76" t="e">
        <f ca="1">SUMIF('Production '!$C$4:$AI$4407,'Tracking Sheet'!B2297,'Production '!$M$4:$M$4407)</f>
        <v>#DIV/0!</v>
      </c>
      <c r="D2297" s="76" t="e">
        <f ca="1">SUMIF('Production '!$C$4:$AI$4407,'Tracking Sheet'!B2297,'Production '!$Q$4:$Q$4407)</f>
        <v>#DIV/0!</v>
      </c>
      <c r="E2297" s="76">
        <f ca="1">SUMIF('Production '!$C$4:$AI$4407,'Tracking Sheet'!B2297,'Production '!$S$4:$S$4407)</f>
        <v>-1268218.9828305368</v>
      </c>
      <c r="F2297" s="76">
        <f ca="1">SUMIF('Production '!$C$4:$AI$4407,'Tracking Sheet'!B2297,'Production '!$U$4:$U$4407)</f>
        <v>-10620.435600016917</v>
      </c>
      <c r="G2297" s="76" t="e">
        <f ca="1">SUMIF('Production '!$C$4:$AI$4407,'Tracking Sheet'!B2297,'Production '!$W$4:$W$4407)</f>
        <v>#DIV/0!</v>
      </c>
      <c r="H2297" s="76">
        <f ca="1">SUMIF('Production '!$C$4:$AI$4407,'Tracking Sheet'!B2297,'Production '!$F$4:$F$4407)</f>
        <v>3230621.3283604058</v>
      </c>
      <c r="I2297" s="76">
        <f ca="1">SUMIF('Production '!$C$4:$AI$4407,'Tracking Sheet'!B2297,'Production '!$V$4:$V$4407)</f>
        <v>-489.86487791182844</v>
      </c>
      <c r="J2297" s="76">
        <f ca="1">SUMIF('Production '!$C$4:$AI$4407,'Tracking Sheet'!B2297,'Production '!$AG$4:$AG$4407)</f>
        <v>0</v>
      </c>
    </row>
    <row r="2298" spans="2:10" x14ac:dyDescent="0.3">
      <c r="B2298" s="277">
        <f>'Production '!C2301</f>
        <v>0</v>
      </c>
      <c r="C2298" s="76" t="e">
        <f ca="1">SUMIF('Production '!$C$4:$AI$4407,'Tracking Sheet'!B2298,'Production '!$M$4:$M$4407)</f>
        <v>#DIV/0!</v>
      </c>
      <c r="D2298" s="76" t="e">
        <f ca="1">SUMIF('Production '!$C$4:$AI$4407,'Tracking Sheet'!B2298,'Production '!$Q$4:$Q$4407)</f>
        <v>#DIV/0!</v>
      </c>
      <c r="E2298" s="76">
        <f ca="1">SUMIF('Production '!$C$4:$AI$4407,'Tracking Sheet'!B2298,'Production '!$S$4:$S$4407)</f>
        <v>-1268218.9828305368</v>
      </c>
      <c r="F2298" s="76">
        <f ca="1">SUMIF('Production '!$C$4:$AI$4407,'Tracking Sheet'!B2298,'Production '!$U$4:$U$4407)</f>
        <v>-10620.435600016917</v>
      </c>
      <c r="G2298" s="76" t="e">
        <f ca="1">SUMIF('Production '!$C$4:$AI$4407,'Tracking Sheet'!B2298,'Production '!$W$4:$W$4407)</f>
        <v>#DIV/0!</v>
      </c>
      <c r="H2298" s="76">
        <f ca="1">SUMIF('Production '!$C$4:$AI$4407,'Tracking Sheet'!B2298,'Production '!$F$4:$F$4407)</f>
        <v>3230621.3283604058</v>
      </c>
      <c r="I2298" s="76">
        <f ca="1">SUMIF('Production '!$C$4:$AI$4407,'Tracking Sheet'!B2298,'Production '!$V$4:$V$4407)</f>
        <v>-489.86487791182844</v>
      </c>
      <c r="J2298" s="76">
        <f ca="1">SUMIF('Production '!$C$4:$AI$4407,'Tracking Sheet'!B2298,'Production '!$AG$4:$AG$4407)</f>
        <v>0</v>
      </c>
    </row>
    <row r="2299" spans="2:10" x14ac:dyDescent="0.3">
      <c r="B2299" s="277">
        <f>'Production '!C2302</f>
        <v>0</v>
      </c>
      <c r="C2299" s="76" t="e">
        <f ca="1">SUMIF('Production '!$C$4:$AI$4407,'Tracking Sheet'!B2299,'Production '!$M$4:$M$4407)</f>
        <v>#DIV/0!</v>
      </c>
      <c r="D2299" s="76" t="e">
        <f ca="1">SUMIF('Production '!$C$4:$AI$4407,'Tracking Sheet'!B2299,'Production '!$Q$4:$Q$4407)</f>
        <v>#DIV/0!</v>
      </c>
      <c r="E2299" s="76">
        <f ca="1">SUMIF('Production '!$C$4:$AI$4407,'Tracking Sheet'!B2299,'Production '!$S$4:$S$4407)</f>
        <v>-1268218.9828305368</v>
      </c>
      <c r="F2299" s="76">
        <f ca="1">SUMIF('Production '!$C$4:$AI$4407,'Tracking Sheet'!B2299,'Production '!$U$4:$U$4407)</f>
        <v>-10620.435600016917</v>
      </c>
      <c r="G2299" s="76" t="e">
        <f ca="1">SUMIF('Production '!$C$4:$AI$4407,'Tracking Sheet'!B2299,'Production '!$W$4:$W$4407)</f>
        <v>#DIV/0!</v>
      </c>
      <c r="H2299" s="76">
        <f ca="1">SUMIF('Production '!$C$4:$AI$4407,'Tracking Sheet'!B2299,'Production '!$F$4:$F$4407)</f>
        <v>3230621.3283604058</v>
      </c>
      <c r="I2299" s="76">
        <f ca="1">SUMIF('Production '!$C$4:$AI$4407,'Tracking Sheet'!B2299,'Production '!$V$4:$V$4407)</f>
        <v>-489.86487791182844</v>
      </c>
      <c r="J2299" s="76">
        <f ca="1">SUMIF('Production '!$C$4:$AI$4407,'Tracking Sheet'!B2299,'Production '!$AG$4:$AG$4407)</f>
        <v>0</v>
      </c>
    </row>
    <row r="2300" spans="2:10" x14ac:dyDescent="0.3">
      <c r="B2300" s="277">
        <f>'Production '!C2303</f>
        <v>0</v>
      </c>
      <c r="C2300" s="76" t="e">
        <f ca="1">SUMIF('Production '!$C$4:$AI$4407,'Tracking Sheet'!B2300,'Production '!$M$4:$M$4407)</f>
        <v>#DIV/0!</v>
      </c>
      <c r="D2300" s="76" t="e">
        <f ca="1">SUMIF('Production '!$C$4:$AI$4407,'Tracking Sheet'!B2300,'Production '!$Q$4:$Q$4407)</f>
        <v>#DIV/0!</v>
      </c>
      <c r="E2300" s="76">
        <f ca="1">SUMIF('Production '!$C$4:$AI$4407,'Tracking Sheet'!B2300,'Production '!$S$4:$S$4407)</f>
        <v>-1268218.9828305368</v>
      </c>
      <c r="F2300" s="76">
        <f ca="1">SUMIF('Production '!$C$4:$AI$4407,'Tracking Sheet'!B2300,'Production '!$U$4:$U$4407)</f>
        <v>-10620.435600016917</v>
      </c>
      <c r="G2300" s="76" t="e">
        <f ca="1">SUMIF('Production '!$C$4:$AI$4407,'Tracking Sheet'!B2300,'Production '!$W$4:$W$4407)</f>
        <v>#DIV/0!</v>
      </c>
      <c r="H2300" s="76">
        <f ca="1">SUMIF('Production '!$C$4:$AI$4407,'Tracking Sheet'!B2300,'Production '!$F$4:$F$4407)</f>
        <v>3230621.3283604058</v>
      </c>
      <c r="I2300" s="76">
        <f ca="1">SUMIF('Production '!$C$4:$AI$4407,'Tracking Sheet'!B2300,'Production '!$V$4:$V$4407)</f>
        <v>-489.86487791182844</v>
      </c>
      <c r="J2300" s="76">
        <f ca="1">SUMIF('Production '!$C$4:$AI$4407,'Tracking Sheet'!B2300,'Production '!$AG$4:$AG$4407)</f>
        <v>0</v>
      </c>
    </row>
    <row r="2301" spans="2:10" x14ac:dyDescent="0.3">
      <c r="B2301" s="277">
        <f>'Production '!C2304</f>
        <v>0</v>
      </c>
      <c r="C2301" s="76" t="e">
        <f ca="1">SUMIF('Production '!$C$4:$AI$4407,'Tracking Sheet'!B2301,'Production '!$M$4:$M$4407)</f>
        <v>#DIV/0!</v>
      </c>
      <c r="D2301" s="76" t="e">
        <f ca="1">SUMIF('Production '!$C$4:$AI$4407,'Tracking Sheet'!B2301,'Production '!$Q$4:$Q$4407)</f>
        <v>#DIV/0!</v>
      </c>
      <c r="E2301" s="76">
        <f ca="1">SUMIF('Production '!$C$4:$AI$4407,'Tracking Sheet'!B2301,'Production '!$S$4:$S$4407)</f>
        <v>-1268218.9828305368</v>
      </c>
      <c r="F2301" s="76">
        <f ca="1">SUMIF('Production '!$C$4:$AI$4407,'Tracking Sheet'!B2301,'Production '!$U$4:$U$4407)</f>
        <v>-10620.435600016917</v>
      </c>
      <c r="G2301" s="76" t="e">
        <f ca="1">SUMIF('Production '!$C$4:$AI$4407,'Tracking Sheet'!B2301,'Production '!$W$4:$W$4407)</f>
        <v>#DIV/0!</v>
      </c>
      <c r="H2301" s="76">
        <f ca="1">SUMIF('Production '!$C$4:$AI$4407,'Tracking Sheet'!B2301,'Production '!$F$4:$F$4407)</f>
        <v>3230621.3283604058</v>
      </c>
      <c r="I2301" s="76">
        <f ca="1">SUMIF('Production '!$C$4:$AI$4407,'Tracking Sheet'!B2301,'Production '!$V$4:$V$4407)</f>
        <v>-489.86487791182844</v>
      </c>
      <c r="J2301" s="76">
        <f ca="1">SUMIF('Production '!$C$4:$AI$4407,'Tracking Sheet'!B2301,'Production '!$AG$4:$AG$4407)</f>
        <v>0</v>
      </c>
    </row>
    <row r="2302" spans="2:10" x14ac:dyDescent="0.3">
      <c r="B2302" s="277">
        <f>'Production '!C2305</f>
        <v>0</v>
      </c>
      <c r="C2302" s="76" t="e">
        <f ca="1">SUMIF('Production '!$C$4:$AI$4407,'Tracking Sheet'!B2302,'Production '!$M$4:$M$4407)</f>
        <v>#DIV/0!</v>
      </c>
      <c r="D2302" s="76" t="e">
        <f ca="1">SUMIF('Production '!$C$4:$AI$4407,'Tracking Sheet'!B2302,'Production '!$Q$4:$Q$4407)</f>
        <v>#DIV/0!</v>
      </c>
      <c r="E2302" s="76">
        <f ca="1">SUMIF('Production '!$C$4:$AI$4407,'Tracking Sheet'!B2302,'Production '!$S$4:$S$4407)</f>
        <v>-1268218.9828305368</v>
      </c>
      <c r="F2302" s="76">
        <f ca="1">SUMIF('Production '!$C$4:$AI$4407,'Tracking Sheet'!B2302,'Production '!$U$4:$U$4407)</f>
        <v>-10620.435600016917</v>
      </c>
      <c r="G2302" s="76" t="e">
        <f ca="1">SUMIF('Production '!$C$4:$AI$4407,'Tracking Sheet'!B2302,'Production '!$W$4:$W$4407)</f>
        <v>#DIV/0!</v>
      </c>
      <c r="H2302" s="76">
        <f ca="1">SUMIF('Production '!$C$4:$AI$4407,'Tracking Sheet'!B2302,'Production '!$F$4:$F$4407)</f>
        <v>3230621.3283604058</v>
      </c>
      <c r="I2302" s="76">
        <f ca="1">SUMIF('Production '!$C$4:$AI$4407,'Tracking Sheet'!B2302,'Production '!$V$4:$V$4407)</f>
        <v>-489.86487791182844</v>
      </c>
      <c r="J2302" s="76">
        <f ca="1">SUMIF('Production '!$C$4:$AI$4407,'Tracking Sheet'!B2302,'Production '!$AG$4:$AG$4407)</f>
        <v>0</v>
      </c>
    </row>
    <row r="2303" spans="2:10" x14ac:dyDescent="0.3">
      <c r="B2303" s="277">
        <f>'Production '!C2306</f>
        <v>0</v>
      </c>
      <c r="C2303" s="76" t="e">
        <f ca="1">SUMIF('Production '!$C$4:$AI$4407,'Tracking Sheet'!B2303,'Production '!$M$4:$M$4407)</f>
        <v>#DIV/0!</v>
      </c>
      <c r="D2303" s="76" t="e">
        <f ca="1">SUMIF('Production '!$C$4:$AI$4407,'Tracking Sheet'!B2303,'Production '!$Q$4:$Q$4407)</f>
        <v>#DIV/0!</v>
      </c>
      <c r="E2303" s="76">
        <f ca="1">SUMIF('Production '!$C$4:$AI$4407,'Tracking Sheet'!B2303,'Production '!$S$4:$S$4407)</f>
        <v>-1268218.9828305368</v>
      </c>
      <c r="F2303" s="76">
        <f ca="1">SUMIF('Production '!$C$4:$AI$4407,'Tracking Sheet'!B2303,'Production '!$U$4:$U$4407)</f>
        <v>-10620.435600016917</v>
      </c>
      <c r="G2303" s="76" t="e">
        <f ca="1">SUMIF('Production '!$C$4:$AI$4407,'Tracking Sheet'!B2303,'Production '!$W$4:$W$4407)</f>
        <v>#DIV/0!</v>
      </c>
      <c r="H2303" s="76">
        <f ca="1">SUMIF('Production '!$C$4:$AI$4407,'Tracking Sheet'!B2303,'Production '!$F$4:$F$4407)</f>
        <v>3230621.3283604058</v>
      </c>
      <c r="I2303" s="76">
        <f ca="1">SUMIF('Production '!$C$4:$AI$4407,'Tracking Sheet'!B2303,'Production '!$V$4:$V$4407)</f>
        <v>-489.86487791182844</v>
      </c>
      <c r="J2303" s="76">
        <f ca="1">SUMIF('Production '!$C$4:$AI$4407,'Tracking Sheet'!B2303,'Production '!$AG$4:$AG$4407)</f>
        <v>0</v>
      </c>
    </row>
    <row r="2304" spans="2:10" x14ac:dyDescent="0.3">
      <c r="B2304" s="277">
        <f>'Production '!C2307</f>
        <v>0</v>
      </c>
      <c r="C2304" s="76" t="e">
        <f ca="1">SUMIF('Production '!$C$4:$AI$4407,'Tracking Sheet'!B2304,'Production '!$M$4:$M$4407)</f>
        <v>#DIV/0!</v>
      </c>
      <c r="D2304" s="76" t="e">
        <f ca="1">SUMIF('Production '!$C$4:$AI$4407,'Tracking Sheet'!B2304,'Production '!$Q$4:$Q$4407)</f>
        <v>#DIV/0!</v>
      </c>
      <c r="E2304" s="76">
        <f ca="1">SUMIF('Production '!$C$4:$AI$4407,'Tracking Sheet'!B2304,'Production '!$S$4:$S$4407)</f>
        <v>-1268218.9828305368</v>
      </c>
      <c r="F2304" s="76">
        <f ca="1">SUMIF('Production '!$C$4:$AI$4407,'Tracking Sheet'!B2304,'Production '!$U$4:$U$4407)</f>
        <v>-10620.435600016917</v>
      </c>
      <c r="G2304" s="76" t="e">
        <f ca="1">SUMIF('Production '!$C$4:$AI$4407,'Tracking Sheet'!B2304,'Production '!$W$4:$W$4407)</f>
        <v>#DIV/0!</v>
      </c>
      <c r="H2304" s="76">
        <f ca="1">SUMIF('Production '!$C$4:$AI$4407,'Tracking Sheet'!B2304,'Production '!$F$4:$F$4407)</f>
        <v>3230621.3283604058</v>
      </c>
      <c r="I2304" s="76">
        <f ca="1">SUMIF('Production '!$C$4:$AI$4407,'Tracking Sheet'!B2304,'Production '!$V$4:$V$4407)</f>
        <v>-489.86487791182844</v>
      </c>
      <c r="J2304" s="76">
        <f ca="1">SUMIF('Production '!$C$4:$AI$4407,'Tracking Sheet'!B2304,'Production '!$AG$4:$AG$4407)</f>
        <v>0</v>
      </c>
    </row>
    <row r="2305" spans="2:10" x14ac:dyDescent="0.3">
      <c r="B2305" s="277">
        <f>'Production '!C2308</f>
        <v>0</v>
      </c>
      <c r="C2305" s="76" t="e">
        <f ca="1">SUMIF('Production '!$C$4:$AI$4407,'Tracking Sheet'!B2305,'Production '!$M$4:$M$4407)</f>
        <v>#DIV/0!</v>
      </c>
      <c r="D2305" s="76" t="e">
        <f ca="1">SUMIF('Production '!$C$4:$AI$4407,'Tracking Sheet'!B2305,'Production '!$Q$4:$Q$4407)</f>
        <v>#DIV/0!</v>
      </c>
      <c r="E2305" s="76">
        <f ca="1">SUMIF('Production '!$C$4:$AI$4407,'Tracking Sheet'!B2305,'Production '!$S$4:$S$4407)</f>
        <v>-1268218.9828305368</v>
      </c>
      <c r="F2305" s="76">
        <f ca="1">SUMIF('Production '!$C$4:$AI$4407,'Tracking Sheet'!B2305,'Production '!$U$4:$U$4407)</f>
        <v>-10620.435600016917</v>
      </c>
      <c r="G2305" s="76" t="e">
        <f ca="1">SUMIF('Production '!$C$4:$AI$4407,'Tracking Sheet'!B2305,'Production '!$W$4:$W$4407)</f>
        <v>#DIV/0!</v>
      </c>
      <c r="H2305" s="76">
        <f ca="1">SUMIF('Production '!$C$4:$AI$4407,'Tracking Sheet'!B2305,'Production '!$F$4:$F$4407)</f>
        <v>3230621.3283604058</v>
      </c>
      <c r="I2305" s="76">
        <f ca="1">SUMIF('Production '!$C$4:$AI$4407,'Tracking Sheet'!B2305,'Production '!$V$4:$V$4407)</f>
        <v>-489.86487791182844</v>
      </c>
      <c r="J2305" s="76">
        <f ca="1">SUMIF('Production '!$C$4:$AI$4407,'Tracking Sheet'!B2305,'Production '!$AG$4:$AG$4407)</f>
        <v>0</v>
      </c>
    </row>
    <row r="2306" spans="2:10" x14ac:dyDescent="0.3">
      <c r="B2306" s="277">
        <f>'Production '!C2309</f>
        <v>0</v>
      </c>
      <c r="C2306" s="76" t="e">
        <f ca="1">SUMIF('Production '!$C$4:$AI$4407,'Tracking Sheet'!B2306,'Production '!$M$4:$M$4407)</f>
        <v>#DIV/0!</v>
      </c>
      <c r="D2306" s="76" t="e">
        <f ca="1">SUMIF('Production '!$C$4:$AI$4407,'Tracking Sheet'!B2306,'Production '!$Q$4:$Q$4407)</f>
        <v>#DIV/0!</v>
      </c>
      <c r="E2306" s="76">
        <f ca="1">SUMIF('Production '!$C$4:$AI$4407,'Tracking Sheet'!B2306,'Production '!$S$4:$S$4407)</f>
        <v>-1268218.9828305368</v>
      </c>
      <c r="F2306" s="76">
        <f ca="1">SUMIF('Production '!$C$4:$AI$4407,'Tracking Sheet'!B2306,'Production '!$U$4:$U$4407)</f>
        <v>-10620.435600016917</v>
      </c>
      <c r="G2306" s="76" t="e">
        <f ca="1">SUMIF('Production '!$C$4:$AI$4407,'Tracking Sheet'!B2306,'Production '!$W$4:$W$4407)</f>
        <v>#DIV/0!</v>
      </c>
      <c r="H2306" s="76">
        <f ca="1">SUMIF('Production '!$C$4:$AI$4407,'Tracking Sheet'!B2306,'Production '!$F$4:$F$4407)</f>
        <v>3230621.3283604058</v>
      </c>
      <c r="I2306" s="76">
        <f ca="1">SUMIF('Production '!$C$4:$AI$4407,'Tracking Sheet'!B2306,'Production '!$V$4:$V$4407)</f>
        <v>-489.86487791182844</v>
      </c>
      <c r="J2306" s="76">
        <f ca="1">SUMIF('Production '!$C$4:$AI$4407,'Tracking Sheet'!B2306,'Production '!$AG$4:$AG$4407)</f>
        <v>0</v>
      </c>
    </row>
    <row r="2307" spans="2:10" x14ac:dyDescent="0.3">
      <c r="B2307" s="277">
        <f>'Production '!C2310</f>
        <v>0</v>
      </c>
      <c r="C2307" s="76" t="e">
        <f ca="1">SUMIF('Production '!$C$4:$AI$4407,'Tracking Sheet'!B2307,'Production '!$M$4:$M$4407)</f>
        <v>#DIV/0!</v>
      </c>
      <c r="D2307" s="76" t="e">
        <f ca="1">SUMIF('Production '!$C$4:$AI$4407,'Tracking Sheet'!B2307,'Production '!$Q$4:$Q$4407)</f>
        <v>#DIV/0!</v>
      </c>
      <c r="E2307" s="76">
        <f ca="1">SUMIF('Production '!$C$4:$AI$4407,'Tracking Sheet'!B2307,'Production '!$S$4:$S$4407)</f>
        <v>-1268218.9828305368</v>
      </c>
      <c r="F2307" s="76">
        <f ca="1">SUMIF('Production '!$C$4:$AI$4407,'Tracking Sheet'!B2307,'Production '!$U$4:$U$4407)</f>
        <v>-10620.435600016917</v>
      </c>
      <c r="G2307" s="76" t="e">
        <f ca="1">SUMIF('Production '!$C$4:$AI$4407,'Tracking Sheet'!B2307,'Production '!$W$4:$W$4407)</f>
        <v>#DIV/0!</v>
      </c>
      <c r="H2307" s="76">
        <f ca="1">SUMIF('Production '!$C$4:$AI$4407,'Tracking Sheet'!B2307,'Production '!$F$4:$F$4407)</f>
        <v>3230621.3283604058</v>
      </c>
      <c r="I2307" s="76">
        <f ca="1">SUMIF('Production '!$C$4:$AI$4407,'Tracking Sheet'!B2307,'Production '!$V$4:$V$4407)</f>
        <v>-489.86487791182844</v>
      </c>
      <c r="J2307" s="76">
        <f ca="1">SUMIF('Production '!$C$4:$AI$4407,'Tracking Sheet'!B2307,'Production '!$AG$4:$AG$4407)</f>
        <v>0</v>
      </c>
    </row>
    <row r="2308" spans="2:10" x14ac:dyDescent="0.3">
      <c r="B2308" s="277">
        <f>'Production '!C2311</f>
        <v>0</v>
      </c>
      <c r="C2308" s="76" t="e">
        <f ca="1">SUMIF('Production '!$C$4:$AI$4407,'Tracking Sheet'!B2308,'Production '!$M$4:$M$4407)</f>
        <v>#DIV/0!</v>
      </c>
      <c r="D2308" s="76" t="e">
        <f ca="1">SUMIF('Production '!$C$4:$AI$4407,'Tracking Sheet'!B2308,'Production '!$Q$4:$Q$4407)</f>
        <v>#DIV/0!</v>
      </c>
      <c r="E2308" s="76">
        <f ca="1">SUMIF('Production '!$C$4:$AI$4407,'Tracking Sheet'!B2308,'Production '!$S$4:$S$4407)</f>
        <v>-1268218.9828305368</v>
      </c>
      <c r="F2308" s="76">
        <f ca="1">SUMIF('Production '!$C$4:$AI$4407,'Tracking Sheet'!B2308,'Production '!$U$4:$U$4407)</f>
        <v>-10620.435600016917</v>
      </c>
      <c r="G2308" s="76" t="e">
        <f ca="1">SUMIF('Production '!$C$4:$AI$4407,'Tracking Sheet'!B2308,'Production '!$W$4:$W$4407)</f>
        <v>#DIV/0!</v>
      </c>
      <c r="H2308" s="76">
        <f ca="1">SUMIF('Production '!$C$4:$AI$4407,'Tracking Sheet'!B2308,'Production '!$F$4:$F$4407)</f>
        <v>3230621.3283604058</v>
      </c>
      <c r="I2308" s="76">
        <f ca="1">SUMIF('Production '!$C$4:$AI$4407,'Tracking Sheet'!B2308,'Production '!$V$4:$V$4407)</f>
        <v>-489.86487791182844</v>
      </c>
      <c r="J2308" s="76">
        <f ca="1">SUMIF('Production '!$C$4:$AI$4407,'Tracking Sheet'!B2308,'Production '!$AG$4:$AG$4407)</f>
        <v>0</v>
      </c>
    </row>
    <row r="2309" spans="2:10" x14ac:dyDescent="0.3">
      <c r="B2309" s="277">
        <f>'Production '!C2312</f>
        <v>0</v>
      </c>
      <c r="C2309" s="76" t="e">
        <f ca="1">SUMIF('Production '!$C$4:$AI$4407,'Tracking Sheet'!B2309,'Production '!$M$4:$M$4407)</f>
        <v>#DIV/0!</v>
      </c>
      <c r="D2309" s="76" t="e">
        <f ca="1">SUMIF('Production '!$C$4:$AI$4407,'Tracking Sheet'!B2309,'Production '!$Q$4:$Q$4407)</f>
        <v>#DIV/0!</v>
      </c>
      <c r="E2309" s="76">
        <f ca="1">SUMIF('Production '!$C$4:$AI$4407,'Tracking Sheet'!B2309,'Production '!$S$4:$S$4407)</f>
        <v>-1268218.9828305368</v>
      </c>
      <c r="F2309" s="76">
        <f ca="1">SUMIF('Production '!$C$4:$AI$4407,'Tracking Sheet'!B2309,'Production '!$U$4:$U$4407)</f>
        <v>-10620.435600016917</v>
      </c>
      <c r="G2309" s="76" t="e">
        <f ca="1">SUMIF('Production '!$C$4:$AI$4407,'Tracking Sheet'!B2309,'Production '!$W$4:$W$4407)</f>
        <v>#DIV/0!</v>
      </c>
      <c r="H2309" s="76">
        <f ca="1">SUMIF('Production '!$C$4:$AI$4407,'Tracking Sheet'!B2309,'Production '!$F$4:$F$4407)</f>
        <v>3230621.3283604058</v>
      </c>
      <c r="I2309" s="76">
        <f ca="1">SUMIF('Production '!$C$4:$AI$4407,'Tracking Sheet'!B2309,'Production '!$V$4:$V$4407)</f>
        <v>-489.86487791182844</v>
      </c>
      <c r="J2309" s="76">
        <f ca="1">SUMIF('Production '!$C$4:$AI$4407,'Tracking Sheet'!B2309,'Production '!$AG$4:$AG$4407)</f>
        <v>0</v>
      </c>
    </row>
    <row r="2310" spans="2:10" x14ac:dyDescent="0.3">
      <c r="B2310" s="277">
        <f>'Production '!C2313</f>
        <v>0</v>
      </c>
      <c r="C2310" s="76" t="e">
        <f ca="1">SUMIF('Production '!$C$4:$AI$4407,'Tracking Sheet'!B2310,'Production '!$M$4:$M$4407)</f>
        <v>#DIV/0!</v>
      </c>
      <c r="D2310" s="76" t="e">
        <f ca="1">SUMIF('Production '!$C$4:$AI$4407,'Tracking Sheet'!B2310,'Production '!$Q$4:$Q$4407)</f>
        <v>#DIV/0!</v>
      </c>
      <c r="E2310" s="76">
        <f ca="1">SUMIF('Production '!$C$4:$AI$4407,'Tracking Sheet'!B2310,'Production '!$S$4:$S$4407)</f>
        <v>-1268218.9828305368</v>
      </c>
      <c r="F2310" s="76">
        <f ca="1">SUMIF('Production '!$C$4:$AI$4407,'Tracking Sheet'!B2310,'Production '!$U$4:$U$4407)</f>
        <v>-10620.435600016917</v>
      </c>
      <c r="G2310" s="76" t="e">
        <f ca="1">SUMIF('Production '!$C$4:$AI$4407,'Tracking Sheet'!B2310,'Production '!$W$4:$W$4407)</f>
        <v>#DIV/0!</v>
      </c>
      <c r="H2310" s="76">
        <f ca="1">SUMIF('Production '!$C$4:$AI$4407,'Tracking Sheet'!B2310,'Production '!$F$4:$F$4407)</f>
        <v>3230621.3283604058</v>
      </c>
      <c r="I2310" s="76">
        <f ca="1">SUMIF('Production '!$C$4:$AI$4407,'Tracking Sheet'!B2310,'Production '!$V$4:$V$4407)</f>
        <v>-489.86487791182844</v>
      </c>
      <c r="J2310" s="76">
        <f ca="1">SUMIF('Production '!$C$4:$AI$4407,'Tracking Sheet'!B2310,'Production '!$AG$4:$AG$4407)</f>
        <v>0</v>
      </c>
    </row>
    <row r="2311" spans="2:10" x14ac:dyDescent="0.3">
      <c r="B2311" s="277">
        <f>'Production '!C2314</f>
        <v>0</v>
      </c>
      <c r="C2311" s="76" t="e">
        <f ca="1">SUMIF('Production '!$C$4:$AI$4407,'Tracking Sheet'!B2311,'Production '!$M$4:$M$4407)</f>
        <v>#DIV/0!</v>
      </c>
      <c r="D2311" s="76" t="e">
        <f ca="1">SUMIF('Production '!$C$4:$AI$4407,'Tracking Sheet'!B2311,'Production '!$Q$4:$Q$4407)</f>
        <v>#DIV/0!</v>
      </c>
      <c r="E2311" s="76">
        <f ca="1">SUMIF('Production '!$C$4:$AI$4407,'Tracking Sheet'!B2311,'Production '!$S$4:$S$4407)</f>
        <v>-1268218.9828305368</v>
      </c>
      <c r="F2311" s="76">
        <f ca="1">SUMIF('Production '!$C$4:$AI$4407,'Tracking Sheet'!B2311,'Production '!$U$4:$U$4407)</f>
        <v>-10620.435600016917</v>
      </c>
      <c r="G2311" s="76" t="e">
        <f ca="1">SUMIF('Production '!$C$4:$AI$4407,'Tracking Sheet'!B2311,'Production '!$W$4:$W$4407)</f>
        <v>#DIV/0!</v>
      </c>
      <c r="H2311" s="76">
        <f ca="1">SUMIF('Production '!$C$4:$AI$4407,'Tracking Sheet'!B2311,'Production '!$F$4:$F$4407)</f>
        <v>3230621.3283604058</v>
      </c>
      <c r="I2311" s="76">
        <f ca="1">SUMIF('Production '!$C$4:$AI$4407,'Tracking Sheet'!B2311,'Production '!$V$4:$V$4407)</f>
        <v>-489.86487791182844</v>
      </c>
      <c r="J2311" s="76">
        <f ca="1">SUMIF('Production '!$C$4:$AI$4407,'Tracking Sheet'!B2311,'Production '!$AG$4:$AG$4407)</f>
        <v>0</v>
      </c>
    </row>
    <row r="2312" spans="2:10" x14ac:dyDescent="0.3">
      <c r="B2312" s="277">
        <f>'Production '!C2315</f>
        <v>0</v>
      </c>
      <c r="C2312" s="76" t="e">
        <f ca="1">SUMIF('Production '!$C$4:$AI$4407,'Tracking Sheet'!B2312,'Production '!$M$4:$M$4407)</f>
        <v>#DIV/0!</v>
      </c>
      <c r="D2312" s="76" t="e">
        <f ca="1">SUMIF('Production '!$C$4:$AI$4407,'Tracking Sheet'!B2312,'Production '!$Q$4:$Q$4407)</f>
        <v>#DIV/0!</v>
      </c>
      <c r="E2312" s="76">
        <f ca="1">SUMIF('Production '!$C$4:$AI$4407,'Tracking Sheet'!B2312,'Production '!$S$4:$S$4407)</f>
        <v>-1268218.9828305368</v>
      </c>
      <c r="F2312" s="76">
        <f ca="1">SUMIF('Production '!$C$4:$AI$4407,'Tracking Sheet'!B2312,'Production '!$U$4:$U$4407)</f>
        <v>-10620.435600016917</v>
      </c>
      <c r="G2312" s="76" t="e">
        <f ca="1">SUMIF('Production '!$C$4:$AI$4407,'Tracking Sheet'!B2312,'Production '!$W$4:$W$4407)</f>
        <v>#DIV/0!</v>
      </c>
      <c r="H2312" s="76">
        <f ca="1">SUMIF('Production '!$C$4:$AI$4407,'Tracking Sheet'!B2312,'Production '!$F$4:$F$4407)</f>
        <v>3230621.3283604058</v>
      </c>
      <c r="I2312" s="76">
        <f ca="1">SUMIF('Production '!$C$4:$AI$4407,'Tracking Sheet'!B2312,'Production '!$V$4:$V$4407)</f>
        <v>-489.86487791182844</v>
      </c>
      <c r="J2312" s="76">
        <f ca="1">SUMIF('Production '!$C$4:$AI$4407,'Tracking Sheet'!B2312,'Production '!$AG$4:$AG$4407)</f>
        <v>0</v>
      </c>
    </row>
    <row r="2313" spans="2:10" x14ac:dyDescent="0.3">
      <c r="B2313" s="277">
        <f>'Production '!C2316</f>
        <v>0</v>
      </c>
      <c r="C2313" s="76" t="e">
        <f ca="1">SUMIF('Production '!$C$4:$AI$4407,'Tracking Sheet'!B2313,'Production '!$M$4:$M$4407)</f>
        <v>#DIV/0!</v>
      </c>
      <c r="D2313" s="76" t="e">
        <f ca="1">SUMIF('Production '!$C$4:$AI$4407,'Tracking Sheet'!B2313,'Production '!$Q$4:$Q$4407)</f>
        <v>#DIV/0!</v>
      </c>
      <c r="E2313" s="76">
        <f ca="1">SUMIF('Production '!$C$4:$AI$4407,'Tracking Sheet'!B2313,'Production '!$S$4:$S$4407)</f>
        <v>-1268218.9828305368</v>
      </c>
      <c r="F2313" s="76">
        <f ca="1">SUMIF('Production '!$C$4:$AI$4407,'Tracking Sheet'!B2313,'Production '!$U$4:$U$4407)</f>
        <v>-10620.435600016917</v>
      </c>
      <c r="G2313" s="76" t="e">
        <f ca="1">SUMIF('Production '!$C$4:$AI$4407,'Tracking Sheet'!B2313,'Production '!$W$4:$W$4407)</f>
        <v>#DIV/0!</v>
      </c>
      <c r="H2313" s="76">
        <f ca="1">SUMIF('Production '!$C$4:$AI$4407,'Tracking Sheet'!B2313,'Production '!$F$4:$F$4407)</f>
        <v>3230621.3283604058</v>
      </c>
      <c r="I2313" s="76">
        <f ca="1">SUMIF('Production '!$C$4:$AI$4407,'Tracking Sheet'!B2313,'Production '!$V$4:$V$4407)</f>
        <v>-489.86487791182844</v>
      </c>
      <c r="J2313" s="76">
        <f ca="1">SUMIF('Production '!$C$4:$AI$4407,'Tracking Sheet'!B2313,'Production '!$AG$4:$AG$4407)</f>
        <v>0</v>
      </c>
    </row>
    <row r="2314" spans="2:10" x14ac:dyDescent="0.3">
      <c r="B2314" s="277">
        <f>'Production '!C2317</f>
        <v>0</v>
      </c>
      <c r="C2314" s="76" t="e">
        <f ca="1">SUMIF('Production '!$C$4:$AI$4407,'Tracking Sheet'!B2314,'Production '!$M$4:$M$4407)</f>
        <v>#DIV/0!</v>
      </c>
      <c r="D2314" s="76" t="e">
        <f ca="1">SUMIF('Production '!$C$4:$AI$4407,'Tracking Sheet'!B2314,'Production '!$Q$4:$Q$4407)</f>
        <v>#DIV/0!</v>
      </c>
      <c r="E2314" s="76">
        <f ca="1">SUMIF('Production '!$C$4:$AI$4407,'Tracking Sheet'!B2314,'Production '!$S$4:$S$4407)</f>
        <v>-1268218.9828305368</v>
      </c>
      <c r="F2314" s="76">
        <f ca="1">SUMIF('Production '!$C$4:$AI$4407,'Tracking Sheet'!B2314,'Production '!$U$4:$U$4407)</f>
        <v>-10620.435600016917</v>
      </c>
      <c r="G2314" s="76" t="e">
        <f ca="1">SUMIF('Production '!$C$4:$AI$4407,'Tracking Sheet'!B2314,'Production '!$W$4:$W$4407)</f>
        <v>#DIV/0!</v>
      </c>
      <c r="H2314" s="76">
        <f ca="1">SUMIF('Production '!$C$4:$AI$4407,'Tracking Sheet'!B2314,'Production '!$F$4:$F$4407)</f>
        <v>3230621.3283604058</v>
      </c>
      <c r="I2314" s="76">
        <f ca="1">SUMIF('Production '!$C$4:$AI$4407,'Tracking Sheet'!B2314,'Production '!$V$4:$V$4407)</f>
        <v>-489.86487791182844</v>
      </c>
      <c r="J2314" s="76">
        <f ca="1">SUMIF('Production '!$C$4:$AI$4407,'Tracking Sheet'!B2314,'Production '!$AG$4:$AG$4407)</f>
        <v>0</v>
      </c>
    </row>
    <row r="2315" spans="2:10" x14ac:dyDescent="0.3">
      <c r="B2315" s="277">
        <f>'Production '!C2318</f>
        <v>0</v>
      </c>
      <c r="C2315" s="76" t="e">
        <f ca="1">SUMIF('Production '!$C$4:$AI$4407,'Tracking Sheet'!B2315,'Production '!$M$4:$M$4407)</f>
        <v>#DIV/0!</v>
      </c>
      <c r="D2315" s="76" t="e">
        <f ca="1">SUMIF('Production '!$C$4:$AI$4407,'Tracking Sheet'!B2315,'Production '!$Q$4:$Q$4407)</f>
        <v>#DIV/0!</v>
      </c>
      <c r="E2315" s="76">
        <f ca="1">SUMIF('Production '!$C$4:$AI$4407,'Tracking Sheet'!B2315,'Production '!$S$4:$S$4407)</f>
        <v>-1268218.9828305368</v>
      </c>
      <c r="F2315" s="76">
        <f ca="1">SUMIF('Production '!$C$4:$AI$4407,'Tracking Sheet'!B2315,'Production '!$U$4:$U$4407)</f>
        <v>-10620.435600016917</v>
      </c>
      <c r="G2315" s="76" t="e">
        <f ca="1">SUMIF('Production '!$C$4:$AI$4407,'Tracking Sheet'!B2315,'Production '!$W$4:$W$4407)</f>
        <v>#DIV/0!</v>
      </c>
      <c r="H2315" s="76">
        <f ca="1">SUMIF('Production '!$C$4:$AI$4407,'Tracking Sheet'!B2315,'Production '!$F$4:$F$4407)</f>
        <v>3230621.3283604058</v>
      </c>
      <c r="I2315" s="76">
        <f ca="1">SUMIF('Production '!$C$4:$AI$4407,'Tracking Sheet'!B2315,'Production '!$V$4:$V$4407)</f>
        <v>-489.86487791182844</v>
      </c>
      <c r="J2315" s="76">
        <f ca="1">SUMIF('Production '!$C$4:$AI$4407,'Tracking Sheet'!B2315,'Production '!$AG$4:$AG$4407)</f>
        <v>0</v>
      </c>
    </row>
    <row r="2316" spans="2:10" x14ac:dyDescent="0.3">
      <c r="B2316" s="277">
        <f>'Production '!C2319</f>
        <v>0</v>
      </c>
      <c r="C2316" s="76" t="e">
        <f ca="1">SUMIF('Production '!$C$4:$AI$4407,'Tracking Sheet'!B2316,'Production '!$M$4:$M$4407)</f>
        <v>#DIV/0!</v>
      </c>
      <c r="D2316" s="76" t="e">
        <f ca="1">SUMIF('Production '!$C$4:$AI$4407,'Tracking Sheet'!B2316,'Production '!$Q$4:$Q$4407)</f>
        <v>#DIV/0!</v>
      </c>
      <c r="E2316" s="76">
        <f ca="1">SUMIF('Production '!$C$4:$AI$4407,'Tracking Sheet'!B2316,'Production '!$S$4:$S$4407)</f>
        <v>-1268218.9828305368</v>
      </c>
      <c r="F2316" s="76">
        <f ca="1">SUMIF('Production '!$C$4:$AI$4407,'Tracking Sheet'!B2316,'Production '!$U$4:$U$4407)</f>
        <v>-10620.435600016917</v>
      </c>
      <c r="G2316" s="76" t="e">
        <f ca="1">SUMIF('Production '!$C$4:$AI$4407,'Tracking Sheet'!B2316,'Production '!$W$4:$W$4407)</f>
        <v>#DIV/0!</v>
      </c>
      <c r="H2316" s="76">
        <f ca="1">SUMIF('Production '!$C$4:$AI$4407,'Tracking Sheet'!B2316,'Production '!$F$4:$F$4407)</f>
        <v>3230621.3283604058</v>
      </c>
      <c r="I2316" s="76">
        <f ca="1">SUMIF('Production '!$C$4:$AI$4407,'Tracking Sheet'!B2316,'Production '!$V$4:$V$4407)</f>
        <v>-489.86487791182844</v>
      </c>
      <c r="J2316" s="76">
        <f ca="1">SUMIF('Production '!$C$4:$AI$4407,'Tracking Sheet'!B2316,'Production '!$AG$4:$AG$4407)</f>
        <v>0</v>
      </c>
    </row>
    <row r="2317" spans="2:10" x14ac:dyDescent="0.3">
      <c r="B2317" s="277">
        <f>'Production '!C2320</f>
        <v>0</v>
      </c>
      <c r="C2317" s="76" t="e">
        <f ca="1">SUMIF('Production '!$C$4:$AI$4407,'Tracking Sheet'!B2317,'Production '!$M$4:$M$4407)</f>
        <v>#DIV/0!</v>
      </c>
      <c r="D2317" s="76" t="e">
        <f ca="1">SUMIF('Production '!$C$4:$AI$4407,'Tracking Sheet'!B2317,'Production '!$Q$4:$Q$4407)</f>
        <v>#DIV/0!</v>
      </c>
      <c r="E2317" s="76">
        <f ca="1">SUMIF('Production '!$C$4:$AI$4407,'Tracking Sheet'!B2317,'Production '!$S$4:$S$4407)</f>
        <v>-1268218.9828305368</v>
      </c>
      <c r="F2317" s="76">
        <f ca="1">SUMIF('Production '!$C$4:$AI$4407,'Tracking Sheet'!B2317,'Production '!$U$4:$U$4407)</f>
        <v>-10620.435600016917</v>
      </c>
      <c r="G2317" s="76" t="e">
        <f ca="1">SUMIF('Production '!$C$4:$AI$4407,'Tracking Sheet'!B2317,'Production '!$W$4:$W$4407)</f>
        <v>#DIV/0!</v>
      </c>
      <c r="H2317" s="76">
        <f ca="1">SUMIF('Production '!$C$4:$AI$4407,'Tracking Sheet'!B2317,'Production '!$F$4:$F$4407)</f>
        <v>3230621.3283604058</v>
      </c>
      <c r="I2317" s="76">
        <f ca="1">SUMIF('Production '!$C$4:$AI$4407,'Tracking Sheet'!B2317,'Production '!$V$4:$V$4407)</f>
        <v>-489.86487791182844</v>
      </c>
      <c r="J2317" s="76">
        <f ca="1">SUMIF('Production '!$C$4:$AI$4407,'Tracking Sheet'!B2317,'Production '!$AG$4:$AG$4407)</f>
        <v>0</v>
      </c>
    </row>
    <row r="2318" spans="2:10" x14ac:dyDescent="0.3">
      <c r="B2318" s="277">
        <f>'Production '!C2321</f>
        <v>0</v>
      </c>
      <c r="C2318" s="76" t="e">
        <f ca="1">SUMIF('Production '!$C$4:$AI$4407,'Tracking Sheet'!B2318,'Production '!$M$4:$M$4407)</f>
        <v>#DIV/0!</v>
      </c>
      <c r="D2318" s="76" t="e">
        <f ca="1">SUMIF('Production '!$C$4:$AI$4407,'Tracking Sheet'!B2318,'Production '!$Q$4:$Q$4407)</f>
        <v>#DIV/0!</v>
      </c>
      <c r="E2318" s="76">
        <f ca="1">SUMIF('Production '!$C$4:$AI$4407,'Tracking Sheet'!B2318,'Production '!$S$4:$S$4407)</f>
        <v>-1268218.9828305368</v>
      </c>
      <c r="F2318" s="76">
        <f ca="1">SUMIF('Production '!$C$4:$AI$4407,'Tracking Sheet'!B2318,'Production '!$U$4:$U$4407)</f>
        <v>-10620.435600016917</v>
      </c>
      <c r="G2318" s="76" t="e">
        <f ca="1">SUMIF('Production '!$C$4:$AI$4407,'Tracking Sheet'!B2318,'Production '!$W$4:$W$4407)</f>
        <v>#DIV/0!</v>
      </c>
      <c r="H2318" s="76">
        <f ca="1">SUMIF('Production '!$C$4:$AI$4407,'Tracking Sheet'!B2318,'Production '!$F$4:$F$4407)</f>
        <v>3230621.3283604058</v>
      </c>
      <c r="I2318" s="76">
        <f ca="1">SUMIF('Production '!$C$4:$AI$4407,'Tracking Sheet'!B2318,'Production '!$V$4:$V$4407)</f>
        <v>-489.86487791182844</v>
      </c>
      <c r="J2318" s="76">
        <f ca="1">SUMIF('Production '!$C$4:$AI$4407,'Tracking Sheet'!B2318,'Production '!$AG$4:$AG$4407)</f>
        <v>0</v>
      </c>
    </row>
    <row r="2319" spans="2:10" x14ac:dyDescent="0.3">
      <c r="B2319" s="277">
        <f>'Production '!C2322</f>
        <v>0</v>
      </c>
      <c r="C2319" s="76" t="e">
        <f ca="1">SUMIF('Production '!$C$4:$AI$4407,'Tracking Sheet'!B2319,'Production '!$M$4:$M$4407)</f>
        <v>#DIV/0!</v>
      </c>
      <c r="D2319" s="76" t="e">
        <f ca="1">SUMIF('Production '!$C$4:$AI$4407,'Tracking Sheet'!B2319,'Production '!$Q$4:$Q$4407)</f>
        <v>#DIV/0!</v>
      </c>
      <c r="E2319" s="76">
        <f ca="1">SUMIF('Production '!$C$4:$AI$4407,'Tracking Sheet'!B2319,'Production '!$S$4:$S$4407)</f>
        <v>-1268218.9828305368</v>
      </c>
      <c r="F2319" s="76">
        <f ca="1">SUMIF('Production '!$C$4:$AI$4407,'Tracking Sheet'!B2319,'Production '!$U$4:$U$4407)</f>
        <v>-10620.435600016917</v>
      </c>
      <c r="G2319" s="76" t="e">
        <f ca="1">SUMIF('Production '!$C$4:$AI$4407,'Tracking Sheet'!B2319,'Production '!$W$4:$W$4407)</f>
        <v>#DIV/0!</v>
      </c>
      <c r="H2319" s="76">
        <f ca="1">SUMIF('Production '!$C$4:$AI$4407,'Tracking Sheet'!B2319,'Production '!$F$4:$F$4407)</f>
        <v>3230621.3283604058</v>
      </c>
      <c r="I2319" s="76">
        <f ca="1">SUMIF('Production '!$C$4:$AI$4407,'Tracking Sheet'!B2319,'Production '!$V$4:$V$4407)</f>
        <v>-489.86487791182844</v>
      </c>
      <c r="J2319" s="76">
        <f ca="1">SUMIF('Production '!$C$4:$AI$4407,'Tracking Sheet'!B2319,'Production '!$AG$4:$AG$4407)</f>
        <v>0</v>
      </c>
    </row>
    <row r="2320" spans="2:10" x14ac:dyDescent="0.3">
      <c r="B2320" s="277">
        <f>'Production '!C2323</f>
        <v>0</v>
      </c>
      <c r="C2320" s="76" t="e">
        <f ca="1">SUMIF('Production '!$C$4:$AI$4407,'Tracking Sheet'!B2320,'Production '!$M$4:$M$4407)</f>
        <v>#DIV/0!</v>
      </c>
      <c r="D2320" s="76" t="e">
        <f ca="1">SUMIF('Production '!$C$4:$AI$4407,'Tracking Sheet'!B2320,'Production '!$Q$4:$Q$4407)</f>
        <v>#DIV/0!</v>
      </c>
      <c r="E2320" s="76">
        <f ca="1">SUMIF('Production '!$C$4:$AI$4407,'Tracking Sheet'!B2320,'Production '!$S$4:$S$4407)</f>
        <v>-1268218.9828305368</v>
      </c>
      <c r="F2320" s="76">
        <f ca="1">SUMIF('Production '!$C$4:$AI$4407,'Tracking Sheet'!B2320,'Production '!$U$4:$U$4407)</f>
        <v>-10620.435600016917</v>
      </c>
      <c r="G2320" s="76" t="e">
        <f ca="1">SUMIF('Production '!$C$4:$AI$4407,'Tracking Sheet'!B2320,'Production '!$W$4:$W$4407)</f>
        <v>#DIV/0!</v>
      </c>
      <c r="H2320" s="76">
        <f ca="1">SUMIF('Production '!$C$4:$AI$4407,'Tracking Sheet'!B2320,'Production '!$F$4:$F$4407)</f>
        <v>3230621.3283604058</v>
      </c>
      <c r="I2320" s="76">
        <f ca="1">SUMIF('Production '!$C$4:$AI$4407,'Tracking Sheet'!B2320,'Production '!$V$4:$V$4407)</f>
        <v>-489.86487791182844</v>
      </c>
      <c r="J2320" s="76">
        <f ca="1">SUMIF('Production '!$C$4:$AI$4407,'Tracking Sheet'!B2320,'Production '!$AG$4:$AG$4407)</f>
        <v>0</v>
      </c>
    </row>
    <row r="2321" spans="2:10" x14ac:dyDescent="0.3">
      <c r="B2321" s="277">
        <f>'Production '!C2324</f>
        <v>0</v>
      </c>
      <c r="C2321" s="76" t="e">
        <f ca="1">SUMIF('Production '!$C$4:$AI$4407,'Tracking Sheet'!B2321,'Production '!$M$4:$M$4407)</f>
        <v>#DIV/0!</v>
      </c>
      <c r="D2321" s="76" t="e">
        <f ca="1">SUMIF('Production '!$C$4:$AI$4407,'Tracking Sheet'!B2321,'Production '!$Q$4:$Q$4407)</f>
        <v>#DIV/0!</v>
      </c>
      <c r="E2321" s="76">
        <f ca="1">SUMIF('Production '!$C$4:$AI$4407,'Tracking Sheet'!B2321,'Production '!$S$4:$S$4407)</f>
        <v>-1268218.9828305368</v>
      </c>
      <c r="F2321" s="76">
        <f ca="1">SUMIF('Production '!$C$4:$AI$4407,'Tracking Sheet'!B2321,'Production '!$U$4:$U$4407)</f>
        <v>-10620.435600016917</v>
      </c>
      <c r="G2321" s="76" t="e">
        <f ca="1">SUMIF('Production '!$C$4:$AI$4407,'Tracking Sheet'!B2321,'Production '!$W$4:$W$4407)</f>
        <v>#DIV/0!</v>
      </c>
      <c r="H2321" s="76">
        <f ca="1">SUMIF('Production '!$C$4:$AI$4407,'Tracking Sheet'!B2321,'Production '!$F$4:$F$4407)</f>
        <v>3230621.3283604058</v>
      </c>
      <c r="I2321" s="76">
        <f ca="1">SUMIF('Production '!$C$4:$AI$4407,'Tracking Sheet'!B2321,'Production '!$V$4:$V$4407)</f>
        <v>-489.86487791182844</v>
      </c>
      <c r="J2321" s="76">
        <f ca="1">SUMIF('Production '!$C$4:$AI$4407,'Tracking Sheet'!B2321,'Production '!$AG$4:$AG$4407)</f>
        <v>0</v>
      </c>
    </row>
    <row r="2322" spans="2:10" x14ac:dyDescent="0.3">
      <c r="B2322" s="277">
        <f>'Production '!C2325</f>
        <v>0</v>
      </c>
      <c r="C2322" s="76" t="e">
        <f ca="1">SUMIF('Production '!$C$4:$AI$4407,'Tracking Sheet'!B2322,'Production '!$M$4:$M$4407)</f>
        <v>#DIV/0!</v>
      </c>
      <c r="D2322" s="76" t="e">
        <f ca="1">SUMIF('Production '!$C$4:$AI$4407,'Tracking Sheet'!B2322,'Production '!$Q$4:$Q$4407)</f>
        <v>#DIV/0!</v>
      </c>
      <c r="E2322" s="76">
        <f ca="1">SUMIF('Production '!$C$4:$AI$4407,'Tracking Sheet'!B2322,'Production '!$S$4:$S$4407)</f>
        <v>-1268218.9828305368</v>
      </c>
      <c r="F2322" s="76">
        <f ca="1">SUMIF('Production '!$C$4:$AI$4407,'Tracking Sheet'!B2322,'Production '!$U$4:$U$4407)</f>
        <v>-10620.435600016917</v>
      </c>
      <c r="G2322" s="76" t="e">
        <f ca="1">SUMIF('Production '!$C$4:$AI$4407,'Tracking Sheet'!B2322,'Production '!$W$4:$W$4407)</f>
        <v>#DIV/0!</v>
      </c>
      <c r="H2322" s="76">
        <f ca="1">SUMIF('Production '!$C$4:$AI$4407,'Tracking Sheet'!B2322,'Production '!$F$4:$F$4407)</f>
        <v>3230621.3283604058</v>
      </c>
      <c r="I2322" s="76">
        <f ca="1">SUMIF('Production '!$C$4:$AI$4407,'Tracking Sheet'!B2322,'Production '!$V$4:$V$4407)</f>
        <v>-489.86487791182844</v>
      </c>
      <c r="J2322" s="76">
        <f ca="1">SUMIF('Production '!$C$4:$AI$4407,'Tracking Sheet'!B2322,'Production '!$AG$4:$AG$4407)</f>
        <v>0</v>
      </c>
    </row>
    <row r="2323" spans="2:10" x14ac:dyDescent="0.3">
      <c r="B2323" s="277">
        <f>'Production '!C2326</f>
        <v>0</v>
      </c>
      <c r="C2323" s="76" t="e">
        <f ca="1">SUMIF('Production '!$C$4:$AI$4407,'Tracking Sheet'!B2323,'Production '!$M$4:$M$4407)</f>
        <v>#DIV/0!</v>
      </c>
      <c r="D2323" s="76" t="e">
        <f ca="1">SUMIF('Production '!$C$4:$AI$4407,'Tracking Sheet'!B2323,'Production '!$Q$4:$Q$4407)</f>
        <v>#DIV/0!</v>
      </c>
      <c r="E2323" s="76">
        <f ca="1">SUMIF('Production '!$C$4:$AI$4407,'Tracking Sheet'!B2323,'Production '!$S$4:$S$4407)</f>
        <v>-1268218.9828305368</v>
      </c>
      <c r="F2323" s="76">
        <f ca="1">SUMIF('Production '!$C$4:$AI$4407,'Tracking Sheet'!B2323,'Production '!$U$4:$U$4407)</f>
        <v>-10620.435600016917</v>
      </c>
      <c r="G2323" s="76" t="e">
        <f ca="1">SUMIF('Production '!$C$4:$AI$4407,'Tracking Sheet'!B2323,'Production '!$W$4:$W$4407)</f>
        <v>#DIV/0!</v>
      </c>
      <c r="H2323" s="76">
        <f ca="1">SUMIF('Production '!$C$4:$AI$4407,'Tracking Sheet'!B2323,'Production '!$F$4:$F$4407)</f>
        <v>3230621.3283604058</v>
      </c>
      <c r="I2323" s="76">
        <f ca="1">SUMIF('Production '!$C$4:$AI$4407,'Tracking Sheet'!B2323,'Production '!$V$4:$V$4407)</f>
        <v>-489.86487791182844</v>
      </c>
      <c r="J2323" s="76">
        <f ca="1">SUMIF('Production '!$C$4:$AI$4407,'Tracking Sheet'!B2323,'Production '!$AG$4:$AG$4407)</f>
        <v>0</v>
      </c>
    </row>
    <row r="2324" spans="2:10" x14ac:dyDescent="0.3">
      <c r="B2324" s="277">
        <f>'Production '!C2327</f>
        <v>0</v>
      </c>
      <c r="C2324" s="76" t="e">
        <f ca="1">SUMIF('Production '!$C$4:$AI$4407,'Tracking Sheet'!B2324,'Production '!$M$4:$M$4407)</f>
        <v>#DIV/0!</v>
      </c>
      <c r="D2324" s="76" t="e">
        <f ca="1">SUMIF('Production '!$C$4:$AI$4407,'Tracking Sheet'!B2324,'Production '!$Q$4:$Q$4407)</f>
        <v>#DIV/0!</v>
      </c>
      <c r="E2324" s="76">
        <f ca="1">SUMIF('Production '!$C$4:$AI$4407,'Tracking Sheet'!B2324,'Production '!$S$4:$S$4407)</f>
        <v>-1268218.9828305368</v>
      </c>
      <c r="F2324" s="76">
        <f ca="1">SUMIF('Production '!$C$4:$AI$4407,'Tracking Sheet'!B2324,'Production '!$U$4:$U$4407)</f>
        <v>-10620.435600016917</v>
      </c>
      <c r="G2324" s="76" t="e">
        <f ca="1">SUMIF('Production '!$C$4:$AI$4407,'Tracking Sheet'!B2324,'Production '!$W$4:$W$4407)</f>
        <v>#DIV/0!</v>
      </c>
      <c r="H2324" s="76">
        <f ca="1">SUMIF('Production '!$C$4:$AI$4407,'Tracking Sheet'!B2324,'Production '!$F$4:$F$4407)</f>
        <v>3230621.3283604058</v>
      </c>
      <c r="I2324" s="76">
        <f ca="1">SUMIF('Production '!$C$4:$AI$4407,'Tracking Sheet'!B2324,'Production '!$V$4:$V$4407)</f>
        <v>-489.86487791182844</v>
      </c>
      <c r="J2324" s="76">
        <f ca="1">SUMIF('Production '!$C$4:$AI$4407,'Tracking Sheet'!B2324,'Production '!$AG$4:$AG$4407)</f>
        <v>0</v>
      </c>
    </row>
    <row r="2325" spans="2:10" x14ac:dyDescent="0.3">
      <c r="B2325" s="277">
        <f>'Production '!C2328</f>
        <v>0</v>
      </c>
      <c r="C2325" s="76" t="e">
        <f ca="1">SUMIF('Production '!$C$4:$AI$4407,'Tracking Sheet'!B2325,'Production '!$M$4:$M$4407)</f>
        <v>#DIV/0!</v>
      </c>
      <c r="D2325" s="76" t="e">
        <f ca="1">SUMIF('Production '!$C$4:$AI$4407,'Tracking Sheet'!B2325,'Production '!$Q$4:$Q$4407)</f>
        <v>#DIV/0!</v>
      </c>
      <c r="E2325" s="76">
        <f ca="1">SUMIF('Production '!$C$4:$AI$4407,'Tracking Sheet'!B2325,'Production '!$S$4:$S$4407)</f>
        <v>-1268218.9828305368</v>
      </c>
      <c r="F2325" s="76">
        <f ca="1">SUMIF('Production '!$C$4:$AI$4407,'Tracking Sheet'!B2325,'Production '!$U$4:$U$4407)</f>
        <v>-10620.435600016917</v>
      </c>
      <c r="G2325" s="76" t="e">
        <f ca="1">SUMIF('Production '!$C$4:$AI$4407,'Tracking Sheet'!B2325,'Production '!$W$4:$W$4407)</f>
        <v>#DIV/0!</v>
      </c>
      <c r="H2325" s="76">
        <f ca="1">SUMIF('Production '!$C$4:$AI$4407,'Tracking Sheet'!B2325,'Production '!$F$4:$F$4407)</f>
        <v>3230621.3283604058</v>
      </c>
      <c r="I2325" s="76">
        <f ca="1">SUMIF('Production '!$C$4:$AI$4407,'Tracking Sheet'!B2325,'Production '!$V$4:$V$4407)</f>
        <v>-489.86487791182844</v>
      </c>
      <c r="J2325" s="76">
        <f ca="1">SUMIF('Production '!$C$4:$AI$4407,'Tracking Sheet'!B2325,'Production '!$AG$4:$AG$4407)</f>
        <v>0</v>
      </c>
    </row>
    <row r="2326" spans="2:10" x14ac:dyDescent="0.3">
      <c r="B2326" s="277">
        <f>'Production '!C2329</f>
        <v>0</v>
      </c>
      <c r="C2326" s="76" t="e">
        <f ca="1">SUMIF('Production '!$C$4:$AI$4407,'Tracking Sheet'!B2326,'Production '!$M$4:$M$4407)</f>
        <v>#DIV/0!</v>
      </c>
      <c r="D2326" s="76" t="e">
        <f ca="1">SUMIF('Production '!$C$4:$AI$4407,'Tracking Sheet'!B2326,'Production '!$Q$4:$Q$4407)</f>
        <v>#DIV/0!</v>
      </c>
      <c r="E2326" s="76">
        <f ca="1">SUMIF('Production '!$C$4:$AI$4407,'Tracking Sheet'!B2326,'Production '!$S$4:$S$4407)</f>
        <v>-1268218.9828305368</v>
      </c>
      <c r="F2326" s="76">
        <f ca="1">SUMIF('Production '!$C$4:$AI$4407,'Tracking Sheet'!B2326,'Production '!$U$4:$U$4407)</f>
        <v>-10620.435600016917</v>
      </c>
      <c r="G2326" s="76" t="e">
        <f ca="1">SUMIF('Production '!$C$4:$AI$4407,'Tracking Sheet'!B2326,'Production '!$W$4:$W$4407)</f>
        <v>#DIV/0!</v>
      </c>
      <c r="H2326" s="76">
        <f ca="1">SUMIF('Production '!$C$4:$AI$4407,'Tracking Sheet'!B2326,'Production '!$F$4:$F$4407)</f>
        <v>3230621.3283604058</v>
      </c>
      <c r="I2326" s="76">
        <f ca="1">SUMIF('Production '!$C$4:$AI$4407,'Tracking Sheet'!B2326,'Production '!$V$4:$V$4407)</f>
        <v>-489.86487791182844</v>
      </c>
      <c r="J2326" s="76">
        <f ca="1">SUMIF('Production '!$C$4:$AI$4407,'Tracking Sheet'!B2326,'Production '!$AG$4:$AG$4407)</f>
        <v>0</v>
      </c>
    </row>
    <row r="2327" spans="2:10" x14ac:dyDescent="0.3">
      <c r="B2327" s="277">
        <f>'Production '!C2330</f>
        <v>0</v>
      </c>
      <c r="C2327" s="76" t="e">
        <f ca="1">SUMIF('Production '!$C$4:$AI$4407,'Tracking Sheet'!B2327,'Production '!$M$4:$M$4407)</f>
        <v>#DIV/0!</v>
      </c>
      <c r="D2327" s="76" t="e">
        <f ca="1">SUMIF('Production '!$C$4:$AI$4407,'Tracking Sheet'!B2327,'Production '!$Q$4:$Q$4407)</f>
        <v>#DIV/0!</v>
      </c>
      <c r="E2327" s="76">
        <f ca="1">SUMIF('Production '!$C$4:$AI$4407,'Tracking Sheet'!B2327,'Production '!$S$4:$S$4407)</f>
        <v>-1268218.9828305368</v>
      </c>
      <c r="F2327" s="76">
        <f ca="1">SUMIF('Production '!$C$4:$AI$4407,'Tracking Sheet'!B2327,'Production '!$U$4:$U$4407)</f>
        <v>-10620.435600016917</v>
      </c>
      <c r="G2327" s="76" t="e">
        <f ca="1">SUMIF('Production '!$C$4:$AI$4407,'Tracking Sheet'!B2327,'Production '!$W$4:$W$4407)</f>
        <v>#DIV/0!</v>
      </c>
      <c r="H2327" s="76">
        <f ca="1">SUMIF('Production '!$C$4:$AI$4407,'Tracking Sheet'!B2327,'Production '!$F$4:$F$4407)</f>
        <v>3230621.3283604058</v>
      </c>
      <c r="I2327" s="76">
        <f ca="1">SUMIF('Production '!$C$4:$AI$4407,'Tracking Sheet'!B2327,'Production '!$V$4:$V$4407)</f>
        <v>-489.86487791182844</v>
      </c>
      <c r="J2327" s="76">
        <f ca="1">SUMIF('Production '!$C$4:$AI$4407,'Tracking Sheet'!B2327,'Production '!$AG$4:$AG$4407)</f>
        <v>0</v>
      </c>
    </row>
    <row r="2328" spans="2:10" x14ac:dyDescent="0.3">
      <c r="B2328" s="277">
        <f>'Production '!C2331</f>
        <v>0</v>
      </c>
      <c r="C2328" s="76" t="e">
        <f ca="1">SUMIF('Production '!$C$4:$AI$4407,'Tracking Sheet'!B2328,'Production '!$M$4:$M$4407)</f>
        <v>#DIV/0!</v>
      </c>
      <c r="D2328" s="76" t="e">
        <f ca="1">SUMIF('Production '!$C$4:$AI$4407,'Tracking Sheet'!B2328,'Production '!$Q$4:$Q$4407)</f>
        <v>#DIV/0!</v>
      </c>
      <c r="E2328" s="76">
        <f ca="1">SUMIF('Production '!$C$4:$AI$4407,'Tracking Sheet'!B2328,'Production '!$S$4:$S$4407)</f>
        <v>-1268218.9828305368</v>
      </c>
      <c r="F2328" s="76">
        <f ca="1">SUMIF('Production '!$C$4:$AI$4407,'Tracking Sheet'!B2328,'Production '!$U$4:$U$4407)</f>
        <v>-10620.435600016917</v>
      </c>
      <c r="G2328" s="76" t="e">
        <f ca="1">SUMIF('Production '!$C$4:$AI$4407,'Tracking Sheet'!B2328,'Production '!$W$4:$W$4407)</f>
        <v>#DIV/0!</v>
      </c>
      <c r="H2328" s="76">
        <f ca="1">SUMIF('Production '!$C$4:$AI$4407,'Tracking Sheet'!B2328,'Production '!$F$4:$F$4407)</f>
        <v>3230621.3283604058</v>
      </c>
      <c r="I2328" s="76">
        <f ca="1">SUMIF('Production '!$C$4:$AI$4407,'Tracking Sheet'!B2328,'Production '!$V$4:$V$4407)</f>
        <v>-489.86487791182844</v>
      </c>
      <c r="J2328" s="76">
        <f ca="1">SUMIF('Production '!$C$4:$AI$4407,'Tracking Sheet'!B2328,'Production '!$AG$4:$AG$4407)</f>
        <v>0</v>
      </c>
    </row>
    <row r="2329" spans="2:10" x14ac:dyDescent="0.3">
      <c r="B2329" s="277">
        <f>'Production '!C2332</f>
        <v>0</v>
      </c>
      <c r="C2329" s="76" t="e">
        <f ca="1">SUMIF('Production '!$C$4:$AI$4407,'Tracking Sheet'!B2329,'Production '!$M$4:$M$4407)</f>
        <v>#DIV/0!</v>
      </c>
      <c r="D2329" s="76" t="e">
        <f ca="1">SUMIF('Production '!$C$4:$AI$4407,'Tracking Sheet'!B2329,'Production '!$Q$4:$Q$4407)</f>
        <v>#DIV/0!</v>
      </c>
      <c r="E2329" s="76">
        <f ca="1">SUMIF('Production '!$C$4:$AI$4407,'Tracking Sheet'!B2329,'Production '!$S$4:$S$4407)</f>
        <v>-1268218.9828305368</v>
      </c>
      <c r="F2329" s="76">
        <f ca="1">SUMIF('Production '!$C$4:$AI$4407,'Tracking Sheet'!B2329,'Production '!$U$4:$U$4407)</f>
        <v>-10620.435600016917</v>
      </c>
      <c r="G2329" s="76" t="e">
        <f ca="1">SUMIF('Production '!$C$4:$AI$4407,'Tracking Sheet'!B2329,'Production '!$W$4:$W$4407)</f>
        <v>#DIV/0!</v>
      </c>
      <c r="H2329" s="76">
        <f ca="1">SUMIF('Production '!$C$4:$AI$4407,'Tracking Sheet'!B2329,'Production '!$F$4:$F$4407)</f>
        <v>3230621.3283604058</v>
      </c>
      <c r="I2329" s="76">
        <f ca="1">SUMIF('Production '!$C$4:$AI$4407,'Tracking Sheet'!B2329,'Production '!$V$4:$V$4407)</f>
        <v>-489.86487791182844</v>
      </c>
      <c r="J2329" s="76">
        <f ca="1">SUMIF('Production '!$C$4:$AI$4407,'Tracking Sheet'!B2329,'Production '!$AG$4:$AG$4407)</f>
        <v>0</v>
      </c>
    </row>
    <row r="2330" spans="2:10" x14ac:dyDescent="0.3">
      <c r="B2330" s="277">
        <f>'Production '!C2333</f>
        <v>0</v>
      </c>
      <c r="C2330" s="76" t="e">
        <f ca="1">SUMIF('Production '!$C$4:$AI$4407,'Tracking Sheet'!B2330,'Production '!$M$4:$M$4407)</f>
        <v>#DIV/0!</v>
      </c>
      <c r="D2330" s="76" t="e">
        <f ca="1">SUMIF('Production '!$C$4:$AI$4407,'Tracking Sheet'!B2330,'Production '!$Q$4:$Q$4407)</f>
        <v>#DIV/0!</v>
      </c>
      <c r="E2330" s="76">
        <f ca="1">SUMIF('Production '!$C$4:$AI$4407,'Tracking Sheet'!B2330,'Production '!$S$4:$S$4407)</f>
        <v>-1268218.9828305368</v>
      </c>
      <c r="F2330" s="76">
        <f ca="1">SUMIF('Production '!$C$4:$AI$4407,'Tracking Sheet'!B2330,'Production '!$U$4:$U$4407)</f>
        <v>-10620.435600016917</v>
      </c>
      <c r="G2330" s="76" t="e">
        <f ca="1">SUMIF('Production '!$C$4:$AI$4407,'Tracking Sheet'!B2330,'Production '!$W$4:$W$4407)</f>
        <v>#DIV/0!</v>
      </c>
      <c r="H2330" s="76">
        <f ca="1">SUMIF('Production '!$C$4:$AI$4407,'Tracking Sheet'!B2330,'Production '!$F$4:$F$4407)</f>
        <v>3230621.3283604058</v>
      </c>
      <c r="I2330" s="76">
        <f ca="1">SUMIF('Production '!$C$4:$AI$4407,'Tracking Sheet'!B2330,'Production '!$V$4:$V$4407)</f>
        <v>-489.86487791182844</v>
      </c>
      <c r="J2330" s="76">
        <f ca="1">SUMIF('Production '!$C$4:$AI$4407,'Tracking Sheet'!B2330,'Production '!$AG$4:$AG$4407)</f>
        <v>0</v>
      </c>
    </row>
    <row r="2331" spans="2:10" x14ac:dyDescent="0.3">
      <c r="B2331" s="277">
        <f>'Production '!C2334</f>
        <v>0</v>
      </c>
      <c r="C2331" s="76" t="e">
        <f ca="1">SUMIF('Production '!$C$4:$AI$4407,'Tracking Sheet'!B2331,'Production '!$M$4:$M$4407)</f>
        <v>#DIV/0!</v>
      </c>
      <c r="D2331" s="76" t="e">
        <f ca="1">SUMIF('Production '!$C$4:$AI$4407,'Tracking Sheet'!B2331,'Production '!$Q$4:$Q$4407)</f>
        <v>#DIV/0!</v>
      </c>
      <c r="E2331" s="76">
        <f ca="1">SUMIF('Production '!$C$4:$AI$4407,'Tracking Sheet'!B2331,'Production '!$S$4:$S$4407)</f>
        <v>-1268218.9828305368</v>
      </c>
      <c r="F2331" s="76">
        <f ca="1">SUMIF('Production '!$C$4:$AI$4407,'Tracking Sheet'!B2331,'Production '!$U$4:$U$4407)</f>
        <v>-10620.435600016917</v>
      </c>
      <c r="G2331" s="76" t="e">
        <f ca="1">SUMIF('Production '!$C$4:$AI$4407,'Tracking Sheet'!B2331,'Production '!$W$4:$W$4407)</f>
        <v>#DIV/0!</v>
      </c>
      <c r="H2331" s="76">
        <f ca="1">SUMIF('Production '!$C$4:$AI$4407,'Tracking Sheet'!B2331,'Production '!$F$4:$F$4407)</f>
        <v>3230621.3283604058</v>
      </c>
      <c r="I2331" s="76">
        <f ca="1">SUMIF('Production '!$C$4:$AI$4407,'Tracking Sheet'!B2331,'Production '!$V$4:$V$4407)</f>
        <v>-489.86487791182844</v>
      </c>
      <c r="J2331" s="76">
        <f ca="1">SUMIF('Production '!$C$4:$AI$4407,'Tracking Sheet'!B2331,'Production '!$AG$4:$AG$4407)</f>
        <v>0</v>
      </c>
    </row>
    <row r="2332" spans="2:10" x14ac:dyDescent="0.3">
      <c r="B2332" s="277">
        <f>'Production '!C2335</f>
        <v>0</v>
      </c>
      <c r="C2332" s="76" t="e">
        <f ca="1">SUMIF('Production '!$C$4:$AI$4407,'Tracking Sheet'!B2332,'Production '!$M$4:$M$4407)</f>
        <v>#DIV/0!</v>
      </c>
      <c r="D2332" s="76" t="e">
        <f ca="1">SUMIF('Production '!$C$4:$AI$4407,'Tracking Sheet'!B2332,'Production '!$Q$4:$Q$4407)</f>
        <v>#DIV/0!</v>
      </c>
      <c r="E2332" s="76">
        <f ca="1">SUMIF('Production '!$C$4:$AI$4407,'Tracking Sheet'!B2332,'Production '!$S$4:$S$4407)</f>
        <v>-1268218.9828305368</v>
      </c>
      <c r="F2332" s="76">
        <f ca="1">SUMIF('Production '!$C$4:$AI$4407,'Tracking Sheet'!B2332,'Production '!$U$4:$U$4407)</f>
        <v>-10620.435600016917</v>
      </c>
      <c r="G2332" s="76" t="e">
        <f ca="1">SUMIF('Production '!$C$4:$AI$4407,'Tracking Sheet'!B2332,'Production '!$W$4:$W$4407)</f>
        <v>#DIV/0!</v>
      </c>
      <c r="H2332" s="76">
        <f ca="1">SUMIF('Production '!$C$4:$AI$4407,'Tracking Sheet'!B2332,'Production '!$F$4:$F$4407)</f>
        <v>3230621.3283604058</v>
      </c>
      <c r="I2332" s="76">
        <f ca="1">SUMIF('Production '!$C$4:$AI$4407,'Tracking Sheet'!B2332,'Production '!$V$4:$V$4407)</f>
        <v>-489.86487791182844</v>
      </c>
      <c r="J2332" s="76">
        <f ca="1">SUMIF('Production '!$C$4:$AI$4407,'Tracking Sheet'!B2332,'Production '!$AG$4:$AG$4407)</f>
        <v>0</v>
      </c>
    </row>
    <row r="2333" spans="2:10" x14ac:dyDescent="0.3">
      <c r="B2333" s="277">
        <f>'Production '!C2336</f>
        <v>0</v>
      </c>
      <c r="C2333" s="76" t="e">
        <f ca="1">SUMIF('Production '!$C$4:$AI$4407,'Tracking Sheet'!B2333,'Production '!$M$4:$M$4407)</f>
        <v>#DIV/0!</v>
      </c>
      <c r="D2333" s="76" t="e">
        <f ca="1">SUMIF('Production '!$C$4:$AI$4407,'Tracking Sheet'!B2333,'Production '!$Q$4:$Q$4407)</f>
        <v>#DIV/0!</v>
      </c>
      <c r="E2333" s="76">
        <f ca="1">SUMIF('Production '!$C$4:$AI$4407,'Tracking Sheet'!B2333,'Production '!$S$4:$S$4407)</f>
        <v>-1268218.9828305368</v>
      </c>
      <c r="F2333" s="76">
        <f ca="1">SUMIF('Production '!$C$4:$AI$4407,'Tracking Sheet'!B2333,'Production '!$U$4:$U$4407)</f>
        <v>-10620.435600016917</v>
      </c>
      <c r="G2333" s="76" t="e">
        <f ca="1">SUMIF('Production '!$C$4:$AI$4407,'Tracking Sheet'!B2333,'Production '!$W$4:$W$4407)</f>
        <v>#DIV/0!</v>
      </c>
      <c r="H2333" s="76">
        <f ca="1">SUMIF('Production '!$C$4:$AI$4407,'Tracking Sheet'!B2333,'Production '!$F$4:$F$4407)</f>
        <v>3230621.3283604058</v>
      </c>
      <c r="I2333" s="76">
        <f ca="1">SUMIF('Production '!$C$4:$AI$4407,'Tracking Sheet'!B2333,'Production '!$V$4:$V$4407)</f>
        <v>-489.86487791182844</v>
      </c>
      <c r="J2333" s="76">
        <f ca="1">SUMIF('Production '!$C$4:$AI$4407,'Tracking Sheet'!B2333,'Production '!$AG$4:$AG$4407)</f>
        <v>0</v>
      </c>
    </row>
    <row r="2334" spans="2:10" x14ac:dyDescent="0.3">
      <c r="B2334" s="277">
        <f>'Production '!C2337</f>
        <v>0</v>
      </c>
      <c r="C2334" s="76" t="e">
        <f ca="1">SUMIF('Production '!$C$4:$AI$4407,'Tracking Sheet'!B2334,'Production '!$M$4:$M$4407)</f>
        <v>#DIV/0!</v>
      </c>
      <c r="D2334" s="76" t="e">
        <f ca="1">SUMIF('Production '!$C$4:$AI$4407,'Tracking Sheet'!B2334,'Production '!$Q$4:$Q$4407)</f>
        <v>#DIV/0!</v>
      </c>
      <c r="E2334" s="76">
        <f ca="1">SUMIF('Production '!$C$4:$AI$4407,'Tracking Sheet'!B2334,'Production '!$S$4:$S$4407)</f>
        <v>-1268218.9828305368</v>
      </c>
      <c r="F2334" s="76">
        <f ca="1">SUMIF('Production '!$C$4:$AI$4407,'Tracking Sheet'!B2334,'Production '!$U$4:$U$4407)</f>
        <v>-10620.435600016917</v>
      </c>
      <c r="G2334" s="76" t="e">
        <f ca="1">SUMIF('Production '!$C$4:$AI$4407,'Tracking Sheet'!B2334,'Production '!$W$4:$W$4407)</f>
        <v>#DIV/0!</v>
      </c>
      <c r="H2334" s="76">
        <f ca="1">SUMIF('Production '!$C$4:$AI$4407,'Tracking Sheet'!B2334,'Production '!$F$4:$F$4407)</f>
        <v>3230621.3283604058</v>
      </c>
      <c r="I2334" s="76">
        <f ca="1">SUMIF('Production '!$C$4:$AI$4407,'Tracking Sheet'!B2334,'Production '!$V$4:$V$4407)</f>
        <v>-489.86487791182844</v>
      </c>
      <c r="J2334" s="76">
        <f ca="1">SUMIF('Production '!$C$4:$AI$4407,'Tracking Sheet'!B2334,'Production '!$AG$4:$AG$4407)</f>
        <v>0</v>
      </c>
    </row>
    <row r="2335" spans="2:10" x14ac:dyDescent="0.3">
      <c r="B2335" s="277">
        <f>'Production '!C2338</f>
        <v>0</v>
      </c>
      <c r="C2335" s="76" t="e">
        <f ca="1">SUMIF('Production '!$C$4:$AI$4407,'Tracking Sheet'!B2335,'Production '!$M$4:$M$4407)</f>
        <v>#DIV/0!</v>
      </c>
      <c r="D2335" s="76" t="e">
        <f ca="1">SUMIF('Production '!$C$4:$AI$4407,'Tracking Sheet'!B2335,'Production '!$Q$4:$Q$4407)</f>
        <v>#DIV/0!</v>
      </c>
      <c r="E2335" s="76">
        <f ca="1">SUMIF('Production '!$C$4:$AI$4407,'Tracking Sheet'!B2335,'Production '!$S$4:$S$4407)</f>
        <v>-1268218.9828305368</v>
      </c>
      <c r="F2335" s="76">
        <f ca="1">SUMIF('Production '!$C$4:$AI$4407,'Tracking Sheet'!B2335,'Production '!$U$4:$U$4407)</f>
        <v>-10620.435600016917</v>
      </c>
      <c r="G2335" s="76" t="e">
        <f ca="1">SUMIF('Production '!$C$4:$AI$4407,'Tracking Sheet'!B2335,'Production '!$W$4:$W$4407)</f>
        <v>#DIV/0!</v>
      </c>
      <c r="H2335" s="76">
        <f ca="1">SUMIF('Production '!$C$4:$AI$4407,'Tracking Sheet'!B2335,'Production '!$F$4:$F$4407)</f>
        <v>3230621.3283604058</v>
      </c>
      <c r="I2335" s="76">
        <f ca="1">SUMIF('Production '!$C$4:$AI$4407,'Tracking Sheet'!B2335,'Production '!$V$4:$V$4407)</f>
        <v>-489.86487791182844</v>
      </c>
      <c r="J2335" s="76">
        <f ca="1">SUMIF('Production '!$C$4:$AI$4407,'Tracking Sheet'!B2335,'Production '!$AG$4:$AG$4407)</f>
        <v>0</v>
      </c>
    </row>
    <row r="2336" spans="2:10" x14ac:dyDescent="0.3">
      <c r="B2336" s="277">
        <f>'Production '!C2339</f>
        <v>0</v>
      </c>
      <c r="C2336" s="76" t="e">
        <f ca="1">SUMIF('Production '!$C$4:$AI$4407,'Tracking Sheet'!B2336,'Production '!$M$4:$M$4407)</f>
        <v>#DIV/0!</v>
      </c>
      <c r="D2336" s="76" t="e">
        <f ca="1">SUMIF('Production '!$C$4:$AI$4407,'Tracking Sheet'!B2336,'Production '!$Q$4:$Q$4407)</f>
        <v>#DIV/0!</v>
      </c>
      <c r="E2336" s="76">
        <f ca="1">SUMIF('Production '!$C$4:$AI$4407,'Tracking Sheet'!B2336,'Production '!$S$4:$S$4407)</f>
        <v>-1268218.9828305368</v>
      </c>
      <c r="F2336" s="76">
        <f ca="1">SUMIF('Production '!$C$4:$AI$4407,'Tracking Sheet'!B2336,'Production '!$U$4:$U$4407)</f>
        <v>-10620.435600016917</v>
      </c>
      <c r="G2336" s="76" t="e">
        <f ca="1">SUMIF('Production '!$C$4:$AI$4407,'Tracking Sheet'!B2336,'Production '!$W$4:$W$4407)</f>
        <v>#DIV/0!</v>
      </c>
      <c r="H2336" s="76">
        <f ca="1">SUMIF('Production '!$C$4:$AI$4407,'Tracking Sheet'!B2336,'Production '!$F$4:$F$4407)</f>
        <v>3230621.3283604058</v>
      </c>
      <c r="I2336" s="76">
        <f ca="1">SUMIF('Production '!$C$4:$AI$4407,'Tracking Sheet'!B2336,'Production '!$V$4:$V$4407)</f>
        <v>-489.86487791182844</v>
      </c>
      <c r="J2336" s="76">
        <f ca="1">SUMIF('Production '!$C$4:$AI$4407,'Tracking Sheet'!B2336,'Production '!$AG$4:$AG$4407)</f>
        <v>0</v>
      </c>
    </row>
    <row r="2337" spans="2:10" x14ac:dyDescent="0.3">
      <c r="B2337" s="277">
        <f>'Production '!C2340</f>
        <v>0</v>
      </c>
      <c r="C2337" s="76" t="e">
        <f ca="1">SUMIF('Production '!$C$4:$AI$4407,'Tracking Sheet'!B2337,'Production '!$M$4:$M$4407)</f>
        <v>#DIV/0!</v>
      </c>
      <c r="D2337" s="76" t="e">
        <f ca="1">SUMIF('Production '!$C$4:$AI$4407,'Tracking Sheet'!B2337,'Production '!$Q$4:$Q$4407)</f>
        <v>#DIV/0!</v>
      </c>
      <c r="E2337" s="76">
        <f ca="1">SUMIF('Production '!$C$4:$AI$4407,'Tracking Sheet'!B2337,'Production '!$S$4:$S$4407)</f>
        <v>-1268218.9828305368</v>
      </c>
      <c r="F2337" s="76">
        <f ca="1">SUMIF('Production '!$C$4:$AI$4407,'Tracking Sheet'!B2337,'Production '!$U$4:$U$4407)</f>
        <v>-10620.435600016917</v>
      </c>
      <c r="G2337" s="76" t="e">
        <f ca="1">SUMIF('Production '!$C$4:$AI$4407,'Tracking Sheet'!B2337,'Production '!$W$4:$W$4407)</f>
        <v>#DIV/0!</v>
      </c>
      <c r="H2337" s="76">
        <f ca="1">SUMIF('Production '!$C$4:$AI$4407,'Tracking Sheet'!B2337,'Production '!$F$4:$F$4407)</f>
        <v>3230621.3283604058</v>
      </c>
      <c r="I2337" s="76">
        <f ca="1">SUMIF('Production '!$C$4:$AI$4407,'Tracking Sheet'!B2337,'Production '!$V$4:$V$4407)</f>
        <v>-489.86487791182844</v>
      </c>
      <c r="J2337" s="76">
        <f ca="1">SUMIF('Production '!$C$4:$AI$4407,'Tracking Sheet'!B2337,'Production '!$AG$4:$AG$4407)</f>
        <v>0</v>
      </c>
    </row>
    <row r="2338" spans="2:10" x14ac:dyDescent="0.3">
      <c r="B2338" s="277">
        <f>'Production '!C2341</f>
        <v>0</v>
      </c>
      <c r="C2338" s="76" t="e">
        <f ca="1">SUMIF('Production '!$C$4:$AI$4407,'Tracking Sheet'!B2338,'Production '!$M$4:$M$4407)</f>
        <v>#DIV/0!</v>
      </c>
      <c r="D2338" s="76" t="e">
        <f ca="1">SUMIF('Production '!$C$4:$AI$4407,'Tracking Sheet'!B2338,'Production '!$Q$4:$Q$4407)</f>
        <v>#DIV/0!</v>
      </c>
      <c r="E2338" s="76">
        <f ca="1">SUMIF('Production '!$C$4:$AI$4407,'Tracking Sheet'!B2338,'Production '!$S$4:$S$4407)</f>
        <v>-1268218.9828305368</v>
      </c>
      <c r="F2338" s="76">
        <f ca="1">SUMIF('Production '!$C$4:$AI$4407,'Tracking Sheet'!B2338,'Production '!$U$4:$U$4407)</f>
        <v>-10620.435600016917</v>
      </c>
      <c r="G2338" s="76" t="e">
        <f ca="1">SUMIF('Production '!$C$4:$AI$4407,'Tracking Sheet'!B2338,'Production '!$W$4:$W$4407)</f>
        <v>#DIV/0!</v>
      </c>
      <c r="H2338" s="76">
        <f ca="1">SUMIF('Production '!$C$4:$AI$4407,'Tracking Sheet'!B2338,'Production '!$F$4:$F$4407)</f>
        <v>3230621.3283604058</v>
      </c>
      <c r="I2338" s="76">
        <f ca="1">SUMIF('Production '!$C$4:$AI$4407,'Tracking Sheet'!B2338,'Production '!$V$4:$V$4407)</f>
        <v>-489.86487791182844</v>
      </c>
      <c r="J2338" s="76">
        <f ca="1">SUMIF('Production '!$C$4:$AI$4407,'Tracking Sheet'!B2338,'Production '!$AG$4:$AG$4407)</f>
        <v>0</v>
      </c>
    </row>
    <row r="2339" spans="2:10" x14ac:dyDescent="0.3">
      <c r="B2339" s="277">
        <f>'Production '!C2342</f>
        <v>0</v>
      </c>
      <c r="C2339" s="76" t="e">
        <f ca="1">SUMIF('Production '!$C$4:$AI$4407,'Tracking Sheet'!B2339,'Production '!$M$4:$M$4407)</f>
        <v>#DIV/0!</v>
      </c>
      <c r="D2339" s="76" t="e">
        <f ca="1">SUMIF('Production '!$C$4:$AI$4407,'Tracking Sheet'!B2339,'Production '!$Q$4:$Q$4407)</f>
        <v>#DIV/0!</v>
      </c>
      <c r="E2339" s="76">
        <f ca="1">SUMIF('Production '!$C$4:$AI$4407,'Tracking Sheet'!B2339,'Production '!$S$4:$S$4407)</f>
        <v>-1268218.9828305368</v>
      </c>
      <c r="F2339" s="76">
        <f ca="1">SUMIF('Production '!$C$4:$AI$4407,'Tracking Sheet'!B2339,'Production '!$U$4:$U$4407)</f>
        <v>-10620.435600016917</v>
      </c>
      <c r="G2339" s="76" t="e">
        <f ca="1">SUMIF('Production '!$C$4:$AI$4407,'Tracking Sheet'!B2339,'Production '!$W$4:$W$4407)</f>
        <v>#DIV/0!</v>
      </c>
      <c r="H2339" s="76">
        <f ca="1">SUMIF('Production '!$C$4:$AI$4407,'Tracking Sheet'!B2339,'Production '!$F$4:$F$4407)</f>
        <v>3230621.3283604058</v>
      </c>
      <c r="I2339" s="76">
        <f ca="1">SUMIF('Production '!$C$4:$AI$4407,'Tracking Sheet'!B2339,'Production '!$V$4:$V$4407)</f>
        <v>-489.86487791182844</v>
      </c>
      <c r="J2339" s="76">
        <f ca="1">SUMIF('Production '!$C$4:$AI$4407,'Tracking Sheet'!B2339,'Production '!$AG$4:$AG$4407)</f>
        <v>0</v>
      </c>
    </row>
    <row r="2340" spans="2:10" x14ac:dyDescent="0.3">
      <c r="B2340" s="277">
        <f>'Production '!C2343</f>
        <v>0</v>
      </c>
      <c r="C2340" s="76" t="e">
        <f ca="1">SUMIF('Production '!$C$4:$AI$4407,'Tracking Sheet'!B2340,'Production '!$M$4:$M$4407)</f>
        <v>#DIV/0!</v>
      </c>
      <c r="D2340" s="76" t="e">
        <f ca="1">SUMIF('Production '!$C$4:$AI$4407,'Tracking Sheet'!B2340,'Production '!$Q$4:$Q$4407)</f>
        <v>#DIV/0!</v>
      </c>
      <c r="E2340" s="76">
        <f ca="1">SUMIF('Production '!$C$4:$AI$4407,'Tracking Sheet'!B2340,'Production '!$S$4:$S$4407)</f>
        <v>-1268218.9828305368</v>
      </c>
      <c r="F2340" s="76">
        <f ca="1">SUMIF('Production '!$C$4:$AI$4407,'Tracking Sheet'!B2340,'Production '!$U$4:$U$4407)</f>
        <v>-10620.435600016917</v>
      </c>
      <c r="G2340" s="76" t="e">
        <f ca="1">SUMIF('Production '!$C$4:$AI$4407,'Tracking Sheet'!B2340,'Production '!$W$4:$W$4407)</f>
        <v>#DIV/0!</v>
      </c>
      <c r="H2340" s="76">
        <f ca="1">SUMIF('Production '!$C$4:$AI$4407,'Tracking Sheet'!B2340,'Production '!$F$4:$F$4407)</f>
        <v>3230621.3283604058</v>
      </c>
      <c r="I2340" s="76">
        <f ca="1">SUMIF('Production '!$C$4:$AI$4407,'Tracking Sheet'!B2340,'Production '!$V$4:$V$4407)</f>
        <v>-489.86487791182844</v>
      </c>
      <c r="J2340" s="76">
        <f ca="1">SUMIF('Production '!$C$4:$AI$4407,'Tracking Sheet'!B2340,'Production '!$AG$4:$AG$4407)</f>
        <v>0</v>
      </c>
    </row>
    <row r="2341" spans="2:10" x14ac:dyDescent="0.3">
      <c r="B2341" s="277">
        <f>'Production '!C2344</f>
        <v>0</v>
      </c>
      <c r="C2341" s="76" t="e">
        <f ca="1">SUMIF('Production '!$C$4:$AI$4407,'Tracking Sheet'!B2341,'Production '!$M$4:$M$4407)</f>
        <v>#DIV/0!</v>
      </c>
      <c r="D2341" s="76" t="e">
        <f ca="1">SUMIF('Production '!$C$4:$AI$4407,'Tracking Sheet'!B2341,'Production '!$Q$4:$Q$4407)</f>
        <v>#DIV/0!</v>
      </c>
      <c r="E2341" s="76">
        <f ca="1">SUMIF('Production '!$C$4:$AI$4407,'Tracking Sheet'!B2341,'Production '!$S$4:$S$4407)</f>
        <v>-1268218.9828305368</v>
      </c>
      <c r="F2341" s="76">
        <f ca="1">SUMIF('Production '!$C$4:$AI$4407,'Tracking Sheet'!B2341,'Production '!$U$4:$U$4407)</f>
        <v>-10620.435600016917</v>
      </c>
      <c r="G2341" s="76" t="e">
        <f ca="1">SUMIF('Production '!$C$4:$AI$4407,'Tracking Sheet'!B2341,'Production '!$W$4:$W$4407)</f>
        <v>#DIV/0!</v>
      </c>
      <c r="H2341" s="76">
        <f ca="1">SUMIF('Production '!$C$4:$AI$4407,'Tracking Sheet'!B2341,'Production '!$F$4:$F$4407)</f>
        <v>3230621.3283604058</v>
      </c>
      <c r="I2341" s="76">
        <f ca="1">SUMIF('Production '!$C$4:$AI$4407,'Tracking Sheet'!B2341,'Production '!$V$4:$V$4407)</f>
        <v>-489.86487791182844</v>
      </c>
      <c r="J2341" s="76">
        <f ca="1">SUMIF('Production '!$C$4:$AI$4407,'Tracking Sheet'!B2341,'Production '!$AG$4:$AG$4407)</f>
        <v>0</v>
      </c>
    </row>
    <row r="2342" spans="2:10" x14ac:dyDescent="0.3">
      <c r="B2342" s="277">
        <f>'Production '!C2345</f>
        <v>0</v>
      </c>
      <c r="C2342" s="76" t="e">
        <f ca="1">SUMIF('Production '!$C$4:$AI$4407,'Tracking Sheet'!B2342,'Production '!$M$4:$M$4407)</f>
        <v>#DIV/0!</v>
      </c>
      <c r="D2342" s="76" t="e">
        <f ca="1">SUMIF('Production '!$C$4:$AI$4407,'Tracking Sheet'!B2342,'Production '!$Q$4:$Q$4407)</f>
        <v>#DIV/0!</v>
      </c>
      <c r="E2342" s="76">
        <f ca="1">SUMIF('Production '!$C$4:$AI$4407,'Tracking Sheet'!B2342,'Production '!$S$4:$S$4407)</f>
        <v>-1268218.9828305368</v>
      </c>
      <c r="F2342" s="76">
        <f ca="1">SUMIF('Production '!$C$4:$AI$4407,'Tracking Sheet'!B2342,'Production '!$U$4:$U$4407)</f>
        <v>-10620.435600016917</v>
      </c>
      <c r="G2342" s="76" t="e">
        <f ca="1">SUMIF('Production '!$C$4:$AI$4407,'Tracking Sheet'!B2342,'Production '!$W$4:$W$4407)</f>
        <v>#DIV/0!</v>
      </c>
      <c r="H2342" s="76">
        <f ca="1">SUMIF('Production '!$C$4:$AI$4407,'Tracking Sheet'!B2342,'Production '!$F$4:$F$4407)</f>
        <v>3230621.3283604058</v>
      </c>
      <c r="I2342" s="76">
        <f ca="1">SUMIF('Production '!$C$4:$AI$4407,'Tracking Sheet'!B2342,'Production '!$V$4:$V$4407)</f>
        <v>-489.86487791182844</v>
      </c>
      <c r="J2342" s="76">
        <f ca="1">SUMIF('Production '!$C$4:$AI$4407,'Tracking Sheet'!B2342,'Production '!$AG$4:$AG$4407)</f>
        <v>0</v>
      </c>
    </row>
    <row r="2343" spans="2:10" x14ac:dyDescent="0.3">
      <c r="B2343" s="277">
        <f>'Production '!C2346</f>
        <v>0</v>
      </c>
      <c r="C2343" s="76" t="e">
        <f ca="1">SUMIF('Production '!$C$4:$AI$4407,'Tracking Sheet'!B2343,'Production '!$M$4:$M$4407)</f>
        <v>#DIV/0!</v>
      </c>
      <c r="D2343" s="76" t="e">
        <f ca="1">SUMIF('Production '!$C$4:$AI$4407,'Tracking Sheet'!B2343,'Production '!$Q$4:$Q$4407)</f>
        <v>#DIV/0!</v>
      </c>
      <c r="E2343" s="76">
        <f ca="1">SUMIF('Production '!$C$4:$AI$4407,'Tracking Sheet'!B2343,'Production '!$S$4:$S$4407)</f>
        <v>-1268218.9828305368</v>
      </c>
      <c r="F2343" s="76">
        <f ca="1">SUMIF('Production '!$C$4:$AI$4407,'Tracking Sheet'!B2343,'Production '!$U$4:$U$4407)</f>
        <v>-10620.435600016917</v>
      </c>
      <c r="G2343" s="76" t="e">
        <f ca="1">SUMIF('Production '!$C$4:$AI$4407,'Tracking Sheet'!B2343,'Production '!$W$4:$W$4407)</f>
        <v>#DIV/0!</v>
      </c>
      <c r="H2343" s="76">
        <f ca="1">SUMIF('Production '!$C$4:$AI$4407,'Tracking Sheet'!B2343,'Production '!$F$4:$F$4407)</f>
        <v>3230621.3283604058</v>
      </c>
      <c r="I2343" s="76">
        <f ca="1">SUMIF('Production '!$C$4:$AI$4407,'Tracking Sheet'!B2343,'Production '!$V$4:$V$4407)</f>
        <v>-489.86487791182844</v>
      </c>
      <c r="J2343" s="76">
        <f ca="1">SUMIF('Production '!$C$4:$AI$4407,'Tracking Sheet'!B2343,'Production '!$AG$4:$AG$4407)</f>
        <v>0</v>
      </c>
    </row>
    <row r="2344" spans="2:10" x14ac:dyDescent="0.3">
      <c r="B2344" s="277">
        <f>'Production '!C2347</f>
        <v>0</v>
      </c>
      <c r="C2344" s="76" t="e">
        <f ca="1">SUMIF('Production '!$C$4:$AI$4407,'Tracking Sheet'!B2344,'Production '!$M$4:$M$4407)</f>
        <v>#DIV/0!</v>
      </c>
      <c r="D2344" s="76" t="e">
        <f ca="1">SUMIF('Production '!$C$4:$AI$4407,'Tracking Sheet'!B2344,'Production '!$Q$4:$Q$4407)</f>
        <v>#DIV/0!</v>
      </c>
      <c r="E2344" s="76">
        <f ca="1">SUMIF('Production '!$C$4:$AI$4407,'Tracking Sheet'!B2344,'Production '!$S$4:$S$4407)</f>
        <v>-1268218.9828305368</v>
      </c>
      <c r="F2344" s="76">
        <f ca="1">SUMIF('Production '!$C$4:$AI$4407,'Tracking Sheet'!B2344,'Production '!$U$4:$U$4407)</f>
        <v>-10620.435600016917</v>
      </c>
      <c r="G2344" s="76" t="e">
        <f ca="1">SUMIF('Production '!$C$4:$AI$4407,'Tracking Sheet'!B2344,'Production '!$W$4:$W$4407)</f>
        <v>#DIV/0!</v>
      </c>
      <c r="H2344" s="76">
        <f ca="1">SUMIF('Production '!$C$4:$AI$4407,'Tracking Sheet'!B2344,'Production '!$F$4:$F$4407)</f>
        <v>3230621.3283604058</v>
      </c>
      <c r="I2344" s="76">
        <f ca="1">SUMIF('Production '!$C$4:$AI$4407,'Tracking Sheet'!B2344,'Production '!$V$4:$V$4407)</f>
        <v>-489.86487791182844</v>
      </c>
      <c r="J2344" s="76">
        <f ca="1">SUMIF('Production '!$C$4:$AI$4407,'Tracking Sheet'!B2344,'Production '!$AG$4:$AG$4407)</f>
        <v>0</v>
      </c>
    </row>
    <row r="2345" spans="2:10" x14ac:dyDescent="0.3">
      <c r="B2345" s="277">
        <f>'Production '!C2348</f>
        <v>0</v>
      </c>
      <c r="C2345" s="76" t="e">
        <f ca="1">SUMIF('Production '!$C$4:$AI$4407,'Tracking Sheet'!B2345,'Production '!$M$4:$M$4407)</f>
        <v>#DIV/0!</v>
      </c>
      <c r="D2345" s="76" t="e">
        <f ca="1">SUMIF('Production '!$C$4:$AI$4407,'Tracking Sheet'!B2345,'Production '!$Q$4:$Q$4407)</f>
        <v>#DIV/0!</v>
      </c>
      <c r="E2345" s="76">
        <f ca="1">SUMIF('Production '!$C$4:$AI$4407,'Tracking Sheet'!B2345,'Production '!$S$4:$S$4407)</f>
        <v>-1268218.9828305368</v>
      </c>
      <c r="F2345" s="76">
        <f ca="1">SUMIF('Production '!$C$4:$AI$4407,'Tracking Sheet'!B2345,'Production '!$U$4:$U$4407)</f>
        <v>-10620.435600016917</v>
      </c>
      <c r="G2345" s="76" t="e">
        <f ca="1">SUMIF('Production '!$C$4:$AI$4407,'Tracking Sheet'!B2345,'Production '!$W$4:$W$4407)</f>
        <v>#DIV/0!</v>
      </c>
      <c r="H2345" s="76">
        <f ca="1">SUMIF('Production '!$C$4:$AI$4407,'Tracking Sheet'!B2345,'Production '!$F$4:$F$4407)</f>
        <v>3230621.3283604058</v>
      </c>
      <c r="I2345" s="76">
        <f ca="1">SUMIF('Production '!$C$4:$AI$4407,'Tracking Sheet'!B2345,'Production '!$V$4:$V$4407)</f>
        <v>-489.86487791182844</v>
      </c>
      <c r="J2345" s="76">
        <f ca="1">SUMIF('Production '!$C$4:$AI$4407,'Tracking Sheet'!B2345,'Production '!$AG$4:$AG$4407)</f>
        <v>0</v>
      </c>
    </row>
    <row r="2346" spans="2:10" x14ac:dyDescent="0.3">
      <c r="B2346" s="277">
        <f>'Production '!C2349</f>
        <v>0</v>
      </c>
      <c r="C2346" s="76" t="e">
        <f ca="1">SUMIF('Production '!$C$4:$AI$4407,'Tracking Sheet'!B2346,'Production '!$M$4:$M$4407)</f>
        <v>#DIV/0!</v>
      </c>
      <c r="D2346" s="76" t="e">
        <f ca="1">SUMIF('Production '!$C$4:$AI$4407,'Tracking Sheet'!B2346,'Production '!$Q$4:$Q$4407)</f>
        <v>#DIV/0!</v>
      </c>
      <c r="E2346" s="76">
        <f ca="1">SUMIF('Production '!$C$4:$AI$4407,'Tracking Sheet'!B2346,'Production '!$S$4:$S$4407)</f>
        <v>-1268218.9828305368</v>
      </c>
      <c r="F2346" s="76">
        <f ca="1">SUMIF('Production '!$C$4:$AI$4407,'Tracking Sheet'!B2346,'Production '!$U$4:$U$4407)</f>
        <v>-10620.435600016917</v>
      </c>
      <c r="G2346" s="76" t="e">
        <f ca="1">SUMIF('Production '!$C$4:$AI$4407,'Tracking Sheet'!B2346,'Production '!$W$4:$W$4407)</f>
        <v>#DIV/0!</v>
      </c>
      <c r="H2346" s="76">
        <f ca="1">SUMIF('Production '!$C$4:$AI$4407,'Tracking Sheet'!B2346,'Production '!$F$4:$F$4407)</f>
        <v>3230621.3283604058</v>
      </c>
      <c r="I2346" s="76">
        <f ca="1">SUMIF('Production '!$C$4:$AI$4407,'Tracking Sheet'!B2346,'Production '!$V$4:$V$4407)</f>
        <v>-489.86487791182844</v>
      </c>
      <c r="J2346" s="76">
        <f ca="1">SUMIF('Production '!$C$4:$AI$4407,'Tracking Sheet'!B2346,'Production '!$AG$4:$AG$4407)</f>
        <v>0</v>
      </c>
    </row>
    <row r="2347" spans="2:10" x14ac:dyDescent="0.3">
      <c r="B2347" s="277">
        <f>'Production '!C2350</f>
        <v>0</v>
      </c>
      <c r="C2347" s="76" t="e">
        <f ca="1">SUMIF('Production '!$C$4:$AI$4407,'Tracking Sheet'!B2347,'Production '!$M$4:$M$4407)</f>
        <v>#DIV/0!</v>
      </c>
      <c r="D2347" s="76" t="e">
        <f ca="1">SUMIF('Production '!$C$4:$AI$4407,'Tracking Sheet'!B2347,'Production '!$Q$4:$Q$4407)</f>
        <v>#DIV/0!</v>
      </c>
      <c r="E2347" s="76">
        <f ca="1">SUMIF('Production '!$C$4:$AI$4407,'Tracking Sheet'!B2347,'Production '!$S$4:$S$4407)</f>
        <v>-1268218.9828305368</v>
      </c>
      <c r="F2347" s="76">
        <f ca="1">SUMIF('Production '!$C$4:$AI$4407,'Tracking Sheet'!B2347,'Production '!$U$4:$U$4407)</f>
        <v>-10620.435600016917</v>
      </c>
      <c r="G2347" s="76" t="e">
        <f ca="1">SUMIF('Production '!$C$4:$AI$4407,'Tracking Sheet'!B2347,'Production '!$W$4:$W$4407)</f>
        <v>#DIV/0!</v>
      </c>
      <c r="H2347" s="76">
        <f ca="1">SUMIF('Production '!$C$4:$AI$4407,'Tracking Sheet'!B2347,'Production '!$F$4:$F$4407)</f>
        <v>3230621.3283604058</v>
      </c>
      <c r="I2347" s="76">
        <f ca="1">SUMIF('Production '!$C$4:$AI$4407,'Tracking Sheet'!B2347,'Production '!$V$4:$V$4407)</f>
        <v>-489.86487791182844</v>
      </c>
      <c r="J2347" s="76">
        <f ca="1">SUMIF('Production '!$C$4:$AI$4407,'Tracking Sheet'!B2347,'Production '!$AG$4:$AG$4407)</f>
        <v>0</v>
      </c>
    </row>
    <row r="2348" spans="2:10" x14ac:dyDescent="0.3">
      <c r="B2348" s="277">
        <f>'Production '!C2351</f>
        <v>0</v>
      </c>
      <c r="C2348" s="76" t="e">
        <f ca="1">SUMIF('Production '!$C$4:$AI$4407,'Tracking Sheet'!B2348,'Production '!$M$4:$M$4407)</f>
        <v>#DIV/0!</v>
      </c>
      <c r="D2348" s="76" t="e">
        <f ca="1">SUMIF('Production '!$C$4:$AI$4407,'Tracking Sheet'!B2348,'Production '!$Q$4:$Q$4407)</f>
        <v>#DIV/0!</v>
      </c>
      <c r="E2348" s="76">
        <f ca="1">SUMIF('Production '!$C$4:$AI$4407,'Tracking Sheet'!B2348,'Production '!$S$4:$S$4407)</f>
        <v>-1268218.9828305368</v>
      </c>
      <c r="F2348" s="76">
        <f ca="1">SUMIF('Production '!$C$4:$AI$4407,'Tracking Sheet'!B2348,'Production '!$U$4:$U$4407)</f>
        <v>-10620.435600016917</v>
      </c>
      <c r="G2348" s="76" t="e">
        <f ca="1">SUMIF('Production '!$C$4:$AI$4407,'Tracking Sheet'!B2348,'Production '!$W$4:$W$4407)</f>
        <v>#DIV/0!</v>
      </c>
      <c r="H2348" s="76">
        <f ca="1">SUMIF('Production '!$C$4:$AI$4407,'Tracking Sheet'!B2348,'Production '!$F$4:$F$4407)</f>
        <v>3230621.3283604058</v>
      </c>
      <c r="I2348" s="76">
        <f ca="1">SUMIF('Production '!$C$4:$AI$4407,'Tracking Sheet'!B2348,'Production '!$V$4:$V$4407)</f>
        <v>-489.86487791182844</v>
      </c>
      <c r="J2348" s="76">
        <f ca="1">SUMIF('Production '!$C$4:$AI$4407,'Tracking Sheet'!B2348,'Production '!$AG$4:$AG$4407)</f>
        <v>0</v>
      </c>
    </row>
    <row r="2349" spans="2:10" x14ac:dyDescent="0.3">
      <c r="B2349" s="277">
        <f>'Production '!C2352</f>
        <v>0</v>
      </c>
      <c r="C2349" s="76" t="e">
        <f ca="1">SUMIF('Production '!$C$4:$AI$4407,'Tracking Sheet'!B2349,'Production '!$M$4:$M$4407)</f>
        <v>#DIV/0!</v>
      </c>
      <c r="D2349" s="76" t="e">
        <f ca="1">SUMIF('Production '!$C$4:$AI$4407,'Tracking Sheet'!B2349,'Production '!$Q$4:$Q$4407)</f>
        <v>#DIV/0!</v>
      </c>
      <c r="E2349" s="76">
        <f ca="1">SUMIF('Production '!$C$4:$AI$4407,'Tracking Sheet'!B2349,'Production '!$S$4:$S$4407)</f>
        <v>-1268218.9828305368</v>
      </c>
      <c r="F2349" s="76">
        <f ca="1">SUMIF('Production '!$C$4:$AI$4407,'Tracking Sheet'!B2349,'Production '!$U$4:$U$4407)</f>
        <v>-10620.435600016917</v>
      </c>
      <c r="G2349" s="76" t="e">
        <f ca="1">SUMIF('Production '!$C$4:$AI$4407,'Tracking Sheet'!B2349,'Production '!$W$4:$W$4407)</f>
        <v>#DIV/0!</v>
      </c>
      <c r="H2349" s="76">
        <f ca="1">SUMIF('Production '!$C$4:$AI$4407,'Tracking Sheet'!B2349,'Production '!$F$4:$F$4407)</f>
        <v>3230621.3283604058</v>
      </c>
      <c r="I2349" s="76">
        <f ca="1">SUMIF('Production '!$C$4:$AI$4407,'Tracking Sheet'!B2349,'Production '!$V$4:$V$4407)</f>
        <v>-489.86487791182844</v>
      </c>
      <c r="J2349" s="76">
        <f ca="1">SUMIF('Production '!$C$4:$AI$4407,'Tracking Sheet'!B2349,'Production '!$AG$4:$AG$4407)</f>
        <v>0</v>
      </c>
    </row>
    <row r="2350" spans="2:10" x14ac:dyDescent="0.3">
      <c r="B2350" s="277">
        <f>'Production '!C2353</f>
        <v>0</v>
      </c>
      <c r="C2350" s="76" t="e">
        <f ca="1">SUMIF('Production '!$C$4:$AI$4407,'Tracking Sheet'!B2350,'Production '!$M$4:$M$4407)</f>
        <v>#DIV/0!</v>
      </c>
      <c r="D2350" s="76" t="e">
        <f ca="1">SUMIF('Production '!$C$4:$AI$4407,'Tracking Sheet'!B2350,'Production '!$Q$4:$Q$4407)</f>
        <v>#DIV/0!</v>
      </c>
      <c r="E2350" s="76">
        <f ca="1">SUMIF('Production '!$C$4:$AI$4407,'Tracking Sheet'!B2350,'Production '!$S$4:$S$4407)</f>
        <v>-1268218.9828305368</v>
      </c>
      <c r="F2350" s="76">
        <f ca="1">SUMIF('Production '!$C$4:$AI$4407,'Tracking Sheet'!B2350,'Production '!$U$4:$U$4407)</f>
        <v>-10620.435600016917</v>
      </c>
      <c r="G2350" s="76" t="e">
        <f ca="1">SUMIF('Production '!$C$4:$AI$4407,'Tracking Sheet'!B2350,'Production '!$W$4:$W$4407)</f>
        <v>#DIV/0!</v>
      </c>
      <c r="H2350" s="76">
        <f ca="1">SUMIF('Production '!$C$4:$AI$4407,'Tracking Sheet'!B2350,'Production '!$F$4:$F$4407)</f>
        <v>3230621.3283604058</v>
      </c>
      <c r="I2350" s="76">
        <f ca="1">SUMIF('Production '!$C$4:$AI$4407,'Tracking Sheet'!B2350,'Production '!$V$4:$V$4407)</f>
        <v>-489.86487791182844</v>
      </c>
      <c r="J2350" s="76">
        <f ca="1">SUMIF('Production '!$C$4:$AI$4407,'Tracking Sheet'!B2350,'Production '!$AG$4:$AG$4407)</f>
        <v>0</v>
      </c>
    </row>
    <row r="2351" spans="2:10" x14ac:dyDescent="0.3">
      <c r="B2351" s="277">
        <f>'Production '!C2354</f>
        <v>0</v>
      </c>
      <c r="C2351" s="76" t="e">
        <f ca="1">SUMIF('Production '!$C$4:$AI$4407,'Tracking Sheet'!B2351,'Production '!$M$4:$M$4407)</f>
        <v>#DIV/0!</v>
      </c>
      <c r="D2351" s="76" t="e">
        <f ca="1">SUMIF('Production '!$C$4:$AI$4407,'Tracking Sheet'!B2351,'Production '!$Q$4:$Q$4407)</f>
        <v>#DIV/0!</v>
      </c>
      <c r="E2351" s="76">
        <f ca="1">SUMIF('Production '!$C$4:$AI$4407,'Tracking Sheet'!B2351,'Production '!$S$4:$S$4407)</f>
        <v>-1268218.9828305368</v>
      </c>
      <c r="F2351" s="76">
        <f ca="1">SUMIF('Production '!$C$4:$AI$4407,'Tracking Sheet'!B2351,'Production '!$U$4:$U$4407)</f>
        <v>-10620.435600016917</v>
      </c>
      <c r="G2351" s="76" t="e">
        <f ca="1">SUMIF('Production '!$C$4:$AI$4407,'Tracking Sheet'!B2351,'Production '!$W$4:$W$4407)</f>
        <v>#DIV/0!</v>
      </c>
      <c r="H2351" s="76">
        <f ca="1">SUMIF('Production '!$C$4:$AI$4407,'Tracking Sheet'!B2351,'Production '!$F$4:$F$4407)</f>
        <v>3230621.3283604058</v>
      </c>
      <c r="I2351" s="76">
        <f ca="1">SUMIF('Production '!$C$4:$AI$4407,'Tracking Sheet'!B2351,'Production '!$V$4:$V$4407)</f>
        <v>-489.86487791182844</v>
      </c>
      <c r="J2351" s="76">
        <f ca="1">SUMIF('Production '!$C$4:$AI$4407,'Tracking Sheet'!B2351,'Production '!$AG$4:$AG$4407)</f>
        <v>0</v>
      </c>
    </row>
    <row r="2352" spans="2:10" x14ac:dyDescent="0.3">
      <c r="B2352" s="277">
        <f>'Production '!C2355</f>
        <v>0</v>
      </c>
      <c r="C2352" s="76" t="e">
        <f ca="1">SUMIF('Production '!$C$4:$AI$4407,'Tracking Sheet'!B2352,'Production '!$M$4:$M$4407)</f>
        <v>#DIV/0!</v>
      </c>
      <c r="D2352" s="76" t="e">
        <f ca="1">SUMIF('Production '!$C$4:$AI$4407,'Tracking Sheet'!B2352,'Production '!$Q$4:$Q$4407)</f>
        <v>#DIV/0!</v>
      </c>
      <c r="E2352" s="76">
        <f ca="1">SUMIF('Production '!$C$4:$AI$4407,'Tracking Sheet'!B2352,'Production '!$S$4:$S$4407)</f>
        <v>-1268218.9828305368</v>
      </c>
      <c r="F2352" s="76">
        <f ca="1">SUMIF('Production '!$C$4:$AI$4407,'Tracking Sheet'!B2352,'Production '!$U$4:$U$4407)</f>
        <v>-10620.435600016917</v>
      </c>
      <c r="G2352" s="76" t="e">
        <f ca="1">SUMIF('Production '!$C$4:$AI$4407,'Tracking Sheet'!B2352,'Production '!$W$4:$W$4407)</f>
        <v>#DIV/0!</v>
      </c>
      <c r="H2352" s="76">
        <f ca="1">SUMIF('Production '!$C$4:$AI$4407,'Tracking Sheet'!B2352,'Production '!$F$4:$F$4407)</f>
        <v>3230621.3283604058</v>
      </c>
      <c r="I2352" s="76">
        <f ca="1">SUMIF('Production '!$C$4:$AI$4407,'Tracking Sheet'!B2352,'Production '!$V$4:$V$4407)</f>
        <v>-489.86487791182844</v>
      </c>
      <c r="J2352" s="76">
        <f ca="1">SUMIF('Production '!$C$4:$AI$4407,'Tracking Sheet'!B2352,'Production '!$AG$4:$AG$4407)</f>
        <v>0</v>
      </c>
    </row>
    <row r="2353" spans="2:10" x14ac:dyDescent="0.3">
      <c r="B2353" s="277">
        <f>'Production '!C2356</f>
        <v>0</v>
      </c>
      <c r="C2353" s="76" t="e">
        <f ca="1">SUMIF('Production '!$C$4:$AI$4407,'Tracking Sheet'!B2353,'Production '!$M$4:$M$4407)</f>
        <v>#DIV/0!</v>
      </c>
      <c r="D2353" s="76" t="e">
        <f ca="1">SUMIF('Production '!$C$4:$AI$4407,'Tracking Sheet'!B2353,'Production '!$Q$4:$Q$4407)</f>
        <v>#DIV/0!</v>
      </c>
      <c r="E2353" s="76">
        <f ca="1">SUMIF('Production '!$C$4:$AI$4407,'Tracking Sheet'!B2353,'Production '!$S$4:$S$4407)</f>
        <v>-1268218.9828305368</v>
      </c>
      <c r="F2353" s="76">
        <f ca="1">SUMIF('Production '!$C$4:$AI$4407,'Tracking Sheet'!B2353,'Production '!$U$4:$U$4407)</f>
        <v>-10620.435600016917</v>
      </c>
      <c r="G2353" s="76" t="e">
        <f ca="1">SUMIF('Production '!$C$4:$AI$4407,'Tracking Sheet'!B2353,'Production '!$W$4:$W$4407)</f>
        <v>#DIV/0!</v>
      </c>
      <c r="H2353" s="76">
        <f ca="1">SUMIF('Production '!$C$4:$AI$4407,'Tracking Sheet'!B2353,'Production '!$F$4:$F$4407)</f>
        <v>3230621.3283604058</v>
      </c>
      <c r="I2353" s="76">
        <f ca="1">SUMIF('Production '!$C$4:$AI$4407,'Tracking Sheet'!B2353,'Production '!$V$4:$V$4407)</f>
        <v>-489.86487791182844</v>
      </c>
      <c r="J2353" s="76">
        <f ca="1">SUMIF('Production '!$C$4:$AI$4407,'Tracking Sheet'!B2353,'Production '!$AG$4:$AG$4407)</f>
        <v>0</v>
      </c>
    </row>
    <row r="2354" spans="2:10" x14ac:dyDescent="0.3">
      <c r="B2354" s="277">
        <f>'Production '!C2357</f>
        <v>0</v>
      </c>
      <c r="C2354" s="76" t="e">
        <f ca="1">SUMIF('Production '!$C$4:$AI$4407,'Tracking Sheet'!B2354,'Production '!$M$4:$M$4407)</f>
        <v>#DIV/0!</v>
      </c>
      <c r="D2354" s="76" t="e">
        <f ca="1">SUMIF('Production '!$C$4:$AI$4407,'Tracking Sheet'!B2354,'Production '!$Q$4:$Q$4407)</f>
        <v>#DIV/0!</v>
      </c>
      <c r="E2354" s="76">
        <f ca="1">SUMIF('Production '!$C$4:$AI$4407,'Tracking Sheet'!B2354,'Production '!$S$4:$S$4407)</f>
        <v>-1268218.9828305368</v>
      </c>
      <c r="F2354" s="76">
        <f ca="1">SUMIF('Production '!$C$4:$AI$4407,'Tracking Sheet'!B2354,'Production '!$U$4:$U$4407)</f>
        <v>-10620.435600016917</v>
      </c>
      <c r="G2354" s="76" t="e">
        <f ca="1">SUMIF('Production '!$C$4:$AI$4407,'Tracking Sheet'!B2354,'Production '!$W$4:$W$4407)</f>
        <v>#DIV/0!</v>
      </c>
      <c r="H2354" s="76">
        <f ca="1">SUMIF('Production '!$C$4:$AI$4407,'Tracking Sheet'!B2354,'Production '!$F$4:$F$4407)</f>
        <v>3230621.3283604058</v>
      </c>
      <c r="I2354" s="76">
        <f ca="1">SUMIF('Production '!$C$4:$AI$4407,'Tracking Sheet'!B2354,'Production '!$V$4:$V$4407)</f>
        <v>-489.86487791182844</v>
      </c>
      <c r="J2354" s="76">
        <f ca="1">SUMIF('Production '!$C$4:$AI$4407,'Tracking Sheet'!B2354,'Production '!$AG$4:$AG$4407)</f>
        <v>0</v>
      </c>
    </row>
    <row r="2355" spans="2:10" x14ac:dyDescent="0.3">
      <c r="B2355" s="277">
        <f>'Production '!C2358</f>
        <v>0</v>
      </c>
      <c r="C2355" s="76" t="e">
        <f ca="1">SUMIF('Production '!$C$4:$AI$4407,'Tracking Sheet'!B2355,'Production '!$M$4:$M$4407)</f>
        <v>#DIV/0!</v>
      </c>
      <c r="D2355" s="76" t="e">
        <f ca="1">SUMIF('Production '!$C$4:$AI$4407,'Tracking Sheet'!B2355,'Production '!$Q$4:$Q$4407)</f>
        <v>#DIV/0!</v>
      </c>
      <c r="E2355" s="76">
        <f ca="1">SUMIF('Production '!$C$4:$AI$4407,'Tracking Sheet'!B2355,'Production '!$S$4:$S$4407)</f>
        <v>-1268218.9828305368</v>
      </c>
      <c r="F2355" s="76">
        <f ca="1">SUMIF('Production '!$C$4:$AI$4407,'Tracking Sheet'!B2355,'Production '!$U$4:$U$4407)</f>
        <v>-10620.435600016917</v>
      </c>
      <c r="G2355" s="76" t="e">
        <f ca="1">SUMIF('Production '!$C$4:$AI$4407,'Tracking Sheet'!B2355,'Production '!$W$4:$W$4407)</f>
        <v>#DIV/0!</v>
      </c>
      <c r="H2355" s="76">
        <f ca="1">SUMIF('Production '!$C$4:$AI$4407,'Tracking Sheet'!B2355,'Production '!$F$4:$F$4407)</f>
        <v>3230621.3283604058</v>
      </c>
      <c r="I2355" s="76">
        <f ca="1">SUMIF('Production '!$C$4:$AI$4407,'Tracking Sheet'!B2355,'Production '!$V$4:$V$4407)</f>
        <v>-489.86487791182844</v>
      </c>
      <c r="J2355" s="76">
        <f ca="1">SUMIF('Production '!$C$4:$AI$4407,'Tracking Sheet'!B2355,'Production '!$AG$4:$AG$4407)</f>
        <v>0</v>
      </c>
    </row>
    <row r="2356" spans="2:10" x14ac:dyDescent="0.3">
      <c r="B2356" s="277">
        <f>'Production '!C2359</f>
        <v>0</v>
      </c>
      <c r="C2356" s="76" t="e">
        <f ca="1">SUMIF('Production '!$C$4:$AI$4407,'Tracking Sheet'!B2356,'Production '!$M$4:$M$4407)</f>
        <v>#DIV/0!</v>
      </c>
      <c r="D2356" s="76" t="e">
        <f ca="1">SUMIF('Production '!$C$4:$AI$4407,'Tracking Sheet'!B2356,'Production '!$Q$4:$Q$4407)</f>
        <v>#DIV/0!</v>
      </c>
      <c r="E2356" s="76">
        <f ca="1">SUMIF('Production '!$C$4:$AI$4407,'Tracking Sheet'!B2356,'Production '!$S$4:$S$4407)</f>
        <v>-1268218.9828305368</v>
      </c>
      <c r="F2356" s="76">
        <f ca="1">SUMIF('Production '!$C$4:$AI$4407,'Tracking Sheet'!B2356,'Production '!$U$4:$U$4407)</f>
        <v>-10620.435600016917</v>
      </c>
      <c r="G2356" s="76" t="e">
        <f ca="1">SUMIF('Production '!$C$4:$AI$4407,'Tracking Sheet'!B2356,'Production '!$W$4:$W$4407)</f>
        <v>#DIV/0!</v>
      </c>
      <c r="H2356" s="76">
        <f ca="1">SUMIF('Production '!$C$4:$AI$4407,'Tracking Sheet'!B2356,'Production '!$F$4:$F$4407)</f>
        <v>3230621.3283604058</v>
      </c>
      <c r="I2356" s="76">
        <f ca="1">SUMIF('Production '!$C$4:$AI$4407,'Tracking Sheet'!B2356,'Production '!$V$4:$V$4407)</f>
        <v>-489.86487791182844</v>
      </c>
      <c r="J2356" s="76">
        <f ca="1">SUMIF('Production '!$C$4:$AI$4407,'Tracking Sheet'!B2356,'Production '!$AG$4:$AG$4407)</f>
        <v>0</v>
      </c>
    </row>
    <row r="2357" spans="2:10" x14ac:dyDescent="0.3">
      <c r="B2357" s="277">
        <f>'Production '!C2360</f>
        <v>0</v>
      </c>
      <c r="C2357" s="76" t="e">
        <f ca="1">SUMIF('Production '!$C$4:$AI$4407,'Tracking Sheet'!B2357,'Production '!$M$4:$M$4407)</f>
        <v>#DIV/0!</v>
      </c>
      <c r="D2357" s="76" t="e">
        <f ca="1">SUMIF('Production '!$C$4:$AI$4407,'Tracking Sheet'!B2357,'Production '!$Q$4:$Q$4407)</f>
        <v>#DIV/0!</v>
      </c>
      <c r="E2357" s="76">
        <f ca="1">SUMIF('Production '!$C$4:$AI$4407,'Tracking Sheet'!B2357,'Production '!$S$4:$S$4407)</f>
        <v>-1268218.9828305368</v>
      </c>
      <c r="F2357" s="76">
        <f ca="1">SUMIF('Production '!$C$4:$AI$4407,'Tracking Sheet'!B2357,'Production '!$U$4:$U$4407)</f>
        <v>-10620.435600016917</v>
      </c>
      <c r="G2357" s="76" t="e">
        <f ca="1">SUMIF('Production '!$C$4:$AI$4407,'Tracking Sheet'!B2357,'Production '!$W$4:$W$4407)</f>
        <v>#DIV/0!</v>
      </c>
      <c r="H2357" s="76">
        <f ca="1">SUMIF('Production '!$C$4:$AI$4407,'Tracking Sheet'!B2357,'Production '!$F$4:$F$4407)</f>
        <v>3230621.3283604058</v>
      </c>
      <c r="I2357" s="76">
        <f ca="1">SUMIF('Production '!$C$4:$AI$4407,'Tracking Sheet'!B2357,'Production '!$V$4:$V$4407)</f>
        <v>-489.86487791182844</v>
      </c>
      <c r="J2357" s="76">
        <f ca="1">SUMIF('Production '!$C$4:$AI$4407,'Tracking Sheet'!B2357,'Production '!$AG$4:$AG$4407)</f>
        <v>0</v>
      </c>
    </row>
    <row r="2358" spans="2:10" x14ac:dyDescent="0.3">
      <c r="B2358" s="277">
        <f>'Production '!C2361</f>
        <v>0</v>
      </c>
      <c r="C2358" s="76" t="e">
        <f ca="1">SUMIF('Production '!$C$4:$AI$4407,'Tracking Sheet'!B2358,'Production '!$M$4:$M$4407)</f>
        <v>#DIV/0!</v>
      </c>
      <c r="D2358" s="76" t="e">
        <f ca="1">SUMIF('Production '!$C$4:$AI$4407,'Tracking Sheet'!B2358,'Production '!$Q$4:$Q$4407)</f>
        <v>#DIV/0!</v>
      </c>
      <c r="E2358" s="76">
        <f ca="1">SUMIF('Production '!$C$4:$AI$4407,'Tracking Sheet'!B2358,'Production '!$S$4:$S$4407)</f>
        <v>-1268218.9828305368</v>
      </c>
      <c r="F2358" s="76">
        <f ca="1">SUMIF('Production '!$C$4:$AI$4407,'Tracking Sheet'!B2358,'Production '!$U$4:$U$4407)</f>
        <v>-10620.435600016917</v>
      </c>
      <c r="G2358" s="76" t="e">
        <f ca="1">SUMIF('Production '!$C$4:$AI$4407,'Tracking Sheet'!B2358,'Production '!$W$4:$W$4407)</f>
        <v>#DIV/0!</v>
      </c>
      <c r="H2358" s="76">
        <f ca="1">SUMIF('Production '!$C$4:$AI$4407,'Tracking Sheet'!B2358,'Production '!$F$4:$F$4407)</f>
        <v>3230621.3283604058</v>
      </c>
      <c r="I2358" s="76">
        <f ca="1">SUMIF('Production '!$C$4:$AI$4407,'Tracking Sheet'!B2358,'Production '!$V$4:$V$4407)</f>
        <v>-489.86487791182844</v>
      </c>
      <c r="J2358" s="76">
        <f ca="1">SUMIF('Production '!$C$4:$AI$4407,'Tracking Sheet'!B2358,'Production '!$AG$4:$AG$4407)</f>
        <v>0</v>
      </c>
    </row>
    <row r="2359" spans="2:10" x14ac:dyDescent="0.3">
      <c r="B2359" s="277">
        <f>'Production '!C2362</f>
        <v>0</v>
      </c>
      <c r="C2359" s="76" t="e">
        <f ca="1">SUMIF('Production '!$C$4:$AI$4407,'Tracking Sheet'!B2359,'Production '!$M$4:$M$4407)</f>
        <v>#DIV/0!</v>
      </c>
      <c r="D2359" s="76" t="e">
        <f ca="1">SUMIF('Production '!$C$4:$AI$4407,'Tracking Sheet'!B2359,'Production '!$Q$4:$Q$4407)</f>
        <v>#DIV/0!</v>
      </c>
      <c r="E2359" s="76">
        <f ca="1">SUMIF('Production '!$C$4:$AI$4407,'Tracking Sheet'!B2359,'Production '!$S$4:$S$4407)</f>
        <v>-1268218.9828305368</v>
      </c>
      <c r="F2359" s="76">
        <f ca="1">SUMIF('Production '!$C$4:$AI$4407,'Tracking Sheet'!B2359,'Production '!$U$4:$U$4407)</f>
        <v>-10620.435600016917</v>
      </c>
      <c r="G2359" s="76" t="e">
        <f ca="1">SUMIF('Production '!$C$4:$AI$4407,'Tracking Sheet'!B2359,'Production '!$W$4:$W$4407)</f>
        <v>#DIV/0!</v>
      </c>
      <c r="H2359" s="76">
        <f ca="1">SUMIF('Production '!$C$4:$AI$4407,'Tracking Sheet'!B2359,'Production '!$F$4:$F$4407)</f>
        <v>3230621.3283604058</v>
      </c>
      <c r="I2359" s="76">
        <f ca="1">SUMIF('Production '!$C$4:$AI$4407,'Tracking Sheet'!B2359,'Production '!$V$4:$V$4407)</f>
        <v>-489.86487791182844</v>
      </c>
      <c r="J2359" s="76">
        <f ca="1">SUMIF('Production '!$C$4:$AI$4407,'Tracking Sheet'!B2359,'Production '!$AG$4:$AG$4407)</f>
        <v>0</v>
      </c>
    </row>
    <row r="2360" spans="2:10" x14ac:dyDescent="0.3">
      <c r="B2360" s="277">
        <f>'Production '!C2363</f>
        <v>0</v>
      </c>
      <c r="C2360" s="76" t="e">
        <f ca="1">SUMIF('Production '!$C$4:$AI$4407,'Tracking Sheet'!B2360,'Production '!$M$4:$M$4407)</f>
        <v>#DIV/0!</v>
      </c>
      <c r="D2360" s="76" t="e">
        <f ca="1">SUMIF('Production '!$C$4:$AI$4407,'Tracking Sheet'!B2360,'Production '!$Q$4:$Q$4407)</f>
        <v>#DIV/0!</v>
      </c>
      <c r="E2360" s="76">
        <f ca="1">SUMIF('Production '!$C$4:$AI$4407,'Tracking Sheet'!B2360,'Production '!$S$4:$S$4407)</f>
        <v>-1268218.9828305368</v>
      </c>
      <c r="F2360" s="76">
        <f ca="1">SUMIF('Production '!$C$4:$AI$4407,'Tracking Sheet'!B2360,'Production '!$U$4:$U$4407)</f>
        <v>-10620.435600016917</v>
      </c>
      <c r="G2360" s="76" t="e">
        <f ca="1">SUMIF('Production '!$C$4:$AI$4407,'Tracking Sheet'!B2360,'Production '!$W$4:$W$4407)</f>
        <v>#DIV/0!</v>
      </c>
      <c r="H2360" s="76">
        <f ca="1">SUMIF('Production '!$C$4:$AI$4407,'Tracking Sheet'!B2360,'Production '!$F$4:$F$4407)</f>
        <v>3230621.3283604058</v>
      </c>
      <c r="I2360" s="76">
        <f ca="1">SUMIF('Production '!$C$4:$AI$4407,'Tracking Sheet'!B2360,'Production '!$V$4:$V$4407)</f>
        <v>-489.86487791182844</v>
      </c>
      <c r="J2360" s="76">
        <f ca="1">SUMIF('Production '!$C$4:$AI$4407,'Tracking Sheet'!B2360,'Production '!$AG$4:$AG$4407)</f>
        <v>0</v>
      </c>
    </row>
    <row r="2361" spans="2:10" x14ac:dyDescent="0.3">
      <c r="B2361" s="277">
        <f>'Production '!C2364</f>
        <v>0</v>
      </c>
      <c r="C2361" s="76" t="e">
        <f ca="1">SUMIF('Production '!$C$4:$AI$4407,'Tracking Sheet'!B2361,'Production '!$M$4:$M$4407)</f>
        <v>#DIV/0!</v>
      </c>
      <c r="D2361" s="76" t="e">
        <f ca="1">SUMIF('Production '!$C$4:$AI$4407,'Tracking Sheet'!B2361,'Production '!$Q$4:$Q$4407)</f>
        <v>#DIV/0!</v>
      </c>
      <c r="E2361" s="76">
        <f ca="1">SUMIF('Production '!$C$4:$AI$4407,'Tracking Sheet'!B2361,'Production '!$S$4:$S$4407)</f>
        <v>-1268218.9828305368</v>
      </c>
      <c r="F2361" s="76">
        <f ca="1">SUMIF('Production '!$C$4:$AI$4407,'Tracking Sheet'!B2361,'Production '!$U$4:$U$4407)</f>
        <v>-10620.435600016917</v>
      </c>
      <c r="G2361" s="76" t="e">
        <f ca="1">SUMIF('Production '!$C$4:$AI$4407,'Tracking Sheet'!B2361,'Production '!$W$4:$W$4407)</f>
        <v>#DIV/0!</v>
      </c>
      <c r="H2361" s="76">
        <f ca="1">SUMIF('Production '!$C$4:$AI$4407,'Tracking Sheet'!B2361,'Production '!$F$4:$F$4407)</f>
        <v>3230621.3283604058</v>
      </c>
      <c r="I2361" s="76">
        <f ca="1">SUMIF('Production '!$C$4:$AI$4407,'Tracking Sheet'!B2361,'Production '!$V$4:$V$4407)</f>
        <v>-489.86487791182844</v>
      </c>
      <c r="J2361" s="76">
        <f ca="1">SUMIF('Production '!$C$4:$AI$4407,'Tracking Sheet'!B2361,'Production '!$AG$4:$AG$4407)</f>
        <v>0</v>
      </c>
    </row>
    <row r="2362" spans="2:10" x14ac:dyDescent="0.3">
      <c r="B2362" s="277">
        <f>'Production '!C2365</f>
        <v>0</v>
      </c>
      <c r="C2362" s="76" t="e">
        <f ca="1">SUMIF('Production '!$C$4:$AI$4407,'Tracking Sheet'!B2362,'Production '!$M$4:$M$4407)</f>
        <v>#DIV/0!</v>
      </c>
      <c r="D2362" s="76" t="e">
        <f ca="1">SUMIF('Production '!$C$4:$AI$4407,'Tracking Sheet'!B2362,'Production '!$Q$4:$Q$4407)</f>
        <v>#DIV/0!</v>
      </c>
      <c r="E2362" s="76">
        <f ca="1">SUMIF('Production '!$C$4:$AI$4407,'Tracking Sheet'!B2362,'Production '!$S$4:$S$4407)</f>
        <v>-1268218.9828305368</v>
      </c>
      <c r="F2362" s="76">
        <f ca="1">SUMIF('Production '!$C$4:$AI$4407,'Tracking Sheet'!B2362,'Production '!$U$4:$U$4407)</f>
        <v>-10620.435600016917</v>
      </c>
      <c r="G2362" s="76" t="e">
        <f ca="1">SUMIF('Production '!$C$4:$AI$4407,'Tracking Sheet'!B2362,'Production '!$W$4:$W$4407)</f>
        <v>#DIV/0!</v>
      </c>
      <c r="H2362" s="76">
        <f ca="1">SUMIF('Production '!$C$4:$AI$4407,'Tracking Sheet'!B2362,'Production '!$F$4:$F$4407)</f>
        <v>3230621.3283604058</v>
      </c>
      <c r="I2362" s="76">
        <f ca="1">SUMIF('Production '!$C$4:$AI$4407,'Tracking Sheet'!B2362,'Production '!$V$4:$V$4407)</f>
        <v>-489.86487791182844</v>
      </c>
      <c r="J2362" s="76">
        <f ca="1">SUMIF('Production '!$C$4:$AI$4407,'Tracking Sheet'!B2362,'Production '!$AG$4:$AG$4407)</f>
        <v>0</v>
      </c>
    </row>
    <row r="2363" spans="2:10" x14ac:dyDescent="0.3">
      <c r="B2363" s="277">
        <f>'Production '!C2366</f>
        <v>0</v>
      </c>
      <c r="C2363" s="76" t="e">
        <f ca="1">SUMIF('Production '!$C$4:$AI$4407,'Tracking Sheet'!B2363,'Production '!$M$4:$M$4407)</f>
        <v>#DIV/0!</v>
      </c>
      <c r="D2363" s="76" t="e">
        <f ca="1">SUMIF('Production '!$C$4:$AI$4407,'Tracking Sheet'!B2363,'Production '!$Q$4:$Q$4407)</f>
        <v>#DIV/0!</v>
      </c>
      <c r="E2363" s="76">
        <f ca="1">SUMIF('Production '!$C$4:$AI$4407,'Tracking Sheet'!B2363,'Production '!$S$4:$S$4407)</f>
        <v>-1268218.9828305368</v>
      </c>
      <c r="F2363" s="76">
        <f ca="1">SUMIF('Production '!$C$4:$AI$4407,'Tracking Sheet'!B2363,'Production '!$U$4:$U$4407)</f>
        <v>-10620.435600016917</v>
      </c>
      <c r="G2363" s="76" t="e">
        <f ca="1">SUMIF('Production '!$C$4:$AI$4407,'Tracking Sheet'!B2363,'Production '!$W$4:$W$4407)</f>
        <v>#DIV/0!</v>
      </c>
      <c r="H2363" s="76">
        <f ca="1">SUMIF('Production '!$C$4:$AI$4407,'Tracking Sheet'!B2363,'Production '!$F$4:$F$4407)</f>
        <v>3230621.3283604058</v>
      </c>
      <c r="I2363" s="76">
        <f ca="1">SUMIF('Production '!$C$4:$AI$4407,'Tracking Sheet'!B2363,'Production '!$V$4:$V$4407)</f>
        <v>-489.86487791182844</v>
      </c>
      <c r="J2363" s="76">
        <f ca="1">SUMIF('Production '!$C$4:$AI$4407,'Tracking Sheet'!B2363,'Production '!$AG$4:$AG$4407)</f>
        <v>0</v>
      </c>
    </row>
    <row r="2364" spans="2:10" x14ac:dyDescent="0.3">
      <c r="B2364" s="277">
        <f>'Production '!C2367</f>
        <v>0</v>
      </c>
      <c r="C2364" s="76" t="e">
        <f ca="1">SUMIF('Production '!$C$4:$AI$4407,'Tracking Sheet'!B2364,'Production '!$M$4:$M$4407)</f>
        <v>#DIV/0!</v>
      </c>
      <c r="D2364" s="76" t="e">
        <f ca="1">SUMIF('Production '!$C$4:$AI$4407,'Tracking Sheet'!B2364,'Production '!$Q$4:$Q$4407)</f>
        <v>#DIV/0!</v>
      </c>
      <c r="E2364" s="76">
        <f ca="1">SUMIF('Production '!$C$4:$AI$4407,'Tracking Sheet'!B2364,'Production '!$S$4:$S$4407)</f>
        <v>-1268218.9828305368</v>
      </c>
      <c r="F2364" s="76">
        <f ca="1">SUMIF('Production '!$C$4:$AI$4407,'Tracking Sheet'!B2364,'Production '!$U$4:$U$4407)</f>
        <v>-10620.435600016917</v>
      </c>
      <c r="G2364" s="76" t="e">
        <f ca="1">SUMIF('Production '!$C$4:$AI$4407,'Tracking Sheet'!B2364,'Production '!$W$4:$W$4407)</f>
        <v>#DIV/0!</v>
      </c>
      <c r="H2364" s="76">
        <f ca="1">SUMIF('Production '!$C$4:$AI$4407,'Tracking Sheet'!B2364,'Production '!$F$4:$F$4407)</f>
        <v>3230621.3283604058</v>
      </c>
      <c r="I2364" s="76">
        <f ca="1">SUMIF('Production '!$C$4:$AI$4407,'Tracking Sheet'!B2364,'Production '!$V$4:$V$4407)</f>
        <v>-489.86487791182844</v>
      </c>
      <c r="J2364" s="76">
        <f ca="1">SUMIF('Production '!$C$4:$AI$4407,'Tracking Sheet'!B2364,'Production '!$AG$4:$AG$4407)</f>
        <v>0</v>
      </c>
    </row>
    <row r="2365" spans="2:10" x14ac:dyDescent="0.3">
      <c r="B2365" s="277">
        <f>'Production '!C2368</f>
        <v>0</v>
      </c>
      <c r="C2365" s="76" t="e">
        <f ca="1">SUMIF('Production '!$C$4:$AI$4407,'Tracking Sheet'!B2365,'Production '!$M$4:$M$4407)</f>
        <v>#DIV/0!</v>
      </c>
      <c r="D2365" s="76" t="e">
        <f ca="1">SUMIF('Production '!$C$4:$AI$4407,'Tracking Sheet'!B2365,'Production '!$Q$4:$Q$4407)</f>
        <v>#DIV/0!</v>
      </c>
      <c r="E2365" s="76">
        <f ca="1">SUMIF('Production '!$C$4:$AI$4407,'Tracking Sheet'!B2365,'Production '!$S$4:$S$4407)</f>
        <v>-1268218.9828305368</v>
      </c>
      <c r="F2365" s="76">
        <f ca="1">SUMIF('Production '!$C$4:$AI$4407,'Tracking Sheet'!B2365,'Production '!$U$4:$U$4407)</f>
        <v>-10620.435600016917</v>
      </c>
      <c r="G2365" s="76" t="e">
        <f ca="1">SUMIF('Production '!$C$4:$AI$4407,'Tracking Sheet'!B2365,'Production '!$W$4:$W$4407)</f>
        <v>#DIV/0!</v>
      </c>
      <c r="H2365" s="76">
        <f ca="1">SUMIF('Production '!$C$4:$AI$4407,'Tracking Sheet'!B2365,'Production '!$F$4:$F$4407)</f>
        <v>3230621.3283604058</v>
      </c>
      <c r="I2365" s="76">
        <f ca="1">SUMIF('Production '!$C$4:$AI$4407,'Tracking Sheet'!B2365,'Production '!$V$4:$V$4407)</f>
        <v>-489.86487791182844</v>
      </c>
      <c r="J2365" s="76">
        <f ca="1">SUMIF('Production '!$C$4:$AI$4407,'Tracking Sheet'!B2365,'Production '!$AG$4:$AG$4407)</f>
        <v>0</v>
      </c>
    </row>
    <row r="2366" spans="2:10" x14ac:dyDescent="0.3">
      <c r="B2366" s="277">
        <f>'Production '!C2369</f>
        <v>0</v>
      </c>
      <c r="C2366" s="76" t="e">
        <f ca="1">SUMIF('Production '!$C$4:$AI$4407,'Tracking Sheet'!B2366,'Production '!$M$4:$M$4407)</f>
        <v>#DIV/0!</v>
      </c>
      <c r="D2366" s="76" t="e">
        <f ca="1">SUMIF('Production '!$C$4:$AI$4407,'Tracking Sheet'!B2366,'Production '!$Q$4:$Q$4407)</f>
        <v>#DIV/0!</v>
      </c>
      <c r="E2366" s="76">
        <f ca="1">SUMIF('Production '!$C$4:$AI$4407,'Tracking Sheet'!B2366,'Production '!$S$4:$S$4407)</f>
        <v>-1268218.9828305368</v>
      </c>
      <c r="F2366" s="76">
        <f ca="1">SUMIF('Production '!$C$4:$AI$4407,'Tracking Sheet'!B2366,'Production '!$U$4:$U$4407)</f>
        <v>-10620.435600016917</v>
      </c>
      <c r="G2366" s="76" t="e">
        <f ca="1">SUMIF('Production '!$C$4:$AI$4407,'Tracking Sheet'!B2366,'Production '!$W$4:$W$4407)</f>
        <v>#DIV/0!</v>
      </c>
      <c r="H2366" s="76">
        <f ca="1">SUMIF('Production '!$C$4:$AI$4407,'Tracking Sheet'!B2366,'Production '!$F$4:$F$4407)</f>
        <v>3230621.3283604058</v>
      </c>
      <c r="I2366" s="76">
        <f ca="1">SUMIF('Production '!$C$4:$AI$4407,'Tracking Sheet'!B2366,'Production '!$V$4:$V$4407)</f>
        <v>-489.86487791182844</v>
      </c>
      <c r="J2366" s="76">
        <f ca="1">SUMIF('Production '!$C$4:$AI$4407,'Tracking Sheet'!B2366,'Production '!$AG$4:$AG$4407)</f>
        <v>0</v>
      </c>
    </row>
    <row r="2367" spans="2:10" x14ac:dyDescent="0.3">
      <c r="B2367" s="277">
        <f>'Production '!C2370</f>
        <v>0</v>
      </c>
      <c r="C2367" s="76" t="e">
        <f ca="1">SUMIF('Production '!$C$4:$AI$4407,'Tracking Sheet'!B2367,'Production '!$M$4:$M$4407)</f>
        <v>#DIV/0!</v>
      </c>
      <c r="D2367" s="76" t="e">
        <f ca="1">SUMIF('Production '!$C$4:$AI$4407,'Tracking Sheet'!B2367,'Production '!$Q$4:$Q$4407)</f>
        <v>#DIV/0!</v>
      </c>
      <c r="E2367" s="76">
        <f ca="1">SUMIF('Production '!$C$4:$AI$4407,'Tracking Sheet'!B2367,'Production '!$S$4:$S$4407)</f>
        <v>-1268218.9828305368</v>
      </c>
      <c r="F2367" s="76">
        <f ca="1">SUMIF('Production '!$C$4:$AI$4407,'Tracking Sheet'!B2367,'Production '!$U$4:$U$4407)</f>
        <v>-10620.435600016917</v>
      </c>
      <c r="G2367" s="76" t="e">
        <f ca="1">SUMIF('Production '!$C$4:$AI$4407,'Tracking Sheet'!B2367,'Production '!$W$4:$W$4407)</f>
        <v>#DIV/0!</v>
      </c>
      <c r="H2367" s="76">
        <f ca="1">SUMIF('Production '!$C$4:$AI$4407,'Tracking Sheet'!B2367,'Production '!$F$4:$F$4407)</f>
        <v>3230621.3283604058</v>
      </c>
      <c r="I2367" s="76">
        <f ca="1">SUMIF('Production '!$C$4:$AI$4407,'Tracking Sheet'!B2367,'Production '!$V$4:$V$4407)</f>
        <v>-489.86487791182844</v>
      </c>
      <c r="J2367" s="76">
        <f ca="1">SUMIF('Production '!$C$4:$AI$4407,'Tracking Sheet'!B2367,'Production '!$AG$4:$AG$4407)</f>
        <v>0</v>
      </c>
    </row>
    <row r="2368" spans="2:10" x14ac:dyDescent="0.3">
      <c r="B2368" s="277">
        <f>'Production '!C2371</f>
        <v>0</v>
      </c>
      <c r="C2368" s="76" t="e">
        <f ca="1">SUMIF('Production '!$C$4:$AI$4407,'Tracking Sheet'!B2368,'Production '!$M$4:$M$4407)</f>
        <v>#DIV/0!</v>
      </c>
      <c r="D2368" s="76" t="e">
        <f ca="1">SUMIF('Production '!$C$4:$AI$4407,'Tracking Sheet'!B2368,'Production '!$Q$4:$Q$4407)</f>
        <v>#DIV/0!</v>
      </c>
      <c r="E2368" s="76">
        <f ca="1">SUMIF('Production '!$C$4:$AI$4407,'Tracking Sheet'!B2368,'Production '!$S$4:$S$4407)</f>
        <v>-1268218.9828305368</v>
      </c>
      <c r="F2368" s="76">
        <f ca="1">SUMIF('Production '!$C$4:$AI$4407,'Tracking Sheet'!B2368,'Production '!$U$4:$U$4407)</f>
        <v>-10620.435600016917</v>
      </c>
      <c r="G2368" s="76" t="e">
        <f ca="1">SUMIF('Production '!$C$4:$AI$4407,'Tracking Sheet'!B2368,'Production '!$W$4:$W$4407)</f>
        <v>#DIV/0!</v>
      </c>
      <c r="H2368" s="76">
        <f ca="1">SUMIF('Production '!$C$4:$AI$4407,'Tracking Sheet'!B2368,'Production '!$F$4:$F$4407)</f>
        <v>3230621.3283604058</v>
      </c>
      <c r="I2368" s="76">
        <f ca="1">SUMIF('Production '!$C$4:$AI$4407,'Tracking Sheet'!B2368,'Production '!$V$4:$V$4407)</f>
        <v>-489.86487791182844</v>
      </c>
      <c r="J2368" s="76">
        <f ca="1">SUMIF('Production '!$C$4:$AI$4407,'Tracking Sheet'!B2368,'Production '!$AG$4:$AG$4407)</f>
        <v>0</v>
      </c>
    </row>
    <row r="2369" spans="2:10" x14ac:dyDescent="0.3">
      <c r="B2369" s="277">
        <f>'Production '!C2372</f>
        <v>0</v>
      </c>
      <c r="C2369" s="76" t="e">
        <f ca="1">SUMIF('Production '!$C$4:$AI$4407,'Tracking Sheet'!B2369,'Production '!$M$4:$M$4407)</f>
        <v>#DIV/0!</v>
      </c>
      <c r="D2369" s="76" t="e">
        <f ca="1">SUMIF('Production '!$C$4:$AI$4407,'Tracking Sheet'!B2369,'Production '!$Q$4:$Q$4407)</f>
        <v>#DIV/0!</v>
      </c>
      <c r="E2369" s="76">
        <f ca="1">SUMIF('Production '!$C$4:$AI$4407,'Tracking Sheet'!B2369,'Production '!$S$4:$S$4407)</f>
        <v>-1268218.9828305368</v>
      </c>
      <c r="F2369" s="76">
        <f ca="1">SUMIF('Production '!$C$4:$AI$4407,'Tracking Sheet'!B2369,'Production '!$U$4:$U$4407)</f>
        <v>-10620.435600016917</v>
      </c>
      <c r="G2369" s="76" t="e">
        <f ca="1">SUMIF('Production '!$C$4:$AI$4407,'Tracking Sheet'!B2369,'Production '!$W$4:$W$4407)</f>
        <v>#DIV/0!</v>
      </c>
      <c r="H2369" s="76">
        <f ca="1">SUMIF('Production '!$C$4:$AI$4407,'Tracking Sheet'!B2369,'Production '!$F$4:$F$4407)</f>
        <v>3230621.3283604058</v>
      </c>
      <c r="I2369" s="76">
        <f ca="1">SUMIF('Production '!$C$4:$AI$4407,'Tracking Sheet'!B2369,'Production '!$V$4:$V$4407)</f>
        <v>-489.86487791182844</v>
      </c>
      <c r="J2369" s="76">
        <f ca="1">SUMIF('Production '!$C$4:$AI$4407,'Tracking Sheet'!B2369,'Production '!$AG$4:$AG$4407)</f>
        <v>0</v>
      </c>
    </row>
    <row r="2370" spans="2:10" x14ac:dyDescent="0.3">
      <c r="B2370" s="277">
        <f>'Production '!C2373</f>
        <v>0</v>
      </c>
      <c r="C2370" s="76" t="e">
        <f ca="1">SUMIF('Production '!$C$4:$AI$4407,'Tracking Sheet'!B2370,'Production '!$M$4:$M$4407)</f>
        <v>#DIV/0!</v>
      </c>
      <c r="D2370" s="76" t="e">
        <f ca="1">SUMIF('Production '!$C$4:$AI$4407,'Tracking Sheet'!B2370,'Production '!$Q$4:$Q$4407)</f>
        <v>#DIV/0!</v>
      </c>
      <c r="E2370" s="76">
        <f ca="1">SUMIF('Production '!$C$4:$AI$4407,'Tracking Sheet'!B2370,'Production '!$S$4:$S$4407)</f>
        <v>-1268218.9828305368</v>
      </c>
      <c r="F2370" s="76">
        <f ca="1">SUMIF('Production '!$C$4:$AI$4407,'Tracking Sheet'!B2370,'Production '!$U$4:$U$4407)</f>
        <v>-10620.435600016917</v>
      </c>
      <c r="G2370" s="76" t="e">
        <f ca="1">SUMIF('Production '!$C$4:$AI$4407,'Tracking Sheet'!B2370,'Production '!$W$4:$W$4407)</f>
        <v>#DIV/0!</v>
      </c>
      <c r="H2370" s="76">
        <f ca="1">SUMIF('Production '!$C$4:$AI$4407,'Tracking Sheet'!B2370,'Production '!$F$4:$F$4407)</f>
        <v>3230621.3283604058</v>
      </c>
      <c r="I2370" s="76">
        <f ca="1">SUMIF('Production '!$C$4:$AI$4407,'Tracking Sheet'!B2370,'Production '!$V$4:$V$4407)</f>
        <v>-489.86487791182844</v>
      </c>
      <c r="J2370" s="76">
        <f ca="1">SUMIF('Production '!$C$4:$AI$4407,'Tracking Sheet'!B2370,'Production '!$AG$4:$AG$4407)</f>
        <v>0</v>
      </c>
    </row>
    <row r="2371" spans="2:10" x14ac:dyDescent="0.3">
      <c r="B2371" s="277">
        <f>'Production '!C2374</f>
        <v>0</v>
      </c>
      <c r="C2371" s="76" t="e">
        <f ca="1">SUMIF('Production '!$C$4:$AI$4407,'Tracking Sheet'!B2371,'Production '!$M$4:$M$4407)</f>
        <v>#DIV/0!</v>
      </c>
      <c r="D2371" s="76" t="e">
        <f ca="1">SUMIF('Production '!$C$4:$AI$4407,'Tracking Sheet'!B2371,'Production '!$Q$4:$Q$4407)</f>
        <v>#DIV/0!</v>
      </c>
      <c r="E2371" s="76">
        <f ca="1">SUMIF('Production '!$C$4:$AI$4407,'Tracking Sheet'!B2371,'Production '!$S$4:$S$4407)</f>
        <v>-1268218.9828305368</v>
      </c>
      <c r="F2371" s="76">
        <f ca="1">SUMIF('Production '!$C$4:$AI$4407,'Tracking Sheet'!B2371,'Production '!$U$4:$U$4407)</f>
        <v>-10620.435600016917</v>
      </c>
      <c r="G2371" s="76" t="e">
        <f ca="1">SUMIF('Production '!$C$4:$AI$4407,'Tracking Sheet'!B2371,'Production '!$W$4:$W$4407)</f>
        <v>#DIV/0!</v>
      </c>
      <c r="H2371" s="76">
        <f ca="1">SUMIF('Production '!$C$4:$AI$4407,'Tracking Sheet'!B2371,'Production '!$F$4:$F$4407)</f>
        <v>3230621.3283604058</v>
      </c>
      <c r="I2371" s="76">
        <f ca="1">SUMIF('Production '!$C$4:$AI$4407,'Tracking Sheet'!B2371,'Production '!$V$4:$V$4407)</f>
        <v>-489.86487791182844</v>
      </c>
      <c r="J2371" s="76">
        <f ca="1">SUMIF('Production '!$C$4:$AI$4407,'Tracking Sheet'!B2371,'Production '!$AG$4:$AG$4407)</f>
        <v>0</v>
      </c>
    </row>
    <row r="2372" spans="2:10" x14ac:dyDescent="0.3">
      <c r="B2372" s="277">
        <f>'Production '!C2375</f>
        <v>0</v>
      </c>
      <c r="C2372" s="76" t="e">
        <f ca="1">SUMIF('Production '!$C$4:$AI$4407,'Tracking Sheet'!B2372,'Production '!$M$4:$M$4407)</f>
        <v>#DIV/0!</v>
      </c>
      <c r="D2372" s="76" t="e">
        <f ca="1">SUMIF('Production '!$C$4:$AI$4407,'Tracking Sheet'!B2372,'Production '!$Q$4:$Q$4407)</f>
        <v>#DIV/0!</v>
      </c>
      <c r="E2372" s="76">
        <f ca="1">SUMIF('Production '!$C$4:$AI$4407,'Tracking Sheet'!B2372,'Production '!$S$4:$S$4407)</f>
        <v>-1268218.9828305368</v>
      </c>
      <c r="F2372" s="76">
        <f ca="1">SUMIF('Production '!$C$4:$AI$4407,'Tracking Sheet'!B2372,'Production '!$U$4:$U$4407)</f>
        <v>-10620.435600016917</v>
      </c>
      <c r="G2372" s="76" t="e">
        <f ca="1">SUMIF('Production '!$C$4:$AI$4407,'Tracking Sheet'!B2372,'Production '!$W$4:$W$4407)</f>
        <v>#DIV/0!</v>
      </c>
      <c r="H2372" s="76">
        <f ca="1">SUMIF('Production '!$C$4:$AI$4407,'Tracking Sheet'!B2372,'Production '!$F$4:$F$4407)</f>
        <v>3230621.3283604058</v>
      </c>
      <c r="I2372" s="76">
        <f ca="1">SUMIF('Production '!$C$4:$AI$4407,'Tracking Sheet'!B2372,'Production '!$V$4:$V$4407)</f>
        <v>-489.86487791182844</v>
      </c>
      <c r="J2372" s="76">
        <f ca="1">SUMIF('Production '!$C$4:$AI$4407,'Tracking Sheet'!B2372,'Production '!$AG$4:$AG$4407)</f>
        <v>0</v>
      </c>
    </row>
    <row r="2373" spans="2:10" x14ac:dyDescent="0.3">
      <c r="B2373" s="277">
        <f>'Production '!C2376</f>
        <v>0</v>
      </c>
      <c r="C2373" s="76" t="e">
        <f ca="1">SUMIF('Production '!$C$4:$AI$4407,'Tracking Sheet'!B2373,'Production '!$M$4:$M$4407)</f>
        <v>#DIV/0!</v>
      </c>
      <c r="D2373" s="76" t="e">
        <f ca="1">SUMIF('Production '!$C$4:$AI$4407,'Tracking Sheet'!B2373,'Production '!$Q$4:$Q$4407)</f>
        <v>#DIV/0!</v>
      </c>
      <c r="E2373" s="76">
        <f ca="1">SUMIF('Production '!$C$4:$AI$4407,'Tracking Sheet'!B2373,'Production '!$S$4:$S$4407)</f>
        <v>-1268218.9828305368</v>
      </c>
      <c r="F2373" s="76">
        <f ca="1">SUMIF('Production '!$C$4:$AI$4407,'Tracking Sheet'!B2373,'Production '!$U$4:$U$4407)</f>
        <v>-10620.435600016917</v>
      </c>
      <c r="G2373" s="76" t="e">
        <f ca="1">SUMIF('Production '!$C$4:$AI$4407,'Tracking Sheet'!B2373,'Production '!$W$4:$W$4407)</f>
        <v>#DIV/0!</v>
      </c>
      <c r="H2373" s="76">
        <f ca="1">SUMIF('Production '!$C$4:$AI$4407,'Tracking Sheet'!B2373,'Production '!$F$4:$F$4407)</f>
        <v>3230621.3283604058</v>
      </c>
      <c r="I2373" s="76">
        <f ca="1">SUMIF('Production '!$C$4:$AI$4407,'Tracking Sheet'!B2373,'Production '!$V$4:$V$4407)</f>
        <v>-489.86487791182844</v>
      </c>
      <c r="J2373" s="76">
        <f ca="1">SUMIF('Production '!$C$4:$AI$4407,'Tracking Sheet'!B2373,'Production '!$AG$4:$AG$4407)</f>
        <v>0</v>
      </c>
    </row>
    <row r="2374" spans="2:10" x14ac:dyDescent="0.3">
      <c r="B2374" s="277">
        <f>'Production '!C2377</f>
        <v>0</v>
      </c>
      <c r="C2374" s="76" t="e">
        <f ca="1">SUMIF('Production '!$C$4:$AI$4407,'Tracking Sheet'!B2374,'Production '!$M$4:$M$4407)</f>
        <v>#DIV/0!</v>
      </c>
      <c r="D2374" s="76" t="e">
        <f ca="1">SUMIF('Production '!$C$4:$AI$4407,'Tracking Sheet'!B2374,'Production '!$Q$4:$Q$4407)</f>
        <v>#DIV/0!</v>
      </c>
      <c r="E2374" s="76">
        <f ca="1">SUMIF('Production '!$C$4:$AI$4407,'Tracking Sheet'!B2374,'Production '!$S$4:$S$4407)</f>
        <v>-1268218.9828305368</v>
      </c>
      <c r="F2374" s="76">
        <f ca="1">SUMIF('Production '!$C$4:$AI$4407,'Tracking Sheet'!B2374,'Production '!$U$4:$U$4407)</f>
        <v>-10620.435600016917</v>
      </c>
      <c r="G2374" s="76" t="e">
        <f ca="1">SUMIF('Production '!$C$4:$AI$4407,'Tracking Sheet'!B2374,'Production '!$W$4:$W$4407)</f>
        <v>#DIV/0!</v>
      </c>
      <c r="H2374" s="76">
        <f ca="1">SUMIF('Production '!$C$4:$AI$4407,'Tracking Sheet'!B2374,'Production '!$F$4:$F$4407)</f>
        <v>3230621.3283604058</v>
      </c>
      <c r="I2374" s="76">
        <f ca="1">SUMIF('Production '!$C$4:$AI$4407,'Tracking Sheet'!B2374,'Production '!$V$4:$V$4407)</f>
        <v>-489.86487791182844</v>
      </c>
      <c r="J2374" s="76">
        <f ca="1">SUMIF('Production '!$C$4:$AI$4407,'Tracking Sheet'!B2374,'Production '!$AG$4:$AG$4407)</f>
        <v>0</v>
      </c>
    </row>
    <row r="2375" spans="2:10" x14ac:dyDescent="0.3">
      <c r="B2375" s="277">
        <f>'Production '!C2378</f>
        <v>0</v>
      </c>
      <c r="C2375" s="76" t="e">
        <f ca="1">SUMIF('Production '!$C$4:$AI$4407,'Tracking Sheet'!B2375,'Production '!$M$4:$M$4407)</f>
        <v>#DIV/0!</v>
      </c>
      <c r="D2375" s="76" t="e">
        <f ca="1">SUMIF('Production '!$C$4:$AI$4407,'Tracking Sheet'!B2375,'Production '!$Q$4:$Q$4407)</f>
        <v>#DIV/0!</v>
      </c>
      <c r="E2375" s="76">
        <f ca="1">SUMIF('Production '!$C$4:$AI$4407,'Tracking Sheet'!B2375,'Production '!$S$4:$S$4407)</f>
        <v>-1268218.9828305368</v>
      </c>
      <c r="F2375" s="76">
        <f ca="1">SUMIF('Production '!$C$4:$AI$4407,'Tracking Sheet'!B2375,'Production '!$U$4:$U$4407)</f>
        <v>-10620.435600016917</v>
      </c>
      <c r="G2375" s="76" t="e">
        <f ca="1">SUMIF('Production '!$C$4:$AI$4407,'Tracking Sheet'!B2375,'Production '!$W$4:$W$4407)</f>
        <v>#DIV/0!</v>
      </c>
      <c r="H2375" s="76">
        <f ca="1">SUMIF('Production '!$C$4:$AI$4407,'Tracking Sheet'!B2375,'Production '!$F$4:$F$4407)</f>
        <v>3230621.3283604058</v>
      </c>
      <c r="I2375" s="76">
        <f ca="1">SUMIF('Production '!$C$4:$AI$4407,'Tracking Sheet'!B2375,'Production '!$V$4:$V$4407)</f>
        <v>-489.86487791182844</v>
      </c>
      <c r="J2375" s="76">
        <f ca="1">SUMIF('Production '!$C$4:$AI$4407,'Tracking Sheet'!B2375,'Production '!$AG$4:$AG$4407)</f>
        <v>0</v>
      </c>
    </row>
    <row r="2376" spans="2:10" x14ac:dyDescent="0.3">
      <c r="B2376" s="277">
        <f>'Production '!C2379</f>
        <v>0</v>
      </c>
      <c r="C2376" s="76" t="e">
        <f ca="1">SUMIF('Production '!$C$4:$AI$4407,'Tracking Sheet'!B2376,'Production '!$M$4:$M$4407)</f>
        <v>#DIV/0!</v>
      </c>
      <c r="D2376" s="76" t="e">
        <f ca="1">SUMIF('Production '!$C$4:$AI$4407,'Tracking Sheet'!B2376,'Production '!$Q$4:$Q$4407)</f>
        <v>#DIV/0!</v>
      </c>
      <c r="E2376" s="76">
        <f ca="1">SUMIF('Production '!$C$4:$AI$4407,'Tracking Sheet'!B2376,'Production '!$S$4:$S$4407)</f>
        <v>-1268218.9828305368</v>
      </c>
      <c r="F2376" s="76">
        <f ca="1">SUMIF('Production '!$C$4:$AI$4407,'Tracking Sheet'!B2376,'Production '!$U$4:$U$4407)</f>
        <v>-10620.435600016917</v>
      </c>
      <c r="G2376" s="76" t="e">
        <f ca="1">SUMIF('Production '!$C$4:$AI$4407,'Tracking Sheet'!B2376,'Production '!$W$4:$W$4407)</f>
        <v>#DIV/0!</v>
      </c>
      <c r="H2376" s="76">
        <f ca="1">SUMIF('Production '!$C$4:$AI$4407,'Tracking Sheet'!B2376,'Production '!$F$4:$F$4407)</f>
        <v>3230621.3283604058</v>
      </c>
      <c r="I2376" s="76">
        <f ca="1">SUMIF('Production '!$C$4:$AI$4407,'Tracking Sheet'!B2376,'Production '!$V$4:$V$4407)</f>
        <v>-489.86487791182844</v>
      </c>
      <c r="J2376" s="76">
        <f ca="1">SUMIF('Production '!$C$4:$AI$4407,'Tracking Sheet'!B2376,'Production '!$AG$4:$AG$4407)</f>
        <v>0</v>
      </c>
    </row>
    <row r="2377" spans="2:10" x14ac:dyDescent="0.3">
      <c r="B2377" s="277">
        <f>'Production '!C2380</f>
        <v>0</v>
      </c>
      <c r="C2377" s="76" t="e">
        <f ca="1">SUMIF('Production '!$C$4:$AI$4407,'Tracking Sheet'!B2377,'Production '!$M$4:$M$4407)</f>
        <v>#DIV/0!</v>
      </c>
      <c r="D2377" s="76" t="e">
        <f ca="1">SUMIF('Production '!$C$4:$AI$4407,'Tracking Sheet'!B2377,'Production '!$Q$4:$Q$4407)</f>
        <v>#DIV/0!</v>
      </c>
      <c r="E2377" s="76">
        <f ca="1">SUMIF('Production '!$C$4:$AI$4407,'Tracking Sheet'!B2377,'Production '!$S$4:$S$4407)</f>
        <v>-1268218.9828305368</v>
      </c>
      <c r="F2377" s="76">
        <f ca="1">SUMIF('Production '!$C$4:$AI$4407,'Tracking Sheet'!B2377,'Production '!$U$4:$U$4407)</f>
        <v>-10620.435600016917</v>
      </c>
      <c r="G2377" s="76" t="e">
        <f ca="1">SUMIF('Production '!$C$4:$AI$4407,'Tracking Sheet'!B2377,'Production '!$W$4:$W$4407)</f>
        <v>#DIV/0!</v>
      </c>
      <c r="H2377" s="76">
        <f ca="1">SUMIF('Production '!$C$4:$AI$4407,'Tracking Sheet'!B2377,'Production '!$F$4:$F$4407)</f>
        <v>3230621.3283604058</v>
      </c>
      <c r="I2377" s="76">
        <f ca="1">SUMIF('Production '!$C$4:$AI$4407,'Tracking Sheet'!B2377,'Production '!$V$4:$V$4407)</f>
        <v>-489.86487791182844</v>
      </c>
      <c r="J2377" s="76">
        <f ca="1">SUMIF('Production '!$C$4:$AI$4407,'Tracking Sheet'!B2377,'Production '!$AG$4:$AG$4407)</f>
        <v>0</v>
      </c>
    </row>
    <row r="2378" spans="2:10" x14ac:dyDescent="0.3">
      <c r="B2378" s="277">
        <f>'Production '!C2381</f>
        <v>0</v>
      </c>
      <c r="C2378" s="76" t="e">
        <f ca="1">SUMIF('Production '!$C$4:$AI$4407,'Tracking Sheet'!B2378,'Production '!$M$4:$M$4407)</f>
        <v>#DIV/0!</v>
      </c>
      <c r="D2378" s="76" t="e">
        <f ca="1">SUMIF('Production '!$C$4:$AI$4407,'Tracking Sheet'!B2378,'Production '!$Q$4:$Q$4407)</f>
        <v>#DIV/0!</v>
      </c>
      <c r="E2378" s="76">
        <f ca="1">SUMIF('Production '!$C$4:$AI$4407,'Tracking Sheet'!B2378,'Production '!$S$4:$S$4407)</f>
        <v>-1268218.9828305368</v>
      </c>
      <c r="F2378" s="76">
        <f ca="1">SUMIF('Production '!$C$4:$AI$4407,'Tracking Sheet'!B2378,'Production '!$U$4:$U$4407)</f>
        <v>-10620.435600016917</v>
      </c>
      <c r="G2378" s="76" t="e">
        <f ca="1">SUMIF('Production '!$C$4:$AI$4407,'Tracking Sheet'!B2378,'Production '!$W$4:$W$4407)</f>
        <v>#DIV/0!</v>
      </c>
      <c r="H2378" s="76">
        <f ca="1">SUMIF('Production '!$C$4:$AI$4407,'Tracking Sheet'!B2378,'Production '!$F$4:$F$4407)</f>
        <v>3230621.3283604058</v>
      </c>
      <c r="I2378" s="76">
        <f ca="1">SUMIF('Production '!$C$4:$AI$4407,'Tracking Sheet'!B2378,'Production '!$V$4:$V$4407)</f>
        <v>-489.86487791182844</v>
      </c>
      <c r="J2378" s="76">
        <f ca="1">SUMIF('Production '!$C$4:$AI$4407,'Tracking Sheet'!B2378,'Production '!$AG$4:$AG$4407)</f>
        <v>0</v>
      </c>
    </row>
    <row r="2379" spans="2:10" x14ac:dyDescent="0.3">
      <c r="B2379" s="277">
        <f>'Production '!C2382</f>
        <v>0</v>
      </c>
      <c r="C2379" s="76" t="e">
        <f ca="1">SUMIF('Production '!$C$4:$AI$4407,'Tracking Sheet'!B2379,'Production '!$M$4:$M$4407)</f>
        <v>#DIV/0!</v>
      </c>
      <c r="D2379" s="76" t="e">
        <f ca="1">SUMIF('Production '!$C$4:$AI$4407,'Tracking Sheet'!B2379,'Production '!$Q$4:$Q$4407)</f>
        <v>#DIV/0!</v>
      </c>
      <c r="E2379" s="76">
        <f ca="1">SUMIF('Production '!$C$4:$AI$4407,'Tracking Sheet'!B2379,'Production '!$S$4:$S$4407)</f>
        <v>-1268218.9828305368</v>
      </c>
      <c r="F2379" s="76">
        <f ca="1">SUMIF('Production '!$C$4:$AI$4407,'Tracking Sheet'!B2379,'Production '!$U$4:$U$4407)</f>
        <v>-10620.435600016917</v>
      </c>
      <c r="G2379" s="76" t="e">
        <f ca="1">SUMIF('Production '!$C$4:$AI$4407,'Tracking Sheet'!B2379,'Production '!$W$4:$W$4407)</f>
        <v>#DIV/0!</v>
      </c>
      <c r="H2379" s="76">
        <f ca="1">SUMIF('Production '!$C$4:$AI$4407,'Tracking Sheet'!B2379,'Production '!$F$4:$F$4407)</f>
        <v>3230621.3283604058</v>
      </c>
      <c r="I2379" s="76">
        <f ca="1">SUMIF('Production '!$C$4:$AI$4407,'Tracking Sheet'!B2379,'Production '!$V$4:$V$4407)</f>
        <v>-489.86487791182844</v>
      </c>
      <c r="J2379" s="76">
        <f ca="1">SUMIF('Production '!$C$4:$AI$4407,'Tracking Sheet'!B2379,'Production '!$AG$4:$AG$4407)</f>
        <v>0</v>
      </c>
    </row>
    <row r="2380" spans="2:10" x14ac:dyDescent="0.3">
      <c r="B2380" s="277">
        <f>'Production '!C2383</f>
        <v>0</v>
      </c>
      <c r="C2380" s="76" t="e">
        <f ca="1">SUMIF('Production '!$C$4:$AI$4407,'Tracking Sheet'!B2380,'Production '!$M$4:$M$4407)</f>
        <v>#DIV/0!</v>
      </c>
      <c r="D2380" s="76" t="e">
        <f ca="1">SUMIF('Production '!$C$4:$AI$4407,'Tracking Sheet'!B2380,'Production '!$Q$4:$Q$4407)</f>
        <v>#DIV/0!</v>
      </c>
      <c r="E2380" s="76">
        <f ca="1">SUMIF('Production '!$C$4:$AI$4407,'Tracking Sheet'!B2380,'Production '!$S$4:$S$4407)</f>
        <v>-1268218.9828305368</v>
      </c>
      <c r="F2380" s="76">
        <f ca="1">SUMIF('Production '!$C$4:$AI$4407,'Tracking Sheet'!B2380,'Production '!$U$4:$U$4407)</f>
        <v>-10620.435600016917</v>
      </c>
      <c r="G2380" s="76" t="e">
        <f ca="1">SUMIF('Production '!$C$4:$AI$4407,'Tracking Sheet'!B2380,'Production '!$W$4:$W$4407)</f>
        <v>#DIV/0!</v>
      </c>
      <c r="H2380" s="76">
        <f ca="1">SUMIF('Production '!$C$4:$AI$4407,'Tracking Sheet'!B2380,'Production '!$F$4:$F$4407)</f>
        <v>3230621.3283604058</v>
      </c>
      <c r="I2380" s="76">
        <f ca="1">SUMIF('Production '!$C$4:$AI$4407,'Tracking Sheet'!B2380,'Production '!$V$4:$V$4407)</f>
        <v>-489.86487791182844</v>
      </c>
      <c r="J2380" s="76">
        <f ca="1">SUMIF('Production '!$C$4:$AI$4407,'Tracking Sheet'!B2380,'Production '!$AG$4:$AG$4407)</f>
        <v>0</v>
      </c>
    </row>
    <row r="2381" spans="2:10" x14ac:dyDescent="0.3">
      <c r="B2381" s="277">
        <f>'Production '!C2384</f>
        <v>0</v>
      </c>
      <c r="C2381" s="76" t="e">
        <f ca="1">SUMIF('Production '!$C$4:$AI$4407,'Tracking Sheet'!B2381,'Production '!$M$4:$M$4407)</f>
        <v>#DIV/0!</v>
      </c>
      <c r="D2381" s="76" t="e">
        <f ca="1">SUMIF('Production '!$C$4:$AI$4407,'Tracking Sheet'!B2381,'Production '!$Q$4:$Q$4407)</f>
        <v>#DIV/0!</v>
      </c>
      <c r="E2381" s="76">
        <f ca="1">SUMIF('Production '!$C$4:$AI$4407,'Tracking Sheet'!B2381,'Production '!$S$4:$S$4407)</f>
        <v>-1268218.9828305368</v>
      </c>
      <c r="F2381" s="76">
        <f ca="1">SUMIF('Production '!$C$4:$AI$4407,'Tracking Sheet'!B2381,'Production '!$U$4:$U$4407)</f>
        <v>-10620.435600016917</v>
      </c>
      <c r="G2381" s="76" t="e">
        <f ca="1">SUMIF('Production '!$C$4:$AI$4407,'Tracking Sheet'!B2381,'Production '!$W$4:$W$4407)</f>
        <v>#DIV/0!</v>
      </c>
      <c r="H2381" s="76">
        <f ca="1">SUMIF('Production '!$C$4:$AI$4407,'Tracking Sheet'!B2381,'Production '!$F$4:$F$4407)</f>
        <v>3230621.3283604058</v>
      </c>
      <c r="I2381" s="76">
        <f ca="1">SUMIF('Production '!$C$4:$AI$4407,'Tracking Sheet'!B2381,'Production '!$V$4:$V$4407)</f>
        <v>-489.86487791182844</v>
      </c>
      <c r="J2381" s="76">
        <f ca="1">SUMIF('Production '!$C$4:$AI$4407,'Tracking Sheet'!B2381,'Production '!$AG$4:$AG$4407)</f>
        <v>0</v>
      </c>
    </row>
    <row r="2382" spans="2:10" x14ac:dyDescent="0.3">
      <c r="B2382" s="277">
        <f>'Production '!C2385</f>
        <v>0</v>
      </c>
      <c r="C2382" s="76" t="e">
        <f ca="1">SUMIF('Production '!$C$4:$AI$4407,'Tracking Sheet'!B2382,'Production '!$M$4:$M$4407)</f>
        <v>#DIV/0!</v>
      </c>
      <c r="D2382" s="76" t="e">
        <f ca="1">SUMIF('Production '!$C$4:$AI$4407,'Tracking Sheet'!B2382,'Production '!$Q$4:$Q$4407)</f>
        <v>#DIV/0!</v>
      </c>
      <c r="E2382" s="76">
        <f ca="1">SUMIF('Production '!$C$4:$AI$4407,'Tracking Sheet'!B2382,'Production '!$S$4:$S$4407)</f>
        <v>-1268218.9828305368</v>
      </c>
      <c r="F2382" s="76">
        <f ca="1">SUMIF('Production '!$C$4:$AI$4407,'Tracking Sheet'!B2382,'Production '!$U$4:$U$4407)</f>
        <v>-10620.435600016917</v>
      </c>
      <c r="G2382" s="76" t="e">
        <f ca="1">SUMIF('Production '!$C$4:$AI$4407,'Tracking Sheet'!B2382,'Production '!$W$4:$W$4407)</f>
        <v>#DIV/0!</v>
      </c>
      <c r="H2382" s="76">
        <f ca="1">SUMIF('Production '!$C$4:$AI$4407,'Tracking Sheet'!B2382,'Production '!$F$4:$F$4407)</f>
        <v>3230621.3283604058</v>
      </c>
      <c r="I2382" s="76">
        <f ca="1">SUMIF('Production '!$C$4:$AI$4407,'Tracking Sheet'!B2382,'Production '!$V$4:$V$4407)</f>
        <v>-489.86487791182844</v>
      </c>
      <c r="J2382" s="76">
        <f ca="1">SUMIF('Production '!$C$4:$AI$4407,'Tracking Sheet'!B2382,'Production '!$AG$4:$AG$4407)</f>
        <v>0</v>
      </c>
    </row>
    <row r="2383" spans="2:10" x14ac:dyDescent="0.3">
      <c r="B2383" s="277">
        <f>'Production '!C2386</f>
        <v>0</v>
      </c>
      <c r="C2383" s="76" t="e">
        <f ca="1">SUMIF('Production '!$C$4:$AI$4407,'Tracking Sheet'!B2383,'Production '!$M$4:$M$4407)</f>
        <v>#DIV/0!</v>
      </c>
      <c r="D2383" s="76" t="e">
        <f ca="1">SUMIF('Production '!$C$4:$AI$4407,'Tracking Sheet'!B2383,'Production '!$Q$4:$Q$4407)</f>
        <v>#DIV/0!</v>
      </c>
      <c r="E2383" s="76">
        <f ca="1">SUMIF('Production '!$C$4:$AI$4407,'Tracking Sheet'!B2383,'Production '!$S$4:$S$4407)</f>
        <v>-1268218.9828305368</v>
      </c>
      <c r="F2383" s="76">
        <f ca="1">SUMIF('Production '!$C$4:$AI$4407,'Tracking Sheet'!B2383,'Production '!$U$4:$U$4407)</f>
        <v>-10620.435600016917</v>
      </c>
      <c r="G2383" s="76" t="e">
        <f ca="1">SUMIF('Production '!$C$4:$AI$4407,'Tracking Sheet'!B2383,'Production '!$W$4:$W$4407)</f>
        <v>#DIV/0!</v>
      </c>
      <c r="H2383" s="76">
        <f ca="1">SUMIF('Production '!$C$4:$AI$4407,'Tracking Sheet'!B2383,'Production '!$F$4:$F$4407)</f>
        <v>3230621.3283604058</v>
      </c>
      <c r="I2383" s="76">
        <f ca="1">SUMIF('Production '!$C$4:$AI$4407,'Tracking Sheet'!B2383,'Production '!$V$4:$V$4407)</f>
        <v>-489.86487791182844</v>
      </c>
      <c r="J2383" s="76">
        <f ca="1">SUMIF('Production '!$C$4:$AI$4407,'Tracking Sheet'!B2383,'Production '!$AG$4:$AG$4407)</f>
        <v>0</v>
      </c>
    </row>
    <row r="2384" spans="2:10" x14ac:dyDescent="0.3">
      <c r="B2384" s="277">
        <f>'Production '!C2387</f>
        <v>0</v>
      </c>
      <c r="C2384" s="76" t="e">
        <f ca="1">SUMIF('Production '!$C$4:$AI$4407,'Tracking Sheet'!B2384,'Production '!$M$4:$M$4407)</f>
        <v>#DIV/0!</v>
      </c>
      <c r="D2384" s="76" t="e">
        <f ca="1">SUMIF('Production '!$C$4:$AI$4407,'Tracking Sheet'!B2384,'Production '!$Q$4:$Q$4407)</f>
        <v>#DIV/0!</v>
      </c>
      <c r="E2384" s="76">
        <f ca="1">SUMIF('Production '!$C$4:$AI$4407,'Tracking Sheet'!B2384,'Production '!$S$4:$S$4407)</f>
        <v>-1268218.9828305368</v>
      </c>
      <c r="F2384" s="76">
        <f ca="1">SUMIF('Production '!$C$4:$AI$4407,'Tracking Sheet'!B2384,'Production '!$U$4:$U$4407)</f>
        <v>-10620.435600016917</v>
      </c>
      <c r="G2384" s="76" t="e">
        <f ca="1">SUMIF('Production '!$C$4:$AI$4407,'Tracking Sheet'!B2384,'Production '!$W$4:$W$4407)</f>
        <v>#DIV/0!</v>
      </c>
      <c r="H2384" s="76">
        <f ca="1">SUMIF('Production '!$C$4:$AI$4407,'Tracking Sheet'!B2384,'Production '!$F$4:$F$4407)</f>
        <v>3230621.3283604058</v>
      </c>
      <c r="I2384" s="76">
        <f ca="1">SUMIF('Production '!$C$4:$AI$4407,'Tracking Sheet'!B2384,'Production '!$V$4:$V$4407)</f>
        <v>-489.86487791182844</v>
      </c>
      <c r="J2384" s="76">
        <f ca="1">SUMIF('Production '!$C$4:$AI$4407,'Tracking Sheet'!B2384,'Production '!$AG$4:$AG$4407)</f>
        <v>0</v>
      </c>
    </row>
    <row r="2385" spans="2:10" x14ac:dyDescent="0.3">
      <c r="B2385" s="277">
        <f>'Production '!C2388</f>
        <v>0</v>
      </c>
      <c r="C2385" s="76" t="e">
        <f ca="1">SUMIF('Production '!$C$4:$AI$4407,'Tracking Sheet'!B2385,'Production '!$M$4:$M$4407)</f>
        <v>#DIV/0!</v>
      </c>
      <c r="D2385" s="76" t="e">
        <f ca="1">SUMIF('Production '!$C$4:$AI$4407,'Tracking Sheet'!B2385,'Production '!$Q$4:$Q$4407)</f>
        <v>#DIV/0!</v>
      </c>
      <c r="E2385" s="76">
        <f ca="1">SUMIF('Production '!$C$4:$AI$4407,'Tracking Sheet'!B2385,'Production '!$S$4:$S$4407)</f>
        <v>-1268218.9828305368</v>
      </c>
      <c r="F2385" s="76">
        <f ca="1">SUMIF('Production '!$C$4:$AI$4407,'Tracking Sheet'!B2385,'Production '!$U$4:$U$4407)</f>
        <v>-10620.435600016917</v>
      </c>
      <c r="G2385" s="76" t="e">
        <f ca="1">SUMIF('Production '!$C$4:$AI$4407,'Tracking Sheet'!B2385,'Production '!$W$4:$W$4407)</f>
        <v>#DIV/0!</v>
      </c>
      <c r="H2385" s="76">
        <f ca="1">SUMIF('Production '!$C$4:$AI$4407,'Tracking Sheet'!B2385,'Production '!$F$4:$F$4407)</f>
        <v>3230621.3283604058</v>
      </c>
      <c r="I2385" s="76">
        <f ca="1">SUMIF('Production '!$C$4:$AI$4407,'Tracking Sheet'!B2385,'Production '!$V$4:$V$4407)</f>
        <v>-489.86487791182844</v>
      </c>
      <c r="J2385" s="76">
        <f ca="1">SUMIF('Production '!$C$4:$AI$4407,'Tracking Sheet'!B2385,'Production '!$AG$4:$AG$4407)</f>
        <v>0</v>
      </c>
    </row>
    <row r="2386" spans="2:10" x14ac:dyDescent="0.3">
      <c r="B2386" s="277">
        <f>'Production '!C2389</f>
        <v>0</v>
      </c>
      <c r="C2386" s="76" t="e">
        <f ca="1">SUMIF('Production '!$C$4:$AI$4407,'Tracking Sheet'!B2386,'Production '!$M$4:$M$4407)</f>
        <v>#DIV/0!</v>
      </c>
      <c r="D2386" s="76" t="e">
        <f ca="1">SUMIF('Production '!$C$4:$AI$4407,'Tracking Sheet'!B2386,'Production '!$Q$4:$Q$4407)</f>
        <v>#DIV/0!</v>
      </c>
      <c r="E2386" s="76">
        <f ca="1">SUMIF('Production '!$C$4:$AI$4407,'Tracking Sheet'!B2386,'Production '!$S$4:$S$4407)</f>
        <v>-1268218.9828305368</v>
      </c>
      <c r="F2386" s="76">
        <f ca="1">SUMIF('Production '!$C$4:$AI$4407,'Tracking Sheet'!B2386,'Production '!$U$4:$U$4407)</f>
        <v>-10620.435600016917</v>
      </c>
      <c r="G2386" s="76" t="e">
        <f ca="1">SUMIF('Production '!$C$4:$AI$4407,'Tracking Sheet'!B2386,'Production '!$W$4:$W$4407)</f>
        <v>#DIV/0!</v>
      </c>
      <c r="H2386" s="76">
        <f ca="1">SUMIF('Production '!$C$4:$AI$4407,'Tracking Sheet'!B2386,'Production '!$F$4:$F$4407)</f>
        <v>3230621.3283604058</v>
      </c>
      <c r="I2386" s="76">
        <f ca="1">SUMIF('Production '!$C$4:$AI$4407,'Tracking Sheet'!B2386,'Production '!$V$4:$V$4407)</f>
        <v>-489.86487791182844</v>
      </c>
      <c r="J2386" s="76">
        <f ca="1">SUMIF('Production '!$C$4:$AI$4407,'Tracking Sheet'!B2386,'Production '!$AG$4:$AG$4407)</f>
        <v>0</v>
      </c>
    </row>
    <row r="2387" spans="2:10" x14ac:dyDescent="0.3">
      <c r="B2387" s="277">
        <f>'Production '!C2390</f>
        <v>0</v>
      </c>
      <c r="C2387" s="76" t="e">
        <f ca="1">SUMIF('Production '!$C$4:$AI$4407,'Tracking Sheet'!B2387,'Production '!$M$4:$M$4407)</f>
        <v>#DIV/0!</v>
      </c>
      <c r="D2387" s="76" t="e">
        <f ca="1">SUMIF('Production '!$C$4:$AI$4407,'Tracking Sheet'!B2387,'Production '!$Q$4:$Q$4407)</f>
        <v>#DIV/0!</v>
      </c>
      <c r="E2387" s="76">
        <f ca="1">SUMIF('Production '!$C$4:$AI$4407,'Tracking Sheet'!B2387,'Production '!$S$4:$S$4407)</f>
        <v>-1268218.9828305368</v>
      </c>
      <c r="F2387" s="76">
        <f ca="1">SUMIF('Production '!$C$4:$AI$4407,'Tracking Sheet'!B2387,'Production '!$U$4:$U$4407)</f>
        <v>-10620.435600016917</v>
      </c>
      <c r="G2387" s="76" t="e">
        <f ca="1">SUMIF('Production '!$C$4:$AI$4407,'Tracking Sheet'!B2387,'Production '!$W$4:$W$4407)</f>
        <v>#DIV/0!</v>
      </c>
      <c r="H2387" s="76">
        <f ca="1">SUMIF('Production '!$C$4:$AI$4407,'Tracking Sheet'!B2387,'Production '!$F$4:$F$4407)</f>
        <v>3230621.3283604058</v>
      </c>
      <c r="I2387" s="76">
        <f ca="1">SUMIF('Production '!$C$4:$AI$4407,'Tracking Sheet'!B2387,'Production '!$V$4:$V$4407)</f>
        <v>-489.86487791182844</v>
      </c>
      <c r="J2387" s="76">
        <f ca="1">SUMIF('Production '!$C$4:$AI$4407,'Tracking Sheet'!B2387,'Production '!$AG$4:$AG$4407)</f>
        <v>0</v>
      </c>
    </row>
    <row r="2388" spans="2:10" x14ac:dyDescent="0.3">
      <c r="B2388" s="277">
        <f>'Production '!C2391</f>
        <v>0</v>
      </c>
      <c r="C2388" s="76" t="e">
        <f ca="1">SUMIF('Production '!$C$4:$AI$4407,'Tracking Sheet'!B2388,'Production '!$M$4:$M$4407)</f>
        <v>#DIV/0!</v>
      </c>
      <c r="D2388" s="76" t="e">
        <f ca="1">SUMIF('Production '!$C$4:$AI$4407,'Tracking Sheet'!B2388,'Production '!$Q$4:$Q$4407)</f>
        <v>#DIV/0!</v>
      </c>
      <c r="E2388" s="76">
        <f ca="1">SUMIF('Production '!$C$4:$AI$4407,'Tracking Sheet'!B2388,'Production '!$S$4:$S$4407)</f>
        <v>-1268218.9828305368</v>
      </c>
      <c r="F2388" s="76">
        <f ca="1">SUMIF('Production '!$C$4:$AI$4407,'Tracking Sheet'!B2388,'Production '!$U$4:$U$4407)</f>
        <v>-10620.435600016917</v>
      </c>
      <c r="G2388" s="76" t="e">
        <f ca="1">SUMIF('Production '!$C$4:$AI$4407,'Tracking Sheet'!B2388,'Production '!$W$4:$W$4407)</f>
        <v>#DIV/0!</v>
      </c>
      <c r="H2388" s="76">
        <f ca="1">SUMIF('Production '!$C$4:$AI$4407,'Tracking Sheet'!B2388,'Production '!$F$4:$F$4407)</f>
        <v>3230621.3283604058</v>
      </c>
      <c r="I2388" s="76">
        <f ca="1">SUMIF('Production '!$C$4:$AI$4407,'Tracking Sheet'!B2388,'Production '!$V$4:$V$4407)</f>
        <v>-489.86487791182844</v>
      </c>
      <c r="J2388" s="76">
        <f ca="1">SUMIF('Production '!$C$4:$AI$4407,'Tracking Sheet'!B2388,'Production '!$AG$4:$AG$4407)</f>
        <v>0</v>
      </c>
    </row>
    <row r="2389" spans="2:10" x14ac:dyDescent="0.3">
      <c r="B2389" s="277">
        <f>'Production '!C2392</f>
        <v>0</v>
      </c>
      <c r="C2389" s="76" t="e">
        <f ca="1">SUMIF('Production '!$C$4:$AI$4407,'Tracking Sheet'!B2389,'Production '!$M$4:$M$4407)</f>
        <v>#DIV/0!</v>
      </c>
      <c r="D2389" s="76" t="e">
        <f ca="1">SUMIF('Production '!$C$4:$AI$4407,'Tracking Sheet'!B2389,'Production '!$Q$4:$Q$4407)</f>
        <v>#DIV/0!</v>
      </c>
      <c r="E2389" s="76">
        <f ca="1">SUMIF('Production '!$C$4:$AI$4407,'Tracking Sheet'!B2389,'Production '!$S$4:$S$4407)</f>
        <v>-1268218.9828305368</v>
      </c>
      <c r="F2389" s="76">
        <f ca="1">SUMIF('Production '!$C$4:$AI$4407,'Tracking Sheet'!B2389,'Production '!$U$4:$U$4407)</f>
        <v>-10620.435600016917</v>
      </c>
      <c r="G2389" s="76" t="e">
        <f ca="1">SUMIF('Production '!$C$4:$AI$4407,'Tracking Sheet'!B2389,'Production '!$W$4:$W$4407)</f>
        <v>#DIV/0!</v>
      </c>
      <c r="H2389" s="76">
        <f ca="1">SUMIF('Production '!$C$4:$AI$4407,'Tracking Sheet'!B2389,'Production '!$F$4:$F$4407)</f>
        <v>3230621.3283604058</v>
      </c>
      <c r="I2389" s="76">
        <f ca="1">SUMIF('Production '!$C$4:$AI$4407,'Tracking Sheet'!B2389,'Production '!$V$4:$V$4407)</f>
        <v>-489.86487791182844</v>
      </c>
      <c r="J2389" s="76">
        <f ca="1">SUMIF('Production '!$C$4:$AI$4407,'Tracking Sheet'!B2389,'Production '!$AG$4:$AG$4407)</f>
        <v>0</v>
      </c>
    </row>
    <row r="2390" spans="2:10" x14ac:dyDescent="0.3">
      <c r="B2390" s="277">
        <f>'Production '!C2393</f>
        <v>0</v>
      </c>
      <c r="C2390" s="76" t="e">
        <f ca="1">SUMIF('Production '!$C$4:$AI$4407,'Tracking Sheet'!B2390,'Production '!$M$4:$M$4407)</f>
        <v>#DIV/0!</v>
      </c>
      <c r="D2390" s="76" t="e">
        <f ca="1">SUMIF('Production '!$C$4:$AI$4407,'Tracking Sheet'!B2390,'Production '!$Q$4:$Q$4407)</f>
        <v>#DIV/0!</v>
      </c>
      <c r="E2390" s="76">
        <f ca="1">SUMIF('Production '!$C$4:$AI$4407,'Tracking Sheet'!B2390,'Production '!$S$4:$S$4407)</f>
        <v>-1268218.9828305368</v>
      </c>
      <c r="F2390" s="76">
        <f ca="1">SUMIF('Production '!$C$4:$AI$4407,'Tracking Sheet'!B2390,'Production '!$U$4:$U$4407)</f>
        <v>-10620.435600016917</v>
      </c>
      <c r="G2390" s="76" t="e">
        <f ca="1">SUMIF('Production '!$C$4:$AI$4407,'Tracking Sheet'!B2390,'Production '!$W$4:$W$4407)</f>
        <v>#DIV/0!</v>
      </c>
      <c r="H2390" s="76">
        <f ca="1">SUMIF('Production '!$C$4:$AI$4407,'Tracking Sheet'!B2390,'Production '!$F$4:$F$4407)</f>
        <v>3230621.3283604058</v>
      </c>
      <c r="I2390" s="76">
        <f ca="1">SUMIF('Production '!$C$4:$AI$4407,'Tracking Sheet'!B2390,'Production '!$V$4:$V$4407)</f>
        <v>-489.86487791182844</v>
      </c>
      <c r="J2390" s="76">
        <f ca="1">SUMIF('Production '!$C$4:$AI$4407,'Tracking Sheet'!B2390,'Production '!$AG$4:$AG$4407)</f>
        <v>0</v>
      </c>
    </row>
    <row r="2391" spans="2:10" x14ac:dyDescent="0.3">
      <c r="B2391" s="277">
        <f>'Production '!C2394</f>
        <v>0</v>
      </c>
      <c r="C2391" s="76" t="e">
        <f ca="1">SUMIF('Production '!$C$4:$AI$4407,'Tracking Sheet'!B2391,'Production '!$M$4:$M$4407)</f>
        <v>#DIV/0!</v>
      </c>
      <c r="D2391" s="76" t="e">
        <f ca="1">SUMIF('Production '!$C$4:$AI$4407,'Tracking Sheet'!B2391,'Production '!$Q$4:$Q$4407)</f>
        <v>#DIV/0!</v>
      </c>
      <c r="E2391" s="76">
        <f ca="1">SUMIF('Production '!$C$4:$AI$4407,'Tracking Sheet'!B2391,'Production '!$S$4:$S$4407)</f>
        <v>-1268218.9828305368</v>
      </c>
      <c r="F2391" s="76">
        <f ca="1">SUMIF('Production '!$C$4:$AI$4407,'Tracking Sheet'!B2391,'Production '!$U$4:$U$4407)</f>
        <v>-10620.435600016917</v>
      </c>
      <c r="G2391" s="76" t="e">
        <f ca="1">SUMIF('Production '!$C$4:$AI$4407,'Tracking Sheet'!B2391,'Production '!$W$4:$W$4407)</f>
        <v>#DIV/0!</v>
      </c>
      <c r="H2391" s="76">
        <f ca="1">SUMIF('Production '!$C$4:$AI$4407,'Tracking Sheet'!B2391,'Production '!$F$4:$F$4407)</f>
        <v>3230621.3283604058</v>
      </c>
      <c r="I2391" s="76">
        <f ca="1">SUMIF('Production '!$C$4:$AI$4407,'Tracking Sheet'!B2391,'Production '!$V$4:$V$4407)</f>
        <v>-489.86487791182844</v>
      </c>
      <c r="J2391" s="76">
        <f ca="1">SUMIF('Production '!$C$4:$AI$4407,'Tracking Sheet'!B2391,'Production '!$AG$4:$AG$4407)</f>
        <v>0</v>
      </c>
    </row>
    <row r="2392" spans="2:10" x14ac:dyDescent="0.3">
      <c r="B2392" s="277">
        <f>'Production '!C2395</f>
        <v>0</v>
      </c>
      <c r="C2392" s="76" t="e">
        <f ca="1">SUMIF('Production '!$C$4:$AI$4407,'Tracking Sheet'!B2392,'Production '!$M$4:$M$4407)</f>
        <v>#DIV/0!</v>
      </c>
      <c r="D2392" s="76" t="e">
        <f ca="1">SUMIF('Production '!$C$4:$AI$4407,'Tracking Sheet'!B2392,'Production '!$Q$4:$Q$4407)</f>
        <v>#DIV/0!</v>
      </c>
      <c r="E2392" s="76">
        <f ca="1">SUMIF('Production '!$C$4:$AI$4407,'Tracking Sheet'!B2392,'Production '!$S$4:$S$4407)</f>
        <v>-1268218.9828305368</v>
      </c>
      <c r="F2392" s="76">
        <f ca="1">SUMIF('Production '!$C$4:$AI$4407,'Tracking Sheet'!B2392,'Production '!$U$4:$U$4407)</f>
        <v>-10620.435600016917</v>
      </c>
      <c r="G2392" s="76" t="e">
        <f ca="1">SUMIF('Production '!$C$4:$AI$4407,'Tracking Sheet'!B2392,'Production '!$W$4:$W$4407)</f>
        <v>#DIV/0!</v>
      </c>
      <c r="H2392" s="76">
        <f ca="1">SUMIF('Production '!$C$4:$AI$4407,'Tracking Sheet'!B2392,'Production '!$F$4:$F$4407)</f>
        <v>3230621.3283604058</v>
      </c>
      <c r="I2392" s="76">
        <f ca="1">SUMIF('Production '!$C$4:$AI$4407,'Tracking Sheet'!B2392,'Production '!$V$4:$V$4407)</f>
        <v>-489.86487791182844</v>
      </c>
      <c r="J2392" s="76">
        <f ca="1">SUMIF('Production '!$C$4:$AI$4407,'Tracking Sheet'!B2392,'Production '!$AG$4:$AG$4407)</f>
        <v>0</v>
      </c>
    </row>
    <row r="2393" spans="2:10" x14ac:dyDescent="0.3">
      <c r="B2393" s="277">
        <f>'Production '!C2396</f>
        <v>0</v>
      </c>
      <c r="C2393" s="76" t="e">
        <f ca="1">SUMIF('Production '!$C$4:$AI$4407,'Tracking Sheet'!B2393,'Production '!$M$4:$M$4407)</f>
        <v>#DIV/0!</v>
      </c>
      <c r="D2393" s="76" t="e">
        <f ca="1">SUMIF('Production '!$C$4:$AI$4407,'Tracking Sheet'!B2393,'Production '!$Q$4:$Q$4407)</f>
        <v>#DIV/0!</v>
      </c>
      <c r="E2393" s="76">
        <f ca="1">SUMIF('Production '!$C$4:$AI$4407,'Tracking Sheet'!B2393,'Production '!$S$4:$S$4407)</f>
        <v>-1268218.9828305368</v>
      </c>
      <c r="F2393" s="76">
        <f ca="1">SUMIF('Production '!$C$4:$AI$4407,'Tracking Sheet'!B2393,'Production '!$U$4:$U$4407)</f>
        <v>-10620.435600016917</v>
      </c>
      <c r="G2393" s="76" t="e">
        <f ca="1">SUMIF('Production '!$C$4:$AI$4407,'Tracking Sheet'!B2393,'Production '!$W$4:$W$4407)</f>
        <v>#DIV/0!</v>
      </c>
      <c r="H2393" s="76">
        <f ca="1">SUMIF('Production '!$C$4:$AI$4407,'Tracking Sheet'!B2393,'Production '!$F$4:$F$4407)</f>
        <v>3230621.3283604058</v>
      </c>
      <c r="I2393" s="76">
        <f ca="1">SUMIF('Production '!$C$4:$AI$4407,'Tracking Sheet'!B2393,'Production '!$V$4:$V$4407)</f>
        <v>-489.86487791182844</v>
      </c>
      <c r="J2393" s="76">
        <f ca="1">SUMIF('Production '!$C$4:$AI$4407,'Tracking Sheet'!B2393,'Production '!$AG$4:$AG$4407)</f>
        <v>0</v>
      </c>
    </row>
    <row r="2394" spans="2:10" x14ac:dyDescent="0.3">
      <c r="B2394" s="277">
        <f>'Production '!C2397</f>
        <v>0</v>
      </c>
      <c r="C2394" s="76" t="e">
        <f ca="1">SUMIF('Production '!$C$4:$AI$4407,'Tracking Sheet'!B2394,'Production '!$M$4:$M$4407)</f>
        <v>#DIV/0!</v>
      </c>
      <c r="D2394" s="76" t="e">
        <f ca="1">SUMIF('Production '!$C$4:$AI$4407,'Tracking Sheet'!B2394,'Production '!$Q$4:$Q$4407)</f>
        <v>#DIV/0!</v>
      </c>
      <c r="E2394" s="76">
        <f ca="1">SUMIF('Production '!$C$4:$AI$4407,'Tracking Sheet'!B2394,'Production '!$S$4:$S$4407)</f>
        <v>-1268218.9828305368</v>
      </c>
      <c r="F2394" s="76">
        <f ca="1">SUMIF('Production '!$C$4:$AI$4407,'Tracking Sheet'!B2394,'Production '!$U$4:$U$4407)</f>
        <v>-10620.435600016917</v>
      </c>
      <c r="G2394" s="76" t="e">
        <f ca="1">SUMIF('Production '!$C$4:$AI$4407,'Tracking Sheet'!B2394,'Production '!$W$4:$W$4407)</f>
        <v>#DIV/0!</v>
      </c>
      <c r="H2394" s="76">
        <f ca="1">SUMIF('Production '!$C$4:$AI$4407,'Tracking Sheet'!B2394,'Production '!$F$4:$F$4407)</f>
        <v>3230621.3283604058</v>
      </c>
      <c r="I2394" s="76">
        <f ca="1">SUMIF('Production '!$C$4:$AI$4407,'Tracking Sheet'!B2394,'Production '!$V$4:$V$4407)</f>
        <v>-489.86487791182844</v>
      </c>
      <c r="J2394" s="76">
        <f ca="1">SUMIF('Production '!$C$4:$AI$4407,'Tracking Sheet'!B2394,'Production '!$AG$4:$AG$4407)</f>
        <v>0</v>
      </c>
    </row>
    <row r="2395" spans="2:10" x14ac:dyDescent="0.3">
      <c r="B2395" s="277">
        <f>'Production '!C2398</f>
        <v>0</v>
      </c>
      <c r="C2395" s="76" t="e">
        <f ca="1">SUMIF('Production '!$C$4:$AI$4407,'Tracking Sheet'!B2395,'Production '!$M$4:$M$4407)</f>
        <v>#DIV/0!</v>
      </c>
      <c r="D2395" s="76" t="e">
        <f ca="1">SUMIF('Production '!$C$4:$AI$4407,'Tracking Sheet'!B2395,'Production '!$Q$4:$Q$4407)</f>
        <v>#DIV/0!</v>
      </c>
      <c r="E2395" s="76">
        <f ca="1">SUMIF('Production '!$C$4:$AI$4407,'Tracking Sheet'!B2395,'Production '!$S$4:$S$4407)</f>
        <v>-1268218.9828305368</v>
      </c>
      <c r="F2395" s="76">
        <f ca="1">SUMIF('Production '!$C$4:$AI$4407,'Tracking Sheet'!B2395,'Production '!$U$4:$U$4407)</f>
        <v>-10620.435600016917</v>
      </c>
      <c r="G2395" s="76" t="e">
        <f ca="1">SUMIF('Production '!$C$4:$AI$4407,'Tracking Sheet'!B2395,'Production '!$W$4:$W$4407)</f>
        <v>#DIV/0!</v>
      </c>
      <c r="H2395" s="76">
        <f ca="1">SUMIF('Production '!$C$4:$AI$4407,'Tracking Sheet'!B2395,'Production '!$F$4:$F$4407)</f>
        <v>3230621.3283604058</v>
      </c>
      <c r="I2395" s="76">
        <f ca="1">SUMIF('Production '!$C$4:$AI$4407,'Tracking Sheet'!B2395,'Production '!$V$4:$V$4407)</f>
        <v>-489.86487791182844</v>
      </c>
      <c r="J2395" s="76">
        <f ca="1">SUMIF('Production '!$C$4:$AI$4407,'Tracking Sheet'!B2395,'Production '!$AG$4:$AG$4407)</f>
        <v>0</v>
      </c>
    </row>
    <row r="2396" spans="2:10" x14ac:dyDescent="0.3">
      <c r="B2396" s="277">
        <f>'Production '!C2399</f>
        <v>0</v>
      </c>
      <c r="C2396" s="76" t="e">
        <f ca="1">SUMIF('Production '!$C$4:$AI$4407,'Tracking Sheet'!B2396,'Production '!$M$4:$M$4407)</f>
        <v>#DIV/0!</v>
      </c>
      <c r="D2396" s="76" t="e">
        <f ca="1">SUMIF('Production '!$C$4:$AI$4407,'Tracking Sheet'!B2396,'Production '!$Q$4:$Q$4407)</f>
        <v>#DIV/0!</v>
      </c>
      <c r="E2396" s="76">
        <f ca="1">SUMIF('Production '!$C$4:$AI$4407,'Tracking Sheet'!B2396,'Production '!$S$4:$S$4407)</f>
        <v>-1268218.9828305368</v>
      </c>
      <c r="F2396" s="76">
        <f ca="1">SUMIF('Production '!$C$4:$AI$4407,'Tracking Sheet'!B2396,'Production '!$U$4:$U$4407)</f>
        <v>-10620.435600016917</v>
      </c>
      <c r="G2396" s="76" t="e">
        <f ca="1">SUMIF('Production '!$C$4:$AI$4407,'Tracking Sheet'!B2396,'Production '!$W$4:$W$4407)</f>
        <v>#DIV/0!</v>
      </c>
      <c r="H2396" s="76">
        <f ca="1">SUMIF('Production '!$C$4:$AI$4407,'Tracking Sheet'!B2396,'Production '!$F$4:$F$4407)</f>
        <v>3230621.3283604058</v>
      </c>
      <c r="I2396" s="76">
        <f ca="1">SUMIF('Production '!$C$4:$AI$4407,'Tracking Sheet'!B2396,'Production '!$V$4:$V$4407)</f>
        <v>-489.86487791182844</v>
      </c>
      <c r="J2396" s="76">
        <f ca="1">SUMIF('Production '!$C$4:$AI$4407,'Tracking Sheet'!B2396,'Production '!$AG$4:$AG$4407)</f>
        <v>0</v>
      </c>
    </row>
    <row r="2397" spans="2:10" x14ac:dyDescent="0.3">
      <c r="B2397" s="277">
        <f>'Production '!C2400</f>
        <v>0</v>
      </c>
      <c r="C2397" s="76" t="e">
        <f ca="1">SUMIF('Production '!$C$4:$AI$4407,'Tracking Sheet'!B2397,'Production '!$M$4:$M$4407)</f>
        <v>#DIV/0!</v>
      </c>
      <c r="D2397" s="76" t="e">
        <f ca="1">SUMIF('Production '!$C$4:$AI$4407,'Tracking Sheet'!B2397,'Production '!$Q$4:$Q$4407)</f>
        <v>#DIV/0!</v>
      </c>
      <c r="E2397" s="76">
        <f ca="1">SUMIF('Production '!$C$4:$AI$4407,'Tracking Sheet'!B2397,'Production '!$S$4:$S$4407)</f>
        <v>-1268218.9828305368</v>
      </c>
      <c r="F2397" s="76">
        <f ca="1">SUMIF('Production '!$C$4:$AI$4407,'Tracking Sheet'!B2397,'Production '!$U$4:$U$4407)</f>
        <v>-10620.435600016917</v>
      </c>
      <c r="G2397" s="76" t="e">
        <f ca="1">SUMIF('Production '!$C$4:$AI$4407,'Tracking Sheet'!B2397,'Production '!$W$4:$W$4407)</f>
        <v>#DIV/0!</v>
      </c>
      <c r="H2397" s="76">
        <f ca="1">SUMIF('Production '!$C$4:$AI$4407,'Tracking Sheet'!B2397,'Production '!$F$4:$F$4407)</f>
        <v>3230621.3283604058</v>
      </c>
      <c r="I2397" s="76">
        <f ca="1">SUMIF('Production '!$C$4:$AI$4407,'Tracking Sheet'!B2397,'Production '!$V$4:$V$4407)</f>
        <v>-489.86487791182844</v>
      </c>
      <c r="J2397" s="76">
        <f ca="1">SUMIF('Production '!$C$4:$AI$4407,'Tracking Sheet'!B2397,'Production '!$AG$4:$AG$4407)</f>
        <v>0</v>
      </c>
    </row>
    <row r="2398" spans="2:10" x14ac:dyDescent="0.3">
      <c r="B2398" s="277">
        <f>'Production '!C2401</f>
        <v>0</v>
      </c>
      <c r="C2398" s="76" t="e">
        <f ca="1">SUMIF('Production '!$C$4:$AI$4407,'Tracking Sheet'!B2398,'Production '!$M$4:$M$4407)</f>
        <v>#DIV/0!</v>
      </c>
      <c r="D2398" s="76" t="e">
        <f ca="1">SUMIF('Production '!$C$4:$AI$4407,'Tracking Sheet'!B2398,'Production '!$Q$4:$Q$4407)</f>
        <v>#DIV/0!</v>
      </c>
      <c r="E2398" s="76">
        <f ca="1">SUMIF('Production '!$C$4:$AI$4407,'Tracking Sheet'!B2398,'Production '!$S$4:$S$4407)</f>
        <v>-1268218.9828305368</v>
      </c>
      <c r="F2398" s="76">
        <f ca="1">SUMIF('Production '!$C$4:$AI$4407,'Tracking Sheet'!B2398,'Production '!$U$4:$U$4407)</f>
        <v>-10620.435600016917</v>
      </c>
      <c r="G2398" s="76" t="e">
        <f ca="1">SUMIF('Production '!$C$4:$AI$4407,'Tracking Sheet'!B2398,'Production '!$W$4:$W$4407)</f>
        <v>#DIV/0!</v>
      </c>
      <c r="H2398" s="76">
        <f ca="1">SUMIF('Production '!$C$4:$AI$4407,'Tracking Sheet'!B2398,'Production '!$F$4:$F$4407)</f>
        <v>3230621.3283604058</v>
      </c>
      <c r="I2398" s="76">
        <f ca="1">SUMIF('Production '!$C$4:$AI$4407,'Tracking Sheet'!B2398,'Production '!$V$4:$V$4407)</f>
        <v>-489.86487791182844</v>
      </c>
      <c r="J2398" s="76">
        <f ca="1">SUMIF('Production '!$C$4:$AI$4407,'Tracking Sheet'!B2398,'Production '!$AG$4:$AG$4407)</f>
        <v>0</v>
      </c>
    </row>
    <row r="2399" spans="2:10" x14ac:dyDescent="0.3">
      <c r="B2399" s="277">
        <f>'Production '!C2402</f>
        <v>0</v>
      </c>
      <c r="C2399" s="76" t="e">
        <f ca="1">SUMIF('Production '!$C$4:$AI$4407,'Tracking Sheet'!B2399,'Production '!$M$4:$M$4407)</f>
        <v>#DIV/0!</v>
      </c>
      <c r="D2399" s="76" t="e">
        <f ca="1">SUMIF('Production '!$C$4:$AI$4407,'Tracking Sheet'!B2399,'Production '!$Q$4:$Q$4407)</f>
        <v>#DIV/0!</v>
      </c>
      <c r="E2399" s="76">
        <f ca="1">SUMIF('Production '!$C$4:$AI$4407,'Tracking Sheet'!B2399,'Production '!$S$4:$S$4407)</f>
        <v>-1268218.9828305368</v>
      </c>
      <c r="F2399" s="76">
        <f ca="1">SUMIF('Production '!$C$4:$AI$4407,'Tracking Sheet'!B2399,'Production '!$U$4:$U$4407)</f>
        <v>-10620.435600016917</v>
      </c>
      <c r="G2399" s="76" t="e">
        <f ca="1">SUMIF('Production '!$C$4:$AI$4407,'Tracking Sheet'!B2399,'Production '!$W$4:$W$4407)</f>
        <v>#DIV/0!</v>
      </c>
      <c r="H2399" s="76">
        <f ca="1">SUMIF('Production '!$C$4:$AI$4407,'Tracking Sheet'!B2399,'Production '!$F$4:$F$4407)</f>
        <v>3230621.3283604058</v>
      </c>
      <c r="I2399" s="76">
        <f ca="1">SUMIF('Production '!$C$4:$AI$4407,'Tracking Sheet'!B2399,'Production '!$V$4:$V$4407)</f>
        <v>-489.86487791182844</v>
      </c>
      <c r="J2399" s="76">
        <f ca="1">SUMIF('Production '!$C$4:$AI$4407,'Tracking Sheet'!B2399,'Production '!$AG$4:$AG$4407)</f>
        <v>0</v>
      </c>
    </row>
    <row r="2400" spans="2:10" x14ac:dyDescent="0.3">
      <c r="B2400" s="277">
        <f>'Production '!C2403</f>
        <v>0</v>
      </c>
      <c r="C2400" s="76" t="e">
        <f ca="1">SUMIF('Production '!$C$4:$AI$4407,'Tracking Sheet'!B2400,'Production '!$M$4:$M$4407)</f>
        <v>#DIV/0!</v>
      </c>
      <c r="D2400" s="76" t="e">
        <f ca="1">SUMIF('Production '!$C$4:$AI$4407,'Tracking Sheet'!B2400,'Production '!$Q$4:$Q$4407)</f>
        <v>#DIV/0!</v>
      </c>
      <c r="E2400" s="76">
        <f ca="1">SUMIF('Production '!$C$4:$AI$4407,'Tracking Sheet'!B2400,'Production '!$S$4:$S$4407)</f>
        <v>-1268218.9828305368</v>
      </c>
      <c r="F2400" s="76">
        <f ca="1">SUMIF('Production '!$C$4:$AI$4407,'Tracking Sheet'!B2400,'Production '!$U$4:$U$4407)</f>
        <v>-10620.435600016917</v>
      </c>
      <c r="G2400" s="76" t="e">
        <f ca="1">SUMIF('Production '!$C$4:$AI$4407,'Tracking Sheet'!B2400,'Production '!$W$4:$W$4407)</f>
        <v>#DIV/0!</v>
      </c>
      <c r="H2400" s="76">
        <f ca="1">SUMIF('Production '!$C$4:$AI$4407,'Tracking Sheet'!B2400,'Production '!$F$4:$F$4407)</f>
        <v>3230621.3283604058</v>
      </c>
      <c r="I2400" s="76">
        <f ca="1">SUMIF('Production '!$C$4:$AI$4407,'Tracking Sheet'!B2400,'Production '!$V$4:$V$4407)</f>
        <v>-489.86487791182844</v>
      </c>
      <c r="J2400" s="76">
        <f ca="1">SUMIF('Production '!$C$4:$AI$4407,'Tracking Sheet'!B2400,'Production '!$AG$4:$AG$4407)</f>
        <v>0</v>
      </c>
    </row>
    <row r="2401" spans="2:10" x14ac:dyDescent="0.3">
      <c r="B2401" s="277">
        <f>'Production '!C2404</f>
        <v>0</v>
      </c>
      <c r="C2401" s="76" t="e">
        <f ca="1">SUMIF('Production '!$C$4:$AI$4407,'Tracking Sheet'!B2401,'Production '!$M$4:$M$4407)</f>
        <v>#DIV/0!</v>
      </c>
      <c r="D2401" s="76" t="e">
        <f ca="1">SUMIF('Production '!$C$4:$AI$4407,'Tracking Sheet'!B2401,'Production '!$Q$4:$Q$4407)</f>
        <v>#DIV/0!</v>
      </c>
      <c r="E2401" s="76">
        <f ca="1">SUMIF('Production '!$C$4:$AI$4407,'Tracking Sheet'!B2401,'Production '!$S$4:$S$4407)</f>
        <v>-1268218.9828305368</v>
      </c>
      <c r="F2401" s="76">
        <f ca="1">SUMIF('Production '!$C$4:$AI$4407,'Tracking Sheet'!B2401,'Production '!$U$4:$U$4407)</f>
        <v>-10620.435600016917</v>
      </c>
      <c r="G2401" s="76" t="e">
        <f ca="1">SUMIF('Production '!$C$4:$AI$4407,'Tracking Sheet'!B2401,'Production '!$W$4:$W$4407)</f>
        <v>#DIV/0!</v>
      </c>
      <c r="H2401" s="76">
        <f ca="1">SUMIF('Production '!$C$4:$AI$4407,'Tracking Sheet'!B2401,'Production '!$F$4:$F$4407)</f>
        <v>3230621.3283604058</v>
      </c>
      <c r="I2401" s="76">
        <f ca="1">SUMIF('Production '!$C$4:$AI$4407,'Tracking Sheet'!B2401,'Production '!$V$4:$V$4407)</f>
        <v>-489.86487791182844</v>
      </c>
      <c r="J2401" s="76">
        <f ca="1">SUMIF('Production '!$C$4:$AI$4407,'Tracking Sheet'!B2401,'Production '!$AG$4:$AG$4407)</f>
        <v>0</v>
      </c>
    </row>
    <row r="2402" spans="2:10" x14ac:dyDescent="0.3">
      <c r="B2402" s="277">
        <f>'Production '!C2405</f>
        <v>0</v>
      </c>
      <c r="C2402" s="76" t="e">
        <f ca="1">SUMIF('Production '!$C$4:$AI$4407,'Tracking Sheet'!B2402,'Production '!$M$4:$M$4407)</f>
        <v>#DIV/0!</v>
      </c>
      <c r="D2402" s="76" t="e">
        <f ca="1">SUMIF('Production '!$C$4:$AI$4407,'Tracking Sheet'!B2402,'Production '!$Q$4:$Q$4407)</f>
        <v>#DIV/0!</v>
      </c>
      <c r="E2402" s="76">
        <f ca="1">SUMIF('Production '!$C$4:$AI$4407,'Tracking Sheet'!B2402,'Production '!$S$4:$S$4407)</f>
        <v>-1268218.9828305368</v>
      </c>
      <c r="F2402" s="76">
        <f ca="1">SUMIF('Production '!$C$4:$AI$4407,'Tracking Sheet'!B2402,'Production '!$U$4:$U$4407)</f>
        <v>-10620.435600016917</v>
      </c>
      <c r="G2402" s="76" t="e">
        <f ca="1">SUMIF('Production '!$C$4:$AI$4407,'Tracking Sheet'!B2402,'Production '!$W$4:$W$4407)</f>
        <v>#DIV/0!</v>
      </c>
      <c r="H2402" s="76">
        <f ca="1">SUMIF('Production '!$C$4:$AI$4407,'Tracking Sheet'!B2402,'Production '!$F$4:$F$4407)</f>
        <v>3230621.3283604058</v>
      </c>
      <c r="I2402" s="76">
        <f ca="1">SUMIF('Production '!$C$4:$AI$4407,'Tracking Sheet'!B2402,'Production '!$V$4:$V$4407)</f>
        <v>-489.86487791182844</v>
      </c>
      <c r="J2402" s="76">
        <f ca="1">SUMIF('Production '!$C$4:$AI$4407,'Tracking Sheet'!B2402,'Production '!$AG$4:$AG$4407)</f>
        <v>0</v>
      </c>
    </row>
    <row r="2403" spans="2:10" x14ac:dyDescent="0.3">
      <c r="B2403" s="277">
        <f>'Production '!C2406</f>
        <v>0</v>
      </c>
      <c r="C2403" s="76" t="e">
        <f ca="1">SUMIF('Production '!$C$4:$AI$4407,'Tracking Sheet'!B2403,'Production '!$M$4:$M$4407)</f>
        <v>#DIV/0!</v>
      </c>
      <c r="D2403" s="76" t="e">
        <f ca="1">SUMIF('Production '!$C$4:$AI$4407,'Tracking Sheet'!B2403,'Production '!$Q$4:$Q$4407)</f>
        <v>#DIV/0!</v>
      </c>
      <c r="E2403" s="76">
        <f ca="1">SUMIF('Production '!$C$4:$AI$4407,'Tracking Sheet'!B2403,'Production '!$S$4:$S$4407)</f>
        <v>-1268218.9828305368</v>
      </c>
      <c r="F2403" s="76">
        <f ca="1">SUMIF('Production '!$C$4:$AI$4407,'Tracking Sheet'!B2403,'Production '!$U$4:$U$4407)</f>
        <v>-10620.435600016917</v>
      </c>
      <c r="G2403" s="76" t="e">
        <f ca="1">SUMIF('Production '!$C$4:$AI$4407,'Tracking Sheet'!B2403,'Production '!$W$4:$W$4407)</f>
        <v>#DIV/0!</v>
      </c>
      <c r="H2403" s="76">
        <f ca="1">SUMIF('Production '!$C$4:$AI$4407,'Tracking Sheet'!B2403,'Production '!$F$4:$F$4407)</f>
        <v>3230621.3283604058</v>
      </c>
      <c r="I2403" s="76">
        <f ca="1">SUMIF('Production '!$C$4:$AI$4407,'Tracking Sheet'!B2403,'Production '!$V$4:$V$4407)</f>
        <v>-489.86487791182844</v>
      </c>
      <c r="J2403" s="76">
        <f ca="1">SUMIF('Production '!$C$4:$AI$4407,'Tracking Sheet'!B2403,'Production '!$AG$4:$AG$4407)</f>
        <v>0</v>
      </c>
    </row>
    <row r="2404" spans="2:10" x14ac:dyDescent="0.3">
      <c r="B2404" s="277">
        <f>'Production '!C2407</f>
        <v>0</v>
      </c>
      <c r="C2404" s="76" t="e">
        <f ca="1">SUMIF('Production '!$C$4:$AI$4407,'Tracking Sheet'!B2404,'Production '!$M$4:$M$4407)</f>
        <v>#DIV/0!</v>
      </c>
      <c r="D2404" s="76" t="e">
        <f ca="1">SUMIF('Production '!$C$4:$AI$4407,'Tracking Sheet'!B2404,'Production '!$Q$4:$Q$4407)</f>
        <v>#DIV/0!</v>
      </c>
      <c r="E2404" s="76">
        <f ca="1">SUMIF('Production '!$C$4:$AI$4407,'Tracking Sheet'!B2404,'Production '!$S$4:$S$4407)</f>
        <v>-1268218.9828305368</v>
      </c>
      <c r="F2404" s="76">
        <f ca="1">SUMIF('Production '!$C$4:$AI$4407,'Tracking Sheet'!B2404,'Production '!$U$4:$U$4407)</f>
        <v>-10620.435600016917</v>
      </c>
      <c r="G2404" s="76" t="e">
        <f ca="1">SUMIF('Production '!$C$4:$AI$4407,'Tracking Sheet'!B2404,'Production '!$W$4:$W$4407)</f>
        <v>#DIV/0!</v>
      </c>
      <c r="H2404" s="76">
        <f ca="1">SUMIF('Production '!$C$4:$AI$4407,'Tracking Sheet'!B2404,'Production '!$F$4:$F$4407)</f>
        <v>3230621.3283604058</v>
      </c>
      <c r="I2404" s="76">
        <f ca="1">SUMIF('Production '!$C$4:$AI$4407,'Tracking Sheet'!B2404,'Production '!$V$4:$V$4407)</f>
        <v>-489.86487791182844</v>
      </c>
      <c r="J2404" s="76">
        <f ca="1">SUMIF('Production '!$C$4:$AI$4407,'Tracking Sheet'!B2404,'Production '!$AG$4:$AG$4407)</f>
        <v>0</v>
      </c>
    </row>
    <row r="2405" spans="2:10" x14ac:dyDescent="0.3">
      <c r="B2405" s="277">
        <f>'Production '!C2408</f>
        <v>0</v>
      </c>
      <c r="C2405" s="76" t="e">
        <f ca="1">SUMIF('Production '!$C$4:$AI$4407,'Tracking Sheet'!B2405,'Production '!$M$4:$M$4407)</f>
        <v>#DIV/0!</v>
      </c>
      <c r="D2405" s="76" t="e">
        <f ca="1">SUMIF('Production '!$C$4:$AI$4407,'Tracking Sheet'!B2405,'Production '!$Q$4:$Q$4407)</f>
        <v>#DIV/0!</v>
      </c>
      <c r="E2405" s="76">
        <f ca="1">SUMIF('Production '!$C$4:$AI$4407,'Tracking Sheet'!B2405,'Production '!$S$4:$S$4407)</f>
        <v>-1268218.9828305368</v>
      </c>
      <c r="F2405" s="76">
        <f ca="1">SUMIF('Production '!$C$4:$AI$4407,'Tracking Sheet'!B2405,'Production '!$U$4:$U$4407)</f>
        <v>-10620.435600016917</v>
      </c>
      <c r="G2405" s="76" t="e">
        <f ca="1">SUMIF('Production '!$C$4:$AI$4407,'Tracking Sheet'!B2405,'Production '!$W$4:$W$4407)</f>
        <v>#DIV/0!</v>
      </c>
      <c r="H2405" s="76">
        <f ca="1">SUMIF('Production '!$C$4:$AI$4407,'Tracking Sheet'!B2405,'Production '!$F$4:$F$4407)</f>
        <v>3230621.3283604058</v>
      </c>
      <c r="I2405" s="76">
        <f ca="1">SUMIF('Production '!$C$4:$AI$4407,'Tracking Sheet'!B2405,'Production '!$V$4:$V$4407)</f>
        <v>-489.86487791182844</v>
      </c>
      <c r="J2405" s="76">
        <f ca="1">SUMIF('Production '!$C$4:$AI$4407,'Tracking Sheet'!B2405,'Production '!$AG$4:$AG$4407)</f>
        <v>0</v>
      </c>
    </row>
    <row r="2406" spans="2:10" x14ac:dyDescent="0.3">
      <c r="B2406" s="277">
        <f>'Production '!C2409</f>
        <v>0</v>
      </c>
      <c r="C2406" s="76" t="e">
        <f ca="1">SUMIF('Production '!$C$4:$AI$4407,'Tracking Sheet'!B2406,'Production '!$M$4:$M$4407)</f>
        <v>#DIV/0!</v>
      </c>
      <c r="D2406" s="76" t="e">
        <f ca="1">SUMIF('Production '!$C$4:$AI$4407,'Tracking Sheet'!B2406,'Production '!$Q$4:$Q$4407)</f>
        <v>#DIV/0!</v>
      </c>
      <c r="E2406" s="76">
        <f ca="1">SUMIF('Production '!$C$4:$AI$4407,'Tracking Sheet'!B2406,'Production '!$S$4:$S$4407)</f>
        <v>-1268218.9828305368</v>
      </c>
      <c r="F2406" s="76">
        <f ca="1">SUMIF('Production '!$C$4:$AI$4407,'Tracking Sheet'!B2406,'Production '!$U$4:$U$4407)</f>
        <v>-10620.435600016917</v>
      </c>
      <c r="G2406" s="76" t="e">
        <f ca="1">SUMIF('Production '!$C$4:$AI$4407,'Tracking Sheet'!B2406,'Production '!$W$4:$W$4407)</f>
        <v>#DIV/0!</v>
      </c>
      <c r="H2406" s="76">
        <f ca="1">SUMIF('Production '!$C$4:$AI$4407,'Tracking Sheet'!B2406,'Production '!$F$4:$F$4407)</f>
        <v>3230621.3283604058</v>
      </c>
      <c r="I2406" s="76">
        <f ca="1">SUMIF('Production '!$C$4:$AI$4407,'Tracking Sheet'!B2406,'Production '!$V$4:$V$4407)</f>
        <v>-489.86487791182844</v>
      </c>
      <c r="J2406" s="76">
        <f ca="1">SUMIF('Production '!$C$4:$AI$4407,'Tracking Sheet'!B2406,'Production '!$AG$4:$AG$4407)</f>
        <v>0</v>
      </c>
    </row>
    <row r="2407" spans="2:10" x14ac:dyDescent="0.3">
      <c r="B2407" s="277">
        <f>'Production '!C2410</f>
        <v>0</v>
      </c>
      <c r="C2407" s="76" t="e">
        <f ca="1">SUMIF('Production '!$C$4:$AI$4407,'Tracking Sheet'!B2407,'Production '!$M$4:$M$4407)</f>
        <v>#DIV/0!</v>
      </c>
      <c r="D2407" s="76" t="e">
        <f ca="1">SUMIF('Production '!$C$4:$AI$4407,'Tracking Sheet'!B2407,'Production '!$Q$4:$Q$4407)</f>
        <v>#DIV/0!</v>
      </c>
      <c r="E2407" s="76">
        <f ca="1">SUMIF('Production '!$C$4:$AI$4407,'Tracking Sheet'!B2407,'Production '!$S$4:$S$4407)</f>
        <v>-1268218.9828305368</v>
      </c>
      <c r="F2407" s="76">
        <f ca="1">SUMIF('Production '!$C$4:$AI$4407,'Tracking Sheet'!B2407,'Production '!$U$4:$U$4407)</f>
        <v>-10620.435600016917</v>
      </c>
      <c r="G2407" s="76" t="e">
        <f ca="1">SUMIF('Production '!$C$4:$AI$4407,'Tracking Sheet'!B2407,'Production '!$W$4:$W$4407)</f>
        <v>#DIV/0!</v>
      </c>
      <c r="H2407" s="76">
        <f ca="1">SUMIF('Production '!$C$4:$AI$4407,'Tracking Sheet'!B2407,'Production '!$F$4:$F$4407)</f>
        <v>3230621.3283604058</v>
      </c>
      <c r="I2407" s="76">
        <f ca="1">SUMIF('Production '!$C$4:$AI$4407,'Tracking Sheet'!B2407,'Production '!$V$4:$V$4407)</f>
        <v>-489.86487791182844</v>
      </c>
      <c r="J2407" s="76">
        <f ca="1">SUMIF('Production '!$C$4:$AI$4407,'Tracking Sheet'!B2407,'Production '!$AG$4:$AG$4407)</f>
        <v>0</v>
      </c>
    </row>
    <row r="2408" spans="2:10" x14ac:dyDescent="0.3">
      <c r="B2408" s="277">
        <f>'Production '!C2411</f>
        <v>0</v>
      </c>
      <c r="C2408" s="76" t="e">
        <f ca="1">SUMIF('Production '!$C$4:$AI$4407,'Tracking Sheet'!B2408,'Production '!$M$4:$M$4407)</f>
        <v>#DIV/0!</v>
      </c>
      <c r="D2408" s="76" t="e">
        <f ca="1">SUMIF('Production '!$C$4:$AI$4407,'Tracking Sheet'!B2408,'Production '!$Q$4:$Q$4407)</f>
        <v>#DIV/0!</v>
      </c>
      <c r="E2408" s="76">
        <f ca="1">SUMIF('Production '!$C$4:$AI$4407,'Tracking Sheet'!B2408,'Production '!$S$4:$S$4407)</f>
        <v>-1268218.9828305368</v>
      </c>
      <c r="F2408" s="76">
        <f ca="1">SUMIF('Production '!$C$4:$AI$4407,'Tracking Sheet'!B2408,'Production '!$U$4:$U$4407)</f>
        <v>-10620.435600016917</v>
      </c>
      <c r="G2408" s="76" t="e">
        <f ca="1">SUMIF('Production '!$C$4:$AI$4407,'Tracking Sheet'!B2408,'Production '!$W$4:$W$4407)</f>
        <v>#DIV/0!</v>
      </c>
      <c r="H2408" s="76">
        <f ca="1">SUMIF('Production '!$C$4:$AI$4407,'Tracking Sheet'!B2408,'Production '!$F$4:$F$4407)</f>
        <v>3230621.3283604058</v>
      </c>
      <c r="I2408" s="76">
        <f ca="1">SUMIF('Production '!$C$4:$AI$4407,'Tracking Sheet'!B2408,'Production '!$V$4:$V$4407)</f>
        <v>-489.86487791182844</v>
      </c>
      <c r="J2408" s="76">
        <f ca="1">SUMIF('Production '!$C$4:$AI$4407,'Tracking Sheet'!B2408,'Production '!$AG$4:$AG$4407)</f>
        <v>0</v>
      </c>
    </row>
    <row r="2409" spans="2:10" x14ac:dyDescent="0.3">
      <c r="B2409" s="277">
        <f>'Production '!C2412</f>
        <v>0</v>
      </c>
      <c r="C2409" s="76" t="e">
        <f ca="1">SUMIF('Production '!$C$4:$AI$4407,'Tracking Sheet'!B2409,'Production '!$M$4:$M$4407)</f>
        <v>#DIV/0!</v>
      </c>
      <c r="D2409" s="76" t="e">
        <f ca="1">SUMIF('Production '!$C$4:$AI$4407,'Tracking Sheet'!B2409,'Production '!$Q$4:$Q$4407)</f>
        <v>#DIV/0!</v>
      </c>
      <c r="E2409" s="76">
        <f ca="1">SUMIF('Production '!$C$4:$AI$4407,'Tracking Sheet'!B2409,'Production '!$S$4:$S$4407)</f>
        <v>-1268218.9828305368</v>
      </c>
      <c r="F2409" s="76">
        <f ca="1">SUMIF('Production '!$C$4:$AI$4407,'Tracking Sheet'!B2409,'Production '!$U$4:$U$4407)</f>
        <v>-10620.435600016917</v>
      </c>
      <c r="G2409" s="76" t="e">
        <f ca="1">SUMIF('Production '!$C$4:$AI$4407,'Tracking Sheet'!B2409,'Production '!$W$4:$W$4407)</f>
        <v>#DIV/0!</v>
      </c>
      <c r="H2409" s="76">
        <f ca="1">SUMIF('Production '!$C$4:$AI$4407,'Tracking Sheet'!B2409,'Production '!$F$4:$F$4407)</f>
        <v>3230621.3283604058</v>
      </c>
      <c r="I2409" s="76">
        <f ca="1">SUMIF('Production '!$C$4:$AI$4407,'Tracking Sheet'!B2409,'Production '!$V$4:$V$4407)</f>
        <v>-489.86487791182844</v>
      </c>
      <c r="J2409" s="76">
        <f ca="1">SUMIF('Production '!$C$4:$AI$4407,'Tracking Sheet'!B2409,'Production '!$AG$4:$AG$4407)</f>
        <v>0</v>
      </c>
    </row>
    <row r="2410" spans="2:10" x14ac:dyDescent="0.3">
      <c r="B2410" s="277">
        <f>'Production '!C2413</f>
        <v>0</v>
      </c>
      <c r="C2410" s="76" t="e">
        <f ca="1">SUMIF('Production '!$C$4:$AI$4407,'Tracking Sheet'!B2410,'Production '!$M$4:$M$4407)</f>
        <v>#DIV/0!</v>
      </c>
      <c r="D2410" s="76" t="e">
        <f ca="1">SUMIF('Production '!$C$4:$AI$4407,'Tracking Sheet'!B2410,'Production '!$Q$4:$Q$4407)</f>
        <v>#DIV/0!</v>
      </c>
      <c r="E2410" s="76">
        <f ca="1">SUMIF('Production '!$C$4:$AI$4407,'Tracking Sheet'!B2410,'Production '!$S$4:$S$4407)</f>
        <v>-1268218.9828305368</v>
      </c>
      <c r="F2410" s="76">
        <f ca="1">SUMIF('Production '!$C$4:$AI$4407,'Tracking Sheet'!B2410,'Production '!$U$4:$U$4407)</f>
        <v>-10620.435600016917</v>
      </c>
      <c r="G2410" s="76" t="e">
        <f ca="1">SUMIF('Production '!$C$4:$AI$4407,'Tracking Sheet'!B2410,'Production '!$W$4:$W$4407)</f>
        <v>#DIV/0!</v>
      </c>
      <c r="H2410" s="76">
        <f ca="1">SUMIF('Production '!$C$4:$AI$4407,'Tracking Sheet'!B2410,'Production '!$F$4:$F$4407)</f>
        <v>3230621.3283604058</v>
      </c>
      <c r="I2410" s="76">
        <f ca="1">SUMIF('Production '!$C$4:$AI$4407,'Tracking Sheet'!B2410,'Production '!$V$4:$V$4407)</f>
        <v>-489.86487791182844</v>
      </c>
      <c r="J2410" s="76">
        <f ca="1">SUMIF('Production '!$C$4:$AI$4407,'Tracking Sheet'!B2410,'Production '!$AG$4:$AG$4407)</f>
        <v>0</v>
      </c>
    </row>
    <row r="2411" spans="2:10" x14ac:dyDescent="0.3">
      <c r="B2411" s="277">
        <f>'Production '!C2414</f>
        <v>0</v>
      </c>
      <c r="C2411" s="76" t="e">
        <f ca="1">SUMIF('Production '!$C$4:$AI$4407,'Tracking Sheet'!B2411,'Production '!$M$4:$M$4407)</f>
        <v>#DIV/0!</v>
      </c>
      <c r="D2411" s="76" t="e">
        <f ca="1">SUMIF('Production '!$C$4:$AI$4407,'Tracking Sheet'!B2411,'Production '!$Q$4:$Q$4407)</f>
        <v>#DIV/0!</v>
      </c>
      <c r="E2411" s="76">
        <f ca="1">SUMIF('Production '!$C$4:$AI$4407,'Tracking Sheet'!B2411,'Production '!$S$4:$S$4407)</f>
        <v>-1268218.9828305368</v>
      </c>
      <c r="F2411" s="76">
        <f ca="1">SUMIF('Production '!$C$4:$AI$4407,'Tracking Sheet'!B2411,'Production '!$U$4:$U$4407)</f>
        <v>-10620.435600016917</v>
      </c>
      <c r="G2411" s="76" t="e">
        <f ca="1">SUMIF('Production '!$C$4:$AI$4407,'Tracking Sheet'!B2411,'Production '!$W$4:$W$4407)</f>
        <v>#DIV/0!</v>
      </c>
      <c r="H2411" s="76">
        <f ca="1">SUMIF('Production '!$C$4:$AI$4407,'Tracking Sheet'!B2411,'Production '!$F$4:$F$4407)</f>
        <v>3230621.3283604058</v>
      </c>
      <c r="I2411" s="76">
        <f ca="1">SUMIF('Production '!$C$4:$AI$4407,'Tracking Sheet'!B2411,'Production '!$V$4:$V$4407)</f>
        <v>-489.86487791182844</v>
      </c>
      <c r="J2411" s="76">
        <f ca="1">SUMIF('Production '!$C$4:$AI$4407,'Tracking Sheet'!B2411,'Production '!$AG$4:$AG$4407)</f>
        <v>0</v>
      </c>
    </row>
    <row r="2412" spans="2:10" x14ac:dyDescent="0.3">
      <c r="B2412" s="277">
        <f>'Production '!C2415</f>
        <v>0</v>
      </c>
      <c r="C2412" s="76" t="e">
        <f ca="1">SUMIF('Production '!$C$4:$AI$4407,'Tracking Sheet'!B2412,'Production '!$M$4:$M$4407)</f>
        <v>#DIV/0!</v>
      </c>
      <c r="D2412" s="76" t="e">
        <f ca="1">SUMIF('Production '!$C$4:$AI$4407,'Tracking Sheet'!B2412,'Production '!$Q$4:$Q$4407)</f>
        <v>#DIV/0!</v>
      </c>
      <c r="E2412" s="76">
        <f ca="1">SUMIF('Production '!$C$4:$AI$4407,'Tracking Sheet'!B2412,'Production '!$S$4:$S$4407)</f>
        <v>-1268218.9828305368</v>
      </c>
      <c r="F2412" s="76">
        <f ca="1">SUMIF('Production '!$C$4:$AI$4407,'Tracking Sheet'!B2412,'Production '!$U$4:$U$4407)</f>
        <v>-10620.435600016917</v>
      </c>
      <c r="G2412" s="76" t="e">
        <f ca="1">SUMIF('Production '!$C$4:$AI$4407,'Tracking Sheet'!B2412,'Production '!$W$4:$W$4407)</f>
        <v>#DIV/0!</v>
      </c>
      <c r="H2412" s="76">
        <f ca="1">SUMIF('Production '!$C$4:$AI$4407,'Tracking Sheet'!B2412,'Production '!$F$4:$F$4407)</f>
        <v>3230621.3283604058</v>
      </c>
      <c r="I2412" s="76">
        <f ca="1">SUMIF('Production '!$C$4:$AI$4407,'Tracking Sheet'!B2412,'Production '!$V$4:$V$4407)</f>
        <v>-489.86487791182844</v>
      </c>
      <c r="J2412" s="76">
        <f ca="1">SUMIF('Production '!$C$4:$AI$4407,'Tracking Sheet'!B2412,'Production '!$AG$4:$AG$4407)</f>
        <v>0</v>
      </c>
    </row>
    <row r="2413" spans="2:10" x14ac:dyDescent="0.3">
      <c r="B2413" s="277">
        <f>'Production '!C2416</f>
        <v>0</v>
      </c>
      <c r="C2413" s="76" t="e">
        <f ca="1">SUMIF('Production '!$C$4:$AI$4407,'Tracking Sheet'!B2413,'Production '!$M$4:$M$4407)</f>
        <v>#DIV/0!</v>
      </c>
      <c r="D2413" s="76" t="e">
        <f ca="1">SUMIF('Production '!$C$4:$AI$4407,'Tracking Sheet'!B2413,'Production '!$Q$4:$Q$4407)</f>
        <v>#DIV/0!</v>
      </c>
      <c r="E2413" s="76">
        <f ca="1">SUMIF('Production '!$C$4:$AI$4407,'Tracking Sheet'!B2413,'Production '!$S$4:$S$4407)</f>
        <v>-1268218.9828305368</v>
      </c>
      <c r="F2413" s="76">
        <f ca="1">SUMIF('Production '!$C$4:$AI$4407,'Tracking Sheet'!B2413,'Production '!$U$4:$U$4407)</f>
        <v>-10620.435600016917</v>
      </c>
      <c r="G2413" s="76" t="e">
        <f ca="1">SUMIF('Production '!$C$4:$AI$4407,'Tracking Sheet'!B2413,'Production '!$W$4:$W$4407)</f>
        <v>#DIV/0!</v>
      </c>
      <c r="H2413" s="76">
        <f ca="1">SUMIF('Production '!$C$4:$AI$4407,'Tracking Sheet'!B2413,'Production '!$F$4:$F$4407)</f>
        <v>3230621.3283604058</v>
      </c>
      <c r="I2413" s="76">
        <f ca="1">SUMIF('Production '!$C$4:$AI$4407,'Tracking Sheet'!B2413,'Production '!$V$4:$V$4407)</f>
        <v>-489.86487791182844</v>
      </c>
      <c r="J2413" s="76">
        <f ca="1">SUMIF('Production '!$C$4:$AI$4407,'Tracking Sheet'!B2413,'Production '!$AG$4:$AG$4407)</f>
        <v>0</v>
      </c>
    </row>
    <row r="2414" spans="2:10" x14ac:dyDescent="0.3">
      <c r="B2414" s="277">
        <f>'Production '!C2417</f>
        <v>0</v>
      </c>
      <c r="C2414" s="76" t="e">
        <f ca="1">SUMIF('Production '!$C$4:$AI$4407,'Tracking Sheet'!B2414,'Production '!$M$4:$M$4407)</f>
        <v>#DIV/0!</v>
      </c>
      <c r="D2414" s="76" t="e">
        <f ca="1">SUMIF('Production '!$C$4:$AI$4407,'Tracking Sheet'!B2414,'Production '!$Q$4:$Q$4407)</f>
        <v>#DIV/0!</v>
      </c>
      <c r="E2414" s="76">
        <f ca="1">SUMIF('Production '!$C$4:$AI$4407,'Tracking Sheet'!B2414,'Production '!$S$4:$S$4407)</f>
        <v>-1268218.9828305368</v>
      </c>
      <c r="F2414" s="76">
        <f ca="1">SUMIF('Production '!$C$4:$AI$4407,'Tracking Sheet'!B2414,'Production '!$U$4:$U$4407)</f>
        <v>-10620.435600016917</v>
      </c>
      <c r="G2414" s="76" t="e">
        <f ca="1">SUMIF('Production '!$C$4:$AI$4407,'Tracking Sheet'!B2414,'Production '!$W$4:$W$4407)</f>
        <v>#DIV/0!</v>
      </c>
      <c r="H2414" s="76">
        <f ca="1">SUMIF('Production '!$C$4:$AI$4407,'Tracking Sheet'!B2414,'Production '!$F$4:$F$4407)</f>
        <v>3230621.3283604058</v>
      </c>
      <c r="I2414" s="76">
        <f ca="1">SUMIF('Production '!$C$4:$AI$4407,'Tracking Sheet'!B2414,'Production '!$V$4:$V$4407)</f>
        <v>-489.86487791182844</v>
      </c>
      <c r="J2414" s="76">
        <f ca="1">SUMIF('Production '!$C$4:$AI$4407,'Tracking Sheet'!B2414,'Production '!$AG$4:$AG$4407)</f>
        <v>0</v>
      </c>
    </row>
    <row r="2415" spans="2:10" x14ac:dyDescent="0.3">
      <c r="B2415" s="277">
        <f>'Production '!C2418</f>
        <v>0</v>
      </c>
      <c r="C2415" s="76" t="e">
        <f ca="1">SUMIF('Production '!$C$4:$AI$4407,'Tracking Sheet'!B2415,'Production '!$M$4:$M$4407)</f>
        <v>#DIV/0!</v>
      </c>
      <c r="D2415" s="76" t="e">
        <f ca="1">SUMIF('Production '!$C$4:$AI$4407,'Tracking Sheet'!B2415,'Production '!$Q$4:$Q$4407)</f>
        <v>#DIV/0!</v>
      </c>
      <c r="E2415" s="76">
        <f ca="1">SUMIF('Production '!$C$4:$AI$4407,'Tracking Sheet'!B2415,'Production '!$S$4:$S$4407)</f>
        <v>-1268218.9828305368</v>
      </c>
      <c r="F2415" s="76">
        <f ca="1">SUMIF('Production '!$C$4:$AI$4407,'Tracking Sheet'!B2415,'Production '!$U$4:$U$4407)</f>
        <v>-10620.435600016917</v>
      </c>
      <c r="G2415" s="76" t="e">
        <f ca="1">SUMIF('Production '!$C$4:$AI$4407,'Tracking Sheet'!B2415,'Production '!$W$4:$W$4407)</f>
        <v>#DIV/0!</v>
      </c>
      <c r="H2415" s="76">
        <f ca="1">SUMIF('Production '!$C$4:$AI$4407,'Tracking Sheet'!B2415,'Production '!$F$4:$F$4407)</f>
        <v>3230621.3283604058</v>
      </c>
      <c r="I2415" s="76">
        <f ca="1">SUMIF('Production '!$C$4:$AI$4407,'Tracking Sheet'!B2415,'Production '!$V$4:$V$4407)</f>
        <v>-489.86487791182844</v>
      </c>
      <c r="J2415" s="76">
        <f ca="1">SUMIF('Production '!$C$4:$AI$4407,'Tracking Sheet'!B2415,'Production '!$AG$4:$AG$4407)</f>
        <v>0</v>
      </c>
    </row>
    <row r="2416" spans="2:10" x14ac:dyDescent="0.3">
      <c r="B2416" s="277">
        <f>'Production '!C2419</f>
        <v>0</v>
      </c>
      <c r="C2416" s="76" t="e">
        <f ca="1">SUMIF('Production '!$C$4:$AI$4407,'Tracking Sheet'!B2416,'Production '!$M$4:$M$4407)</f>
        <v>#DIV/0!</v>
      </c>
      <c r="D2416" s="76" t="e">
        <f ca="1">SUMIF('Production '!$C$4:$AI$4407,'Tracking Sheet'!B2416,'Production '!$Q$4:$Q$4407)</f>
        <v>#DIV/0!</v>
      </c>
      <c r="E2416" s="76">
        <f ca="1">SUMIF('Production '!$C$4:$AI$4407,'Tracking Sheet'!B2416,'Production '!$S$4:$S$4407)</f>
        <v>-1268218.9828305368</v>
      </c>
      <c r="F2416" s="76">
        <f ca="1">SUMIF('Production '!$C$4:$AI$4407,'Tracking Sheet'!B2416,'Production '!$U$4:$U$4407)</f>
        <v>-10620.435600016917</v>
      </c>
      <c r="G2416" s="76" t="e">
        <f ca="1">SUMIF('Production '!$C$4:$AI$4407,'Tracking Sheet'!B2416,'Production '!$W$4:$W$4407)</f>
        <v>#DIV/0!</v>
      </c>
      <c r="H2416" s="76">
        <f ca="1">SUMIF('Production '!$C$4:$AI$4407,'Tracking Sheet'!B2416,'Production '!$F$4:$F$4407)</f>
        <v>3230621.3283604058</v>
      </c>
      <c r="I2416" s="76">
        <f ca="1">SUMIF('Production '!$C$4:$AI$4407,'Tracking Sheet'!B2416,'Production '!$V$4:$V$4407)</f>
        <v>-489.86487791182844</v>
      </c>
      <c r="J2416" s="76">
        <f ca="1">SUMIF('Production '!$C$4:$AI$4407,'Tracking Sheet'!B2416,'Production '!$AG$4:$AG$4407)</f>
        <v>0</v>
      </c>
    </row>
    <row r="2417" spans="2:10" x14ac:dyDescent="0.3">
      <c r="B2417" s="277">
        <f>'Production '!C2420</f>
        <v>0</v>
      </c>
      <c r="C2417" s="76" t="e">
        <f ca="1">SUMIF('Production '!$C$4:$AI$4407,'Tracking Sheet'!B2417,'Production '!$M$4:$M$4407)</f>
        <v>#DIV/0!</v>
      </c>
      <c r="D2417" s="76" t="e">
        <f ca="1">SUMIF('Production '!$C$4:$AI$4407,'Tracking Sheet'!B2417,'Production '!$Q$4:$Q$4407)</f>
        <v>#DIV/0!</v>
      </c>
      <c r="E2417" s="76">
        <f ca="1">SUMIF('Production '!$C$4:$AI$4407,'Tracking Sheet'!B2417,'Production '!$S$4:$S$4407)</f>
        <v>-1268218.9828305368</v>
      </c>
      <c r="F2417" s="76">
        <f ca="1">SUMIF('Production '!$C$4:$AI$4407,'Tracking Sheet'!B2417,'Production '!$U$4:$U$4407)</f>
        <v>-10620.435600016917</v>
      </c>
      <c r="G2417" s="76" t="e">
        <f ca="1">SUMIF('Production '!$C$4:$AI$4407,'Tracking Sheet'!B2417,'Production '!$W$4:$W$4407)</f>
        <v>#DIV/0!</v>
      </c>
      <c r="H2417" s="76">
        <f ca="1">SUMIF('Production '!$C$4:$AI$4407,'Tracking Sheet'!B2417,'Production '!$F$4:$F$4407)</f>
        <v>3230621.3283604058</v>
      </c>
      <c r="I2417" s="76">
        <f ca="1">SUMIF('Production '!$C$4:$AI$4407,'Tracking Sheet'!B2417,'Production '!$V$4:$V$4407)</f>
        <v>-489.86487791182844</v>
      </c>
      <c r="J2417" s="76">
        <f ca="1">SUMIF('Production '!$C$4:$AI$4407,'Tracking Sheet'!B2417,'Production '!$AG$4:$AG$4407)</f>
        <v>0</v>
      </c>
    </row>
    <row r="2418" spans="2:10" x14ac:dyDescent="0.3">
      <c r="B2418" s="277">
        <f>'Production '!C2421</f>
        <v>0</v>
      </c>
      <c r="C2418" s="76" t="e">
        <f ca="1">SUMIF('Production '!$C$4:$AI$4407,'Tracking Sheet'!B2418,'Production '!$M$4:$M$4407)</f>
        <v>#DIV/0!</v>
      </c>
      <c r="D2418" s="76" t="e">
        <f ca="1">SUMIF('Production '!$C$4:$AI$4407,'Tracking Sheet'!B2418,'Production '!$Q$4:$Q$4407)</f>
        <v>#DIV/0!</v>
      </c>
      <c r="E2418" s="76">
        <f ca="1">SUMIF('Production '!$C$4:$AI$4407,'Tracking Sheet'!B2418,'Production '!$S$4:$S$4407)</f>
        <v>-1268218.9828305368</v>
      </c>
      <c r="F2418" s="76">
        <f ca="1">SUMIF('Production '!$C$4:$AI$4407,'Tracking Sheet'!B2418,'Production '!$U$4:$U$4407)</f>
        <v>-10620.435600016917</v>
      </c>
      <c r="G2418" s="76" t="e">
        <f ca="1">SUMIF('Production '!$C$4:$AI$4407,'Tracking Sheet'!B2418,'Production '!$W$4:$W$4407)</f>
        <v>#DIV/0!</v>
      </c>
      <c r="H2418" s="76">
        <f ca="1">SUMIF('Production '!$C$4:$AI$4407,'Tracking Sheet'!B2418,'Production '!$F$4:$F$4407)</f>
        <v>3230621.3283604058</v>
      </c>
      <c r="I2418" s="76">
        <f ca="1">SUMIF('Production '!$C$4:$AI$4407,'Tracking Sheet'!B2418,'Production '!$V$4:$V$4407)</f>
        <v>-489.86487791182844</v>
      </c>
      <c r="J2418" s="76">
        <f ca="1">SUMIF('Production '!$C$4:$AI$4407,'Tracking Sheet'!B2418,'Production '!$AG$4:$AG$4407)</f>
        <v>0</v>
      </c>
    </row>
    <row r="2419" spans="2:10" x14ac:dyDescent="0.3">
      <c r="B2419" s="277">
        <f>'Production '!C2422</f>
        <v>0</v>
      </c>
      <c r="C2419" s="76" t="e">
        <f ca="1">SUMIF('Production '!$C$4:$AI$4407,'Tracking Sheet'!B2419,'Production '!$M$4:$M$4407)</f>
        <v>#DIV/0!</v>
      </c>
      <c r="D2419" s="76" t="e">
        <f ca="1">SUMIF('Production '!$C$4:$AI$4407,'Tracking Sheet'!B2419,'Production '!$Q$4:$Q$4407)</f>
        <v>#DIV/0!</v>
      </c>
      <c r="E2419" s="76">
        <f ca="1">SUMIF('Production '!$C$4:$AI$4407,'Tracking Sheet'!B2419,'Production '!$S$4:$S$4407)</f>
        <v>-1268218.9828305368</v>
      </c>
      <c r="F2419" s="76">
        <f ca="1">SUMIF('Production '!$C$4:$AI$4407,'Tracking Sheet'!B2419,'Production '!$U$4:$U$4407)</f>
        <v>-10620.435600016917</v>
      </c>
      <c r="G2419" s="76" t="e">
        <f ca="1">SUMIF('Production '!$C$4:$AI$4407,'Tracking Sheet'!B2419,'Production '!$W$4:$W$4407)</f>
        <v>#DIV/0!</v>
      </c>
      <c r="H2419" s="76">
        <f ca="1">SUMIF('Production '!$C$4:$AI$4407,'Tracking Sheet'!B2419,'Production '!$F$4:$F$4407)</f>
        <v>3230621.3283604058</v>
      </c>
      <c r="I2419" s="76">
        <f ca="1">SUMIF('Production '!$C$4:$AI$4407,'Tracking Sheet'!B2419,'Production '!$V$4:$V$4407)</f>
        <v>-489.86487791182844</v>
      </c>
      <c r="J2419" s="76">
        <f ca="1">SUMIF('Production '!$C$4:$AI$4407,'Tracking Sheet'!B2419,'Production '!$AG$4:$AG$4407)</f>
        <v>0</v>
      </c>
    </row>
    <row r="2420" spans="2:10" x14ac:dyDescent="0.3">
      <c r="B2420" s="277">
        <f>'Production '!C2423</f>
        <v>0</v>
      </c>
      <c r="C2420" s="76" t="e">
        <f ca="1">SUMIF('Production '!$C$4:$AI$4407,'Tracking Sheet'!B2420,'Production '!$M$4:$M$4407)</f>
        <v>#DIV/0!</v>
      </c>
      <c r="D2420" s="76" t="e">
        <f ca="1">SUMIF('Production '!$C$4:$AI$4407,'Tracking Sheet'!B2420,'Production '!$Q$4:$Q$4407)</f>
        <v>#DIV/0!</v>
      </c>
      <c r="E2420" s="76">
        <f ca="1">SUMIF('Production '!$C$4:$AI$4407,'Tracking Sheet'!B2420,'Production '!$S$4:$S$4407)</f>
        <v>-1268218.9828305368</v>
      </c>
      <c r="F2420" s="76">
        <f ca="1">SUMIF('Production '!$C$4:$AI$4407,'Tracking Sheet'!B2420,'Production '!$U$4:$U$4407)</f>
        <v>-10620.435600016917</v>
      </c>
      <c r="G2420" s="76" t="e">
        <f ca="1">SUMIF('Production '!$C$4:$AI$4407,'Tracking Sheet'!B2420,'Production '!$W$4:$W$4407)</f>
        <v>#DIV/0!</v>
      </c>
      <c r="H2420" s="76">
        <f ca="1">SUMIF('Production '!$C$4:$AI$4407,'Tracking Sheet'!B2420,'Production '!$F$4:$F$4407)</f>
        <v>3230621.3283604058</v>
      </c>
      <c r="I2420" s="76">
        <f ca="1">SUMIF('Production '!$C$4:$AI$4407,'Tracking Sheet'!B2420,'Production '!$V$4:$V$4407)</f>
        <v>-489.86487791182844</v>
      </c>
      <c r="J2420" s="76">
        <f ca="1">SUMIF('Production '!$C$4:$AI$4407,'Tracking Sheet'!B2420,'Production '!$AG$4:$AG$4407)</f>
        <v>0</v>
      </c>
    </row>
    <row r="2421" spans="2:10" x14ac:dyDescent="0.3">
      <c r="B2421" s="277">
        <f>'Production '!C2424</f>
        <v>0</v>
      </c>
      <c r="C2421" s="76" t="e">
        <f ca="1">SUMIF('Production '!$C$4:$AI$4407,'Tracking Sheet'!B2421,'Production '!$M$4:$M$4407)</f>
        <v>#DIV/0!</v>
      </c>
      <c r="D2421" s="76" t="e">
        <f ca="1">SUMIF('Production '!$C$4:$AI$4407,'Tracking Sheet'!B2421,'Production '!$Q$4:$Q$4407)</f>
        <v>#DIV/0!</v>
      </c>
      <c r="E2421" s="76">
        <f ca="1">SUMIF('Production '!$C$4:$AI$4407,'Tracking Sheet'!B2421,'Production '!$S$4:$S$4407)</f>
        <v>-1268218.9828305368</v>
      </c>
      <c r="F2421" s="76">
        <f ca="1">SUMIF('Production '!$C$4:$AI$4407,'Tracking Sheet'!B2421,'Production '!$U$4:$U$4407)</f>
        <v>-10620.435600016917</v>
      </c>
      <c r="G2421" s="76" t="e">
        <f ca="1">SUMIF('Production '!$C$4:$AI$4407,'Tracking Sheet'!B2421,'Production '!$W$4:$W$4407)</f>
        <v>#DIV/0!</v>
      </c>
      <c r="H2421" s="76">
        <f ca="1">SUMIF('Production '!$C$4:$AI$4407,'Tracking Sheet'!B2421,'Production '!$F$4:$F$4407)</f>
        <v>3230621.3283604058</v>
      </c>
      <c r="I2421" s="76">
        <f ca="1">SUMIF('Production '!$C$4:$AI$4407,'Tracking Sheet'!B2421,'Production '!$V$4:$V$4407)</f>
        <v>-489.86487791182844</v>
      </c>
      <c r="J2421" s="76">
        <f ca="1">SUMIF('Production '!$C$4:$AI$4407,'Tracking Sheet'!B2421,'Production '!$AG$4:$AG$4407)</f>
        <v>0</v>
      </c>
    </row>
    <row r="2422" spans="2:10" x14ac:dyDescent="0.3">
      <c r="B2422" s="277">
        <f>'Production '!C2425</f>
        <v>0</v>
      </c>
      <c r="C2422" s="76" t="e">
        <f ca="1">SUMIF('Production '!$C$4:$AI$4407,'Tracking Sheet'!B2422,'Production '!$M$4:$M$4407)</f>
        <v>#DIV/0!</v>
      </c>
      <c r="D2422" s="76" t="e">
        <f ca="1">SUMIF('Production '!$C$4:$AI$4407,'Tracking Sheet'!B2422,'Production '!$Q$4:$Q$4407)</f>
        <v>#DIV/0!</v>
      </c>
      <c r="E2422" s="76">
        <f ca="1">SUMIF('Production '!$C$4:$AI$4407,'Tracking Sheet'!B2422,'Production '!$S$4:$S$4407)</f>
        <v>-1268218.9828305368</v>
      </c>
      <c r="F2422" s="76">
        <f ca="1">SUMIF('Production '!$C$4:$AI$4407,'Tracking Sheet'!B2422,'Production '!$U$4:$U$4407)</f>
        <v>-10620.435600016917</v>
      </c>
      <c r="G2422" s="76" t="e">
        <f ca="1">SUMIF('Production '!$C$4:$AI$4407,'Tracking Sheet'!B2422,'Production '!$W$4:$W$4407)</f>
        <v>#DIV/0!</v>
      </c>
      <c r="H2422" s="76">
        <f ca="1">SUMIF('Production '!$C$4:$AI$4407,'Tracking Sheet'!B2422,'Production '!$F$4:$F$4407)</f>
        <v>3230621.3283604058</v>
      </c>
      <c r="I2422" s="76">
        <f ca="1">SUMIF('Production '!$C$4:$AI$4407,'Tracking Sheet'!B2422,'Production '!$V$4:$V$4407)</f>
        <v>-489.86487791182844</v>
      </c>
      <c r="J2422" s="76">
        <f ca="1">SUMIF('Production '!$C$4:$AI$4407,'Tracking Sheet'!B2422,'Production '!$AG$4:$AG$4407)</f>
        <v>0</v>
      </c>
    </row>
    <row r="2423" spans="2:10" x14ac:dyDescent="0.3">
      <c r="B2423" s="277">
        <f>'Production '!C2426</f>
        <v>0</v>
      </c>
      <c r="C2423" s="76" t="e">
        <f ca="1">SUMIF('Production '!$C$4:$AI$4407,'Tracking Sheet'!B2423,'Production '!$M$4:$M$4407)</f>
        <v>#DIV/0!</v>
      </c>
      <c r="D2423" s="76" t="e">
        <f ca="1">SUMIF('Production '!$C$4:$AI$4407,'Tracking Sheet'!B2423,'Production '!$Q$4:$Q$4407)</f>
        <v>#DIV/0!</v>
      </c>
      <c r="E2423" s="76">
        <f ca="1">SUMIF('Production '!$C$4:$AI$4407,'Tracking Sheet'!B2423,'Production '!$S$4:$S$4407)</f>
        <v>-1268218.9828305368</v>
      </c>
      <c r="F2423" s="76">
        <f ca="1">SUMIF('Production '!$C$4:$AI$4407,'Tracking Sheet'!B2423,'Production '!$U$4:$U$4407)</f>
        <v>-10620.435600016917</v>
      </c>
      <c r="G2423" s="76" t="e">
        <f ca="1">SUMIF('Production '!$C$4:$AI$4407,'Tracking Sheet'!B2423,'Production '!$W$4:$W$4407)</f>
        <v>#DIV/0!</v>
      </c>
      <c r="H2423" s="76">
        <f ca="1">SUMIF('Production '!$C$4:$AI$4407,'Tracking Sheet'!B2423,'Production '!$F$4:$F$4407)</f>
        <v>3230621.3283604058</v>
      </c>
      <c r="I2423" s="76">
        <f ca="1">SUMIF('Production '!$C$4:$AI$4407,'Tracking Sheet'!B2423,'Production '!$V$4:$V$4407)</f>
        <v>-489.86487791182844</v>
      </c>
      <c r="J2423" s="76">
        <f ca="1">SUMIF('Production '!$C$4:$AI$4407,'Tracking Sheet'!B2423,'Production '!$AG$4:$AG$4407)</f>
        <v>0</v>
      </c>
    </row>
    <row r="2424" spans="2:10" x14ac:dyDescent="0.3">
      <c r="B2424" s="277">
        <f>'Production '!C2427</f>
        <v>0</v>
      </c>
      <c r="C2424" s="76" t="e">
        <f ca="1">SUMIF('Production '!$C$4:$AI$4407,'Tracking Sheet'!B2424,'Production '!$M$4:$M$4407)</f>
        <v>#DIV/0!</v>
      </c>
      <c r="D2424" s="76" t="e">
        <f ca="1">SUMIF('Production '!$C$4:$AI$4407,'Tracking Sheet'!B2424,'Production '!$Q$4:$Q$4407)</f>
        <v>#DIV/0!</v>
      </c>
      <c r="E2424" s="76">
        <f ca="1">SUMIF('Production '!$C$4:$AI$4407,'Tracking Sheet'!B2424,'Production '!$S$4:$S$4407)</f>
        <v>-1268218.9828305368</v>
      </c>
      <c r="F2424" s="76">
        <f ca="1">SUMIF('Production '!$C$4:$AI$4407,'Tracking Sheet'!B2424,'Production '!$U$4:$U$4407)</f>
        <v>-10620.435600016917</v>
      </c>
      <c r="G2424" s="76" t="e">
        <f ca="1">SUMIF('Production '!$C$4:$AI$4407,'Tracking Sheet'!B2424,'Production '!$W$4:$W$4407)</f>
        <v>#DIV/0!</v>
      </c>
      <c r="H2424" s="76">
        <f ca="1">SUMIF('Production '!$C$4:$AI$4407,'Tracking Sheet'!B2424,'Production '!$F$4:$F$4407)</f>
        <v>3230621.3283604058</v>
      </c>
      <c r="I2424" s="76">
        <f ca="1">SUMIF('Production '!$C$4:$AI$4407,'Tracking Sheet'!B2424,'Production '!$V$4:$V$4407)</f>
        <v>-489.86487791182844</v>
      </c>
      <c r="J2424" s="76">
        <f ca="1">SUMIF('Production '!$C$4:$AI$4407,'Tracking Sheet'!B2424,'Production '!$AG$4:$AG$4407)</f>
        <v>0</v>
      </c>
    </row>
    <row r="2425" spans="2:10" x14ac:dyDescent="0.3">
      <c r="B2425" s="277">
        <f>'Production '!C2428</f>
        <v>0</v>
      </c>
      <c r="C2425" s="76" t="e">
        <f ca="1">SUMIF('Production '!$C$4:$AI$4407,'Tracking Sheet'!B2425,'Production '!$M$4:$M$4407)</f>
        <v>#DIV/0!</v>
      </c>
      <c r="D2425" s="76" t="e">
        <f ca="1">SUMIF('Production '!$C$4:$AI$4407,'Tracking Sheet'!B2425,'Production '!$Q$4:$Q$4407)</f>
        <v>#DIV/0!</v>
      </c>
      <c r="E2425" s="76">
        <f ca="1">SUMIF('Production '!$C$4:$AI$4407,'Tracking Sheet'!B2425,'Production '!$S$4:$S$4407)</f>
        <v>-1268218.9828305368</v>
      </c>
      <c r="F2425" s="76">
        <f ca="1">SUMIF('Production '!$C$4:$AI$4407,'Tracking Sheet'!B2425,'Production '!$U$4:$U$4407)</f>
        <v>-10620.435600016917</v>
      </c>
      <c r="G2425" s="76" t="e">
        <f ca="1">SUMIF('Production '!$C$4:$AI$4407,'Tracking Sheet'!B2425,'Production '!$W$4:$W$4407)</f>
        <v>#DIV/0!</v>
      </c>
      <c r="H2425" s="76">
        <f ca="1">SUMIF('Production '!$C$4:$AI$4407,'Tracking Sheet'!B2425,'Production '!$F$4:$F$4407)</f>
        <v>3230621.3283604058</v>
      </c>
      <c r="I2425" s="76">
        <f ca="1">SUMIF('Production '!$C$4:$AI$4407,'Tracking Sheet'!B2425,'Production '!$V$4:$V$4407)</f>
        <v>-489.86487791182844</v>
      </c>
      <c r="J2425" s="76">
        <f ca="1">SUMIF('Production '!$C$4:$AI$4407,'Tracking Sheet'!B2425,'Production '!$AG$4:$AG$4407)</f>
        <v>0</v>
      </c>
    </row>
    <row r="2426" spans="2:10" x14ac:dyDescent="0.3">
      <c r="B2426" s="277">
        <f>'Production '!C2429</f>
        <v>0</v>
      </c>
      <c r="C2426" s="76" t="e">
        <f ca="1">SUMIF('Production '!$C$4:$AI$4407,'Tracking Sheet'!B2426,'Production '!$M$4:$M$4407)</f>
        <v>#DIV/0!</v>
      </c>
      <c r="D2426" s="76" t="e">
        <f ca="1">SUMIF('Production '!$C$4:$AI$4407,'Tracking Sheet'!B2426,'Production '!$Q$4:$Q$4407)</f>
        <v>#DIV/0!</v>
      </c>
      <c r="E2426" s="76">
        <f ca="1">SUMIF('Production '!$C$4:$AI$4407,'Tracking Sheet'!B2426,'Production '!$S$4:$S$4407)</f>
        <v>-1268218.9828305368</v>
      </c>
      <c r="F2426" s="76">
        <f ca="1">SUMIF('Production '!$C$4:$AI$4407,'Tracking Sheet'!B2426,'Production '!$U$4:$U$4407)</f>
        <v>-10620.435600016917</v>
      </c>
      <c r="G2426" s="76" t="e">
        <f ca="1">SUMIF('Production '!$C$4:$AI$4407,'Tracking Sheet'!B2426,'Production '!$W$4:$W$4407)</f>
        <v>#DIV/0!</v>
      </c>
      <c r="H2426" s="76">
        <f ca="1">SUMIF('Production '!$C$4:$AI$4407,'Tracking Sheet'!B2426,'Production '!$F$4:$F$4407)</f>
        <v>3230621.3283604058</v>
      </c>
      <c r="I2426" s="76">
        <f ca="1">SUMIF('Production '!$C$4:$AI$4407,'Tracking Sheet'!B2426,'Production '!$V$4:$V$4407)</f>
        <v>-489.86487791182844</v>
      </c>
      <c r="J2426" s="76">
        <f ca="1">SUMIF('Production '!$C$4:$AI$4407,'Tracking Sheet'!B2426,'Production '!$AG$4:$AG$4407)</f>
        <v>0</v>
      </c>
    </row>
    <row r="2427" spans="2:10" x14ac:dyDescent="0.3">
      <c r="B2427" s="277">
        <f>'Production '!C2430</f>
        <v>0</v>
      </c>
      <c r="C2427" s="76" t="e">
        <f ca="1">SUMIF('Production '!$C$4:$AI$4407,'Tracking Sheet'!B2427,'Production '!$M$4:$M$4407)</f>
        <v>#DIV/0!</v>
      </c>
      <c r="D2427" s="76" t="e">
        <f ca="1">SUMIF('Production '!$C$4:$AI$4407,'Tracking Sheet'!B2427,'Production '!$Q$4:$Q$4407)</f>
        <v>#DIV/0!</v>
      </c>
      <c r="E2427" s="76">
        <f ca="1">SUMIF('Production '!$C$4:$AI$4407,'Tracking Sheet'!B2427,'Production '!$S$4:$S$4407)</f>
        <v>-1268218.9828305368</v>
      </c>
      <c r="F2427" s="76">
        <f ca="1">SUMIF('Production '!$C$4:$AI$4407,'Tracking Sheet'!B2427,'Production '!$U$4:$U$4407)</f>
        <v>-10620.435600016917</v>
      </c>
      <c r="G2427" s="76" t="e">
        <f ca="1">SUMIF('Production '!$C$4:$AI$4407,'Tracking Sheet'!B2427,'Production '!$W$4:$W$4407)</f>
        <v>#DIV/0!</v>
      </c>
      <c r="H2427" s="76">
        <f ca="1">SUMIF('Production '!$C$4:$AI$4407,'Tracking Sheet'!B2427,'Production '!$F$4:$F$4407)</f>
        <v>3230621.3283604058</v>
      </c>
      <c r="I2427" s="76">
        <f ca="1">SUMIF('Production '!$C$4:$AI$4407,'Tracking Sheet'!B2427,'Production '!$V$4:$V$4407)</f>
        <v>-489.86487791182844</v>
      </c>
      <c r="J2427" s="76">
        <f ca="1">SUMIF('Production '!$C$4:$AI$4407,'Tracking Sheet'!B2427,'Production '!$AG$4:$AG$4407)</f>
        <v>0</v>
      </c>
    </row>
    <row r="2428" spans="2:10" x14ac:dyDescent="0.3">
      <c r="B2428" s="277">
        <f>'Production '!C2431</f>
        <v>0</v>
      </c>
      <c r="C2428" s="76" t="e">
        <f ca="1">SUMIF('Production '!$C$4:$AI$4407,'Tracking Sheet'!B2428,'Production '!$M$4:$M$4407)</f>
        <v>#DIV/0!</v>
      </c>
      <c r="D2428" s="76" t="e">
        <f ca="1">SUMIF('Production '!$C$4:$AI$4407,'Tracking Sheet'!B2428,'Production '!$Q$4:$Q$4407)</f>
        <v>#DIV/0!</v>
      </c>
      <c r="E2428" s="76">
        <f ca="1">SUMIF('Production '!$C$4:$AI$4407,'Tracking Sheet'!B2428,'Production '!$S$4:$S$4407)</f>
        <v>-1268218.9828305368</v>
      </c>
      <c r="F2428" s="76">
        <f ca="1">SUMIF('Production '!$C$4:$AI$4407,'Tracking Sheet'!B2428,'Production '!$U$4:$U$4407)</f>
        <v>-10620.435600016917</v>
      </c>
      <c r="G2428" s="76" t="e">
        <f ca="1">SUMIF('Production '!$C$4:$AI$4407,'Tracking Sheet'!B2428,'Production '!$W$4:$W$4407)</f>
        <v>#DIV/0!</v>
      </c>
      <c r="H2428" s="76">
        <f ca="1">SUMIF('Production '!$C$4:$AI$4407,'Tracking Sheet'!B2428,'Production '!$F$4:$F$4407)</f>
        <v>3230621.3283604058</v>
      </c>
      <c r="I2428" s="76">
        <f ca="1">SUMIF('Production '!$C$4:$AI$4407,'Tracking Sheet'!B2428,'Production '!$V$4:$V$4407)</f>
        <v>-489.86487791182844</v>
      </c>
      <c r="J2428" s="76">
        <f ca="1">SUMIF('Production '!$C$4:$AI$4407,'Tracking Sheet'!B2428,'Production '!$AG$4:$AG$4407)</f>
        <v>0</v>
      </c>
    </row>
    <row r="2429" spans="2:10" x14ac:dyDescent="0.3">
      <c r="B2429" s="277">
        <f>'Production '!C2432</f>
        <v>0</v>
      </c>
      <c r="C2429" s="76" t="e">
        <f ca="1">SUMIF('Production '!$C$4:$AI$4407,'Tracking Sheet'!B2429,'Production '!$M$4:$M$4407)</f>
        <v>#DIV/0!</v>
      </c>
      <c r="D2429" s="76" t="e">
        <f ca="1">SUMIF('Production '!$C$4:$AI$4407,'Tracking Sheet'!B2429,'Production '!$Q$4:$Q$4407)</f>
        <v>#DIV/0!</v>
      </c>
      <c r="E2429" s="76">
        <f ca="1">SUMIF('Production '!$C$4:$AI$4407,'Tracking Sheet'!B2429,'Production '!$S$4:$S$4407)</f>
        <v>-1268218.9828305368</v>
      </c>
      <c r="F2429" s="76">
        <f ca="1">SUMIF('Production '!$C$4:$AI$4407,'Tracking Sheet'!B2429,'Production '!$U$4:$U$4407)</f>
        <v>-10620.435600016917</v>
      </c>
      <c r="G2429" s="76" t="e">
        <f ca="1">SUMIF('Production '!$C$4:$AI$4407,'Tracking Sheet'!B2429,'Production '!$W$4:$W$4407)</f>
        <v>#DIV/0!</v>
      </c>
      <c r="H2429" s="76">
        <f ca="1">SUMIF('Production '!$C$4:$AI$4407,'Tracking Sheet'!B2429,'Production '!$F$4:$F$4407)</f>
        <v>3230621.3283604058</v>
      </c>
      <c r="I2429" s="76">
        <f ca="1">SUMIF('Production '!$C$4:$AI$4407,'Tracking Sheet'!B2429,'Production '!$V$4:$V$4407)</f>
        <v>-489.86487791182844</v>
      </c>
      <c r="J2429" s="76">
        <f ca="1">SUMIF('Production '!$C$4:$AI$4407,'Tracking Sheet'!B2429,'Production '!$AG$4:$AG$4407)</f>
        <v>0</v>
      </c>
    </row>
    <row r="2430" spans="2:10" x14ac:dyDescent="0.3">
      <c r="B2430" s="277">
        <f>'Production '!C2433</f>
        <v>0</v>
      </c>
      <c r="C2430" s="76" t="e">
        <f ca="1">SUMIF('Production '!$C$4:$AI$4407,'Tracking Sheet'!B2430,'Production '!$M$4:$M$4407)</f>
        <v>#DIV/0!</v>
      </c>
      <c r="D2430" s="76" t="e">
        <f ca="1">SUMIF('Production '!$C$4:$AI$4407,'Tracking Sheet'!B2430,'Production '!$Q$4:$Q$4407)</f>
        <v>#DIV/0!</v>
      </c>
      <c r="E2430" s="76">
        <f ca="1">SUMIF('Production '!$C$4:$AI$4407,'Tracking Sheet'!B2430,'Production '!$S$4:$S$4407)</f>
        <v>-1268218.9828305368</v>
      </c>
      <c r="F2430" s="76">
        <f ca="1">SUMIF('Production '!$C$4:$AI$4407,'Tracking Sheet'!B2430,'Production '!$U$4:$U$4407)</f>
        <v>-10620.435600016917</v>
      </c>
      <c r="G2430" s="76" t="e">
        <f ca="1">SUMIF('Production '!$C$4:$AI$4407,'Tracking Sheet'!B2430,'Production '!$W$4:$W$4407)</f>
        <v>#DIV/0!</v>
      </c>
      <c r="H2430" s="76">
        <f ca="1">SUMIF('Production '!$C$4:$AI$4407,'Tracking Sheet'!B2430,'Production '!$F$4:$F$4407)</f>
        <v>3230621.3283604058</v>
      </c>
      <c r="I2430" s="76">
        <f ca="1">SUMIF('Production '!$C$4:$AI$4407,'Tracking Sheet'!B2430,'Production '!$V$4:$V$4407)</f>
        <v>-489.86487791182844</v>
      </c>
      <c r="J2430" s="76">
        <f ca="1">SUMIF('Production '!$C$4:$AI$4407,'Tracking Sheet'!B2430,'Production '!$AG$4:$AG$4407)</f>
        <v>0</v>
      </c>
    </row>
    <row r="2431" spans="2:10" x14ac:dyDescent="0.3">
      <c r="B2431" s="277">
        <f>'Production '!C2434</f>
        <v>0</v>
      </c>
      <c r="C2431" s="76" t="e">
        <f ca="1">SUMIF('Production '!$C$4:$AI$4407,'Tracking Sheet'!B2431,'Production '!$M$4:$M$4407)</f>
        <v>#DIV/0!</v>
      </c>
      <c r="D2431" s="76" t="e">
        <f ca="1">SUMIF('Production '!$C$4:$AI$4407,'Tracking Sheet'!B2431,'Production '!$Q$4:$Q$4407)</f>
        <v>#DIV/0!</v>
      </c>
      <c r="E2431" s="76">
        <f ca="1">SUMIF('Production '!$C$4:$AI$4407,'Tracking Sheet'!B2431,'Production '!$S$4:$S$4407)</f>
        <v>-1268218.9828305368</v>
      </c>
      <c r="F2431" s="76">
        <f ca="1">SUMIF('Production '!$C$4:$AI$4407,'Tracking Sheet'!B2431,'Production '!$U$4:$U$4407)</f>
        <v>-10620.435600016917</v>
      </c>
      <c r="G2431" s="76" t="e">
        <f ca="1">SUMIF('Production '!$C$4:$AI$4407,'Tracking Sheet'!B2431,'Production '!$W$4:$W$4407)</f>
        <v>#DIV/0!</v>
      </c>
      <c r="H2431" s="76">
        <f ca="1">SUMIF('Production '!$C$4:$AI$4407,'Tracking Sheet'!B2431,'Production '!$F$4:$F$4407)</f>
        <v>3230621.3283604058</v>
      </c>
      <c r="I2431" s="76">
        <f ca="1">SUMIF('Production '!$C$4:$AI$4407,'Tracking Sheet'!B2431,'Production '!$V$4:$V$4407)</f>
        <v>-489.86487791182844</v>
      </c>
      <c r="J2431" s="76">
        <f ca="1">SUMIF('Production '!$C$4:$AI$4407,'Tracking Sheet'!B2431,'Production '!$AG$4:$AG$4407)</f>
        <v>0</v>
      </c>
    </row>
    <row r="2432" spans="2:10" x14ac:dyDescent="0.3">
      <c r="B2432" s="277">
        <f>'Production '!C2435</f>
        <v>0</v>
      </c>
      <c r="C2432" s="76" t="e">
        <f ca="1">SUMIF('Production '!$C$4:$AI$4407,'Tracking Sheet'!B2432,'Production '!$M$4:$M$4407)</f>
        <v>#DIV/0!</v>
      </c>
      <c r="D2432" s="76" t="e">
        <f ca="1">SUMIF('Production '!$C$4:$AI$4407,'Tracking Sheet'!B2432,'Production '!$Q$4:$Q$4407)</f>
        <v>#DIV/0!</v>
      </c>
      <c r="E2432" s="76">
        <f ca="1">SUMIF('Production '!$C$4:$AI$4407,'Tracking Sheet'!B2432,'Production '!$S$4:$S$4407)</f>
        <v>-1268218.9828305368</v>
      </c>
      <c r="F2432" s="76">
        <f ca="1">SUMIF('Production '!$C$4:$AI$4407,'Tracking Sheet'!B2432,'Production '!$U$4:$U$4407)</f>
        <v>-10620.435600016917</v>
      </c>
      <c r="G2432" s="76" t="e">
        <f ca="1">SUMIF('Production '!$C$4:$AI$4407,'Tracking Sheet'!B2432,'Production '!$W$4:$W$4407)</f>
        <v>#DIV/0!</v>
      </c>
      <c r="H2432" s="76">
        <f ca="1">SUMIF('Production '!$C$4:$AI$4407,'Tracking Sheet'!B2432,'Production '!$F$4:$F$4407)</f>
        <v>3230621.3283604058</v>
      </c>
      <c r="I2432" s="76">
        <f ca="1">SUMIF('Production '!$C$4:$AI$4407,'Tracking Sheet'!B2432,'Production '!$V$4:$V$4407)</f>
        <v>-489.86487791182844</v>
      </c>
      <c r="J2432" s="76">
        <f ca="1">SUMIF('Production '!$C$4:$AI$4407,'Tracking Sheet'!B2432,'Production '!$AG$4:$AG$4407)</f>
        <v>0</v>
      </c>
    </row>
    <row r="2433" spans="2:10" x14ac:dyDescent="0.3">
      <c r="B2433" s="277">
        <f>'Production '!C2436</f>
        <v>0</v>
      </c>
      <c r="C2433" s="76" t="e">
        <f ca="1">SUMIF('Production '!$C$4:$AI$4407,'Tracking Sheet'!B2433,'Production '!$M$4:$M$4407)</f>
        <v>#DIV/0!</v>
      </c>
      <c r="D2433" s="76" t="e">
        <f ca="1">SUMIF('Production '!$C$4:$AI$4407,'Tracking Sheet'!B2433,'Production '!$Q$4:$Q$4407)</f>
        <v>#DIV/0!</v>
      </c>
      <c r="E2433" s="76">
        <f ca="1">SUMIF('Production '!$C$4:$AI$4407,'Tracking Sheet'!B2433,'Production '!$S$4:$S$4407)</f>
        <v>-1268218.9828305368</v>
      </c>
      <c r="F2433" s="76">
        <f ca="1">SUMIF('Production '!$C$4:$AI$4407,'Tracking Sheet'!B2433,'Production '!$U$4:$U$4407)</f>
        <v>-10620.435600016917</v>
      </c>
      <c r="G2433" s="76" t="e">
        <f ca="1">SUMIF('Production '!$C$4:$AI$4407,'Tracking Sheet'!B2433,'Production '!$W$4:$W$4407)</f>
        <v>#DIV/0!</v>
      </c>
      <c r="H2433" s="76">
        <f ca="1">SUMIF('Production '!$C$4:$AI$4407,'Tracking Sheet'!B2433,'Production '!$F$4:$F$4407)</f>
        <v>3230621.3283604058</v>
      </c>
      <c r="I2433" s="76">
        <f ca="1">SUMIF('Production '!$C$4:$AI$4407,'Tracking Sheet'!B2433,'Production '!$V$4:$V$4407)</f>
        <v>-489.86487791182844</v>
      </c>
      <c r="J2433" s="76">
        <f ca="1">SUMIF('Production '!$C$4:$AI$4407,'Tracking Sheet'!B2433,'Production '!$AG$4:$AG$4407)</f>
        <v>0</v>
      </c>
    </row>
    <row r="2434" spans="2:10" x14ac:dyDescent="0.3">
      <c r="B2434" s="277">
        <f>'Production '!C2437</f>
        <v>0</v>
      </c>
      <c r="C2434" s="76" t="e">
        <f ca="1">SUMIF('Production '!$C$4:$AI$4407,'Tracking Sheet'!B2434,'Production '!$M$4:$M$4407)</f>
        <v>#DIV/0!</v>
      </c>
      <c r="D2434" s="76" t="e">
        <f ca="1">SUMIF('Production '!$C$4:$AI$4407,'Tracking Sheet'!B2434,'Production '!$Q$4:$Q$4407)</f>
        <v>#DIV/0!</v>
      </c>
      <c r="E2434" s="76">
        <f ca="1">SUMIF('Production '!$C$4:$AI$4407,'Tracking Sheet'!B2434,'Production '!$S$4:$S$4407)</f>
        <v>-1268218.9828305368</v>
      </c>
      <c r="F2434" s="76">
        <f ca="1">SUMIF('Production '!$C$4:$AI$4407,'Tracking Sheet'!B2434,'Production '!$U$4:$U$4407)</f>
        <v>-10620.435600016917</v>
      </c>
      <c r="G2434" s="76" t="e">
        <f ca="1">SUMIF('Production '!$C$4:$AI$4407,'Tracking Sheet'!B2434,'Production '!$W$4:$W$4407)</f>
        <v>#DIV/0!</v>
      </c>
      <c r="H2434" s="76">
        <f ca="1">SUMIF('Production '!$C$4:$AI$4407,'Tracking Sheet'!B2434,'Production '!$F$4:$F$4407)</f>
        <v>3230621.3283604058</v>
      </c>
      <c r="I2434" s="76">
        <f ca="1">SUMIF('Production '!$C$4:$AI$4407,'Tracking Sheet'!B2434,'Production '!$V$4:$V$4407)</f>
        <v>-489.86487791182844</v>
      </c>
      <c r="J2434" s="76">
        <f ca="1">SUMIF('Production '!$C$4:$AI$4407,'Tracking Sheet'!B2434,'Production '!$AG$4:$AG$4407)</f>
        <v>0</v>
      </c>
    </row>
    <row r="2435" spans="2:10" x14ac:dyDescent="0.3">
      <c r="B2435" s="277">
        <f>'Production '!C2438</f>
        <v>0</v>
      </c>
      <c r="C2435" s="76" t="e">
        <f ca="1">SUMIF('Production '!$C$4:$AI$4407,'Tracking Sheet'!B2435,'Production '!$M$4:$M$4407)</f>
        <v>#DIV/0!</v>
      </c>
      <c r="D2435" s="76" t="e">
        <f ca="1">SUMIF('Production '!$C$4:$AI$4407,'Tracking Sheet'!B2435,'Production '!$Q$4:$Q$4407)</f>
        <v>#DIV/0!</v>
      </c>
      <c r="E2435" s="76">
        <f ca="1">SUMIF('Production '!$C$4:$AI$4407,'Tracking Sheet'!B2435,'Production '!$S$4:$S$4407)</f>
        <v>-1268218.9828305368</v>
      </c>
      <c r="F2435" s="76">
        <f ca="1">SUMIF('Production '!$C$4:$AI$4407,'Tracking Sheet'!B2435,'Production '!$U$4:$U$4407)</f>
        <v>-10620.435600016917</v>
      </c>
      <c r="G2435" s="76" t="e">
        <f ca="1">SUMIF('Production '!$C$4:$AI$4407,'Tracking Sheet'!B2435,'Production '!$W$4:$W$4407)</f>
        <v>#DIV/0!</v>
      </c>
      <c r="H2435" s="76">
        <f ca="1">SUMIF('Production '!$C$4:$AI$4407,'Tracking Sheet'!B2435,'Production '!$F$4:$F$4407)</f>
        <v>3230621.3283604058</v>
      </c>
      <c r="I2435" s="76">
        <f ca="1">SUMIF('Production '!$C$4:$AI$4407,'Tracking Sheet'!B2435,'Production '!$V$4:$V$4407)</f>
        <v>-489.86487791182844</v>
      </c>
      <c r="J2435" s="76">
        <f ca="1">SUMIF('Production '!$C$4:$AI$4407,'Tracking Sheet'!B2435,'Production '!$AG$4:$AG$4407)</f>
        <v>0</v>
      </c>
    </row>
    <row r="2436" spans="2:10" x14ac:dyDescent="0.3">
      <c r="B2436" s="277">
        <f>'Production '!C2439</f>
        <v>0</v>
      </c>
      <c r="C2436" s="76" t="e">
        <f ca="1">SUMIF('Production '!$C$4:$AI$4407,'Tracking Sheet'!B2436,'Production '!$M$4:$M$4407)</f>
        <v>#DIV/0!</v>
      </c>
      <c r="D2436" s="76" t="e">
        <f ca="1">SUMIF('Production '!$C$4:$AI$4407,'Tracking Sheet'!B2436,'Production '!$Q$4:$Q$4407)</f>
        <v>#DIV/0!</v>
      </c>
      <c r="E2436" s="76">
        <f ca="1">SUMIF('Production '!$C$4:$AI$4407,'Tracking Sheet'!B2436,'Production '!$S$4:$S$4407)</f>
        <v>-1268218.9828305368</v>
      </c>
      <c r="F2436" s="76">
        <f ca="1">SUMIF('Production '!$C$4:$AI$4407,'Tracking Sheet'!B2436,'Production '!$U$4:$U$4407)</f>
        <v>-10620.435600016917</v>
      </c>
      <c r="G2436" s="76" t="e">
        <f ca="1">SUMIF('Production '!$C$4:$AI$4407,'Tracking Sheet'!B2436,'Production '!$W$4:$W$4407)</f>
        <v>#DIV/0!</v>
      </c>
      <c r="H2436" s="76">
        <f ca="1">SUMIF('Production '!$C$4:$AI$4407,'Tracking Sheet'!B2436,'Production '!$F$4:$F$4407)</f>
        <v>3230621.3283604058</v>
      </c>
      <c r="I2436" s="76">
        <f ca="1">SUMIF('Production '!$C$4:$AI$4407,'Tracking Sheet'!B2436,'Production '!$V$4:$V$4407)</f>
        <v>-489.86487791182844</v>
      </c>
      <c r="J2436" s="76">
        <f ca="1">SUMIF('Production '!$C$4:$AI$4407,'Tracking Sheet'!B2436,'Production '!$AG$4:$AG$4407)</f>
        <v>0</v>
      </c>
    </row>
    <row r="2437" spans="2:10" x14ac:dyDescent="0.3">
      <c r="B2437" s="277">
        <f>'Production '!C2440</f>
        <v>0</v>
      </c>
      <c r="C2437" s="76" t="e">
        <f ca="1">SUMIF('Production '!$C$4:$AI$4407,'Tracking Sheet'!B2437,'Production '!$M$4:$M$4407)</f>
        <v>#DIV/0!</v>
      </c>
      <c r="D2437" s="76" t="e">
        <f ca="1">SUMIF('Production '!$C$4:$AI$4407,'Tracking Sheet'!B2437,'Production '!$Q$4:$Q$4407)</f>
        <v>#DIV/0!</v>
      </c>
      <c r="E2437" s="76">
        <f ca="1">SUMIF('Production '!$C$4:$AI$4407,'Tracking Sheet'!B2437,'Production '!$S$4:$S$4407)</f>
        <v>-1268218.9828305368</v>
      </c>
      <c r="F2437" s="76">
        <f ca="1">SUMIF('Production '!$C$4:$AI$4407,'Tracking Sheet'!B2437,'Production '!$U$4:$U$4407)</f>
        <v>-10620.435600016917</v>
      </c>
      <c r="G2437" s="76" t="e">
        <f ca="1">SUMIF('Production '!$C$4:$AI$4407,'Tracking Sheet'!B2437,'Production '!$W$4:$W$4407)</f>
        <v>#DIV/0!</v>
      </c>
      <c r="H2437" s="76">
        <f ca="1">SUMIF('Production '!$C$4:$AI$4407,'Tracking Sheet'!B2437,'Production '!$F$4:$F$4407)</f>
        <v>3230621.3283604058</v>
      </c>
      <c r="I2437" s="76">
        <f ca="1">SUMIF('Production '!$C$4:$AI$4407,'Tracking Sheet'!B2437,'Production '!$V$4:$V$4407)</f>
        <v>-489.86487791182844</v>
      </c>
      <c r="J2437" s="76">
        <f ca="1">SUMIF('Production '!$C$4:$AI$4407,'Tracking Sheet'!B2437,'Production '!$AG$4:$AG$4407)</f>
        <v>0</v>
      </c>
    </row>
    <row r="2438" spans="2:10" x14ac:dyDescent="0.3">
      <c r="B2438" s="277">
        <f>'Production '!C2441</f>
        <v>0</v>
      </c>
      <c r="C2438" s="76" t="e">
        <f ca="1">SUMIF('Production '!$C$4:$AI$4407,'Tracking Sheet'!B2438,'Production '!$M$4:$M$4407)</f>
        <v>#DIV/0!</v>
      </c>
      <c r="D2438" s="76" t="e">
        <f ca="1">SUMIF('Production '!$C$4:$AI$4407,'Tracking Sheet'!B2438,'Production '!$Q$4:$Q$4407)</f>
        <v>#DIV/0!</v>
      </c>
      <c r="E2438" s="76">
        <f ca="1">SUMIF('Production '!$C$4:$AI$4407,'Tracking Sheet'!B2438,'Production '!$S$4:$S$4407)</f>
        <v>-1268218.9828305368</v>
      </c>
      <c r="F2438" s="76">
        <f ca="1">SUMIF('Production '!$C$4:$AI$4407,'Tracking Sheet'!B2438,'Production '!$U$4:$U$4407)</f>
        <v>-10620.435600016917</v>
      </c>
      <c r="G2438" s="76" t="e">
        <f ca="1">SUMIF('Production '!$C$4:$AI$4407,'Tracking Sheet'!B2438,'Production '!$W$4:$W$4407)</f>
        <v>#DIV/0!</v>
      </c>
      <c r="H2438" s="76">
        <f ca="1">SUMIF('Production '!$C$4:$AI$4407,'Tracking Sheet'!B2438,'Production '!$F$4:$F$4407)</f>
        <v>3230621.3283604058</v>
      </c>
      <c r="I2438" s="76">
        <f ca="1">SUMIF('Production '!$C$4:$AI$4407,'Tracking Sheet'!B2438,'Production '!$V$4:$V$4407)</f>
        <v>-489.86487791182844</v>
      </c>
      <c r="J2438" s="76">
        <f ca="1">SUMIF('Production '!$C$4:$AI$4407,'Tracking Sheet'!B2438,'Production '!$AG$4:$AG$4407)</f>
        <v>0</v>
      </c>
    </row>
    <row r="2439" spans="2:10" x14ac:dyDescent="0.3">
      <c r="B2439" s="277">
        <f>'Production '!C2442</f>
        <v>0</v>
      </c>
      <c r="C2439" s="76" t="e">
        <f ca="1">SUMIF('Production '!$C$4:$AI$4407,'Tracking Sheet'!B2439,'Production '!$M$4:$M$4407)</f>
        <v>#DIV/0!</v>
      </c>
      <c r="D2439" s="76" t="e">
        <f ca="1">SUMIF('Production '!$C$4:$AI$4407,'Tracking Sheet'!B2439,'Production '!$Q$4:$Q$4407)</f>
        <v>#DIV/0!</v>
      </c>
      <c r="E2439" s="76">
        <f ca="1">SUMIF('Production '!$C$4:$AI$4407,'Tracking Sheet'!B2439,'Production '!$S$4:$S$4407)</f>
        <v>-1268218.9828305368</v>
      </c>
      <c r="F2439" s="76">
        <f ca="1">SUMIF('Production '!$C$4:$AI$4407,'Tracking Sheet'!B2439,'Production '!$U$4:$U$4407)</f>
        <v>-10620.435600016917</v>
      </c>
      <c r="G2439" s="76" t="e">
        <f ca="1">SUMIF('Production '!$C$4:$AI$4407,'Tracking Sheet'!B2439,'Production '!$W$4:$W$4407)</f>
        <v>#DIV/0!</v>
      </c>
      <c r="H2439" s="76">
        <f ca="1">SUMIF('Production '!$C$4:$AI$4407,'Tracking Sheet'!B2439,'Production '!$F$4:$F$4407)</f>
        <v>3230621.3283604058</v>
      </c>
      <c r="I2439" s="76">
        <f ca="1">SUMIF('Production '!$C$4:$AI$4407,'Tracking Sheet'!B2439,'Production '!$V$4:$V$4407)</f>
        <v>-489.86487791182844</v>
      </c>
      <c r="J2439" s="76">
        <f ca="1">SUMIF('Production '!$C$4:$AI$4407,'Tracking Sheet'!B2439,'Production '!$AG$4:$AG$4407)</f>
        <v>0</v>
      </c>
    </row>
    <row r="2440" spans="2:10" x14ac:dyDescent="0.3">
      <c r="B2440" s="277">
        <f>'Production '!C2443</f>
        <v>0</v>
      </c>
      <c r="C2440" s="76" t="e">
        <f ca="1">SUMIF('Production '!$C$4:$AI$4407,'Tracking Sheet'!B2440,'Production '!$M$4:$M$4407)</f>
        <v>#DIV/0!</v>
      </c>
      <c r="D2440" s="76" t="e">
        <f ca="1">SUMIF('Production '!$C$4:$AI$4407,'Tracking Sheet'!B2440,'Production '!$Q$4:$Q$4407)</f>
        <v>#DIV/0!</v>
      </c>
      <c r="E2440" s="76">
        <f ca="1">SUMIF('Production '!$C$4:$AI$4407,'Tracking Sheet'!B2440,'Production '!$S$4:$S$4407)</f>
        <v>-1268218.9828305368</v>
      </c>
      <c r="F2440" s="76">
        <f ca="1">SUMIF('Production '!$C$4:$AI$4407,'Tracking Sheet'!B2440,'Production '!$U$4:$U$4407)</f>
        <v>-10620.435600016917</v>
      </c>
      <c r="G2440" s="76" t="e">
        <f ca="1">SUMIF('Production '!$C$4:$AI$4407,'Tracking Sheet'!B2440,'Production '!$W$4:$W$4407)</f>
        <v>#DIV/0!</v>
      </c>
      <c r="H2440" s="76">
        <f ca="1">SUMIF('Production '!$C$4:$AI$4407,'Tracking Sheet'!B2440,'Production '!$F$4:$F$4407)</f>
        <v>3230621.3283604058</v>
      </c>
      <c r="I2440" s="76">
        <f ca="1">SUMIF('Production '!$C$4:$AI$4407,'Tracking Sheet'!B2440,'Production '!$V$4:$V$4407)</f>
        <v>-489.86487791182844</v>
      </c>
      <c r="J2440" s="76">
        <f ca="1">SUMIF('Production '!$C$4:$AI$4407,'Tracking Sheet'!B2440,'Production '!$AG$4:$AG$4407)</f>
        <v>0</v>
      </c>
    </row>
    <row r="2441" spans="2:10" x14ac:dyDescent="0.3">
      <c r="B2441" s="277">
        <f>'Production '!C2444</f>
        <v>0</v>
      </c>
      <c r="C2441" s="76" t="e">
        <f ca="1">SUMIF('Production '!$C$4:$AI$4407,'Tracking Sheet'!B2441,'Production '!$M$4:$M$4407)</f>
        <v>#DIV/0!</v>
      </c>
      <c r="D2441" s="76" t="e">
        <f ca="1">SUMIF('Production '!$C$4:$AI$4407,'Tracking Sheet'!B2441,'Production '!$Q$4:$Q$4407)</f>
        <v>#DIV/0!</v>
      </c>
      <c r="E2441" s="76">
        <f ca="1">SUMIF('Production '!$C$4:$AI$4407,'Tracking Sheet'!B2441,'Production '!$S$4:$S$4407)</f>
        <v>-1268218.9828305368</v>
      </c>
      <c r="F2441" s="76">
        <f ca="1">SUMIF('Production '!$C$4:$AI$4407,'Tracking Sheet'!B2441,'Production '!$U$4:$U$4407)</f>
        <v>-10620.435600016917</v>
      </c>
      <c r="G2441" s="76" t="e">
        <f ca="1">SUMIF('Production '!$C$4:$AI$4407,'Tracking Sheet'!B2441,'Production '!$W$4:$W$4407)</f>
        <v>#DIV/0!</v>
      </c>
      <c r="H2441" s="76">
        <f ca="1">SUMIF('Production '!$C$4:$AI$4407,'Tracking Sheet'!B2441,'Production '!$F$4:$F$4407)</f>
        <v>3230621.3283604058</v>
      </c>
      <c r="I2441" s="76">
        <f ca="1">SUMIF('Production '!$C$4:$AI$4407,'Tracking Sheet'!B2441,'Production '!$V$4:$V$4407)</f>
        <v>-489.86487791182844</v>
      </c>
      <c r="J2441" s="76">
        <f ca="1">SUMIF('Production '!$C$4:$AI$4407,'Tracking Sheet'!B2441,'Production '!$AG$4:$AG$4407)</f>
        <v>0</v>
      </c>
    </row>
    <row r="2442" spans="2:10" x14ac:dyDescent="0.3">
      <c r="B2442" s="277">
        <f>'Production '!C2445</f>
        <v>0</v>
      </c>
      <c r="C2442" s="76" t="e">
        <f ca="1">SUMIF('Production '!$C$4:$AI$4407,'Tracking Sheet'!B2442,'Production '!$M$4:$M$4407)</f>
        <v>#DIV/0!</v>
      </c>
      <c r="D2442" s="76" t="e">
        <f ca="1">SUMIF('Production '!$C$4:$AI$4407,'Tracking Sheet'!B2442,'Production '!$Q$4:$Q$4407)</f>
        <v>#DIV/0!</v>
      </c>
      <c r="E2442" s="76">
        <f ca="1">SUMIF('Production '!$C$4:$AI$4407,'Tracking Sheet'!B2442,'Production '!$S$4:$S$4407)</f>
        <v>-1268218.9828305368</v>
      </c>
      <c r="F2442" s="76">
        <f ca="1">SUMIF('Production '!$C$4:$AI$4407,'Tracking Sheet'!B2442,'Production '!$U$4:$U$4407)</f>
        <v>-10620.435600016917</v>
      </c>
      <c r="G2442" s="76" t="e">
        <f ca="1">SUMIF('Production '!$C$4:$AI$4407,'Tracking Sheet'!B2442,'Production '!$W$4:$W$4407)</f>
        <v>#DIV/0!</v>
      </c>
      <c r="H2442" s="76">
        <f ca="1">SUMIF('Production '!$C$4:$AI$4407,'Tracking Sheet'!B2442,'Production '!$F$4:$F$4407)</f>
        <v>3230621.3283604058</v>
      </c>
      <c r="I2442" s="76">
        <f ca="1">SUMIF('Production '!$C$4:$AI$4407,'Tracking Sheet'!B2442,'Production '!$V$4:$V$4407)</f>
        <v>-489.86487791182844</v>
      </c>
      <c r="J2442" s="76">
        <f ca="1">SUMIF('Production '!$C$4:$AI$4407,'Tracking Sheet'!B2442,'Production '!$AG$4:$AG$4407)</f>
        <v>0</v>
      </c>
    </row>
    <row r="2443" spans="2:10" x14ac:dyDescent="0.3">
      <c r="B2443" s="277">
        <f>'Production '!C2446</f>
        <v>0</v>
      </c>
      <c r="C2443" s="76" t="e">
        <f ca="1">SUMIF('Production '!$C$4:$AI$4407,'Tracking Sheet'!B2443,'Production '!$M$4:$M$4407)</f>
        <v>#DIV/0!</v>
      </c>
      <c r="D2443" s="76" t="e">
        <f ca="1">SUMIF('Production '!$C$4:$AI$4407,'Tracking Sheet'!B2443,'Production '!$Q$4:$Q$4407)</f>
        <v>#DIV/0!</v>
      </c>
      <c r="E2443" s="76">
        <f ca="1">SUMIF('Production '!$C$4:$AI$4407,'Tracking Sheet'!B2443,'Production '!$S$4:$S$4407)</f>
        <v>-1268218.9828305368</v>
      </c>
      <c r="F2443" s="76">
        <f ca="1">SUMIF('Production '!$C$4:$AI$4407,'Tracking Sheet'!B2443,'Production '!$U$4:$U$4407)</f>
        <v>-10620.435600016917</v>
      </c>
      <c r="G2443" s="76" t="e">
        <f ca="1">SUMIF('Production '!$C$4:$AI$4407,'Tracking Sheet'!B2443,'Production '!$W$4:$W$4407)</f>
        <v>#DIV/0!</v>
      </c>
      <c r="H2443" s="76">
        <f ca="1">SUMIF('Production '!$C$4:$AI$4407,'Tracking Sheet'!B2443,'Production '!$F$4:$F$4407)</f>
        <v>3230621.3283604058</v>
      </c>
      <c r="I2443" s="76">
        <f ca="1">SUMIF('Production '!$C$4:$AI$4407,'Tracking Sheet'!B2443,'Production '!$V$4:$V$4407)</f>
        <v>-489.86487791182844</v>
      </c>
      <c r="J2443" s="76">
        <f ca="1">SUMIF('Production '!$C$4:$AI$4407,'Tracking Sheet'!B2443,'Production '!$AG$4:$AG$4407)</f>
        <v>0</v>
      </c>
    </row>
    <row r="2444" spans="2:10" x14ac:dyDescent="0.3">
      <c r="B2444" s="277">
        <f>'Production '!C2447</f>
        <v>0</v>
      </c>
      <c r="C2444" s="76" t="e">
        <f ca="1">SUMIF('Production '!$C$4:$AI$4407,'Tracking Sheet'!B2444,'Production '!$M$4:$M$4407)</f>
        <v>#DIV/0!</v>
      </c>
      <c r="D2444" s="76" t="e">
        <f ca="1">SUMIF('Production '!$C$4:$AI$4407,'Tracking Sheet'!B2444,'Production '!$Q$4:$Q$4407)</f>
        <v>#DIV/0!</v>
      </c>
      <c r="E2444" s="76">
        <f ca="1">SUMIF('Production '!$C$4:$AI$4407,'Tracking Sheet'!B2444,'Production '!$S$4:$S$4407)</f>
        <v>-1268218.9828305368</v>
      </c>
      <c r="F2444" s="76">
        <f ca="1">SUMIF('Production '!$C$4:$AI$4407,'Tracking Sheet'!B2444,'Production '!$U$4:$U$4407)</f>
        <v>-10620.435600016917</v>
      </c>
      <c r="G2444" s="76" t="e">
        <f ca="1">SUMIF('Production '!$C$4:$AI$4407,'Tracking Sheet'!B2444,'Production '!$W$4:$W$4407)</f>
        <v>#DIV/0!</v>
      </c>
      <c r="H2444" s="76">
        <f ca="1">SUMIF('Production '!$C$4:$AI$4407,'Tracking Sheet'!B2444,'Production '!$F$4:$F$4407)</f>
        <v>3230621.3283604058</v>
      </c>
      <c r="I2444" s="76">
        <f ca="1">SUMIF('Production '!$C$4:$AI$4407,'Tracking Sheet'!B2444,'Production '!$V$4:$V$4407)</f>
        <v>-489.86487791182844</v>
      </c>
      <c r="J2444" s="76">
        <f ca="1">SUMIF('Production '!$C$4:$AI$4407,'Tracking Sheet'!B2444,'Production '!$AG$4:$AG$4407)</f>
        <v>0</v>
      </c>
    </row>
    <row r="2445" spans="2:10" x14ac:dyDescent="0.3">
      <c r="B2445" s="277">
        <f>'Production '!C2448</f>
        <v>0</v>
      </c>
      <c r="C2445" s="76" t="e">
        <f ca="1">SUMIF('Production '!$C$4:$AI$4407,'Tracking Sheet'!B2445,'Production '!$M$4:$M$4407)</f>
        <v>#DIV/0!</v>
      </c>
      <c r="D2445" s="76" t="e">
        <f ca="1">SUMIF('Production '!$C$4:$AI$4407,'Tracking Sheet'!B2445,'Production '!$Q$4:$Q$4407)</f>
        <v>#DIV/0!</v>
      </c>
      <c r="E2445" s="76">
        <f ca="1">SUMIF('Production '!$C$4:$AI$4407,'Tracking Sheet'!B2445,'Production '!$S$4:$S$4407)</f>
        <v>-1268218.9828305368</v>
      </c>
      <c r="F2445" s="76">
        <f ca="1">SUMIF('Production '!$C$4:$AI$4407,'Tracking Sheet'!B2445,'Production '!$U$4:$U$4407)</f>
        <v>-10620.435600016917</v>
      </c>
      <c r="G2445" s="76" t="e">
        <f ca="1">SUMIF('Production '!$C$4:$AI$4407,'Tracking Sheet'!B2445,'Production '!$W$4:$W$4407)</f>
        <v>#DIV/0!</v>
      </c>
      <c r="H2445" s="76">
        <f ca="1">SUMIF('Production '!$C$4:$AI$4407,'Tracking Sheet'!B2445,'Production '!$F$4:$F$4407)</f>
        <v>3230621.3283604058</v>
      </c>
      <c r="I2445" s="76">
        <f ca="1">SUMIF('Production '!$C$4:$AI$4407,'Tracking Sheet'!B2445,'Production '!$V$4:$V$4407)</f>
        <v>-489.86487791182844</v>
      </c>
      <c r="J2445" s="76">
        <f ca="1">SUMIF('Production '!$C$4:$AI$4407,'Tracking Sheet'!B2445,'Production '!$AG$4:$AG$4407)</f>
        <v>0</v>
      </c>
    </row>
    <row r="2446" spans="2:10" x14ac:dyDescent="0.3">
      <c r="B2446" s="277">
        <f>'Production '!C2449</f>
        <v>0</v>
      </c>
      <c r="C2446" s="76" t="e">
        <f ca="1">SUMIF('Production '!$C$4:$AI$4407,'Tracking Sheet'!B2446,'Production '!$M$4:$M$4407)</f>
        <v>#DIV/0!</v>
      </c>
      <c r="D2446" s="76" t="e">
        <f ca="1">SUMIF('Production '!$C$4:$AI$4407,'Tracking Sheet'!B2446,'Production '!$Q$4:$Q$4407)</f>
        <v>#DIV/0!</v>
      </c>
      <c r="E2446" s="76">
        <f ca="1">SUMIF('Production '!$C$4:$AI$4407,'Tracking Sheet'!B2446,'Production '!$S$4:$S$4407)</f>
        <v>-1268218.9828305368</v>
      </c>
      <c r="F2446" s="76">
        <f ca="1">SUMIF('Production '!$C$4:$AI$4407,'Tracking Sheet'!B2446,'Production '!$U$4:$U$4407)</f>
        <v>-10620.435600016917</v>
      </c>
      <c r="G2446" s="76" t="e">
        <f ca="1">SUMIF('Production '!$C$4:$AI$4407,'Tracking Sheet'!B2446,'Production '!$W$4:$W$4407)</f>
        <v>#DIV/0!</v>
      </c>
      <c r="H2446" s="76">
        <f ca="1">SUMIF('Production '!$C$4:$AI$4407,'Tracking Sheet'!B2446,'Production '!$F$4:$F$4407)</f>
        <v>3230621.3283604058</v>
      </c>
      <c r="I2446" s="76">
        <f ca="1">SUMIF('Production '!$C$4:$AI$4407,'Tracking Sheet'!B2446,'Production '!$V$4:$V$4407)</f>
        <v>-489.86487791182844</v>
      </c>
      <c r="J2446" s="76">
        <f ca="1">SUMIF('Production '!$C$4:$AI$4407,'Tracking Sheet'!B2446,'Production '!$AG$4:$AG$4407)</f>
        <v>0</v>
      </c>
    </row>
    <row r="2447" spans="2:10" x14ac:dyDescent="0.3">
      <c r="B2447" s="277">
        <f>'Production '!C2450</f>
        <v>0</v>
      </c>
      <c r="C2447" s="76" t="e">
        <f ca="1">SUMIF('Production '!$C$4:$AI$4407,'Tracking Sheet'!B2447,'Production '!$M$4:$M$4407)</f>
        <v>#DIV/0!</v>
      </c>
      <c r="D2447" s="76" t="e">
        <f ca="1">SUMIF('Production '!$C$4:$AI$4407,'Tracking Sheet'!B2447,'Production '!$Q$4:$Q$4407)</f>
        <v>#DIV/0!</v>
      </c>
      <c r="E2447" s="76">
        <f ca="1">SUMIF('Production '!$C$4:$AI$4407,'Tracking Sheet'!B2447,'Production '!$S$4:$S$4407)</f>
        <v>-1268218.9828305368</v>
      </c>
      <c r="F2447" s="76">
        <f ca="1">SUMIF('Production '!$C$4:$AI$4407,'Tracking Sheet'!B2447,'Production '!$U$4:$U$4407)</f>
        <v>-10620.435600016917</v>
      </c>
      <c r="G2447" s="76" t="e">
        <f ca="1">SUMIF('Production '!$C$4:$AI$4407,'Tracking Sheet'!B2447,'Production '!$W$4:$W$4407)</f>
        <v>#DIV/0!</v>
      </c>
      <c r="H2447" s="76">
        <f ca="1">SUMIF('Production '!$C$4:$AI$4407,'Tracking Sheet'!B2447,'Production '!$F$4:$F$4407)</f>
        <v>3230621.3283604058</v>
      </c>
      <c r="I2447" s="76">
        <f ca="1">SUMIF('Production '!$C$4:$AI$4407,'Tracking Sheet'!B2447,'Production '!$V$4:$V$4407)</f>
        <v>-489.86487791182844</v>
      </c>
      <c r="J2447" s="76">
        <f ca="1">SUMIF('Production '!$C$4:$AI$4407,'Tracking Sheet'!B2447,'Production '!$AG$4:$AG$4407)</f>
        <v>0</v>
      </c>
    </row>
    <row r="2448" spans="2:10" x14ac:dyDescent="0.3">
      <c r="B2448" s="277">
        <f>'Production '!C2451</f>
        <v>0</v>
      </c>
      <c r="C2448" s="76" t="e">
        <f ca="1">SUMIF('Production '!$C$4:$AI$4407,'Tracking Sheet'!B2448,'Production '!$M$4:$M$4407)</f>
        <v>#DIV/0!</v>
      </c>
      <c r="D2448" s="76" t="e">
        <f ca="1">SUMIF('Production '!$C$4:$AI$4407,'Tracking Sheet'!B2448,'Production '!$Q$4:$Q$4407)</f>
        <v>#DIV/0!</v>
      </c>
      <c r="E2448" s="76">
        <f ca="1">SUMIF('Production '!$C$4:$AI$4407,'Tracking Sheet'!B2448,'Production '!$S$4:$S$4407)</f>
        <v>-1268218.9828305368</v>
      </c>
      <c r="F2448" s="76">
        <f ca="1">SUMIF('Production '!$C$4:$AI$4407,'Tracking Sheet'!B2448,'Production '!$U$4:$U$4407)</f>
        <v>-10620.435600016917</v>
      </c>
      <c r="G2448" s="76" t="e">
        <f ca="1">SUMIF('Production '!$C$4:$AI$4407,'Tracking Sheet'!B2448,'Production '!$W$4:$W$4407)</f>
        <v>#DIV/0!</v>
      </c>
      <c r="H2448" s="76">
        <f ca="1">SUMIF('Production '!$C$4:$AI$4407,'Tracking Sheet'!B2448,'Production '!$F$4:$F$4407)</f>
        <v>3230621.3283604058</v>
      </c>
      <c r="I2448" s="76">
        <f ca="1">SUMIF('Production '!$C$4:$AI$4407,'Tracking Sheet'!B2448,'Production '!$V$4:$V$4407)</f>
        <v>-489.86487791182844</v>
      </c>
      <c r="J2448" s="76">
        <f ca="1">SUMIF('Production '!$C$4:$AI$4407,'Tracking Sheet'!B2448,'Production '!$AG$4:$AG$4407)</f>
        <v>0</v>
      </c>
    </row>
    <row r="2449" spans="2:10" x14ac:dyDescent="0.3">
      <c r="B2449" s="277">
        <f>'Production '!C2452</f>
        <v>0</v>
      </c>
      <c r="C2449" s="76" t="e">
        <f ca="1">SUMIF('Production '!$C$4:$AI$4407,'Tracking Sheet'!B2449,'Production '!$M$4:$M$4407)</f>
        <v>#DIV/0!</v>
      </c>
      <c r="D2449" s="76" t="e">
        <f ca="1">SUMIF('Production '!$C$4:$AI$4407,'Tracking Sheet'!B2449,'Production '!$Q$4:$Q$4407)</f>
        <v>#DIV/0!</v>
      </c>
      <c r="E2449" s="76">
        <f ca="1">SUMIF('Production '!$C$4:$AI$4407,'Tracking Sheet'!B2449,'Production '!$S$4:$S$4407)</f>
        <v>-1268218.9828305368</v>
      </c>
      <c r="F2449" s="76">
        <f ca="1">SUMIF('Production '!$C$4:$AI$4407,'Tracking Sheet'!B2449,'Production '!$U$4:$U$4407)</f>
        <v>-10620.435600016917</v>
      </c>
      <c r="G2449" s="76" t="e">
        <f ca="1">SUMIF('Production '!$C$4:$AI$4407,'Tracking Sheet'!B2449,'Production '!$W$4:$W$4407)</f>
        <v>#DIV/0!</v>
      </c>
      <c r="H2449" s="76">
        <f ca="1">SUMIF('Production '!$C$4:$AI$4407,'Tracking Sheet'!B2449,'Production '!$F$4:$F$4407)</f>
        <v>3230621.3283604058</v>
      </c>
      <c r="I2449" s="76">
        <f ca="1">SUMIF('Production '!$C$4:$AI$4407,'Tracking Sheet'!B2449,'Production '!$V$4:$V$4407)</f>
        <v>-489.86487791182844</v>
      </c>
      <c r="J2449" s="76">
        <f ca="1">SUMIF('Production '!$C$4:$AI$4407,'Tracking Sheet'!B2449,'Production '!$AG$4:$AG$4407)</f>
        <v>0</v>
      </c>
    </row>
    <row r="2450" spans="2:10" x14ac:dyDescent="0.3">
      <c r="B2450" s="277">
        <f>'Production '!C2453</f>
        <v>0</v>
      </c>
      <c r="C2450" s="76" t="e">
        <f ca="1">SUMIF('Production '!$C$4:$AI$4407,'Tracking Sheet'!B2450,'Production '!$M$4:$M$4407)</f>
        <v>#DIV/0!</v>
      </c>
      <c r="D2450" s="76" t="e">
        <f ca="1">SUMIF('Production '!$C$4:$AI$4407,'Tracking Sheet'!B2450,'Production '!$Q$4:$Q$4407)</f>
        <v>#DIV/0!</v>
      </c>
      <c r="E2450" s="76">
        <f ca="1">SUMIF('Production '!$C$4:$AI$4407,'Tracking Sheet'!B2450,'Production '!$S$4:$S$4407)</f>
        <v>-1268218.9828305368</v>
      </c>
      <c r="F2450" s="76">
        <f ca="1">SUMIF('Production '!$C$4:$AI$4407,'Tracking Sheet'!B2450,'Production '!$U$4:$U$4407)</f>
        <v>-10620.435600016917</v>
      </c>
      <c r="G2450" s="76" t="e">
        <f ca="1">SUMIF('Production '!$C$4:$AI$4407,'Tracking Sheet'!B2450,'Production '!$W$4:$W$4407)</f>
        <v>#DIV/0!</v>
      </c>
      <c r="H2450" s="76">
        <f ca="1">SUMIF('Production '!$C$4:$AI$4407,'Tracking Sheet'!B2450,'Production '!$F$4:$F$4407)</f>
        <v>3230621.3283604058</v>
      </c>
      <c r="I2450" s="76">
        <f ca="1">SUMIF('Production '!$C$4:$AI$4407,'Tracking Sheet'!B2450,'Production '!$V$4:$V$4407)</f>
        <v>-489.86487791182844</v>
      </c>
      <c r="J2450" s="76">
        <f ca="1">SUMIF('Production '!$C$4:$AI$4407,'Tracking Sheet'!B2450,'Production '!$AG$4:$AG$4407)</f>
        <v>0</v>
      </c>
    </row>
    <row r="2451" spans="2:10" x14ac:dyDescent="0.3">
      <c r="B2451" s="277">
        <f>'Production '!C2454</f>
        <v>0</v>
      </c>
      <c r="C2451" s="76" t="e">
        <f ca="1">SUMIF('Production '!$C$4:$AI$4407,'Tracking Sheet'!B2451,'Production '!$M$4:$M$4407)</f>
        <v>#DIV/0!</v>
      </c>
      <c r="D2451" s="76" t="e">
        <f ca="1">SUMIF('Production '!$C$4:$AI$4407,'Tracking Sheet'!B2451,'Production '!$Q$4:$Q$4407)</f>
        <v>#DIV/0!</v>
      </c>
      <c r="E2451" s="76">
        <f ca="1">SUMIF('Production '!$C$4:$AI$4407,'Tracking Sheet'!B2451,'Production '!$S$4:$S$4407)</f>
        <v>-1268218.9828305368</v>
      </c>
      <c r="F2451" s="76">
        <f ca="1">SUMIF('Production '!$C$4:$AI$4407,'Tracking Sheet'!B2451,'Production '!$U$4:$U$4407)</f>
        <v>-10620.435600016917</v>
      </c>
      <c r="G2451" s="76" t="e">
        <f ca="1">SUMIF('Production '!$C$4:$AI$4407,'Tracking Sheet'!B2451,'Production '!$W$4:$W$4407)</f>
        <v>#DIV/0!</v>
      </c>
      <c r="H2451" s="76">
        <f ca="1">SUMIF('Production '!$C$4:$AI$4407,'Tracking Sheet'!B2451,'Production '!$F$4:$F$4407)</f>
        <v>3230621.3283604058</v>
      </c>
      <c r="I2451" s="76">
        <f ca="1">SUMIF('Production '!$C$4:$AI$4407,'Tracking Sheet'!B2451,'Production '!$V$4:$V$4407)</f>
        <v>-489.86487791182844</v>
      </c>
      <c r="J2451" s="76">
        <f ca="1">SUMIF('Production '!$C$4:$AI$4407,'Tracking Sheet'!B2451,'Production '!$AG$4:$AG$4407)</f>
        <v>0</v>
      </c>
    </row>
    <row r="2452" spans="2:10" x14ac:dyDescent="0.3">
      <c r="B2452" s="277">
        <f>'Production '!C2455</f>
        <v>0</v>
      </c>
      <c r="C2452" s="76" t="e">
        <f ca="1">SUMIF('Production '!$C$4:$AI$4407,'Tracking Sheet'!B2452,'Production '!$M$4:$M$4407)</f>
        <v>#DIV/0!</v>
      </c>
      <c r="D2452" s="76" t="e">
        <f ca="1">SUMIF('Production '!$C$4:$AI$4407,'Tracking Sheet'!B2452,'Production '!$Q$4:$Q$4407)</f>
        <v>#DIV/0!</v>
      </c>
      <c r="E2452" s="76">
        <f ca="1">SUMIF('Production '!$C$4:$AI$4407,'Tracking Sheet'!B2452,'Production '!$S$4:$S$4407)</f>
        <v>-1268218.9828305368</v>
      </c>
      <c r="F2452" s="76">
        <f ca="1">SUMIF('Production '!$C$4:$AI$4407,'Tracking Sheet'!B2452,'Production '!$U$4:$U$4407)</f>
        <v>-10620.435600016917</v>
      </c>
      <c r="G2452" s="76" t="e">
        <f ca="1">SUMIF('Production '!$C$4:$AI$4407,'Tracking Sheet'!B2452,'Production '!$W$4:$W$4407)</f>
        <v>#DIV/0!</v>
      </c>
      <c r="H2452" s="76">
        <f ca="1">SUMIF('Production '!$C$4:$AI$4407,'Tracking Sheet'!B2452,'Production '!$F$4:$F$4407)</f>
        <v>3230621.3283604058</v>
      </c>
      <c r="I2452" s="76">
        <f ca="1">SUMIF('Production '!$C$4:$AI$4407,'Tracking Sheet'!B2452,'Production '!$V$4:$V$4407)</f>
        <v>-489.86487791182844</v>
      </c>
      <c r="J2452" s="76">
        <f ca="1">SUMIF('Production '!$C$4:$AI$4407,'Tracking Sheet'!B2452,'Production '!$AG$4:$AG$4407)</f>
        <v>0</v>
      </c>
    </row>
    <row r="2453" spans="2:10" x14ac:dyDescent="0.3">
      <c r="B2453" s="277">
        <f>'Production '!C2456</f>
        <v>0</v>
      </c>
      <c r="C2453" s="76" t="e">
        <f ca="1">SUMIF('Production '!$C$4:$AI$4407,'Tracking Sheet'!B2453,'Production '!$M$4:$M$4407)</f>
        <v>#DIV/0!</v>
      </c>
      <c r="D2453" s="76" t="e">
        <f ca="1">SUMIF('Production '!$C$4:$AI$4407,'Tracking Sheet'!B2453,'Production '!$Q$4:$Q$4407)</f>
        <v>#DIV/0!</v>
      </c>
      <c r="E2453" s="76">
        <f ca="1">SUMIF('Production '!$C$4:$AI$4407,'Tracking Sheet'!B2453,'Production '!$S$4:$S$4407)</f>
        <v>-1268218.9828305368</v>
      </c>
      <c r="F2453" s="76">
        <f ca="1">SUMIF('Production '!$C$4:$AI$4407,'Tracking Sheet'!B2453,'Production '!$U$4:$U$4407)</f>
        <v>-10620.435600016917</v>
      </c>
      <c r="G2453" s="76" t="e">
        <f ca="1">SUMIF('Production '!$C$4:$AI$4407,'Tracking Sheet'!B2453,'Production '!$W$4:$W$4407)</f>
        <v>#DIV/0!</v>
      </c>
      <c r="H2453" s="76">
        <f ca="1">SUMIF('Production '!$C$4:$AI$4407,'Tracking Sheet'!B2453,'Production '!$F$4:$F$4407)</f>
        <v>3230621.3283604058</v>
      </c>
      <c r="I2453" s="76">
        <f ca="1">SUMIF('Production '!$C$4:$AI$4407,'Tracking Sheet'!B2453,'Production '!$V$4:$V$4407)</f>
        <v>-489.86487791182844</v>
      </c>
      <c r="J2453" s="76">
        <f ca="1">SUMIF('Production '!$C$4:$AI$4407,'Tracking Sheet'!B2453,'Production '!$AG$4:$AG$4407)</f>
        <v>0</v>
      </c>
    </row>
    <row r="2454" spans="2:10" x14ac:dyDescent="0.3">
      <c r="B2454" s="277">
        <f>'Production '!C2457</f>
        <v>0</v>
      </c>
      <c r="C2454" s="76" t="e">
        <f ca="1">SUMIF('Production '!$C$4:$AI$4407,'Tracking Sheet'!B2454,'Production '!$M$4:$M$4407)</f>
        <v>#DIV/0!</v>
      </c>
      <c r="D2454" s="76" t="e">
        <f ca="1">SUMIF('Production '!$C$4:$AI$4407,'Tracking Sheet'!B2454,'Production '!$Q$4:$Q$4407)</f>
        <v>#DIV/0!</v>
      </c>
      <c r="E2454" s="76">
        <f ca="1">SUMIF('Production '!$C$4:$AI$4407,'Tracking Sheet'!B2454,'Production '!$S$4:$S$4407)</f>
        <v>-1268218.9828305368</v>
      </c>
      <c r="F2454" s="76">
        <f ca="1">SUMIF('Production '!$C$4:$AI$4407,'Tracking Sheet'!B2454,'Production '!$U$4:$U$4407)</f>
        <v>-10620.435600016917</v>
      </c>
      <c r="G2454" s="76" t="e">
        <f ca="1">SUMIF('Production '!$C$4:$AI$4407,'Tracking Sheet'!B2454,'Production '!$W$4:$W$4407)</f>
        <v>#DIV/0!</v>
      </c>
      <c r="H2454" s="76">
        <f ca="1">SUMIF('Production '!$C$4:$AI$4407,'Tracking Sheet'!B2454,'Production '!$F$4:$F$4407)</f>
        <v>3230621.3283604058</v>
      </c>
      <c r="I2454" s="76">
        <f ca="1">SUMIF('Production '!$C$4:$AI$4407,'Tracking Sheet'!B2454,'Production '!$V$4:$V$4407)</f>
        <v>-489.86487791182844</v>
      </c>
      <c r="J2454" s="76">
        <f ca="1">SUMIF('Production '!$C$4:$AI$4407,'Tracking Sheet'!B2454,'Production '!$AG$4:$AG$4407)</f>
        <v>0</v>
      </c>
    </row>
    <row r="2455" spans="2:10" x14ac:dyDescent="0.3">
      <c r="B2455" s="277">
        <f>'Production '!C2458</f>
        <v>0</v>
      </c>
      <c r="C2455" s="76" t="e">
        <f ca="1">SUMIF('Production '!$C$4:$AI$4407,'Tracking Sheet'!B2455,'Production '!$M$4:$M$4407)</f>
        <v>#DIV/0!</v>
      </c>
      <c r="D2455" s="76" t="e">
        <f ca="1">SUMIF('Production '!$C$4:$AI$4407,'Tracking Sheet'!B2455,'Production '!$Q$4:$Q$4407)</f>
        <v>#DIV/0!</v>
      </c>
      <c r="E2455" s="76">
        <f ca="1">SUMIF('Production '!$C$4:$AI$4407,'Tracking Sheet'!B2455,'Production '!$S$4:$S$4407)</f>
        <v>-1268218.9828305368</v>
      </c>
      <c r="F2455" s="76">
        <f ca="1">SUMIF('Production '!$C$4:$AI$4407,'Tracking Sheet'!B2455,'Production '!$U$4:$U$4407)</f>
        <v>-10620.435600016917</v>
      </c>
      <c r="G2455" s="76" t="e">
        <f ca="1">SUMIF('Production '!$C$4:$AI$4407,'Tracking Sheet'!B2455,'Production '!$W$4:$W$4407)</f>
        <v>#DIV/0!</v>
      </c>
      <c r="H2455" s="76">
        <f ca="1">SUMIF('Production '!$C$4:$AI$4407,'Tracking Sheet'!B2455,'Production '!$F$4:$F$4407)</f>
        <v>3230621.3283604058</v>
      </c>
      <c r="I2455" s="76">
        <f ca="1">SUMIF('Production '!$C$4:$AI$4407,'Tracking Sheet'!B2455,'Production '!$V$4:$V$4407)</f>
        <v>-489.86487791182844</v>
      </c>
      <c r="J2455" s="76">
        <f ca="1">SUMIF('Production '!$C$4:$AI$4407,'Tracking Sheet'!B2455,'Production '!$AG$4:$AG$4407)</f>
        <v>0</v>
      </c>
    </row>
    <row r="2456" spans="2:10" x14ac:dyDescent="0.3">
      <c r="B2456" s="277">
        <f>'Production '!C2459</f>
        <v>0</v>
      </c>
      <c r="C2456" s="76" t="e">
        <f ca="1">SUMIF('Production '!$C$4:$AI$4407,'Tracking Sheet'!B2456,'Production '!$M$4:$M$4407)</f>
        <v>#DIV/0!</v>
      </c>
      <c r="D2456" s="76" t="e">
        <f ca="1">SUMIF('Production '!$C$4:$AI$4407,'Tracking Sheet'!B2456,'Production '!$Q$4:$Q$4407)</f>
        <v>#DIV/0!</v>
      </c>
      <c r="E2456" s="76">
        <f ca="1">SUMIF('Production '!$C$4:$AI$4407,'Tracking Sheet'!B2456,'Production '!$S$4:$S$4407)</f>
        <v>-1268218.9828305368</v>
      </c>
      <c r="F2456" s="76">
        <f ca="1">SUMIF('Production '!$C$4:$AI$4407,'Tracking Sheet'!B2456,'Production '!$U$4:$U$4407)</f>
        <v>-10620.435600016917</v>
      </c>
      <c r="G2456" s="76" t="e">
        <f ca="1">SUMIF('Production '!$C$4:$AI$4407,'Tracking Sheet'!B2456,'Production '!$W$4:$W$4407)</f>
        <v>#DIV/0!</v>
      </c>
      <c r="H2456" s="76">
        <f ca="1">SUMIF('Production '!$C$4:$AI$4407,'Tracking Sheet'!B2456,'Production '!$F$4:$F$4407)</f>
        <v>3230621.3283604058</v>
      </c>
      <c r="I2456" s="76">
        <f ca="1">SUMIF('Production '!$C$4:$AI$4407,'Tracking Sheet'!B2456,'Production '!$V$4:$V$4407)</f>
        <v>-489.86487791182844</v>
      </c>
      <c r="J2456" s="76">
        <f ca="1">SUMIF('Production '!$C$4:$AI$4407,'Tracking Sheet'!B2456,'Production '!$AG$4:$AG$4407)</f>
        <v>0</v>
      </c>
    </row>
    <row r="2457" spans="2:10" x14ac:dyDescent="0.3">
      <c r="B2457" s="277">
        <f>'Production '!C2460</f>
        <v>0</v>
      </c>
      <c r="C2457" s="76" t="e">
        <f ca="1">SUMIF('Production '!$C$4:$AI$4407,'Tracking Sheet'!B2457,'Production '!$M$4:$M$4407)</f>
        <v>#DIV/0!</v>
      </c>
      <c r="D2457" s="76" t="e">
        <f ca="1">SUMIF('Production '!$C$4:$AI$4407,'Tracking Sheet'!B2457,'Production '!$Q$4:$Q$4407)</f>
        <v>#DIV/0!</v>
      </c>
      <c r="E2457" s="76">
        <f ca="1">SUMIF('Production '!$C$4:$AI$4407,'Tracking Sheet'!B2457,'Production '!$S$4:$S$4407)</f>
        <v>-1268218.9828305368</v>
      </c>
      <c r="F2457" s="76">
        <f ca="1">SUMIF('Production '!$C$4:$AI$4407,'Tracking Sheet'!B2457,'Production '!$U$4:$U$4407)</f>
        <v>-10620.435600016917</v>
      </c>
      <c r="G2457" s="76" t="e">
        <f ca="1">SUMIF('Production '!$C$4:$AI$4407,'Tracking Sheet'!B2457,'Production '!$W$4:$W$4407)</f>
        <v>#DIV/0!</v>
      </c>
      <c r="H2457" s="76">
        <f ca="1">SUMIF('Production '!$C$4:$AI$4407,'Tracking Sheet'!B2457,'Production '!$F$4:$F$4407)</f>
        <v>3230621.3283604058</v>
      </c>
      <c r="I2457" s="76">
        <f ca="1">SUMIF('Production '!$C$4:$AI$4407,'Tracking Sheet'!B2457,'Production '!$V$4:$V$4407)</f>
        <v>-489.86487791182844</v>
      </c>
      <c r="J2457" s="76">
        <f ca="1">SUMIF('Production '!$C$4:$AI$4407,'Tracking Sheet'!B2457,'Production '!$AG$4:$AG$4407)</f>
        <v>0</v>
      </c>
    </row>
    <row r="2458" spans="2:10" x14ac:dyDescent="0.3">
      <c r="B2458" s="277">
        <f>'Production '!C2461</f>
        <v>0</v>
      </c>
      <c r="C2458" s="76" t="e">
        <f ca="1">SUMIF('Production '!$C$4:$AI$4407,'Tracking Sheet'!B2458,'Production '!$M$4:$M$4407)</f>
        <v>#DIV/0!</v>
      </c>
      <c r="D2458" s="76" t="e">
        <f ca="1">SUMIF('Production '!$C$4:$AI$4407,'Tracking Sheet'!B2458,'Production '!$Q$4:$Q$4407)</f>
        <v>#DIV/0!</v>
      </c>
      <c r="E2458" s="76">
        <f ca="1">SUMIF('Production '!$C$4:$AI$4407,'Tracking Sheet'!B2458,'Production '!$S$4:$S$4407)</f>
        <v>-1268218.9828305368</v>
      </c>
      <c r="F2458" s="76">
        <f ca="1">SUMIF('Production '!$C$4:$AI$4407,'Tracking Sheet'!B2458,'Production '!$U$4:$U$4407)</f>
        <v>-10620.435600016917</v>
      </c>
      <c r="G2458" s="76" t="e">
        <f ca="1">SUMIF('Production '!$C$4:$AI$4407,'Tracking Sheet'!B2458,'Production '!$W$4:$W$4407)</f>
        <v>#DIV/0!</v>
      </c>
      <c r="H2458" s="76">
        <f ca="1">SUMIF('Production '!$C$4:$AI$4407,'Tracking Sheet'!B2458,'Production '!$F$4:$F$4407)</f>
        <v>3230621.3283604058</v>
      </c>
      <c r="I2458" s="76">
        <f ca="1">SUMIF('Production '!$C$4:$AI$4407,'Tracking Sheet'!B2458,'Production '!$V$4:$V$4407)</f>
        <v>-489.86487791182844</v>
      </c>
      <c r="J2458" s="76">
        <f ca="1">SUMIF('Production '!$C$4:$AI$4407,'Tracking Sheet'!B2458,'Production '!$AG$4:$AG$4407)</f>
        <v>0</v>
      </c>
    </row>
    <row r="2459" spans="2:10" x14ac:dyDescent="0.3">
      <c r="B2459" s="277">
        <f>'Production '!C2462</f>
        <v>0</v>
      </c>
      <c r="C2459" s="76" t="e">
        <f ca="1">SUMIF('Production '!$C$4:$AI$4407,'Tracking Sheet'!B2459,'Production '!$M$4:$M$4407)</f>
        <v>#DIV/0!</v>
      </c>
      <c r="D2459" s="76" t="e">
        <f ca="1">SUMIF('Production '!$C$4:$AI$4407,'Tracking Sheet'!B2459,'Production '!$Q$4:$Q$4407)</f>
        <v>#DIV/0!</v>
      </c>
      <c r="E2459" s="76">
        <f ca="1">SUMIF('Production '!$C$4:$AI$4407,'Tracking Sheet'!B2459,'Production '!$S$4:$S$4407)</f>
        <v>-1268218.9828305368</v>
      </c>
      <c r="F2459" s="76">
        <f ca="1">SUMIF('Production '!$C$4:$AI$4407,'Tracking Sheet'!B2459,'Production '!$U$4:$U$4407)</f>
        <v>-10620.435600016917</v>
      </c>
      <c r="G2459" s="76" t="e">
        <f ca="1">SUMIF('Production '!$C$4:$AI$4407,'Tracking Sheet'!B2459,'Production '!$W$4:$W$4407)</f>
        <v>#DIV/0!</v>
      </c>
      <c r="H2459" s="76">
        <f ca="1">SUMIF('Production '!$C$4:$AI$4407,'Tracking Sheet'!B2459,'Production '!$F$4:$F$4407)</f>
        <v>3230621.3283604058</v>
      </c>
      <c r="I2459" s="76">
        <f ca="1">SUMIF('Production '!$C$4:$AI$4407,'Tracking Sheet'!B2459,'Production '!$V$4:$V$4407)</f>
        <v>-489.86487791182844</v>
      </c>
      <c r="J2459" s="76">
        <f ca="1">SUMIF('Production '!$C$4:$AI$4407,'Tracking Sheet'!B2459,'Production '!$AG$4:$AG$4407)</f>
        <v>0</v>
      </c>
    </row>
    <row r="2460" spans="2:10" x14ac:dyDescent="0.3">
      <c r="B2460" s="277">
        <f>'Production '!C2463</f>
        <v>0</v>
      </c>
      <c r="C2460" s="76" t="e">
        <f ca="1">SUMIF('Production '!$C$4:$AI$4407,'Tracking Sheet'!B2460,'Production '!$M$4:$M$4407)</f>
        <v>#DIV/0!</v>
      </c>
      <c r="D2460" s="76" t="e">
        <f ca="1">SUMIF('Production '!$C$4:$AI$4407,'Tracking Sheet'!B2460,'Production '!$Q$4:$Q$4407)</f>
        <v>#DIV/0!</v>
      </c>
      <c r="E2460" s="76">
        <f ca="1">SUMIF('Production '!$C$4:$AI$4407,'Tracking Sheet'!B2460,'Production '!$S$4:$S$4407)</f>
        <v>-1268218.9828305368</v>
      </c>
      <c r="F2460" s="76">
        <f ca="1">SUMIF('Production '!$C$4:$AI$4407,'Tracking Sheet'!B2460,'Production '!$U$4:$U$4407)</f>
        <v>-10620.435600016917</v>
      </c>
      <c r="G2460" s="76" t="e">
        <f ca="1">SUMIF('Production '!$C$4:$AI$4407,'Tracking Sheet'!B2460,'Production '!$W$4:$W$4407)</f>
        <v>#DIV/0!</v>
      </c>
      <c r="H2460" s="76">
        <f ca="1">SUMIF('Production '!$C$4:$AI$4407,'Tracking Sheet'!B2460,'Production '!$F$4:$F$4407)</f>
        <v>3230621.3283604058</v>
      </c>
      <c r="I2460" s="76">
        <f ca="1">SUMIF('Production '!$C$4:$AI$4407,'Tracking Sheet'!B2460,'Production '!$V$4:$V$4407)</f>
        <v>-489.86487791182844</v>
      </c>
      <c r="J2460" s="76">
        <f ca="1">SUMIF('Production '!$C$4:$AI$4407,'Tracking Sheet'!B2460,'Production '!$AG$4:$AG$4407)</f>
        <v>0</v>
      </c>
    </row>
    <row r="2461" spans="2:10" x14ac:dyDescent="0.3">
      <c r="B2461" s="277">
        <f>'Production '!C2464</f>
        <v>0</v>
      </c>
      <c r="C2461" s="76" t="e">
        <f ca="1">SUMIF('Production '!$C$4:$AI$4407,'Tracking Sheet'!B2461,'Production '!$M$4:$M$4407)</f>
        <v>#DIV/0!</v>
      </c>
      <c r="D2461" s="76" t="e">
        <f ca="1">SUMIF('Production '!$C$4:$AI$4407,'Tracking Sheet'!B2461,'Production '!$Q$4:$Q$4407)</f>
        <v>#DIV/0!</v>
      </c>
      <c r="E2461" s="76">
        <f ca="1">SUMIF('Production '!$C$4:$AI$4407,'Tracking Sheet'!B2461,'Production '!$S$4:$S$4407)</f>
        <v>-1268218.9828305368</v>
      </c>
      <c r="F2461" s="76">
        <f ca="1">SUMIF('Production '!$C$4:$AI$4407,'Tracking Sheet'!B2461,'Production '!$U$4:$U$4407)</f>
        <v>-10620.435600016917</v>
      </c>
      <c r="G2461" s="76" t="e">
        <f ca="1">SUMIF('Production '!$C$4:$AI$4407,'Tracking Sheet'!B2461,'Production '!$W$4:$W$4407)</f>
        <v>#DIV/0!</v>
      </c>
      <c r="H2461" s="76">
        <f ca="1">SUMIF('Production '!$C$4:$AI$4407,'Tracking Sheet'!B2461,'Production '!$F$4:$F$4407)</f>
        <v>3230621.3283604058</v>
      </c>
      <c r="I2461" s="76">
        <f ca="1">SUMIF('Production '!$C$4:$AI$4407,'Tracking Sheet'!B2461,'Production '!$V$4:$V$4407)</f>
        <v>-489.86487791182844</v>
      </c>
      <c r="J2461" s="76">
        <f ca="1">SUMIF('Production '!$C$4:$AI$4407,'Tracking Sheet'!B2461,'Production '!$AG$4:$AG$4407)</f>
        <v>0</v>
      </c>
    </row>
    <row r="2462" spans="2:10" x14ac:dyDescent="0.3">
      <c r="B2462" s="277">
        <f>'Production '!C2465</f>
        <v>0</v>
      </c>
      <c r="C2462" s="76" t="e">
        <f ca="1">SUMIF('Production '!$C$4:$AI$4407,'Tracking Sheet'!B2462,'Production '!$M$4:$M$4407)</f>
        <v>#DIV/0!</v>
      </c>
      <c r="D2462" s="76" t="e">
        <f ca="1">SUMIF('Production '!$C$4:$AI$4407,'Tracking Sheet'!B2462,'Production '!$Q$4:$Q$4407)</f>
        <v>#DIV/0!</v>
      </c>
      <c r="E2462" s="76">
        <f ca="1">SUMIF('Production '!$C$4:$AI$4407,'Tracking Sheet'!B2462,'Production '!$S$4:$S$4407)</f>
        <v>-1268218.9828305368</v>
      </c>
      <c r="F2462" s="76">
        <f ca="1">SUMIF('Production '!$C$4:$AI$4407,'Tracking Sheet'!B2462,'Production '!$U$4:$U$4407)</f>
        <v>-10620.435600016917</v>
      </c>
      <c r="G2462" s="76" t="e">
        <f ca="1">SUMIF('Production '!$C$4:$AI$4407,'Tracking Sheet'!B2462,'Production '!$W$4:$W$4407)</f>
        <v>#DIV/0!</v>
      </c>
      <c r="H2462" s="76">
        <f ca="1">SUMIF('Production '!$C$4:$AI$4407,'Tracking Sheet'!B2462,'Production '!$F$4:$F$4407)</f>
        <v>3230621.3283604058</v>
      </c>
      <c r="I2462" s="76">
        <f ca="1">SUMIF('Production '!$C$4:$AI$4407,'Tracking Sheet'!B2462,'Production '!$V$4:$V$4407)</f>
        <v>-489.86487791182844</v>
      </c>
      <c r="J2462" s="76">
        <f ca="1">SUMIF('Production '!$C$4:$AI$4407,'Tracking Sheet'!B2462,'Production '!$AG$4:$AG$4407)</f>
        <v>0</v>
      </c>
    </row>
    <row r="2463" spans="2:10" x14ac:dyDescent="0.3">
      <c r="B2463" s="277">
        <f>'Production '!C2466</f>
        <v>0</v>
      </c>
      <c r="C2463" s="76" t="e">
        <f ca="1">SUMIF('Production '!$C$4:$AI$4407,'Tracking Sheet'!B2463,'Production '!$M$4:$M$4407)</f>
        <v>#DIV/0!</v>
      </c>
      <c r="D2463" s="76" t="e">
        <f ca="1">SUMIF('Production '!$C$4:$AI$4407,'Tracking Sheet'!B2463,'Production '!$Q$4:$Q$4407)</f>
        <v>#DIV/0!</v>
      </c>
      <c r="E2463" s="76">
        <f ca="1">SUMIF('Production '!$C$4:$AI$4407,'Tracking Sheet'!B2463,'Production '!$S$4:$S$4407)</f>
        <v>-1268218.9828305368</v>
      </c>
      <c r="F2463" s="76">
        <f ca="1">SUMIF('Production '!$C$4:$AI$4407,'Tracking Sheet'!B2463,'Production '!$U$4:$U$4407)</f>
        <v>-10620.435600016917</v>
      </c>
      <c r="G2463" s="76" t="e">
        <f ca="1">SUMIF('Production '!$C$4:$AI$4407,'Tracking Sheet'!B2463,'Production '!$W$4:$W$4407)</f>
        <v>#DIV/0!</v>
      </c>
      <c r="H2463" s="76">
        <f ca="1">SUMIF('Production '!$C$4:$AI$4407,'Tracking Sheet'!B2463,'Production '!$F$4:$F$4407)</f>
        <v>3230621.3283604058</v>
      </c>
      <c r="I2463" s="76">
        <f ca="1">SUMIF('Production '!$C$4:$AI$4407,'Tracking Sheet'!B2463,'Production '!$V$4:$V$4407)</f>
        <v>-489.86487791182844</v>
      </c>
      <c r="J2463" s="76">
        <f ca="1">SUMIF('Production '!$C$4:$AI$4407,'Tracking Sheet'!B2463,'Production '!$AG$4:$AG$4407)</f>
        <v>0</v>
      </c>
    </row>
    <row r="2464" spans="2:10" x14ac:dyDescent="0.3">
      <c r="B2464" s="277">
        <f>'Production '!C2467</f>
        <v>0</v>
      </c>
      <c r="C2464" s="76" t="e">
        <f ca="1">SUMIF('Production '!$C$4:$AI$4407,'Tracking Sheet'!B2464,'Production '!$M$4:$M$4407)</f>
        <v>#DIV/0!</v>
      </c>
      <c r="D2464" s="76" t="e">
        <f ca="1">SUMIF('Production '!$C$4:$AI$4407,'Tracking Sheet'!B2464,'Production '!$Q$4:$Q$4407)</f>
        <v>#DIV/0!</v>
      </c>
      <c r="E2464" s="76">
        <f ca="1">SUMIF('Production '!$C$4:$AI$4407,'Tracking Sheet'!B2464,'Production '!$S$4:$S$4407)</f>
        <v>-1268218.9828305368</v>
      </c>
      <c r="F2464" s="76">
        <f ca="1">SUMIF('Production '!$C$4:$AI$4407,'Tracking Sheet'!B2464,'Production '!$U$4:$U$4407)</f>
        <v>-10620.435600016917</v>
      </c>
      <c r="G2464" s="76" t="e">
        <f ca="1">SUMIF('Production '!$C$4:$AI$4407,'Tracking Sheet'!B2464,'Production '!$W$4:$W$4407)</f>
        <v>#DIV/0!</v>
      </c>
      <c r="H2464" s="76">
        <f ca="1">SUMIF('Production '!$C$4:$AI$4407,'Tracking Sheet'!B2464,'Production '!$F$4:$F$4407)</f>
        <v>3230621.3283604058</v>
      </c>
      <c r="I2464" s="76">
        <f ca="1">SUMIF('Production '!$C$4:$AI$4407,'Tracking Sheet'!B2464,'Production '!$V$4:$V$4407)</f>
        <v>-489.86487791182844</v>
      </c>
      <c r="J2464" s="76">
        <f ca="1">SUMIF('Production '!$C$4:$AI$4407,'Tracking Sheet'!B2464,'Production '!$AG$4:$AG$4407)</f>
        <v>0</v>
      </c>
    </row>
    <row r="2465" spans="2:10" x14ac:dyDescent="0.3">
      <c r="B2465" s="277">
        <f>'Production '!C2468</f>
        <v>0</v>
      </c>
      <c r="C2465" s="76" t="e">
        <f ca="1">SUMIF('Production '!$C$4:$AI$4407,'Tracking Sheet'!B2465,'Production '!$M$4:$M$4407)</f>
        <v>#DIV/0!</v>
      </c>
      <c r="D2465" s="76" t="e">
        <f ca="1">SUMIF('Production '!$C$4:$AI$4407,'Tracking Sheet'!B2465,'Production '!$Q$4:$Q$4407)</f>
        <v>#DIV/0!</v>
      </c>
      <c r="E2465" s="76">
        <f ca="1">SUMIF('Production '!$C$4:$AI$4407,'Tracking Sheet'!B2465,'Production '!$S$4:$S$4407)</f>
        <v>-1268218.9828305368</v>
      </c>
      <c r="F2465" s="76">
        <f ca="1">SUMIF('Production '!$C$4:$AI$4407,'Tracking Sheet'!B2465,'Production '!$U$4:$U$4407)</f>
        <v>-10620.435600016917</v>
      </c>
      <c r="G2465" s="76" t="e">
        <f ca="1">SUMIF('Production '!$C$4:$AI$4407,'Tracking Sheet'!B2465,'Production '!$W$4:$W$4407)</f>
        <v>#DIV/0!</v>
      </c>
      <c r="H2465" s="76">
        <f ca="1">SUMIF('Production '!$C$4:$AI$4407,'Tracking Sheet'!B2465,'Production '!$F$4:$F$4407)</f>
        <v>3230621.3283604058</v>
      </c>
      <c r="I2465" s="76">
        <f ca="1">SUMIF('Production '!$C$4:$AI$4407,'Tracking Sheet'!B2465,'Production '!$V$4:$V$4407)</f>
        <v>-489.86487791182844</v>
      </c>
      <c r="J2465" s="76">
        <f ca="1">SUMIF('Production '!$C$4:$AI$4407,'Tracking Sheet'!B2465,'Production '!$AG$4:$AG$4407)</f>
        <v>0</v>
      </c>
    </row>
    <row r="2466" spans="2:10" x14ac:dyDescent="0.3">
      <c r="B2466" s="277">
        <f>'Production '!C2469</f>
        <v>0</v>
      </c>
      <c r="C2466" s="76" t="e">
        <f ca="1">SUMIF('Production '!$C$4:$AI$4407,'Tracking Sheet'!B2466,'Production '!$M$4:$M$4407)</f>
        <v>#DIV/0!</v>
      </c>
      <c r="D2466" s="76" t="e">
        <f ca="1">SUMIF('Production '!$C$4:$AI$4407,'Tracking Sheet'!B2466,'Production '!$Q$4:$Q$4407)</f>
        <v>#DIV/0!</v>
      </c>
      <c r="E2466" s="76">
        <f ca="1">SUMIF('Production '!$C$4:$AI$4407,'Tracking Sheet'!B2466,'Production '!$S$4:$S$4407)</f>
        <v>-1268218.9828305368</v>
      </c>
      <c r="F2466" s="76">
        <f ca="1">SUMIF('Production '!$C$4:$AI$4407,'Tracking Sheet'!B2466,'Production '!$U$4:$U$4407)</f>
        <v>-10620.435600016917</v>
      </c>
      <c r="G2466" s="76" t="e">
        <f ca="1">SUMIF('Production '!$C$4:$AI$4407,'Tracking Sheet'!B2466,'Production '!$W$4:$W$4407)</f>
        <v>#DIV/0!</v>
      </c>
      <c r="H2466" s="76">
        <f ca="1">SUMIF('Production '!$C$4:$AI$4407,'Tracking Sheet'!B2466,'Production '!$F$4:$F$4407)</f>
        <v>3230621.3283604058</v>
      </c>
      <c r="I2466" s="76">
        <f ca="1">SUMIF('Production '!$C$4:$AI$4407,'Tracking Sheet'!B2466,'Production '!$V$4:$V$4407)</f>
        <v>-489.86487791182844</v>
      </c>
      <c r="J2466" s="76">
        <f ca="1">SUMIF('Production '!$C$4:$AI$4407,'Tracking Sheet'!B2466,'Production '!$AG$4:$AG$4407)</f>
        <v>0</v>
      </c>
    </row>
    <row r="2467" spans="2:10" x14ac:dyDescent="0.3">
      <c r="B2467" s="277">
        <f>'Production '!C2470</f>
        <v>0</v>
      </c>
      <c r="C2467" s="76" t="e">
        <f ca="1">SUMIF('Production '!$C$4:$AI$4407,'Tracking Sheet'!B2467,'Production '!$M$4:$M$4407)</f>
        <v>#DIV/0!</v>
      </c>
      <c r="D2467" s="76" t="e">
        <f ca="1">SUMIF('Production '!$C$4:$AI$4407,'Tracking Sheet'!B2467,'Production '!$Q$4:$Q$4407)</f>
        <v>#DIV/0!</v>
      </c>
      <c r="E2467" s="76">
        <f ca="1">SUMIF('Production '!$C$4:$AI$4407,'Tracking Sheet'!B2467,'Production '!$S$4:$S$4407)</f>
        <v>-1268218.9828305368</v>
      </c>
      <c r="F2467" s="76">
        <f ca="1">SUMIF('Production '!$C$4:$AI$4407,'Tracking Sheet'!B2467,'Production '!$U$4:$U$4407)</f>
        <v>-10620.435600016917</v>
      </c>
      <c r="G2467" s="76" t="e">
        <f ca="1">SUMIF('Production '!$C$4:$AI$4407,'Tracking Sheet'!B2467,'Production '!$W$4:$W$4407)</f>
        <v>#DIV/0!</v>
      </c>
      <c r="H2467" s="76">
        <f ca="1">SUMIF('Production '!$C$4:$AI$4407,'Tracking Sheet'!B2467,'Production '!$F$4:$F$4407)</f>
        <v>3230621.3283604058</v>
      </c>
      <c r="I2467" s="76">
        <f ca="1">SUMIF('Production '!$C$4:$AI$4407,'Tracking Sheet'!B2467,'Production '!$V$4:$V$4407)</f>
        <v>-489.86487791182844</v>
      </c>
      <c r="J2467" s="76">
        <f ca="1">SUMIF('Production '!$C$4:$AI$4407,'Tracking Sheet'!B2467,'Production '!$AG$4:$AG$4407)</f>
        <v>0</v>
      </c>
    </row>
    <row r="2468" spans="2:10" x14ac:dyDescent="0.3">
      <c r="B2468" s="277">
        <f>'Production '!C2471</f>
        <v>0</v>
      </c>
      <c r="C2468" s="76" t="e">
        <f ca="1">SUMIF('Production '!$C$4:$AI$4407,'Tracking Sheet'!B2468,'Production '!$M$4:$M$4407)</f>
        <v>#DIV/0!</v>
      </c>
      <c r="D2468" s="76" t="e">
        <f ca="1">SUMIF('Production '!$C$4:$AI$4407,'Tracking Sheet'!B2468,'Production '!$Q$4:$Q$4407)</f>
        <v>#DIV/0!</v>
      </c>
      <c r="E2468" s="76">
        <f ca="1">SUMIF('Production '!$C$4:$AI$4407,'Tracking Sheet'!B2468,'Production '!$S$4:$S$4407)</f>
        <v>-1268218.9828305368</v>
      </c>
      <c r="F2468" s="76">
        <f ca="1">SUMIF('Production '!$C$4:$AI$4407,'Tracking Sheet'!B2468,'Production '!$U$4:$U$4407)</f>
        <v>-10620.435600016917</v>
      </c>
      <c r="G2468" s="76" t="e">
        <f ca="1">SUMIF('Production '!$C$4:$AI$4407,'Tracking Sheet'!B2468,'Production '!$W$4:$W$4407)</f>
        <v>#DIV/0!</v>
      </c>
      <c r="H2468" s="76">
        <f ca="1">SUMIF('Production '!$C$4:$AI$4407,'Tracking Sheet'!B2468,'Production '!$F$4:$F$4407)</f>
        <v>3230621.3283604058</v>
      </c>
      <c r="I2468" s="76">
        <f ca="1">SUMIF('Production '!$C$4:$AI$4407,'Tracking Sheet'!B2468,'Production '!$V$4:$V$4407)</f>
        <v>-489.86487791182844</v>
      </c>
      <c r="J2468" s="76">
        <f ca="1">SUMIF('Production '!$C$4:$AI$4407,'Tracking Sheet'!B2468,'Production '!$AG$4:$AG$4407)</f>
        <v>0</v>
      </c>
    </row>
    <row r="2469" spans="2:10" x14ac:dyDescent="0.3">
      <c r="B2469" s="277">
        <f>'Production '!C2472</f>
        <v>0</v>
      </c>
      <c r="C2469" s="76" t="e">
        <f ca="1">SUMIF('Production '!$C$4:$AI$4407,'Tracking Sheet'!B2469,'Production '!$M$4:$M$4407)</f>
        <v>#DIV/0!</v>
      </c>
      <c r="D2469" s="76" t="e">
        <f ca="1">SUMIF('Production '!$C$4:$AI$4407,'Tracking Sheet'!B2469,'Production '!$Q$4:$Q$4407)</f>
        <v>#DIV/0!</v>
      </c>
      <c r="E2469" s="76">
        <f ca="1">SUMIF('Production '!$C$4:$AI$4407,'Tracking Sheet'!B2469,'Production '!$S$4:$S$4407)</f>
        <v>-1268218.9828305368</v>
      </c>
      <c r="F2469" s="76">
        <f ca="1">SUMIF('Production '!$C$4:$AI$4407,'Tracking Sheet'!B2469,'Production '!$U$4:$U$4407)</f>
        <v>-10620.435600016917</v>
      </c>
      <c r="G2469" s="76" t="e">
        <f ca="1">SUMIF('Production '!$C$4:$AI$4407,'Tracking Sheet'!B2469,'Production '!$W$4:$W$4407)</f>
        <v>#DIV/0!</v>
      </c>
      <c r="H2469" s="76">
        <f ca="1">SUMIF('Production '!$C$4:$AI$4407,'Tracking Sheet'!B2469,'Production '!$F$4:$F$4407)</f>
        <v>3230621.3283604058</v>
      </c>
      <c r="I2469" s="76">
        <f ca="1">SUMIF('Production '!$C$4:$AI$4407,'Tracking Sheet'!B2469,'Production '!$V$4:$V$4407)</f>
        <v>-489.86487791182844</v>
      </c>
      <c r="J2469" s="76">
        <f ca="1">SUMIF('Production '!$C$4:$AI$4407,'Tracking Sheet'!B2469,'Production '!$AG$4:$AG$4407)</f>
        <v>0</v>
      </c>
    </row>
    <row r="2470" spans="2:10" x14ac:dyDescent="0.3">
      <c r="B2470" s="277">
        <f>'Production '!C2473</f>
        <v>0</v>
      </c>
      <c r="C2470" s="76" t="e">
        <f ca="1">SUMIF('Production '!$C$4:$AI$4407,'Tracking Sheet'!B2470,'Production '!$M$4:$M$4407)</f>
        <v>#DIV/0!</v>
      </c>
      <c r="D2470" s="76" t="e">
        <f ca="1">SUMIF('Production '!$C$4:$AI$4407,'Tracking Sheet'!B2470,'Production '!$Q$4:$Q$4407)</f>
        <v>#DIV/0!</v>
      </c>
      <c r="E2470" s="76">
        <f ca="1">SUMIF('Production '!$C$4:$AI$4407,'Tracking Sheet'!B2470,'Production '!$S$4:$S$4407)</f>
        <v>-1268218.9828305368</v>
      </c>
      <c r="F2470" s="76">
        <f ca="1">SUMIF('Production '!$C$4:$AI$4407,'Tracking Sheet'!B2470,'Production '!$U$4:$U$4407)</f>
        <v>-10620.435600016917</v>
      </c>
      <c r="G2470" s="76" t="e">
        <f ca="1">SUMIF('Production '!$C$4:$AI$4407,'Tracking Sheet'!B2470,'Production '!$W$4:$W$4407)</f>
        <v>#DIV/0!</v>
      </c>
      <c r="H2470" s="76">
        <f ca="1">SUMIF('Production '!$C$4:$AI$4407,'Tracking Sheet'!B2470,'Production '!$F$4:$F$4407)</f>
        <v>3230621.3283604058</v>
      </c>
      <c r="I2470" s="76">
        <f ca="1">SUMIF('Production '!$C$4:$AI$4407,'Tracking Sheet'!B2470,'Production '!$V$4:$V$4407)</f>
        <v>-489.86487791182844</v>
      </c>
      <c r="J2470" s="76">
        <f ca="1">SUMIF('Production '!$C$4:$AI$4407,'Tracking Sheet'!B2470,'Production '!$AG$4:$AG$4407)</f>
        <v>0</v>
      </c>
    </row>
    <row r="2471" spans="2:10" x14ac:dyDescent="0.3">
      <c r="B2471" s="277">
        <f>'Production '!C2474</f>
        <v>0</v>
      </c>
      <c r="C2471" s="76" t="e">
        <f ca="1">SUMIF('Production '!$C$4:$AI$4407,'Tracking Sheet'!B2471,'Production '!$M$4:$M$4407)</f>
        <v>#DIV/0!</v>
      </c>
      <c r="D2471" s="76" t="e">
        <f ca="1">SUMIF('Production '!$C$4:$AI$4407,'Tracking Sheet'!B2471,'Production '!$Q$4:$Q$4407)</f>
        <v>#DIV/0!</v>
      </c>
      <c r="E2471" s="76">
        <f ca="1">SUMIF('Production '!$C$4:$AI$4407,'Tracking Sheet'!B2471,'Production '!$S$4:$S$4407)</f>
        <v>-1268218.9828305368</v>
      </c>
      <c r="F2471" s="76">
        <f ca="1">SUMIF('Production '!$C$4:$AI$4407,'Tracking Sheet'!B2471,'Production '!$U$4:$U$4407)</f>
        <v>-10620.435600016917</v>
      </c>
      <c r="G2471" s="76" t="e">
        <f ca="1">SUMIF('Production '!$C$4:$AI$4407,'Tracking Sheet'!B2471,'Production '!$W$4:$W$4407)</f>
        <v>#DIV/0!</v>
      </c>
      <c r="H2471" s="76">
        <f ca="1">SUMIF('Production '!$C$4:$AI$4407,'Tracking Sheet'!B2471,'Production '!$F$4:$F$4407)</f>
        <v>3230621.3283604058</v>
      </c>
      <c r="I2471" s="76">
        <f ca="1">SUMIF('Production '!$C$4:$AI$4407,'Tracking Sheet'!B2471,'Production '!$V$4:$V$4407)</f>
        <v>-489.86487791182844</v>
      </c>
      <c r="J2471" s="76">
        <f ca="1">SUMIF('Production '!$C$4:$AI$4407,'Tracking Sheet'!B2471,'Production '!$AG$4:$AG$4407)</f>
        <v>0</v>
      </c>
    </row>
    <row r="2472" spans="2:10" x14ac:dyDescent="0.3">
      <c r="B2472" s="277">
        <f>'Production '!C2475</f>
        <v>0</v>
      </c>
      <c r="C2472" s="76" t="e">
        <f ca="1">SUMIF('Production '!$C$4:$AI$4407,'Tracking Sheet'!B2472,'Production '!$M$4:$M$4407)</f>
        <v>#DIV/0!</v>
      </c>
      <c r="D2472" s="76" t="e">
        <f ca="1">SUMIF('Production '!$C$4:$AI$4407,'Tracking Sheet'!B2472,'Production '!$Q$4:$Q$4407)</f>
        <v>#DIV/0!</v>
      </c>
      <c r="E2472" s="76">
        <f ca="1">SUMIF('Production '!$C$4:$AI$4407,'Tracking Sheet'!B2472,'Production '!$S$4:$S$4407)</f>
        <v>-1268218.9828305368</v>
      </c>
      <c r="F2472" s="76">
        <f ca="1">SUMIF('Production '!$C$4:$AI$4407,'Tracking Sheet'!B2472,'Production '!$U$4:$U$4407)</f>
        <v>-10620.435600016917</v>
      </c>
      <c r="G2472" s="76" t="e">
        <f ca="1">SUMIF('Production '!$C$4:$AI$4407,'Tracking Sheet'!B2472,'Production '!$W$4:$W$4407)</f>
        <v>#DIV/0!</v>
      </c>
      <c r="H2472" s="76">
        <f ca="1">SUMIF('Production '!$C$4:$AI$4407,'Tracking Sheet'!B2472,'Production '!$F$4:$F$4407)</f>
        <v>3230621.3283604058</v>
      </c>
      <c r="I2472" s="76">
        <f ca="1">SUMIF('Production '!$C$4:$AI$4407,'Tracking Sheet'!B2472,'Production '!$V$4:$V$4407)</f>
        <v>-489.86487791182844</v>
      </c>
      <c r="J2472" s="76">
        <f ca="1">SUMIF('Production '!$C$4:$AI$4407,'Tracking Sheet'!B2472,'Production '!$AG$4:$AG$4407)</f>
        <v>0</v>
      </c>
    </row>
    <row r="2473" spans="2:10" x14ac:dyDescent="0.3">
      <c r="B2473" s="277">
        <f>'Production '!C2476</f>
        <v>0</v>
      </c>
      <c r="C2473" s="76" t="e">
        <f ca="1">SUMIF('Production '!$C$4:$AI$4407,'Tracking Sheet'!B2473,'Production '!$M$4:$M$4407)</f>
        <v>#DIV/0!</v>
      </c>
      <c r="D2473" s="76" t="e">
        <f ca="1">SUMIF('Production '!$C$4:$AI$4407,'Tracking Sheet'!B2473,'Production '!$Q$4:$Q$4407)</f>
        <v>#DIV/0!</v>
      </c>
      <c r="E2473" s="76">
        <f ca="1">SUMIF('Production '!$C$4:$AI$4407,'Tracking Sheet'!B2473,'Production '!$S$4:$S$4407)</f>
        <v>-1268218.9828305368</v>
      </c>
      <c r="F2473" s="76">
        <f ca="1">SUMIF('Production '!$C$4:$AI$4407,'Tracking Sheet'!B2473,'Production '!$U$4:$U$4407)</f>
        <v>-10620.435600016917</v>
      </c>
      <c r="G2473" s="76" t="e">
        <f ca="1">SUMIF('Production '!$C$4:$AI$4407,'Tracking Sheet'!B2473,'Production '!$W$4:$W$4407)</f>
        <v>#DIV/0!</v>
      </c>
      <c r="H2473" s="76">
        <f ca="1">SUMIF('Production '!$C$4:$AI$4407,'Tracking Sheet'!B2473,'Production '!$F$4:$F$4407)</f>
        <v>3230621.3283604058</v>
      </c>
      <c r="I2473" s="76">
        <f ca="1">SUMIF('Production '!$C$4:$AI$4407,'Tracking Sheet'!B2473,'Production '!$V$4:$V$4407)</f>
        <v>-489.86487791182844</v>
      </c>
      <c r="J2473" s="76">
        <f ca="1">SUMIF('Production '!$C$4:$AI$4407,'Tracking Sheet'!B2473,'Production '!$AG$4:$AG$4407)</f>
        <v>0</v>
      </c>
    </row>
    <row r="2474" spans="2:10" x14ac:dyDescent="0.3">
      <c r="B2474" s="277">
        <f>'Production '!C2477</f>
        <v>0</v>
      </c>
      <c r="C2474" s="76" t="e">
        <f ca="1">SUMIF('Production '!$C$4:$AI$4407,'Tracking Sheet'!B2474,'Production '!$M$4:$M$4407)</f>
        <v>#DIV/0!</v>
      </c>
      <c r="D2474" s="76" t="e">
        <f ca="1">SUMIF('Production '!$C$4:$AI$4407,'Tracking Sheet'!B2474,'Production '!$Q$4:$Q$4407)</f>
        <v>#DIV/0!</v>
      </c>
      <c r="E2474" s="76">
        <f ca="1">SUMIF('Production '!$C$4:$AI$4407,'Tracking Sheet'!B2474,'Production '!$S$4:$S$4407)</f>
        <v>-1268218.9828305368</v>
      </c>
      <c r="F2474" s="76">
        <f ca="1">SUMIF('Production '!$C$4:$AI$4407,'Tracking Sheet'!B2474,'Production '!$U$4:$U$4407)</f>
        <v>-10620.435600016917</v>
      </c>
      <c r="G2474" s="76" t="e">
        <f ca="1">SUMIF('Production '!$C$4:$AI$4407,'Tracking Sheet'!B2474,'Production '!$W$4:$W$4407)</f>
        <v>#DIV/0!</v>
      </c>
      <c r="H2474" s="76">
        <f ca="1">SUMIF('Production '!$C$4:$AI$4407,'Tracking Sheet'!B2474,'Production '!$F$4:$F$4407)</f>
        <v>3230621.3283604058</v>
      </c>
      <c r="I2474" s="76">
        <f ca="1">SUMIF('Production '!$C$4:$AI$4407,'Tracking Sheet'!B2474,'Production '!$V$4:$V$4407)</f>
        <v>-489.86487791182844</v>
      </c>
      <c r="J2474" s="76">
        <f ca="1">SUMIF('Production '!$C$4:$AI$4407,'Tracking Sheet'!B2474,'Production '!$AG$4:$AG$4407)</f>
        <v>0</v>
      </c>
    </row>
    <row r="2475" spans="2:10" x14ac:dyDescent="0.3">
      <c r="B2475" s="277">
        <f>'Production '!C2478</f>
        <v>0</v>
      </c>
      <c r="C2475" s="76" t="e">
        <f ca="1">SUMIF('Production '!$C$4:$AI$4407,'Tracking Sheet'!B2475,'Production '!$M$4:$M$4407)</f>
        <v>#DIV/0!</v>
      </c>
      <c r="D2475" s="76" t="e">
        <f ca="1">SUMIF('Production '!$C$4:$AI$4407,'Tracking Sheet'!B2475,'Production '!$Q$4:$Q$4407)</f>
        <v>#DIV/0!</v>
      </c>
      <c r="E2475" s="76">
        <f ca="1">SUMIF('Production '!$C$4:$AI$4407,'Tracking Sheet'!B2475,'Production '!$S$4:$S$4407)</f>
        <v>-1268218.9828305368</v>
      </c>
      <c r="F2475" s="76">
        <f ca="1">SUMIF('Production '!$C$4:$AI$4407,'Tracking Sheet'!B2475,'Production '!$U$4:$U$4407)</f>
        <v>-10620.435600016917</v>
      </c>
      <c r="G2475" s="76" t="e">
        <f ca="1">SUMIF('Production '!$C$4:$AI$4407,'Tracking Sheet'!B2475,'Production '!$W$4:$W$4407)</f>
        <v>#DIV/0!</v>
      </c>
      <c r="H2475" s="76">
        <f ca="1">SUMIF('Production '!$C$4:$AI$4407,'Tracking Sheet'!B2475,'Production '!$F$4:$F$4407)</f>
        <v>3230621.3283604058</v>
      </c>
      <c r="I2475" s="76">
        <f ca="1">SUMIF('Production '!$C$4:$AI$4407,'Tracking Sheet'!B2475,'Production '!$V$4:$V$4407)</f>
        <v>-489.86487791182844</v>
      </c>
      <c r="J2475" s="76">
        <f ca="1">SUMIF('Production '!$C$4:$AI$4407,'Tracking Sheet'!B2475,'Production '!$AG$4:$AG$4407)</f>
        <v>0</v>
      </c>
    </row>
    <row r="2476" spans="2:10" x14ac:dyDescent="0.3">
      <c r="B2476" s="277">
        <f>'Production '!C2479</f>
        <v>0</v>
      </c>
      <c r="C2476" s="76" t="e">
        <f ca="1">SUMIF('Production '!$C$4:$AI$4407,'Tracking Sheet'!B2476,'Production '!$M$4:$M$4407)</f>
        <v>#DIV/0!</v>
      </c>
      <c r="D2476" s="76" t="e">
        <f ca="1">SUMIF('Production '!$C$4:$AI$4407,'Tracking Sheet'!B2476,'Production '!$Q$4:$Q$4407)</f>
        <v>#DIV/0!</v>
      </c>
      <c r="E2476" s="76">
        <f ca="1">SUMIF('Production '!$C$4:$AI$4407,'Tracking Sheet'!B2476,'Production '!$S$4:$S$4407)</f>
        <v>-1268218.9828305368</v>
      </c>
      <c r="F2476" s="76">
        <f ca="1">SUMIF('Production '!$C$4:$AI$4407,'Tracking Sheet'!B2476,'Production '!$U$4:$U$4407)</f>
        <v>-10620.435600016917</v>
      </c>
      <c r="G2476" s="76" t="e">
        <f ca="1">SUMIF('Production '!$C$4:$AI$4407,'Tracking Sheet'!B2476,'Production '!$W$4:$W$4407)</f>
        <v>#DIV/0!</v>
      </c>
      <c r="H2476" s="76">
        <f ca="1">SUMIF('Production '!$C$4:$AI$4407,'Tracking Sheet'!B2476,'Production '!$F$4:$F$4407)</f>
        <v>3230621.3283604058</v>
      </c>
      <c r="I2476" s="76">
        <f ca="1">SUMIF('Production '!$C$4:$AI$4407,'Tracking Sheet'!B2476,'Production '!$V$4:$V$4407)</f>
        <v>-489.86487791182844</v>
      </c>
      <c r="J2476" s="76">
        <f ca="1">SUMIF('Production '!$C$4:$AI$4407,'Tracking Sheet'!B2476,'Production '!$AG$4:$AG$4407)</f>
        <v>0</v>
      </c>
    </row>
    <row r="2477" spans="2:10" x14ac:dyDescent="0.3">
      <c r="B2477" s="277">
        <f>'Production '!C2480</f>
        <v>0</v>
      </c>
      <c r="C2477" s="76" t="e">
        <f ca="1">SUMIF('Production '!$C$4:$AI$4407,'Tracking Sheet'!B2477,'Production '!$M$4:$M$4407)</f>
        <v>#DIV/0!</v>
      </c>
      <c r="D2477" s="76" t="e">
        <f ca="1">SUMIF('Production '!$C$4:$AI$4407,'Tracking Sheet'!B2477,'Production '!$Q$4:$Q$4407)</f>
        <v>#DIV/0!</v>
      </c>
      <c r="E2477" s="76">
        <f ca="1">SUMIF('Production '!$C$4:$AI$4407,'Tracking Sheet'!B2477,'Production '!$S$4:$S$4407)</f>
        <v>-1268218.9828305368</v>
      </c>
      <c r="F2477" s="76">
        <f ca="1">SUMIF('Production '!$C$4:$AI$4407,'Tracking Sheet'!B2477,'Production '!$U$4:$U$4407)</f>
        <v>-10620.435600016917</v>
      </c>
      <c r="G2477" s="76" t="e">
        <f ca="1">SUMIF('Production '!$C$4:$AI$4407,'Tracking Sheet'!B2477,'Production '!$W$4:$W$4407)</f>
        <v>#DIV/0!</v>
      </c>
      <c r="H2477" s="76">
        <f ca="1">SUMIF('Production '!$C$4:$AI$4407,'Tracking Sheet'!B2477,'Production '!$F$4:$F$4407)</f>
        <v>3230621.3283604058</v>
      </c>
      <c r="I2477" s="76">
        <f ca="1">SUMIF('Production '!$C$4:$AI$4407,'Tracking Sheet'!B2477,'Production '!$V$4:$V$4407)</f>
        <v>-489.86487791182844</v>
      </c>
      <c r="J2477" s="76">
        <f ca="1">SUMIF('Production '!$C$4:$AI$4407,'Tracking Sheet'!B2477,'Production '!$AG$4:$AG$4407)</f>
        <v>0</v>
      </c>
    </row>
    <row r="2478" spans="2:10" x14ac:dyDescent="0.3">
      <c r="B2478" s="277">
        <f>'Production '!C2481</f>
        <v>0</v>
      </c>
      <c r="C2478" s="76" t="e">
        <f ca="1">SUMIF('Production '!$C$4:$AI$4407,'Tracking Sheet'!B2478,'Production '!$M$4:$M$4407)</f>
        <v>#DIV/0!</v>
      </c>
      <c r="D2478" s="76" t="e">
        <f ca="1">SUMIF('Production '!$C$4:$AI$4407,'Tracking Sheet'!B2478,'Production '!$Q$4:$Q$4407)</f>
        <v>#DIV/0!</v>
      </c>
      <c r="E2478" s="76">
        <f ca="1">SUMIF('Production '!$C$4:$AI$4407,'Tracking Sheet'!B2478,'Production '!$S$4:$S$4407)</f>
        <v>-1268218.9828305368</v>
      </c>
      <c r="F2478" s="76">
        <f ca="1">SUMIF('Production '!$C$4:$AI$4407,'Tracking Sheet'!B2478,'Production '!$U$4:$U$4407)</f>
        <v>-10620.435600016917</v>
      </c>
      <c r="G2478" s="76" t="e">
        <f ca="1">SUMIF('Production '!$C$4:$AI$4407,'Tracking Sheet'!B2478,'Production '!$W$4:$W$4407)</f>
        <v>#DIV/0!</v>
      </c>
      <c r="H2478" s="76">
        <f ca="1">SUMIF('Production '!$C$4:$AI$4407,'Tracking Sheet'!B2478,'Production '!$F$4:$F$4407)</f>
        <v>3230621.3283604058</v>
      </c>
      <c r="I2478" s="76">
        <f ca="1">SUMIF('Production '!$C$4:$AI$4407,'Tracking Sheet'!B2478,'Production '!$V$4:$V$4407)</f>
        <v>-489.86487791182844</v>
      </c>
      <c r="J2478" s="76">
        <f ca="1">SUMIF('Production '!$C$4:$AI$4407,'Tracking Sheet'!B2478,'Production '!$AG$4:$AG$4407)</f>
        <v>0</v>
      </c>
    </row>
    <row r="2479" spans="2:10" x14ac:dyDescent="0.3">
      <c r="B2479" s="277">
        <f>'Production '!C2482</f>
        <v>0</v>
      </c>
      <c r="C2479" s="76" t="e">
        <f ca="1">SUMIF('Production '!$C$4:$AI$4407,'Tracking Sheet'!B2479,'Production '!$M$4:$M$4407)</f>
        <v>#DIV/0!</v>
      </c>
      <c r="D2479" s="76" t="e">
        <f ca="1">SUMIF('Production '!$C$4:$AI$4407,'Tracking Sheet'!B2479,'Production '!$Q$4:$Q$4407)</f>
        <v>#DIV/0!</v>
      </c>
      <c r="E2479" s="76">
        <f ca="1">SUMIF('Production '!$C$4:$AI$4407,'Tracking Sheet'!B2479,'Production '!$S$4:$S$4407)</f>
        <v>-1268218.9828305368</v>
      </c>
      <c r="F2479" s="76">
        <f ca="1">SUMIF('Production '!$C$4:$AI$4407,'Tracking Sheet'!B2479,'Production '!$U$4:$U$4407)</f>
        <v>-10620.435600016917</v>
      </c>
      <c r="G2479" s="76" t="e">
        <f ca="1">SUMIF('Production '!$C$4:$AI$4407,'Tracking Sheet'!B2479,'Production '!$W$4:$W$4407)</f>
        <v>#DIV/0!</v>
      </c>
      <c r="H2479" s="76">
        <f ca="1">SUMIF('Production '!$C$4:$AI$4407,'Tracking Sheet'!B2479,'Production '!$F$4:$F$4407)</f>
        <v>3230621.3283604058</v>
      </c>
      <c r="I2479" s="76">
        <f ca="1">SUMIF('Production '!$C$4:$AI$4407,'Tracking Sheet'!B2479,'Production '!$V$4:$V$4407)</f>
        <v>-489.86487791182844</v>
      </c>
      <c r="J2479" s="76">
        <f ca="1">SUMIF('Production '!$C$4:$AI$4407,'Tracking Sheet'!B2479,'Production '!$AG$4:$AG$4407)</f>
        <v>0</v>
      </c>
    </row>
    <row r="2480" spans="2:10" x14ac:dyDescent="0.3">
      <c r="B2480" s="277">
        <f>'Production '!C2483</f>
        <v>0</v>
      </c>
      <c r="C2480" s="76" t="e">
        <f ca="1">SUMIF('Production '!$C$4:$AI$4407,'Tracking Sheet'!B2480,'Production '!$M$4:$M$4407)</f>
        <v>#DIV/0!</v>
      </c>
      <c r="D2480" s="76" t="e">
        <f ca="1">SUMIF('Production '!$C$4:$AI$4407,'Tracking Sheet'!B2480,'Production '!$Q$4:$Q$4407)</f>
        <v>#DIV/0!</v>
      </c>
      <c r="E2480" s="76">
        <f ca="1">SUMIF('Production '!$C$4:$AI$4407,'Tracking Sheet'!B2480,'Production '!$S$4:$S$4407)</f>
        <v>-1268218.9828305368</v>
      </c>
      <c r="F2480" s="76">
        <f ca="1">SUMIF('Production '!$C$4:$AI$4407,'Tracking Sheet'!B2480,'Production '!$U$4:$U$4407)</f>
        <v>-10620.435600016917</v>
      </c>
      <c r="G2480" s="76" t="e">
        <f ca="1">SUMIF('Production '!$C$4:$AI$4407,'Tracking Sheet'!B2480,'Production '!$W$4:$W$4407)</f>
        <v>#DIV/0!</v>
      </c>
      <c r="H2480" s="76">
        <f ca="1">SUMIF('Production '!$C$4:$AI$4407,'Tracking Sheet'!B2480,'Production '!$F$4:$F$4407)</f>
        <v>3230621.3283604058</v>
      </c>
      <c r="I2480" s="76">
        <f ca="1">SUMIF('Production '!$C$4:$AI$4407,'Tracking Sheet'!B2480,'Production '!$V$4:$V$4407)</f>
        <v>-489.86487791182844</v>
      </c>
      <c r="J2480" s="76">
        <f ca="1">SUMIF('Production '!$C$4:$AI$4407,'Tracking Sheet'!B2480,'Production '!$AG$4:$AG$4407)</f>
        <v>0</v>
      </c>
    </row>
    <row r="2481" spans="2:10" x14ac:dyDescent="0.3">
      <c r="B2481" s="277">
        <f>'Production '!C2484</f>
        <v>0</v>
      </c>
      <c r="C2481" s="76" t="e">
        <f ca="1">SUMIF('Production '!$C$4:$AI$4407,'Tracking Sheet'!B2481,'Production '!$M$4:$M$4407)</f>
        <v>#DIV/0!</v>
      </c>
      <c r="D2481" s="76" t="e">
        <f ca="1">SUMIF('Production '!$C$4:$AI$4407,'Tracking Sheet'!B2481,'Production '!$Q$4:$Q$4407)</f>
        <v>#DIV/0!</v>
      </c>
      <c r="E2481" s="76">
        <f ca="1">SUMIF('Production '!$C$4:$AI$4407,'Tracking Sheet'!B2481,'Production '!$S$4:$S$4407)</f>
        <v>-1268218.9828305368</v>
      </c>
      <c r="F2481" s="76">
        <f ca="1">SUMIF('Production '!$C$4:$AI$4407,'Tracking Sheet'!B2481,'Production '!$U$4:$U$4407)</f>
        <v>-10620.435600016917</v>
      </c>
      <c r="G2481" s="76" t="e">
        <f ca="1">SUMIF('Production '!$C$4:$AI$4407,'Tracking Sheet'!B2481,'Production '!$W$4:$W$4407)</f>
        <v>#DIV/0!</v>
      </c>
      <c r="H2481" s="76">
        <f ca="1">SUMIF('Production '!$C$4:$AI$4407,'Tracking Sheet'!B2481,'Production '!$F$4:$F$4407)</f>
        <v>3230621.3283604058</v>
      </c>
      <c r="I2481" s="76">
        <f ca="1">SUMIF('Production '!$C$4:$AI$4407,'Tracking Sheet'!B2481,'Production '!$V$4:$V$4407)</f>
        <v>-489.86487791182844</v>
      </c>
      <c r="J2481" s="76">
        <f ca="1">SUMIF('Production '!$C$4:$AI$4407,'Tracking Sheet'!B2481,'Production '!$AG$4:$AG$4407)</f>
        <v>0</v>
      </c>
    </row>
    <row r="2482" spans="2:10" x14ac:dyDescent="0.3">
      <c r="B2482" s="277">
        <f>'Production '!C2485</f>
        <v>0</v>
      </c>
      <c r="C2482" s="76" t="e">
        <f ca="1">SUMIF('Production '!$C$4:$AI$4407,'Tracking Sheet'!B2482,'Production '!$M$4:$M$4407)</f>
        <v>#DIV/0!</v>
      </c>
      <c r="D2482" s="76" t="e">
        <f ca="1">SUMIF('Production '!$C$4:$AI$4407,'Tracking Sheet'!B2482,'Production '!$Q$4:$Q$4407)</f>
        <v>#DIV/0!</v>
      </c>
      <c r="E2482" s="76">
        <f ca="1">SUMIF('Production '!$C$4:$AI$4407,'Tracking Sheet'!B2482,'Production '!$S$4:$S$4407)</f>
        <v>-1268218.9828305368</v>
      </c>
      <c r="F2482" s="76">
        <f ca="1">SUMIF('Production '!$C$4:$AI$4407,'Tracking Sheet'!B2482,'Production '!$U$4:$U$4407)</f>
        <v>-10620.435600016917</v>
      </c>
      <c r="G2482" s="76" t="e">
        <f ca="1">SUMIF('Production '!$C$4:$AI$4407,'Tracking Sheet'!B2482,'Production '!$W$4:$W$4407)</f>
        <v>#DIV/0!</v>
      </c>
      <c r="H2482" s="76">
        <f ca="1">SUMIF('Production '!$C$4:$AI$4407,'Tracking Sheet'!B2482,'Production '!$F$4:$F$4407)</f>
        <v>3230621.3283604058</v>
      </c>
      <c r="I2482" s="76">
        <f ca="1">SUMIF('Production '!$C$4:$AI$4407,'Tracking Sheet'!B2482,'Production '!$V$4:$V$4407)</f>
        <v>-489.86487791182844</v>
      </c>
      <c r="J2482" s="76">
        <f ca="1">SUMIF('Production '!$C$4:$AI$4407,'Tracking Sheet'!B2482,'Production '!$AG$4:$AG$4407)</f>
        <v>0</v>
      </c>
    </row>
    <row r="2483" spans="2:10" x14ac:dyDescent="0.3">
      <c r="B2483" s="277">
        <f>'Production '!C2486</f>
        <v>0</v>
      </c>
      <c r="C2483" s="76" t="e">
        <f ca="1">SUMIF('Production '!$C$4:$AI$4407,'Tracking Sheet'!B2483,'Production '!$M$4:$M$4407)</f>
        <v>#DIV/0!</v>
      </c>
      <c r="D2483" s="76" t="e">
        <f ca="1">SUMIF('Production '!$C$4:$AI$4407,'Tracking Sheet'!B2483,'Production '!$Q$4:$Q$4407)</f>
        <v>#DIV/0!</v>
      </c>
      <c r="E2483" s="76">
        <f ca="1">SUMIF('Production '!$C$4:$AI$4407,'Tracking Sheet'!B2483,'Production '!$S$4:$S$4407)</f>
        <v>-1268218.9828305368</v>
      </c>
      <c r="F2483" s="76">
        <f ca="1">SUMIF('Production '!$C$4:$AI$4407,'Tracking Sheet'!B2483,'Production '!$U$4:$U$4407)</f>
        <v>-10620.435600016917</v>
      </c>
      <c r="G2483" s="76" t="e">
        <f ca="1">SUMIF('Production '!$C$4:$AI$4407,'Tracking Sheet'!B2483,'Production '!$W$4:$W$4407)</f>
        <v>#DIV/0!</v>
      </c>
      <c r="H2483" s="76">
        <f ca="1">SUMIF('Production '!$C$4:$AI$4407,'Tracking Sheet'!B2483,'Production '!$F$4:$F$4407)</f>
        <v>3230621.3283604058</v>
      </c>
      <c r="I2483" s="76">
        <f ca="1">SUMIF('Production '!$C$4:$AI$4407,'Tracking Sheet'!B2483,'Production '!$V$4:$V$4407)</f>
        <v>-489.86487791182844</v>
      </c>
      <c r="J2483" s="76">
        <f ca="1">SUMIF('Production '!$C$4:$AI$4407,'Tracking Sheet'!B2483,'Production '!$AG$4:$AG$4407)</f>
        <v>0</v>
      </c>
    </row>
    <row r="2484" spans="2:10" x14ac:dyDescent="0.3">
      <c r="B2484" s="277">
        <f>'Production '!C2487</f>
        <v>0</v>
      </c>
      <c r="C2484" s="76" t="e">
        <f ca="1">SUMIF('Production '!$C$4:$AI$4407,'Tracking Sheet'!B2484,'Production '!$M$4:$M$4407)</f>
        <v>#DIV/0!</v>
      </c>
      <c r="D2484" s="76" t="e">
        <f ca="1">SUMIF('Production '!$C$4:$AI$4407,'Tracking Sheet'!B2484,'Production '!$Q$4:$Q$4407)</f>
        <v>#DIV/0!</v>
      </c>
      <c r="E2484" s="76">
        <f ca="1">SUMIF('Production '!$C$4:$AI$4407,'Tracking Sheet'!B2484,'Production '!$S$4:$S$4407)</f>
        <v>-1268218.9828305368</v>
      </c>
      <c r="F2484" s="76">
        <f ca="1">SUMIF('Production '!$C$4:$AI$4407,'Tracking Sheet'!B2484,'Production '!$U$4:$U$4407)</f>
        <v>-10620.435600016917</v>
      </c>
      <c r="G2484" s="76" t="e">
        <f ca="1">SUMIF('Production '!$C$4:$AI$4407,'Tracking Sheet'!B2484,'Production '!$W$4:$W$4407)</f>
        <v>#DIV/0!</v>
      </c>
      <c r="H2484" s="76">
        <f ca="1">SUMIF('Production '!$C$4:$AI$4407,'Tracking Sheet'!B2484,'Production '!$F$4:$F$4407)</f>
        <v>3230621.3283604058</v>
      </c>
      <c r="I2484" s="76">
        <f ca="1">SUMIF('Production '!$C$4:$AI$4407,'Tracking Sheet'!B2484,'Production '!$V$4:$V$4407)</f>
        <v>-489.86487791182844</v>
      </c>
      <c r="J2484" s="76">
        <f ca="1">SUMIF('Production '!$C$4:$AI$4407,'Tracking Sheet'!B2484,'Production '!$AG$4:$AG$4407)</f>
        <v>0</v>
      </c>
    </row>
    <row r="2485" spans="2:10" x14ac:dyDescent="0.3">
      <c r="B2485" s="277">
        <f>'Production '!C2488</f>
        <v>0</v>
      </c>
      <c r="C2485" s="76" t="e">
        <f ca="1">SUMIF('Production '!$C$4:$AI$4407,'Tracking Sheet'!B2485,'Production '!$M$4:$M$4407)</f>
        <v>#DIV/0!</v>
      </c>
      <c r="D2485" s="76" t="e">
        <f ca="1">SUMIF('Production '!$C$4:$AI$4407,'Tracking Sheet'!B2485,'Production '!$Q$4:$Q$4407)</f>
        <v>#DIV/0!</v>
      </c>
      <c r="E2485" s="76">
        <f ca="1">SUMIF('Production '!$C$4:$AI$4407,'Tracking Sheet'!B2485,'Production '!$S$4:$S$4407)</f>
        <v>-1268218.9828305368</v>
      </c>
      <c r="F2485" s="76">
        <f ca="1">SUMIF('Production '!$C$4:$AI$4407,'Tracking Sheet'!B2485,'Production '!$U$4:$U$4407)</f>
        <v>-10620.435600016917</v>
      </c>
      <c r="G2485" s="76" t="e">
        <f ca="1">SUMIF('Production '!$C$4:$AI$4407,'Tracking Sheet'!B2485,'Production '!$W$4:$W$4407)</f>
        <v>#DIV/0!</v>
      </c>
      <c r="H2485" s="76">
        <f ca="1">SUMIF('Production '!$C$4:$AI$4407,'Tracking Sheet'!B2485,'Production '!$F$4:$F$4407)</f>
        <v>3230621.3283604058</v>
      </c>
      <c r="I2485" s="76">
        <f ca="1">SUMIF('Production '!$C$4:$AI$4407,'Tracking Sheet'!B2485,'Production '!$V$4:$V$4407)</f>
        <v>-489.86487791182844</v>
      </c>
      <c r="J2485" s="76">
        <f ca="1">SUMIF('Production '!$C$4:$AI$4407,'Tracking Sheet'!B2485,'Production '!$AG$4:$AG$4407)</f>
        <v>0</v>
      </c>
    </row>
    <row r="2486" spans="2:10" x14ac:dyDescent="0.3">
      <c r="B2486" s="277">
        <f>'Production '!C2489</f>
        <v>0</v>
      </c>
      <c r="C2486" s="76" t="e">
        <f ca="1">SUMIF('Production '!$C$4:$AI$4407,'Tracking Sheet'!B2486,'Production '!$M$4:$M$4407)</f>
        <v>#DIV/0!</v>
      </c>
      <c r="D2486" s="76" t="e">
        <f ca="1">SUMIF('Production '!$C$4:$AI$4407,'Tracking Sheet'!B2486,'Production '!$Q$4:$Q$4407)</f>
        <v>#DIV/0!</v>
      </c>
      <c r="E2486" s="76">
        <f ca="1">SUMIF('Production '!$C$4:$AI$4407,'Tracking Sheet'!B2486,'Production '!$S$4:$S$4407)</f>
        <v>-1268218.9828305368</v>
      </c>
      <c r="F2486" s="76">
        <f ca="1">SUMIF('Production '!$C$4:$AI$4407,'Tracking Sheet'!B2486,'Production '!$U$4:$U$4407)</f>
        <v>-10620.435600016917</v>
      </c>
      <c r="G2486" s="76" t="e">
        <f ca="1">SUMIF('Production '!$C$4:$AI$4407,'Tracking Sheet'!B2486,'Production '!$W$4:$W$4407)</f>
        <v>#DIV/0!</v>
      </c>
      <c r="H2486" s="76">
        <f ca="1">SUMIF('Production '!$C$4:$AI$4407,'Tracking Sheet'!B2486,'Production '!$F$4:$F$4407)</f>
        <v>3230621.3283604058</v>
      </c>
      <c r="I2486" s="76">
        <f ca="1">SUMIF('Production '!$C$4:$AI$4407,'Tracking Sheet'!B2486,'Production '!$V$4:$V$4407)</f>
        <v>-489.86487791182844</v>
      </c>
      <c r="J2486" s="76">
        <f ca="1">SUMIF('Production '!$C$4:$AI$4407,'Tracking Sheet'!B2486,'Production '!$AG$4:$AG$4407)</f>
        <v>0</v>
      </c>
    </row>
    <row r="2487" spans="2:10" x14ac:dyDescent="0.3">
      <c r="B2487" s="277">
        <f>'Production '!C2490</f>
        <v>0</v>
      </c>
      <c r="C2487" s="76" t="e">
        <f ca="1">SUMIF('Production '!$C$4:$AI$4407,'Tracking Sheet'!B2487,'Production '!$M$4:$M$4407)</f>
        <v>#DIV/0!</v>
      </c>
      <c r="D2487" s="76" t="e">
        <f ca="1">SUMIF('Production '!$C$4:$AI$4407,'Tracking Sheet'!B2487,'Production '!$Q$4:$Q$4407)</f>
        <v>#DIV/0!</v>
      </c>
      <c r="E2487" s="76">
        <f ca="1">SUMIF('Production '!$C$4:$AI$4407,'Tracking Sheet'!B2487,'Production '!$S$4:$S$4407)</f>
        <v>-1268218.9828305368</v>
      </c>
      <c r="F2487" s="76">
        <f ca="1">SUMIF('Production '!$C$4:$AI$4407,'Tracking Sheet'!B2487,'Production '!$U$4:$U$4407)</f>
        <v>-10620.435600016917</v>
      </c>
      <c r="G2487" s="76" t="e">
        <f ca="1">SUMIF('Production '!$C$4:$AI$4407,'Tracking Sheet'!B2487,'Production '!$W$4:$W$4407)</f>
        <v>#DIV/0!</v>
      </c>
      <c r="H2487" s="76">
        <f ca="1">SUMIF('Production '!$C$4:$AI$4407,'Tracking Sheet'!B2487,'Production '!$F$4:$F$4407)</f>
        <v>3230621.3283604058</v>
      </c>
      <c r="I2487" s="76">
        <f ca="1">SUMIF('Production '!$C$4:$AI$4407,'Tracking Sheet'!B2487,'Production '!$V$4:$V$4407)</f>
        <v>-489.86487791182844</v>
      </c>
      <c r="J2487" s="76">
        <f ca="1">SUMIF('Production '!$C$4:$AI$4407,'Tracking Sheet'!B2487,'Production '!$AG$4:$AG$4407)</f>
        <v>0</v>
      </c>
    </row>
    <row r="2488" spans="2:10" x14ac:dyDescent="0.3">
      <c r="B2488" s="277">
        <f>'Production '!C2491</f>
        <v>0</v>
      </c>
      <c r="C2488" s="76" t="e">
        <f ca="1">SUMIF('Production '!$C$4:$AI$4407,'Tracking Sheet'!B2488,'Production '!$M$4:$M$4407)</f>
        <v>#DIV/0!</v>
      </c>
      <c r="D2488" s="76" t="e">
        <f ca="1">SUMIF('Production '!$C$4:$AI$4407,'Tracking Sheet'!B2488,'Production '!$Q$4:$Q$4407)</f>
        <v>#DIV/0!</v>
      </c>
      <c r="E2488" s="76">
        <f ca="1">SUMIF('Production '!$C$4:$AI$4407,'Tracking Sheet'!B2488,'Production '!$S$4:$S$4407)</f>
        <v>-1268218.9828305368</v>
      </c>
      <c r="F2488" s="76">
        <f ca="1">SUMIF('Production '!$C$4:$AI$4407,'Tracking Sheet'!B2488,'Production '!$U$4:$U$4407)</f>
        <v>-10620.435600016917</v>
      </c>
      <c r="G2488" s="76" t="e">
        <f ca="1">SUMIF('Production '!$C$4:$AI$4407,'Tracking Sheet'!B2488,'Production '!$W$4:$W$4407)</f>
        <v>#DIV/0!</v>
      </c>
      <c r="H2488" s="76">
        <f ca="1">SUMIF('Production '!$C$4:$AI$4407,'Tracking Sheet'!B2488,'Production '!$F$4:$F$4407)</f>
        <v>3230621.3283604058</v>
      </c>
      <c r="I2488" s="76">
        <f ca="1">SUMIF('Production '!$C$4:$AI$4407,'Tracking Sheet'!B2488,'Production '!$V$4:$V$4407)</f>
        <v>-489.86487791182844</v>
      </c>
      <c r="J2488" s="76">
        <f ca="1">SUMIF('Production '!$C$4:$AI$4407,'Tracking Sheet'!B2488,'Production '!$AG$4:$AG$4407)</f>
        <v>0</v>
      </c>
    </row>
    <row r="2489" spans="2:10" x14ac:dyDescent="0.3">
      <c r="B2489" s="277">
        <f>'Production '!C2492</f>
        <v>0</v>
      </c>
      <c r="C2489" s="76" t="e">
        <f ca="1">SUMIF('Production '!$C$4:$AI$4407,'Tracking Sheet'!B2489,'Production '!$M$4:$M$4407)</f>
        <v>#DIV/0!</v>
      </c>
      <c r="D2489" s="76" t="e">
        <f ca="1">SUMIF('Production '!$C$4:$AI$4407,'Tracking Sheet'!B2489,'Production '!$Q$4:$Q$4407)</f>
        <v>#DIV/0!</v>
      </c>
      <c r="E2489" s="76">
        <f ca="1">SUMIF('Production '!$C$4:$AI$4407,'Tracking Sheet'!B2489,'Production '!$S$4:$S$4407)</f>
        <v>-1268218.9828305368</v>
      </c>
      <c r="F2489" s="76">
        <f ca="1">SUMIF('Production '!$C$4:$AI$4407,'Tracking Sheet'!B2489,'Production '!$U$4:$U$4407)</f>
        <v>-10620.435600016917</v>
      </c>
      <c r="G2489" s="76" t="e">
        <f ca="1">SUMIF('Production '!$C$4:$AI$4407,'Tracking Sheet'!B2489,'Production '!$W$4:$W$4407)</f>
        <v>#DIV/0!</v>
      </c>
      <c r="H2489" s="76">
        <f ca="1">SUMIF('Production '!$C$4:$AI$4407,'Tracking Sheet'!B2489,'Production '!$F$4:$F$4407)</f>
        <v>3230621.3283604058</v>
      </c>
      <c r="I2489" s="76">
        <f ca="1">SUMIF('Production '!$C$4:$AI$4407,'Tracking Sheet'!B2489,'Production '!$V$4:$V$4407)</f>
        <v>-489.86487791182844</v>
      </c>
      <c r="J2489" s="76">
        <f ca="1">SUMIF('Production '!$C$4:$AI$4407,'Tracking Sheet'!B2489,'Production '!$AG$4:$AG$4407)</f>
        <v>0</v>
      </c>
    </row>
    <row r="2490" spans="2:10" x14ac:dyDescent="0.3">
      <c r="B2490" s="277">
        <f>'Production '!C2493</f>
        <v>0</v>
      </c>
      <c r="C2490" s="76" t="e">
        <f ca="1">SUMIF('Production '!$C$4:$AI$4407,'Tracking Sheet'!B2490,'Production '!$M$4:$M$4407)</f>
        <v>#DIV/0!</v>
      </c>
      <c r="D2490" s="76" t="e">
        <f ca="1">SUMIF('Production '!$C$4:$AI$4407,'Tracking Sheet'!B2490,'Production '!$Q$4:$Q$4407)</f>
        <v>#DIV/0!</v>
      </c>
      <c r="E2490" s="76">
        <f ca="1">SUMIF('Production '!$C$4:$AI$4407,'Tracking Sheet'!B2490,'Production '!$S$4:$S$4407)</f>
        <v>-1268218.9828305368</v>
      </c>
      <c r="F2490" s="76">
        <f ca="1">SUMIF('Production '!$C$4:$AI$4407,'Tracking Sheet'!B2490,'Production '!$U$4:$U$4407)</f>
        <v>-10620.435600016917</v>
      </c>
      <c r="G2490" s="76" t="e">
        <f ca="1">SUMIF('Production '!$C$4:$AI$4407,'Tracking Sheet'!B2490,'Production '!$W$4:$W$4407)</f>
        <v>#DIV/0!</v>
      </c>
      <c r="H2490" s="76">
        <f ca="1">SUMIF('Production '!$C$4:$AI$4407,'Tracking Sheet'!B2490,'Production '!$F$4:$F$4407)</f>
        <v>3230621.3283604058</v>
      </c>
      <c r="I2490" s="76">
        <f ca="1">SUMIF('Production '!$C$4:$AI$4407,'Tracking Sheet'!B2490,'Production '!$V$4:$V$4407)</f>
        <v>-489.86487791182844</v>
      </c>
      <c r="J2490" s="76">
        <f ca="1">SUMIF('Production '!$C$4:$AI$4407,'Tracking Sheet'!B2490,'Production '!$AG$4:$AG$4407)</f>
        <v>0</v>
      </c>
    </row>
    <row r="2491" spans="2:10" x14ac:dyDescent="0.3">
      <c r="B2491" s="277">
        <f>'Production '!C2494</f>
        <v>0</v>
      </c>
      <c r="C2491" s="76" t="e">
        <f ca="1">SUMIF('Production '!$C$4:$AI$4407,'Tracking Sheet'!B2491,'Production '!$M$4:$M$4407)</f>
        <v>#DIV/0!</v>
      </c>
      <c r="D2491" s="76" t="e">
        <f ca="1">SUMIF('Production '!$C$4:$AI$4407,'Tracking Sheet'!B2491,'Production '!$Q$4:$Q$4407)</f>
        <v>#DIV/0!</v>
      </c>
      <c r="E2491" s="76">
        <f ca="1">SUMIF('Production '!$C$4:$AI$4407,'Tracking Sheet'!B2491,'Production '!$S$4:$S$4407)</f>
        <v>-1268218.9828305368</v>
      </c>
      <c r="F2491" s="76">
        <f ca="1">SUMIF('Production '!$C$4:$AI$4407,'Tracking Sheet'!B2491,'Production '!$U$4:$U$4407)</f>
        <v>-10620.435600016917</v>
      </c>
      <c r="G2491" s="76" t="e">
        <f ca="1">SUMIF('Production '!$C$4:$AI$4407,'Tracking Sheet'!B2491,'Production '!$W$4:$W$4407)</f>
        <v>#DIV/0!</v>
      </c>
      <c r="H2491" s="76">
        <f ca="1">SUMIF('Production '!$C$4:$AI$4407,'Tracking Sheet'!B2491,'Production '!$F$4:$F$4407)</f>
        <v>3230621.3283604058</v>
      </c>
      <c r="I2491" s="76">
        <f ca="1">SUMIF('Production '!$C$4:$AI$4407,'Tracking Sheet'!B2491,'Production '!$V$4:$V$4407)</f>
        <v>-489.86487791182844</v>
      </c>
      <c r="J2491" s="76">
        <f ca="1">SUMIF('Production '!$C$4:$AI$4407,'Tracking Sheet'!B2491,'Production '!$AG$4:$AG$4407)</f>
        <v>0</v>
      </c>
    </row>
    <row r="2492" spans="2:10" x14ac:dyDescent="0.3">
      <c r="B2492" s="277">
        <f>'Production '!C2495</f>
        <v>0</v>
      </c>
      <c r="C2492" s="76" t="e">
        <f ca="1">SUMIF('Production '!$C$4:$AI$4407,'Tracking Sheet'!B2492,'Production '!$M$4:$M$4407)</f>
        <v>#DIV/0!</v>
      </c>
      <c r="D2492" s="76" t="e">
        <f ca="1">SUMIF('Production '!$C$4:$AI$4407,'Tracking Sheet'!B2492,'Production '!$Q$4:$Q$4407)</f>
        <v>#DIV/0!</v>
      </c>
      <c r="E2492" s="76">
        <f ca="1">SUMIF('Production '!$C$4:$AI$4407,'Tracking Sheet'!B2492,'Production '!$S$4:$S$4407)</f>
        <v>-1268218.9828305368</v>
      </c>
      <c r="F2492" s="76">
        <f ca="1">SUMIF('Production '!$C$4:$AI$4407,'Tracking Sheet'!B2492,'Production '!$U$4:$U$4407)</f>
        <v>-10620.435600016917</v>
      </c>
      <c r="G2492" s="76" t="e">
        <f ca="1">SUMIF('Production '!$C$4:$AI$4407,'Tracking Sheet'!B2492,'Production '!$W$4:$W$4407)</f>
        <v>#DIV/0!</v>
      </c>
      <c r="H2492" s="76">
        <f ca="1">SUMIF('Production '!$C$4:$AI$4407,'Tracking Sheet'!B2492,'Production '!$F$4:$F$4407)</f>
        <v>3230621.3283604058</v>
      </c>
      <c r="I2492" s="76">
        <f ca="1">SUMIF('Production '!$C$4:$AI$4407,'Tracking Sheet'!B2492,'Production '!$V$4:$V$4407)</f>
        <v>-489.86487791182844</v>
      </c>
      <c r="J2492" s="76">
        <f ca="1">SUMIF('Production '!$C$4:$AI$4407,'Tracking Sheet'!B2492,'Production '!$AG$4:$AG$4407)</f>
        <v>0</v>
      </c>
    </row>
    <row r="2493" spans="2:10" x14ac:dyDescent="0.3">
      <c r="B2493" s="277">
        <f>'Production '!C2496</f>
        <v>0</v>
      </c>
      <c r="C2493" s="76" t="e">
        <f ca="1">SUMIF('Production '!$C$4:$AI$4407,'Tracking Sheet'!B2493,'Production '!$M$4:$M$4407)</f>
        <v>#DIV/0!</v>
      </c>
      <c r="D2493" s="76" t="e">
        <f ca="1">SUMIF('Production '!$C$4:$AI$4407,'Tracking Sheet'!B2493,'Production '!$Q$4:$Q$4407)</f>
        <v>#DIV/0!</v>
      </c>
      <c r="E2493" s="76">
        <f ca="1">SUMIF('Production '!$C$4:$AI$4407,'Tracking Sheet'!B2493,'Production '!$S$4:$S$4407)</f>
        <v>-1268218.9828305368</v>
      </c>
      <c r="F2493" s="76">
        <f ca="1">SUMIF('Production '!$C$4:$AI$4407,'Tracking Sheet'!B2493,'Production '!$U$4:$U$4407)</f>
        <v>-10620.435600016917</v>
      </c>
      <c r="G2493" s="76" t="e">
        <f ca="1">SUMIF('Production '!$C$4:$AI$4407,'Tracking Sheet'!B2493,'Production '!$W$4:$W$4407)</f>
        <v>#DIV/0!</v>
      </c>
      <c r="H2493" s="76">
        <f ca="1">SUMIF('Production '!$C$4:$AI$4407,'Tracking Sheet'!B2493,'Production '!$F$4:$F$4407)</f>
        <v>3230621.3283604058</v>
      </c>
      <c r="I2493" s="76">
        <f ca="1">SUMIF('Production '!$C$4:$AI$4407,'Tracking Sheet'!B2493,'Production '!$V$4:$V$4407)</f>
        <v>-489.86487791182844</v>
      </c>
      <c r="J2493" s="76">
        <f ca="1">SUMIF('Production '!$C$4:$AI$4407,'Tracking Sheet'!B2493,'Production '!$AG$4:$AG$4407)</f>
        <v>0</v>
      </c>
    </row>
    <row r="2494" spans="2:10" x14ac:dyDescent="0.3">
      <c r="B2494" s="277">
        <f>'Production '!C2497</f>
        <v>0</v>
      </c>
      <c r="C2494" s="76" t="e">
        <f ca="1">SUMIF('Production '!$C$4:$AI$4407,'Tracking Sheet'!B2494,'Production '!$M$4:$M$4407)</f>
        <v>#DIV/0!</v>
      </c>
      <c r="D2494" s="76" t="e">
        <f ca="1">SUMIF('Production '!$C$4:$AI$4407,'Tracking Sheet'!B2494,'Production '!$Q$4:$Q$4407)</f>
        <v>#DIV/0!</v>
      </c>
      <c r="E2494" s="76">
        <f ca="1">SUMIF('Production '!$C$4:$AI$4407,'Tracking Sheet'!B2494,'Production '!$S$4:$S$4407)</f>
        <v>-1268218.9828305368</v>
      </c>
      <c r="F2494" s="76">
        <f ca="1">SUMIF('Production '!$C$4:$AI$4407,'Tracking Sheet'!B2494,'Production '!$U$4:$U$4407)</f>
        <v>-10620.435600016917</v>
      </c>
      <c r="G2494" s="76" t="e">
        <f ca="1">SUMIF('Production '!$C$4:$AI$4407,'Tracking Sheet'!B2494,'Production '!$W$4:$W$4407)</f>
        <v>#DIV/0!</v>
      </c>
      <c r="H2494" s="76">
        <f ca="1">SUMIF('Production '!$C$4:$AI$4407,'Tracking Sheet'!B2494,'Production '!$F$4:$F$4407)</f>
        <v>3230621.3283604058</v>
      </c>
      <c r="I2494" s="76">
        <f ca="1">SUMIF('Production '!$C$4:$AI$4407,'Tracking Sheet'!B2494,'Production '!$V$4:$V$4407)</f>
        <v>-489.86487791182844</v>
      </c>
      <c r="J2494" s="76">
        <f ca="1">SUMIF('Production '!$C$4:$AI$4407,'Tracking Sheet'!B2494,'Production '!$AG$4:$AG$4407)</f>
        <v>0</v>
      </c>
    </row>
    <row r="2495" spans="2:10" x14ac:dyDescent="0.3">
      <c r="B2495" s="277">
        <f>'Production '!C2498</f>
        <v>0</v>
      </c>
      <c r="C2495" s="76" t="e">
        <f ca="1">SUMIF('Production '!$C$4:$AI$4407,'Tracking Sheet'!B2495,'Production '!$M$4:$M$4407)</f>
        <v>#DIV/0!</v>
      </c>
      <c r="D2495" s="76" t="e">
        <f ca="1">SUMIF('Production '!$C$4:$AI$4407,'Tracking Sheet'!B2495,'Production '!$Q$4:$Q$4407)</f>
        <v>#DIV/0!</v>
      </c>
      <c r="E2495" s="76">
        <f ca="1">SUMIF('Production '!$C$4:$AI$4407,'Tracking Sheet'!B2495,'Production '!$S$4:$S$4407)</f>
        <v>-1268218.9828305368</v>
      </c>
      <c r="F2495" s="76">
        <f ca="1">SUMIF('Production '!$C$4:$AI$4407,'Tracking Sheet'!B2495,'Production '!$U$4:$U$4407)</f>
        <v>-10620.435600016917</v>
      </c>
      <c r="G2495" s="76" t="e">
        <f ca="1">SUMIF('Production '!$C$4:$AI$4407,'Tracking Sheet'!B2495,'Production '!$W$4:$W$4407)</f>
        <v>#DIV/0!</v>
      </c>
      <c r="H2495" s="76">
        <f ca="1">SUMIF('Production '!$C$4:$AI$4407,'Tracking Sheet'!B2495,'Production '!$F$4:$F$4407)</f>
        <v>3230621.3283604058</v>
      </c>
      <c r="I2495" s="76">
        <f ca="1">SUMIF('Production '!$C$4:$AI$4407,'Tracking Sheet'!B2495,'Production '!$V$4:$V$4407)</f>
        <v>-489.86487791182844</v>
      </c>
      <c r="J2495" s="76">
        <f ca="1">SUMIF('Production '!$C$4:$AI$4407,'Tracking Sheet'!B2495,'Production '!$AG$4:$AG$4407)</f>
        <v>0</v>
      </c>
    </row>
    <row r="2496" spans="2:10" x14ac:dyDescent="0.3">
      <c r="B2496" s="277">
        <f>'Production '!C2499</f>
        <v>0</v>
      </c>
      <c r="C2496" s="76" t="e">
        <f ca="1">SUMIF('Production '!$C$4:$AI$4407,'Tracking Sheet'!B2496,'Production '!$M$4:$M$4407)</f>
        <v>#DIV/0!</v>
      </c>
      <c r="D2496" s="76" t="e">
        <f ca="1">SUMIF('Production '!$C$4:$AI$4407,'Tracking Sheet'!B2496,'Production '!$Q$4:$Q$4407)</f>
        <v>#DIV/0!</v>
      </c>
      <c r="E2496" s="76">
        <f ca="1">SUMIF('Production '!$C$4:$AI$4407,'Tracking Sheet'!B2496,'Production '!$S$4:$S$4407)</f>
        <v>-1268218.9828305368</v>
      </c>
      <c r="F2496" s="76">
        <f ca="1">SUMIF('Production '!$C$4:$AI$4407,'Tracking Sheet'!B2496,'Production '!$U$4:$U$4407)</f>
        <v>-10620.435600016917</v>
      </c>
      <c r="G2496" s="76" t="e">
        <f ca="1">SUMIF('Production '!$C$4:$AI$4407,'Tracking Sheet'!B2496,'Production '!$W$4:$W$4407)</f>
        <v>#DIV/0!</v>
      </c>
      <c r="H2496" s="76">
        <f ca="1">SUMIF('Production '!$C$4:$AI$4407,'Tracking Sheet'!B2496,'Production '!$F$4:$F$4407)</f>
        <v>3230621.3283604058</v>
      </c>
      <c r="I2496" s="76">
        <f ca="1">SUMIF('Production '!$C$4:$AI$4407,'Tracking Sheet'!B2496,'Production '!$V$4:$V$4407)</f>
        <v>-489.86487791182844</v>
      </c>
      <c r="J2496" s="76">
        <f ca="1">SUMIF('Production '!$C$4:$AI$4407,'Tracking Sheet'!B2496,'Production '!$AG$4:$AG$4407)</f>
        <v>0</v>
      </c>
    </row>
    <row r="2497" spans="2:10" x14ac:dyDescent="0.3">
      <c r="B2497" s="277">
        <f>'Production '!C2500</f>
        <v>0</v>
      </c>
      <c r="C2497" s="76" t="e">
        <f ca="1">SUMIF('Production '!$C$4:$AI$4407,'Tracking Sheet'!B2497,'Production '!$M$4:$M$4407)</f>
        <v>#DIV/0!</v>
      </c>
      <c r="D2497" s="76" t="e">
        <f ca="1">SUMIF('Production '!$C$4:$AI$4407,'Tracking Sheet'!B2497,'Production '!$Q$4:$Q$4407)</f>
        <v>#DIV/0!</v>
      </c>
      <c r="E2497" s="76">
        <f ca="1">SUMIF('Production '!$C$4:$AI$4407,'Tracking Sheet'!B2497,'Production '!$S$4:$S$4407)</f>
        <v>-1268218.9828305368</v>
      </c>
      <c r="F2497" s="76">
        <f ca="1">SUMIF('Production '!$C$4:$AI$4407,'Tracking Sheet'!B2497,'Production '!$U$4:$U$4407)</f>
        <v>-10620.435600016917</v>
      </c>
      <c r="G2497" s="76" t="e">
        <f ca="1">SUMIF('Production '!$C$4:$AI$4407,'Tracking Sheet'!B2497,'Production '!$W$4:$W$4407)</f>
        <v>#DIV/0!</v>
      </c>
      <c r="H2497" s="76">
        <f ca="1">SUMIF('Production '!$C$4:$AI$4407,'Tracking Sheet'!B2497,'Production '!$F$4:$F$4407)</f>
        <v>3230621.3283604058</v>
      </c>
      <c r="I2497" s="76">
        <f ca="1">SUMIF('Production '!$C$4:$AI$4407,'Tracking Sheet'!B2497,'Production '!$V$4:$V$4407)</f>
        <v>-489.86487791182844</v>
      </c>
      <c r="J2497" s="76">
        <f ca="1">SUMIF('Production '!$C$4:$AI$4407,'Tracking Sheet'!B2497,'Production '!$AG$4:$AG$4407)</f>
        <v>0</v>
      </c>
    </row>
    <row r="2498" spans="2:10" x14ac:dyDescent="0.3">
      <c r="B2498" s="277">
        <f>'Production '!C2501</f>
        <v>0</v>
      </c>
      <c r="C2498" s="76" t="e">
        <f ca="1">SUMIF('Production '!$C$4:$AI$4407,'Tracking Sheet'!B2498,'Production '!$M$4:$M$4407)</f>
        <v>#DIV/0!</v>
      </c>
      <c r="D2498" s="76" t="e">
        <f ca="1">SUMIF('Production '!$C$4:$AI$4407,'Tracking Sheet'!B2498,'Production '!$Q$4:$Q$4407)</f>
        <v>#DIV/0!</v>
      </c>
      <c r="E2498" s="76">
        <f ca="1">SUMIF('Production '!$C$4:$AI$4407,'Tracking Sheet'!B2498,'Production '!$S$4:$S$4407)</f>
        <v>-1268218.9828305368</v>
      </c>
      <c r="F2498" s="76">
        <f ca="1">SUMIF('Production '!$C$4:$AI$4407,'Tracking Sheet'!B2498,'Production '!$U$4:$U$4407)</f>
        <v>-10620.435600016917</v>
      </c>
      <c r="G2498" s="76" t="e">
        <f ca="1">SUMIF('Production '!$C$4:$AI$4407,'Tracking Sheet'!B2498,'Production '!$W$4:$W$4407)</f>
        <v>#DIV/0!</v>
      </c>
      <c r="H2498" s="76">
        <f ca="1">SUMIF('Production '!$C$4:$AI$4407,'Tracking Sheet'!B2498,'Production '!$F$4:$F$4407)</f>
        <v>3230621.3283604058</v>
      </c>
      <c r="I2498" s="76">
        <f ca="1">SUMIF('Production '!$C$4:$AI$4407,'Tracking Sheet'!B2498,'Production '!$V$4:$V$4407)</f>
        <v>-489.86487791182844</v>
      </c>
      <c r="J2498" s="76">
        <f ca="1">SUMIF('Production '!$C$4:$AI$4407,'Tracking Sheet'!B2498,'Production '!$AG$4:$AG$4407)</f>
        <v>0</v>
      </c>
    </row>
    <row r="2499" spans="2:10" x14ac:dyDescent="0.3">
      <c r="B2499" s="277">
        <f>'Production '!C2502</f>
        <v>0</v>
      </c>
      <c r="C2499" s="76" t="e">
        <f ca="1">SUMIF('Production '!$C$4:$AI$4407,'Tracking Sheet'!B2499,'Production '!$M$4:$M$4407)</f>
        <v>#DIV/0!</v>
      </c>
      <c r="D2499" s="76" t="e">
        <f ca="1">SUMIF('Production '!$C$4:$AI$4407,'Tracking Sheet'!B2499,'Production '!$Q$4:$Q$4407)</f>
        <v>#DIV/0!</v>
      </c>
      <c r="E2499" s="76">
        <f ca="1">SUMIF('Production '!$C$4:$AI$4407,'Tracking Sheet'!B2499,'Production '!$S$4:$S$4407)</f>
        <v>-1268218.9828305368</v>
      </c>
      <c r="F2499" s="76">
        <f ca="1">SUMIF('Production '!$C$4:$AI$4407,'Tracking Sheet'!B2499,'Production '!$U$4:$U$4407)</f>
        <v>-10620.435600016917</v>
      </c>
      <c r="G2499" s="76" t="e">
        <f ca="1">SUMIF('Production '!$C$4:$AI$4407,'Tracking Sheet'!B2499,'Production '!$W$4:$W$4407)</f>
        <v>#DIV/0!</v>
      </c>
      <c r="H2499" s="76">
        <f ca="1">SUMIF('Production '!$C$4:$AI$4407,'Tracking Sheet'!B2499,'Production '!$F$4:$F$4407)</f>
        <v>3230621.3283604058</v>
      </c>
      <c r="I2499" s="76">
        <f ca="1">SUMIF('Production '!$C$4:$AI$4407,'Tracking Sheet'!B2499,'Production '!$V$4:$V$4407)</f>
        <v>-489.86487791182844</v>
      </c>
      <c r="J2499" s="76">
        <f ca="1">SUMIF('Production '!$C$4:$AI$4407,'Tracking Sheet'!B2499,'Production '!$AG$4:$AG$4407)</f>
        <v>0</v>
      </c>
    </row>
    <row r="2500" spans="2:10" x14ac:dyDescent="0.3">
      <c r="B2500" s="277">
        <f>'Production '!C2503</f>
        <v>0</v>
      </c>
      <c r="C2500" s="76" t="e">
        <f ca="1">SUMIF('Production '!$C$4:$AI$4407,'Tracking Sheet'!B2500,'Production '!$M$4:$M$4407)</f>
        <v>#DIV/0!</v>
      </c>
      <c r="D2500" s="76" t="e">
        <f ca="1">SUMIF('Production '!$C$4:$AI$4407,'Tracking Sheet'!B2500,'Production '!$Q$4:$Q$4407)</f>
        <v>#DIV/0!</v>
      </c>
      <c r="E2500" s="76">
        <f ca="1">SUMIF('Production '!$C$4:$AI$4407,'Tracking Sheet'!B2500,'Production '!$S$4:$S$4407)</f>
        <v>-1268218.9828305368</v>
      </c>
      <c r="F2500" s="76">
        <f ca="1">SUMIF('Production '!$C$4:$AI$4407,'Tracking Sheet'!B2500,'Production '!$U$4:$U$4407)</f>
        <v>-10620.435600016917</v>
      </c>
      <c r="G2500" s="76" t="e">
        <f ca="1">SUMIF('Production '!$C$4:$AI$4407,'Tracking Sheet'!B2500,'Production '!$W$4:$W$4407)</f>
        <v>#DIV/0!</v>
      </c>
      <c r="H2500" s="76">
        <f ca="1">SUMIF('Production '!$C$4:$AI$4407,'Tracking Sheet'!B2500,'Production '!$F$4:$F$4407)</f>
        <v>3230621.3283604058</v>
      </c>
      <c r="I2500" s="76">
        <f ca="1">SUMIF('Production '!$C$4:$AI$4407,'Tracking Sheet'!B2500,'Production '!$V$4:$V$4407)</f>
        <v>-489.86487791182844</v>
      </c>
      <c r="J2500" s="76">
        <f ca="1">SUMIF('Production '!$C$4:$AI$4407,'Tracking Sheet'!B2500,'Production '!$AG$4:$AG$4407)</f>
        <v>0</v>
      </c>
    </row>
    <row r="2501" spans="2:10" x14ac:dyDescent="0.3">
      <c r="B2501" s="277">
        <f>'Production '!C2504</f>
        <v>0</v>
      </c>
      <c r="C2501" s="76" t="e">
        <f ca="1">SUMIF('Production '!$C$4:$AI$4407,'Tracking Sheet'!B2501,'Production '!$M$4:$M$4407)</f>
        <v>#DIV/0!</v>
      </c>
      <c r="D2501" s="76" t="e">
        <f ca="1">SUMIF('Production '!$C$4:$AI$4407,'Tracking Sheet'!B2501,'Production '!$Q$4:$Q$4407)</f>
        <v>#DIV/0!</v>
      </c>
      <c r="E2501" s="76">
        <f ca="1">SUMIF('Production '!$C$4:$AI$4407,'Tracking Sheet'!B2501,'Production '!$S$4:$S$4407)</f>
        <v>-1268218.9828305368</v>
      </c>
      <c r="F2501" s="76">
        <f ca="1">SUMIF('Production '!$C$4:$AI$4407,'Tracking Sheet'!B2501,'Production '!$U$4:$U$4407)</f>
        <v>-10620.435600016917</v>
      </c>
      <c r="G2501" s="76" t="e">
        <f ca="1">SUMIF('Production '!$C$4:$AI$4407,'Tracking Sheet'!B2501,'Production '!$W$4:$W$4407)</f>
        <v>#DIV/0!</v>
      </c>
      <c r="H2501" s="76">
        <f ca="1">SUMIF('Production '!$C$4:$AI$4407,'Tracking Sheet'!B2501,'Production '!$F$4:$F$4407)</f>
        <v>3230621.3283604058</v>
      </c>
      <c r="I2501" s="76">
        <f ca="1">SUMIF('Production '!$C$4:$AI$4407,'Tracking Sheet'!B2501,'Production '!$V$4:$V$4407)</f>
        <v>-489.86487791182844</v>
      </c>
      <c r="J2501" s="76">
        <f ca="1">SUMIF('Production '!$C$4:$AI$4407,'Tracking Sheet'!B2501,'Production '!$AG$4:$AG$4407)</f>
        <v>0</v>
      </c>
    </row>
    <row r="2502" spans="2:10" x14ac:dyDescent="0.3">
      <c r="B2502" s="277">
        <f>'Production '!C2505</f>
        <v>0</v>
      </c>
      <c r="C2502" s="76" t="e">
        <f ca="1">SUMIF('Production '!$C$4:$AI$4407,'Tracking Sheet'!B2502,'Production '!$M$4:$M$4407)</f>
        <v>#DIV/0!</v>
      </c>
      <c r="D2502" s="76" t="e">
        <f ca="1">SUMIF('Production '!$C$4:$AI$4407,'Tracking Sheet'!B2502,'Production '!$Q$4:$Q$4407)</f>
        <v>#DIV/0!</v>
      </c>
      <c r="E2502" s="76">
        <f ca="1">SUMIF('Production '!$C$4:$AI$4407,'Tracking Sheet'!B2502,'Production '!$S$4:$S$4407)</f>
        <v>-1268218.9828305368</v>
      </c>
      <c r="F2502" s="76">
        <f ca="1">SUMIF('Production '!$C$4:$AI$4407,'Tracking Sheet'!B2502,'Production '!$U$4:$U$4407)</f>
        <v>-10620.435600016917</v>
      </c>
      <c r="G2502" s="76" t="e">
        <f ca="1">SUMIF('Production '!$C$4:$AI$4407,'Tracking Sheet'!B2502,'Production '!$W$4:$W$4407)</f>
        <v>#DIV/0!</v>
      </c>
      <c r="H2502" s="76">
        <f ca="1">SUMIF('Production '!$C$4:$AI$4407,'Tracking Sheet'!B2502,'Production '!$F$4:$F$4407)</f>
        <v>3230621.3283604058</v>
      </c>
      <c r="I2502" s="76">
        <f ca="1">SUMIF('Production '!$C$4:$AI$4407,'Tracking Sheet'!B2502,'Production '!$V$4:$V$4407)</f>
        <v>-489.86487791182844</v>
      </c>
      <c r="J2502" s="76">
        <f ca="1">SUMIF('Production '!$C$4:$AI$4407,'Tracking Sheet'!B2502,'Production '!$AG$4:$AG$4407)</f>
        <v>0</v>
      </c>
    </row>
    <row r="2503" spans="2:10" x14ac:dyDescent="0.3">
      <c r="B2503" s="277">
        <f>'Production '!C2506</f>
        <v>0</v>
      </c>
      <c r="C2503" s="76" t="e">
        <f ca="1">SUMIF('Production '!$C$4:$AI$4407,'Tracking Sheet'!B2503,'Production '!$M$4:$M$4407)</f>
        <v>#DIV/0!</v>
      </c>
      <c r="D2503" s="76" t="e">
        <f ca="1">SUMIF('Production '!$C$4:$AI$4407,'Tracking Sheet'!B2503,'Production '!$Q$4:$Q$4407)</f>
        <v>#DIV/0!</v>
      </c>
      <c r="E2503" s="76">
        <f ca="1">SUMIF('Production '!$C$4:$AI$4407,'Tracking Sheet'!B2503,'Production '!$S$4:$S$4407)</f>
        <v>-1268218.9828305368</v>
      </c>
      <c r="F2503" s="76">
        <f ca="1">SUMIF('Production '!$C$4:$AI$4407,'Tracking Sheet'!B2503,'Production '!$U$4:$U$4407)</f>
        <v>-10620.435600016917</v>
      </c>
      <c r="G2503" s="76" t="e">
        <f ca="1">SUMIF('Production '!$C$4:$AI$4407,'Tracking Sheet'!B2503,'Production '!$W$4:$W$4407)</f>
        <v>#DIV/0!</v>
      </c>
      <c r="H2503" s="76">
        <f ca="1">SUMIF('Production '!$C$4:$AI$4407,'Tracking Sheet'!B2503,'Production '!$F$4:$F$4407)</f>
        <v>3230621.3283604058</v>
      </c>
      <c r="I2503" s="76">
        <f ca="1">SUMIF('Production '!$C$4:$AI$4407,'Tracking Sheet'!B2503,'Production '!$V$4:$V$4407)</f>
        <v>-489.86487791182844</v>
      </c>
      <c r="J2503" s="76">
        <f ca="1">SUMIF('Production '!$C$4:$AI$4407,'Tracking Sheet'!B2503,'Production '!$AG$4:$AG$4407)</f>
        <v>0</v>
      </c>
    </row>
    <row r="2504" spans="2:10" x14ac:dyDescent="0.3">
      <c r="B2504" s="277">
        <f>'Production '!C2507</f>
        <v>0</v>
      </c>
      <c r="C2504" s="76" t="e">
        <f ca="1">SUMIF('Production '!$C$4:$AI$4407,'Tracking Sheet'!B2504,'Production '!$M$4:$M$4407)</f>
        <v>#DIV/0!</v>
      </c>
      <c r="D2504" s="76" t="e">
        <f ca="1">SUMIF('Production '!$C$4:$AI$4407,'Tracking Sheet'!B2504,'Production '!$Q$4:$Q$4407)</f>
        <v>#DIV/0!</v>
      </c>
      <c r="E2504" s="76">
        <f ca="1">SUMIF('Production '!$C$4:$AI$4407,'Tracking Sheet'!B2504,'Production '!$S$4:$S$4407)</f>
        <v>-1268218.9828305368</v>
      </c>
      <c r="F2504" s="76">
        <f ca="1">SUMIF('Production '!$C$4:$AI$4407,'Tracking Sheet'!B2504,'Production '!$U$4:$U$4407)</f>
        <v>-10620.435600016917</v>
      </c>
      <c r="G2504" s="76" t="e">
        <f ca="1">SUMIF('Production '!$C$4:$AI$4407,'Tracking Sheet'!B2504,'Production '!$W$4:$W$4407)</f>
        <v>#DIV/0!</v>
      </c>
      <c r="H2504" s="76">
        <f ca="1">SUMIF('Production '!$C$4:$AI$4407,'Tracking Sheet'!B2504,'Production '!$F$4:$F$4407)</f>
        <v>3230621.3283604058</v>
      </c>
      <c r="I2504" s="76">
        <f ca="1">SUMIF('Production '!$C$4:$AI$4407,'Tracking Sheet'!B2504,'Production '!$V$4:$V$4407)</f>
        <v>-489.86487791182844</v>
      </c>
      <c r="J2504" s="76">
        <f ca="1">SUMIF('Production '!$C$4:$AI$4407,'Tracking Sheet'!B2504,'Production '!$AG$4:$AG$4407)</f>
        <v>0</v>
      </c>
    </row>
    <row r="2505" spans="2:10" x14ac:dyDescent="0.3">
      <c r="B2505" s="277">
        <f>'Production '!C2508</f>
        <v>0</v>
      </c>
      <c r="C2505" s="76" t="e">
        <f ca="1">SUMIF('Production '!$C$4:$AI$4407,'Tracking Sheet'!B2505,'Production '!$M$4:$M$4407)</f>
        <v>#DIV/0!</v>
      </c>
      <c r="D2505" s="76" t="e">
        <f ca="1">SUMIF('Production '!$C$4:$AI$4407,'Tracking Sheet'!B2505,'Production '!$Q$4:$Q$4407)</f>
        <v>#DIV/0!</v>
      </c>
      <c r="E2505" s="76">
        <f ca="1">SUMIF('Production '!$C$4:$AI$4407,'Tracking Sheet'!B2505,'Production '!$S$4:$S$4407)</f>
        <v>-1268218.9828305368</v>
      </c>
      <c r="F2505" s="76">
        <f ca="1">SUMIF('Production '!$C$4:$AI$4407,'Tracking Sheet'!B2505,'Production '!$U$4:$U$4407)</f>
        <v>-10620.435600016917</v>
      </c>
      <c r="G2505" s="76" t="e">
        <f ca="1">SUMIF('Production '!$C$4:$AI$4407,'Tracking Sheet'!B2505,'Production '!$W$4:$W$4407)</f>
        <v>#DIV/0!</v>
      </c>
      <c r="H2505" s="76">
        <f ca="1">SUMIF('Production '!$C$4:$AI$4407,'Tracking Sheet'!B2505,'Production '!$F$4:$F$4407)</f>
        <v>3230621.3283604058</v>
      </c>
      <c r="I2505" s="76">
        <f ca="1">SUMIF('Production '!$C$4:$AI$4407,'Tracking Sheet'!B2505,'Production '!$V$4:$V$4407)</f>
        <v>-489.86487791182844</v>
      </c>
      <c r="J2505" s="76">
        <f ca="1">SUMIF('Production '!$C$4:$AI$4407,'Tracking Sheet'!B2505,'Production '!$AG$4:$AG$4407)</f>
        <v>0</v>
      </c>
    </row>
    <row r="2506" spans="2:10" x14ac:dyDescent="0.3">
      <c r="B2506" s="277">
        <f>'Production '!C2509</f>
        <v>0</v>
      </c>
      <c r="C2506" s="76" t="e">
        <f ca="1">SUMIF('Production '!$C$4:$AI$4407,'Tracking Sheet'!B2506,'Production '!$M$4:$M$4407)</f>
        <v>#DIV/0!</v>
      </c>
      <c r="D2506" s="76" t="e">
        <f ca="1">SUMIF('Production '!$C$4:$AI$4407,'Tracking Sheet'!B2506,'Production '!$Q$4:$Q$4407)</f>
        <v>#DIV/0!</v>
      </c>
      <c r="E2506" s="76">
        <f ca="1">SUMIF('Production '!$C$4:$AI$4407,'Tracking Sheet'!B2506,'Production '!$S$4:$S$4407)</f>
        <v>-1268218.9828305368</v>
      </c>
      <c r="F2506" s="76">
        <f ca="1">SUMIF('Production '!$C$4:$AI$4407,'Tracking Sheet'!B2506,'Production '!$U$4:$U$4407)</f>
        <v>-10620.435600016917</v>
      </c>
      <c r="G2506" s="76" t="e">
        <f ca="1">SUMIF('Production '!$C$4:$AI$4407,'Tracking Sheet'!B2506,'Production '!$W$4:$W$4407)</f>
        <v>#DIV/0!</v>
      </c>
      <c r="H2506" s="76">
        <f ca="1">SUMIF('Production '!$C$4:$AI$4407,'Tracking Sheet'!B2506,'Production '!$F$4:$F$4407)</f>
        <v>3230621.3283604058</v>
      </c>
      <c r="I2506" s="76">
        <f ca="1">SUMIF('Production '!$C$4:$AI$4407,'Tracking Sheet'!B2506,'Production '!$V$4:$V$4407)</f>
        <v>-489.86487791182844</v>
      </c>
      <c r="J2506" s="76">
        <f ca="1">SUMIF('Production '!$C$4:$AI$4407,'Tracking Sheet'!B2506,'Production '!$AG$4:$AG$4407)</f>
        <v>0</v>
      </c>
    </row>
    <row r="2507" spans="2:10" x14ac:dyDescent="0.3">
      <c r="B2507" s="277">
        <f>'Production '!C2510</f>
        <v>0</v>
      </c>
      <c r="C2507" s="76" t="e">
        <f ca="1">SUMIF('Production '!$C$4:$AI$4407,'Tracking Sheet'!B2507,'Production '!$M$4:$M$4407)</f>
        <v>#DIV/0!</v>
      </c>
      <c r="D2507" s="76" t="e">
        <f ca="1">SUMIF('Production '!$C$4:$AI$4407,'Tracking Sheet'!B2507,'Production '!$Q$4:$Q$4407)</f>
        <v>#DIV/0!</v>
      </c>
      <c r="E2507" s="76">
        <f ca="1">SUMIF('Production '!$C$4:$AI$4407,'Tracking Sheet'!B2507,'Production '!$S$4:$S$4407)</f>
        <v>-1268218.9828305368</v>
      </c>
      <c r="F2507" s="76">
        <f ca="1">SUMIF('Production '!$C$4:$AI$4407,'Tracking Sheet'!B2507,'Production '!$U$4:$U$4407)</f>
        <v>-10620.435600016917</v>
      </c>
      <c r="G2507" s="76" t="e">
        <f ca="1">SUMIF('Production '!$C$4:$AI$4407,'Tracking Sheet'!B2507,'Production '!$W$4:$W$4407)</f>
        <v>#DIV/0!</v>
      </c>
      <c r="H2507" s="76">
        <f ca="1">SUMIF('Production '!$C$4:$AI$4407,'Tracking Sheet'!B2507,'Production '!$F$4:$F$4407)</f>
        <v>3230621.3283604058</v>
      </c>
      <c r="I2507" s="76">
        <f ca="1">SUMIF('Production '!$C$4:$AI$4407,'Tracking Sheet'!B2507,'Production '!$V$4:$V$4407)</f>
        <v>-489.86487791182844</v>
      </c>
      <c r="J2507" s="76">
        <f ca="1">SUMIF('Production '!$C$4:$AI$4407,'Tracking Sheet'!B2507,'Production '!$AG$4:$AG$4407)</f>
        <v>0</v>
      </c>
    </row>
    <row r="2508" spans="2:10" x14ac:dyDescent="0.3">
      <c r="B2508" s="277">
        <f>'Production '!C2511</f>
        <v>0</v>
      </c>
      <c r="C2508" s="76" t="e">
        <f ca="1">SUMIF('Production '!$C$4:$AI$4407,'Tracking Sheet'!B2508,'Production '!$M$4:$M$4407)</f>
        <v>#DIV/0!</v>
      </c>
      <c r="D2508" s="76" t="e">
        <f ca="1">SUMIF('Production '!$C$4:$AI$4407,'Tracking Sheet'!B2508,'Production '!$Q$4:$Q$4407)</f>
        <v>#DIV/0!</v>
      </c>
      <c r="E2508" s="76">
        <f ca="1">SUMIF('Production '!$C$4:$AI$4407,'Tracking Sheet'!B2508,'Production '!$S$4:$S$4407)</f>
        <v>-1268218.9828305368</v>
      </c>
      <c r="F2508" s="76">
        <f ca="1">SUMIF('Production '!$C$4:$AI$4407,'Tracking Sheet'!B2508,'Production '!$U$4:$U$4407)</f>
        <v>-10620.435600016917</v>
      </c>
      <c r="G2508" s="76" t="e">
        <f ca="1">SUMIF('Production '!$C$4:$AI$4407,'Tracking Sheet'!B2508,'Production '!$W$4:$W$4407)</f>
        <v>#DIV/0!</v>
      </c>
      <c r="H2508" s="76">
        <f ca="1">SUMIF('Production '!$C$4:$AI$4407,'Tracking Sheet'!B2508,'Production '!$F$4:$F$4407)</f>
        <v>3230621.3283604058</v>
      </c>
      <c r="I2508" s="76">
        <f ca="1">SUMIF('Production '!$C$4:$AI$4407,'Tracking Sheet'!B2508,'Production '!$V$4:$V$4407)</f>
        <v>-489.86487791182844</v>
      </c>
      <c r="J2508" s="76">
        <f ca="1">SUMIF('Production '!$C$4:$AI$4407,'Tracking Sheet'!B2508,'Production '!$AG$4:$AG$4407)</f>
        <v>0</v>
      </c>
    </row>
    <row r="2509" spans="2:10" x14ac:dyDescent="0.3">
      <c r="B2509" s="277">
        <f>'Production '!C2512</f>
        <v>0</v>
      </c>
      <c r="C2509" s="76" t="e">
        <f ca="1">SUMIF('Production '!$C$4:$AI$4407,'Tracking Sheet'!B2509,'Production '!$M$4:$M$4407)</f>
        <v>#DIV/0!</v>
      </c>
      <c r="D2509" s="76" t="e">
        <f ca="1">SUMIF('Production '!$C$4:$AI$4407,'Tracking Sheet'!B2509,'Production '!$Q$4:$Q$4407)</f>
        <v>#DIV/0!</v>
      </c>
      <c r="E2509" s="76">
        <f ca="1">SUMIF('Production '!$C$4:$AI$4407,'Tracking Sheet'!B2509,'Production '!$S$4:$S$4407)</f>
        <v>-1268218.9828305368</v>
      </c>
      <c r="F2509" s="76">
        <f ca="1">SUMIF('Production '!$C$4:$AI$4407,'Tracking Sheet'!B2509,'Production '!$U$4:$U$4407)</f>
        <v>-10620.435600016917</v>
      </c>
      <c r="G2509" s="76" t="e">
        <f ca="1">SUMIF('Production '!$C$4:$AI$4407,'Tracking Sheet'!B2509,'Production '!$W$4:$W$4407)</f>
        <v>#DIV/0!</v>
      </c>
      <c r="H2509" s="76">
        <f ca="1">SUMIF('Production '!$C$4:$AI$4407,'Tracking Sheet'!B2509,'Production '!$F$4:$F$4407)</f>
        <v>3230621.3283604058</v>
      </c>
      <c r="I2509" s="76">
        <f ca="1">SUMIF('Production '!$C$4:$AI$4407,'Tracking Sheet'!B2509,'Production '!$V$4:$V$4407)</f>
        <v>-489.86487791182844</v>
      </c>
      <c r="J2509" s="76">
        <f ca="1">SUMIF('Production '!$C$4:$AI$4407,'Tracking Sheet'!B2509,'Production '!$AG$4:$AG$4407)</f>
        <v>0</v>
      </c>
    </row>
    <row r="2510" spans="2:10" x14ac:dyDescent="0.3">
      <c r="B2510" s="277">
        <f>'Production '!C2513</f>
        <v>0</v>
      </c>
      <c r="C2510" s="76" t="e">
        <f ca="1">SUMIF('Production '!$C$4:$AI$4407,'Tracking Sheet'!B2510,'Production '!$M$4:$M$4407)</f>
        <v>#DIV/0!</v>
      </c>
      <c r="D2510" s="76" t="e">
        <f ca="1">SUMIF('Production '!$C$4:$AI$4407,'Tracking Sheet'!B2510,'Production '!$Q$4:$Q$4407)</f>
        <v>#DIV/0!</v>
      </c>
      <c r="E2510" s="76">
        <f ca="1">SUMIF('Production '!$C$4:$AI$4407,'Tracking Sheet'!B2510,'Production '!$S$4:$S$4407)</f>
        <v>-1268218.9828305368</v>
      </c>
      <c r="F2510" s="76">
        <f ca="1">SUMIF('Production '!$C$4:$AI$4407,'Tracking Sheet'!B2510,'Production '!$U$4:$U$4407)</f>
        <v>-10620.435600016917</v>
      </c>
      <c r="G2510" s="76" t="e">
        <f ca="1">SUMIF('Production '!$C$4:$AI$4407,'Tracking Sheet'!B2510,'Production '!$W$4:$W$4407)</f>
        <v>#DIV/0!</v>
      </c>
      <c r="H2510" s="76">
        <f ca="1">SUMIF('Production '!$C$4:$AI$4407,'Tracking Sheet'!B2510,'Production '!$F$4:$F$4407)</f>
        <v>3230621.3283604058</v>
      </c>
      <c r="I2510" s="76">
        <f ca="1">SUMIF('Production '!$C$4:$AI$4407,'Tracking Sheet'!B2510,'Production '!$V$4:$V$4407)</f>
        <v>-489.86487791182844</v>
      </c>
      <c r="J2510" s="76">
        <f ca="1">SUMIF('Production '!$C$4:$AI$4407,'Tracking Sheet'!B2510,'Production '!$AG$4:$AG$4407)</f>
        <v>0</v>
      </c>
    </row>
    <row r="2511" spans="2:10" x14ac:dyDescent="0.3">
      <c r="B2511" s="277">
        <f>'Production '!C2514</f>
        <v>0</v>
      </c>
      <c r="C2511" s="76" t="e">
        <f ca="1">SUMIF('Production '!$C$4:$AI$4407,'Tracking Sheet'!B2511,'Production '!$M$4:$M$4407)</f>
        <v>#DIV/0!</v>
      </c>
      <c r="D2511" s="76" t="e">
        <f ca="1">SUMIF('Production '!$C$4:$AI$4407,'Tracking Sheet'!B2511,'Production '!$Q$4:$Q$4407)</f>
        <v>#DIV/0!</v>
      </c>
      <c r="E2511" s="76">
        <f ca="1">SUMIF('Production '!$C$4:$AI$4407,'Tracking Sheet'!B2511,'Production '!$S$4:$S$4407)</f>
        <v>-1268218.9828305368</v>
      </c>
      <c r="F2511" s="76">
        <f ca="1">SUMIF('Production '!$C$4:$AI$4407,'Tracking Sheet'!B2511,'Production '!$U$4:$U$4407)</f>
        <v>-10620.435600016917</v>
      </c>
      <c r="G2511" s="76" t="e">
        <f ca="1">SUMIF('Production '!$C$4:$AI$4407,'Tracking Sheet'!B2511,'Production '!$W$4:$W$4407)</f>
        <v>#DIV/0!</v>
      </c>
      <c r="H2511" s="76">
        <f ca="1">SUMIF('Production '!$C$4:$AI$4407,'Tracking Sheet'!B2511,'Production '!$F$4:$F$4407)</f>
        <v>3230621.3283604058</v>
      </c>
      <c r="I2511" s="76">
        <f ca="1">SUMIF('Production '!$C$4:$AI$4407,'Tracking Sheet'!B2511,'Production '!$V$4:$V$4407)</f>
        <v>-489.86487791182844</v>
      </c>
      <c r="J2511" s="76">
        <f ca="1">SUMIF('Production '!$C$4:$AI$4407,'Tracking Sheet'!B2511,'Production '!$AG$4:$AG$4407)</f>
        <v>0</v>
      </c>
    </row>
    <row r="2512" spans="2:10" x14ac:dyDescent="0.3">
      <c r="B2512" s="277">
        <f>'Production '!C2515</f>
        <v>0</v>
      </c>
      <c r="C2512" s="76" t="e">
        <f ca="1">SUMIF('Production '!$C$4:$AI$4407,'Tracking Sheet'!B2512,'Production '!$M$4:$M$4407)</f>
        <v>#DIV/0!</v>
      </c>
      <c r="D2512" s="76" t="e">
        <f ca="1">SUMIF('Production '!$C$4:$AI$4407,'Tracking Sheet'!B2512,'Production '!$Q$4:$Q$4407)</f>
        <v>#DIV/0!</v>
      </c>
      <c r="E2512" s="76">
        <f ca="1">SUMIF('Production '!$C$4:$AI$4407,'Tracking Sheet'!B2512,'Production '!$S$4:$S$4407)</f>
        <v>-1268218.9828305368</v>
      </c>
      <c r="F2512" s="76">
        <f ca="1">SUMIF('Production '!$C$4:$AI$4407,'Tracking Sheet'!B2512,'Production '!$U$4:$U$4407)</f>
        <v>-10620.435600016917</v>
      </c>
      <c r="G2512" s="76" t="e">
        <f ca="1">SUMIF('Production '!$C$4:$AI$4407,'Tracking Sheet'!B2512,'Production '!$W$4:$W$4407)</f>
        <v>#DIV/0!</v>
      </c>
      <c r="H2512" s="76">
        <f ca="1">SUMIF('Production '!$C$4:$AI$4407,'Tracking Sheet'!B2512,'Production '!$F$4:$F$4407)</f>
        <v>3230621.3283604058</v>
      </c>
      <c r="I2512" s="76">
        <f ca="1">SUMIF('Production '!$C$4:$AI$4407,'Tracking Sheet'!B2512,'Production '!$V$4:$V$4407)</f>
        <v>-489.86487791182844</v>
      </c>
      <c r="J2512" s="76">
        <f ca="1">SUMIF('Production '!$C$4:$AI$4407,'Tracking Sheet'!B2512,'Production '!$AG$4:$AG$4407)</f>
        <v>0</v>
      </c>
    </row>
    <row r="2513" spans="2:10" x14ac:dyDescent="0.3">
      <c r="B2513" s="277">
        <f>'Production '!C2516</f>
        <v>0</v>
      </c>
      <c r="C2513" s="76" t="e">
        <f ca="1">SUMIF('Production '!$C$4:$AI$4407,'Tracking Sheet'!B2513,'Production '!$M$4:$M$4407)</f>
        <v>#DIV/0!</v>
      </c>
      <c r="D2513" s="76" t="e">
        <f ca="1">SUMIF('Production '!$C$4:$AI$4407,'Tracking Sheet'!B2513,'Production '!$Q$4:$Q$4407)</f>
        <v>#DIV/0!</v>
      </c>
      <c r="E2513" s="76">
        <f ca="1">SUMIF('Production '!$C$4:$AI$4407,'Tracking Sheet'!B2513,'Production '!$S$4:$S$4407)</f>
        <v>-1268218.9828305368</v>
      </c>
      <c r="F2513" s="76">
        <f ca="1">SUMIF('Production '!$C$4:$AI$4407,'Tracking Sheet'!B2513,'Production '!$U$4:$U$4407)</f>
        <v>-10620.435600016917</v>
      </c>
      <c r="G2513" s="76" t="e">
        <f ca="1">SUMIF('Production '!$C$4:$AI$4407,'Tracking Sheet'!B2513,'Production '!$W$4:$W$4407)</f>
        <v>#DIV/0!</v>
      </c>
      <c r="H2513" s="76">
        <f ca="1">SUMIF('Production '!$C$4:$AI$4407,'Tracking Sheet'!B2513,'Production '!$F$4:$F$4407)</f>
        <v>3230621.3283604058</v>
      </c>
      <c r="I2513" s="76">
        <f ca="1">SUMIF('Production '!$C$4:$AI$4407,'Tracking Sheet'!B2513,'Production '!$V$4:$V$4407)</f>
        <v>-489.86487791182844</v>
      </c>
      <c r="J2513" s="76">
        <f ca="1">SUMIF('Production '!$C$4:$AI$4407,'Tracking Sheet'!B2513,'Production '!$AG$4:$AG$4407)</f>
        <v>0</v>
      </c>
    </row>
    <row r="2514" spans="2:10" x14ac:dyDescent="0.3">
      <c r="B2514" s="277">
        <f>'Production '!C2517</f>
        <v>0</v>
      </c>
      <c r="C2514" s="76" t="e">
        <f ca="1">SUMIF('Production '!$C$4:$AI$4407,'Tracking Sheet'!B2514,'Production '!$M$4:$M$4407)</f>
        <v>#DIV/0!</v>
      </c>
      <c r="D2514" s="76" t="e">
        <f ca="1">SUMIF('Production '!$C$4:$AI$4407,'Tracking Sheet'!B2514,'Production '!$Q$4:$Q$4407)</f>
        <v>#DIV/0!</v>
      </c>
      <c r="E2514" s="76">
        <f ca="1">SUMIF('Production '!$C$4:$AI$4407,'Tracking Sheet'!B2514,'Production '!$S$4:$S$4407)</f>
        <v>-1268218.9828305368</v>
      </c>
      <c r="F2514" s="76">
        <f ca="1">SUMIF('Production '!$C$4:$AI$4407,'Tracking Sheet'!B2514,'Production '!$U$4:$U$4407)</f>
        <v>-10620.435600016917</v>
      </c>
      <c r="G2514" s="76" t="e">
        <f ca="1">SUMIF('Production '!$C$4:$AI$4407,'Tracking Sheet'!B2514,'Production '!$W$4:$W$4407)</f>
        <v>#DIV/0!</v>
      </c>
      <c r="H2514" s="76">
        <f ca="1">SUMIF('Production '!$C$4:$AI$4407,'Tracking Sheet'!B2514,'Production '!$F$4:$F$4407)</f>
        <v>3230621.3283604058</v>
      </c>
      <c r="I2514" s="76">
        <f ca="1">SUMIF('Production '!$C$4:$AI$4407,'Tracking Sheet'!B2514,'Production '!$V$4:$V$4407)</f>
        <v>-489.86487791182844</v>
      </c>
      <c r="J2514" s="76">
        <f ca="1">SUMIF('Production '!$C$4:$AI$4407,'Tracking Sheet'!B2514,'Production '!$AG$4:$AG$4407)</f>
        <v>0</v>
      </c>
    </row>
    <row r="2515" spans="2:10" x14ac:dyDescent="0.3">
      <c r="B2515" s="277">
        <f>'Production '!C2518</f>
        <v>0</v>
      </c>
      <c r="C2515" s="76" t="e">
        <f ca="1">SUMIF('Production '!$C$4:$AI$4407,'Tracking Sheet'!B2515,'Production '!$M$4:$M$4407)</f>
        <v>#DIV/0!</v>
      </c>
      <c r="D2515" s="76" t="e">
        <f ca="1">SUMIF('Production '!$C$4:$AI$4407,'Tracking Sheet'!B2515,'Production '!$Q$4:$Q$4407)</f>
        <v>#DIV/0!</v>
      </c>
      <c r="E2515" s="76">
        <f ca="1">SUMIF('Production '!$C$4:$AI$4407,'Tracking Sheet'!B2515,'Production '!$S$4:$S$4407)</f>
        <v>-1268218.9828305368</v>
      </c>
      <c r="F2515" s="76">
        <f ca="1">SUMIF('Production '!$C$4:$AI$4407,'Tracking Sheet'!B2515,'Production '!$U$4:$U$4407)</f>
        <v>-10620.435600016917</v>
      </c>
      <c r="G2515" s="76" t="e">
        <f ca="1">SUMIF('Production '!$C$4:$AI$4407,'Tracking Sheet'!B2515,'Production '!$W$4:$W$4407)</f>
        <v>#DIV/0!</v>
      </c>
      <c r="H2515" s="76">
        <f ca="1">SUMIF('Production '!$C$4:$AI$4407,'Tracking Sheet'!B2515,'Production '!$F$4:$F$4407)</f>
        <v>3230621.3283604058</v>
      </c>
      <c r="I2515" s="76">
        <f ca="1">SUMIF('Production '!$C$4:$AI$4407,'Tracking Sheet'!B2515,'Production '!$V$4:$V$4407)</f>
        <v>-489.86487791182844</v>
      </c>
      <c r="J2515" s="76">
        <f ca="1">SUMIF('Production '!$C$4:$AI$4407,'Tracking Sheet'!B2515,'Production '!$AG$4:$AG$4407)</f>
        <v>0</v>
      </c>
    </row>
    <row r="2516" spans="2:10" x14ac:dyDescent="0.3">
      <c r="B2516" s="277">
        <f>'Production '!C2519</f>
        <v>0</v>
      </c>
      <c r="C2516" s="76" t="e">
        <f ca="1">SUMIF('Production '!$C$4:$AI$4407,'Tracking Sheet'!B2516,'Production '!$M$4:$M$4407)</f>
        <v>#DIV/0!</v>
      </c>
      <c r="D2516" s="76" t="e">
        <f ca="1">SUMIF('Production '!$C$4:$AI$4407,'Tracking Sheet'!B2516,'Production '!$Q$4:$Q$4407)</f>
        <v>#DIV/0!</v>
      </c>
      <c r="E2516" s="76">
        <f ca="1">SUMIF('Production '!$C$4:$AI$4407,'Tracking Sheet'!B2516,'Production '!$S$4:$S$4407)</f>
        <v>-1268218.9828305368</v>
      </c>
      <c r="F2516" s="76">
        <f ca="1">SUMIF('Production '!$C$4:$AI$4407,'Tracking Sheet'!B2516,'Production '!$U$4:$U$4407)</f>
        <v>-10620.435600016917</v>
      </c>
      <c r="G2516" s="76" t="e">
        <f ca="1">SUMIF('Production '!$C$4:$AI$4407,'Tracking Sheet'!B2516,'Production '!$W$4:$W$4407)</f>
        <v>#DIV/0!</v>
      </c>
      <c r="H2516" s="76">
        <f ca="1">SUMIF('Production '!$C$4:$AI$4407,'Tracking Sheet'!B2516,'Production '!$F$4:$F$4407)</f>
        <v>3230621.3283604058</v>
      </c>
      <c r="I2516" s="76">
        <f ca="1">SUMIF('Production '!$C$4:$AI$4407,'Tracking Sheet'!B2516,'Production '!$V$4:$V$4407)</f>
        <v>-489.86487791182844</v>
      </c>
      <c r="J2516" s="76">
        <f ca="1">SUMIF('Production '!$C$4:$AI$4407,'Tracking Sheet'!B2516,'Production '!$AG$4:$AG$4407)</f>
        <v>0</v>
      </c>
    </row>
    <row r="2517" spans="2:10" x14ac:dyDescent="0.3">
      <c r="B2517" s="277">
        <f>'Production '!C2520</f>
        <v>0</v>
      </c>
      <c r="C2517" s="76" t="e">
        <f ca="1">SUMIF('Production '!$C$4:$AI$4407,'Tracking Sheet'!B2517,'Production '!$M$4:$M$4407)</f>
        <v>#DIV/0!</v>
      </c>
      <c r="D2517" s="76" t="e">
        <f ca="1">SUMIF('Production '!$C$4:$AI$4407,'Tracking Sheet'!B2517,'Production '!$Q$4:$Q$4407)</f>
        <v>#DIV/0!</v>
      </c>
      <c r="E2517" s="76">
        <f ca="1">SUMIF('Production '!$C$4:$AI$4407,'Tracking Sheet'!B2517,'Production '!$S$4:$S$4407)</f>
        <v>-1268218.9828305368</v>
      </c>
      <c r="F2517" s="76">
        <f ca="1">SUMIF('Production '!$C$4:$AI$4407,'Tracking Sheet'!B2517,'Production '!$U$4:$U$4407)</f>
        <v>-10620.435600016917</v>
      </c>
      <c r="G2517" s="76" t="e">
        <f ca="1">SUMIF('Production '!$C$4:$AI$4407,'Tracking Sheet'!B2517,'Production '!$W$4:$W$4407)</f>
        <v>#DIV/0!</v>
      </c>
      <c r="H2517" s="76">
        <f ca="1">SUMIF('Production '!$C$4:$AI$4407,'Tracking Sheet'!B2517,'Production '!$F$4:$F$4407)</f>
        <v>3230621.3283604058</v>
      </c>
      <c r="I2517" s="76">
        <f ca="1">SUMIF('Production '!$C$4:$AI$4407,'Tracking Sheet'!B2517,'Production '!$V$4:$V$4407)</f>
        <v>-489.86487791182844</v>
      </c>
      <c r="J2517" s="76">
        <f ca="1">SUMIF('Production '!$C$4:$AI$4407,'Tracking Sheet'!B2517,'Production '!$AG$4:$AG$4407)</f>
        <v>0</v>
      </c>
    </row>
    <row r="2518" spans="2:10" x14ac:dyDescent="0.3">
      <c r="B2518" s="277">
        <f>'Production '!C2521</f>
        <v>0</v>
      </c>
      <c r="C2518" s="76" t="e">
        <f ca="1">SUMIF('Production '!$C$4:$AI$4407,'Tracking Sheet'!B2518,'Production '!$M$4:$M$4407)</f>
        <v>#DIV/0!</v>
      </c>
      <c r="D2518" s="76" t="e">
        <f ca="1">SUMIF('Production '!$C$4:$AI$4407,'Tracking Sheet'!B2518,'Production '!$Q$4:$Q$4407)</f>
        <v>#DIV/0!</v>
      </c>
      <c r="E2518" s="76">
        <f ca="1">SUMIF('Production '!$C$4:$AI$4407,'Tracking Sheet'!B2518,'Production '!$S$4:$S$4407)</f>
        <v>-1268218.9828305368</v>
      </c>
      <c r="F2518" s="76">
        <f ca="1">SUMIF('Production '!$C$4:$AI$4407,'Tracking Sheet'!B2518,'Production '!$U$4:$U$4407)</f>
        <v>-10620.435600016917</v>
      </c>
      <c r="G2518" s="76" t="e">
        <f ca="1">SUMIF('Production '!$C$4:$AI$4407,'Tracking Sheet'!B2518,'Production '!$W$4:$W$4407)</f>
        <v>#DIV/0!</v>
      </c>
      <c r="H2518" s="76">
        <f ca="1">SUMIF('Production '!$C$4:$AI$4407,'Tracking Sheet'!B2518,'Production '!$F$4:$F$4407)</f>
        <v>3230621.3283604058</v>
      </c>
      <c r="I2518" s="76">
        <f ca="1">SUMIF('Production '!$C$4:$AI$4407,'Tracking Sheet'!B2518,'Production '!$V$4:$V$4407)</f>
        <v>-489.86487791182844</v>
      </c>
      <c r="J2518" s="76">
        <f ca="1">SUMIF('Production '!$C$4:$AI$4407,'Tracking Sheet'!B2518,'Production '!$AG$4:$AG$4407)</f>
        <v>0</v>
      </c>
    </row>
    <row r="2519" spans="2:10" x14ac:dyDescent="0.3">
      <c r="B2519" s="277">
        <f>'Production '!C2522</f>
        <v>0</v>
      </c>
      <c r="C2519" s="76" t="e">
        <f ca="1">SUMIF('Production '!$C$4:$AI$4407,'Tracking Sheet'!B2519,'Production '!$M$4:$M$4407)</f>
        <v>#DIV/0!</v>
      </c>
      <c r="D2519" s="76" t="e">
        <f ca="1">SUMIF('Production '!$C$4:$AI$4407,'Tracking Sheet'!B2519,'Production '!$Q$4:$Q$4407)</f>
        <v>#DIV/0!</v>
      </c>
      <c r="E2519" s="76">
        <f ca="1">SUMIF('Production '!$C$4:$AI$4407,'Tracking Sheet'!B2519,'Production '!$S$4:$S$4407)</f>
        <v>-1268218.9828305368</v>
      </c>
      <c r="F2519" s="76">
        <f ca="1">SUMIF('Production '!$C$4:$AI$4407,'Tracking Sheet'!B2519,'Production '!$U$4:$U$4407)</f>
        <v>-10620.435600016917</v>
      </c>
      <c r="G2519" s="76" t="e">
        <f ca="1">SUMIF('Production '!$C$4:$AI$4407,'Tracking Sheet'!B2519,'Production '!$W$4:$W$4407)</f>
        <v>#DIV/0!</v>
      </c>
      <c r="H2519" s="76">
        <f ca="1">SUMIF('Production '!$C$4:$AI$4407,'Tracking Sheet'!B2519,'Production '!$F$4:$F$4407)</f>
        <v>3230621.3283604058</v>
      </c>
      <c r="I2519" s="76">
        <f ca="1">SUMIF('Production '!$C$4:$AI$4407,'Tracking Sheet'!B2519,'Production '!$V$4:$V$4407)</f>
        <v>-489.86487791182844</v>
      </c>
      <c r="J2519" s="76">
        <f ca="1">SUMIF('Production '!$C$4:$AI$4407,'Tracking Sheet'!B2519,'Production '!$AG$4:$AG$4407)</f>
        <v>0</v>
      </c>
    </row>
    <row r="2520" spans="2:10" x14ac:dyDescent="0.3">
      <c r="B2520" s="277">
        <f>'Production '!C2523</f>
        <v>0</v>
      </c>
      <c r="C2520" s="76" t="e">
        <f ca="1">SUMIF('Production '!$C$4:$AI$4407,'Tracking Sheet'!B2520,'Production '!$M$4:$M$4407)</f>
        <v>#DIV/0!</v>
      </c>
      <c r="D2520" s="76" t="e">
        <f ca="1">SUMIF('Production '!$C$4:$AI$4407,'Tracking Sheet'!B2520,'Production '!$Q$4:$Q$4407)</f>
        <v>#DIV/0!</v>
      </c>
      <c r="E2520" s="76">
        <f ca="1">SUMIF('Production '!$C$4:$AI$4407,'Tracking Sheet'!B2520,'Production '!$S$4:$S$4407)</f>
        <v>-1268218.9828305368</v>
      </c>
      <c r="F2520" s="76">
        <f ca="1">SUMIF('Production '!$C$4:$AI$4407,'Tracking Sheet'!B2520,'Production '!$U$4:$U$4407)</f>
        <v>-10620.435600016917</v>
      </c>
      <c r="G2520" s="76" t="e">
        <f ca="1">SUMIF('Production '!$C$4:$AI$4407,'Tracking Sheet'!B2520,'Production '!$W$4:$W$4407)</f>
        <v>#DIV/0!</v>
      </c>
      <c r="H2520" s="76">
        <f ca="1">SUMIF('Production '!$C$4:$AI$4407,'Tracking Sheet'!B2520,'Production '!$F$4:$F$4407)</f>
        <v>3230621.3283604058</v>
      </c>
      <c r="I2520" s="76">
        <f ca="1">SUMIF('Production '!$C$4:$AI$4407,'Tracking Sheet'!B2520,'Production '!$V$4:$V$4407)</f>
        <v>-489.86487791182844</v>
      </c>
      <c r="J2520" s="76">
        <f ca="1">SUMIF('Production '!$C$4:$AI$4407,'Tracking Sheet'!B2520,'Production '!$AG$4:$AG$4407)</f>
        <v>0</v>
      </c>
    </row>
    <row r="2521" spans="2:10" x14ac:dyDescent="0.3">
      <c r="B2521" s="277">
        <f>'Production '!C2524</f>
        <v>0</v>
      </c>
      <c r="C2521" s="76" t="e">
        <f ca="1">SUMIF('Production '!$C$4:$AI$4407,'Tracking Sheet'!B2521,'Production '!$M$4:$M$4407)</f>
        <v>#DIV/0!</v>
      </c>
      <c r="D2521" s="76" t="e">
        <f ca="1">SUMIF('Production '!$C$4:$AI$4407,'Tracking Sheet'!B2521,'Production '!$Q$4:$Q$4407)</f>
        <v>#DIV/0!</v>
      </c>
      <c r="E2521" s="76">
        <f ca="1">SUMIF('Production '!$C$4:$AI$4407,'Tracking Sheet'!B2521,'Production '!$S$4:$S$4407)</f>
        <v>-1268218.9828305368</v>
      </c>
      <c r="F2521" s="76">
        <f ca="1">SUMIF('Production '!$C$4:$AI$4407,'Tracking Sheet'!B2521,'Production '!$U$4:$U$4407)</f>
        <v>-10620.435600016917</v>
      </c>
      <c r="G2521" s="76" t="e">
        <f ca="1">SUMIF('Production '!$C$4:$AI$4407,'Tracking Sheet'!B2521,'Production '!$W$4:$W$4407)</f>
        <v>#DIV/0!</v>
      </c>
      <c r="H2521" s="76">
        <f ca="1">SUMIF('Production '!$C$4:$AI$4407,'Tracking Sheet'!B2521,'Production '!$F$4:$F$4407)</f>
        <v>3230621.3283604058</v>
      </c>
      <c r="I2521" s="76">
        <f ca="1">SUMIF('Production '!$C$4:$AI$4407,'Tracking Sheet'!B2521,'Production '!$V$4:$V$4407)</f>
        <v>-489.86487791182844</v>
      </c>
      <c r="J2521" s="76">
        <f ca="1">SUMIF('Production '!$C$4:$AI$4407,'Tracking Sheet'!B2521,'Production '!$AG$4:$AG$4407)</f>
        <v>0</v>
      </c>
    </row>
    <row r="2522" spans="2:10" x14ac:dyDescent="0.3">
      <c r="B2522" s="277">
        <f>'Production '!C2525</f>
        <v>0</v>
      </c>
      <c r="C2522" s="76" t="e">
        <f ca="1">SUMIF('Production '!$C$4:$AI$4407,'Tracking Sheet'!B2522,'Production '!$M$4:$M$4407)</f>
        <v>#DIV/0!</v>
      </c>
      <c r="D2522" s="76" t="e">
        <f ca="1">SUMIF('Production '!$C$4:$AI$4407,'Tracking Sheet'!B2522,'Production '!$Q$4:$Q$4407)</f>
        <v>#DIV/0!</v>
      </c>
      <c r="E2522" s="76">
        <f ca="1">SUMIF('Production '!$C$4:$AI$4407,'Tracking Sheet'!B2522,'Production '!$S$4:$S$4407)</f>
        <v>-1268218.9828305368</v>
      </c>
      <c r="F2522" s="76">
        <f ca="1">SUMIF('Production '!$C$4:$AI$4407,'Tracking Sheet'!B2522,'Production '!$U$4:$U$4407)</f>
        <v>-10620.435600016917</v>
      </c>
      <c r="G2522" s="76" t="e">
        <f ca="1">SUMIF('Production '!$C$4:$AI$4407,'Tracking Sheet'!B2522,'Production '!$W$4:$W$4407)</f>
        <v>#DIV/0!</v>
      </c>
      <c r="H2522" s="76">
        <f ca="1">SUMIF('Production '!$C$4:$AI$4407,'Tracking Sheet'!B2522,'Production '!$F$4:$F$4407)</f>
        <v>3230621.3283604058</v>
      </c>
      <c r="I2522" s="76">
        <f ca="1">SUMIF('Production '!$C$4:$AI$4407,'Tracking Sheet'!B2522,'Production '!$V$4:$V$4407)</f>
        <v>-489.86487791182844</v>
      </c>
      <c r="J2522" s="76">
        <f ca="1">SUMIF('Production '!$C$4:$AI$4407,'Tracking Sheet'!B2522,'Production '!$AG$4:$AG$4407)</f>
        <v>0</v>
      </c>
    </row>
    <row r="2523" spans="2:10" x14ac:dyDescent="0.3">
      <c r="B2523" s="277">
        <f>'Production '!C2526</f>
        <v>0</v>
      </c>
      <c r="C2523" s="76" t="e">
        <f ca="1">SUMIF('Production '!$C$4:$AI$4407,'Tracking Sheet'!B2523,'Production '!$M$4:$M$4407)</f>
        <v>#DIV/0!</v>
      </c>
      <c r="D2523" s="76" t="e">
        <f ca="1">SUMIF('Production '!$C$4:$AI$4407,'Tracking Sheet'!B2523,'Production '!$Q$4:$Q$4407)</f>
        <v>#DIV/0!</v>
      </c>
      <c r="E2523" s="76">
        <f ca="1">SUMIF('Production '!$C$4:$AI$4407,'Tracking Sheet'!B2523,'Production '!$S$4:$S$4407)</f>
        <v>-1268218.9828305368</v>
      </c>
      <c r="F2523" s="76">
        <f ca="1">SUMIF('Production '!$C$4:$AI$4407,'Tracking Sheet'!B2523,'Production '!$U$4:$U$4407)</f>
        <v>-10620.435600016917</v>
      </c>
      <c r="G2523" s="76" t="e">
        <f ca="1">SUMIF('Production '!$C$4:$AI$4407,'Tracking Sheet'!B2523,'Production '!$W$4:$W$4407)</f>
        <v>#DIV/0!</v>
      </c>
      <c r="H2523" s="76">
        <f ca="1">SUMIF('Production '!$C$4:$AI$4407,'Tracking Sheet'!B2523,'Production '!$F$4:$F$4407)</f>
        <v>3230621.3283604058</v>
      </c>
      <c r="I2523" s="76">
        <f ca="1">SUMIF('Production '!$C$4:$AI$4407,'Tracking Sheet'!B2523,'Production '!$V$4:$V$4407)</f>
        <v>-489.86487791182844</v>
      </c>
      <c r="J2523" s="76">
        <f ca="1">SUMIF('Production '!$C$4:$AI$4407,'Tracking Sheet'!B2523,'Production '!$AG$4:$AG$4407)</f>
        <v>0</v>
      </c>
    </row>
    <row r="2524" spans="2:10" x14ac:dyDescent="0.3">
      <c r="B2524" s="277">
        <f>'Production '!C2527</f>
        <v>0</v>
      </c>
      <c r="C2524" s="76" t="e">
        <f ca="1">SUMIF('Production '!$C$4:$AI$4407,'Tracking Sheet'!B2524,'Production '!$M$4:$M$4407)</f>
        <v>#DIV/0!</v>
      </c>
      <c r="D2524" s="76" t="e">
        <f ca="1">SUMIF('Production '!$C$4:$AI$4407,'Tracking Sheet'!B2524,'Production '!$Q$4:$Q$4407)</f>
        <v>#DIV/0!</v>
      </c>
      <c r="E2524" s="76">
        <f ca="1">SUMIF('Production '!$C$4:$AI$4407,'Tracking Sheet'!B2524,'Production '!$S$4:$S$4407)</f>
        <v>-1268218.9828305368</v>
      </c>
      <c r="F2524" s="76">
        <f ca="1">SUMIF('Production '!$C$4:$AI$4407,'Tracking Sheet'!B2524,'Production '!$U$4:$U$4407)</f>
        <v>-10620.435600016917</v>
      </c>
      <c r="G2524" s="76" t="e">
        <f ca="1">SUMIF('Production '!$C$4:$AI$4407,'Tracking Sheet'!B2524,'Production '!$W$4:$W$4407)</f>
        <v>#DIV/0!</v>
      </c>
      <c r="H2524" s="76">
        <f ca="1">SUMIF('Production '!$C$4:$AI$4407,'Tracking Sheet'!B2524,'Production '!$F$4:$F$4407)</f>
        <v>3230621.3283604058</v>
      </c>
      <c r="I2524" s="76">
        <f ca="1">SUMIF('Production '!$C$4:$AI$4407,'Tracking Sheet'!B2524,'Production '!$V$4:$V$4407)</f>
        <v>-489.86487791182844</v>
      </c>
      <c r="J2524" s="76">
        <f ca="1">SUMIF('Production '!$C$4:$AI$4407,'Tracking Sheet'!B2524,'Production '!$AG$4:$AG$4407)</f>
        <v>0</v>
      </c>
    </row>
    <row r="2525" spans="2:10" x14ac:dyDescent="0.3">
      <c r="B2525" s="277">
        <f>'Production '!C2528</f>
        <v>0</v>
      </c>
      <c r="C2525" s="76" t="e">
        <f ca="1">SUMIF('Production '!$C$4:$AI$4407,'Tracking Sheet'!B2525,'Production '!$M$4:$M$4407)</f>
        <v>#DIV/0!</v>
      </c>
      <c r="D2525" s="76" t="e">
        <f ca="1">SUMIF('Production '!$C$4:$AI$4407,'Tracking Sheet'!B2525,'Production '!$Q$4:$Q$4407)</f>
        <v>#DIV/0!</v>
      </c>
      <c r="E2525" s="76">
        <f ca="1">SUMIF('Production '!$C$4:$AI$4407,'Tracking Sheet'!B2525,'Production '!$S$4:$S$4407)</f>
        <v>-1268218.9828305368</v>
      </c>
      <c r="F2525" s="76">
        <f ca="1">SUMIF('Production '!$C$4:$AI$4407,'Tracking Sheet'!B2525,'Production '!$U$4:$U$4407)</f>
        <v>-10620.435600016917</v>
      </c>
      <c r="G2525" s="76" t="e">
        <f ca="1">SUMIF('Production '!$C$4:$AI$4407,'Tracking Sheet'!B2525,'Production '!$W$4:$W$4407)</f>
        <v>#DIV/0!</v>
      </c>
      <c r="H2525" s="76">
        <f ca="1">SUMIF('Production '!$C$4:$AI$4407,'Tracking Sheet'!B2525,'Production '!$F$4:$F$4407)</f>
        <v>3230621.3283604058</v>
      </c>
      <c r="I2525" s="76">
        <f ca="1">SUMIF('Production '!$C$4:$AI$4407,'Tracking Sheet'!B2525,'Production '!$V$4:$V$4407)</f>
        <v>-489.86487791182844</v>
      </c>
      <c r="J2525" s="76">
        <f ca="1">SUMIF('Production '!$C$4:$AI$4407,'Tracking Sheet'!B2525,'Production '!$AG$4:$AG$4407)</f>
        <v>0</v>
      </c>
    </row>
    <row r="2526" spans="2:10" x14ac:dyDescent="0.3">
      <c r="B2526" s="277">
        <f>'Production '!C2529</f>
        <v>0</v>
      </c>
      <c r="C2526" s="76" t="e">
        <f ca="1">SUMIF('Production '!$C$4:$AI$4407,'Tracking Sheet'!B2526,'Production '!$M$4:$M$4407)</f>
        <v>#DIV/0!</v>
      </c>
      <c r="D2526" s="76" t="e">
        <f ca="1">SUMIF('Production '!$C$4:$AI$4407,'Tracking Sheet'!B2526,'Production '!$Q$4:$Q$4407)</f>
        <v>#DIV/0!</v>
      </c>
      <c r="E2526" s="76">
        <f ca="1">SUMIF('Production '!$C$4:$AI$4407,'Tracking Sheet'!B2526,'Production '!$S$4:$S$4407)</f>
        <v>-1268218.9828305368</v>
      </c>
      <c r="F2526" s="76">
        <f ca="1">SUMIF('Production '!$C$4:$AI$4407,'Tracking Sheet'!B2526,'Production '!$U$4:$U$4407)</f>
        <v>-10620.435600016917</v>
      </c>
      <c r="G2526" s="76" t="e">
        <f ca="1">SUMIF('Production '!$C$4:$AI$4407,'Tracking Sheet'!B2526,'Production '!$W$4:$W$4407)</f>
        <v>#DIV/0!</v>
      </c>
      <c r="H2526" s="76">
        <f ca="1">SUMIF('Production '!$C$4:$AI$4407,'Tracking Sheet'!B2526,'Production '!$F$4:$F$4407)</f>
        <v>3230621.3283604058</v>
      </c>
      <c r="I2526" s="76">
        <f ca="1">SUMIF('Production '!$C$4:$AI$4407,'Tracking Sheet'!B2526,'Production '!$V$4:$V$4407)</f>
        <v>-489.86487791182844</v>
      </c>
      <c r="J2526" s="76">
        <f ca="1">SUMIF('Production '!$C$4:$AI$4407,'Tracking Sheet'!B2526,'Production '!$AG$4:$AG$4407)</f>
        <v>0</v>
      </c>
    </row>
    <row r="2527" spans="2:10" x14ac:dyDescent="0.3">
      <c r="B2527" s="277">
        <f>'Production '!C2530</f>
        <v>0</v>
      </c>
      <c r="C2527" s="76" t="e">
        <f ca="1">SUMIF('Production '!$C$4:$AI$4407,'Tracking Sheet'!B2527,'Production '!$M$4:$M$4407)</f>
        <v>#DIV/0!</v>
      </c>
      <c r="D2527" s="76" t="e">
        <f ca="1">SUMIF('Production '!$C$4:$AI$4407,'Tracking Sheet'!B2527,'Production '!$Q$4:$Q$4407)</f>
        <v>#DIV/0!</v>
      </c>
      <c r="E2527" s="76">
        <f ca="1">SUMIF('Production '!$C$4:$AI$4407,'Tracking Sheet'!B2527,'Production '!$S$4:$S$4407)</f>
        <v>-1268218.9828305368</v>
      </c>
      <c r="F2527" s="76">
        <f ca="1">SUMIF('Production '!$C$4:$AI$4407,'Tracking Sheet'!B2527,'Production '!$U$4:$U$4407)</f>
        <v>-10620.435600016917</v>
      </c>
      <c r="G2527" s="76" t="e">
        <f ca="1">SUMIF('Production '!$C$4:$AI$4407,'Tracking Sheet'!B2527,'Production '!$W$4:$W$4407)</f>
        <v>#DIV/0!</v>
      </c>
      <c r="H2527" s="76">
        <f ca="1">SUMIF('Production '!$C$4:$AI$4407,'Tracking Sheet'!B2527,'Production '!$F$4:$F$4407)</f>
        <v>3230621.3283604058</v>
      </c>
      <c r="I2527" s="76">
        <f ca="1">SUMIF('Production '!$C$4:$AI$4407,'Tracking Sheet'!B2527,'Production '!$V$4:$V$4407)</f>
        <v>-489.86487791182844</v>
      </c>
      <c r="J2527" s="76">
        <f ca="1">SUMIF('Production '!$C$4:$AI$4407,'Tracking Sheet'!B2527,'Production '!$AG$4:$AG$4407)</f>
        <v>0</v>
      </c>
    </row>
    <row r="2528" spans="2:10" x14ac:dyDescent="0.3">
      <c r="B2528" s="277">
        <f>'Production '!C2531</f>
        <v>0</v>
      </c>
      <c r="C2528" s="76" t="e">
        <f ca="1">SUMIF('Production '!$C$4:$AI$4407,'Tracking Sheet'!B2528,'Production '!$M$4:$M$4407)</f>
        <v>#DIV/0!</v>
      </c>
      <c r="D2528" s="76" t="e">
        <f ca="1">SUMIF('Production '!$C$4:$AI$4407,'Tracking Sheet'!B2528,'Production '!$Q$4:$Q$4407)</f>
        <v>#DIV/0!</v>
      </c>
      <c r="E2528" s="76">
        <f ca="1">SUMIF('Production '!$C$4:$AI$4407,'Tracking Sheet'!B2528,'Production '!$S$4:$S$4407)</f>
        <v>-1268218.9828305368</v>
      </c>
      <c r="F2528" s="76">
        <f ca="1">SUMIF('Production '!$C$4:$AI$4407,'Tracking Sheet'!B2528,'Production '!$U$4:$U$4407)</f>
        <v>-10620.435600016917</v>
      </c>
      <c r="G2528" s="76" t="e">
        <f ca="1">SUMIF('Production '!$C$4:$AI$4407,'Tracking Sheet'!B2528,'Production '!$W$4:$W$4407)</f>
        <v>#DIV/0!</v>
      </c>
      <c r="H2528" s="76">
        <f ca="1">SUMIF('Production '!$C$4:$AI$4407,'Tracking Sheet'!B2528,'Production '!$F$4:$F$4407)</f>
        <v>3230621.3283604058</v>
      </c>
      <c r="I2528" s="76">
        <f ca="1">SUMIF('Production '!$C$4:$AI$4407,'Tracking Sheet'!B2528,'Production '!$V$4:$V$4407)</f>
        <v>-489.86487791182844</v>
      </c>
      <c r="J2528" s="76">
        <f ca="1">SUMIF('Production '!$C$4:$AI$4407,'Tracking Sheet'!B2528,'Production '!$AG$4:$AG$4407)</f>
        <v>0</v>
      </c>
    </row>
    <row r="2529" spans="2:10" x14ac:dyDescent="0.3">
      <c r="B2529" s="277">
        <f>'Production '!C2532</f>
        <v>0</v>
      </c>
      <c r="C2529" s="76" t="e">
        <f ca="1">SUMIF('Production '!$C$4:$AI$4407,'Tracking Sheet'!B2529,'Production '!$M$4:$M$4407)</f>
        <v>#DIV/0!</v>
      </c>
      <c r="D2529" s="76" t="e">
        <f ca="1">SUMIF('Production '!$C$4:$AI$4407,'Tracking Sheet'!B2529,'Production '!$Q$4:$Q$4407)</f>
        <v>#DIV/0!</v>
      </c>
      <c r="E2529" s="76">
        <f ca="1">SUMIF('Production '!$C$4:$AI$4407,'Tracking Sheet'!B2529,'Production '!$S$4:$S$4407)</f>
        <v>-1268218.9828305368</v>
      </c>
      <c r="F2529" s="76">
        <f ca="1">SUMIF('Production '!$C$4:$AI$4407,'Tracking Sheet'!B2529,'Production '!$U$4:$U$4407)</f>
        <v>-10620.435600016917</v>
      </c>
      <c r="G2529" s="76" t="e">
        <f ca="1">SUMIF('Production '!$C$4:$AI$4407,'Tracking Sheet'!B2529,'Production '!$W$4:$W$4407)</f>
        <v>#DIV/0!</v>
      </c>
      <c r="H2529" s="76">
        <f ca="1">SUMIF('Production '!$C$4:$AI$4407,'Tracking Sheet'!B2529,'Production '!$F$4:$F$4407)</f>
        <v>3230621.3283604058</v>
      </c>
      <c r="I2529" s="76">
        <f ca="1">SUMIF('Production '!$C$4:$AI$4407,'Tracking Sheet'!B2529,'Production '!$V$4:$V$4407)</f>
        <v>-489.86487791182844</v>
      </c>
      <c r="J2529" s="76">
        <f ca="1">SUMIF('Production '!$C$4:$AI$4407,'Tracking Sheet'!B2529,'Production '!$AG$4:$AG$4407)</f>
        <v>0</v>
      </c>
    </row>
    <row r="2530" spans="2:10" x14ac:dyDescent="0.3">
      <c r="B2530" s="277">
        <f>'Production '!C2533</f>
        <v>0</v>
      </c>
      <c r="C2530" s="76" t="e">
        <f ca="1">SUMIF('Production '!$C$4:$AI$4407,'Tracking Sheet'!B2530,'Production '!$M$4:$M$4407)</f>
        <v>#DIV/0!</v>
      </c>
      <c r="D2530" s="76" t="e">
        <f ca="1">SUMIF('Production '!$C$4:$AI$4407,'Tracking Sheet'!B2530,'Production '!$Q$4:$Q$4407)</f>
        <v>#DIV/0!</v>
      </c>
      <c r="E2530" s="76">
        <f ca="1">SUMIF('Production '!$C$4:$AI$4407,'Tracking Sheet'!B2530,'Production '!$S$4:$S$4407)</f>
        <v>-1268218.9828305368</v>
      </c>
      <c r="F2530" s="76">
        <f ca="1">SUMIF('Production '!$C$4:$AI$4407,'Tracking Sheet'!B2530,'Production '!$U$4:$U$4407)</f>
        <v>-10620.435600016917</v>
      </c>
      <c r="G2530" s="76" t="e">
        <f ca="1">SUMIF('Production '!$C$4:$AI$4407,'Tracking Sheet'!B2530,'Production '!$W$4:$W$4407)</f>
        <v>#DIV/0!</v>
      </c>
      <c r="H2530" s="76">
        <f ca="1">SUMIF('Production '!$C$4:$AI$4407,'Tracking Sheet'!B2530,'Production '!$F$4:$F$4407)</f>
        <v>3230621.3283604058</v>
      </c>
      <c r="I2530" s="76">
        <f ca="1">SUMIF('Production '!$C$4:$AI$4407,'Tracking Sheet'!B2530,'Production '!$V$4:$V$4407)</f>
        <v>-489.86487791182844</v>
      </c>
      <c r="J2530" s="76">
        <f ca="1">SUMIF('Production '!$C$4:$AI$4407,'Tracking Sheet'!B2530,'Production '!$AG$4:$AG$4407)</f>
        <v>0</v>
      </c>
    </row>
    <row r="2531" spans="2:10" x14ac:dyDescent="0.3">
      <c r="B2531" s="277">
        <f>'Production '!C2534</f>
        <v>0</v>
      </c>
      <c r="C2531" s="76" t="e">
        <f ca="1">SUMIF('Production '!$C$4:$AI$4407,'Tracking Sheet'!B2531,'Production '!$M$4:$M$4407)</f>
        <v>#DIV/0!</v>
      </c>
      <c r="D2531" s="76" t="e">
        <f ca="1">SUMIF('Production '!$C$4:$AI$4407,'Tracking Sheet'!B2531,'Production '!$Q$4:$Q$4407)</f>
        <v>#DIV/0!</v>
      </c>
      <c r="E2531" s="76">
        <f ca="1">SUMIF('Production '!$C$4:$AI$4407,'Tracking Sheet'!B2531,'Production '!$S$4:$S$4407)</f>
        <v>-1268218.9828305368</v>
      </c>
      <c r="F2531" s="76">
        <f ca="1">SUMIF('Production '!$C$4:$AI$4407,'Tracking Sheet'!B2531,'Production '!$U$4:$U$4407)</f>
        <v>-10620.435600016917</v>
      </c>
      <c r="G2531" s="76" t="e">
        <f ca="1">SUMIF('Production '!$C$4:$AI$4407,'Tracking Sheet'!B2531,'Production '!$W$4:$W$4407)</f>
        <v>#DIV/0!</v>
      </c>
      <c r="H2531" s="76">
        <f ca="1">SUMIF('Production '!$C$4:$AI$4407,'Tracking Sheet'!B2531,'Production '!$F$4:$F$4407)</f>
        <v>3230621.3283604058</v>
      </c>
      <c r="I2531" s="76">
        <f ca="1">SUMIF('Production '!$C$4:$AI$4407,'Tracking Sheet'!B2531,'Production '!$V$4:$V$4407)</f>
        <v>-489.86487791182844</v>
      </c>
      <c r="J2531" s="76">
        <f ca="1">SUMIF('Production '!$C$4:$AI$4407,'Tracking Sheet'!B2531,'Production '!$AG$4:$AG$4407)</f>
        <v>0</v>
      </c>
    </row>
    <row r="2532" spans="2:10" x14ac:dyDescent="0.3">
      <c r="B2532" s="277">
        <f>'Production '!C2535</f>
        <v>0</v>
      </c>
      <c r="C2532" s="76" t="e">
        <f ca="1">SUMIF('Production '!$C$4:$AI$4407,'Tracking Sheet'!B2532,'Production '!$M$4:$M$4407)</f>
        <v>#DIV/0!</v>
      </c>
      <c r="D2532" s="76" t="e">
        <f ca="1">SUMIF('Production '!$C$4:$AI$4407,'Tracking Sheet'!B2532,'Production '!$Q$4:$Q$4407)</f>
        <v>#DIV/0!</v>
      </c>
      <c r="E2532" s="76">
        <f ca="1">SUMIF('Production '!$C$4:$AI$4407,'Tracking Sheet'!B2532,'Production '!$S$4:$S$4407)</f>
        <v>-1268218.9828305368</v>
      </c>
      <c r="F2532" s="76">
        <f ca="1">SUMIF('Production '!$C$4:$AI$4407,'Tracking Sheet'!B2532,'Production '!$U$4:$U$4407)</f>
        <v>-10620.435600016917</v>
      </c>
      <c r="G2532" s="76" t="e">
        <f ca="1">SUMIF('Production '!$C$4:$AI$4407,'Tracking Sheet'!B2532,'Production '!$W$4:$W$4407)</f>
        <v>#DIV/0!</v>
      </c>
      <c r="H2532" s="76">
        <f ca="1">SUMIF('Production '!$C$4:$AI$4407,'Tracking Sheet'!B2532,'Production '!$F$4:$F$4407)</f>
        <v>3230621.3283604058</v>
      </c>
      <c r="I2532" s="76">
        <f ca="1">SUMIF('Production '!$C$4:$AI$4407,'Tracking Sheet'!B2532,'Production '!$V$4:$V$4407)</f>
        <v>-489.86487791182844</v>
      </c>
      <c r="J2532" s="76">
        <f ca="1">SUMIF('Production '!$C$4:$AI$4407,'Tracking Sheet'!B2532,'Production '!$AG$4:$AG$4407)</f>
        <v>0</v>
      </c>
    </row>
    <row r="2533" spans="2:10" x14ac:dyDescent="0.3">
      <c r="B2533" s="277">
        <f>'Production '!C2536</f>
        <v>0</v>
      </c>
      <c r="C2533" s="76" t="e">
        <f ca="1">SUMIF('Production '!$C$4:$AI$4407,'Tracking Sheet'!B2533,'Production '!$M$4:$M$4407)</f>
        <v>#DIV/0!</v>
      </c>
      <c r="D2533" s="76" t="e">
        <f ca="1">SUMIF('Production '!$C$4:$AI$4407,'Tracking Sheet'!B2533,'Production '!$Q$4:$Q$4407)</f>
        <v>#DIV/0!</v>
      </c>
      <c r="E2533" s="76">
        <f ca="1">SUMIF('Production '!$C$4:$AI$4407,'Tracking Sheet'!B2533,'Production '!$S$4:$S$4407)</f>
        <v>-1268218.9828305368</v>
      </c>
      <c r="F2533" s="76">
        <f ca="1">SUMIF('Production '!$C$4:$AI$4407,'Tracking Sheet'!B2533,'Production '!$U$4:$U$4407)</f>
        <v>-10620.435600016917</v>
      </c>
      <c r="G2533" s="76" t="e">
        <f ca="1">SUMIF('Production '!$C$4:$AI$4407,'Tracking Sheet'!B2533,'Production '!$W$4:$W$4407)</f>
        <v>#DIV/0!</v>
      </c>
      <c r="H2533" s="76">
        <f ca="1">SUMIF('Production '!$C$4:$AI$4407,'Tracking Sheet'!B2533,'Production '!$F$4:$F$4407)</f>
        <v>3230621.3283604058</v>
      </c>
      <c r="I2533" s="76">
        <f ca="1">SUMIF('Production '!$C$4:$AI$4407,'Tracking Sheet'!B2533,'Production '!$V$4:$V$4407)</f>
        <v>-489.86487791182844</v>
      </c>
      <c r="J2533" s="76">
        <f ca="1">SUMIF('Production '!$C$4:$AI$4407,'Tracking Sheet'!B2533,'Production '!$AG$4:$AG$4407)</f>
        <v>0</v>
      </c>
    </row>
    <row r="2534" spans="2:10" x14ac:dyDescent="0.3">
      <c r="B2534" s="277">
        <f>'Production '!C2537</f>
        <v>0</v>
      </c>
      <c r="C2534" s="76" t="e">
        <f ca="1">SUMIF('Production '!$C$4:$AI$4407,'Tracking Sheet'!B2534,'Production '!$M$4:$M$4407)</f>
        <v>#DIV/0!</v>
      </c>
      <c r="D2534" s="76" t="e">
        <f ca="1">SUMIF('Production '!$C$4:$AI$4407,'Tracking Sheet'!B2534,'Production '!$Q$4:$Q$4407)</f>
        <v>#DIV/0!</v>
      </c>
      <c r="E2534" s="76">
        <f ca="1">SUMIF('Production '!$C$4:$AI$4407,'Tracking Sheet'!B2534,'Production '!$S$4:$S$4407)</f>
        <v>-1268218.9828305368</v>
      </c>
      <c r="F2534" s="76">
        <f ca="1">SUMIF('Production '!$C$4:$AI$4407,'Tracking Sheet'!B2534,'Production '!$U$4:$U$4407)</f>
        <v>-10620.435600016917</v>
      </c>
      <c r="G2534" s="76" t="e">
        <f ca="1">SUMIF('Production '!$C$4:$AI$4407,'Tracking Sheet'!B2534,'Production '!$W$4:$W$4407)</f>
        <v>#DIV/0!</v>
      </c>
      <c r="H2534" s="76">
        <f ca="1">SUMIF('Production '!$C$4:$AI$4407,'Tracking Sheet'!B2534,'Production '!$F$4:$F$4407)</f>
        <v>3230621.3283604058</v>
      </c>
      <c r="I2534" s="76">
        <f ca="1">SUMIF('Production '!$C$4:$AI$4407,'Tracking Sheet'!B2534,'Production '!$V$4:$V$4407)</f>
        <v>-489.86487791182844</v>
      </c>
      <c r="J2534" s="76">
        <f ca="1">SUMIF('Production '!$C$4:$AI$4407,'Tracking Sheet'!B2534,'Production '!$AG$4:$AG$4407)</f>
        <v>0</v>
      </c>
    </row>
    <row r="2535" spans="2:10" x14ac:dyDescent="0.3">
      <c r="B2535" s="277">
        <f>'Production '!C2538</f>
        <v>0</v>
      </c>
      <c r="C2535" s="76" t="e">
        <f ca="1">SUMIF('Production '!$C$4:$AI$4407,'Tracking Sheet'!B2535,'Production '!$M$4:$M$4407)</f>
        <v>#DIV/0!</v>
      </c>
      <c r="D2535" s="76" t="e">
        <f ca="1">SUMIF('Production '!$C$4:$AI$4407,'Tracking Sheet'!B2535,'Production '!$Q$4:$Q$4407)</f>
        <v>#DIV/0!</v>
      </c>
      <c r="E2535" s="76">
        <f ca="1">SUMIF('Production '!$C$4:$AI$4407,'Tracking Sheet'!B2535,'Production '!$S$4:$S$4407)</f>
        <v>-1268218.9828305368</v>
      </c>
      <c r="F2535" s="76">
        <f ca="1">SUMIF('Production '!$C$4:$AI$4407,'Tracking Sheet'!B2535,'Production '!$U$4:$U$4407)</f>
        <v>-10620.435600016917</v>
      </c>
      <c r="G2535" s="76" t="e">
        <f ca="1">SUMIF('Production '!$C$4:$AI$4407,'Tracking Sheet'!B2535,'Production '!$W$4:$W$4407)</f>
        <v>#DIV/0!</v>
      </c>
      <c r="H2535" s="76">
        <f ca="1">SUMIF('Production '!$C$4:$AI$4407,'Tracking Sheet'!B2535,'Production '!$F$4:$F$4407)</f>
        <v>3230621.3283604058</v>
      </c>
      <c r="I2535" s="76">
        <f ca="1">SUMIF('Production '!$C$4:$AI$4407,'Tracking Sheet'!B2535,'Production '!$V$4:$V$4407)</f>
        <v>-489.86487791182844</v>
      </c>
      <c r="J2535" s="76">
        <f ca="1">SUMIF('Production '!$C$4:$AI$4407,'Tracking Sheet'!B2535,'Production '!$AG$4:$AG$4407)</f>
        <v>0</v>
      </c>
    </row>
    <row r="2536" spans="2:10" x14ac:dyDescent="0.3">
      <c r="B2536" s="277">
        <f>'Production '!C2539</f>
        <v>0</v>
      </c>
      <c r="C2536" s="76" t="e">
        <f ca="1">SUMIF('Production '!$C$4:$AI$4407,'Tracking Sheet'!B2536,'Production '!$M$4:$M$4407)</f>
        <v>#DIV/0!</v>
      </c>
      <c r="D2536" s="76" t="e">
        <f ca="1">SUMIF('Production '!$C$4:$AI$4407,'Tracking Sheet'!B2536,'Production '!$Q$4:$Q$4407)</f>
        <v>#DIV/0!</v>
      </c>
      <c r="E2536" s="76">
        <f ca="1">SUMIF('Production '!$C$4:$AI$4407,'Tracking Sheet'!B2536,'Production '!$S$4:$S$4407)</f>
        <v>-1268218.9828305368</v>
      </c>
      <c r="F2536" s="76">
        <f ca="1">SUMIF('Production '!$C$4:$AI$4407,'Tracking Sheet'!B2536,'Production '!$U$4:$U$4407)</f>
        <v>-10620.435600016917</v>
      </c>
      <c r="G2536" s="76" t="e">
        <f ca="1">SUMIF('Production '!$C$4:$AI$4407,'Tracking Sheet'!B2536,'Production '!$W$4:$W$4407)</f>
        <v>#DIV/0!</v>
      </c>
      <c r="H2536" s="76">
        <f ca="1">SUMIF('Production '!$C$4:$AI$4407,'Tracking Sheet'!B2536,'Production '!$F$4:$F$4407)</f>
        <v>3230621.3283604058</v>
      </c>
      <c r="I2536" s="76">
        <f ca="1">SUMIF('Production '!$C$4:$AI$4407,'Tracking Sheet'!B2536,'Production '!$V$4:$V$4407)</f>
        <v>-489.86487791182844</v>
      </c>
      <c r="J2536" s="76">
        <f ca="1">SUMIF('Production '!$C$4:$AI$4407,'Tracking Sheet'!B2536,'Production '!$AG$4:$AG$4407)</f>
        <v>0</v>
      </c>
    </row>
    <row r="2537" spans="2:10" x14ac:dyDescent="0.3">
      <c r="B2537" s="277">
        <f>'Production '!C2540</f>
        <v>0</v>
      </c>
      <c r="C2537" s="76" t="e">
        <f ca="1">SUMIF('Production '!$C$4:$AI$4407,'Tracking Sheet'!B2537,'Production '!$M$4:$M$4407)</f>
        <v>#DIV/0!</v>
      </c>
      <c r="D2537" s="76" t="e">
        <f ca="1">SUMIF('Production '!$C$4:$AI$4407,'Tracking Sheet'!B2537,'Production '!$Q$4:$Q$4407)</f>
        <v>#DIV/0!</v>
      </c>
      <c r="E2537" s="76">
        <f ca="1">SUMIF('Production '!$C$4:$AI$4407,'Tracking Sheet'!B2537,'Production '!$S$4:$S$4407)</f>
        <v>-1268218.9828305368</v>
      </c>
      <c r="F2537" s="76">
        <f ca="1">SUMIF('Production '!$C$4:$AI$4407,'Tracking Sheet'!B2537,'Production '!$U$4:$U$4407)</f>
        <v>-10620.435600016917</v>
      </c>
      <c r="G2537" s="76" t="e">
        <f ca="1">SUMIF('Production '!$C$4:$AI$4407,'Tracking Sheet'!B2537,'Production '!$W$4:$W$4407)</f>
        <v>#DIV/0!</v>
      </c>
      <c r="H2537" s="76">
        <f ca="1">SUMIF('Production '!$C$4:$AI$4407,'Tracking Sheet'!B2537,'Production '!$F$4:$F$4407)</f>
        <v>3230621.3283604058</v>
      </c>
      <c r="I2537" s="76">
        <f ca="1">SUMIF('Production '!$C$4:$AI$4407,'Tracking Sheet'!B2537,'Production '!$V$4:$V$4407)</f>
        <v>-489.86487791182844</v>
      </c>
      <c r="J2537" s="76">
        <f ca="1">SUMIF('Production '!$C$4:$AI$4407,'Tracking Sheet'!B2537,'Production '!$AG$4:$AG$4407)</f>
        <v>0</v>
      </c>
    </row>
    <row r="2538" spans="2:10" x14ac:dyDescent="0.3">
      <c r="B2538" s="277">
        <f>'Production '!C2541</f>
        <v>0</v>
      </c>
      <c r="C2538" s="76" t="e">
        <f ca="1">SUMIF('Production '!$C$4:$AI$4407,'Tracking Sheet'!B2538,'Production '!$M$4:$M$4407)</f>
        <v>#DIV/0!</v>
      </c>
      <c r="D2538" s="76" t="e">
        <f ca="1">SUMIF('Production '!$C$4:$AI$4407,'Tracking Sheet'!B2538,'Production '!$Q$4:$Q$4407)</f>
        <v>#DIV/0!</v>
      </c>
      <c r="E2538" s="76">
        <f ca="1">SUMIF('Production '!$C$4:$AI$4407,'Tracking Sheet'!B2538,'Production '!$S$4:$S$4407)</f>
        <v>-1268218.9828305368</v>
      </c>
      <c r="F2538" s="76">
        <f ca="1">SUMIF('Production '!$C$4:$AI$4407,'Tracking Sheet'!B2538,'Production '!$U$4:$U$4407)</f>
        <v>-10620.435600016917</v>
      </c>
      <c r="G2538" s="76" t="e">
        <f ca="1">SUMIF('Production '!$C$4:$AI$4407,'Tracking Sheet'!B2538,'Production '!$W$4:$W$4407)</f>
        <v>#DIV/0!</v>
      </c>
      <c r="H2538" s="76">
        <f ca="1">SUMIF('Production '!$C$4:$AI$4407,'Tracking Sheet'!B2538,'Production '!$F$4:$F$4407)</f>
        <v>3230621.3283604058</v>
      </c>
      <c r="I2538" s="76">
        <f ca="1">SUMIF('Production '!$C$4:$AI$4407,'Tracking Sheet'!B2538,'Production '!$V$4:$V$4407)</f>
        <v>-489.86487791182844</v>
      </c>
      <c r="J2538" s="76">
        <f ca="1">SUMIF('Production '!$C$4:$AI$4407,'Tracking Sheet'!B2538,'Production '!$AG$4:$AG$4407)</f>
        <v>0</v>
      </c>
    </row>
    <row r="2539" spans="2:10" x14ac:dyDescent="0.3">
      <c r="B2539" s="277">
        <f>'Production '!C2542</f>
        <v>0</v>
      </c>
      <c r="C2539" s="76" t="e">
        <f ca="1">SUMIF('Production '!$C$4:$AI$4407,'Tracking Sheet'!B2539,'Production '!$M$4:$M$4407)</f>
        <v>#DIV/0!</v>
      </c>
      <c r="D2539" s="76" t="e">
        <f ca="1">SUMIF('Production '!$C$4:$AI$4407,'Tracking Sheet'!B2539,'Production '!$Q$4:$Q$4407)</f>
        <v>#DIV/0!</v>
      </c>
      <c r="E2539" s="76">
        <f ca="1">SUMIF('Production '!$C$4:$AI$4407,'Tracking Sheet'!B2539,'Production '!$S$4:$S$4407)</f>
        <v>-1268218.9828305368</v>
      </c>
      <c r="F2539" s="76">
        <f ca="1">SUMIF('Production '!$C$4:$AI$4407,'Tracking Sheet'!B2539,'Production '!$U$4:$U$4407)</f>
        <v>-10620.435600016917</v>
      </c>
      <c r="G2539" s="76" t="e">
        <f ca="1">SUMIF('Production '!$C$4:$AI$4407,'Tracking Sheet'!B2539,'Production '!$W$4:$W$4407)</f>
        <v>#DIV/0!</v>
      </c>
      <c r="H2539" s="76">
        <f ca="1">SUMIF('Production '!$C$4:$AI$4407,'Tracking Sheet'!B2539,'Production '!$F$4:$F$4407)</f>
        <v>3230621.3283604058</v>
      </c>
      <c r="I2539" s="76">
        <f ca="1">SUMIF('Production '!$C$4:$AI$4407,'Tracking Sheet'!B2539,'Production '!$V$4:$V$4407)</f>
        <v>-489.86487791182844</v>
      </c>
      <c r="J2539" s="76">
        <f ca="1">SUMIF('Production '!$C$4:$AI$4407,'Tracking Sheet'!B2539,'Production '!$AG$4:$AG$4407)</f>
        <v>0</v>
      </c>
    </row>
    <row r="2540" spans="2:10" x14ac:dyDescent="0.3">
      <c r="B2540" s="277">
        <f>'Production '!C2543</f>
        <v>0</v>
      </c>
      <c r="C2540" s="76" t="e">
        <f ca="1">SUMIF('Production '!$C$4:$AI$4407,'Tracking Sheet'!B2540,'Production '!$M$4:$M$4407)</f>
        <v>#DIV/0!</v>
      </c>
      <c r="D2540" s="76" t="e">
        <f ca="1">SUMIF('Production '!$C$4:$AI$4407,'Tracking Sheet'!B2540,'Production '!$Q$4:$Q$4407)</f>
        <v>#DIV/0!</v>
      </c>
      <c r="E2540" s="76">
        <f ca="1">SUMIF('Production '!$C$4:$AI$4407,'Tracking Sheet'!B2540,'Production '!$S$4:$S$4407)</f>
        <v>-1268218.9828305368</v>
      </c>
      <c r="F2540" s="76">
        <f ca="1">SUMIF('Production '!$C$4:$AI$4407,'Tracking Sheet'!B2540,'Production '!$U$4:$U$4407)</f>
        <v>-10620.435600016917</v>
      </c>
      <c r="G2540" s="76" t="e">
        <f ca="1">SUMIF('Production '!$C$4:$AI$4407,'Tracking Sheet'!B2540,'Production '!$W$4:$W$4407)</f>
        <v>#DIV/0!</v>
      </c>
      <c r="H2540" s="76">
        <f ca="1">SUMIF('Production '!$C$4:$AI$4407,'Tracking Sheet'!B2540,'Production '!$F$4:$F$4407)</f>
        <v>3230621.3283604058</v>
      </c>
      <c r="I2540" s="76">
        <f ca="1">SUMIF('Production '!$C$4:$AI$4407,'Tracking Sheet'!B2540,'Production '!$V$4:$V$4407)</f>
        <v>-489.86487791182844</v>
      </c>
      <c r="J2540" s="76">
        <f ca="1">SUMIF('Production '!$C$4:$AI$4407,'Tracking Sheet'!B2540,'Production '!$AG$4:$AG$4407)</f>
        <v>0</v>
      </c>
    </row>
    <row r="2541" spans="2:10" x14ac:dyDescent="0.3">
      <c r="B2541" s="277">
        <f>'Production '!C2544</f>
        <v>0</v>
      </c>
      <c r="C2541" s="76" t="e">
        <f ca="1">SUMIF('Production '!$C$4:$AI$4407,'Tracking Sheet'!B2541,'Production '!$M$4:$M$4407)</f>
        <v>#DIV/0!</v>
      </c>
      <c r="D2541" s="76" t="e">
        <f ca="1">SUMIF('Production '!$C$4:$AI$4407,'Tracking Sheet'!B2541,'Production '!$Q$4:$Q$4407)</f>
        <v>#DIV/0!</v>
      </c>
      <c r="E2541" s="76">
        <f ca="1">SUMIF('Production '!$C$4:$AI$4407,'Tracking Sheet'!B2541,'Production '!$S$4:$S$4407)</f>
        <v>-1268218.9828305368</v>
      </c>
      <c r="F2541" s="76">
        <f ca="1">SUMIF('Production '!$C$4:$AI$4407,'Tracking Sheet'!B2541,'Production '!$U$4:$U$4407)</f>
        <v>-10620.435600016917</v>
      </c>
      <c r="G2541" s="76" t="e">
        <f ca="1">SUMIF('Production '!$C$4:$AI$4407,'Tracking Sheet'!B2541,'Production '!$W$4:$W$4407)</f>
        <v>#DIV/0!</v>
      </c>
      <c r="H2541" s="76">
        <f ca="1">SUMIF('Production '!$C$4:$AI$4407,'Tracking Sheet'!B2541,'Production '!$F$4:$F$4407)</f>
        <v>3230621.3283604058</v>
      </c>
      <c r="I2541" s="76">
        <f ca="1">SUMIF('Production '!$C$4:$AI$4407,'Tracking Sheet'!B2541,'Production '!$V$4:$V$4407)</f>
        <v>-489.86487791182844</v>
      </c>
      <c r="J2541" s="76">
        <f ca="1">SUMIF('Production '!$C$4:$AI$4407,'Tracking Sheet'!B2541,'Production '!$AG$4:$AG$4407)</f>
        <v>0</v>
      </c>
    </row>
    <row r="2542" spans="2:10" x14ac:dyDescent="0.3">
      <c r="B2542" s="277">
        <f>'Production '!C2545</f>
        <v>0</v>
      </c>
      <c r="C2542" s="76" t="e">
        <f ca="1">SUMIF('Production '!$C$4:$AI$4407,'Tracking Sheet'!B2542,'Production '!$M$4:$M$4407)</f>
        <v>#DIV/0!</v>
      </c>
      <c r="D2542" s="76" t="e">
        <f ca="1">SUMIF('Production '!$C$4:$AI$4407,'Tracking Sheet'!B2542,'Production '!$Q$4:$Q$4407)</f>
        <v>#DIV/0!</v>
      </c>
      <c r="E2542" s="76">
        <f ca="1">SUMIF('Production '!$C$4:$AI$4407,'Tracking Sheet'!B2542,'Production '!$S$4:$S$4407)</f>
        <v>-1268218.9828305368</v>
      </c>
      <c r="F2542" s="76">
        <f ca="1">SUMIF('Production '!$C$4:$AI$4407,'Tracking Sheet'!B2542,'Production '!$U$4:$U$4407)</f>
        <v>-10620.435600016917</v>
      </c>
      <c r="G2542" s="76" t="e">
        <f ca="1">SUMIF('Production '!$C$4:$AI$4407,'Tracking Sheet'!B2542,'Production '!$W$4:$W$4407)</f>
        <v>#DIV/0!</v>
      </c>
      <c r="H2542" s="76">
        <f ca="1">SUMIF('Production '!$C$4:$AI$4407,'Tracking Sheet'!B2542,'Production '!$F$4:$F$4407)</f>
        <v>3230621.3283604058</v>
      </c>
      <c r="I2542" s="76">
        <f ca="1">SUMIF('Production '!$C$4:$AI$4407,'Tracking Sheet'!B2542,'Production '!$V$4:$V$4407)</f>
        <v>-489.86487791182844</v>
      </c>
      <c r="J2542" s="76">
        <f ca="1">SUMIF('Production '!$C$4:$AI$4407,'Tracking Sheet'!B2542,'Production '!$AG$4:$AG$4407)</f>
        <v>0</v>
      </c>
    </row>
    <row r="2543" spans="2:10" x14ac:dyDescent="0.3">
      <c r="B2543" s="277">
        <f>'Production '!C2546</f>
        <v>0</v>
      </c>
      <c r="C2543" s="76" t="e">
        <f ca="1">SUMIF('Production '!$C$4:$AI$4407,'Tracking Sheet'!B2543,'Production '!$M$4:$M$4407)</f>
        <v>#DIV/0!</v>
      </c>
      <c r="D2543" s="76" t="e">
        <f ca="1">SUMIF('Production '!$C$4:$AI$4407,'Tracking Sheet'!B2543,'Production '!$Q$4:$Q$4407)</f>
        <v>#DIV/0!</v>
      </c>
      <c r="E2543" s="76">
        <f ca="1">SUMIF('Production '!$C$4:$AI$4407,'Tracking Sheet'!B2543,'Production '!$S$4:$S$4407)</f>
        <v>-1268218.9828305368</v>
      </c>
      <c r="F2543" s="76">
        <f ca="1">SUMIF('Production '!$C$4:$AI$4407,'Tracking Sheet'!B2543,'Production '!$U$4:$U$4407)</f>
        <v>-10620.435600016917</v>
      </c>
      <c r="G2543" s="76" t="e">
        <f ca="1">SUMIF('Production '!$C$4:$AI$4407,'Tracking Sheet'!B2543,'Production '!$W$4:$W$4407)</f>
        <v>#DIV/0!</v>
      </c>
      <c r="H2543" s="76">
        <f ca="1">SUMIF('Production '!$C$4:$AI$4407,'Tracking Sheet'!B2543,'Production '!$F$4:$F$4407)</f>
        <v>3230621.3283604058</v>
      </c>
      <c r="I2543" s="76">
        <f ca="1">SUMIF('Production '!$C$4:$AI$4407,'Tracking Sheet'!B2543,'Production '!$V$4:$V$4407)</f>
        <v>-489.86487791182844</v>
      </c>
      <c r="J2543" s="76">
        <f ca="1">SUMIF('Production '!$C$4:$AI$4407,'Tracking Sheet'!B2543,'Production '!$AG$4:$AG$4407)</f>
        <v>0</v>
      </c>
    </row>
    <row r="2544" spans="2:10" x14ac:dyDescent="0.3">
      <c r="B2544" s="277">
        <f>'Production '!C2547</f>
        <v>0</v>
      </c>
      <c r="C2544" s="76" t="e">
        <f ca="1">SUMIF('Production '!$C$4:$AI$4407,'Tracking Sheet'!B2544,'Production '!$M$4:$M$4407)</f>
        <v>#DIV/0!</v>
      </c>
      <c r="D2544" s="76" t="e">
        <f ca="1">SUMIF('Production '!$C$4:$AI$4407,'Tracking Sheet'!B2544,'Production '!$Q$4:$Q$4407)</f>
        <v>#DIV/0!</v>
      </c>
      <c r="E2544" s="76">
        <f ca="1">SUMIF('Production '!$C$4:$AI$4407,'Tracking Sheet'!B2544,'Production '!$S$4:$S$4407)</f>
        <v>-1268218.9828305368</v>
      </c>
      <c r="F2544" s="76">
        <f ca="1">SUMIF('Production '!$C$4:$AI$4407,'Tracking Sheet'!B2544,'Production '!$U$4:$U$4407)</f>
        <v>-10620.435600016917</v>
      </c>
      <c r="G2544" s="76" t="e">
        <f ca="1">SUMIF('Production '!$C$4:$AI$4407,'Tracking Sheet'!B2544,'Production '!$W$4:$W$4407)</f>
        <v>#DIV/0!</v>
      </c>
      <c r="H2544" s="76">
        <f ca="1">SUMIF('Production '!$C$4:$AI$4407,'Tracking Sheet'!B2544,'Production '!$F$4:$F$4407)</f>
        <v>3230621.3283604058</v>
      </c>
      <c r="I2544" s="76">
        <f ca="1">SUMIF('Production '!$C$4:$AI$4407,'Tracking Sheet'!B2544,'Production '!$V$4:$V$4407)</f>
        <v>-489.86487791182844</v>
      </c>
      <c r="J2544" s="76">
        <f ca="1">SUMIF('Production '!$C$4:$AI$4407,'Tracking Sheet'!B2544,'Production '!$AG$4:$AG$4407)</f>
        <v>0</v>
      </c>
    </row>
    <row r="2545" spans="2:10" x14ac:dyDescent="0.3">
      <c r="B2545" s="277">
        <f>'Production '!C2548</f>
        <v>0</v>
      </c>
      <c r="C2545" s="76" t="e">
        <f ca="1">SUMIF('Production '!$C$4:$AI$4407,'Tracking Sheet'!B2545,'Production '!$M$4:$M$4407)</f>
        <v>#DIV/0!</v>
      </c>
      <c r="D2545" s="76" t="e">
        <f ca="1">SUMIF('Production '!$C$4:$AI$4407,'Tracking Sheet'!B2545,'Production '!$Q$4:$Q$4407)</f>
        <v>#DIV/0!</v>
      </c>
      <c r="E2545" s="76">
        <f ca="1">SUMIF('Production '!$C$4:$AI$4407,'Tracking Sheet'!B2545,'Production '!$S$4:$S$4407)</f>
        <v>-1268218.9828305368</v>
      </c>
      <c r="F2545" s="76">
        <f ca="1">SUMIF('Production '!$C$4:$AI$4407,'Tracking Sheet'!B2545,'Production '!$U$4:$U$4407)</f>
        <v>-10620.435600016917</v>
      </c>
      <c r="G2545" s="76" t="e">
        <f ca="1">SUMIF('Production '!$C$4:$AI$4407,'Tracking Sheet'!B2545,'Production '!$W$4:$W$4407)</f>
        <v>#DIV/0!</v>
      </c>
      <c r="H2545" s="76">
        <f ca="1">SUMIF('Production '!$C$4:$AI$4407,'Tracking Sheet'!B2545,'Production '!$F$4:$F$4407)</f>
        <v>3230621.3283604058</v>
      </c>
      <c r="I2545" s="76">
        <f ca="1">SUMIF('Production '!$C$4:$AI$4407,'Tracking Sheet'!B2545,'Production '!$V$4:$V$4407)</f>
        <v>-489.86487791182844</v>
      </c>
      <c r="J2545" s="76">
        <f ca="1">SUMIF('Production '!$C$4:$AI$4407,'Tracking Sheet'!B2545,'Production '!$AG$4:$AG$4407)</f>
        <v>0</v>
      </c>
    </row>
    <row r="2546" spans="2:10" x14ac:dyDescent="0.3">
      <c r="B2546" s="277">
        <f>'Production '!C2549</f>
        <v>0</v>
      </c>
      <c r="C2546" s="76" t="e">
        <f ca="1">SUMIF('Production '!$C$4:$AI$4407,'Tracking Sheet'!B2546,'Production '!$M$4:$M$4407)</f>
        <v>#DIV/0!</v>
      </c>
      <c r="D2546" s="76" t="e">
        <f ca="1">SUMIF('Production '!$C$4:$AI$4407,'Tracking Sheet'!B2546,'Production '!$Q$4:$Q$4407)</f>
        <v>#DIV/0!</v>
      </c>
      <c r="E2546" s="76">
        <f ca="1">SUMIF('Production '!$C$4:$AI$4407,'Tracking Sheet'!B2546,'Production '!$S$4:$S$4407)</f>
        <v>-1268218.9828305368</v>
      </c>
      <c r="F2546" s="76">
        <f ca="1">SUMIF('Production '!$C$4:$AI$4407,'Tracking Sheet'!B2546,'Production '!$U$4:$U$4407)</f>
        <v>-10620.435600016917</v>
      </c>
      <c r="G2546" s="76" t="e">
        <f ca="1">SUMIF('Production '!$C$4:$AI$4407,'Tracking Sheet'!B2546,'Production '!$W$4:$W$4407)</f>
        <v>#DIV/0!</v>
      </c>
      <c r="H2546" s="76">
        <f ca="1">SUMIF('Production '!$C$4:$AI$4407,'Tracking Sheet'!B2546,'Production '!$F$4:$F$4407)</f>
        <v>3230621.3283604058</v>
      </c>
      <c r="I2546" s="76">
        <f ca="1">SUMIF('Production '!$C$4:$AI$4407,'Tracking Sheet'!B2546,'Production '!$V$4:$V$4407)</f>
        <v>-489.86487791182844</v>
      </c>
      <c r="J2546" s="76">
        <f ca="1">SUMIF('Production '!$C$4:$AI$4407,'Tracking Sheet'!B2546,'Production '!$AG$4:$AG$4407)</f>
        <v>0</v>
      </c>
    </row>
    <row r="2547" spans="2:10" x14ac:dyDescent="0.3">
      <c r="B2547" s="277">
        <f>'Production '!C2550</f>
        <v>0</v>
      </c>
      <c r="C2547" s="76" t="e">
        <f ca="1">SUMIF('Production '!$C$4:$AI$4407,'Tracking Sheet'!B2547,'Production '!$M$4:$M$4407)</f>
        <v>#DIV/0!</v>
      </c>
      <c r="D2547" s="76" t="e">
        <f ca="1">SUMIF('Production '!$C$4:$AI$4407,'Tracking Sheet'!B2547,'Production '!$Q$4:$Q$4407)</f>
        <v>#DIV/0!</v>
      </c>
      <c r="E2547" s="76">
        <f ca="1">SUMIF('Production '!$C$4:$AI$4407,'Tracking Sheet'!B2547,'Production '!$S$4:$S$4407)</f>
        <v>-1268218.9828305368</v>
      </c>
      <c r="F2547" s="76">
        <f ca="1">SUMIF('Production '!$C$4:$AI$4407,'Tracking Sheet'!B2547,'Production '!$U$4:$U$4407)</f>
        <v>-10620.435600016917</v>
      </c>
      <c r="G2547" s="76" t="e">
        <f ca="1">SUMIF('Production '!$C$4:$AI$4407,'Tracking Sheet'!B2547,'Production '!$W$4:$W$4407)</f>
        <v>#DIV/0!</v>
      </c>
      <c r="H2547" s="76">
        <f ca="1">SUMIF('Production '!$C$4:$AI$4407,'Tracking Sheet'!B2547,'Production '!$F$4:$F$4407)</f>
        <v>3230621.3283604058</v>
      </c>
      <c r="I2547" s="76">
        <f ca="1">SUMIF('Production '!$C$4:$AI$4407,'Tracking Sheet'!B2547,'Production '!$V$4:$V$4407)</f>
        <v>-489.86487791182844</v>
      </c>
      <c r="J2547" s="76">
        <f ca="1">SUMIF('Production '!$C$4:$AI$4407,'Tracking Sheet'!B2547,'Production '!$AG$4:$AG$4407)</f>
        <v>0</v>
      </c>
    </row>
    <row r="2548" spans="2:10" x14ac:dyDescent="0.3">
      <c r="B2548" s="277">
        <f>'Production '!C2551</f>
        <v>0</v>
      </c>
      <c r="C2548" s="76" t="e">
        <f ca="1">SUMIF('Production '!$C$4:$AI$4407,'Tracking Sheet'!B2548,'Production '!$M$4:$M$4407)</f>
        <v>#DIV/0!</v>
      </c>
      <c r="D2548" s="76" t="e">
        <f ca="1">SUMIF('Production '!$C$4:$AI$4407,'Tracking Sheet'!B2548,'Production '!$Q$4:$Q$4407)</f>
        <v>#DIV/0!</v>
      </c>
      <c r="E2548" s="76">
        <f ca="1">SUMIF('Production '!$C$4:$AI$4407,'Tracking Sheet'!B2548,'Production '!$S$4:$S$4407)</f>
        <v>-1268218.9828305368</v>
      </c>
      <c r="F2548" s="76">
        <f ca="1">SUMIF('Production '!$C$4:$AI$4407,'Tracking Sheet'!B2548,'Production '!$U$4:$U$4407)</f>
        <v>-10620.435600016917</v>
      </c>
      <c r="G2548" s="76" t="e">
        <f ca="1">SUMIF('Production '!$C$4:$AI$4407,'Tracking Sheet'!B2548,'Production '!$W$4:$W$4407)</f>
        <v>#DIV/0!</v>
      </c>
      <c r="H2548" s="76">
        <f ca="1">SUMIF('Production '!$C$4:$AI$4407,'Tracking Sheet'!B2548,'Production '!$F$4:$F$4407)</f>
        <v>3230621.3283604058</v>
      </c>
      <c r="I2548" s="76">
        <f ca="1">SUMIF('Production '!$C$4:$AI$4407,'Tracking Sheet'!B2548,'Production '!$V$4:$V$4407)</f>
        <v>-489.86487791182844</v>
      </c>
      <c r="J2548" s="76">
        <f ca="1">SUMIF('Production '!$C$4:$AI$4407,'Tracking Sheet'!B2548,'Production '!$AG$4:$AG$4407)</f>
        <v>0</v>
      </c>
    </row>
    <row r="2549" spans="2:10" x14ac:dyDescent="0.3">
      <c r="B2549" s="277">
        <f>'Production '!C2552</f>
        <v>0</v>
      </c>
      <c r="C2549" s="76" t="e">
        <f ca="1">SUMIF('Production '!$C$4:$AI$4407,'Tracking Sheet'!B2549,'Production '!$M$4:$M$4407)</f>
        <v>#DIV/0!</v>
      </c>
      <c r="D2549" s="76" t="e">
        <f ca="1">SUMIF('Production '!$C$4:$AI$4407,'Tracking Sheet'!B2549,'Production '!$Q$4:$Q$4407)</f>
        <v>#DIV/0!</v>
      </c>
      <c r="E2549" s="76">
        <f ca="1">SUMIF('Production '!$C$4:$AI$4407,'Tracking Sheet'!B2549,'Production '!$S$4:$S$4407)</f>
        <v>-1268218.9828305368</v>
      </c>
      <c r="F2549" s="76">
        <f ca="1">SUMIF('Production '!$C$4:$AI$4407,'Tracking Sheet'!B2549,'Production '!$U$4:$U$4407)</f>
        <v>-10620.435600016917</v>
      </c>
      <c r="G2549" s="76" t="e">
        <f ca="1">SUMIF('Production '!$C$4:$AI$4407,'Tracking Sheet'!B2549,'Production '!$W$4:$W$4407)</f>
        <v>#DIV/0!</v>
      </c>
      <c r="H2549" s="76">
        <f ca="1">SUMIF('Production '!$C$4:$AI$4407,'Tracking Sheet'!B2549,'Production '!$F$4:$F$4407)</f>
        <v>3230621.3283604058</v>
      </c>
      <c r="I2549" s="76">
        <f ca="1">SUMIF('Production '!$C$4:$AI$4407,'Tracking Sheet'!B2549,'Production '!$V$4:$V$4407)</f>
        <v>-489.86487791182844</v>
      </c>
      <c r="J2549" s="76">
        <f ca="1">SUMIF('Production '!$C$4:$AI$4407,'Tracking Sheet'!B2549,'Production '!$AG$4:$AG$4407)</f>
        <v>0</v>
      </c>
    </row>
    <row r="2550" spans="2:10" x14ac:dyDescent="0.3">
      <c r="B2550" s="277">
        <f>'Production '!C2553</f>
        <v>0</v>
      </c>
      <c r="C2550" s="76" t="e">
        <f ca="1">SUMIF('Production '!$C$4:$AI$4407,'Tracking Sheet'!B2550,'Production '!$M$4:$M$4407)</f>
        <v>#DIV/0!</v>
      </c>
      <c r="D2550" s="76" t="e">
        <f ca="1">SUMIF('Production '!$C$4:$AI$4407,'Tracking Sheet'!B2550,'Production '!$Q$4:$Q$4407)</f>
        <v>#DIV/0!</v>
      </c>
      <c r="E2550" s="76">
        <f ca="1">SUMIF('Production '!$C$4:$AI$4407,'Tracking Sheet'!B2550,'Production '!$S$4:$S$4407)</f>
        <v>-1268218.9828305368</v>
      </c>
      <c r="F2550" s="76">
        <f ca="1">SUMIF('Production '!$C$4:$AI$4407,'Tracking Sheet'!B2550,'Production '!$U$4:$U$4407)</f>
        <v>-10620.435600016917</v>
      </c>
      <c r="G2550" s="76" t="e">
        <f ca="1">SUMIF('Production '!$C$4:$AI$4407,'Tracking Sheet'!B2550,'Production '!$W$4:$W$4407)</f>
        <v>#DIV/0!</v>
      </c>
      <c r="H2550" s="76">
        <f ca="1">SUMIF('Production '!$C$4:$AI$4407,'Tracking Sheet'!B2550,'Production '!$F$4:$F$4407)</f>
        <v>3230621.3283604058</v>
      </c>
      <c r="I2550" s="76">
        <f ca="1">SUMIF('Production '!$C$4:$AI$4407,'Tracking Sheet'!B2550,'Production '!$V$4:$V$4407)</f>
        <v>-489.86487791182844</v>
      </c>
      <c r="J2550" s="76">
        <f ca="1">SUMIF('Production '!$C$4:$AI$4407,'Tracking Sheet'!B2550,'Production '!$AG$4:$AG$4407)</f>
        <v>0</v>
      </c>
    </row>
    <row r="2551" spans="2:10" x14ac:dyDescent="0.3">
      <c r="B2551" s="277">
        <f>'Production '!C2554</f>
        <v>0</v>
      </c>
      <c r="C2551" s="76" t="e">
        <f ca="1">SUMIF('Production '!$C$4:$AI$4407,'Tracking Sheet'!B2551,'Production '!$M$4:$M$4407)</f>
        <v>#DIV/0!</v>
      </c>
      <c r="D2551" s="76" t="e">
        <f ca="1">SUMIF('Production '!$C$4:$AI$4407,'Tracking Sheet'!B2551,'Production '!$Q$4:$Q$4407)</f>
        <v>#DIV/0!</v>
      </c>
      <c r="E2551" s="76">
        <f ca="1">SUMIF('Production '!$C$4:$AI$4407,'Tracking Sheet'!B2551,'Production '!$S$4:$S$4407)</f>
        <v>-1268218.9828305368</v>
      </c>
      <c r="F2551" s="76">
        <f ca="1">SUMIF('Production '!$C$4:$AI$4407,'Tracking Sheet'!B2551,'Production '!$U$4:$U$4407)</f>
        <v>-10620.435600016917</v>
      </c>
      <c r="G2551" s="76" t="e">
        <f ca="1">SUMIF('Production '!$C$4:$AI$4407,'Tracking Sheet'!B2551,'Production '!$W$4:$W$4407)</f>
        <v>#DIV/0!</v>
      </c>
      <c r="H2551" s="76">
        <f ca="1">SUMIF('Production '!$C$4:$AI$4407,'Tracking Sheet'!B2551,'Production '!$F$4:$F$4407)</f>
        <v>3230621.3283604058</v>
      </c>
      <c r="I2551" s="76">
        <f ca="1">SUMIF('Production '!$C$4:$AI$4407,'Tracking Sheet'!B2551,'Production '!$V$4:$V$4407)</f>
        <v>-489.86487791182844</v>
      </c>
      <c r="J2551" s="76">
        <f ca="1">SUMIF('Production '!$C$4:$AI$4407,'Tracking Sheet'!B2551,'Production '!$AG$4:$AG$4407)</f>
        <v>0</v>
      </c>
    </row>
    <row r="2552" spans="2:10" x14ac:dyDescent="0.3">
      <c r="B2552" s="277">
        <f>'Production '!C2555</f>
        <v>0</v>
      </c>
      <c r="C2552" s="76" t="e">
        <f ca="1">SUMIF('Production '!$C$4:$AI$4407,'Tracking Sheet'!B2552,'Production '!$M$4:$M$4407)</f>
        <v>#DIV/0!</v>
      </c>
      <c r="D2552" s="76" t="e">
        <f ca="1">SUMIF('Production '!$C$4:$AI$4407,'Tracking Sheet'!B2552,'Production '!$Q$4:$Q$4407)</f>
        <v>#DIV/0!</v>
      </c>
      <c r="E2552" s="76">
        <f ca="1">SUMIF('Production '!$C$4:$AI$4407,'Tracking Sheet'!B2552,'Production '!$S$4:$S$4407)</f>
        <v>-1268218.9828305368</v>
      </c>
      <c r="F2552" s="76">
        <f ca="1">SUMIF('Production '!$C$4:$AI$4407,'Tracking Sheet'!B2552,'Production '!$U$4:$U$4407)</f>
        <v>-10620.435600016917</v>
      </c>
      <c r="G2552" s="76" t="e">
        <f ca="1">SUMIF('Production '!$C$4:$AI$4407,'Tracking Sheet'!B2552,'Production '!$W$4:$W$4407)</f>
        <v>#DIV/0!</v>
      </c>
      <c r="H2552" s="76">
        <f ca="1">SUMIF('Production '!$C$4:$AI$4407,'Tracking Sheet'!B2552,'Production '!$F$4:$F$4407)</f>
        <v>3230621.3283604058</v>
      </c>
      <c r="I2552" s="76">
        <f ca="1">SUMIF('Production '!$C$4:$AI$4407,'Tracking Sheet'!B2552,'Production '!$V$4:$V$4407)</f>
        <v>-489.86487791182844</v>
      </c>
      <c r="J2552" s="76">
        <f ca="1">SUMIF('Production '!$C$4:$AI$4407,'Tracking Sheet'!B2552,'Production '!$AG$4:$AG$4407)</f>
        <v>0</v>
      </c>
    </row>
    <row r="2553" spans="2:10" x14ac:dyDescent="0.3">
      <c r="B2553" s="277">
        <f>'Production '!C2556</f>
        <v>0</v>
      </c>
      <c r="C2553" s="76" t="e">
        <f ca="1">SUMIF('Production '!$C$4:$AI$4407,'Tracking Sheet'!B2553,'Production '!$M$4:$M$4407)</f>
        <v>#DIV/0!</v>
      </c>
      <c r="D2553" s="76" t="e">
        <f ca="1">SUMIF('Production '!$C$4:$AI$4407,'Tracking Sheet'!B2553,'Production '!$Q$4:$Q$4407)</f>
        <v>#DIV/0!</v>
      </c>
      <c r="E2553" s="76">
        <f ca="1">SUMIF('Production '!$C$4:$AI$4407,'Tracking Sheet'!B2553,'Production '!$S$4:$S$4407)</f>
        <v>-1268218.9828305368</v>
      </c>
      <c r="F2553" s="76">
        <f ca="1">SUMIF('Production '!$C$4:$AI$4407,'Tracking Sheet'!B2553,'Production '!$U$4:$U$4407)</f>
        <v>-10620.435600016917</v>
      </c>
      <c r="G2553" s="76" t="e">
        <f ca="1">SUMIF('Production '!$C$4:$AI$4407,'Tracking Sheet'!B2553,'Production '!$W$4:$W$4407)</f>
        <v>#DIV/0!</v>
      </c>
      <c r="H2553" s="76">
        <f ca="1">SUMIF('Production '!$C$4:$AI$4407,'Tracking Sheet'!B2553,'Production '!$F$4:$F$4407)</f>
        <v>3230621.3283604058</v>
      </c>
      <c r="I2553" s="76">
        <f ca="1">SUMIF('Production '!$C$4:$AI$4407,'Tracking Sheet'!B2553,'Production '!$V$4:$V$4407)</f>
        <v>-489.86487791182844</v>
      </c>
      <c r="J2553" s="76">
        <f ca="1">SUMIF('Production '!$C$4:$AI$4407,'Tracking Sheet'!B2553,'Production '!$AG$4:$AG$4407)</f>
        <v>0</v>
      </c>
    </row>
    <row r="2554" spans="2:10" x14ac:dyDescent="0.3">
      <c r="B2554" s="277">
        <f>'Production '!C2557</f>
        <v>0</v>
      </c>
      <c r="C2554" s="76" t="e">
        <f ca="1">SUMIF('Production '!$C$4:$AI$4407,'Tracking Sheet'!B2554,'Production '!$M$4:$M$4407)</f>
        <v>#DIV/0!</v>
      </c>
      <c r="D2554" s="76" t="e">
        <f ca="1">SUMIF('Production '!$C$4:$AI$4407,'Tracking Sheet'!B2554,'Production '!$Q$4:$Q$4407)</f>
        <v>#DIV/0!</v>
      </c>
      <c r="E2554" s="76">
        <f ca="1">SUMIF('Production '!$C$4:$AI$4407,'Tracking Sheet'!B2554,'Production '!$S$4:$S$4407)</f>
        <v>-1268218.9828305368</v>
      </c>
      <c r="F2554" s="76">
        <f ca="1">SUMIF('Production '!$C$4:$AI$4407,'Tracking Sheet'!B2554,'Production '!$U$4:$U$4407)</f>
        <v>-10620.435600016917</v>
      </c>
      <c r="G2554" s="76" t="e">
        <f ca="1">SUMIF('Production '!$C$4:$AI$4407,'Tracking Sheet'!B2554,'Production '!$W$4:$W$4407)</f>
        <v>#DIV/0!</v>
      </c>
      <c r="H2554" s="76">
        <f ca="1">SUMIF('Production '!$C$4:$AI$4407,'Tracking Sheet'!B2554,'Production '!$F$4:$F$4407)</f>
        <v>3230621.3283604058</v>
      </c>
      <c r="I2554" s="76">
        <f ca="1">SUMIF('Production '!$C$4:$AI$4407,'Tracking Sheet'!B2554,'Production '!$V$4:$V$4407)</f>
        <v>-489.86487791182844</v>
      </c>
      <c r="J2554" s="76">
        <f ca="1">SUMIF('Production '!$C$4:$AI$4407,'Tracking Sheet'!B2554,'Production '!$AG$4:$AG$4407)</f>
        <v>0</v>
      </c>
    </row>
    <row r="2555" spans="2:10" x14ac:dyDescent="0.3">
      <c r="B2555" s="277">
        <f>'Production '!C2558</f>
        <v>0</v>
      </c>
      <c r="C2555" s="76" t="e">
        <f ca="1">SUMIF('Production '!$C$4:$AI$4407,'Tracking Sheet'!B2555,'Production '!$M$4:$M$4407)</f>
        <v>#DIV/0!</v>
      </c>
      <c r="D2555" s="76" t="e">
        <f ca="1">SUMIF('Production '!$C$4:$AI$4407,'Tracking Sheet'!B2555,'Production '!$Q$4:$Q$4407)</f>
        <v>#DIV/0!</v>
      </c>
      <c r="E2555" s="76">
        <f ca="1">SUMIF('Production '!$C$4:$AI$4407,'Tracking Sheet'!B2555,'Production '!$S$4:$S$4407)</f>
        <v>-1268218.9828305368</v>
      </c>
      <c r="F2555" s="76">
        <f ca="1">SUMIF('Production '!$C$4:$AI$4407,'Tracking Sheet'!B2555,'Production '!$U$4:$U$4407)</f>
        <v>-10620.435600016917</v>
      </c>
      <c r="G2555" s="76" t="e">
        <f ca="1">SUMIF('Production '!$C$4:$AI$4407,'Tracking Sheet'!B2555,'Production '!$W$4:$W$4407)</f>
        <v>#DIV/0!</v>
      </c>
      <c r="H2555" s="76">
        <f ca="1">SUMIF('Production '!$C$4:$AI$4407,'Tracking Sheet'!B2555,'Production '!$F$4:$F$4407)</f>
        <v>3230621.3283604058</v>
      </c>
      <c r="I2555" s="76">
        <f ca="1">SUMIF('Production '!$C$4:$AI$4407,'Tracking Sheet'!B2555,'Production '!$V$4:$V$4407)</f>
        <v>-489.86487791182844</v>
      </c>
      <c r="J2555" s="76">
        <f ca="1">SUMIF('Production '!$C$4:$AI$4407,'Tracking Sheet'!B2555,'Production '!$AG$4:$AG$4407)</f>
        <v>0</v>
      </c>
    </row>
    <row r="2556" spans="2:10" x14ac:dyDescent="0.3">
      <c r="B2556" s="277">
        <f>'Production '!C2559</f>
        <v>0</v>
      </c>
      <c r="C2556" s="76" t="e">
        <f ca="1">SUMIF('Production '!$C$4:$AI$4407,'Tracking Sheet'!B2556,'Production '!$M$4:$M$4407)</f>
        <v>#DIV/0!</v>
      </c>
      <c r="D2556" s="76" t="e">
        <f ca="1">SUMIF('Production '!$C$4:$AI$4407,'Tracking Sheet'!B2556,'Production '!$Q$4:$Q$4407)</f>
        <v>#DIV/0!</v>
      </c>
      <c r="E2556" s="76">
        <f ca="1">SUMIF('Production '!$C$4:$AI$4407,'Tracking Sheet'!B2556,'Production '!$S$4:$S$4407)</f>
        <v>-1268218.9828305368</v>
      </c>
      <c r="F2556" s="76">
        <f ca="1">SUMIF('Production '!$C$4:$AI$4407,'Tracking Sheet'!B2556,'Production '!$U$4:$U$4407)</f>
        <v>-10620.435600016917</v>
      </c>
      <c r="G2556" s="76" t="e">
        <f ca="1">SUMIF('Production '!$C$4:$AI$4407,'Tracking Sheet'!B2556,'Production '!$W$4:$W$4407)</f>
        <v>#DIV/0!</v>
      </c>
      <c r="H2556" s="76">
        <f ca="1">SUMIF('Production '!$C$4:$AI$4407,'Tracking Sheet'!B2556,'Production '!$F$4:$F$4407)</f>
        <v>3230621.3283604058</v>
      </c>
      <c r="I2556" s="76">
        <f ca="1">SUMIF('Production '!$C$4:$AI$4407,'Tracking Sheet'!B2556,'Production '!$V$4:$V$4407)</f>
        <v>-489.86487791182844</v>
      </c>
      <c r="J2556" s="76">
        <f ca="1">SUMIF('Production '!$C$4:$AI$4407,'Tracking Sheet'!B2556,'Production '!$AG$4:$AG$4407)</f>
        <v>0</v>
      </c>
    </row>
    <row r="2557" spans="2:10" x14ac:dyDescent="0.3">
      <c r="B2557" s="277">
        <f>'Production '!C2560</f>
        <v>0</v>
      </c>
      <c r="C2557" s="76" t="e">
        <f ca="1">SUMIF('Production '!$C$4:$AI$4407,'Tracking Sheet'!B2557,'Production '!$M$4:$M$4407)</f>
        <v>#DIV/0!</v>
      </c>
      <c r="D2557" s="76" t="e">
        <f ca="1">SUMIF('Production '!$C$4:$AI$4407,'Tracking Sheet'!B2557,'Production '!$Q$4:$Q$4407)</f>
        <v>#DIV/0!</v>
      </c>
      <c r="E2557" s="76">
        <f ca="1">SUMIF('Production '!$C$4:$AI$4407,'Tracking Sheet'!B2557,'Production '!$S$4:$S$4407)</f>
        <v>-1268218.9828305368</v>
      </c>
      <c r="F2557" s="76">
        <f ca="1">SUMIF('Production '!$C$4:$AI$4407,'Tracking Sheet'!B2557,'Production '!$U$4:$U$4407)</f>
        <v>-10620.435600016917</v>
      </c>
      <c r="G2557" s="76" t="e">
        <f ca="1">SUMIF('Production '!$C$4:$AI$4407,'Tracking Sheet'!B2557,'Production '!$W$4:$W$4407)</f>
        <v>#DIV/0!</v>
      </c>
      <c r="H2557" s="76">
        <f ca="1">SUMIF('Production '!$C$4:$AI$4407,'Tracking Sheet'!B2557,'Production '!$F$4:$F$4407)</f>
        <v>3230621.3283604058</v>
      </c>
      <c r="I2557" s="76">
        <f ca="1">SUMIF('Production '!$C$4:$AI$4407,'Tracking Sheet'!B2557,'Production '!$V$4:$V$4407)</f>
        <v>-489.86487791182844</v>
      </c>
      <c r="J2557" s="76">
        <f ca="1">SUMIF('Production '!$C$4:$AI$4407,'Tracking Sheet'!B2557,'Production '!$AG$4:$AG$4407)</f>
        <v>0</v>
      </c>
    </row>
    <row r="2558" spans="2:10" x14ac:dyDescent="0.3">
      <c r="B2558" s="277">
        <f>'Production '!C2561</f>
        <v>0</v>
      </c>
      <c r="C2558" s="76" t="e">
        <f ca="1">SUMIF('Production '!$C$4:$AI$4407,'Tracking Sheet'!B2558,'Production '!$M$4:$M$4407)</f>
        <v>#DIV/0!</v>
      </c>
      <c r="D2558" s="76" t="e">
        <f ca="1">SUMIF('Production '!$C$4:$AI$4407,'Tracking Sheet'!B2558,'Production '!$Q$4:$Q$4407)</f>
        <v>#DIV/0!</v>
      </c>
      <c r="E2558" s="76">
        <f ca="1">SUMIF('Production '!$C$4:$AI$4407,'Tracking Sheet'!B2558,'Production '!$S$4:$S$4407)</f>
        <v>-1268218.9828305368</v>
      </c>
      <c r="F2558" s="76">
        <f ca="1">SUMIF('Production '!$C$4:$AI$4407,'Tracking Sheet'!B2558,'Production '!$U$4:$U$4407)</f>
        <v>-10620.435600016917</v>
      </c>
      <c r="G2558" s="76" t="e">
        <f ca="1">SUMIF('Production '!$C$4:$AI$4407,'Tracking Sheet'!B2558,'Production '!$W$4:$W$4407)</f>
        <v>#DIV/0!</v>
      </c>
      <c r="H2558" s="76">
        <f ca="1">SUMIF('Production '!$C$4:$AI$4407,'Tracking Sheet'!B2558,'Production '!$F$4:$F$4407)</f>
        <v>3230621.3283604058</v>
      </c>
      <c r="I2558" s="76">
        <f ca="1">SUMIF('Production '!$C$4:$AI$4407,'Tracking Sheet'!B2558,'Production '!$V$4:$V$4407)</f>
        <v>-489.86487791182844</v>
      </c>
      <c r="J2558" s="76">
        <f ca="1">SUMIF('Production '!$C$4:$AI$4407,'Tracking Sheet'!B2558,'Production '!$AG$4:$AG$4407)</f>
        <v>0</v>
      </c>
    </row>
    <row r="2559" spans="2:10" x14ac:dyDescent="0.3">
      <c r="B2559" s="277">
        <f>'Production '!C2562</f>
        <v>0</v>
      </c>
      <c r="C2559" s="76" t="e">
        <f ca="1">SUMIF('Production '!$C$4:$AI$4407,'Tracking Sheet'!B2559,'Production '!$M$4:$M$4407)</f>
        <v>#DIV/0!</v>
      </c>
      <c r="D2559" s="76" t="e">
        <f ca="1">SUMIF('Production '!$C$4:$AI$4407,'Tracking Sheet'!B2559,'Production '!$Q$4:$Q$4407)</f>
        <v>#DIV/0!</v>
      </c>
      <c r="E2559" s="76">
        <f ca="1">SUMIF('Production '!$C$4:$AI$4407,'Tracking Sheet'!B2559,'Production '!$S$4:$S$4407)</f>
        <v>-1268218.9828305368</v>
      </c>
      <c r="F2559" s="76">
        <f ca="1">SUMIF('Production '!$C$4:$AI$4407,'Tracking Sheet'!B2559,'Production '!$U$4:$U$4407)</f>
        <v>-10620.435600016917</v>
      </c>
      <c r="G2559" s="76" t="e">
        <f ca="1">SUMIF('Production '!$C$4:$AI$4407,'Tracking Sheet'!B2559,'Production '!$W$4:$W$4407)</f>
        <v>#DIV/0!</v>
      </c>
      <c r="H2559" s="76">
        <f ca="1">SUMIF('Production '!$C$4:$AI$4407,'Tracking Sheet'!B2559,'Production '!$F$4:$F$4407)</f>
        <v>3230621.3283604058</v>
      </c>
      <c r="I2559" s="76">
        <f ca="1">SUMIF('Production '!$C$4:$AI$4407,'Tracking Sheet'!B2559,'Production '!$V$4:$V$4407)</f>
        <v>-489.86487791182844</v>
      </c>
      <c r="J2559" s="76">
        <f ca="1">SUMIF('Production '!$C$4:$AI$4407,'Tracking Sheet'!B2559,'Production '!$AG$4:$AG$4407)</f>
        <v>0</v>
      </c>
    </row>
    <row r="2560" spans="2:10" x14ac:dyDescent="0.3">
      <c r="B2560" s="277">
        <f>'Production '!C2563</f>
        <v>0</v>
      </c>
      <c r="C2560" s="76" t="e">
        <f ca="1">SUMIF('Production '!$C$4:$AI$4407,'Tracking Sheet'!B2560,'Production '!$M$4:$M$4407)</f>
        <v>#DIV/0!</v>
      </c>
      <c r="D2560" s="76" t="e">
        <f ca="1">SUMIF('Production '!$C$4:$AI$4407,'Tracking Sheet'!B2560,'Production '!$Q$4:$Q$4407)</f>
        <v>#DIV/0!</v>
      </c>
      <c r="E2560" s="76">
        <f ca="1">SUMIF('Production '!$C$4:$AI$4407,'Tracking Sheet'!B2560,'Production '!$S$4:$S$4407)</f>
        <v>-1268218.9828305368</v>
      </c>
      <c r="F2560" s="76">
        <f ca="1">SUMIF('Production '!$C$4:$AI$4407,'Tracking Sheet'!B2560,'Production '!$U$4:$U$4407)</f>
        <v>-10620.435600016917</v>
      </c>
      <c r="G2560" s="76" t="e">
        <f ca="1">SUMIF('Production '!$C$4:$AI$4407,'Tracking Sheet'!B2560,'Production '!$W$4:$W$4407)</f>
        <v>#DIV/0!</v>
      </c>
      <c r="H2560" s="76">
        <f ca="1">SUMIF('Production '!$C$4:$AI$4407,'Tracking Sheet'!B2560,'Production '!$F$4:$F$4407)</f>
        <v>3230621.3283604058</v>
      </c>
      <c r="I2560" s="76">
        <f ca="1">SUMIF('Production '!$C$4:$AI$4407,'Tracking Sheet'!B2560,'Production '!$V$4:$V$4407)</f>
        <v>-489.86487791182844</v>
      </c>
      <c r="J2560" s="76">
        <f ca="1">SUMIF('Production '!$C$4:$AI$4407,'Tracking Sheet'!B2560,'Production '!$AG$4:$AG$4407)</f>
        <v>0</v>
      </c>
    </row>
    <row r="2561" spans="2:10" x14ac:dyDescent="0.3">
      <c r="B2561" s="277">
        <f>'Production '!C2564</f>
        <v>0</v>
      </c>
      <c r="C2561" s="76" t="e">
        <f ca="1">SUMIF('Production '!$C$4:$AI$4407,'Tracking Sheet'!B2561,'Production '!$M$4:$M$4407)</f>
        <v>#DIV/0!</v>
      </c>
      <c r="D2561" s="76" t="e">
        <f ca="1">SUMIF('Production '!$C$4:$AI$4407,'Tracking Sheet'!B2561,'Production '!$Q$4:$Q$4407)</f>
        <v>#DIV/0!</v>
      </c>
      <c r="E2561" s="76">
        <f ca="1">SUMIF('Production '!$C$4:$AI$4407,'Tracking Sheet'!B2561,'Production '!$S$4:$S$4407)</f>
        <v>-1268218.9828305368</v>
      </c>
      <c r="F2561" s="76">
        <f ca="1">SUMIF('Production '!$C$4:$AI$4407,'Tracking Sheet'!B2561,'Production '!$U$4:$U$4407)</f>
        <v>-10620.435600016917</v>
      </c>
      <c r="G2561" s="76" t="e">
        <f ca="1">SUMIF('Production '!$C$4:$AI$4407,'Tracking Sheet'!B2561,'Production '!$W$4:$W$4407)</f>
        <v>#DIV/0!</v>
      </c>
      <c r="H2561" s="76">
        <f ca="1">SUMIF('Production '!$C$4:$AI$4407,'Tracking Sheet'!B2561,'Production '!$F$4:$F$4407)</f>
        <v>3230621.3283604058</v>
      </c>
      <c r="I2561" s="76">
        <f ca="1">SUMIF('Production '!$C$4:$AI$4407,'Tracking Sheet'!B2561,'Production '!$V$4:$V$4407)</f>
        <v>-489.86487791182844</v>
      </c>
      <c r="J2561" s="76">
        <f ca="1">SUMIF('Production '!$C$4:$AI$4407,'Tracking Sheet'!B2561,'Production '!$AG$4:$AG$4407)</f>
        <v>0</v>
      </c>
    </row>
    <row r="2562" spans="2:10" x14ac:dyDescent="0.3">
      <c r="B2562" s="277">
        <f>'Production '!C2565</f>
        <v>0</v>
      </c>
      <c r="C2562" s="76" t="e">
        <f ca="1">SUMIF('Production '!$C$4:$AI$4407,'Tracking Sheet'!B2562,'Production '!$M$4:$M$4407)</f>
        <v>#DIV/0!</v>
      </c>
      <c r="D2562" s="76" t="e">
        <f ca="1">SUMIF('Production '!$C$4:$AI$4407,'Tracking Sheet'!B2562,'Production '!$Q$4:$Q$4407)</f>
        <v>#DIV/0!</v>
      </c>
      <c r="E2562" s="76">
        <f ca="1">SUMIF('Production '!$C$4:$AI$4407,'Tracking Sheet'!B2562,'Production '!$S$4:$S$4407)</f>
        <v>-1268218.9828305368</v>
      </c>
      <c r="F2562" s="76">
        <f ca="1">SUMIF('Production '!$C$4:$AI$4407,'Tracking Sheet'!B2562,'Production '!$U$4:$U$4407)</f>
        <v>-10620.435600016917</v>
      </c>
      <c r="G2562" s="76" t="e">
        <f ca="1">SUMIF('Production '!$C$4:$AI$4407,'Tracking Sheet'!B2562,'Production '!$W$4:$W$4407)</f>
        <v>#DIV/0!</v>
      </c>
      <c r="H2562" s="76">
        <f ca="1">SUMIF('Production '!$C$4:$AI$4407,'Tracking Sheet'!B2562,'Production '!$F$4:$F$4407)</f>
        <v>3230621.3283604058</v>
      </c>
      <c r="I2562" s="76">
        <f ca="1">SUMIF('Production '!$C$4:$AI$4407,'Tracking Sheet'!B2562,'Production '!$V$4:$V$4407)</f>
        <v>-489.86487791182844</v>
      </c>
      <c r="J2562" s="76">
        <f ca="1">SUMIF('Production '!$C$4:$AI$4407,'Tracking Sheet'!B2562,'Production '!$AG$4:$AG$4407)</f>
        <v>0</v>
      </c>
    </row>
    <row r="2563" spans="2:10" x14ac:dyDescent="0.3">
      <c r="B2563" s="277">
        <f>'Production '!C2566</f>
        <v>0</v>
      </c>
      <c r="C2563" s="76" t="e">
        <f ca="1">SUMIF('Production '!$C$4:$AI$4407,'Tracking Sheet'!B2563,'Production '!$M$4:$M$4407)</f>
        <v>#DIV/0!</v>
      </c>
      <c r="D2563" s="76" t="e">
        <f ca="1">SUMIF('Production '!$C$4:$AI$4407,'Tracking Sheet'!B2563,'Production '!$Q$4:$Q$4407)</f>
        <v>#DIV/0!</v>
      </c>
      <c r="E2563" s="76">
        <f ca="1">SUMIF('Production '!$C$4:$AI$4407,'Tracking Sheet'!B2563,'Production '!$S$4:$S$4407)</f>
        <v>-1268218.9828305368</v>
      </c>
      <c r="F2563" s="76">
        <f ca="1">SUMIF('Production '!$C$4:$AI$4407,'Tracking Sheet'!B2563,'Production '!$U$4:$U$4407)</f>
        <v>-10620.435600016917</v>
      </c>
      <c r="G2563" s="76" t="e">
        <f ca="1">SUMIF('Production '!$C$4:$AI$4407,'Tracking Sheet'!B2563,'Production '!$W$4:$W$4407)</f>
        <v>#DIV/0!</v>
      </c>
      <c r="H2563" s="76">
        <f ca="1">SUMIF('Production '!$C$4:$AI$4407,'Tracking Sheet'!B2563,'Production '!$F$4:$F$4407)</f>
        <v>3230621.3283604058</v>
      </c>
      <c r="I2563" s="76">
        <f ca="1">SUMIF('Production '!$C$4:$AI$4407,'Tracking Sheet'!B2563,'Production '!$V$4:$V$4407)</f>
        <v>-489.86487791182844</v>
      </c>
      <c r="J2563" s="76">
        <f ca="1">SUMIF('Production '!$C$4:$AI$4407,'Tracking Sheet'!B2563,'Production '!$AG$4:$AG$4407)</f>
        <v>0</v>
      </c>
    </row>
    <row r="2564" spans="2:10" x14ac:dyDescent="0.3">
      <c r="B2564" s="277">
        <f>'Production '!C2567</f>
        <v>0</v>
      </c>
      <c r="C2564" s="76" t="e">
        <f ca="1">SUMIF('Production '!$C$4:$AI$4407,'Tracking Sheet'!B2564,'Production '!$M$4:$M$4407)</f>
        <v>#DIV/0!</v>
      </c>
      <c r="D2564" s="76" t="e">
        <f ca="1">SUMIF('Production '!$C$4:$AI$4407,'Tracking Sheet'!B2564,'Production '!$Q$4:$Q$4407)</f>
        <v>#DIV/0!</v>
      </c>
      <c r="E2564" s="76">
        <f ca="1">SUMIF('Production '!$C$4:$AI$4407,'Tracking Sheet'!B2564,'Production '!$S$4:$S$4407)</f>
        <v>-1268218.9828305368</v>
      </c>
      <c r="F2564" s="76">
        <f ca="1">SUMIF('Production '!$C$4:$AI$4407,'Tracking Sheet'!B2564,'Production '!$U$4:$U$4407)</f>
        <v>-10620.435600016917</v>
      </c>
      <c r="G2564" s="76" t="e">
        <f ca="1">SUMIF('Production '!$C$4:$AI$4407,'Tracking Sheet'!B2564,'Production '!$W$4:$W$4407)</f>
        <v>#DIV/0!</v>
      </c>
      <c r="H2564" s="76">
        <f ca="1">SUMIF('Production '!$C$4:$AI$4407,'Tracking Sheet'!B2564,'Production '!$F$4:$F$4407)</f>
        <v>3230621.3283604058</v>
      </c>
      <c r="I2564" s="76">
        <f ca="1">SUMIF('Production '!$C$4:$AI$4407,'Tracking Sheet'!B2564,'Production '!$V$4:$V$4407)</f>
        <v>-489.86487791182844</v>
      </c>
      <c r="J2564" s="76">
        <f ca="1">SUMIF('Production '!$C$4:$AI$4407,'Tracking Sheet'!B2564,'Production '!$AG$4:$AG$4407)</f>
        <v>0</v>
      </c>
    </row>
    <row r="2565" spans="2:10" x14ac:dyDescent="0.3">
      <c r="B2565" s="277">
        <f>'Production '!C2568</f>
        <v>0</v>
      </c>
      <c r="C2565" s="76" t="e">
        <f ca="1">SUMIF('Production '!$C$4:$AI$4407,'Tracking Sheet'!B2565,'Production '!$M$4:$M$4407)</f>
        <v>#DIV/0!</v>
      </c>
      <c r="D2565" s="76" t="e">
        <f ca="1">SUMIF('Production '!$C$4:$AI$4407,'Tracking Sheet'!B2565,'Production '!$Q$4:$Q$4407)</f>
        <v>#DIV/0!</v>
      </c>
      <c r="E2565" s="76">
        <f ca="1">SUMIF('Production '!$C$4:$AI$4407,'Tracking Sheet'!B2565,'Production '!$S$4:$S$4407)</f>
        <v>-1268218.9828305368</v>
      </c>
      <c r="F2565" s="76">
        <f ca="1">SUMIF('Production '!$C$4:$AI$4407,'Tracking Sheet'!B2565,'Production '!$U$4:$U$4407)</f>
        <v>-10620.435600016917</v>
      </c>
      <c r="G2565" s="76" t="e">
        <f ca="1">SUMIF('Production '!$C$4:$AI$4407,'Tracking Sheet'!B2565,'Production '!$W$4:$W$4407)</f>
        <v>#DIV/0!</v>
      </c>
      <c r="H2565" s="76">
        <f ca="1">SUMIF('Production '!$C$4:$AI$4407,'Tracking Sheet'!B2565,'Production '!$F$4:$F$4407)</f>
        <v>3230621.3283604058</v>
      </c>
      <c r="I2565" s="76">
        <f ca="1">SUMIF('Production '!$C$4:$AI$4407,'Tracking Sheet'!B2565,'Production '!$V$4:$V$4407)</f>
        <v>-489.86487791182844</v>
      </c>
      <c r="J2565" s="76">
        <f ca="1">SUMIF('Production '!$C$4:$AI$4407,'Tracking Sheet'!B2565,'Production '!$AG$4:$AG$4407)</f>
        <v>0</v>
      </c>
    </row>
    <row r="2566" spans="2:10" x14ac:dyDescent="0.3">
      <c r="B2566" s="277">
        <f>'Production '!C2569</f>
        <v>0</v>
      </c>
      <c r="C2566" s="76" t="e">
        <f ca="1">SUMIF('Production '!$C$4:$AI$4407,'Tracking Sheet'!B2566,'Production '!$M$4:$M$4407)</f>
        <v>#DIV/0!</v>
      </c>
      <c r="D2566" s="76" t="e">
        <f ca="1">SUMIF('Production '!$C$4:$AI$4407,'Tracking Sheet'!B2566,'Production '!$Q$4:$Q$4407)</f>
        <v>#DIV/0!</v>
      </c>
      <c r="E2566" s="76">
        <f ca="1">SUMIF('Production '!$C$4:$AI$4407,'Tracking Sheet'!B2566,'Production '!$S$4:$S$4407)</f>
        <v>-1268218.9828305368</v>
      </c>
      <c r="F2566" s="76">
        <f ca="1">SUMIF('Production '!$C$4:$AI$4407,'Tracking Sheet'!B2566,'Production '!$U$4:$U$4407)</f>
        <v>-10620.435600016917</v>
      </c>
      <c r="G2566" s="76" t="e">
        <f ca="1">SUMIF('Production '!$C$4:$AI$4407,'Tracking Sheet'!B2566,'Production '!$W$4:$W$4407)</f>
        <v>#DIV/0!</v>
      </c>
      <c r="H2566" s="76">
        <f ca="1">SUMIF('Production '!$C$4:$AI$4407,'Tracking Sheet'!B2566,'Production '!$F$4:$F$4407)</f>
        <v>3230621.3283604058</v>
      </c>
      <c r="I2566" s="76">
        <f ca="1">SUMIF('Production '!$C$4:$AI$4407,'Tracking Sheet'!B2566,'Production '!$V$4:$V$4407)</f>
        <v>-489.86487791182844</v>
      </c>
      <c r="J2566" s="76">
        <f ca="1">SUMIF('Production '!$C$4:$AI$4407,'Tracking Sheet'!B2566,'Production '!$AG$4:$AG$4407)</f>
        <v>0</v>
      </c>
    </row>
    <row r="2567" spans="2:10" x14ac:dyDescent="0.3">
      <c r="B2567" s="277">
        <f>'Production '!C2570</f>
        <v>0</v>
      </c>
      <c r="C2567" s="76" t="e">
        <f ca="1">SUMIF('Production '!$C$4:$AI$4407,'Tracking Sheet'!B2567,'Production '!$M$4:$M$4407)</f>
        <v>#DIV/0!</v>
      </c>
      <c r="D2567" s="76" t="e">
        <f ca="1">SUMIF('Production '!$C$4:$AI$4407,'Tracking Sheet'!B2567,'Production '!$Q$4:$Q$4407)</f>
        <v>#DIV/0!</v>
      </c>
      <c r="E2567" s="76">
        <f ca="1">SUMIF('Production '!$C$4:$AI$4407,'Tracking Sheet'!B2567,'Production '!$S$4:$S$4407)</f>
        <v>-1268218.9828305368</v>
      </c>
      <c r="F2567" s="76">
        <f ca="1">SUMIF('Production '!$C$4:$AI$4407,'Tracking Sheet'!B2567,'Production '!$U$4:$U$4407)</f>
        <v>-10620.435600016917</v>
      </c>
      <c r="G2567" s="76" t="e">
        <f ca="1">SUMIF('Production '!$C$4:$AI$4407,'Tracking Sheet'!B2567,'Production '!$W$4:$W$4407)</f>
        <v>#DIV/0!</v>
      </c>
      <c r="H2567" s="76">
        <f ca="1">SUMIF('Production '!$C$4:$AI$4407,'Tracking Sheet'!B2567,'Production '!$F$4:$F$4407)</f>
        <v>3230621.3283604058</v>
      </c>
      <c r="I2567" s="76">
        <f ca="1">SUMIF('Production '!$C$4:$AI$4407,'Tracking Sheet'!B2567,'Production '!$V$4:$V$4407)</f>
        <v>-489.86487791182844</v>
      </c>
      <c r="J2567" s="76">
        <f ca="1">SUMIF('Production '!$C$4:$AI$4407,'Tracking Sheet'!B2567,'Production '!$AG$4:$AG$4407)</f>
        <v>0</v>
      </c>
    </row>
    <row r="2568" spans="2:10" x14ac:dyDescent="0.3">
      <c r="B2568" s="277">
        <f>'Production '!C2571</f>
        <v>0</v>
      </c>
      <c r="C2568" s="76" t="e">
        <f ca="1">SUMIF('Production '!$C$4:$AI$4407,'Tracking Sheet'!B2568,'Production '!$M$4:$M$4407)</f>
        <v>#DIV/0!</v>
      </c>
      <c r="D2568" s="76" t="e">
        <f ca="1">SUMIF('Production '!$C$4:$AI$4407,'Tracking Sheet'!B2568,'Production '!$Q$4:$Q$4407)</f>
        <v>#DIV/0!</v>
      </c>
      <c r="E2568" s="76">
        <f ca="1">SUMIF('Production '!$C$4:$AI$4407,'Tracking Sheet'!B2568,'Production '!$S$4:$S$4407)</f>
        <v>-1268218.9828305368</v>
      </c>
      <c r="F2568" s="76">
        <f ca="1">SUMIF('Production '!$C$4:$AI$4407,'Tracking Sheet'!B2568,'Production '!$U$4:$U$4407)</f>
        <v>-10620.435600016917</v>
      </c>
      <c r="G2568" s="76" t="e">
        <f ca="1">SUMIF('Production '!$C$4:$AI$4407,'Tracking Sheet'!B2568,'Production '!$W$4:$W$4407)</f>
        <v>#DIV/0!</v>
      </c>
      <c r="H2568" s="76">
        <f ca="1">SUMIF('Production '!$C$4:$AI$4407,'Tracking Sheet'!B2568,'Production '!$F$4:$F$4407)</f>
        <v>3230621.3283604058</v>
      </c>
      <c r="I2568" s="76">
        <f ca="1">SUMIF('Production '!$C$4:$AI$4407,'Tracking Sheet'!B2568,'Production '!$V$4:$V$4407)</f>
        <v>-489.86487791182844</v>
      </c>
      <c r="J2568" s="76">
        <f ca="1">SUMIF('Production '!$C$4:$AI$4407,'Tracking Sheet'!B2568,'Production '!$AG$4:$AG$4407)</f>
        <v>0</v>
      </c>
    </row>
    <row r="2569" spans="2:10" x14ac:dyDescent="0.3">
      <c r="B2569" s="277">
        <f>'Production '!C2572</f>
        <v>0</v>
      </c>
      <c r="C2569" s="76" t="e">
        <f ca="1">SUMIF('Production '!$C$4:$AI$4407,'Tracking Sheet'!B2569,'Production '!$M$4:$M$4407)</f>
        <v>#DIV/0!</v>
      </c>
      <c r="D2569" s="76" t="e">
        <f ca="1">SUMIF('Production '!$C$4:$AI$4407,'Tracking Sheet'!B2569,'Production '!$Q$4:$Q$4407)</f>
        <v>#DIV/0!</v>
      </c>
      <c r="E2569" s="76">
        <f ca="1">SUMIF('Production '!$C$4:$AI$4407,'Tracking Sheet'!B2569,'Production '!$S$4:$S$4407)</f>
        <v>-1268218.9828305368</v>
      </c>
      <c r="F2569" s="76">
        <f ca="1">SUMIF('Production '!$C$4:$AI$4407,'Tracking Sheet'!B2569,'Production '!$U$4:$U$4407)</f>
        <v>-10620.435600016917</v>
      </c>
      <c r="G2569" s="76" t="e">
        <f ca="1">SUMIF('Production '!$C$4:$AI$4407,'Tracking Sheet'!B2569,'Production '!$W$4:$W$4407)</f>
        <v>#DIV/0!</v>
      </c>
      <c r="H2569" s="76">
        <f ca="1">SUMIF('Production '!$C$4:$AI$4407,'Tracking Sheet'!B2569,'Production '!$F$4:$F$4407)</f>
        <v>3230621.3283604058</v>
      </c>
      <c r="I2569" s="76">
        <f ca="1">SUMIF('Production '!$C$4:$AI$4407,'Tracking Sheet'!B2569,'Production '!$V$4:$V$4407)</f>
        <v>-489.86487791182844</v>
      </c>
      <c r="J2569" s="76">
        <f ca="1">SUMIF('Production '!$C$4:$AI$4407,'Tracking Sheet'!B2569,'Production '!$AG$4:$AG$4407)</f>
        <v>0</v>
      </c>
    </row>
    <row r="2570" spans="2:10" x14ac:dyDescent="0.3">
      <c r="B2570" s="277">
        <f>'Production '!C2573</f>
        <v>0</v>
      </c>
      <c r="C2570" s="76" t="e">
        <f ca="1">SUMIF('Production '!$C$4:$AI$4407,'Tracking Sheet'!B2570,'Production '!$M$4:$M$4407)</f>
        <v>#DIV/0!</v>
      </c>
      <c r="D2570" s="76" t="e">
        <f ca="1">SUMIF('Production '!$C$4:$AI$4407,'Tracking Sheet'!B2570,'Production '!$Q$4:$Q$4407)</f>
        <v>#DIV/0!</v>
      </c>
      <c r="E2570" s="76">
        <f ca="1">SUMIF('Production '!$C$4:$AI$4407,'Tracking Sheet'!B2570,'Production '!$S$4:$S$4407)</f>
        <v>-1268218.9828305368</v>
      </c>
      <c r="F2570" s="76">
        <f ca="1">SUMIF('Production '!$C$4:$AI$4407,'Tracking Sheet'!B2570,'Production '!$U$4:$U$4407)</f>
        <v>-10620.435600016917</v>
      </c>
      <c r="G2570" s="76" t="e">
        <f ca="1">SUMIF('Production '!$C$4:$AI$4407,'Tracking Sheet'!B2570,'Production '!$W$4:$W$4407)</f>
        <v>#DIV/0!</v>
      </c>
      <c r="H2570" s="76">
        <f ca="1">SUMIF('Production '!$C$4:$AI$4407,'Tracking Sheet'!B2570,'Production '!$F$4:$F$4407)</f>
        <v>3230621.3283604058</v>
      </c>
      <c r="I2570" s="76">
        <f ca="1">SUMIF('Production '!$C$4:$AI$4407,'Tracking Sheet'!B2570,'Production '!$V$4:$V$4407)</f>
        <v>-489.86487791182844</v>
      </c>
      <c r="J2570" s="76">
        <f ca="1">SUMIF('Production '!$C$4:$AI$4407,'Tracking Sheet'!B2570,'Production '!$AG$4:$AG$4407)</f>
        <v>0</v>
      </c>
    </row>
    <row r="2571" spans="2:10" x14ac:dyDescent="0.3">
      <c r="B2571" s="277">
        <f>'Production '!C2574</f>
        <v>0</v>
      </c>
      <c r="C2571" s="76" t="e">
        <f ca="1">SUMIF('Production '!$C$4:$AI$4407,'Tracking Sheet'!B2571,'Production '!$M$4:$M$4407)</f>
        <v>#DIV/0!</v>
      </c>
      <c r="D2571" s="76" t="e">
        <f ca="1">SUMIF('Production '!$C$4:$AI$4407,'Tracking Sheet'!B2571,'Production '!$Q$4:$Q$4407)</f>
        <v>#DIV/0!</v>
      </c>
      <c r="E2571" s="76">
        <f ca="1">SUMIF('Production '!$C$4:$AI$4407,'Tracking Sheet'!B2571,'Production '!$S$4:$S$4407)</f>
        <v>-1268218.9828305368</v>
      </c>
      <c r="F2571" s="76">
        <f ca="1">SUMIF('Production '!$C$4:$AI$4407,'Tracking Sheet'!B2571,'Production '!$U$4:$U$4407)</f>
        <v>-10620.435600016917</v>
      </c>
      <c r="G2571" s="76" t="e">
        <f ca="1">SUMIF('Production '!$C$4:$AI$4407,'Tracking Sheet'!B2571,'Production '!$W$4:$W$4407)</f>
        <v>#DIV/0!</v>
      </c>
      <c r="H2571" s="76">
        <f ca="1">SUMIF('Production '!$C$4:$AI$4407,'Tracking Sheet'!B2571,'Production '!$F$4:$F$4407)</f>
        <v>3230621.3283604058</v>
      </c>
      <c r="I2571" s="76">
        <f ca="1">SUMIF('Production '!$C$4:$AI$4407,'Tracking Sheet'!B2571,'Production '!$V$4:$V$4407)</f>
        <v>-489.86487791182844</v>
      </c>
      <c r="J2571" s="76">
        <f ca="1">SUMIF('Production '!$C$4:$AI$4407,'Tracking Sheet'!B2571,'Production '!$AG$4:$AG$4407)</f>
        <v>0</v>
      </c>
    </row>
    <row r="2572" spans="2:10" x14ac:dyDescent="0.3">
      <c r="B2572" s="277">
        <f>'Production '!C2575</f>
        <v>0</v>
      </c>
      <c r="C2572" s="76" t="e">
        <f ca="1">SUMIF('Production '!$C$4:$AI$4407,'Tracking Sheet'!B2572,'Production '!$M$4:$M$4407)</f>
        <v>#DIV/0!</v>
      </c>
      <c r="D2572" s="76" t="e">
        <f ca="1">SUMIF('Production '!$C$4:$AI$4407,'Tracking Sheet'!B2572,'Production '!$Q$4:$Q$4407)</f>
        <v>#DIV/0!</v>
      </c>
      <c r="E2572" s="76">
        <f ca="1">SUMIF('Production '!$C$4:$AI$4407,'Tracking Sheet'!B2572,'Production '!$S$4:$S$4407)</f>
        <v>-1268218.9828305368</v>
      </c>
      <c r="F2572" s="76">
        <f ca="1">SUMIF('Production '!$C$4:$AI$4407,'Tracking Sheet'!B2572,'Production '!$U$4:$U$4407)</f>
        <v>-10620.435600016917</v>
      </c>
      <c r="G2572" s="76" t="e">
        <f ca="1">SUMIF('Production '!$C$4:$AI$4407,'Tracking Sheet'!B2572,'Production '!$W$4:$W$4407)</f>
        <v>#DIV/0!</v>
      </c>
      <c r="H2572" s="76">
        <f ca="1">SUMIF('Production '!$C$4:$AI$4407,'Tracking Sheet'!B2572,'Production '!$F$4:$F$4407)</f>
        <v>3230621.3283604058</v>
      </c>
      <c r="I2572" s="76">
        <f ca="1">SUMIF('Production '!$C$4:$AI$4407,'Tracking Sheet'!B2572,'Production '!$V$4:$V$4407)</f>
        <v>-489.86487791182844</v>
      </c>
      <c r="J2572" s="76">
        <f ca="1">SUMIF('Production '!$C$4:$AI$4407,'Tracking Sheet'!B2572,'Production '!$AG$4:$AG$4407)</f>
        <v>0</v>
      </c>
    </row>
    <row r="2573" spans="2:10" x14ac:dyDescent="0.3">
      <c r="B2573" s="277">
        <f>'Production '!C2576</f>
        <v>0</v>
      </c>
      <c r="C2573" s="76" t="e">
        <f ca="1">SUMIF('Production '!$C$4:$AI$4407,'Tracking Sheet'!B2573,'Production '!$M$4:$M$4407)</f>
        <v>#DIV/0!</v>
      </c>
      <c r="D2573" s="76" t="e">
        <f ca="1">SUMIF('Production '!$C$4:$AI$4407,'Tracking Sheet'!B2573,'Production '!$Q$4:$Q$4407)</f>
        <v>#DIV/0!</v>
      </c>
      <c r="E2573" s="76">
        <f ca="1">SUMIF('Production '!$C$4:$AI$4407,'Tracking Sheet'!B2573,'Production '!$S$4:$S$4407)</f>
        <v>-1268218.9828305368</v>
      </c>
      <c r="F2573" s="76">
        <f ca="1">SUMIF('Production '!$C$4:$AI$4407,'Tracking Sheet'!B2573,'Production '!$U$4:$U$4407)</f>
        <v>-10620.435600016917</v>
      </c>
      <c r="G2573" s="76" t="e">
        <f ca="1">SUMIF('Production '!$C$4:$AI$4407,'Tracking Sheet'!B2573,'Production '!$W$4:$W$4407)</f>
        <v>#DIV/0!</v>
      </c>
      <c r="H2573" s="76">
        <f ca="1">SUMIF('Production '!$C$4:$AI$4407,'Tracking Sheet'!B2573,'Production '!$F$4:$F$4407)</f>
        <v>3230621.3283604058</v>
      </c>
      <c r="I2573" s="76">
        <f ca="1">SUMIF('Production '!$C$4:$AI$4407,'Tracking Sheet'!B2573,'Production '!$V$4:$V$4407)</f>
        <v>-489.86487791182844</v>
      </c>
      <c r="J2573" s="76">
        <f ca="1">SUMIF('Production '!$C$4:$AI$4407,'Tracking Sheet'!B2573,'Production '!$AG$4:$AG$4407)</f>
        <v>0</v>
      </c>
    </row>
    <row r="2574" spans="2:10" x14ac:dyDescent="0.3">
      <c r="B2574" s="277">
        <f>'Production '!C2577</f>
        <v>0</v>
      </c>
      <c r="C2574" s="76" t="e">
        <f ca="1">SUMIF('Production '!$C$4:$AI$4407,'Tracking Sheet'!B2574,'Production '!$M$4:$M$4407)</f>
        <v>#DIV/0!</v>
      </c>
      <c r="D2574" s="76" t="e">
        <f ca="1">SUMIF('Production '!$C$4:$AI$4407,'Tracking Sheet'!B2574,'Production '!$Q$4:$Q$4407)</f>
        <v>#DIV/0!</v>
      </c>
      <c r="E2574" s="76">
        <f ca="1">SUMIF('Production '!$C$4:$AI$4407,'Tracking Sheet'!B2574,'Production '!$S$4:$S$4407)</f>
        <v>-1268218.9828305368</v>
      </c>
      <c r="F2574" s="76">
        <f ca="1">SUMIF('Production '!$C$4:$AI$4407,'Tracking Sheet'!B2574,'Production '!$U$4:$U$4407)</f>
        <v>-10620.435600016917</v>
      </c>
      <c r="G2574" s="76" t="e">
        <f ca="1">SUMIF('Production '!$C$4:$AI$4407,'Tracking Sheet'!B2574,'Production '!$W$4:$W$4407)</f>
        <v>#DIV/0!</v>
      </c>
      <c r="H2574" s="76">
        <f ca="1">SUMIF('Production '!$C$4:$AI$4407,'Tracking Sheet'!B2574,'Production '!$F$4:$F$4407)</f>
        <v>3230621.3283604058</v>
      </c>
      <c r="I2574" s="76">
        <f ca="1">SUMIF('Production '!$C$4:$AI$4407,'Tracking Sheet'!B2574,'Production '!$V$4:$V$4407)</f>
        <v>-489.86487791182844</v>
      </c>
      <c r="J2574" s="76">
        <f ca="1">SUMIF('Production '!$C$4:$AI$4407,'Tracking Sheet'!B2574,'Production '!$AG$4:$AG$4407)</f>
        <v>0</v>
      </c>
    </row>
    <row r="2575" spans="2:10" x14ac:dyDescent="0.3">
      <c r="B2575" s="277">
        <f>'Production '!C2578</f>
        <v>0</v>
      </c>
      <c r="C2575" s="76" t="e">
        <f ca="1">SUMIF('Production '!$C$4:$AI$4407,'Tracking Sheet'!B2575,'Production '!$M$4:$M$4407)</f>
        <v>#DIV/0!</v>
      </c>
      <c r="D2575" s="76" t="e">
        <f ca="1">SUMIF('Production '!$C$4:$AI$4407,'Tracking Sheet'!B2575,'Production '!$Q$4:$Q$4407)</f>
        <v>#DIV/0!</v>
      </c>
      <c r="E2575" s="76">
        <f ca="1">SUMIF('Production '!$C$4:$AI$4407,'Tracking Sheet'!B2575,'Production '!$S$4:$S$4407)</f>
        <v>-1268218.9828305368</v>
      </c>
      <c r="F2575" s="76">
        <f ca="1">SUMIF('Production '!$C$4:$AI$4407,'Tracking Sheet'!B2575,'Production '!$U$4:$U$4407)</f>
        <v>-10620.435600016917</v>
      </c>
      <c r="G2575" s="76" t="e">
        <f ca="1">SUMIF('Production '!$C$4:$AI$4407,'Tracking Sheet'!B2575,'Production '!$W$4:$W$4407)</f>
        <v>#DIV/0!</v>
      </c>
      <c r="H2575" s="76">
        <f ca="1">SUMIF('Production '!$C$4:$AI$4407,'Tracking Sheet'!B2575,'Production '!$F$4:$F$4407)</f>
        <v>3230621.3283604058</v>
      </c>
      <c r="I2575" s="76">
        <f ca="1">SUMIF('Production '!$C$4:$AI$4407,'Tracking Sheet'!B2575,'Production '!$V$4:$V$4407)</f>
        <v>-489.86487791182844</v>
      </c>
      <c r="J2575" s="76">
        <f ca="1">SUMIF('Production '!$C$4:$AI$4407,'Tracking Sheet'!B2575,'Production '!$AG$4:$AG$4407)</f>
        <v>0</v>
      </c>
    </row>
    <row r="2576" spans="2:10" x14ac:dyDescent="0.3">
      <c r="B2576" s="277">
        <f>'Production '!C2579</f>
        <v>0</v>
      </c>
      <c r="C2576" s="76" t="e">
        <f ca="1">SUMIF('Production '!$C$4:$AI$4407,'Tracking Sheet'!B2576,'Production '!$M$4:$M$4407)</f>
        <v>#DIV/0!</v>
      </c>
      <c r="D2576" s="76" t="e">
        <f ca="1">SUMIF('Production '!$C$4:$AI$4407,'Tracking Sheet'!B2576,'Production '!$Q$4:$Q$4407)</f>
        <v>#DIV/0!</v>
      </c>
      <c r="E2576" s="76">
        <f ca="1">SUMIF('Production '!$C$4:$AI$4407,'Tracking Sheet'!B2576,'Production '!$S$4:$S$4407)</f>
        <v>-1268218.9828305368</v>
      </c>
      <c r="F2576" s="76">
        <f ca="1">SUMIF('Production '!$C$4:$AI$4407,'Tracking Sheet'!B2576,'Production '!$U$4:$U$4407)</f>
        <v>-10620.435600016917</v>
      </c>
      <c r="G2576" s="76" t="e">
        <f ca="1">SUMIF('Production '!$C$4:$AI$4407,'Tracking Sheet'!B2576,'Production '!$W$4:$W$4407)</f>
        <v>#DIV/0!</v>
      </c>
      <c r="H2576" s="76">
        <f ca="1">SUMIF('Production '!$C$4:$AI$4407,'Tracking Sheet'!B2576,'Production '!$F$4:$F$4407)</f>
        <v>3230621.3283604058</v>
      </c>
      <c r="I2576" s="76">
        <f ca="1">SUMIF('Production '!$C$4:$AI$4407,'Tracking Sheet'!B2576,'Production '!$V$4:$V$4407)</f>
        <v>-489.86487791182844</v>
      </c>
      <c r="J2576" s="76">
        <f ca="1">SUMIF('Production '!$C$4:$AI$4407,'Tracking Sheet'!B2576,'Production '!$AG$4:$AG$4407)</f>
        <v>0</v>
      </c>
    </row>
    <row r="2577" spans="2:10" x14ac:dyDescent="0.3">
      <c r="B2577" s="277">
        <f>'Production '!C2580</f>
        <v>0</v>
      </c>
      <c r="C2577" s="76" t="e">
        <f ca="1">SUMIF('Production '!$C$4:$AI$4407,'Tracking Sheet'!B2577,'Production '!$M$4:$M$4407)</f>
        <v>#DIV/0!</v>
      </c>
      <c r="D2577" s="76" t="e">
        <f ca="1">SUMIF('Production '!$C$4:$AI$4407,'Tracking Sheet'!B2577,'Production '!$Q$4:$Q$4407)</f>
        <v>#DIV/0!</v>
      </c>
      <c r="E2577" s="76">
        <f ca="1">SUMIF('Production '!$C$4:$AI$4407,'Tracking Sheet'!B2577,'Production '!$S$4:$S$4407)</f>
        <v>-1268218.9828305368</v>
      </c>
      <c r="F2577" s="76">
        <f ca="1">SUMIF('Production '!$C$4:$AI$4407,'Tracking Sheet'!B2577,'Production '!$U$4:$U$4407)</f>
        <v>-10620.435600016917</v>
      </c>
      <c r="G2577" s="76" t="e">
        <f ca="1">SUMIF('Production '!$C$4:$AI$4407,'Tracking Sheet'!B2577,'Production '!$W$4:$W$4407)</f>
        <v>#DIV/0!</v>
      </c>
      <c r="H2577" s="76">
        <f ca="1">SUMIF('Production '!$C$4:$AI$4407,'Tracking Sheet'!B2577,'Production '!$F$4:$F$4407)</f>
        <v>3230621.3283604058</v>
      </c>
      <c r="I2577" s="76">
        <f ca="1">SUMIF('Production '!$C$4:$AI$4407,'Tracking Sheet'!B2577,'Production '!$V$4:$V$4407)</f>
        <v>-489.86487791182844</v>
      </c>
      <c r="J2577" s="76">
        <f ca="1">SUMIF('Production '!$C$4:$AI$4407,'Tracking Sheet'!B2577,'Production '!$AG$4:$AG$4407)</f>
        <v>0</v>
      </c>
    </row>
    <row r="2578" spans="2:10" x14ac:dyDescent="0.3">
      <c r="B2578" s="277">
        <f>'Production '!C2581</f>
        <v>0</v>
      </c>
      <c r="C2578" s="76" t="e">
        <f ca="1">SUMIF('Production '!$C$4:$AI$4407,'Tracking Sheet'!B2578,'Production '!$M$4:$M$4407)</f>
        <v>#DIV/0!</v>
      </c>
      <c r="D2578" s="76" t="e">
        <f ca="1">SUMIF('Production '!$C$4:$AI$4407,'Tracking Sheet'!B2578,'Production '!$Q$4:$Q$4407)</f>
        <v>#DIV/0!</v>
      </c>
      <c r="E2578" s="76">
        <f ca="1">SUMIF('Production '!$C$4:$AI$4407,'Tracking Sheet'!B2578,'Production '!$S$4:$S$4407)</f>
        <v>-1268218.9828305368</v>
      </c>
      <c r="F2578" s="76">
        <f ca="1">SUMIF('Production '!$C$4:$AI$4407,'Tracking Sheet'!B2578,'Production '!$U$4:$U$4407)</f>
        <v>-10620.435600016917</v>
      </c>
      <c r="G2578" s="76" t="e">
        <f ca="1">SUMIF('Production '!$C$4:$AI$4407,'Tracking Sheet'!B2578,'Production '!$W$4:$W$4407)</f>
        <v>#DIV/0!</v>
      </c>
      <c r="H2578" s="76">
        <f ca="1">SUMIF('Production '!$C$4:$AI$4407,'Tracking Sheet'!B2578,'Production '!$F$4:$F$4407)</f>
        <v>3230621.3283604058</v>
      </c>
      <c r="I2578" s="76">
        <f ca="1">SUMIF('Production '!$C$4:$AI$4407,'Tracking Sheet'!B2578,'Production '!$V$4:$V$4407)</f>
        <v>-489.86487791182844</v>
      </c>
      <c r="J2578" s="76">
        <f ca="1">SUMIF('Production '!$C$4:$AI$4407,'Tracking Sheet'!B2578,'Production '!$AG$4:$AG$4407)</f>
        <v>0</v>
      </c>
    </row>
    <row r="2579" spans="2:10" x14ac:dyDescent="0.3">
      <c r="B2579" s="277">
        <f>'Production '!C2582</f>
        <v>0</v>
      </c>
      <c r="C2579" s="76" t="e">
        <f ca="1">SUMIF('Production '!$C$4:$AI$4407,'Tracking Sheet'!B2579,'Production '!$M$4:$M$4407)</f>
        <v>#DIV/0!</v>
      </c>
      <c r="D2579" s="76" t="e">
        <f ca="1">SUMIF('Production '!$C$4:$AI$4407,'Tracking Sheet'!B2579,'Production '!$Q$4:$Q$4407)</f>
        <v>#DIV/0!</v>
      </c>
      <c r="E2579" s="76">
        <f ca="1">SUMIF('Production '!$C$4:$AI$4407,'Tracking Sheet'!B2579,'Production '!$S$4:$S$4407)</f>
        <v>-1268218.9828305368</v>
      </c>
      <c r="F2579" s="76">
        <f ca="1">SUMIF('Production '!$C$4:$AI$4407,'Tracking Sheet'!B2579,'Production '!$U$4:$U$4407)</f>
        <v>-10620.435600016917</v>
      </c>
      <c r="G2579" s="76" t="e">
        <f ca="1">SUMIF('Production '!$C$4:$AI$4407,'Tracking Sheet'!B2579,'Production '!$W$4:$W$4407)</f>
        <v>#DIV/0!</v>
      </c>
      <c r="H2579" s="76">
        <f ca="1">SUMIF('Production '!$C$4:$AI$4407,'Tracking Sheet'!B2579,'Production '!$F$4:$F$4407)</f>
        <v>3230621.3283604058</v>
      </c>
      <c r="I2579" s="76">
        <f ca="1">SUMIF('Production '!$C$4:$AI$4407,'Tracking Sheet'!B2579,'Production '!$V$4:$V$4407)</f>
        <v>-489.86487791182844</v>
      </c>
      <c r="J2579" s="76">
        <f ca="1">SUMIF('Production '!$C$4:$AI$4407,'Tracking Sheet'!B2579,'Production '!$AG$4:$AG$4407)</f>
        <v>0</v>
      </c>
    </row>
    <row r="2580" spans="2:10" x14ac:dyDescent="0.3">
      <c r="B2580" s="277">
        <f>'Production '!C2583</f>
        <v>0</v>
      </c>
      <c r="C2580" s="76" t="e">
        <f ca="1">SUMIF('Production '!$C$4:$AI$4407,'Tracking Sheet'!B2580,'Production '!$M$4:$M$4407)</f>
        <v>#DIV/0!</v>
      </c>
      <c r="D2580" s="76" t="e">
        <f ca="1">SUMIF('Production '!$C$4:$AI$4407,'Tracking Sheet'!B2580,'Production '!$Q$4:$Q$4407)</f>
        <v>#DIV/0!</v>
      </c>
      <c r="E2580" s="76">
        <f ca="1">SUMIF('Production '!$C$4:$AI$4407,'Tracking Sheet'!B2580,'Production '!$S$4:$S$4407)</f>
        <v>-1268218.9828305368</v>
      </c>
      <c r="F2580" s="76">
        <f ca="1">SUMIF('Production '!$C$4:$AI$4407,'Tracking Sheet'!B2580,'Production '!$U$4:$U$4407)</f>
        <v>-10620.435600016917</v>
      </c>
      <c r="G2580" s="76" t="e">
        <f ca="1">SUMIF('Production '!$C$4:$AI$4407,'Tracking Sheet'!B2580,'Production '!$W$4:$W$4407)</f>
        <v>#DIV/0!</v>
      </c>
      <c r="H2580" s="76">
        <f ca="1">SUMIF('Production '!$C$4:$AI$4407,'Tracking Sheet'!B2580,'Production '!$F$4:$F$4407)</f>
        <v>3230621.3283604058</v>
      </c>
      <c r="I2580" s="76">
        <f ca="1">SUMIF('Production '!$C$4:$AI$4407,'Tracking Sheet'!B2580,'Production '!$V$4:$V$4407)</f>
        <v>-489.86487791182844</v>
      </c>
      <c r="J2580" s="76">
        <f ca="1">SUMIF('Production '!$C$4:$AI$4407,'Tracking Sheet'!B2580,'Production '!$AG$4:$AG$4407)</f>
        <v>0</v>
      </c>
    </row>
    <row r="2581" spans="2:10" x14ac:dyDescent="0.3">
      <c r="B2581" s="277">
        <f>'Production '!C2584</f>
        <v>0</v>
      </c>
      <c r="C2581" s="76" t="e">
        <f ca="1">SUMIF('Production '!$C$4:$AI$4407,'Tracking Sheet'!B2581,'Production '!$M$4:$M$4407)</f>
        <v>#DIV/0!</v>
      </c>
      <c r="D2581" s="76" t="e">
        <f ca="1">SUMIF('Production '!$C$4:$AI$4407,'Tracking Sheet'!B2581,'Production '!$Q$4:$Q$4407)</f>
        <v>#DIV/0!</v>
      </c>
      <c r="E2581" s="76">
        <f ca="1">SUMIF('Production '!$C$4:$AI$4407,'Tracking Sheet'!B2581,'Production '!$S$4:$S$4407)</f>
        <v>-1268218.9828305368</v>
      </c>
      <c r="F2581" s="76">
        <f ca="1">SUMIF('Production '!$C$4:$AI$4407,'Tracking Sheet'!B2581,'Production '!$U$4:$U$4407)</f>
        <v>-10620.435600016917</v>
      </c>
      <c r="G2581" s="76" t="e">
        <f ca="1">SUMIF('Production '!$C$4:$AI$4407,'Tracking Sheet'!B2581,'Production '!$W$4:$W$4407)</f>
        <v>#DIV/0!</v>
      </c>
      <c r="H2581" s="76">
        <f ca="1">SUMIF('Production '!$C$4:$AI$4407,'Tracking Sheet'!B2581,'Production '!$F$4:$F$4407)</f>
        <v>3230621.3283604058</v>
      </c>
      <c r="I2581" s="76">
        <f ca="1">SUMIF('Production '!$C$4:$AI$4407,'Tracking Sheet'!B2581,'Production '!$V$4:$V$4407)</f>
        <v>-489.86487791182844</v>
      </c>
      <c r="J2581" s="76">
        <f ca="1">SUMIF('Production '!$C$4:$AI$4407,'Tracking Sheet'!B2581,'Production '!$AG$4:$AG$4407)</f>
        <v>0</v>
      </c>
    </row>
    <row r="2582" spans="2:10" x14ac:dyDescent="0.3">
      <c r="B2582" s="277">
        <f>'Production '!C2585</f>
        <v>0</v>
      </c>
      <c r="C2582" s="76" t="e">
        <f ca="1">SUMIF('Production '!$C$4:$AI$4407,'Tracking Sheet'!B2582,'Production '!$M$4:$M$4407)</f>
        <v>#DIV/0!</v>
      </c>
      <c r="D2582" s="76" t="e">
        <f ca="1">SUMIF('Production '!$C$4:$AI$4407,'Tracking Sheet'!B2582,'Production '!$Q$4:$Q$4407)</f>
        <v>#DIV/0!</v>
      </c>
      <c r="E2582" s="76">
        <f ca="1">SUMIF('Production '!$C$4:$AI$4407,'Tracking Sheet'!B2582,'Production '!$S$4:$S$4407)</f>
        <v>-1268218.9828305368</v>
      </c>
      <c r="F2582" s="76">
        <f ca="1">SUMIF('Production '!$C$4:$AI$4407,'Tracking Sheet'!B2582,'Production '!$U$4:$U$4407)</f>
        <v>-10620.435600016917</v>
      </c>
      <c r="G2582" s="76" t="e">
        <f ca="1">SUMIF('Production '!$C$4:$AI$4407,'Tracking Sheet'!B2582,'Production '!$W$4:$W$4407)</f>
        <v>#DIV/0!</v>
      </c>
      <c r="H2582" s="76">
        <f ca="1">SUMIF('Production '!$C$4:$AI$4407,'Tracking Sheet'!B2582,'Production '!$F$4:$F$4407)</f>
        <v>3230621.3283604058</v>
      </c>
      <c r="I2582" s="76">
        <f ca="1">SUMIF('Production '!$C$4:$AI$4407,'Tracking Sheet'!B2582,'Production '!$V$4:$V$4407)</f>
        <v>-489.86487791182844</v>
      </c>
      <c r="J2582" s="76">
        <f ca="1">SUMIF('Production '!$C$4:$AI$4407,'Tracking Sheet'!B2582,'Production '!$AG$4:$AG$4407)</f>
        <v>0</v>
      </c>
    </row>
    <row r="2583" spans="2:10" x14ac:dyDescent="0.3">
      <c r="B2583" s="277">
        <f>'Production '!C2586</f>
        <v>0</v>
      </c>
      <c r="C2583" s="76" t="e">
        <f ca="1">SUMIF('Production '!$C$4:$AI$4407,'Tracking Sheet'!B2583,'Production '!$M$4:$M$4407)</f>
        <v>#DIV/0!</v>
      </c>
      <c r="D2583" s="76" t="e">
        <f ca="1">SUMIF('Production '!$C$4:$AI$4407,'Tracking Sheet'!B2583,'Production '!$Q$4:$Q$4407)</f>
        <v>#DIV/0!</v>
      </c>
      <c r="E2583" s="76">
        <f ca="1">SUMIF('Production '!$C$4:$AI$4407,'Tracking Sheet'!B2583,'Production '!$S$4:$S$4407)</f>
        <v>-1268218.9828305368</v>
      </c>
      <c r="F2583" s="76">
        <f ca="1">SUMIF('Production '!$C$4:$AI$4407,'Tracking Sheet'!B2583,'Production '!$U$4:$U$4407)</f>
        <v>-10620.435600016917</v>
      </c>
      <c r="G2583" s="76" t="e">
        <f ca="1">SUMIF('Production '!$C$4:$AI$4407,'Tracking Sheet'!B2583,'Production '!$W$4:$W$4407)</f>
        <v>#DIV/0!</v>
      </c>
      <c r="H2583" s="76">
        <f ca="1">SUMIF('Production '!$C$4:$AI$4407,'Tracking Sheet'!B2583,'Production '!$F$4:$F$4407)</f>
        <v>3230621.3283604058</v>
      </c>
      <c r="I2583" s="76">
        <f ca="1">SUMIF('Production '!$C$4:$AI$4407,'Tracking Sheet'!B2583,'Production '!$V$4:$V$4407)</f>
        <v>-489.86487791182844</v>
      </c>
      <c r="J2583" s="76">
        <f ca="1">SUMIF('Production '!$C$4:$AI$4407,'Tracking Sheet'!B2583,'Production '!$AG$4:$AG$4407)</f>
        <v>0</v>
      </c>
    </row>
    <row r="2584" spans="2:10" x14ac:dyDescent="0.3">
      <c r="B2584" s="277">
        <f>'Production '!C2587</f>
        <v>0</v>
      </c>
      <c r="C2584" s="76" t="e">
        <f ca="1">SUMIF('Production '!$C$4:$AI$4407,'Tracking Sheet'!B2584,'Production '!$M$4:$M$4407)</f>
        <v>#DIV/0!</v>
      </c>
      <c r="D2584" s="76" t="e">
        <f ca="1">SUMIF('Production '!$C$4:$AI$4407,'Tracking Sheet'!B2584,'Production '!$Q$4:$Q$4407)</f>
        <v>#DIV/0!</v>
      </c>
      <c r="E2584" s="76">
        <f ca="1">SUMIF('Production '!$C$4:$AI$4407,'Tracking Sheet'!B2584,'Production '!$S$4:$S$4407)</f>
        <v>-1268218.9828305368</v>
      </c>
      <c r="F2584" s="76">
        <f ca="1">SUMIF('Production '!$C$4:$AI$4407,'Tracking Sheet'!B2584,'Production '!$U$4:$U$4407)</f>
        <v>-10620.435600016917</v>
      </c>
      <c r="G2584" s="76" t="e">
        <f ca="1">SUMIF('Production '!$C$4:$AI$4407,'Tracking Sheet'!B2584,'Production '!$W$4:$W$4407)</f>
        <v>#DIV/0!</v>
      </c>
      <c r="H2584" s="76">
        <f ca="1">SUMIF('Production '!$C$4:$AI$4407,'Tracking Sheet'!B2584,'Production '!$F$4:$F$4407)</f>
        <v>3230621.3283604058</v>
      </c>
      <c r="I2584" s="76">
        <f ca="1">SUMIF('Production '!$C$4:$AI$4407,'Tracking Sheet'!B2584,'Production '!$V$4:$V$4407)</f>
        <v>-489.86487791182844</v>
      </c>
      <c r="J2584" s="76">
        <f ca="1">SUMIF('Production '!$C$4:$AI$4407,'Tracking Sheet'!B2584,'Production '!$AG$4:$AG$4407)</f>
        <v>0</v>
      </c>
    </row>
    <row r="2585" spans="2:10" x14ac:dyDescent="0.3">
      <c r="B2585" s="277">
        <f>'Production '!C2588</f>
        <v>0</v>
      </c>
      <c r="C2585" s="76" t="e">
        <f ca="1">SUMIF('Production '!$C$4:$AI$4407,'Tracking Sheet'!B2585,'Production '!$M$4:$M$4407)</f>
        <v>#DIV/0!</v>
      </c>
      <c r="D2585" s="76" t="e">
        <f ca="1">SUMIF('Production '!$C$4:$AI$4407,'Tracking Sheet'!B2585,'Production '!$Q$4:$Q$4407)</f>
        <v>#DIV/0!</v>
      </c>
      <c r="E2585" s="76">
        <f ca="1">SUMIF('Production '!$C$4:$AI$4407,'Tracking Sheet'!B2585,'Production '!$S$4:$S$4407)</f>
        <v>-1268218.9828305368</v>
      </c>
      <c r="F2585" s="76">
        <f ca="1">SUMIF('Production '!$C$4:$AI$4407,'Tracking Sheet'!B2585,'Production '!$U$4:$U$4407)</f>
        <v>-10620.435600016917</v>
      </c>
      <c r="G2585" s="76" t="e">
        <f ca="1">SUMIF('Production '!$C$4:$AI$4407,'Tracking Sheet'!B2585,'Production '!$W$4:$W$4407)</f>
        <v>#DIV/0!</v>
      </c>
      <c r="H2585" s="76">
        <f ca="1">SUMIF('Production '!$C$4:$AI$4407,'Tracking Sheet'!B2585,'Production '!$F$4:$F$4407)</f>
        <v>3230621.3283604058</v>
      </c>
      <c r="I2585" s="76">
        <f ca="1">SUMIF('Production '!$C$4:$AI$4407,'Tracking Sheet'!B2585,'Production '!$V$4:$V$4407)</f>
        <v>-489.86487791182844</v>
      </c>
      <c r="J2585" s="76">
        <f ca="1">SUMIF('Production '!$C$4:$AI$4407,'Tracking Sheet'!B2585,'Production '!$AG$4:$AG$4407)</f>
        <v>0</v>
      </c>
    </row>
    <row r="2586" spans="2:10" x14ac:dyDescent="0.3">
      <c r="B2586" s="277">
        <f>'Production '!C2589</f>
        <v>0</v>
      </c>
      <c r="C2586" s="76" t="e">
        <f ca="1">SUMIF('Production '!$C$4:$AI$4407,'Tracking Sheet'!B2586,'Production '!$M$4:$M$4407)</f>
        <v>#DIV/0!</v>
      </c>
      <c r="D2586" s="76" t="e">
        <f ca="1">SUMIF('Production '!$C$4:$AI$4407,'Tracking Sheet'!B2586,'Production '!$Q$4:$Q$4407)</f>
        <v>#DIV/0!</v>
      </c>
      <c r="E2586" s="76">
        <f ca="1">SUMIF('Production '!$C$4:$AI$4407,'Tracking Sheet'!B2586,'Production '!$S$4:$S$4407)</f>
        <v>-1268218.9828305368</v>
      </c>
      <c r="F2586" s="76">
        <f ca="1">SUMIF('Production '!$C$4:$AI$4407,'Tracking Sheet'!B2586,'Production '!$U$4:$U$4407)</f>
        <v>-10620.435600016917</v>
      </c>
      <c r="G2586" s="76" t="e">
        <f ca="1">SUMIF('Production '!$C$4:$AI$4407,'Tracking Sheet'!B2586,'Production '!$W$4:$W$4407)</f>
        <v>#DIV/0!</v>
      </c>
      <c r="H2586" s="76">
        <f ca="1">SUMIF('Production '!$C$4:$AI$4407,'Tracking Sheet'!B2586,'Production '!$F$4:$F$4407)</f>
        <v>3230621.3283604058</v>
      </c>
      <c r="I2586" s="76">
        <f ca="1">SUMIF('Production '!$C$4:$AI$4407,'Tracking Sheet'!B2586,'Production '!$V$4:$V$4407)</f>
        <v>-489.86487791182844</v>
      </c>
      <c r="J2586" s="76">
        <f ca="1">SUMIF('Production '!$C$4:$AI$4407,'Tracking Sheet'!B2586,'Production '!$AG$4:$AG$4407)</f>
        <v>0</v>
      </c>
    </row>
    <row r="2587" spans="2:10" x14ac:dyDescent="0.3">
      <c r="B2587" s="277">
        <f>'Production '!C2590</f>
        <v>0</v>
      </c>
      <c r="C2587" s="76" t="e">
        <f ca="1">SUMIF('Production '!$C$4:$AI$4407,'Tracking Sheet'!B2587,'Production '!$M$4:$M$4407)</f>
        <v>#DIV/0!</v>
      </c>
      <c r="D2587" s="76" t="e">
        <f ca="1">SUMIF('Production '!$C$4:$AI$4407,'Tracking Sheet'!B2587,'Production '!$Q$4:$Q$4407)</f>
        <v>#DIV/0!</v>
      </c>
      <c r="E2587" s="76">
        <f ca="1">SUMIF('Production '!$C$4:$AI$4407,'Tracking Sheet'!B2587,'Production '!$S$4:$S$4407)</f>
        <v>-1268218.9828305368</v>
      </c>
      <c r="F2587" s="76">
        <f ca="1">SUMIF('Production '!$C$4:$AI$4407,'Tracking Sheet'!B2587,'Production '!$U$4:$U$4407)</f>
        <v>-10620.435600016917</v>
      </c>
      <c r="G2587" s="76" t="e">
        <f ca="1">SUMIF('Production '!$C$4:$AI$4407,'Tracking Sheet'!B2587,'Production '!$W$4:$W$4407)</f>
        <v>#DIV/0!</v>
      </c>
      <c r="H2587" s="76">
        <f ca="1">SUMIF('Production '!$C$4:$AI$4407,'Tracking Sheet'!B2587,'Production '!$F$4:$F$4407)</f>
        <v>3230621.3283604058</v>
      </c>
      <c r="I2587" s="76">
        <f ca="1">SUMIF('Production '!$C$4:$AI$4407,'Tracking Sheet'!B2587,'Production '!$V$4:$V$4407)</f>
        <v>-489.86487791182844</v>
      </c>
      <c r="J2587" s="76">
        <f ca="1">SUMIF('Production '!$C$4:$AI$4407,'Tracking Sheet'!B2587,'Production '!$AG$4:$AG$4407)</f>
        <v>0</v>
      </c>
    </row>
    <row r="2588" spans="2:10" x14ac:dyDescent="0.3">
      <c r="B2588" s="277">
        <f>'Production '!C2591</f>
        <v>0</v>
      </c>
      <c r="C2588" s="76" t="e">
        <f ca="1">SUMIF('Production '!$C$4:$AI$4407,'Tracking Sheet'!B2588,'Production '!$M$4:$M$4407)</f>
        <v>#DIV/0!</v>
      </c>
      <c r="D2588" s="76" t="e">
        <f ca="1">SUMIF('Production '!$C$4:$AI$4407,'Tracking Sheet'!B2588,'Production '!$Q$4:$Q$4407)</f>
        <v>#DIV/0!</v>
      </c>
      <c r="E2588" s="76">
        <f ca="1">SUMIF('Production '!$C$4:$AI$4407,'Tracking Sheet'!B2588,'Production '!$S$4:$S$4407)</f>
        <v>-1268218.9828305368</v>
      </c>
      <c r="F2588" s="76">
        <f ca="1">SUMIF('Production '!$C$4:$AI$4407,'Tracking Sheet'!B2588,'Production '!$U$4:$U$4407)</f>
        <v>-10620.435600016917</v>
      </c>
      <c r="G2588" s="76" t="e">
        <f ca="1">SUMIF('Production '!$C$4:$AI$4407,'Tracking Sheet'!B2588,'Production '!$W$4:$W$4407)</f>
        <v>#DIV/0!</v>
      </c>
      <c r="H2588" s="76">
        <f ca="1">SUMIF('Production '!$C$4:$AI$4407,'Tracking Sheet'!B2588,'Production '!$F$4:$F$4407)</f>
        <v>3230621.3283604058</v>
      </c>
      <c r="I2588" s="76">
        <f ca="1">SUMIF('Production '!$C$4:$AI$4407,'Tracking Sheet'!B2588,'Production '!$V$4:$V$4407)</f>
        <v>-489.86487791182844</v>
      </c>
      <c r="J2588" s="76">
        <f ca="1">SUMIF('Production '!$C$4:$AI$4407,'Tracking Sheet'!B2588,'Production '!$AG$4:$AG$4407)</f>
        <v>0</v>
      </c>
    </row>
    <row r="2589" spans="2:10" x14ac:dyDescent="0.3">
      <c r="B2589" s="277">
        <f>'Production '!C2592</f>
        <v>0</v>
      </c>
      <c r="C2589" s="76" t="e">
        <f ca="1">SUMIF('Production '!$C$4:$AI$4407,'Tracking Sheet'!B2589,'Production '!$M$4:$M$4407)</f>
        <v>#DIV/0!</v>
      </c>
      <c r="D2589" s="76" t="e">
        <f ca="1">SUMIF('Production '!$C$4:$AI$4407,'Tracking Sheet'!B2589,'Production '!$Q$4:$Q$4407)</f>
        <v>#DIV/0!</v>
      </c>
      <c r="E2589" s="76">
        <f ca="1">SUMIF('Production '!$C$4:$AI$4407,'Tracking Sheet'!B2589,'Production '!$S$4:$S$4407)</f>
        <v>-1268218.9828305368</v>
      </c>
      <c r="F2589" s="76">
        <f ca="1">SUMIF('Production '!$C$4:$AI$4407,'Tracking Sheet'!B2589,'Production '!$U$4:$U$4407)</f>
        <v>-10620.435600016917</v>
      </c>
      <c r="G2589" s="76" t="e">
        <f ca="1">SUMIF('Production '!$C$4:$AI$4407,'Tracking Sheet'!B2589,'Production '!$W$4:$W$4407)</f>
        <v>#DIV/0!</v>
      </c>
      <c r="H2589" s="76">
        <f ca="1">SUMIF('Production '!$C$4:$AI$4407,'Tracking Sheet'!B2589,'Production '!$F$4:$F$4407)</f>
        <v>3230621.3283604058</v>
      </c>
      <c r="I2589" s="76">
        <f ca="1">SUMIF('Production '!$C$4:$AI$4407,'Tracking Sheet'!B2589,'Production '!$V$4:$V$4407)</f>
        <v>-489.86487791182844</v>
      </c>
      <c r="J2589" s="76">
        <f ca="1">SUMIF('Production '!$C$4:$AI$4407,'Tracking Sheet'!B2589,'Production '!$AG$4:$AG$4407)</f>
        <v>0</v>
      </c>
    </row>
    <row r="2590" spans="2:10" x14ac:dyDescent="0.3">
      <c r="B2590" s="277">
        <f>'Production '!C2593</f>
        <v>0</v>
      </c>
      <c r="C2590" s="76" t="e">
        <f ca="1">SUMIF('Production '!$C$4:$AI$4407,'Tracking Sheet'!B2590,'Production '!$M$4:$M$4407)</f>
        <v>#DIV/0!</v>
      </c>
      <c r="D2590" s="76" t="e">
        <f ca="1">SUMIF('Production '!$C$4:$AI$4407,'Tracking Sheet'!B2590,'Production '!$Q$4:$Q$4407)</f>
        <v>#DIV/0!</v>
      </c>
      <c r="E2590" s="76">
        <f ca="1">SUMIF('Production '!$C$4:$AI$4407,'Tracking Sheet'!B2590,'Production '!$S$4:$S$4407)</f>
        <v>-1268218.9828305368</v>
      </c>
      <c r="F2590" s="76">
        <f ca="1">SUMIF('Production '!$C$4:$AI$4407,'Tracking Sheet'!B2590,'Production '!$U$4:$U$4407)</f>
        <v>-10620.435600016917</v>
      </c>
      <c r="G2590" s="76" t="e">
        <f ca="1">SUMIF('Production '!$C$4:$AI$4407,'Tracking Sheet'!B2590,'Production '!$W$4:$W$4407)</f>
        <v>#DIV/0!</v>
      </c>
      <c r="H2590" s="76">
        <f ca="1">SUMIF('Production '!$C$4:$AI$4407,'Tracking Sheet'!B2590,'Production '!$F$4:$F$4407)</f>
        <v>3230621.3283604058</v>
      </c>
      <c r="I2590" s="76">
        <f ca="1">SUMIF('Production '!$C$4:$AI$4407,'Tracking Sheet'!B2590,'Production '!$V$4:$V$4407)</f>
        <v>-489.86487791182844</v>
      </c>
      <c r="J2590" s="76">
        <f ca="1">SUMIF('Production '!$C$4:$AI$4407,'Tracking Sheet'!B2590,'Production '!$AG$4:$AG$4407)</f>
        <v>0</v>
      </c>
    </row>
    <row r="2591" spans="2:10" x14ac:dyDescent="0.3">
      <c r="B2591" s="277">
        <f>'Production '!C2594</f>
        <v>0</v>
      </c>
      <c r="C2591" s="76" t="e">
        <f ca="1">SUMIF('Production '!$C$4:$AI$4407,'Tracking Sheet'!B2591,'Production '!$M$4:$M$4407)</f>
        <v>#DIV/0!</v>
      </c>
      <c r="D2591" s="76" t="e">
        <f ca="1">SUMIF('Production '!$C$4:$AI$4407,'Tracking Sheet'!B2591,'Production '!$Q$4:$Q$4407)</f>
        <v>#DIV/0!</v>
      </c>
      <c r="E2591" s="76">
        <f ca="1">SUMIF('Production '!$C$4:$AI$4407,'Tracking Sheet'!B2591,'Production '!$S$4:$S$4407)</f>
        <v>-1268218.9828305368</v>
      </c>
      <c r="F2591" s="76">
        <f ca="1">SUMIF('Production '!$C$4:$AI$4407,'Tracking Sheet'!B2591,'Production '!$U$4:$U$4407)</f>
        <v>-10620.435600016917</v>
      </c>
      <c r="G2591" s="76" t="e">
        <f ca="1">SUMIF('Production '!$C$4:$AI$4407,'Tracking Sheet'!B2591,'Production '!$W$4:$W$4407)</f>
        <v>#DIV/0!</v>
      </c>
      <c r="H2591" s="76">
        <f ca="1">SUMIF('Production '!$C$4:$AI$4407,'Tracking Sheet'!B2591,'Production '!$F$4:$F$4407)</f>
        <v>3230621.3283604058</v>
      </c>
      <c r="I2591" s="76">
        <f ca="1">SUMIF('Production '!$C$4:$AI$4407,'Tracking Sheet'!B2591,'Production '!$V$4:$V$4407)</f>
        <v>-489.86487791182844</v>
      </c>
      <c r="J2591" s="76">
        <f ca="1">SUMIF('Production '!$C$4:$AI$4407,'Tracking Sheet'!B2591,'Production '!$AG$4:$AG$4407)</f>
        <v>0</v>
      </c>
    </row>
    <row r="2592" spans="2:10" x14ac:dyDescent="0.3">
      <c r="B2592" s="277">
        <f>'Production '!C2595</f>
        <v>0</v>
      </c>
      <c r="C2592" s="76" t="e">
        <f ca="1">SUMIF('Production '!$C$4:$AI$4407,'Tracking Sheet'!B2592,'Production '!$M$4:$M$4407)</f>
        <v>#DIV/0!</v>
      </c>
      <c r="D2592" s="76" t="e">
        <f ca="1">SUMIF('Production '!$C$4:$AI$4407,'Tracking Sheet'!B2592,'Production '!$Q$4:$Q$4407)</f>
        <v>#DIV/0!</v>
      </c>
      <c r="E2592" s="76">
        <f ca="1">SUMIF('Production '!$C$4:$AI$4407,'Tracking Sheet'!B2592,'Production '!$S$4:$S$4407)</f>
        <v>-1268218.9828305368</v>
      </c>
      <c r="F2592" s="76">
        <f ca="1">SUMIF('Production '!$C$4:$AI$4407,'Tracking Sheet'!B2592,'Production '!$U$4:$U$4407)</f>
        <v>-10620.435600016917</v>
      </c>
      <c r="G2592" s="76" t="e">
        <f ca="1">SUMIF('Production '!$C$4:$AI$4407,'Tracking Sheet'!B2592,'Production '!$W$4:$W$4407)</f>
        <v>#DIV/0!</v>
      </c>
      <c r="H2592" s="76">
        <f ca="1">SUMIF('Production '!$C$4:$AI$4407,'Tracking Sheet'!B2592,'Production '!$F$4:$F$4407)</f>
        <v>3230621.3283604058</v>
      </c>
      <c r="I2592" s="76">
        <f ca="1">SUMIF('Production '!$C$4:$AI$4407,'Tracking Sheet'!B2592,'Production '!$V$4:$V$4407)</f>
        <v>-489.86487791182844</v>
      </c>
      <c r="J2592" s="76">
        <f ca="1">SUMIF('Production '!$C$4:$AI$4407,'Tracking Sheet'!B2592,'Production '!$AG$4:$AG$4407)</f>
        <v>0</v>
      </c>
    </row>
    <row r="2593" spans="2:10" x14ac:dyDescent="0.3">
      <c r="B2593" s="277">
        <f>'Production '!C2596</f>
        <v>0</v>
      </c>
      <c r="C2593" s="76" t="e">
        <f ca="1">SUMIF('Production '!$C$4:$AI$4407,'Tracking Sheet'!B2593,'Production '!$M$4:$M$4407)</f>
        <v>#DIV/0!</v>
      </c>
      <c r="D2593" s="76" t="e">
        <f ca="1">SUMIF('Production '!$C$4:$AI$4407,'Tracking Sheet'!B2593,'Production '!$Q$4:$Q$4407)</f>
        <v>#DIV/0!</v>
      </c>
      <c r="E2593" s="76">
        <f ca="1">SUMIF('Production '!$C$4:$AI$4407,'Tracking Sheet'!B2593,'Production '!$S$4:$S$4407)</f>
        <v>-1268218.9828305368</v>
      </c>
      <c r="F2593" s="76">
        <f ca="1">SUMIF('Production '!$C$4:$AI$4407,'Tracking Sheet'!B2593,'Production '!$U$4:$U$4407)</f>
        <v>-10620.435600016917</v>
      </c>
      <c r="G2593" s="76" t="e">
        <f ca="1">SUMIF('Production '!$C$4:$AI$4407,'Tracking Sheet'!B2593,'Production '!$W$4:$W$4407)</f>
        <v>#DIV/0!</v>
      </c>
      <c r="H2593" s="76">
        <f ca="1">SUMIF('Production '!$C$4:$AI$4407,'Tracking Sheet'!B2593,'Production '!$F$4:$F$4407)</f>
        <v>3230621.3283604058</v>
      </c>
      <c r="I2593" s="76">
        <f ca="1">SUMIF('Production '!$C$4:$AI$4407,'Tracking Sheet'!B2593,'Production '!$V$4:$V$4407)</f>
        <v>-489.86487791182844</v>
      </c>
      <c r="J2593" s="76">
        <f ca="1">SUMIF('Production '!$C$4:$AI$4407,'Tracking Sheet'!B2593,'Production '!$AG$4:$AG$4407)</f>
        <v>0</v>
      </c>
    </row>
    <row r="2594" spans="2:10" x14ac:dyDescent="0.3">
      <c r="B2594" s="277">
        <f>'Production '!C2597</f>
        <v>0</v>
      </c>
      <c r="C2594" s="76" t="e">
        <f ca="1">SUMIF('Production '!$C$4:$AI$4407,'Tracking Sheet'!B2594,'Production '!$M$4:$M$4407)</f>
        <v>#DIV/0!</v>
      </c>
      <c r="D2594" s="76" t="e">
        <f ca="1">SUMIF('Production '!$C$4:$AI$4407,'Tracking Sheet'!B2594,'Production '!$Q$4:$Q$4407)</f>
        <v>#DIV/0!</v>
      </c>
      <c r="E2594" s="76">
        <f ca="1">SUMIF('Production '!$C$4:$AI$4407,'Tracking Sheet'!B2594,'Production '!$S$4:$S$4407)</f>
        <v>-1268218.9828305368</v>
      </c>
      <c r="F2594" s="76">
        <f ca="1">SUMIF('Production '!$C$4:$AI$4407,'Tracking Sheet'!B2594,'Production '!$U$4:$U$4407)</f>
        <v>-10620.435600016917</v>
      </c>
      <c r="G2594" s="76" t="e">
        <f ca="1">SUMIF('Production '!$C$4:$AI$4407,'Tracking Sheet'!B2594,'Production '!$W$4:$W$4407)</f>
        <v>#DIV/0!</v>
      </c>
      <c r="H2594" s="76">
        <f ca="1">SUMIF('Production '!$C$4:$AI$4407,'Tracking Sheet'!B2594,'Production '!$F$4:$F$4407)</f>
        <v>3230621.3283604058</v>
      </c>
      <c r="I2594" s="76">
        <f ca="1">SUMIF('Production '!$C$4:$AI$4407,'Tracking Sheet'!B2594,'Production '!$V$4:$V$4407)</f>
        <v>-489.86487791182844</v>
      </c>
      <c r="J2594" s="76">
        <f ca="1">SUMIF('Production '!$C$4:$AI$4407,'Tracking Sheet'!B2594,'Production '!$AG$4:$AG$4407)</f>
        <v>0</v>
      </c>
    </row>
    <row r="2595" spans="2:10" x14ac:dyDescent="0.3">
      <c r="B2595" s="277">
        <f>'Production '!C2598</f>
        <v>0</v>
      </c>
      <c r="C2595" s="76" t="e">
        <f ca="1">SUMIF('Production '!$C$4:$AI$4407,'Tracking Sheet'!B2595,'Production '!$M$4:$M$4407)</f>
        <v>#DIV/0!</v>
      </c>
      <c r="D2595" s="76" t="e">
        <f ca="1">SUMIF('Production '!$C$4:$AI$4407,'Tracking Sheet'!B2595,'Production '!$Q$4:$Q$4407)</f>
        <v>#DIV/0!</v>
      </c>
      <c r="E2595" s="76">
        <f ca="1">SUMIF('Production '!$C$4:$AI$4407,'Tracking Sheet'!B2595,'Production '!$S$4:$S$4407)</f>
        <v>-1268218.9828305368</v>
      </c>
      <c r="F2595" s="76">
        <f ca="1">SUMIF('Production '!$C$4:$AI$4407,'Tracking Sheet'!B2595,'Production '!$U$4:$U$4407)</f>
        <v>-10620.435600016917</v>
      </c>
      <c r="G2595" s="76" t="e">
        <f ca="1">SUMIF('Production '!$C$4:$AI$4407,'Tracking Sheet'!B2595,'Production '!$W$4:$W$4407)</f>
        <v>#DIV/0!</v>
      </c>
      <c r="H2595" s="76">
        <f ca="1">SUMIF('Production '!$C$4:$AI$4407,'Tracking Sheet'!B2595,'Production '!$F$4:$F$4407)</f>
        <v>3230621.3283604058</v>
      </c>
      <c r="I2595" s="76">
        <f ca="1">SUMIF('Production '!$C$4:$AI$4407,'Tracking Sheet'!B2595,'Production '!$V$4:$V$4407)</f>
        <v>-489.86487791182844</v>
      </c>
      <c r="J2595" s="76">
        <f ca="1">SUMIF('Production '!$C$4:$AI$4407,'Tracking Sheet'!B2595,'Production '!$AG$4:$AG$4407)</f>
        <v>0</v>
      </c>
    </row>
    <row r="2596" spans="2:10" x14ac:dyDescent="0.3">
      <c r="B2596" s="277">
        <f>'Production '!C2599</f>
        <v>0</v>
      </c>
      <c r="C2596" s="76" t="e">
        <f ca="1">SUMIF('Production '!$C$4:$AI$4407,'Tracking Sheet'!B2596,'Production '!$M$4:$M$4407)</f>
        <v>#DIV/0!</v>
      </c>
      <c r="D2596" s="76" t="e">
        <f ca="1">SUMIF('Production '!$C$4:$AI$4407,'Tracking Sheet'!B2596,'Production '!$Q$4:$Q$4407)</f>
        <v>#DIV/0!</v>
      </c>
      <c r="E2596" s="76">
        <f ca="1">SUMIF('Production '!$C$4:$AI$4407,'Tracking Sheet'!B2596,'Production '!$S$4:$S$4407)</f>
        <v>-1268218.9828305368</v>
      </c>
      <c r="F2596" s="76">
        <f ca="1">SUMIF('Production '!$C$4:$AI$4407,'Tracking Sheet'!B2596,'Production '!$U$4:$U$4407)</f>
        <v>-10620.435600016917</v>
      </c>
      <c r="G2596" s="76" t="e">
        <f ca="1">SUMIF('Production '!$C$4:$AI$4407,'Tracking Sheet'!B2596,'Production '!$W$4:$W$4407)</f>
        <v>#DIV/0!</v>
      </c>
      <c r="H2596" s="76">
        <f ca="1">SUMIF('Production '!$C$4:$AI$4407,'Tracking Sheet'!B2596,'Production '!$F$4:$F$4407)</f>
        <v>3230621.3283604058</v>
      </c>
      <c r="I2596" s="76">
        <f ca="1">SUMIF('Production '!$C$4:$AI$4407,'Tracking Sheet'!B2596,'Production '!$V$4:$V$4407)</f>
        <v>-489.86487791182844</v>
      </c>
      <c r="J2596" s="76">
        <f ca="1">SUMIF('Production '!$C$4:$AI$4407,'Tracking Sheet'!B2596,'Production '!$AG$4:$AG$4407)</f>
        <v>0</v>
      </c>
    </row>
    <row r="2597" spans="2:10" x14ac:dyDescent="0.3">
      <c r="B2597" s="277">
        <f>'Production '!C2600</f>
        <v>0</v>
      </c>
      <c r="C2597" s="76" t="e">
        <f ca="1">SUMIF('Production '!$C$4:$AI$4407,'Tracking Sheet'!B2597,'Production '!$M$4:$M$4407)</f>
        <v>#DIV/0!</v>
      </c>
      <c r="D2597" s="76" t="e">
        <f ca="1">SUMIF('Production '!$C$4:$AI$4407,'Tracking Sheet'!B2597,'Production '!$Q$4:$Q$4407)</f>
        <v>#DIV/0!</v>
      </c>
      <c r="E2597" s="76">
        <f ca="1">SUMIF('Production '!$C$4:$AI$4407,'Tracking Sheet'!B2597,'Production '!$S$4:$S$4407)</f>
        <v>-1268218.9828305368</v>
      </c>
      <c r="F2597" s="76">
        <f ca="1">SUMIF('Production '!$C$4:$AI$4407,'Tracking Sheet'!B2597,'Production '!$U$4:$U$4407)</f>
        <v>-10620.435600016917</v>
      </c>
      <c r="G2597" s="76" t="e">
        <f ca="1">SUMIF('Production '!$C$4:$AI$4407,'Tracking Sheet'!B2597,'Production '!$W$4:$W$4407)</f>
        <v>#DIV/0!</v>
      </c>
      <c r="H2597" s="76">
        <f ca="1">SUMIF('Production '!$C$4:$AI$4407,'Tracking Sheet'!B2597,'Production '!$F$4:$F$4407)</f>
        <v>3230621.3283604058</v>
      </c>
      <c r="I2597" s="76">
        <f ca="1">SUMIF('Production '!$C$4:$AI$4407,'Tracking Sheet'!B2597,'Production '!$V$4:$V$4407)</f>
        <v>-489.86487791182844</v>
      </c>
      <c r="J2597" s="76">
        <f ca="1">SUMIF('Production '!$C$4:$AI$4407,'Tracking Sheet'!B2597,'Production '!$AG$4:$AG$4407)</f>
        <v>0</v>
      </c>
    </row>
    <row r="2598" spans="2:10" x14ac:dyDescent="0.3">
      <c r="B2598" s="277">
        <f>'Production '!C2601</f>
        <v>0</v>
      </c>
      <c r="C2598" s="76" t="e">
        <f ca="1">SUMIF('Production '!$C$4:$AI$4407,'Tracking Sheet'!B2598,'Production '!$M$4:$M$4407)</f>
        <v>#DIV/0!</v>
      </c>
      <c r="D2598" s="76" t="e">
        <f ca="1">SUMIF('Production '!$C$4:$AI$4407,'Tracking Sheet'!B2598,'Production '!$Q$4:$Q$4407)</f>
        <v>#DIV/0!</v>
      </c>
      <c r="E2598" s="76">
        <f ca="1">SUMIF('Production '!$C$4:$AI$4407,'Tracking Sheet'!B2598,'Production '!$S$4:$S$4407)</f>
        <v>-1268218.9828305368</v>
      </c>
      <c r="F2598" s="76">
        <f ca="1">SUMIF('Production '!$C$4:$AI$4407,'Tracking Sheet'!B2598,'Production '!$U$4:$U$4407)</f>
        <v>-10620.435600016917</v>
      </c>
      <c r="G2598" s="76" t="e">
        <f ca="1">SUMIF('Production '!$C$4:$AI$4407,'Tracking Sheet'!B2598,'Production '!$W$4:$W$4407)</f>
        <v>#DIV/0!</v>
      </c>
      <c r="H2598" s="76">
        <f ca="1">SUMIF('Production '!$C$4:$AI$4407,'Tracking Sheet'!B2598,'Production '!$F$4:$F$4407)</f>
        <v>3230621.3283604058</v>
      </c>
      <c r="I2598" s="76">
        <f ca="1">SUMIF('Production '!$C$4:$AI$4407,'Tracking Sheet'!B2598,'Production '!$V$4:$V$4407)</f>
        <v>-489.86487791182844</v>
      </c>
      <c r="J2598" s="76">
        <f ca="1">SUMIF('Production '!$C$4:$AI$4407,'Tracking Sheet'!B2598,'Production '!$AG$4:$AG$4407)</f>
        <v>0</v>
      </c>
    </row>
    <row r="2599" spans="2:10" x14ac:dyDescent="0.3">
      <c r="B2599" s="277">
        <f>'Production '!C2602</f>
        <v>0</v>
      </c>
      <c r="C2599" s="76" t="e">
        <f ca="1">SUMIF('Production '!$C$4:$AI$4407,'Tracking Sheet'!B2599,'Production '!$M$4:$M$4407)</f>
        <v>#DIV/0!</v>
      </c>
      <c r="D2599" s="76" t="e">
        <f ca="1">SUMIF('Production '!$C$4:$AI$4407,'Tracking Sheet'!B2599,'Production '!$Q$4:$Q$4407)</f>
        <v>#DIV/0!</v>
      </c>
      <c r="E2599" s="76">
        <f ca="1">SUMIF('Production '!$C$4:$AI$4407,'Tracking Sheet'!B2599,'Production '!$S$4:$S$4407)</f>
        <v>-1268218.9828305368</v>
      </c>
      <c r="F2599" s="76">
        <f ca="1">SUMIF('Production '!$C$4:$AI$4407,'Tracking Sheet'!B2599,'Production '!$U$4:$U$4407)</f>
        <v>-10620.435600016917</v>
      </c>
      <c r="G2599" s="76" t="e">
        <f ca="1">SUMIF('Production '!$C$4:$AI$4407,'Tracking Sheet'!B2599,'Production '!$W$4:$W$4407)</f>
        <v>#DIV/0!</v>
      </c>
      <c r="H2599" s="76">
        <f ca="1">SUMIF('Production '!$C$4:$AI$4407,'Tracking Sheet'!B2599,'Production '!$F$4:$F$4407)</f>
        <v>3230621.3283604058</v>
      </c>
      <c r="I2599" s="76">
        <f ca="1">SUMIF('Production '!$C$4:$AI$4407,'Tracking Sheet'!B2599,'Production '!$V$4:$V$4407)</f>
        <v>-489.86487791182844</v>
      </c>
      <c r="J2599" s="76">
        <f ca="1">SUMIF('Production '!$C$4:$AI$4407,'Tracking Sheet'!B2599,'Production '!$AG$4:$AG$4407)</f>
        <v>0</v>
      </c>
    </row>
    <row r="2600" spans="2:10" x14ac:dyDescent="0.3">
      <c r="B2600" s="277">
        <f>'Production '!C2603</f>
        <v>0</v>
      </c>
      <c r="C2600" s="76" t="e">
        <f ca="1">SUMIF('Production '!$C$4:$AI$4407,'Tracking Sheet'!B2600,'Production '!$M$4:$M$4407)</f>
        <v>#DIV/0!</v>
      </c>
      <c r="D2600" s="76" t="e">
        <f ca="1">SUMIF('Production '!$C$4:$AI$4407,'Tracking Sheet'!B2600,'Production '!$Q$4:$Q$4407)</f>
        <v>#DIV/0!</v>
      </c>
      <c r="E2600" s="76">
        <f ca="1">SUMIF('Production '!$C$4:$AI$4407,'Tracking Sheet'!B2600,'Production '!$S$4:$S$4407)</f>
        <v>-1268218.9828305368</v>
      </c>
      <c r="F2600" s="76">
        <f ca="1">SUMIF('Production '!$C$4:$AI$4407,'Tracking Sheet'!B2600,'Production '!$U$4:$U$4407)</f>
        <v>-10620.435600016917</v>
      </c>
      <c r="G2600" s="76" t="e">
        <f ca="1">SUMIF('Production '!$C$4:$AI$4407,'Tracking Sheet'!B2600,'Production '!$W$4:$W$4407)</f>
        <v>#DIV/0!</v>
      </c>
      <c r="H2600" s="76">
        <f ca="1">SUMIF('Production '!$C$4:$AI$4407,'Tracking Sheet'!B2600,'Production '!$F$4:$F$4407)</f>
        <v>3230621.3283604058</v>
      </c>
      <c r="I2600" s="76">
        <f ca="1">SUMIF('Production '!$C$4:$AI$4407,'Tracking Sheet'!B2600,'Production '!$V$4:$V$4407)</f>
        <v>-489.86487791182844</v>
      </c>
      <c r="J2600" s="76">
        <f ca="1">SUMIF('Production '!$C$4:$AI$4407,'Tracking Sheet'!B2600,'Production '!$AG$4:$AG$4407)</f>
        <v>0</v>
      </c>
    </row>
    <row r="2601" spans="2:10" x14ac:dyDescent="0.3">
      <c r="B2601" s="277">
        <f>'Production '!C2604</f>
        <v>0</v>
      </c>
      <c r="C2601" s="76" t="e">
        <f ca="1">SUMIF('Production '!$C$4:$AI$4407,'Tracking Sheet'!B2601,'Production '!$M$4:$M$4407)</f>
        <v>#DIV/0!</v>
      </c>
      <c r="D2601" s="76" t="e">
        <f ca="1">SUMIF('Production '!$C$4:$AI$4407,'Tracking Sheet'!B2601,'Production '!$Q$4:$Q$4407)</f>
        <v>#DIV/0!</v>
      </c>
      <c r="E2601" s="76">
        <f ca="1">SUMIF('Production '!$C$4:$AI$4407,'Tracking Sheet'!B2601,'Production '!$S$4:$S$4407)</f>
        <v>-1268218.9828305368</v>
      </c>
      <c r="F2601" s="76">
        <f ca="1">SUMIF('Production '!$C$4:$AI$4407,'Tracking Sheet'!B2601,'Production '!$U$4:$U$4407)</f>
        <v>-10620.435600016917</v>
      </c>
      <c r="G2601" s="76" t="e">
        <f ca="1">SUMIF('Production '!$C$4:$AI$4407,'Tracking Sheet'!B2601,'Production '!$W$4:$W$4407)</f>
        <v>#DIV/0!</v>
      </c>
      <c r="H2601" s="76">
        <f ca="1">SUMIF('Production '!$C$4:$AI$4407,'Tracking Sheet'!B2601,'Production '!$F$4:$F$4407)</f>
        <v>3230621.3283604058</v>
      </c>
      <c r="I2601" s="76">
        <f ca="1">SUMIF('Production '!$C$4:$AI$4407,'Tracking Sheet'!B2601,'Production '!$V$4:$V$4407)</f>
        <v>-489.86487791182844</v>
      </c>
      <c r="J2601" s="76">
        <f ca="1">SUMIF('Production '!$C$4:$AI$4407,'Tracking Sheet'!B2601,'Production '!$AG$4:$AG$4407)</f>
        <v>0</v>
      </c>
    </row>
    <row r="2602" spans="2:10" x14ac:dyDescent="0.3">
      <c r="B2602" s="277">
        <f>'Production '!C2605</f>
        <v>0</v>
      </c>
      <c r="C2602" s="76" t="e">
        <f ca="1">SUMIF('Production '!$C$4:$AI$4407,'Tracking Sheet'!B2602,'Production '!$M$4:$M$4407)</f>
        <v>#DIV/0!</v>
      </c>
      <c r="D2602" s="76" t="e">
        <f ca="1">SUMIF('Production '!$C$4:$AI$4407,'Tracking Sheet'!B2602,'Production '!$Q$4:$Q$4407)</f>
        <v>#DIV/0!</v>
      </c>
      <c r="E2602" s="76">
        <f ca="1">SUMIF('Production '!$C$4:$AI$4407,'Tracking Sheet'!B2602,'Production '!$S$4:$S$4407)</f>
        <v>-1268218.9828305368</v>
      </c>
      <c r="F2602" s="76">
        <f ca="1">SUMIF('Production '!$C$4:$AI$4407,'Tracking Sheet'!B2602,'Production '!$U$4:$U$4407)</f>
        <v>-10620.435600016917</v>
      </c>
      <c r="G2602" s="76" t="e">
        <f ca="1">SUMIF('Production '!$C$4:$AI$4407,'Tracking Sheet'!B2602,'Production '!$W$4:$W$4407)</f>
        <v>#DIV/0!</v>
      </c>
      <c r="H2602" s="76">
        <f ca="1">SUMIF('Production '!$C$4:$AI$4407,'Tracking Sheet'!B2602,'Production '!$F$4:$F$4407)</f>
        <v>3230621.3283604058</v>
      </c>
      <c r="I2602" s="76">
        <f ca="1">SUMIF('Production '!$C$4:$AI$4407,'Tracking Sheet'!B2602,'Production '!$V$4:$V$4407)</f>
        <v>-489.86487791182844</v>
      </c>
      <c r="J2602" s="76">
        <f ca="1">SUMIF('Production '!$C$4:$AI$4407,'Tracking Sheet'!B2602,'Production '!$AG$4:$AG$4407)</f>
        <v>0</v>
      </c>
    </row>
    <row r="2603" spans="2:10" x14ac:dyDescent="0.3">
      <c r="B2603" s="277">
        <f>'Production '!C2606</f>
        <v>0</v>
      </c>
      <c r="C2603" s="76" t="e">
        <f ca="1">SUMIF('Production '!$C$4:$AI$4407,'Tracking Sheet'!B2603,'Production '!$M$4:$M$4407)</f>
        <v>#DIV/0!</v>
      </c>
      <c r="D2603" s="76" t="e">
        <f ca="1">SUMIF('Production '!$C$4:$AI$4407,'Tracking Sheet'!B2603,'Production '!$Q$4:$Q$4407)</f>
        <v>#DIV/0!</v>
      </c>
      <c r="E2603" s="76">
        <f ca="1">SUMIF('Production '!$C$4:$AI$4407,'Tracking Sheet'!B2603,'Production '!$S$4:$S$4407)</f>
        <v>-1268218.9828305368</v>
      </c>
      <c r="F2603" s="76">
        <f ca="1">SUMIF('Production '!$C$4:$AI$4407,'Tracking Sheet'!B2603,'Production '!$U$4:$U$4407)</f>
        <v>-10620.435600016917</v>
      </c>
      <c r="G2603" s="76" t="e">
        <f ca="1">SUMIF('Production '!$C$4:$AI$4407,'Tracking Sheet'!B2603,'Production '!$W$4:$W$4407)</f>
        <v>#DIV/0!</v>
      </c>
      <c r="H2603" s="76">
        <f ca="1">SUMIF('Production '!$C$4:$AI$4407,'Tracking Sheet'!B2603,'Production '!$F$4:$F$4407)</f>
        <v>3230621.3283604058</v>
      </c>
      <c r="I2603" s="76">
        <f ca="1">SUMIF('Production '!$C$4:$AI$4407,'Tracking Sheet'!B2603,'Production '!$V$4:$V$4407)</f>
        <v>-489.86487791182844</v>
      </c>
      <c r="J2603" s="76">
        <f ca="1">SUMIF('Production '!$C$4:$AI$4407,'Tracking Sheet'!B2603,'Production '!$AG$4:$AG$4407)</f>
        <v>0</v>
      </c>
    </row>
    <row r="2604" spans="2:10" x14ac:dyDescent="0.3">
      <c r="B2604" s="277">
        <f>'Production '!C2607</f>
        <v>0</v>
      </c>
      <c r="C2604" s="76" t="e">
        <f ca="1">SUMIF('Production '!$C$4:$AI$4407,'Tracking Sheet'!B2604,'Production '!$M$4:$M$4407)</f>
        <v>#DIV/0!</v>
      </c>
      <c r="D2604" s="76" t="e">
        <f ca="1">SUMIF('Production '!$C$4:$AI$4407,'Tracking Sheet'!B2604,'Production '!$Q$4:$Q$4407)</f>
        <v>#DIV/0!</v>
      </c>
      <c r="E2604" s="76">
        <f ca="1">SUMIF('Production '!$C$4:$AI$4407,'Tracking Sheet'!B2604,'Production '!$S$4:$S$4407)</f>
        <v>-1268218.9828305368</v>
      </c>
      <c r="F2604" s="76">
        <f ca="1">SUMIF('Production '!$C$4:$AI$4407,'Tracking Sheet'!B2604,'Production '!$U$4:$U$4407)</f>
        <v>-10620.435600016917</v>
      </c>
      <c r="G2604" s="76" t="e">
        <f ca="1">SUMIF('Production '!$C$4:$AI$4407,'Tracking Sheet'!B2604,'Production '!$W$4:$W$4407)</f>
        <v>#DIV/0!</v>
      </c>
      <c r="H2604" s="76">
        <f ca="1">SUMIF('Production '!$C$4:$AI$4407,'Tracking Sheet'!B2604,'Production '!$F$4:$F$4407)</f>
        <v>3230621.3283604058</v>
      </c>
      <c r="I2604" s="76">
        <f ca="1">SUMIF('Production '!$C$4:$AI$4407,'Tracking Sheet'!B2604,'Production '!$V$4:$V$4407)</f>
        <v>-489.86487791182844</v>
      </c>
      <c r="J2604" s="76">
        <f ca="1">SUMIF('Production '!$C$4:$AI$4407,'Tracking Sheet'!B2604,'Production '!$AG$4:$AG$4407)</f>
        <v>0</v>
      </c>
    </row>
    <row r="2605" spans="2:10" x14ac:dyDescent="0.3">
      <c r="B2605" s="277">
        <f>'Production '!C2608</f>
        <v>0</v>
      </c>
      <c r="C2605" s="76" t="e">
        <f ca="1">SUMIF('Production '!$C$4:$AI$4407,'Tracking Sheet'!B2605,'Production '!$M$4:$M$4407)</f>
        <v>#DIV/0!</v>
      </c>
      <c r="D2605" s="76" t="e">
        <f ca="1">SUMIF('Production '!$C$4:$AI$4407,'Tracking Sheet'!B2605,'Production '!$Q$4:$Q$4407)</f>
        <v>#DIV/0!</v>
      </c>
      <c r="E2605" s="76">
        <f ca="1">SUMIF('Production '!$C$4:$AI$4407,'Tracking Sheet'!B2605,'Production '!$S$4:$S$4407)</f>
        <v>-1268218.9828305368</v>
      </c>
      <c r="F2605" s="76">
        <f ca="1">SUMIF('Production '!$C$4:$AI$4407,'Tracking Sheet'!B2605,'Production '!$U$4:$U$4407)</f>
        <v>-10620.435600016917</v>
      </c>
      <c r="G2605" s="76" t="e">
        <f ca="1">SUMIF('Production '!$C$4:$AI$4407,'Tracking Sheet'!B2605,'Production '!$W$4:$W$4407)</f>
        <v>#DIV/0!</v>
      </c>
      <c r="H2605" s="76">
        <f ca="1">SUMIF('Production '!$C$4:$AI$4407,'Tracking Sheet'!B2605,'Production '!$F$4:$F$4407)</f>
        <v>3230621.3283604058</v>
      </c>
      <c r="I2605" s="76">
        <f ca="1">SUMIF('Production '!$C$4:$AI$4407,'Tracking Sheet'!B2605,'Production '!$V$4:$V$4407)</f>
        <v>-489.86487791182844</v>
      </c>
      <c r="J2605" s="76">
        <f ca="1">SUMIF('Production '!$C$4:$AI$4407,'Tracking Sheet'!B2605,'Production '!$AG$4:$AG$4407)</f>
        <v>0</v>
      </c>
    </row>
    <row r="2606" spans="2:10" x14ac:dyDescent="0.3">
      <c r="B2606" s="277">
        <f>'Production '!C2609</f>
        <v>0</v>
      </c>
      <c r="C2606" s="76" t="e">
        <f ca="1">SUMIF('Production '!$C$4:$AI$4407,'Tracking Sheet'!B2606,'Production '!$M$4:$M$4407)</f>
        <v>#DIV/0!</v>
      </c>
      <c r="D2606" s="76" t="e">
        <f ca="1">SUMIF('Production '!$C$4:$AI$4407,'Tracking Sheet'!B2606,'Production '!$Q$4:$Q$4407)</f>
        <v>#DIV/0!</v>
      </c>
      <c r="E2606" s="76">
        <f ca="1">SUMIF('Production '!$C$4:$AI$4407,'Tracking Sheet'!B2606,'Production '!$S$4:$S$4407)</f>
        <v>-1268218.9828305368</v>
      </c>
      <c r="F2606" s="76">
        <f ca="1">SUMIF('Production '!$C$4:$AI$4407,'Tracking Sheet'!B2606,'Production '!$U$4:$U$4407)</f>
        <v>-10620.435600016917</v>
      </c>
      <c r="G2606" s="76" t="e">
        <f ca="1">SUMIF('Production '!$C$4:$AI$4407,'Tracking Sheet'!B2606,'Production '!$W$4:$W$4407)</f>
        <v>#DIV/0!</v>
      </c>
      <c r="H2606" s="76">
        <f ca="1">SUMIF('Production '!$C$4:$AI$4407,'Tracking Sheet'!B2606,'Production '!$F$4:$F$4407)</f>
        <v>3230621.3283604058</v>
      </c>
      <c r="I2606" s="76">
        <f ca="1">SUMIF('Production '!$C$4:$AI$4407,'Tracking Sheet'!B2606,'Production '!$V$4:$V$4407)</f>
        <v>-489.86487791182844</v>
      </c>
      <c r="J2606" s="76">
        <f ca="1">SUMIF('Production '!$C$4:$AI$4407,'Tracking Sheet'!B2606,'Production '!$AG$4:$AG$4407)</f>
        <v>0</v>
      </c>
    </row>
    <row r="2607" spans="2:10" x14ac:dyDescent="0.3">
      <c r="B2607" s="277">
        <f>'Production '!C2610</f>
        <v>0</v>
      </c>
      <c r="C2607" s="76" t="e">
        <f ca="1">SUMIF('Production '!$C$4:$AI$4407,'Tracking Sheet'!B2607,'Production '!$M$4:$M$4407)</f>
        <v>#DIV/0!</v>
      </c>
      <c r="D2607" s="76" t="e">
        <f ca="1">SUMIF('Production '!$C$4:$AI$4407,'Tracking Sheet'!B2607,'Production '!$Q$4:$Q$4407)</f>
        <v>#DIV/0!</v>
      </c>
      <c r="E2607" s="76">
        <f ca="1">SUMIF('Production '!$C$4:$AI$4407,'Tracking Sheet'!B2607,'Production '!$S$4:$S$4407)</f>
        <v>-1268218.9828305368</v>
      </c>
      <c r="F2607" s="76">
        <f ca="1">SUMIF('Production '!$C$4:$AI$4407,'Tracking Sheet'!B2607,'Production '!$U$4:$U$4407)</f>
        <v>-10620.435600016917</v>
      </c>
      <c r="G2607" s="76" t="e">
        <f ca="1">SUMIF('Production '!$C$4:$AI$4407,'Tracking Sheet'!B2607,'Production '!$W$4:$W$4407)</f>
        <v>#DIV/0!</v>
      </c>
      <c r="H2607" s="76">
        <f ca="1">SUMIF('Production '!$C$4:$AI$4407,'Tracking Sheet'!B2607,'Production '!$F$4:$F$4407)</f>
        <v>3230621.3283604058</v>
      </c>
      <c r="I2607" s="76">
        <f ca="1">SUMIF('Production '!$C$4:$AI$4407,'Tracking Sheet'!B2607,'Production '!$V$4:$V$4407)</f>
        <v>-489.86487791182844</v>
      </c>
      <c r="J2607" s="76">
        <f ca="1">SUMIF('Production '!$C$4:$AI$4407,'Tracking Sheet'!B2607,'Production '!$AG$4:$AG$4407)</f>
        <v>0</v>
      </c>
    </row>
    <row r="2608" spans="2:10" x14ac:dyDescent="0.3">
      <c r="B2608" s="277">
        <f>'Production '!C2611</f>
        <v>0</v>
      </c>
      <c r="C2608" s="76" t="e">
        <f ca="1">SUMIF('Production '!$C$4:$AI$4407,'Tracking Sheet'!B2608,'Production '!$M$4:$M$4407)</f>
        <v>#DIV/0!</v>
      </c>
      <c r="D2608" s="76" t="e">
        <f ca="1">SUMIF('Production '!$C$4:$AI$4407,'Tracking Sheet'!B2608,'Production '!$Q$4:$Q$4407)</f>
        <v>#DIV/0!</v>
      </c>
      <c r="E2608" s="76">
        <f ca="1">SUMIF('Production '!$C$4:$AI$4407,'Tracking Sheet'!B2608,'Production '!$S$4:$S$4407)</f>
        <v>-1268218.9828305368</v>
      </c>
      <c r="F2608" s="76">
        <f ca="1">SUMIF('Production '!$C$4:$AI$4407,'Tracking Sheet'!B2608,'Production '!$U$4:$U$4407)</f>
        <v>-10620.435600016917</v>
      </c>
      <c r="G2608" s="76" t="e">
        <f ca="1">SUMIF('Production '!$C$4:$AI$4407,'Tracking Sheet'!B2608,'Production '!$W$4:$W$4407)</f>
        <v>#DIV/0!</v>
      </c>
      <c r="H2608" s="76">
        <f ca="1">SUMIF('Production '!$C$4:$AI$4407,'Tracking Sheet'!B2608,'Production '!$F$4:$F$4407)</f>
        <v>3230621.3283604058</v>
      </c>
      <c r="I2608" s="76">
        <f ca="1">SUMIF('Production '!$C$4:$AI$4407,'Tracking Sheet'!B2608,'Production '!$V$4:$V$4407)</f>
        <v>-489.86487791182844</v>
      </c>
      <c r="J2608" s="76">
        <f ca="1">SUMIF('Production '!$C$4:$AI$4407,'Tracking Sheet'!B2608,'Production '!$AG$4:$AG$4407)</f>
        <v>0</v>
      </c>
    </row>
    <row r="2609" spans="2:10" x14ac:dyDescent="0.3">
      <c r="B2609" s="277">
        <f>'Production '!C2612</f>
        <v>0</v>
      </c>
      <c r="C2609" s="76" t="e">
        <f ca="1">SUMIF('Production '!$C$4:$AI$4407,'Tracking Sheet'!B2609,'Production '!$M$4:$M$4407)</f>
        <v>#DIV/0!</v>
      </c>
      <c r="D2609" s="76" t="e">
        <f ca="1">SUMIF('Production '!$C$4:$AI$4407,'Tracking Sheet'!B2609,'Production '!$Q$4:$Q$4407)</f>
        <v>#DIV/0!</v>
      </c>
      <c r="E2609" s="76">
        <f ca="1">SUMIF('Production '!$C$4:$AI$4407,'Tracking Sheet'!B2609,'Production '!$S$4:$S$4407)</f>
        <v>-1268218.9828305368</v>
      </c>
      <c r="F2609" s="76">
        <f ca="1">SUMIF('Production '!$C$4:$AI$4407,'Tracking Sheet'!B2609,'Production '!$U$4:$U$4407)</f>
        <v>-10620.435600016917</v>
      </c>
      <c r="G2609" s="76" t="e">
        <f ca="1">SUMIF('Production '!$C$4:$AI$4407,'Tracking Sheet'!B2609,'Production '!$W$4:$W$4407)</f>
        <v>#DIV/0!</v>
      </c>
      <c r="H2609" s="76">
        <f ca="1">SUMIF('Production '!$C$4:$AI$4407,'Tracking Sheet'!B2609,'Production '!$F$4:$F$4407)</f>
        <v>3230621.3283604058</v>
      </c>
      <c r="I2609" s="76">
        <f ca="1">SUMIF('Production '!$C$4:$AI$4407,'Tracking Sheet'!B2609,'Production '!$V$4:$V$4407)</f>
        <v>-489.86487791182844</v>
      </c>
      <c r="J2609" s="76">
        <f ca="1">SUMIF('Production '!$C$4:$AI$4407,'Tracking Sheet'!B2609,'Production '!$AG$4:$AG$4407)</f>
        <v>0</v>
      </c>
    </row>
    <row r="2610" spans="2:10" x14ac:dyDescent="0.3">
      <c r="B2610" s="277">
        <f>'Production '!C2613</f>
        <v>0</v>
      </c>
      <c r="C2610" s="76" t="e">
        <f ca="1">SUMIF('Production '!$C$4:$AI$4407,'Tracking Sheet'!B2610,'Production '!$M$4:$M$4407)</f>
        <v>#DIV/0!</v>
      </c>
      <c r="D2610" s="76" t="e">
        <f ca="1">SUMIF('Production '!$C$4:$AI$4407,'Tracking Sheet'!B2610,'Production '!$Q$4:$Q$4407)</f>
        <v>#DIV/0!</v>
      </c>
      <c r="E2610" s="76">
        <f ca="1">SUMIF('Production '!$C$4:$AI$4407,'Tracking Sheet'!B2610,'Production '!$S$4:$S$4407)</f>
        <v>-1268218.9828305368</v>
      </c>
      <c r="F2610" s="76">
        <f ca="1">SUMIF('Production '!$C$4:$AI$4407,'Tracking Sheet'!B2610,'Production '!$U$4:$U$4407)</f>
        <v>-10620.435600016917</v>
      </c>
      <c r="G2610" s="76" t="e">
        <f ca="1">SUMIF('Production '!$C$4:$AI$4407,'Tracking Sheet'!B2610,'Production '!$W$4:$W$4407)</f>
        <v>#DIV/0!</v>
      </c>
      <c r="H2610" s="76">
        <f ca="1">SUMIF('Production '!$C$4:$AI$4407,'Tracking Sheet'!B2610,'Production '!$F$4:$F$4407)</f>
        <v>3230621.3283604058</v>
      </c>
      <c r="I2610" s="76">
        <f ca="1">SUMIF('Production '!$C$4:$AI$4407,'Tracking Sheet'!B2610,'Production '!$V$4:$V$4407)</f>
        <v>-489.86487791182844</v>
      </c>
      <c r="J2610" s="76">
        <f ca="1">SUMIF('Production '!$C$4:$AI$4407,'Tracking Sheet'!B2610,'Production '!$AG$4:$AG$4407)</f>
        <v>0</v>
      </c>
    </row>
    <row r="2611" spans="2:10" x14ac:dyDescent="0.3">
      <c r="B2611" s="277">
        <f>'Production '!C2614</f>
        <v>0</v>
      </c>
      <c r="C2611" s="76" t="e">
        <f ca="1">SUMIF('Production '!$C$4:$AI$4407,'Tracking Sheet'!B2611,'Production '!$M$4:$M$4407)</f>
        <v>#DIV/0!</v>
      </c>
      <c r="D2611" s="76" t="e">
        <f ca="1">SUMIF('Production '!$C$4:$AI$4407,'Tracking Sheet'!B2611,'Production '!$Q$4:$Q$4407)</f>
        <v>#DIV/0!</v>
      </c>
      <c r="E2611" s="76">
        <f ca="1">SUMIF('Production '!$C$4:$AI$4407,'Tracking Sheet'!B2611,'Production '!$S$4:$S$4407)</f>
        <v>-1268218.9828305368</v>
      </c>
      <c r="F2611" s="76">
        <f ca="1">SUMIF('Production '!$C$4:$AI$4407,'Tracking Sheet'!B2611,'Production '!$U$4:$U$4407)</f>
        <v>-10620.435600016917</v>
      </c>
      <c r="G2611" s="76" t="e">
        <f ca="1">SUMIF('Production '!$C$4:$AI$4407,'Tracking Sheet'!B2611,'Production '!$W$4:$W$4407)</f>
        <v>#DIV/0!</v>
      </c>
      <c r="H2611" s="76">
        <f ca="1">SUMIF('Production '!$C$4:$AI$4407,'Tracking Sheet'!B2611,'Production '!$F$4:$F$4407)</f>
        <v>3230621.3283604058</v>
      </c>
      <c r="I2611" s="76">
        <f ca="1">SUMIF('Production '!$C$4:$AI$4407,'Tracking Sheet'!B2611,'Production '!$V$4:$V$4407)</f>
        <v>-489.86487791182844</v>
      </c>
      <c r="J2611" s="76">
        <f ca="1">SUMIF('Production '!$C$4:$AI$4407,'Tracking Sheet'!B2611,'Production '!$AG$4:$AG$4407)</f>
        <v>0</v>
      </c>
    </row>
    <row r="2612" spans="2:10" x14ac:dyDescent="0.3">
      <c r="B2612" s="277">
        <f>'Production '!C2615</f>
        <v>0</v>
      </c>
      <c r="C2612" s="76" t="e">
        <f ca="1">SUMIF('Production '!$C$4:$AI$4407,'Tracking Sheet'!B2612,'Production '!$M$4:$M$4407)</f>
        <v>#DIV/0!</v>
      </c>
      <c r="D2612" s="76" t="e">
        <f ca="1">SUMIF('Production '!$C$4:$AI$4407,'Tracking Sheet'!B2612,'Production '!$Q$4:$Q$4407)</f>
        <v>#DIV/0!</v>
      </c>
      <c r="E2612" s="76">
        <f ca="1">SUMIF('Production '!$C$4:$AI$4407,'Tracking Sheet'!B2612,'Production '!$S$4:$S$4407)</f>
        <v>-1268218.9828305368</v>
      </c>
      <c r="F2612" s="76">
        <f ca="1">SUMIF('Production '!$C$4:$AI$4407,'Tracking Sheet'!B2612,'Production '!$U$4:$U$4407)</f>
        <v>-10620.435600016917</v>
      </c>
      <c r="G2612" s="76" t="e">
        <f ca="1">SUMIF('Production '!$C$4:$AI$4407,'Tracking Sheet'!B2612,'Production '!$W$4:$W$4407)</f>
        <v>#DIV/0!</v>
      </c>
      <c r="H2612" s="76">
        <f ca="1">SUMIF('Production '!$C$4:$AI$4407,'Tracking Sheet'!B2612,'Production '!$F$4:$F$4407)</f>
        <v>3230621.3283604058</v>
      </c>
      <c r="I2612" s="76">
        <f ca="1">SUMIF('Production '!$C$4:$AI$4407,'Tracking Sheet'!B2612,'Production '!$V$4:$V$4407)</f>
        <v>-489.86487791182844</v>
      </c>
      <c r="J2612" s="76">
        <f ca="1">SUMIF('Production '!$C$4:$AI$4407,'Tracking Sheet'!B2612,'Production '!$AG$4:$AG$4407)</f>
        <v>0</v>
      </c>
    </row>
    <row r="2613" spans="2:10" x14ac:dyDescent="0.3">
      <c r="B2613" s="277">
        <f>'Production '!C2616</f>
        <v>0</v>
      </c>
      <c r="C2613" s="76" t="e">
        <f ca="1">SUMIF('Production '!$C$4:$AI$4407,'Tracking Sheet'!B2613,'Production '!$M$4:$M$4407)</f>
        <v>#DIV/0!</v>
      </c>
      <c r="D2613" s="76" t="e">
        <f ca="1">SUMIF('Production '!$C$4:$AI$4407,'Tracking Sheet'!B2613,'Production '!$Q$4:$Q$4407)</f>
        <v>#DIV/0!</v>
      </c>
      <c r="E2613" s="76">
        <f ca="1">SUMIF('Production '!$C$4:$AI$4407,'Tracking Sheet'!B2613,'Production '!$S$4:$S$4407)</f>
        <v>-1268218.9828305368</v>
      </c>
      <c r="F2613" s="76">
        <f ca="1">SUMIF('Production '!$C$4:$AI$4407,'Tracking Sheet'!B2613,'Production '!$U$4:$U$4407)</f>
        <v>-10620.435600016917</v>
      </c>
      <c r="G2613" s="76" t="e">
        <f ca="1">SUMIF('Production '!$C$4:$AI$4407,'Tracking Sheet'!B2613,'Production '!$W$4:$W$4407)</f>
        <v>#DIV/0!</v>
      </c>
      <c r="H2613" s="76">
        <f ca="1">SUMIF('Production '!$C$4:$AI$4407,'Tracking Sheet'!B2613,'Production '!$F$4:$F$4407)</f>
        <v>3230621.3283604058</v>
      </c>
      <c r="I2613" s="76">
        <f ca="1">SUMIF('Production '!$C$4:$AI$4407,'Tracking Sheet'!B2613,'Production '!$V$4:$V$4407)</f>
        <v>-489.86487791182844</v>
      </c>
      <c r="J2613" s="76">
        <f ca="1">SUMIF('Production '!$C$4:$AI$4407,'Tracking Sheet'!B2613,'Production '!$AG$4:$AG$4407)</f>
        <v>0</v>
      </c>
    </row>
    <row r="2614" spans="2:10" x14ac:dyDescent="0.3">
      <c r="B2614" s="277">
        <f>'Production '!C2617</f>
        <v>0</v>
      </c>
      <c r="C2614" s="76" t="e">
        <f ca="1">SUMIF('Production '!$C$4:$AI$4407,'Tracking Sheet'!B2614,'Production '!$M$4:$M$4407)</f>
        <v>#DIV/0!</v>
      </c>
      <c r="D2614" s="76" t="e">
        <f ca="1">SUMIF('Production '!$C$4:$AI$4407,'Tracking Sheet'!B2614,'Production '!$Q$4:$Q$4407)</f>
        <v>#DIV/0!</v>
      </c>
      <c r="E2614" s="76">
        <f ca="1">SUMIF('Production '!$C$4:$AI$4407,'Tracking Sheet'!B2614,'Production '!$S$4:$S$4407)</f>
        <v>-1268218.9828305368</v>
      </c>
      <c r="F2614" s="76">
        <f ca="1">SUMIF('Production '!$C$4:$AI$4407,'Tracking Sheet'!B2614,'Production '!$U$4:$U$4407)</f>
        <v>-10620.435600016917</v>
      </c>
      <c r="G2614" s="76" t="e">
        <f ca="1">SUMIF('Production '!$C$4:$AI$4407,'Tracking Sheet'!B2614,'Production '!$W$4:$W$4407)</f>
        <v>#DIV/0!</v>
      </c>
      <c r="H2614" s="76">
        <f ca="1">SUMIF('Production '!$C$4:$AI$4407,'Tracking Sheet'!B2614,'Production '!$F$4:$F$4407)</f>
        <v>3230621.3283604058</v>
      </c>
      <c r="I2614" s="76">
        <f ca="1">SUMIF('Production '!$C$4:$AI$4407,'Tracking Sheet'!B2614,'Production '!$V$4:$V$4407)</f>
        <v>-489.86487791182844</v>
      </c>
      <c r="J2614" s="76">
        <f ca="1">SUMIF('Production '!$C$4:$AI$4407,'Tracking Sheet'!B2614,'Production '!$AG$4:$AG$4407)</f>
        <v>0</v>
      </c>
    </row>
    <row r="2615" spans="2:10" x14ac:dyDescent="0.3">
      <c r="B2615" s="277">
        <f>'Production '!C2618</f>
        <v>0</v>
      </c>
      <c r="C2615" s="76" t="e">
        <f ca="1">SUMIF('Production '!$C$4:$AI$4407,'Tracking Sheet'!B2615,'Production '!$M$4:$M$4407)</f>
        <v>#DIV/0!</v>
      </c>
      <c r="D2615" s="76" t="e">
        <f ca="1">SUMIF('Production '!$C$4:$AI$4407,'Tracking Sheet'!B2615,'Production '!$Q$4:$Q$4407)</f>
        <v>#DIV/0!</v>
      </c>
      <c r="E2615" s="76">
        <f ca="1">SUMIF('Production '!$C$4:$AI$4407,'Tracking Sheet'!B2615,'Production '!$S$4:$S$4407)</f>
        <v>-1268218.9828305368</v>
      </c>
      <c r="F2615" s="76">
        <f ca="1">SUMIF('Production '!$C$4:$AI$4407,'Tracking Sheet'!B2615,'Production '!$U$4:$U$4407)</f>
        <v>-10620.435600016917</v>
      </c>
      <c r="G2615" s="76" t="e">
        <f ca="1">SUMIF('Production '!$C$4:$AI$4407,'Tracking Sheet'!B2615,'Production '!$W$4:$W$4407)</f>
        <v>#DIV/0!</v>
      </c>
      <c r="H2615" s="76">
        <f ca="1">SUMIF('Production '!$C$4:$AI$4407,'Tracking Sheet'!B2615,'Production '!$F$4:$F$4407)</f>
        <v>3230621.3283604058</v>
      </c>
      <c r="I2615" s="76">
        <f ca="1">SUMIF('Production '!$C$4:$AI$4407,'Tracking Sheet'!B2615,'Production '!$V$4:$V$4407)</f>
        <v>-489.86487791182844</v>
      </c>
      <c r="J2615" s="76">
        <f ca="1">SUMIF('Production '!$C$4:$AI$4407,'Tracking Sheet'!B2615,'Production '!$AG$4:$AG$4407)</f>
        <v>0</v>
      </c>
    </row>
    <row r="2616" spans="2:10" x14ac:dyDescent="0.3">
      <c r="B2616" s="277">
        <f>'Production '!C2619</f>
        <v>0</v>
      </c>
      <c r="C2616" s="76" t="e">
        <f ca="1">SUMIF('Production '!$C$4:$AI$4407,'Tracking Sheet'!B2616,'Production '!$M$4:$M$4407)</f>
        <v>#DIV/0!</v>
      </c>
      <c r="D2616" s="76" t="e">
        <f ca="1">SUMIF('Production '!$C$4:$AI$4407,'Tracking Sheet'!B2616,'Production '!$Q$4:$Q$4407)</f>
        <v>#DIV/0!</v>
      </c>
      <c r="E2616" s="76">
        <f ca="1">SUMIF('Production '!$C$4:$AI$4407,'Tracking Sheet'!B2616,'Production '!$S$4:$S$4407)</f>
        <v>-1268218.9828305368</v>
      </c>
      <c r="F2616" s="76">
        <f ca="1">SUMIF('Production '!$C$4:$AI$4407,'Tracking Sheet'!B2616,'Production '!$U$4:$U$4407)</f>
        <v>-10620.435600016917</v>
      </c>
      <c r="G2616" s="76" t="e">
        <f ca="1">SUMIF('Production '!$C$4:$AI$4407,'Tracking Sheet'!B2616,'Production '!$W$4:$W$4407)</f>
        <v>#DIV/0!</v>
      </c>
      <c r="H2616" s="76">
        <f ca="1">SUMIF('Production '!$C$4:$AI$4407,'Tracking Sheet'!B2616,'Production '!$F$4:$F$4407)</f>
        <v>3230621.3283604058</v>
      </c>
      <c r="I2616" s="76">
        <f ca="1">SUMIF('Production '!$C$4:$AI$4407,'Tracking Sheet'!B2616,'Production '!$V$4:$V$4407)</f>
        <v>-489.86487791182844</v>
      </c>
      <c r="J2616" s="76">
        <f ca="1">SUMIF('Production '!$C$4:$AI$4407,'Tracking Sheet'!B2616,'Production '!$AG$4:$AG$4407)</f>
        <v>0</v>
      </c>
    </row>
    <row r="2617" spans="2:10" x14ac:dyDescent="0.3">
      <c r="B2617" s="277">
        <f>'Production '!C2620</f>
        <v>0</v>
      </c>
      <c r="C2617" s="76" t="e">
        <f ca="1">SUMIF('Production '!$C$4:$AI$4407,'Tracking Sheet'!B2617,'Production '!$M$4:$M$4407)</f>
        <v>#DIV/0!</v>
      </c>
      <c r="D2617" s="76" t="e">
        <f ca="1">SUMIF('Production '!$C$4:$AI$4407,'Tracking Sheet'!B2617,'Production '!$Q$4:$Q$4407)</f>
        <v>#DIV/0!</v>
      </c>
      <c r="E2617" s="76">
        <f ca="1">SUMIF('Production '!$C$4:$AI$4407,'Tracking Sheet'!B2617,'Production '!$S$4:$S$4407)</f>
        <v>-1268218.9828305368</v>
      </c>
      <c r="F2617" s="76">
        <f ca="1">SUMIF('Production '!$C$4:$AI$4407,'Tracking Sheet'!B2617,'Production '!$U$4:$U$4407)</f>
        <v>-10620.435600016917</v>
      </c>
      <c r="G2617" s="76" t="e">
        <f ca="1">SUMIF('Production '!$C$4:$AI$4407,'Tracking Sheet'!B2617,'Production '!$W$4:$W$4407)</f>
        <v>#DIV/0!</v>
      </c>
      <c r="H2617" s="76">
        <f ca="1">SUMIF('Production '!$C$4:$AI$4407,'Tracking Sheet'!B2617,'Production '!$F$4:$F$4407)</f>
        <v>3230621.3283604058</v>
      </c>
      <c r="I2617" s="76">
        <f ca="1">SUMIF('Production '!$C$4:$AI$4407,'Tracking Sheet'!B2617,'Production '!$V$4:$V$4407)</f>
        <v>-489.86487791182844</v>
      </c>
      <c r="J2617" s="76">
        <f ca="1">SUMIF('Production '!$C$4:$AI$4407,'Tracking Sheet'!B2617,'Production '!$AG$4:$AG$4407)</f>
        <v>0</v>
      </c>
    </row>
    <row r="2618" spans="2:10" x14ac:dyDescent="0.3">
      <c r="B2618" s="277">
        <f>'Production '!C2621</f>
        <v>0</v>
      </c>
      <c r="C2618" s="76" t="e">
        <f ca="1">SUMIF('Production '!$C$4:$AI$4407,'Tracking Sheet'!B2618,'Production '!$M$4:$M$4407)</f>
        <v>#DIV/0!</v>
      </c>
      <c r="D2618" s="76" t="e">
        <f ca="1">SUMIF('Production '!$C$4:$AI$4407,'Tracking Sheet'!B2618,'Production '!$Q$4:$Q$4407)</f>
        <v>#DIV/0!</v>
      </c>
      <c r="E2618" s="76">
        <f ca="1">SUMIF('Production '!$C$4:$AI$4407,'Tracking Sheet'!B2618,'Production '!$S$4:$S$4407)</f>
        <v>-1268218.9828305368</v>
      </c>
      <c r="F2618" s="76">
        <f ca="1">SUMIF('Production '!$C$4:$AI$4407,'Tracking Sheet'!B2618,'Production '!$U$4:$U$4407)</f>
        <v>-10620.435600016917</v>
      </c>
      <c r="G2618" s="76" t="e">
        <f ca="1">SUMIF('Production '!$C$4:$AI$4407,'Tracking Sheet'!B2618,'Production '!$W$4:$W$4407)</f>
        <v>#DIV/0!</v>
      </c>
      <c r="H2618" s="76">
        <f ca="1">SUMIF('Production '!$C$4:$AI$4407,'Tracking Sheet'!B2618,'Production '!$F$4:$F$4407)</f>
        <v>3230621.3283604058</v>
      </c>
      <c r="I2618" s="76">
        <f ca="1">SUMIF('Production '!$C$4:$AI$4407,'Tracking Sheet'!B2618,'Production '!$V$4:$V$4407)</f>
        <v>-489.86487791182844</v>
      </c>
      <c r="J2618" s="76">
        <f ca="1">SUMIF('Production '!$C$4:$AI$4407,'Tracking Sheet'!B2618,'Production '!$AG$4:$AG$4407)</f>
        <v>0</v>
      </c>
    </row>
    <row r="2619" spans="2:10" x14ac:dyDescent="0.3">
      <c r="B2619" s="277">
        <f>'Production '!C2622</f>
        <v>0</v>
      </c>
      <c r="C2619" s="76" t="e">
        <f ca="1">SUMIF('Production '!$C$4:$AI$4407,'Tracking Sheet'!B2619,'Production '!$M$4:$M$4407)</f>
        <v>#DIV/0!</v>
      </c>
      <c r="D2619" s="76" t="e">
        <f ca="1">SUMIF('Production '!$C$4:$AI$4407,'Tracking Sheet'!B2619,'Production '!$Q$4:$Q$4407)</f>
        <v>#DIV/0!</v>
      </c>
      <c r="E2619" s="76">
        <f ca="1">SUMIF('Production '!$C$4:$AI$4407,'Tracking Sheet'!B2619,'Production '!$S$4:$S$4407)</f>
        <v>-1268218.9828305368</v>
      </c>
      <c r="F2619" s="76">
        <f ca="1">SUMIF('Production '!$C$4:$AI$4407,'Tracking Sheet'!B2619,'Production '!$U$4:$U$4407)</f>
        <v>-10620.435600016917</v>
      </c>
      <c r="G2619" s="76" t="e">
        <f ca="1">SUMIF('Production '!$C$4:$AI$4407,'Tracking Sheet'!B2619,'Production '!$W$4:$W$4407)</f>
        <v>#DIV/0!</v>
      </c>
      <c r="H2619" s="76">
        <f ca="1">SUMIF('Production '!$C$4:$AI$4407,'Tracking Sheet'!B2619,'Production '!$F$4:$F$4407)</f>
        <v>3230621.3283604058</v>
      </c>
      <c r="I2619" s="76">
        <f ca="1">SUMIF('Production '!$C$4:$AI$4407,'Tracking Sheet'!B2619,'Production '!$V$4:$V$4407)</f>
        <v>-489.86487791182844</v>
      </c>
      <c r="J2619" s="76">
        <f ca="1">SUMIF('Production '!$C$4:$AI$4407,'Tracking Sheet'!B2619,'Production '!$AG$4:$AG$4407)</f>
        <v>0</v>
      </c>
    </row>
    <row r="2620" spans="2:10" x14ac:dyDescent="0.3">
      <c r="B2620" s="277">
        <f>'Production '!C2623</f>
        <v>0</v>
      </c>
      <c r="C2620" s="76" t="e">
        <f ca="1">SUMIF('Production '!$C$4:$AI$4407,'Tracking Sheet'!B2620,'Production '!$M$4:$M$4407)</f>
        <v>#DIV/0!</v>
      </c>
      <c r="D2620" s="76" t="e">
        <f ca="1">SUMIF('Production '!$C$4:$AI$4407,'Tracking Sheet'!B2620,'Production '!$Q$4:$Q$4407)</f>
        <v>#DIV/0!</v>
      </c>
      <c r="E2620" s="76">
        <f ca="1">SUMIF('Production '!$C$4:$AI$4407,'Tracking Sheet'!B2620,'Production '!$S$4:$S$4407)</f>
        <v>-1268218.9828305368</v>
      </c>
      <c r="F2620" s="76">
        <f ca="1">SUMIF('Production '!$C$4:$AI$4407,'Tracking Sheet'!B2620,'Production '!$U$4:$U$4407)</f>
        <v>-10620.435600016917</v>
      </c>
      <c r="G2620" s="76" t="e">
        <f ca="1">SUMIF('Production '!$C$4:$AI$4407,'Tracking Sheet'!B2620,'Production '!$W$4:$W$4407)</f>
        <v>#DIV/0!</v>
      </c>
      <c r="H2620" s="76">
        <f ca="1">SUMIF('Production '!$C$4:$AI$4407,'Tracking Sheet'!B2620,'Production '!$F$4:$F$4407)</f>
        <v>3230621.3283604058</v>
      </c>
      <c r="I2620" s="76">
        <f ca="1">SUMIF('Production '!$C$4:$AI$4407,'Tracking Sheet'!B2620,'Production '!$V$4:$V$4407)</f>
        <v>-489.86487791182844</v>
      </c>
      <c r="J2620" s="76">
        <f ca="1">SUMIF('Production '!$C$4:$AI$4407,'Tracking Sheet'!B2620,'Production '!$AG$4:$AG$4407)</f>
        <v>0</v>
      </c>
    </row>
    <row r="2621" spans="2:10" x14ac:dyDescent="0.3">
      <c r="B2621" s="277">
        <f>'Production '!C2624</f>
        <v>0</v>
      </c>
      <c r="C2621" s="76" t="e">
        <f ca="1">SUMIF('Production '!$C$4:$AI$4407,'Tracking Sheet'!B2621,'Production '!$M$4:$M$4407)</f>
        <v>#DIV/0!</v>
      </c>
      <c r="D2621" s="76" t="e">
        <f ca="1">SUMIF('Production '!$C$4:$AI$4407,'Tracking Sheet'!B2621,'Production '!$Q$4:$Q$4407)</f>
        <v>#DIV/0!</v>
      </c>
      <c r="E2621" s="76">
        <f ca="1">SUMIF('Production '!$C$4:$AI$4407,'Tracking Sheet'!B2621,'Production '!$S$4:$S$4407)</f>
        <v>-1268218.9828305368</v>
      </c>
      <c r="F2621" s="76">
        <f ca="1">SUMIF('Production '!$C$4:$AI$4407,'Tracking Sheet'!B2621,'Production '!$U$4:$U$4407)</f>
        <v>-10620.435600016917</v>
      </c>
      <c r="G2621" s="76" t="e">
        <f ca="1">SUMIF('Production '!$C$4:$AI$4407,'Tracking Sheet'!B2621,'Production '!$W$4:$W$4407)</f>
        <v>#DIV/0!</v>
      </c>
      <c r="H2621" s="76">
        <f ca="1">SUMIF('Production '!$C$4:$AI$4407,'Tracking Sheet'!B2621,'Production '!$F$4:$F$4407)</f>
        <v>3230621.3283604058</v>
      </c>
      <c r="I2621" s="76">
        <f ca="1">SUMIF('Production '!$C$4:$AI$4407,'Tracking Sheet'!B2621,'Production '!$V$4:$V$4407)</f>
        <v>-489.86487791182844</v>
      </c>
      <c r="J2621" s="76">
        <f ca="1">SUMIF('Production '!$C$4:$AI$4407,'Tracking Sheet'!B2621,'Production '!$AG$4:$AG$4407)</f>
        <v>0</v>
      </c>
    </row>
    <row r="2622" spans="2:10" x14ac:dyDescent="0.3">
      <c r="B2622" s="277">
        <f>'Production '!C2625</f>
        <v>0</v>
      </c>
      <c r="C2622" s="76" t="e">
        <f ca="1">SUMIF('Production '!$C$4:$AI$4407,'Tracking Sheet'!B2622,'Production '!$M$4:$M$4407)</f>
        <v>#DIV/0!</v>
      </c>
      <c r="D2622" s="76" t="e">
        <f ca="1">SUMIF('Production '!$C$4:$AI$4407,'Tracking Sheet'!B2622,'Production '!$Q$4:$Q$4407)</f>
        <v>#DIV/0!</v>
      </c>
      <c r="E2622" s="76">
        <f ca="1">SUMIF('Production '!$C$4:$AI$4407,'Tracking Sheet'!B2622,'Production '!$S$4:$S$4407)</f>
        <v>-1268218.9828305368</v>
      </c>
      <c r="F2622" s="76">
        <f ca="1">SUMIF('Production '!$C$4:$AI$4407,'Tracking Sheet'!B2622,'Production '!$U$4:$U$4407)</f>
        <v>-10620.435600016917</v>
      </c>
      <c r="G2622" s="76" t="e">
        <f ca="1">SUMIF('Production '!$C$4:$AI$4407,'Tracking Sheet'!B2622,'Production '!$W$4:$W$4407)</f>
        <v>#DIV/0!</v>
      </c>
      <c r="H2622" s="76">
        <f ca="1">SUMIF('Production '!$C$4:$AI$4407,'Tracking Sheet'!B2622,'Production '!$F$4:$F$4407)</f>
        <v>3230621.3283604058</v>
      </c>
      <c r="I2622" s="76">
        <f ca="1">SUMIF('Production '!$C$4:$AI$4407,'Tracking Sheet'!B2622,'Production '!$V$4:$V$4407)</f>
        <v>-489.86487791182844</v>
      </c>
      <c r="J2622" s="76">
        <f ca="1">SUMIF('Production '!$C$4:$AI$4407,'Tracking Sheet'!B2622,'Production '!$AG$4:$AG$4407)</f>
        <v>0</v>
      </c>
    </row>
    <row r="2623" spans="2:10" x14ac:dyDescent="0.3">
      <c r="B2623" s="277">
        <f>'Production '!C2626</f>
        <v>0</v>
      </c>
      <c r="C2623" s="76" t="e">
        <f ca="1">SUMIF('Production '!$C$4:$AI$4407,'Tracking Sheet'!B2623,'Production '!$M$4:$M$4407)</f>
        <v>#DIV/0!</v>
      </c>
      <c r="D2623" s="76" t="e">
        <f ca="1">SUMIF('Production '!$C$4:$AI$4407,'Tracking Sheet'!B2623,'Production '!$Q$4:$Q$4407)</f>
        <v>#DIV/0!</v>
      </c>
      <c r="E2623" s="76">
        <f ca="1">SUMIF('Production '!$C$4:$AI$4407,'Tracking Sheet'!B2623,'Production '!$S$4:$S$4407)</f>
        <v>-1268218.9828305368</v>
      </c>
      <c r="F2623" s="76">
        <f ca="1">SUMIF('Production '!$C$4:$AI$4407,'Tracking Sheet'!B2623,'Production '!$U$4:$U$4407)</f>
        <v>-10620.435600016917</v>
      </c>
      <c r="G2623" s="76" t="e">
        <f ca="1">SUMIF('Production '!$C$4:$AI$4407,'Tracking Sheet'!B2623,'Production '!$W$4:$W$4407)</f>
        <v>#DIV/0!</v>
      </c>
      <c r="H2623" s="76">
        <f ca="1">SUMIF('Production '!$C$4:$AI$4407,'Tracking Sheet'!B2623,'Production '!$F$4:$F$4407)</f>
        <v>3230621.3283604058</v>
      </c>
      <c r="I2623" s="76">
        <f ca="1">SUMIF('Production '!$C$4:$AI$4407,'Tracking Sheet'!B2623,'Production '!$V$4:$V$4407)</f>
        <v>-489.86487791182844</v>
      </c>
      <c r="J2623" s="76">
        <f ca="1">SUMIF('Production '!$C$4:$AI$4407,'Tracking Sheet'!B2623,'Production '!$AG$4:$AG$4407)</f>
        <v>0</v>
      </c>
    </row>
    <row r="2624" spans="2:10" x14ac:dyDescent="0.3">
      <c r="B2624" s="277">
        <f>'Production '!C2627</f>
        <v>0</v>
      </c>
      <c r="C2624" s="76" t="e">
        <f ca="1">SUMIF('Production '!$C$4:$AI$4407,'Tracking Sheet'!B2624,'Production '!$M$4:$M$4407)</f>
        <v>#DIV/0!</v>
      </c>
      <c r="D2624" s="76" t="e">
        <f ca="1">SUMIF('Production '!$C$4:$AI$4407,'Tracking Sheet'!B2624,'Production '!$Q$4:$Q$4407)</f>
        <v>#DIV/0!</v>
      </c>
      <c r="E2624" s="76">
        <f ca="1">SUMIF('Production '!$C$4:$AI$4407,'Tracking Sheet'!B2624,'Production '!$S$4:$S$4407)</f>
        <v>-1268218.9828305368</v>
      </c>
      <c r="F2624" s="76">
        <f ca="1">SUMIF('Production '!$C$4:$AI$4407,'Tracking Sheet'!B2624,'Production '!$U$4:$U$4407)</f>
        <v>-10620.435600016917</v>
      </c>
      <c r="G2624" s="76" t="e">
        <f ca="1">SUMIF('Production '!$C$4:$AI$4407,'Tracking Sheet'!B2624,'Production '!$W$4:$W$4407)</f>
        <v>#DIV/0!</v>
      </c>
      <c r="H2624" s="76">
        <f ca="1">SUMIF('Production '!$C$4:$AI$4407,'Tracking Sheet'!B2624,'Production '!$F$4:$F$4407)</f>
        <v>3230621.3283604058</v>
      </c>
      <c r="I2624" s="76">
        <f ca="1">SUMIF('Production '!$C$4:$AI$4407,'Tracking Sheet'!B2624,'Production '!$V$4:$V$4407)</f>
        <v>-489.86487791182844</v>
      </c>
      <c r="J2624" s="76">
        <f ca="1">SUMIF('Production '!$C$4:$AI$4407,'Tracking Sheet'!B2624,'Production '!$AG$4:$AG$4407)</f>
        <v>0</v>
      </c>
    </row>
    <row r="2625" spans="2:10" x14ac:dyDescent="0.3">
      <c r="B2625" s="277">
        <f>'Production '!C2628</f>
        <v>0</v>
      </c>
      <c r="C2625" s="76" t="e">
        <f ca="1">SUMIF('Production '!$C$4:$AI$4407,'Tracking Sheet'!B2625,'Production '!$M$4:$M$4407)</f>
        <v>#DIV/0!</v>
      </c>
      <c r="D2625" s="76" t="e">
        <f ca="1">SUMIF('Production '!$C$4:$AI$4407,'Tracking Sheet'!B2625,'Production '!$Q$4:$Q$4407)</f>
        <v>#DIV/0!</v>
      </c>
      <c r="E2625" s="76">
        <f ca="1">SUMIF('Production '!$C$4:$AI$4407,'Tracking Sheet'!B2625,'Production '!$S$4:$S$4407)</f>
        <v>-1268218.9828305368</v>
      </c>
      <c r="F2625" s="76">
        <f ca="1">SUMIF('Production '!$C$4:$AI$4407,'Tracking Sheet'!B2625,'Production '!$U$4:$U$4407)</f>
        <v>-10620.435600016917</v>
      </c>
      <c r="G2625" s="76" t="e">
        <f ca="1">SUMIF('Production '!$C$4:$AI$4407,'Tracking Sheet'!B2625,'Production '!$W$4:$W$4407)</f>
        <v>#DIV/0!</v>
      </c>
      <c r="H2625" s="76">
        <f ca="1">SUMIF('Production '!$C$4:$AI$4407,'Tracking Sheet'!B2625,'Production '!$F$4:$F$4407)</f>
        <v>3230621.3283604058</v>
      </c>
      <c r="I2625" s="76">
        <f ca="1">SUMIF('Production '!$C$4:$AI$4407,'Tracking Sheet'!B2625,'Production '!$V$4:$V$4407)</f>
        <v>-489.86487791182844</v>
      </c>
      <c r="J2625" s="76">
        <f ca="1">SUMIF('Production '!$C$4:$AI$4407,'Tracking Sheet'!B2625,'Production '!$AG$4:$AG$4407)</f>
        <v>0</v>
      </c>
    </row>
    <row r="2626" spans="2:10" x14ac:dyDescent="0.3">
      <c r="B2626" s="277">
        <f>'Production '!C2629</f>
        <v>0</v>
      </c>
      <c r="C2626" s="76" t="e">
        <f ca="1">SUMIF('Production '!$C$4:$AI$4407,'Tracking Sheet'!B2626,'Production '!$M$4:$M$4407)</f>
        <v>#DIV/0!</v>
      </c>
      <c r="D2626" s="76" t="e">
        <f ca="1">SUMIF('Production '!$C$4:$AI$4407,'Tracking Sheet'!B2626,'Production '!$Q$4:$Q$4407)</f>
        <v>#DIV/0!</v>
      </c>
      <c r="E2626" s="76">
        <f ca="1">SUMIF('Production '!$C$4:$AI$4407,'Tracking Sheet'!B2626,'Production '!$S$4:$S$4407)</f>
        <v>-1268218.9828305368</v>
      </c>
      <c r="F2626" s="76">
        <f ca="1">SUMIF('Production '!$C$4:$AI$4407,'Tracking Sheet'!B2626,'Production '!$U$4:$U$4407)</f>
        <v>-10620.435600016917</v>
      </c>
      <c r="G2626" s="76" t="e">
        <f ca="1">SUMIF('Production '!$C$4:$AI$4407,'Tracking Sheet'!B2626,'Production '!$W$4:$W$4407)</f>
        <v>#DIV/0!</v>
      </c>
      <c r="H2626" s="76">
        <f ca="1">SUMIF('Production '!$C$4:$AI$4407,'Tracking Sheet'!B2626,'Production '!$F$4:$F$4407)</f>
        <v>3230621.3283604058</v>
      </c>
      <c r="I2626" s="76">
        <f ca="1">SUMIF('Production '!$C$4:$AI$4407,'Tracking Sheet'!B2626,'Production '!$V$4:$V$4407)</f>
        <v>-489.86487791182844</v>
      </c>
      <c r="J2626" s="76">
        <f ca="1">SUMIF('Production '!$C$4:$AI$4407,'Tracking Sheet'!B2626,'Production '!$AG$4:$AG$4407)</f>
        <v>0</v>
      </c>
    </row>
    <row r="2627" spans="2:10" x14ac:dyDescent="0.3">
      <c r="B2627" s="277">
        <f>'Production '!C2630</f>
        <v>0</v>
      </c>
      <c r="C2627" s="76" t="e">
        <f ca="1">SUMIF('Production '!$C$4:$AI$4407,'Tracking Sheet'!B2627,'Production '!$M$4:$M$4407)</f>
        <v>#DIV/0!</v>
      </c>
      <c r="D2627" s="76" t="e">
        <f ca="1">SUMIF('Production '!$C$4:$AI$4407,'Tracking Sheet'!B2627,'Production '!$Q$4:$Q$4407)</f>
        <v>#DIV/0!</v>
      </c>
      <c r="E2627" s="76">
        <f ca="1">SUMIF('Production '!$C$4:$AI$4407,'Tracking Sheet'!B2627,'Production '!$S$4:$S$4407)</f>
        <v>-1268218.9828305368</v>
      </c>
      <c r="F2627" s="76">
        <f ca="1">SUMIF('Production '!$C$4:$AI$4407,'Tracking Sheet'!B2627,'Production '!$U$4:$U$4407)</f>
        <v>-10620.435600016917</v>
      </c>
      <c r="G2627" s="76" t="e">
        <f ca="1">SUMIF('Production '!$C$4:$AI$4407,'Tracking Sheet'!B2627,'Production '!$W$4:$W$4407)</f>
        <v>#DIV/0!</v>
      </c>
      <c r="H2627" s="76">
        <f ca="1">SUMIF('Production '!$C$4:$AI$4407,'Tracking Sheet'!B2627,'Production '!$F$4:$F$4407)</f>
        <v>3230621.3283604058</v>
      </c>
      <c r="I2627" s="76">
        <f ca="1">SUMIF('Production '!$C$4:$AI$4407,'Tracking Sheet'!B2627,'Production '!$V$4:$V$4407)</f>
        <v>-489.86487791182844</v>
      </c>
      <c r="J2627" s="76">
        <f ca="1">SUMIF('Production '!$C$4:$AI$4407,'Tracking Sheet'!B2627,'Production '!$AG$4:$AG$4407)</f>
        <v>0</v>
      </c>
    </row>
    <row r="2628" spans="2:10" x14ac:dyDescent="0.3">
      <c r="B2628" s="277">
        <f>'Production '!C2631</f>
        <v>0</v>
      </c>
      <c r="C2628" s="76" t="e">
        <f ca="1">SUMIF('Production '!$C$4:$AI$4407,'Tracking Sheet'!B2628,'Production '!$M$4:$M$4407)</f>
        <v>#DIV/0!</v>
      </c>
      <c r="D2628" s="76" t="e">
        <f ca="1">SUMIF('Production '!$C$4:$AI$4407,'Tracking Sheet'!B2628,'Production '!$Q$4:$Q$4407)</f>
        <v>#DIV/0!</v>
      </c>
      <c r="E2628" s="76">
        <f ca="1">SUMIF('Production '!$C$4:$AI$4407,'Tracking Sheet'!B2628,'Production '!$S$4:$S$4407)</f>
        <v>-1268218.9828305368</v>
      </c>
      <c r="F2628" s="76">
        <f ca="1">SUMIF('Production '!$C$4:$AI$4407,'Tracking Sheet'!B2628,'Production '!$U$4:$U$4407)</f>
        <v>-10620.435600016917</v>
      </c>
      <c r="G2628" s="76" t="e">
        <f ca="1">SUMIF('Production '!$C$4:$AI$4407,'Tracking Sheet'!B2628,'Production '!$W$4:$W$4407)</f>
        <v>#DIV/0!</v>
      </c>
      <c r="H2628" s="76">
        <f ca="1">SUMIF('Production '!$C$4:$AI$4407,'Tracking Sheet'!B2628,'Production '!$F$4:$F$4407)</f>
        <v>3230621.3283604058</v>
      </c>
      <c r="I2628" s="76">
        <f ca="1">SUMIF('Production '!$C$4:$AI$4407,'Tracking Sheet'!B2628,'Production '!$V$4:$V$4407)</f>
        <v>-489.86487791182844</v>
      </c>
      <c r="J2628" s="76">
        <f ca="1">SUMIF('Production '!$C$4:$AI$4407,'Tracking Sheet'!B2628,'Production '!$AG$4:$AG$4407)</f>
        <v>0</v>
      </c>
    </row>
    <row r="2629" spans="2:10" x14ac:dyDescent="0.3">
      <c r="B2629" s="277">
        <f>'Production '!C2632</f>
        <v>0</v>
      </c>
      <c r="C2629" s="76" t="e">
        <f ca="1">SUMIF('Production '!$C$4:$AI$4407,'Tracking Sheet'!B2629,'Production '!$M$4:$M$4407)</f>
        <v>#DIV/0!</v>
      </c>
      <c r="D2629" s="76" t="e">
        <f ca="1">SUMIF('Production '!$C$4:$AI$4407,'Tracking Sheet'!B2629,'Production '!$Q$4:$Q$4407)</f>
        <v>#DIV/0!</v>
      </c>
      <c r="E2629" s="76">
        <f ca="1">SUMIF('Production '!$C$4:$AI$4407,'Tracking Sheet'!B2629,'Production '!$S$4:$S$4407)</f>
        <v>-1268218.9828305368</v>
      </c>
      <c r="F2629" s="76">
        <f ca="1">SUMIF('Production '!$C$4:$AI$4407,'Tracking Sheet'!B2629,'Production '!$U$4:$U$4407)</f>
        <v>-10620.435600016917</v>
      </c>
      <c r="G2629" s="76" t="e">
        <f ca="1">SUMIF('Production '!$C$4:$AI$4407,'Tracking Sheet'!B2629,'Production '!$W$4:$W$4407)</f>
        <v>#DIV/0!</v>
      </c>
      <c r="H2629" s="76">
        <f ca="1">SUMIF('Production '!$C$4:$AI$4407,'Tracking Sheet'!B2629,'Production '!$F$4:$F$4407)</f>
        <v>3230621.3283604058</v>
      </c>
      <c r="I2629" s="76">
        <f ca="1">SUMIF('Production '!$C$4:$AI$4407,'Tracking Sheet'!B2629,'Production '!$V$4:$V$4407)</f>
        <v>-489.86487791182844</v>
      </c>
      <c r="J2629" s="76">
        <f ca="1">SUMIF('Production '!$C$4:$AI$4407,'Tracking Sheet'!B2629,'Production '!$AG$4:$AG$4407)</f>
        <v>0</v>
      </c>
    </row>
    <row r="2630" spans="2:10" x14ac:dyDescent="0.3">
      <c r="B2630" s="277">
        <f>'Production '!C2633</f>
        <v>0</v>
      </c>
      <c r="C2630" s="76" t="e">
        <f ca="1">SUMIF('Production '!$C$4:$AI$4407,'Tracking Sheet'!B2630,'Production '!$M$4:$M$4407)</f>
        <v>#DIV/0!</v>
      </c>
      <c r="D2630" s="76" t="e">
        <f ca="1">SUMIF('Production '!$C$4:$AI$4407,'Tracking Sheet'!B2630,'Production '!$Q$4:$Q$4407)</f>
        <v>#DIV/0!</v>
      </c>
      <c r="E2630" s="76">
        <f ca="1">SUMIF('Production '!$C$4:$AI$4407,'Tracking Sheet'!B2630,'Production '!$S$4:$S$4407)</f>
        <v>-1268218.9828305368</v>
      </c>
      <c r="F2630" s="76">
        <f ca="1">SUMIF('Production '!$C$4:$AI$4407,'Tracking Sheet'!B2630,'Production '!$U$4:$U$4407)</f>
        <v>-10620.435600016917</v>
      </c>
      <c r="G2630" s="76" t="e">
        <f ca="1">SUMIF('Production '!$C$4:$AI$4407,'Tracking Sheet'!B2630,'Production '!$W$4:$W$4407)</f>
        <v>#DIV/0!</v>
      </c>
      <c r="H2630" s="76">
        <f ca="1">SUMIF('Production '!$C$4:$AI$4407,'Tracking Sheet'!B2630,'Production '!$F$4:$F$4407)</f>
        <v>3230621.3283604058</v>
      </c>
      <c r="I2630" s="76">
        <f ca="1">SUMIF('Production '!$C$4:$AI$4407,'Tracking Sheet'!B2630,'Production '!$V$4:$V$4407)</f>
        <v>-489.86487791182844</v>
      </c>
      <c r="J2630" s="76">
        <f ca="1">SUMIF('Production '!$C$4:$AI$4407,'Tracking Sheet'!B2630,'Production '!$AG$4:$AG$4407)</f>
        <v>0</v>
      </c>
    </row>
    <row r="2631" spans="2:10" x14ac:dyDescent="0.3">
      <c r="B2631" s="277">
        <f>'Production '!C2634</f>
        <v>0</v>
      </c>
      <c r="C2631" s="76" t="e">
        <f ca="1">SUMIF('Production '!$C$4:$AI$4407,'Tracking Sheet'!B2631,'Production '!$M$4:$M$4407)</f>
        <v>#DIV/0!</v>
      </c>
      <c r="D2631" s="76" t="e">
        <f ca="1">SUMIF('Production '!$C$4:$AI$4407,'Tracking Sheet'!B2631,'Production '!$Q$4:$Q$4407)</f>
        <v>#DIV/0!</v>
      </c>
      <c r="E2631" s="76">
        <f ca="1">SUMIF('Production '!$C$4:$AI$4407,'Tracking Sheet'!B2631,'Production '!$S$4:$S$4407)</f>
        <v>-1268218.9828305368</v>
      </c>
      <c r="F2631" s="76">
        <f ca="1">SUMIF('Production '!$C$4:$AI$4407,'Tracking Sheet'!B2631,'Production '!$U$4:$U$4407)</f>
        <v>-10620.435600016917</v>
      </c>
      <c r="G2631" s="76" t="e">
        <f ca="1">SUMIF('Production '!$C$4:$AI$4407,'Tracking Sheet'!B2631,'Production '!$W$4:$W$4407)</f>
        <v>#DIV/0!</v>
      </c>
      <c r="H2631" s="76">
        <f ca="1">SUMIF('Production '!$C$4:$AI$4407,'Tracking Sheet'!B2631,'Production '!$F$4:$F$4407)</f>
        <v>3230621.3283604058</v>
      </c>
      <c r="I2631" s="76">
        <f ca="1">SUMIF('Production '!$C$4:$AI$4407,'Tracking Sheet'!B2631,'Production '!$V$4:$V$4407)</f>
        <v>-489.86487791182844</v>
      </c>
      <c r="J2631" s="76">
        <f ca="1">SUMIF('Production '!$C$4:$AI$4407,'Tracking Sheet'!B2631,'Production '!$AG$4:$AG$4407)</f>
        <v>0</v>
      </c>
    </row>
    <row r="2632" spans="2:10" x14ac:dyDescent="0.3">
      <c r="B2632" s="277">
        <f>'Production '!C2635</f>
        <v>0</v>
      </c>
      <c r="C2632" s="76" t="e">
        <f ca="1">SUMIF('Production '!$C$4:$AI$4407,'Tracking Sheet'!B2632,'Production '!$M$4:$M$4407)</f>
        <v>#DIV/0!</v>
      </c>
      <c r="D2632" s="76" t="e">
        <f ca="1">SUMIF('Production '!$C$4:$AI$4407,'Tracking Sheet'!B2632,'Production '!$Q$4:$Q$4407)</f>
        <v>#DIV/0!</v>
      </c>
      <c r="E2632" s="76">
        <f ca="1">SUMIF('Production '!$C$4:$AI$4407,'Tracking Sheet'!B2632,'Production '!$S$4:$S$4407)</f>
        <v>-1268218.9828305368</v>
      </c>
      <c r="F2632" s="76">
        <f ca="1">SUMIF('Production '!$C$4:$AI$4407,'Tracking Sheet'!B2632,'Production '!$U$4:$U$4407)</f>
        <v>-10620.435600016917</v>
      </c>
      <c r="G2632" s="76" t="e">
        <f ca="1">SUMIF('Production '!$C$4:$AI$4407,'Tracking Sheet'!B2632,'Production '!$W$4:$W$4407)</f>
        <v>#DIV/0!</v>
      </c>
      <c r="H2632" s="76">
        <f ca="1">SUMIF('Production '!$C$4:$AI$4407,'Tracking Sheet'!B2632,'Production '!$F$4:$F$4407)</f>
        <v>3230621.3283604058</v>
      </c>
      <c r="I2632" s="76">
        <f ca="1">SUMIF('Production '!$C$4:$AI$4407,'Tracking Sheet'!B2632,'Production '!$V$4:$V$4407)</f>
        <v>-489.86487791182844</v>
      </c>
      <c r="J2632" s="76">
        <f ca="1">SUMIF('Production '!$C$4:$AI$4407,'Tracking Sheet'!B2632,'Production '!$AG$4:$AG$4407)</f>
        <v>0</v>
      </c>
    </row>
    <row r="2633" spans="2:10" x14ac:dyDescent="0.3">
      <c r="B2633" s="277">
        <f>'Production '!C2636</f>
        <v>0</v>
      </c>
      <c r="C2633" s="76" t="e">
        <f ca="1">SUMIF('Production '!$C$4:$AI$4407,'Tracking Sheet'!B2633,'Production '!$M$4:$M$4407)</f>
        <v>#DIV/0!</v>
      </c>
      <c r="D2633" s="76" t="e">
        <f ca="1">SUMIF('Production '!$C$4:$AI$4407,'Tracking Sheet'!B2633,'Production '!$Q$4:$Q$4407)</f>
        <v>#DIV/0!</v>
      </c>
      <c r="E2633" s="76">
        <f ca="1">SUMIF('Production '!$C$4:$AI$4407,'Tracking Sheet'!B2633,'Production '!$S$4:$S$4407)</f>
        <v>-1268218.9828305368</v>
      </c>
      <c r="F2633" s="76">
        <f ca="1">SUMIF('Production '!$C$4:$AI$4407,'Tracking Sheet'!B2633,'Production '!$U$4:$U$4407)</f>
        <v>-10620.435600016917</v>
      </c>
      <c r="G2633" s="76" t="e">
        <f ca="1">SUMIF('Production '!$C$4:$AI$4407,'Tracking Sheet'!B2633,'Production '!$W$4:$W$4407)</f>
        <v>#DIV/0!</v>
      </c>
      <c r="H2633" s="76">
        <f ca="1">SUMIF('Production '!$C$4:$AI$4407,'Tracking Sheet'!B2633,'Production '!$F$4:$F$4407)</f>
        <v>3230621.3283604058</v>
      </c>
      <c r="I2633" s="76">
        <f ca="1">SUMIF('Production '!$C$4:$AI$4407,'Tracking Sheet'!B2633,'Production '!$V$4:$V$4407)</f>
        <v>-489.86487791182844</v>
      </c>
      <c r="J2633" s="76">
        <f ca="1">SUMIF('Production '!$C$4:$AI$4407,'Tracking Sheet'!B2633,'Production '!$AG$4:$AG$4407)</f>
        <v>0</v>
      </c>
    </row>
    <row r="2634" spans="2:10" x14ac:dyDescent="0.3">
      <c r="B2634" s="277">
        <f>'Production '!C2637</f>
        <v>0</v>
      </c>
      <c r="C2634" s="76" t="e">
        <f ca="1">SUMIF('Production '!$C$4:$AI$4407,'Tracking Sheet'!B2634,'Production '!$M$4:$M$4407)</f>
        <v>#DIV/0!</v>
      </c>
      <c r="D2634" s="76" t="e">
        <f ca="1">SUMIF('Production '!$C$4:$AI$4407,'Tracking Sheet'!B2634,'Production '!$Q$4:$Q$4407)</f>
        <v>#DIV/0!</v>
      </c>
      <c r="E2634" s="76">
        <f ca="1">SUMIF('Production '!$C$4:$AI$4407,'Tracking Sheet'!B2634,'Production '!$S$4:$S$4407)</f>
        <v>-1268218.9828305368</v>
      </c>
      <c r="F2634" s="76">
        <f ca="1">SUMIF('Production '!$C$4:$AI$4407,'Tracking Sheet'!B2634,'Production '!$U$4:$U$4407)</f>
        <v>-10620.435600016917</v>
      </c>
      <c r="G2634" s="76" t="e">
        <f ca="1">SUMIF('Production '!$C$4:$AI$4407,'Tracking Sheet'!B2634,'Production '!$W$4:$W$4407)</f>
        <v>#DIV/0!</v>
      </c>
      <c r="H2634" s="76">
        <f ca="1">SUMIF('Production '!$C$4:$AI$4407,'Tracking Sheet'!B2634,'Production '!$F$4:$F$4407)</f>
        <v>3230621.3283604058</v>
      </c>
      <c r="I2634" s="76">
        <f ca="1">SUMIF('Production '!$C$4:$AI$4407,'Tracking Sheet'!B2634,'Production '!$V$4:$V$4407)</f>
        <v>-489.86487791182844</v>
      </c>
      <c r="J2634" s="76">
        <f ca="1">SUMIF('Production '!$C$4:$AI$4407,'Tracking Sheet'!B2634,'Production '!$AG$4:$AG$4407)</f>
        <v>0</v>
      </c>
    </row>
    <row r="2635" spans="2:10" x14ac:dyDescent="0.3">
      <c r="B2635" s="277">
        <f>'Production '!C2638</f>
        <v>0</v>
      </c>
      <c r="C2635" s="76" t="e">
        <f ca="1">SUMIF('Production '!$C$4:$AI$4407,'Tracking Sheet'!B2635,'Production '!$M$4:$M$4407)</f>
        <v>#DIV/0!</v>
      </c>
      <c r="D2635" s="76" t="e">
        <f ca="1">SUMIF('Production '!$C$4:$AI$4407,'Tracking Sheet'!B2635,'Production '!$Q$4:$Q$4407)</f>
        <v>#DIV/0!</v>
      </c>
      <c r="E2635" s="76">
        <f ca="1">SUMIF('Production '!$C$4:$AI$4407,'Tracking Sheet'!B2635,'Production '!$S$4:$S$4407)</f>
        <v>-1268218.9828305368</v>
      </c>
      <c r="F2635" s="76">
        <f ca="1">SUMIF('Production '!$C$4:$AI$4407,'Tracking Sheet'!B2635,'Production '!$U$4:$U$4407)</f>
        <v>-10620.435600016917</v>
      </c>
      <c r="G2635" s="76" t="e">
        <f ca="1">SUMIF('Production '!$C$4:$AI$4407,'Tracking Sheet'!B2635,'Production '!$W$4:$W$4407)</f>
        <v>#DIV/0!</v>
      </c>
      <c r="H2635" s="76">
        <f ca="1">SUMIF('Production '!$C$4:$AI$4407,'Tracking Sheet'!B2635,'Production '!$F$4:$F$4407)</f>
        <v>3230621.3283604058</v>
      </c>
      <c r="I2635" s="76">
        <f ca="1">SUMIF('Production '!$C$4:$AI$4407,'Tracking Sheet'!B2635,'Production '!$V$4:$V$4407)</f>
        <v>-489.86487791182844</v>
      </c>
      <c r="J2635" s="76">
        <f ca="1">SUMIF('Production '!$C$4:$AI$4407,'Tracking Sheet'!B2635,'Production '!$AG$4:$AG$4407)</f>
        <v>0</v>
      </c>
    </row>
    <row r="2636" spans="2:10" x14ac:dyDescent="0.3">
      <c r="B2636" s="277">
        <f>'Production '!C2639</f>
        <v>0</v>
      </c>
      <c r="C2636" s="76" t="e">
        <f ca="1">SUMIF('Production '!$C$4:$AI$4407,'Tracking Sheet'!B2636,'Production '!$M$4:$M$4407)</f>
        <v>#DIV/0!</v>
      </c>
      <c r="D2636" s="76" t="e">
        <f ca="1">SUMIF('Production '!$C$4:$AI$4407,'Tracking Sheet'!B2636,'Production '!$Q$4:$Q$4407)</f>
        <v>#DIV/0!</v>
      </c>
      <c r="E2636" s="76">
        <f ca="1">SUMIF('Production '!$C$4:$AI$4407,'Tracking Sheet'!B2636,'Production '!$S$4:$S$4407)</f>
        <v>-1268218.9828305368</v>
      </c>
      <c r="F2636" s="76">
        <f ca="1">SUMIF('Production '!$C$4:$AI$4407,'Tracking Sheet'!B2636,'Production '!$U$4:$U$4407)</f>
        <v>-10620.435600016917</v>
      </c>
      <c r="G2636" s="76" t="e">
        <f ca="1">SUMIF('Production '!$C$4:$AI$4407,'Tracking Sheet'!B2636,'Production '!$W$4:$W$4407)</f>
        <v>#DIV/0!</v>
      </c>
      <c r="H2636" s="76">
        <f ca="1">SUMIF('Production '!$C$4:$AI$4407,'Tracking Sheet'!B2636,'Production '!$F$4:$F$4407)</f>
        <v>3230621.3283604058</v>
      </c>
      <c r="I2636" s="76">
        <f ca="1">SUMIF('Production '!$C$4:$AI$4407,'Tracking Sheet'!B2636,'Production '!$V$4:$V$4407)</f>
        <v>-489.86487791182844</v>
      </c>
      <c r="J2636" s="76">
        <f ca="1">SUMIF('Production '!$C$4:$AI$4407,'Tracking Sheet'!B2636,'Production '!$AG$4:$AG$4407)</f>
        <v>0</v>
      </c>
    </row>
    <row r="2637" spans="2:10" x14ac:dyDescent="0.3">
      <c r="B2637" s="277">
        <f>'Production '!C2640</f>
        <v>0</v>
      </c>
      <c r="C2637" s="76" t="e">
        <f ca="1">SUMIF('Production '!$C$4:$AI$4407,'Tracking Sheet'!B2637,'Production '!$M$4:$M$4407)</f>
        <v>#DIV/0!</v>
      </c>
      <c r="D2637" s="76" t="e">
        <f ca="1">SUMIF('Production '!$C$4:$AI$4407,'Tracking Sheet'!B2637,'Production '!$Q$4:$Q$4407)</f>
        <v>#DIV/0!</v>
      </c>
      <c r="E2637" s="76">
        <f ca="1">SUMIF('Production '!$C$4:$AI$4407,'Tracking Sheet'!B2637,'Production '!$S$4:$S$4407)</f>
        <v>-1268218.9828305368</v>
      </c>
      <c r="F2637" s="76">
        <f ca="1">SUMIF('Production '!$C$4:$AI$4407,'Tracking Sheet'!B2637,'Production '!$U$4:$U$4407)</f>
        <v>-10620.435600016917</v>
      </c>
      <c r="G2637" s="76" t="e">
        <f ca="1">SUMIF('Production '!$C$4:$AI$4407,'Tracking Sheet'!B2637,'Production '!$W$4:$W$4407)</f>
        <v>#DIV/0!</v>
      </c>
      <c r="H2637" s="76">
        <f ca="1">SUMIF('Production '!$C$4:$AI$4407,'Tracking Sheet'!B2637,'Production '!$F$4:$F$4407)</f>
        <v>3230621.3283604058</v>
      </c>
      <c r="I2637" s="76">
        <f ca="1">SUMIF('Production '!$C$4:$AI$4407,'Tracking Sheet'!B2637,'Production '!$V$4:$V$4407)</f>
        <v>-489.86487791182844</v>
      </c>
      <c r="J2637" s="76">
        <f ca="1">SUMIF('Production '!$C$4:$AI$4407,'Tracking Sheet'!B2637,'Production '!$AG$4:$AG$4407)</f>
        <v>0</v>
      </c>
    </row>
    <row r="2638" spans="2:10" x14ac:dyDescent="0.3">
      <c r="B2638" s="277">
        <f>'Production '!C2641</f>
        <v>0</v>
      </c>
      <c r="C2638" s="76" t="e">
        <f ca="1">SUMIF('Production '!$C$4:$AI$4407,'Tracking Sheet'!B2638,'Production '!$M$4:$M$4407)</f>
        <v>#DIV/0!</v>
      </c>
      <c r="D2638" s="76" t="e">
        <f ca="1">SUMIF('Production '!$C$4:$AI$4407,'Tracking Sheet'!B2638,'Production '!$Q$4:$Q$4407)</f>
        <v>#DIV/0!</v>
      </c>
      <c r="E2638" s="76">
        <f ca="1">SUMIF('Production '!$C$4:$AI$4407,'Tracking Sheet'!B2638,'Production '!$S$4:$S$4407)</f>
        <v>-1268218.9828305368</v>
      </c>
      <c r="F2638" s="76">
        <f ca="1">SUMIF('Production '!$C$4:$AI$4407,'Tracking Sheet'!B2638,'Production '!$U$4:$U$4407)</f>
        <v>-10620.435600016917</v>
      </c>
      <c r="G2638" s="76" t="e">
        <f ca="1">SUMIF('Production '!$C$4:$AI$4407,'Tracking Sheet'!B2638,'Production '!$W$4:$W$4407)</f>
        <v>#DIV/0!</v>
      </c>
      <c r="H2638" s="76">
        <f ca="1">SUMIF('Production '!$C$4:$AI$4407,'Tracking Sheet'!B2638,'Production '!$F$4:$F$4407)</f>
        <v>3230621.3283604058</v>
      </c>
      <c r="I2638" s="76">
        <f ca="1">SUMIF('Production '!$C$4:$AI$4407,'Tracking Sheet'!B2638,'Production '!$V$4:$V$4407)</f>
        <v>-489.86487791182844</v>
      </c>
      <c r="J2638" s="76">
        <f ca="1">SUMIF('Production '!$C$4:$AI$4407,'Tracking Sheet'!B2638,'Production '!$AG$4:$AG$4407)</f>
        <v>0</v>
      </c>
    </row>
    <row r="2639" spans="2:10" x14ac:dyDescent="0.3">
      <c r="B2639" s="277">
        <f>'Production '!C2642</f>
        <v>0</v>
      </c>
      <c r="C2639" s="76" t="e">
        <f ca="1">SUMIF('Production '!$C$4:$AI$4407,'Tracking Sheet'!B2639,'Production '!$M$4:$M$4407)</f>
        <v>#DIV/0!</v>
      </c>
      <c r="D2639" s="76" t="e">
        <f ca="1">SUMIF('Production '!$C$4:$AI$4407,'Tracking Sheet'!B2639,'Production '!$Q$4:$Q$4407)</f>
        <v>#DIV/0!</v>
      </c>
      <c r="E2639" s="76">
        <f ca="1">SUMIF('Production '!$C$4:$AI$4407,'Tracking Sheet'!B2639,'Production '!$S$4:$S$4407)</f>
        <v>-1268218.9828305368</v>
      </c>
      <c r="F2639" s="76">
        <f ca="1">SUMIF('Production '!$C$4:$AI$4407,'Tracking Sheet'!B2639,'Production '!$U$4:$U$4407)</f>
        <v>-10620.435600016917</v>
      </c>
      <c r="G2639" s="76" t="e">
        <f ca="1">SUMIF('Production '!$C$4:$AI$4407,'Tracking Sheet'!B2639,'Production '!$W$4:$W$4407)</f>
        <v>#DIV/0!</v>
      </c>
      <c r="H2639" s="76">
        <f ca="1">SUMIF('Production '!$C$4:$AI$4407,'Tracking Sheet'!B2639,'Production '!$F$4:$F$4407)</f>
        <v>3230621.3283604058</v>
      </c>
      <c r="I2639" s="76">
        <f ca="1">SUMIF('Production '!$C$4:$AI$4407,'Tracking Sheet'!B2639,'Production '!$V$4:$V$4407)</f>
        <v>-489.86487791182844</v>
      </c>
      <c r="J2639" s="76">
        <f ca="1">SUMIF('Production '!$C$4:$AI$4407,'Tracking Sheet'!B2639,'Production '!$AG$4:$AG$4407)</f>
        <v>0</v>
      </c>
    </row>
    <row r="2640" spans="2:10" x14ac:dyDescent="0.3">
      <c r="B2640" s="277">
        <f>'Production '!C2643</f>
        <v>0</v>
      </c>
      <c r="C2640" s="76" t="e">
        <f ca="1">SUMIF('Production '!$C$4:$AI$4407,'Tracking Sheet'!B2640,'Production '!$M$4:$M$4407)</f>
        <v>#DIV/0!</v>
      </c>
      <c r="D2640" s="76" t="e">
        <f ca="1">SUMIF('Production '!$C$4:$AI$4407,'Tracking Sheet'!B2640,'Production '!$Q$4:$Q$4407)</f>
        <v>#DIV/0!</v>
      </c>
      <c r="E2640" s="76">
        <f ca="1">SUMIF('Production '!$C$4:$AI$4407,'Tracking Sheet'!B2640,'Production '!$S$4:$S$4407)</f>
        <v>-1268218.9828305368</v>
      </c>
      <c r="F2640" s="76">
        <f ca="1">SUMIF('Production '!$C$4:$AI$4407,'Tracking Sheet'!B2640,'Production '!$U$4:$U$4407)</f>
        <v>-10620.435600016917</v>
      </c>
      <c r="G2640" s="76" t="e">
        <f ca="1">SUMIF('Production '!$C$4:$AI$4407,'Tracking Sheet'!B2640,'Production '!$W$4:$W$4407)</f>
        <v>#DIV/0!</v>
      </c>
      <c r="H2640" s="76">
        <f ca="1">SUMIF('Production '!$C$4:$AI$4407,'Tracking Sheet'!B2640,'Production '!$F$4:$F$4407)</f>
        <v>3230621.3283604058</v>
      </c>
      <c r="I2640" s="76">
        <f ca="1">SUMIF('Production '!$C$4:$AI$4407,'Tracking Sheet'!B2640,'Production '!$V$4:$V$4407)</f>
        <v>-489.86487791182844</v>
      </c>
      <c r="J2640" s="76">
        <f ca="1">SUMIF('Production '!$C$4:$AI$4407,'Tracking Sheet'!B2640,'Production '!$AG$4:$AG$4407)</f>
        <v>0</v>
      </c>
    </row>
    <row r="2641" spans="2:10" x14ac:dyDescent="0.3">
      <c r="B2641" s="277">
        <f>'Production '!C2644</f>
        <v>0</v>
      </c>
      <c r="C2641" s="76" t="e">
        <f ca="1">SUMIF('Production '!$C$4:$AI$4407,'Tracking Sheet'!B2641,'Production '!$M$4:$M$4407)</f>
        <v>#DIV/0!</v>
      </c>
      <c r="D2641" s="76" t="e">
        <f ca="1">SUMIF('Production '!$C$4:$AI$4407,'Tracking Sheet'!B2641,'Production '!$Q$4:$Q$4407)</f>
        <v>#DIV/0!</v>
      </c>
      <c r="E2641" s="76">
        <f ca="1">SUMIF('Production '!$C$4:$AI$4407,'Tracking Sheet'!B2641,'Production '!$S$4:$S$4407)</f>
        <v>-1268218.9828305368</v>
      </c>
      <c r="F2641" s="76">
        <f ca="1">SUMIF('Production '!$C$4:$AI$4407,'Tracking Sheet'!B2641,'Production '!$U$4:$U$4407)</f>
        <v>-10620.435600016917</v>
      </c>
      <c r="G2641" s="76" t="e">
        <f ca="1">SUMIF('Production '!$C$4:$AI$4407,'Tracking Sheet'!B2641,'Production '!$W$4:$W$4407)</f>
        <v>#DIV/0!</v>
      </c>
      <c r="H2641" s="76">
        <f ca="1">SUMIF('Production '!$C$4:$AI$4407,'Tracking Sheet'!B2641,'Production '!$F$4:$F$4407)</f>
        <v>3230621.3283604058</v>
      </c>
      <c r="I2641" s="76">
        <f ca="1">SUMIF('Production '!$C$4:$AI$4407,'Tracking Sheet'!B2641,'Production '!$V$4:$V$4407)</f>
        <v>-489.86487791182844</v>
      </c>
      <c r="J2641" s="76">
        <f ca="1">SUMIF('Production '!$C$4:$AI$4407,'Tracking Sheet'!B2641,'Production '!$AG$4:$AG$4407)</f>
        <v>0</v>
      </c>
    </row>
    <row r="2642" spans="2:10" x14ac:dyDescent="0.3">
      <c r="B2642" s="277">
        <f>'Production '!C2645</f>
        <v>0</v>
      </c>
      <c r="C2642" s="76" t="e">
        <f ca="1">SUMIF('Production '!$C$4:$AI$4407,'Tracking Sheet'!B2642,'Production '!$M$4:$M$4407)</f>
        <v>#DIV/0!</v>
      </c>
      <c r="D2642" s="76" t="e">
        <f ca="1">SUMIF('Production '!$C$4:$AI$4407,'Tracking Sheet'!B2642,'Production '!$Q$4:$Q$4407)</f>
        <v>#DIV/0!</v>
      </c>
      <c r="E2642" s="76">
        <f ca="1">SUMIF('Production '!$C$4:$AI$4407,'Tracking Sheet'!B2642,'Production '!$S$4:$S$4407)</f>
        <v>-1268218.9828305368</v>
      </c>
      <c r="F2642" s="76">
        <f ca="1">SUMIF('Production '!$C$4:$AI$4407,'Tracking Sheet'!B2642,'Production '!$U$4:$U$4407)</f>
        <v>-10620.435600016917</v>
      </c>
      <c r="G2642" s="76" t="e">
        <f ca="1">SUMIF('Production '!$C$4:$AI$4407,'Tracking Sheet'!B2642,'Production '!$W$4:$W$4407)</f>
        <v>#DIV/0!</v>
      </c>
      <c r="H2642" s="76">
        <f ca="1">SUMIF('Production '!$C$4:$AI$4407,'Tracking Sheet'!B2642,'Production '!$F$4:$F$4407)</f>
        <v>3230621.3283604058</v>
      </c>
      <c r="I2642" s="76">
        <f ca="1">SUMIF('Production '!$C$4:$AI$4407,'Tracking Sheet'!B2642,'Production '!$V$4:$V$4407)</f>
        <v>-489.86487791182844</v>
      </c>
      <c r="J2642" s="76">
        <f ca="1">SUMIF('Production '!$C$4:$AI$4407,'Tracking Sheet'!B2642,'Production '!$AG$4:$AG$4407)</f>
        <v>0</v>
      </c>
    </row>
    <row r="2643" spans="2:10" x14ac:dyDescent="0.3">
      <c r="B2643" s="277">
        <f>'Production '!C2646</f>
        <v>0</v>
      </c>
      <c r="C2643" s="76" t="e">
        <f ca="1">SUMIF('Production '!$C$4:$AI$4407,'Tracking Sheet'!B2643,'Production '!$M$4:$M$4407)</f>
        <v>#DIV/0!</v>
      </c>
      <c r="D2643" s="76" t="e">
        <f ca="1">SUMIF('Production '!$C$4:$AI$4407,'Tracking Sheet'!B2643,'Production '!$Q$4:$Q$4407)</f>
        <v>#DIV/0!</v>
      </c>
      <c r="E2643" s="76">
        <f ca="1">SUMIF('Production '!$C$4:$AI$4407,'Tracking Sheet'!B2643,'Production '!$S$4:$S$4407)</f>
        <v>-1268218.9828305368</v>
      </c>
      <c r="F2643" s="76">
        <f ca="1">SUMIF('Production '!$C$4:$AI$4407,'Tracking Sheet'!B2643,'Production '!$U$4:$U$4407)</f>
        <v>-10620.435600016917</v>
      </c>
      <c r="G2643" s="76" t="e">
        <f ca="1">SUMIF('Production '!$C$4:$AI$4407,'Tracking Sheet'!B2643,'Production '!$W$4:$W$4407)</f>
        <v>#DIV/0!</v>
      </c>
      <c r="H2643" s="76">
        <f ca="1">SUMIF('Production '!$C$4:$AI$4407,'Tracking Sheet'!B2643,'Production '!$F$4:$F$4407)</f>
        <v>3230621.3283604058</v>
      </c>
      <c r="I2643" s="76">
        <f ca="1">SUMIF('Production '!$C$4:$AI$4407,'Tracking Sheet'!B2643,'Production '!$V$4:$V$4407)</f>
        <v>-489.86487791182844</v>
      </c>
      <c r="J2643" s="76">
        <f ca="1">SUMIF('Production '!$C$4:$AI$4407,'Tracking Sheet'!B2643,'Production '!$AG$4:$AG$4407)</f>
        <v>0</v>
      </c>
    </row>
    <row r="2644" spans="2:10" x14ac:dyDescent="0.3">
      <c r="B2644" s="277">
        <f>'Production '!C2647</f>
        <v>0</v>
      </c>
      <c r="C2644" s="76" t="e">
        <f ca="1">SUMIF('Production '!$C$4:$AI$4407,'Tracking Sheet'!B2644,'Production '!$M$4:$M$4407)</f>
        <v>#DIV/0!</v>
      </c>
      <c r="D2644" s="76" t="e">
        <f ca="1">SUMIF('Production '!$C$4:$AI$4407,'Tracking Sheet'!B2644,'Production '!$Q$4:$Q$4407)</f>
        <v>#DIV/0!</v>
      </c>
      <c r="E2644" s="76">
        <f ca="1">SUMIF('Production '!$C$4:$AI$4407,'Tracking Sheet'!B2644,'Production '!$S$4:$S$4407)</f>
        <v>-1268218.9828305368</v>
      </c>
      <c r="F2644" s="76">
        <f ca="1">SUMIF('Production '!$C$4:$AI$4407,'Tracking Sheet'!B2644,'Production '!$U$4:$U$4407)</f>
        <v>-10620.435600016917</v>
      </c>
      <c r="G2644" s="76" t="e">
        <f ca="1">SUMIF('Production '!$C$4:$AI$4407,'Tracking Sheet'!B2644,'Production '!$W$4:$W$4407)</f>
        <v>#DIV/0!</v>
      </c>
      <c r="H2644" s="76">
        <f ca="1">SUMIF('Production '!$C$4:$AI$4407,'Tracking Sheet'!B2644,'Production '!$F$4:$F$4407)</f>
        <v>3230621.3283604058</v>
      </c>
      <c r="I2644" s="76">
        <f ca="1">SUMIF('Production '!$C$4:$AI$4407,'Tracking Sheet'!B2644,'Production '!$V$4:$V$4407)</f>
        <v>-489.86487791182844</v>
      </c>
      <c r="J2644" s="76">
        <f ca="1">SUMIF('Production '!$C$4:$AI$4407,'Tracking Sheet'!B2644,'Production '!$AG$4:$AG$4407)</f>
        <v>0</v>
      </c>
    </row>
    <row r="2645" spans="2:10" x14ac:dyDescent="0.3">
      <c r="B2645" s="277">
        <f>'Production '!C2648</f>
        <v>0</v>
      </c>
      <c r="C2645" s="76" t="e">
        <f ca="1">SUMIF('Production '!$C$4:$AI$4407,'Tracking Sheet'!B2645,'Production '!$M$4:$M$4407)</f>
        <v>#DIV/0!</v>
      </c>
      <c r="D2645" s="76" t="e">
        <f ca="1">SUMIF('Production '!$C$4:$AI$4407,'Tracking Sheet'!B2645,'Production '!$Q$4:$Q$4407)</f>
        <v>#DIV/0!</v>
      </c>
      <c r="E2645" s="76">
        <f ca="1">SUMIF('Production '!$C$4:$AI$4407,'Tracking Sheet'!B2645,'Production '!$S$4:$S$4407)</f>
        <v>-1268218.9828305368</v>
      </c>
      <c r="F2645" s="76">
        <f ca="1">SUMIF('Production '!$C$4:$AI$4407,'Tracking Sheet'!B2645,'Production '!$U$4:$U$4407)</f>
        <v>-10620.435600016917</v>
      </c>
      <c r="G2645" s="76" t="e">
        <f ca="1">SUMIF('Production '!$C$4:$AI$4407,'Tracking Sheet'!B2645,'Production '!$W$4:$W$4407)</f>
        <v>#DIV/0!</v>
      </c>
      <c r="H2645" s="76">
        <f ca="1">SUMIF('Production '!$C$4:$AI$4407,'Tracking Sheet'!B2645,'Production '!$F$4:$F$4407)</f>
        <v>3230621.3283604058</v>
      </c>
      <c r="I2645" s="76">
        <f ca="1">SUMIF('Production '!$C$4:$AI$4407,'Tracking Sheet'!B2645,'Production '!$V$4:$V$4407)</f>
        <v>-489.86487791182844</v>
      </c>
      <c r="J2645" s="76">
        <f ca="1">SUMIF('Production '!$C$4:$AI$4407,'Tracking Sheet'!B2645,'Production '!$AG$4:$AG$4407)</f>
        <v>0</v>
      </c>
    </row>
    <row r="2646" spans="2:10" x14ac:dyDescent="0.3">
      <c r="B2646" s="277">
        <f>'Production '!C2649</f>
        <v>0</v>
      </c>
      <c r="C2646" s="76" t="e">
        <f ca="1">SUMIF('Production '!$C$4:$AI$4407,'Tracking Sheet'!B2646,'Production '!$M$4:$M$4407)</f>
        <v>#DIV/0!</v>
      </c>
      <c r="D2646" s="76" t="e">
        <f ca="1">SUMIF('Production '!$C$4:$AI$4407,'Tracking Sheet'!B2646,'Production '!$Q$4:$Q$4407)</f>
        <v>#DIV/0!</v>
      </c>
      <c r="E2646" s="76">
        <f ca="1">SUMIF('Production '!$C$4:$AI$4407,'Tracking Sheet'!B2646,'Production '!$S$4:$S$4407)</f>
        <v>-1268218.9828305368</v>
      </c>
      <c r="F2646" s="76">
        <f ca="1">SUMIF('Production '!$C$4:$AI$4407,'Tracking Sheet'!B2646,'Production '!$U$4:$U$4407)</f>
        <v>-10620.435600016917</v>
      </c>
      <c r="G2646" s="76" t="e">
        <f ca="1">SUMIF('Production '!$C$4:$AI$4407,'Tracking Sheet'!B2646,'Production '!$W$4:$W$4407)</f>
        <v>#DIV/0!</v>
      </c>
      <c r="H2646" s="76">
        <f ca="1">SUMIF('Production '!$C$4:$AI$4407,'Tracking Sheet'!B2646,'Production '!$F$4:$F$4407)</f>
        <v>3230621.3283604058</v>
      </c>
      <c r="I2646" s="76">
        <f ca="1">SUMIF('Production '!$C$4:$AI$4407,'Tracking Sheet'!B2646,'Production '!$V$4:$V$4407)</f>
        <v>-489.86487791182844</v>
      </c>
      <c r="J2646" s="76">
        <f ca="1">SUMIF('Production '!$C$4:$AI$4407,'Tracking Sheet'!B2646,'Production '!$AG$4:$AG$4407)</f>
        <v>0</v>
      </c>
    </row>
    <row r="2647" spans="2:10" x14ac:dyDescent="0.3">
      <c r="B2647" s="277">
        <f>'Production '!C2650</f>
        <v>0</v>
      </c>
      <c r="C2647" s="76" t="e">
        <f ca="1">SUMIF('Production '!$C$4:$AI$4407,'Tracking Sheet'!B2647,'Production '!$M$4:$M$4407)</f>
        <v>#DIV/0!</v>
      </c>
      <c r="D2647" s="76" t="e">
        <f ca="1">SUMIF('Production '!$C$4:$AI$4407,'Tracking Sheet'!B2647,'Production '!$Q$4:$Q$4407)</f>
        <v>#DIV/0!</v>
      </c>
      <c r="E2647" s="76">
        <f ca="1">SUMIF('Production '!$C$4:$AI$4407,'Tracking Sheet'!B2647,'Production '!$S$4:$S$4407)</f>
        <v>-1268218.9828305368</v>
      </c>
      <c r="F2647" s="76">
        <f ca="1">SUMIF('Production '!$C$4:$AI$4407,'Tracking Sheet'!B2647,'Production '!$U$4:$U$4407)</f>
        <v>-10620.435600016917</v>
      </c>
      <c r="G2647" s="76" t="e">
        <f ca="1">SUMIF('Production '!$C$4:$AI$4407,'Tracking Sheet'!B2647,'Production '!$W$4:$W$4407)</f>
        <v>#DIV/0!</v>
      </c>
      <c r="H2647" s="76">
        <f ca="1">SUMIF('Production '!$C$4:$AI$4407,'Tracking Sheet'!B2647,'Production '!$F$4:$F$4407)</f>
        <v>3230621.3283604058</v>
      </c>
      <c r="I2647" s="76">
        <f ca="1">SUMIF('Production '!$C$4:$AI$4407,'Tracking Sheet'!B2647,'Production '!$V$4:$V$4407)</f>
        <v>-489.86487791182844</v>
      </c>
      <c r="J2647" s="76">
        <f ca="1">SUMIF('Production '!$C$4:$AI$4407,'Tracking Sheet'!B2647,'Production '!$AG$4:$AG$4407)</f>
        <v>0</v>
      </c>
    </row>
    <row r="2648" spans="2:10" x14ac:dyDescent="0.3">
      <c r="B2648" s="277">
        <f>'Production '!C2651</f>
        <v>0</v>
      </c>
      <c r="C2648" s="76" t="e">
        <f ca="1">SUMIF('Production '!$C$4:$AI$4407,'Tracking Sheet'!B2648,'Production '!$M$4:$M$4407)</f>
        <v>#DIV/0!</v>
      </c>
      <c r="D2648" s="76" t="e">
        <f ca="1">SUMIF('Production '!$C$4:$AI$4407,'Tracking Sheet'!B2648,'Production '!$Q$4:$Q$4407)</f>
        <v>#DIV/0!</v>
      </c>
      <c r="E2648" s="76">
        <f ca="1">SUMIF('Production '!$C$4:$AI$4407,'Tracking Sheet'!B2648,'Production '!$S$4:$S$4407)</f>
        <v>-1268218.9828305368</v>
      </c>
      <c r="F2648" s="76">
        <f ca="1">SUMIF('Production '!$C$4:$AI$4407,'Tracking Sheet'!B2648,'Production '!$U$4:$U$4407)</f>
        <v>-10620.435600016917</v>
      </c>
      <c r="G2648" s="76" t="e">
        <f ca="1">SUMIF('Production '!$C$4:$AI$4407,'Tracking Sheet'!B2648,'Production '!$W$4:$W$4407)</f>
        <v>#DIV/0!</v>
      </c>
      <c r="H2648" s="76">
        <f ca="1">SUMIF('Production '!$C$4:$AI$4407,'Tracking Sheet'!B2648,'Production '!$F$4:$F$4407)</f>
        <v>3230621.3283604058</v>
      </c>
      <c r="I2648" s="76">
        <f ca="1">SUMIF('Production '!$C$4:$AI$4407,'Tracking Sheet'!B2648,'Production '!$V$4:$V$4407)</f>
        <v>-489.86487791182844</v>
      </c>
      <c r="J2648" s="76">
        <f ca="1">SUMIF('Production '!$C$4:$AI$4407,'Tracking Sheet'!B2648,'Production '!$AG$4:$AG$4407)</f>
        <v>0</v>
      </c>
    </row>
    <row r="2649" spans="2:10" x14ac:dyDescent="0.3">
      <c r="B2649" s="277">
        <f>'Production '!C2652</f>
        <v>0</v>
      </c>
      <c r="C2649" s="76" t="e">
        <f ca="1">SUMIF('Production '!$C$4:$AI$4407,'Tracking Sheet'!B2649,'Production '!$M$4:$M$4407)</f>
        <v>#DIV/0!</v>
      </c>
      <c r="D2649" s="76" t="e">
        <f ca="1">SUMIF('Production '!$C$4:$AI$4407,'Tracking Sheet'!B2649,'Production '!$Q$4:$Q$4407)</f>
        <v>#DIV/0!</v>
      </c>
      <c r="E2649" s="76">
        <f ca="1">SUMIF('Production '!$C$4:$AI$4407,'Tracking Sheet'!B2649,'Production '!$S$4:$S$4407)</f>
        <v>-1268218.9828305368</v>
      </c>
      <c r="F2649" s="76">
        <f ca="1">SUMIF('Production '!$C$4:$AI$4407,'Tracking Sheet'!B2649,'Production '!$U$4:$U$4407)</f>
        <v>-10620.435600016917</v>
      </c>
      <c r="G2649" s="76" t="e">
        <f ca="1">SUMIF('Production '!$C$4:$AI$4407,'Tracking Sheet'!B2649,'Production '!$W$4:$W$4407)</f>
        <v>#DIV/0!</v>
      </c>
      <c r="H2649" s="76">
        <f ca="1">SUMIF('Production '!$C$4:$AI$4407,'Tracking Sheet'!B2649,'Production '!$F$4:$F$4407)</f>
        <v>3230621.3283604058</v>
      </c>
      <c r="I2649" s="76">
        <f ca="1">SUMIF('Production '!$C$4:$AI$4407,'Tracking Sheet'!B2649,'Production '!$V$4:$V$4407)</f>
        <v>-489.86487791182844</v>
      </c>
      <c r="J2649" s="76">
        <f ca="1">SUMIF('Production '!$C$4:$AI$4407,'Tracking Sheet'!B2649,'Production '!$AG$4:$AG$4407)</f>
        <v>0</v>
      </c>
    </row>
    <row r="2650" spans="2:10" x14ac:dyDescent="0.3">
      <c r="B2650" s="277">
        <f>'Production '!C2653</f>
        <v>0</v>
      </c>
      <c r="C2650" s="76" t="e">
        <f ca="1">SUMIF('Production '!$C$4:$AI$4407,'Tracking Sheet'!B2650,'Production '!$M$4:$M$4407)</f>
        <v>#DIV/0!</v>
      </c>
      <c r="D2650" s="76" t="e">
        <f ca="1">SUMIF('Production '!$C$4:$AI$4407,'Tracking Sheet'!B2650,'Production '!$Q$4:$Q$4407)</f>
        <v>#DIV/0!</v>
      </c>
      <c r="E2650" s="76">
        <f ca="1">SUMIF('Production '!$C$4:$AI$4407,'Tracking Sheet'!B2650,'Production '!$S$4:$S$4407)</f>
        <v>-1268218.9828305368</v>
      </c>
      <c r="F2650" s="76">
        <f ca="1">SUMIF('Production '!$C$4:$AI$4407,'Tracking Sheet'!B2650,'Production '!$U$4:$U$4407)</f>
        <v>-10620.435600016917</v>
      </c>
      <c r="G2650" s="76" t="e">
        <f ca="1">SUMIF('Production '!$C$4:$AI$4407,'Tracking Sheet'!B2650,'Production '!$W$4:$W$4407)</f>
        <v>#DIV/0!</v>
      </c>
      <c r="H2650" s="76">
        <f ca="1">SUMIF('Production '!$C$4:$AI$4407,'Tracking Sheet'!B2650,'Production '!$F$4:$F$4407)</f>
        <v>3230621.3283604058</v>
      </c>
      <c r="I2650" s="76">
        <f ca="1">SUMIF('Production '!$C$4:$AI$4407,'Tracking Sheet'!B2650,'Production '!$V$4:$V$4407)</f>
        <v>-489.86487791182844</v>
      </c>
      <c r="J2650" s="76">
        <f ca="1">SUMIF('Production '!$C$4:$AI$4407,'Tracking Sheet'!B2650,'Production '!$AG$4:$AG$4407)</f>
        <v>0</v>
      </c>
    </row>
    <row r="2651" spans="2:10" x14ac:dyDescent="0.3">
      <c r="B2651" s="277">
        <f>'Production '!C2654</f>
        <v>0</v>
      </c>
      <c r="C2651" s="76" t="e">
        <f ca="1">SUMIF('Production '!$C$4:$AI$4407,'Tracking Sheet'!B2651,'Production '!$M$4:$M$4407)</f>
        <v>#DIV/0!</v>
      </c>
      <c r="D2651" s="76" t="e">
        <f ca="1">SUMIF('Production '!$C$4:$AI$4407,'Tracking Sheet'!B2651,'Production '!$Q$4:$Q$4407)</f>
        <v>#DIV/0!</v>
      </c>
      <c r="E2651" s="76">
        <f ca="1">SUMIF('Production '!$C$4:$AI$4407,'Tracking Sheet'!B2651,'Production '!$S$4:$S$4407)</f>
        <v>-1268218.9828305368</v>
      </c>
      <c r="F2651" s="76">
        <f ca="1">SUMIF('Production '!$C$4:$AI$4407,'Tracking Sheet'!B2651,'Production '!$U$4:$U$4407)</f>
        <v>-10620.435600016917</v>
      </c>
      <c r="G2651" s="76" t="e">
        <f ca="1">SUMIF('Production '!$C$4:$AI$4407,'Tracking Sheet'!B2651,'Production '!$W$4:$W$4407)</f>
        <v>#DIV/0!</v>
      </c>
      <c r="H2651" s="76">
        <f ca="1">SUMIF('Production '!$C$4:$AI$4407,'Tracking Sheet'!B2651,'Production '!$F$4:$F$4407)</f>
        <v>3230621.3283604058</v>
      </c>
      <c r="I2651" s="76">
        <f ca="1">SUMIF('Production '!$C$4:$AI$4407,'Tracking Sheet'!B2651,'Production '!$V$4:$V$4407)</f>
        <v>-489.86487791182844</v>
      </c>
      <c r="J2651" s="76">
        <f ca="1">SUMIF('Production '!$C$4:$AI$4407,'Tracking Sheet'!B2651,'Production '!$AG$4:$AG$4407)</f>
        <v>0</v>
      </c>
    </row>
    <row r="2652" spans="2:10" x14ac:dyDescent="0.3">
      <c r="B2652" s="277">
        <f>'Production '!C2655</f>
        <v>0</v>
      </c>
      <c r="C2652" s="76" t="e">
        <f ca="1">SUMIF('Production '!$C$4:$AI$4407,'Tracking Sheet'!B2652,'Production '!$M$4:$M$4407)</f>
        <v>#DIV/0!</v>
      </c>
      <c r="D2652" s="76" t="e">
        <f ca="1">SUMIF('Production '!$C$4:$AI$4407,'Tracking Sheet'!B2652,'Production '!$Q$4:$Q$4407)</f>
        <v>#DIV/0!</v>
      </c>
      <c r="E2652" s="76">
        <f ca="1">SUMIF('Production '!$C$4:$AI$4407,'Tracking Sheet'!B2652,'Production '!$S$4:$S$4407)</f>
        <v>-1268218.9828305368</v>
      </c>
      <c r="F2652" s="76">
        <f ca="1">SUMIF('Production '!$C$4:$AI$4407,'Tracking Sheet'!B2652,'Production '!$U$4:$U$4407)</f>
        <v>-10620.435600016917</v>
      </c>
      <c r="G2652" s="76" t="e">
        <f ca="1">SUMIF('Production '!$C$4:$AI$4407,'Tracking Sheet'!B2652,'Production '!$W$4:$W$4407)</f>
        <v>#DIV/0!</v>
      </c>
      <c r="H2652" s="76">
        <f ca="1">SUMIF('Production '!$C$4:$AI$4407,'Tracking Sheet'!B2652,'Production '!$F$4:$F$4407)</f>
        <v>3230621.3283604058</v>
      </c>
      <c r="I2652" s="76">
        <f ca="1">SUMIF('Production '!$C$4:$AI$4407,'Tracking Sheet'!B2652,'Production '!$V$4:$V$4407)</f>
        <v>-489.86487791182844</v>
      </c>
      <c r="J2652" s="76">
        <f ca="1">SUMIF('Production '!$C$4:$AI$4407,'Tracking Sheet'!B2652,'Production '!$AG$4:$AG$4407)</f>
        <v>0</v>
      </c>
    </row>
    <row r="2653" spans="2:10" x14ac:dyDescent="0.3">
      <c r="B2653" s="277">
        <f>'Production '!C2656</f>
        <v>0</v>
      </c>
      <c r="C2653" s="76" t="e">
        <f ca="1">SUMIF('Production '!$C$4:$AI$4407,'Tracking Sheet'!B2653,'Production '!$M$4:$M$4407)</f>
        <v>#DIV/0!</v>
      </c>
      <c r="D2653" s="76" t="e">
        <f ca="1">SUMIF('Production '!$C$4:$AI$4407,'Tracking Sheet'!B2653,'Production '!$Q$4:$Q$4407)</f>
        <v>#DIV/0!</v>
      </c>
      <c r="E2653" s="76">
        <f ca="1">SUMIF('Production '!$C$4:$AI$4407,'Tracking Sheet'!B2653,'Production '!$S$4:$S$4407)</f>
        <v>-1268218.9828305368</v>
      </c>
      <c r="F2653" s="76">
        <f ca="1">SUMIF('Production '!$C$4:$AI$4407,'Tracking Sheet'!B2653,'Production '!$U$4:$U$4407)</f>
        <v>-10620.435600016917</v>
      </c>
      <c r="G2653" s="76" t="e">
        <f ca="1">SUMIF('Production '!$C$4:$AI$4407,'Tracking Sheet'!B2653,'Production '!$W$4:$W$4407)</f>
        <v>#DIV/0!</v>
      </c>
      <c r="H2653" s="76">
        <f ca="1">SUMIF('Production '!$C$4:$AI$4407,'Tracking Sheet'!B2653,'Production '!$F$4:$F$4407)</f>
        <v>3230621.3283604058</v>
      </c>
      <c r="I2653" s="76">
        <f ca="1">SUMIF('Production '!$C$4:$AI$4407,'Tracking Sheet'!B2653,'Production '!$V$4:$V$4407)</f>
        <v>-489.86487791182844</v>
      </c>
      <c r="J2653" s="76">
        <f ca="1">SUMIF('Production '!$C$4:$AI$4407,'Tracking Sheet'!B2653,'Production '!$AG$4:$AG$4407)</f>
        <v>0</v>
      </c>
    </row>
    <row r="2654" spans="2:10" x14ac:dyDescent="0.3">
      <c r="B2654" s="277">
        <f>'Production '!C2657</f>
        <v>0</v>
      </c>
      <c r="C2654" s="76" t="e">
        <f ca="1">SUMIF('Production '!$C$4:$AI$4407,'Tracking Sheet'!B2654,'Production '!$M$4:$M$4407)</f>
        <v>#DIV/0!</v>
      </c>
      <c r="D2654" s="76" t="e">
        <f ca="1">SUMIF('Production '!$C$4:$AI$4407,'Tracking Sheet'!B2654,'Production '!$Q$4:$Q$4407)</f>
        <v>#DIV/0!</v>
      </c>
      <c r="E2654" s="76">
        <f ca="1">SUMIF('Production '!$C$4:$AI$4407,'Tracking Sheet'!B2654,'Production '!$S$4:$S$4407)</f>
        <v>-1268218.9828305368</v>
      </c>
      <c r="F2654" s="76">
        <f ca="1">SUMIF('Production '!$C$4:$AI$4407,'Tracking Sheet'!B2654,'Production '!$U$4:$U$4407)</f>
        <v>-10620.435600016917</v>
      </c>
      <c r="G2654" s="76" t="e">
        <f ca="1">SUMIF('Production '!$C$4:$AI$4407,'Tracking Sheet'!B2654,'Production '!$W$4:$W$4407)</f>
        <v>#DIV/0!</v>
      </c>
      <c r="H2654" s="76">
        <f ca="1">SUMIF('Production '!$C$4:$AI$4407,'Tracking Sheet'!B2654,'Production '!$F$4:$F$4407)</f>
        <v>3230621.3283604058</v>
      </c>
      <c r="I2654" s="76">
        <f ca="1">SUMIF('Production '!$C$4:$AI$4407,'Tracking Sheet'!B2654,'Production '!$V$4:$V$4407)</f>
        <v>-489.86487791182844</v>
      </c>
      <c r="J2654" s="76">
        <f ca="1">SUMIF('Production '!$C$4:$AI$4407,'Tracking Sheet'!B2654,'Production '!$AG$4:$AG$4407)</f>
        <v>0</v>
      </c>
    </row>
    <row r="2655" spans="2:10" x14ac:dyDescent="0.3">
      <c r="B2655" s="277">
        <f>'Production '!C2658</f>
        <v>0</v>
      </c>
      <c r="C2655" s="76" t="e">
        <f ca="1">SUMIF('Production '!$C$4:$AI$4407,'Tracking Sheet'!B2655,'Production '!$M$4:$M$4407)</f>
        <v>#DIV/0!</v>
      </c>
      <c r="D2655" s="76" t="e">
        <f ca="1">SUMIF('Production '!$C$4:$AI$4407,'Tracking Sheet'!B2655,'Production '!$Q$4:$Q$4407)</f>
        <v>#DIV/0!</v>
      </c>
      <c r="E2655" s="76">
        <f ca="1">SUMIF('Production '!$C$4:$AI$4407,'Tracking Sheet'!B2655,'Production '!$S$4:$S$4407)</f>
        <v>-1268218.9828305368</v>
      </c>
      <c r="F2655" s="76">
        <f ca="1">SUMIF('Production '!$C$4:$AI$4407,'Tracking Sheet'!B2655,'Production '!$U$4:$U$4407)</f>
        <v>-10620.435600016917</v>
      </c>
      <c r="G2655" s="76" t="e">
        <f ca="1">SUMIF('Production '!$C$4:$AI$4407,'Tracking Sheet'!B2655,'Production '!$W$4:$W$4407)</f>
        <v>#DIV/0!</v>
      </c>
      <c r="H2655" s="76">
        <f ca="1">SUMIF('Production '!$C$4:$AI$4407,'Tracking Sheet'!B2655,'Production '!$F$4:$F$4407)</f>
        <v>3230621.3283604058</v>
      </c>
      <c r="I2655" s="76">
        <f ca="1">SUMIF('Production '!$C$4:$AI$4407,'Tracking Sheet'!B2655,'Production '!$V$4:$V$4407)</f>
        <v>-489.86487791182844</v>
      </c>
      <c r="J2655" s="76">
        <f ca="1">SUMIF('Production '!$C$4:$AI$4407,'Tracking Sheet'!B2655,'Production '!$AG$4:$AG$4407)</f>
        <v>0</v>
      </c>
    </row>
    <row r="2656" spans="2:10" x14ac:dyDescent="0.3">
      <c r="B2656" s="277">
        <f>'Production '!C2659</f>
        <v>0</v>
      </c>
      <c r="C2656" s="76" t="e">
        <f ca="1">SUMIF('Production '!$C$4:$AI$4407,'Tracking Sheet'!B2656,'Production '!$M$4:$M$4407)</f>
        <v>#DIV/0!</v>
      </c>
      <c r="D2656" s="76" t="e">
        <f ca="1">SUMIF('Production '!$C$4:$AI$4407,'Tracking Sheet'!B2656,'Production '!$Q$4:$Q$4407)</f>
        <v>#DIV/0!</v>
      </c>
      <c r="E2656" s="76">
        <f ca="1">SUMIF('Production '!$C$4:$AI$4407,'Tracking Sheet'!B2656,'Production '!$S$4:$S$4407)</f>
        <v>-1268218.9828305368</v>
      </c>
      <c r="F2656" s="76">
        <f ca="1">SUMIF('Production '!$C$4:$AI$4407,'Tracking Sheet'!B2656,'Production '!$U$4:$U$4407)</f>
        <v>-10620.435600016917</v>
      </c>
      <c r="G2656" s="76" t="e">
        <f ca="1">SUMIF('Production '!$C$4:$AI$4407,'Tracking Sheet'!B2656,'Production '!$W$4:$W$4407)</f>
        <v>#DIV/0!</v>
      </c>
      <c r="H2656" s="76">
        <f ca="1">SUMIF('Production '!$C$4:$AI$4407,'Tracking Sheet'!B2656,'Production '!$F$4:$F$4407)</f>
        <v>3230621.3283604058</v>
      </c>
      <c r="I2656" s="76">
        <f ca="1">SUMIF('Production '!$C$4:$AI$4407,'Tracking Sheet'!B2656,'Production '!$V$4:$V$4407)</f>
        <v>-489.86487791182844</v>
      </c>
      <c r="J2656" s="76">
        <f ca="1">SUMIF('Production '!$C$4:$AI$4407,'Tracking Sheet'!B2656,'Production '!$AG$4:$AG$4407)</f>
        <v>0</v>
      </c>
    </row>
    <row r="2657" spans="2:10" x14ac:dyDescent="0.3">
      <c r="B2657" s="277">
        <f>'Production '!C2660</f>
        <v>0</v>
      </c>
      <c r="C2657" s="76" t="e">
        <f ca="1">SUMIF('Production '!$C$4:$AI$4407,'Tracking Sheet'!B2657,'Production '!$M$4:$M$4407)</f>
        <v>#DIV/0!</v>
      </c>
      <c r="D2657" s="76" t="e">
        <f ca="1">SUMIF('Production '!$C$4:$AI$4407,'Tracking Sheet'!B2657,'Production '!$Q$4:$Q$4407)</f>
        <v>#DIV/0!</v>
      </c>
      <c r="E2657" s="76">
        <f ca="1">SUMIF('Production '!$C$4:$AI$4407,'Tracking Sheet'!B2657,'Production '!$S$4:$S$4407)</f>
        <v>-1268218.9828305368</v>
      </c>
      <c r="F2657" s="76">
        <f ca="1">SUMIF('Production '!$C$4:$AI$4407,'Tracking Sheet'!B2657,'Production '!$U$4:$U$4407)</f>
        <v>-10620.435600016917</v>
      </c>
      <c r="G2657" s="76" t="e">
        <f ca="1">SUMIF('Production '!$C$4:$AI$4407,'Tracking Sheet'!B2657,'Production '!$W$4:$W$4407)</f>
        <v>#DIV/0!</v>
      </c>
      <c r="H2657" s="76">
        <f ca="1">SUMIF('Production '!$C$4:$AI$4407,'Tracking Sheet'!B2657,'Production '!$F$4:$F$4407)</f>
        <v>3230621.3283604058</v>
      </c>
      <c r="I2657" s="76">
        <f ca="1">SUMIF('Production '!$C$4:$AI$4407,'Tracking Sheet'!B2657,'Production '!$V$4:$V$4407)</f>
        <v>-489.86487791182844</v>
      </c>
      <c r="J2657" s="76">
        <f ca="1">SUMIF('Production '!$C$4:$AI$4407,'Tracking Sheet'!B2657,'Production '!$AG$4:$AG$4407)</f>
        <v>0</v>
      </c>
    </row>
    <row r="2658" spans="2:10" x14ac:dyDescent="0.3">
      <c r="B2658" s="277">
        <f>'Production '!C2661</f>
        <v>0</v>
      </c>
      <c r="C2658" s="76" t="e">
        <f ca="1">SUMIF('Production '!$C$4:$AI$4407,'Tracking Sheet'!B2658,'Production '!$M$4:$M$4407)</f>
        <v>#DIV/0!</v>
      </c>
      <c r="D2658" s="76" t="e">
        <f ca="1">SUMIF('Production '!$C$4:$AI$4407,'Tracking Sheet'!B2658,'Production '!$Q$4:$Q$4407)</f>
        <v>#DIV/0!</v>
      </c>
      <c r="E2658" s="76">
        <f ca="1">SUMIF('Production '!$C$4:$AI$4407,'Tracking Sheet'!B2658,'Production '!$S$4:$S$4407)</f>
        <v>-1268218.9828305368</v>
      </c>
      <c r="F2658" s="76">
        <f ca="1">SUMIF('Production '!$C$4:$AI$4407,'Tracking Sheet'!B2658,'Production '!$U$4:$U$4407)</f>
        <v>-10620.435600016917</v>
      </c>
      <c r="G2658" s="76" t="e">
        <f ca="1">SUMIF('Production '!$C$4:$AI$4407,'Tracking Sheet'!B2658,'Production '!$W$4:$W$4407)</f>
        <v>#DIV/0!</v>
      </c>
      <c r="H2658" s="76">
        <f ca="1">SUMIF('Production '!$C$4:$AI$4407,'Tracking Sheet'!B2658,'Production '!$F$4:$F$4407)</f>
        <v>3230621.3283604058</v>
      </c>
      <c r="I2658" s="76">
        <f ca="1">SUMIF('Production '!$C$4:$AI$4407,'Tracking Sheet'!B2658,'Production '!$V$4:$V$4407)</f>
        <v>-489.86487791182844</v>
      </c>
      <c r="J2658" s="76">
        <f ca="1">SUMIF('Production '!$C$4:$AI$4407,'Tracking Sheet'!B2658,'Production '!$AG$4:$AG$4407)</f>
        <v>0</v>
      </c>
    </row>
    <row r="2659" spans="2:10" x14ac:dyDescent="0.3">
      <c r="B2659" s="277">
        <f>'Production '!C2662</f>
        <v>0</v>
      </c>
      <c r="C2659" s="76" t="e">
        <f ca="1">SUMIF('Production '!$C$4:$AI$4407,'Tracking Sheet'!B2659,'Production '!$M$4:$M$4407)</f>
        <v>#DIV/0!</v>
      </c>
      <c r="D2659" s="76" t="e">
        <f ca="1">SUMIF('Production '!$C$4:$AI$4407,'Tracking Sheet'!B2659,'Production '!$Q$4:$Q$4407)</f>
        <v>#DIV/0!</v>
      </c>
      <c r="E2659" s="76">
        <f ca="1">SUMIF('Production '!$C$4:$AI$4407,'Tracking Sheet'!B2659,'Production '!$S$4:$S$4407)</f>
        <v>-1268218.9828305368</v>
      </c>
      <c r="F2659" s="76">
        <f ca="1">SUMIF('Production '!$C$4:$AI$4407,'Tracking Sheet'!B2659,'Production '!$U$4:$U$4407)</f>
        <v>-10620.435600016917</v>
      </c>
      <c r="G2659" s="76" t="e">
        <f ca="1">SUMIF('Production '!$C$4:$AI$4407,'Tracking Sheet'!B2659,'Production '!$W$4:$W$4407)</f>
        <v>#DIV/0!</v>
      </c>
      <c r="H2659" s="76">
        <f ca="1">SUMIF('Production '!$C$4:$AI$4407,'Tracking Sheet'!B2659,'Production '!$F$4:$F$4407)</f>
        <v>3230621.3283604058</v>
      </c>
      <c r="I2659" s="76">
        <f ca="1">SUMIF('Production '!$C$4:$AI$4407,'Tracking Sheet'!B2659,'Production '!$V$4:$V$4407)</f>
        <v>-489.86487791182844</v>
      </c>
      <c r="J2659" s="76">
        <f ca="1">SUMIF('Production '!$C$4:$AI$4407,'Tracking Sheet'!B2659,'Production '!$AG$4:$AG$4407)</f>
        <v>0</v>
      </c>
    </row>
    <row r="2660" spans="2:10" x14ac:dyDescent="0.3">
      <c r="B2660" s="277">
        <f>'Production '!C2663</f>
        <v>0</v>
      </c>
      <c r="C2660" s="76" t="e">
        <f ca="1">SUMIF('Production '!$C$4:$AI$4407,'Tracking Sheet'!B2660,'Production '!$M$4:$M$4407)</f>
        <v>#DIV/0!</v>
      </c>
      <c r="D2660" s="76" t="e">
        <f ca="1">SUMIF('Production '!$C$4:$AI$4407,'Tracking Sheet'!B2660,'Production '!$Q$4:$Q$4407)</f>
        <v>#DIV/0!</v>
      </c>
      <c r="E2660" s="76">
        <f ca="1">SUMIF('Production '!$C$4:$AI$4407,'Tracking Sheet'!B2660,'Production '!$S$4:$S$4407)</f>
        <v>-1268218.9828305368</v>
      </c>
      <c r="F2660" s="76">
        <f ca="1">SUMIF('Production '!$C$4:$AI$4407,'Tracking Sheet'!B2660,'Production '!$U$4:$U$4407)</f>
        <v>-10620.435600016917</v>
      </c>
      <c r="G2660" s="76" t="e">
        <f ca="1">SUMIF('Production '!$C$4:$AI$4407,'Tracking Sheet'!B2660,'Production '!$W$4:$W$4407)</f>
        <v>#DIV/0!</v>
      </c>
      <c r="H2660" s="76">
        <f ca="1">SUMIF('Production '!$C$4:$AI$4407,'Tracking Sheet'!B2660,'Production '!$F$4:$F$4407)</f>
        <v>3230621.3283604058</v>
      </c>
      <c r="I2660" s="76">
        <f ca="1">SUMIF('Production '!$C$4:$AI$4407,'Tracking Sheet'!B2660,'Production '!$V$4:$V$4407)</f>
        <v>-489.86487791182844</v>
      </c>
      <c r="J2660" s="76">
        <f ca="1">SUMIF('Production '!$C$4:$AI$4407,'Tracking Sheet'!B2660,'Production '!$AG$4:$AG$4407)</f>
        <v>0</v>
      </c>
    </row>
    <row r="2661" spans="2:10" x14ac:dyDescent="0.3">
      <c r="B2661" s="277">
        <f>'Production '!C2664</f>
        <v>0</v>
      </c>
      <c r="C2661" s="76" t="e">
        <f ca="1">SUMIF('Production '!$C$4:$AI$4407,'Tracking Sheet'!B2661,'Production '!$M$4:$M$4407)</f>
        <v>#DIV/0!</v>
      </c>
      <c r="D2661" s="76" t="e">
        <f ca="1">SUMIF('Production '!$C$4:$AI$4407,'Tracking Sheet'!B2661,'Production '!$Q$4:$Q$4407)</f>
        <v>#DIV/0!</v>
      </c>
      <c r="E2661" s="76">
        <f ca="1">SUMIF('Production '!$C$4:$AI$4407,'Tracking Sheet'!B2661,'Production '!$S$4:$S$4407)</f>
        <v>-1268218.9828305368</v>
      </c>
      <c r="F2661" s="76">
        <f ca="1">SUMIF('Production '!$C$4:$AI$4407,'Tracking Sheet'!B2661,'Production '!$U$4:$U$4407)</f>
        <v>-10620.435600016917</v>
      </c>
      <c r="G2661" s="76" t="e">
        <f ca="1">SUMIF('Production '!$C$4:$AI$4407,'Tracking Sheet'!B2661,'Production '!$W$4:$W$4407)</f>
        <v>#DIV/0!</v>
      </c>
      <c r="H2661" s="76">
        <f ca="1">SUMIF('Production '!$C$4:$AI$4407,'Tracking Sheet'!B2661,'Production '!$F$4:$F$4407)</f>
        <v>3230621.3283604058</v>
      </c>
      <c r="I2661" s="76">
        <f ca="1">SUMIF('Production '!$C$4:$AI$4407,'Tracking Sheet'!B2661,'Production '!$V$4:$V$4407)</f>
        <v>-489.86487791182844</v>
      </c>
      <c r="J2661" s="76">
        <f ca="1">SUMIF('Production '!$C$4:$AI$4407,'Tracking Sheet'!B2661,'Production '!$AG$4:$AG$4407)</f>
        <v>0</v>
      </c>
    </row>
    <row r="2662" spans="2:10" x14ac:dyDescent="0.3">
      <c r="B2662" s="277">
        <f>'Production '!C2665</f>
        <v>0</v>
      </c>
      <c r="C2662" s="76" t="e">
        <f ca="1">SUMIF('Production '!$C$4:$AI$4407,'Tracking Sheet'!B2662,'Production '!$M$4:$M$4407)</f>
        <v>#DIV/0!</v>
      </c>
      <c r="D2662" s="76" t="e">
        <f ca="1">SUMIF('Production '!$C$4:$AI$4407,'Tracking Sheet'!B2662,'Production '!$Q$4:$Q$4407)</f>
        <v>#DIV/0!</v>
      </c>
      <c r="E2662" s="76">
        <f ca="1">SUMIF('Production '!$C$4:$AI$4407,'Tracking Sheet'!B2662,'Production '!$S$4:$S$4407)</f>
        <v>-1268218.9828305368</v>
      </c>
      <c r="F2662" s="76">
        <f ca="1">SUMIF('Production '!$C$4:$AI$4407,'Tracking Sheet'!B2662,'Production '!$U$4:$U$4407)</f>
        <v>-10620.435600016917</v>
      </c>
      <c r="G2662" s="76" t="e">
        <f ca="1">SUMIF('Production '!$C$4:$AI$4407,'Tracking Sheet'!B2662,'Production '!$W$4:$W$4407)</f>
        <v>#DIV/0!</v>
      </c>
      <c r="H2662" s="76">
        <f ca="1">SUMIF('Production '!$C$4:$AI$4407,'Tracking Sheet'!B2662,'Production '!$F$4:$F$4407)</f>
        <v>3230621.3283604058</v>
      </c>
      <c r="I2662" s="76">
        <f ca="1">SUMIF('Production '!$C$4:$AI$4407,'Tracking Sheet'!B2662,'Production '!$V$4:$V$4407)</f>
        <v>-489.86487791182844</v>
      </c>
      <c r="J2662" s="76">
        <f ca="1">SUMIF('Production '!$C$4:$AI$4407,'Tracking Sheet'!B2662,'Production '!$AG$4:$AG$4407)</f>
        <v>0</v>
      </c>
    </row>
    <row r="2663" spans="2:10" x14ac:dyDescent="0.3">
      <c r="B2663" s="277">
        <f>'Production '!C2666</f>
        <v>0</v>
      </c>
      <c r="C2663" s="76" t="e">
        <f ca="1">SUMIF('Production '!$C$4:$AI$4407,'Tracking Sheet'!B2663,'Production '!$M$4:$M$4407)</f>
        <v>#DIV/0!</v>
      </c>
      <c r="D2663" s="76" t="e">
        <f ca="1">SUMIF('Production '!$C$4:$AI$4407,'Tracking Sheet'!B2663,'Production '!$Q$4:$Q$4407)</f>
        <v>#DIV/0!</v>
      </c>
      <c r="E2663" s="76">
        <f ca="1">SUMIF('Production '!$C$4:$AI$4407,'Tracking Sheet'!B2663,'Production '!$S$4:$S$4407)</f>
        <v>-1268218.9828305368</v>
      </c>
      <c r="F2663" s="76">
        <f ca="1">SUMIF('Production '!$C$4:$AI$4407,'Tracking Sheet'!B2663,'Production '!$U$4:$U$4407)</f>
        <v>-10620.435600016917</v>
      </c>
      <c r="G2663" s="76" t="e">
        <f ca="1">SUMIF('Production '!$C$4:$AI$4407,'Tracking Sheet'!B2663,'Production '!$W$4:$W$4407)</f>
        <v>#DIV/0!</v>
      </c>
      <c r="H2663" s="76">
        <f ca="1">SUMIF('Production '!$C$4:$AI$4407,'Tracking Sheet'!B2663,'Production '!$F$4:$F$4407)</f>
        <v>3230621.3283604058</v>
      </c>
      <c r="I2663" s="76">
        <f ca="1">SUMIF('Production '!$C$4:$AI$4407,'Tracking Sheet'!B2663,'Production '!$V$4:$V$4407)</f>
        <v>-489.86487791182844</v>
      </c>
      <c r="J2663" s="76">
        <f ca="1">SUMIF('Production '!$C$4:$AI$4407,'Tracking Sheet'!B2663,'Production '!$AG$4:$AG$4407)</f>
        <v>0</v>
      </c>
    </row>
    <row r="2664" spans="2:10" x14ac:dyDescent="0.3">
      <c r="B2664" s="277">
        <f>'Production '!C2667</f>
        <v>0</v>
      </c>
      <c r="C2664" s="76" t="e">
        <f ca="1">SUMIF('Production '!$C$4:$AI$4407,'Tracking Sheet'!B2664,'Production '!$M$4:$M$4407)</f>
        <v>#DIV/0!</v>
      </c>
      <c r="D2664" s="76" t="e">
        <f ca="1">SUMIF('Production '!$C$4:$AI$4407,'Tracking Sheet'!B2664,'Production '!$Q$4:$Q$4407)</f>
        <v>#DIV/0!</v>
      </c>
      <c r="E2664" s="76">
        <f ca="1">SUMIF('Production '!$C$4:$AI$4407,'Tracking Sheet'!B2664,'Production '!$S$4:$S$4407)</f>
        <v>-1268218.9828305368</v>
      </c>
      <c r="F2664" s="76">
        <f ca="1">SUMIF('Production '!$C$4:$AI$4407,'Tracking Sheet'!B2664,'Production '!$U$4:$U$4407)</f>
        <v>-10620.435600016917</v>
      </c>
      <c r="G2664" s="76" t="e">
        <f ca="1">SUMIF('Production '!$C$4:$AI$4407,'Tracking Sheet'!B2664,'Production '!$W$4:$W$4407)</f>
        <v>#DIV/0!</v>
      </c>
      <c r="H2664" s="76">
        <f ca="1">SUMIF('Production '!$C$4:$AI$4407,'Tracking Sheet'!B2664,'Production '!$F$4:$F$4407)</f>
        <v>3230621.3283604058</v>
      </c>
      <c r="I2664" s="76">
        <f ca="1">SUMIF('Production '!$C$4:$AI$4407,'Tracking Sheet'!B2664,'Production '!$V$4:$V$4407)</f>
        <v>-489.86487791182844</v>
      </c>
      <c r="J2664" s="76">
        <f ca="1">SUMIF('Production '!$C$4:$AI$4407,'Tracking Sheet'!B2664,'Production '!$AG$4:$AG$4407)</f>
        <v>0</v>
      </c>
    </row>
    <row r="2665" spans="2:10" x14ac:dyDescent="0.3">
      <c r="B2665" s="277">
        <f>'Production '!C2668</f>
        <v>0</v>
      </c>
      <c r="C2665" s="76" t="e">
        <f ca="1">SUMIF('Production '!$C$4:$AI$4407,'Tracking Sheet'!B2665,'Production '!$M$4:$M$4407)</f>
        <v>#DIV/0!</v>
      </c>
      <c r="D2665" s="76" t="e">
        <f ca="1">SUMIF('Production '!$C$4:$AI$4407,'Tracking Sheet'!B2665,'Production '!$Q$4:$Q$4407)</f>
        <v>#DIV/0!</v>
      </c>
      <c r="E2665" s="76">
        <f ca="1">SUMIF('Production '!$C$4:$AI$4407,'Tracking Sheet'!B2665,'Production '!$S$4:$S$4407)</f>
        <v>-1268218.9828305368</v>
      </c>
      <c r="F2665" s="76">
        <f ca="1">SUMIF('Production '!$C$4:$AI$4407,'Tracking Sheet'!B2665,'Production '!$U$4:$U$4407)</f>
        <v>-10620.435600016917</v>
      </c>
      <c r="G2665" s="76" t="e">
        <f ca="1">SUMIF('Production '!$C$4:$AI$4407,'Tracking Sheet'!B2665,'Production '!$W$4:$W$4407)</f>
        <v>#DIV/0!</v>
      </c>
      <c r="H2665" s="76">
        <f ca="1">SUMIF('Production '!$C$4:$AI$4407,'Tracking Sheet'!B2665,'Production '!$F$4:$F$4407)</f>
        <v>3230621.3283604058</v>
      </c>
      <c r="I2665" s="76">
        <f ca="1">SUMIF('Production '!$C$4:$AI$4407,'Tracking Sheet'!B2665,'Production '!$V$4:$V$4407)</f>
        <v>-489.86487791182844</v>
      </c>
      <c r="J2665" s="76">
        <f ca="1">SUMIF('Production '!$C$4:$AI$4407,'Tracking Sheet'!B2665,'Production '!$AG$4:$AG$4407)</f>
        <v>0</v>
      </c>
    </row>
    <row r="2666" spans="2:10" x14ac:dyDescent="0.3">
      <c r="B2666" s="277">
        <f>'Production '!C2669</f>
        <v>0</v>
      </c>
      <c r="C2666" s="76" t="e">
        <f ca="1">SUMIF('Production '!$C$4:$AI$4407,'Tracking Sheet'!B2666,'Production '!$M$4:$M$4407)</f>
        <v>#DIV/0!</v>
      </c>
      <c r="D2666" s="76" t="e">
        <f ca="1">SUMIF('Production '!$C$4:$AI$4407,'Tracking Sheet'!B2666,'Production '!$Q$4:$Q$4407)</f>
        <v>#DIV/0!</v>
      </c>
      <c r="E2666" s="76">
        <f ca="1">SUMIF('Production '!$C$4:$AI$4407,'Tracking Sheet'!B2666,'Production '!$S$4:$S$4407)</f>
        <v>-1268218.9828305368</v>
      </c>
      <c r="F2666" s="76">
        <f ca="1">SUMIF('Production '!$C$4:$AI$4407,'Tracking Sheet'!B2666,'Production '!$U$4:$U$4407)</f>
        <v>-10620.435600016917</v>
      </c>
      <c r="G2666" s="76" t="e">
        <f ca="1">SUMIF('Production '!$C$4:$AI$4407,'Tracking Sheet'!B2666,'Production '!$W$4:$W$4407)</f>
        <v>#DIV/0!</v>
      </c>
      <c r="H2666" s="76">
        <f ca="1">SUMIF('Production '!$C$4:$AI$4407,'Tracking Sheet'!B2666,'Production '!$F$4:$F$4407)</f>
        <v>3230621.3283604058</v>
      </c>
      <c r="I2666" s="76">
        <f ca="1">SUMIF('Production '!$C$4:$AI$4407,'Tracking Sheet'!B2666,'Production '!$V$4:$V$4407)</f>
        <v>-489.86487791182844</v>
      </c>
      <c r="J2666" s="76">
        <f ca="1">SUMIF('Production '!$C$4:$AI$4407,'Tracking Sheet'!B2666,'Production '!$AG$4:$AG$4407)</f>
        <v>0</v>
      </c>
    </row>
    <row r="2667" spans="2:10" x14ac:dyDescent="0.3">
      <c r="B2667" s="277">
        <f>'Production '!C2670</f>
        <v>0</v>
      </c>
      <c r="C2667" s="76" t="e">
        <f ca="1">SUMIF('Production '!$C$4:$AI$4407,'Tracking Sheet'!B2667,'Production '!$M$4:$M$4407)</f>
        <v>#DIV/0!</v>
      </c>
      <c r="D2667" s="76" t="e">
        <f ca="1">SUMIF('Production '!$C$4:$AI$4407,'Tracking Sheet'!B2667,'Production '!$Q$4:$Q$4407)</f>
        <v>#DIV/0!</v>
      </c>
      <c r="E2667" s="76">
        <f ca="1">SUMIF('Production '!$C$4:$AI$4407,'Tracking Sheet'!B2667,'Production '!$S$4:$S$4407)</f>
        <v>-1268218.9828305368</v>
      </c>
      <c r="F2667" s="76">
        <f ca="1">SUMIF('Production '!$C$4:$AI$4407,'Tracking Sheet'!B2667,'Production '!$U$4:$U$4407)</f>
        <v>-10620.435600016917</v>
      </c>
      <c r="G2667" s="76" t="e">
        <f ca="1">SUMIF('Production '!$C$4:$AI$4407,'Tracking Sheet'!B2667,'Production '!$W$4:$W$4407)</f>
        <v>#DIV/0!</v>
      </c>
      <c r="H2667" s="76">
        <f ca="1">SUMIF('Production '!$C$4:$AI$4407,'Tracking Sheet'!B2667,'Production '!$F$4:$F$4407)</f>
        <v>3230621.3283604058</v>
      </c>
      <c r="I2667" s="76">
        <f ca="1">SUMIF('Production '!$C$4:$AI$4407,'Tracking Sheet'!B2667,'Production '!$V$4:$V$4407)</f>
        <v>-489.86487791182844</v>
      </c>
      <c r="J2667" s="76">
        <f ca="1">SUMIF('Production '!$C$4:$AI$4407,'Tracking Sheet'!B2667,'Production '!$AG$4:$AG$4407)</f>
        <v>0</v>
      </c>
    </row>
    <row r="2668" spans="2:10" x14ac:dyDescent="0.3">
      <c r="B2668" s="277">
        <f>'Production '!C2671</f>
        <v>0</v>
      </c>
      <c r="C2668" s="76" t="e">
        <f ca="1">SUMIF('Production '!$C$4:$AI$4407,'Tracking Sheet'!B2668,'Production '!$M$4:$M$4407)</f>
        <v>#DIV/0!</v>
      </c>
      <c r="D2668" s="76" t="e">
        <f ca="1">SUMIF('Production '!$C$4:$AI$4407,'Tracking Sheet'!B2668,'Production '!$Q$4:$Q$4407)</f>
        <v>#DIV/0!</v>
      </c>
      <c r="E2668" s="76">
        <f ca="1">SUMIF('Production '!$C$4:$AI$4407,'Tracking Sheet'!B2668,'Production '!$S$4:$S$4407)</f>
        <v>-1268218.9828305368</v>
      </c>
      <c r="F2668" s="76">
        <f ca="1">SUMIF('Production '!$C$4:$AI$4407,'Tracking Sheet'!B2668,'Production '!$U$4:$U$4407)</f>
        <v>-10620.435600016917</v>
      </c>
      <c r="G2668" s="76" t="e">
        <f ca="1">SUMIF('Production '!$C$4:$AI$4407,'Tracking Sheet'!B2668,'Production '!$W$4:$W$4407)</f>
        <v>#DIV/0!</v>
      </c>
      <c r="H2668" s="76">
        <f ca="1">SUMIF('Production '!$C$4:$AI$4407,'Tracking Sheet'!B2668,'Production '!$F$4:$F$4407)</f>
        <v>3230621.3283604058</v>
      </c>
      <c r="I2668" s="76">
        <f ca="1">SUMIF('Production '!$C$4:$AI$4407,'Tracking Sheet'!B2668,'Production '!$V$4:$V$4407)</f>
        <v>-489.86487791182844</v>
      </c>
      <c r="J2668" s="76">
        <f ca="1">SUMIF('Production '!$C$4:$AI$4407,'Tracking Sheet'!B2668,'Production '!$AG$4:$AG$4407)</f>
        <v>0</v>
      </c>
    </row>
    <row r="2669" spans="2:10" x14ac:dyDescent="0.3">
      <c r="B2669" s="277">
        <f>'Production '!C2672</f>
        <v>0</v>
      </c>
      <c r="C2669" s="76" t="e">
        <f ca="1">SUMIF('Production '!$C$4:$AI$4407,'Tracking Sheet'!B2669,'Production '!$M$4:$M$4407)</f>
        <v>#DIV/0!</v>
      </c>
      <c r="D2669" s="76" t="e">
        <f ca="1">SUMIF('Production '!$C$4:$AI$4407,'Tracking Sheet'!B2669,'Production '!$Q$4:$Q$4407)</f>
        <v>#DIV/0!</v>
      </c>
      <c r="E2669" s="76">
        <f ca="1">SUMIF('Production '!$C$4:$AI$4407,'Tracking Sheet'!B2669,'Production '!$S$4:$S$4407)</f>
        <v>-1268218.9828305368</v>
      </c>
      <c r="F2669" s="76">
        <f ca="1">SUMIF('Production '!$C$4:$AI$4407,'Tracking Sheet'!B2669,'Production '!$U$4:$U$4407)</f>
        <v>-10620.435600016917</v>
      </c>
      <c r="G2669" s="76" t="e">
        <f ca="1">SUMIF('Production '!$C$4:$AI$4407,'Tracking Sheet'!B2669,'Production '!$W$4:$W$4407)</f>
        <v>#DIV/0!</v>
      </c>
      <c r="H2669" s="76">
        <f ca="1">SUMIF('Production '!$C$4:$AI$4407,'Tracking Sheet'!B2669,'Production '!$F$4:$F$4407)</f>
        <v>3230621.3283604058</v>
      </c>
      <c r="I2669" s="76">
        <f ca="1">SUMIF('Production '!$C$4:$AI$4407,'Tracking Sheet'!B2669,'Production '!$V$4:$V$4407)</f>
        <v>-489.86487791182844</v>
      </c>
      <c r="J2669" s="76">
        <f ca="1">SUMIF('Production '!$C$4:$AI$4407,'Tracking Sheet'!B2669,'Production '!$AG$4:$AG$4407)</f>
        <v>0</v>
      </c>
    </row>
    <row r="2670" spans="2:10" x14ac:dyDescent="0.3">
      <c r="B2670" s="277">
        <f>'Production '!C2673</f>
        <v>0</v>
      </c>
      <c r="C2670" s="76" t="e">
        <f ca="1">SUMIF('Production '!$C$4:$AI$4407,'Tracking Sheet'!B2670,'Production '!$M$4:$M$4407)</f>
        <v>#DIV/0!</v>
      </c>
      <c r="D2670" s="76" t="e">
        <f ca="1">SUMIF('Production '!$C$4:$AI$4407,'Tracking Sheet'!B2670,'Production '!$Q$4:$Q$4407)</f>
        <v>#DIV/0!</v>
      </c>
      <c r="E2670" s="76">
        <f ca="1">SUMIF('Production '!$C$4:$AI$4407,'Tracking Sheet'!B2670,'Production '!$S$4:$S$4407)</f>
        <v>-1268218.9828305368</v>
      </c>
      <c r="F2670" s="76">
        <f ca="1">SUMIF('Production '!$C$4:$AI$4407,'Tracking Sheet'!B2670,'Production '!$U$4:$U$4407)</f>
        <v>-10620.435600016917</v>
      </c>
      <c r="G2670" s="76" t="e">
        <f ca="1">SUMIF('Production '!$C$4:$AI$4407,'Tracking Sheet'!B2670,'Production '!$W$4:$W$4407)</f>
        <v>#DIV/0!</v>
      </c>
      <c r="H2670" s="76">
        <f ca="1">SUMIF('Production '!$C$4:$AI$4407,'Tracking Sheet'!B2670,'Production '!$F$4:$F$4407)</f>
        <v>3230621.3283604058</v>
      </c>
      <c r="I2670" s="76">
        <f ca="1">SUMIF('Production '!$C$4:$AI$4407,'Tracking Sheet'!B2670,'Production '!$V$4:$V$4407)</f>
        <v>-489.86487791182844</v>
      </c>
      <c r="J2670" s="76">
        <f ca="1">SUMIF('Production '!$C$4:$AI$4407,'Tracking Sheet'!B2670,'Production '!$AG$4:$AG$4407)</f>
        <v>0</v>
      </c>
    </row>
    <row r="2671" spans="2:10" x14ac:dyDescent="0.3">
      <c r="B2671" s="277">
        <f>'Production '!C2674</f>
        <v>0</v>
      </c>
      <c r="C2671" s="76" t="e">
        <f ca="1">SUMIF('Production '!$C$4:$AI$4407,'Tracking Sheet'!B2671,'Production '!$M$4:$M$4407)</f>
        <v>#DIV/0!</v>
      </c>
      <c r="D2671" s="76" t="e">
        <f ca="1">SUMIF('Production '!$C$4:$AI$4407,'Tracking Sheet'!B2671,'Production '!$Q$4:$Q$4407)</f>
        <v>#DIV/0!</v>
      </c>
      <c r="E2671" s="76">
        <f ca="1">SUMIF('Production '!$C$4:$AI$4407,'Tracking Sheet'!B2671,'Production '!$S$4:$S$4407)</f>
        <v>-1268218.9828305368</v>
      </c>
      <c r="F2671" s="76">
        <f ca="1">SUMIF('Production '!$C$4:$AI$4407,'Tracking Sheet'!B2671,'Production '!$U$4:$U$4407)</f>
        <v>-10620.435600016917</v>
      </c>
      <c r="G2671" s="76" t="e">
        <f ca="1">SUMIF('Production '!$C$4:$AI$4407,'Tracking Sheet'!B2671,'Production '!$W$4:$W$4407)</f>
        <v>#DIV/0!</v>
      </c>
      <c r="H2671" s="76">
        <f ca="1">SUMIF('Production '!$C$4:$AI$4407,'Tracking Sheet'!B2671,'Production '!$F$4:$F$4407)</f>
        <v>3230621.3283604058</v>
      </c>
      <c r="I2671" s="76">
        <f ca="1">SUMIF('Production '!$C$4:$AI$4407,'Tracking Sheet'!B2671,'Production '!$V$4:$V$4407)</f>
        <v>-489.86487791182844</v>
      </c>
      <c r="J2671" s="76">
        <f ca="1">SUMIF('Production '!$C$4:$AI$4407,'Tracking Sheet'!B2671,'Production '!$AG$4:$AG$4407)</f>
        <v>0</v>
      </c>
    </row>
    <row r="2672" spans="2:10" x14ac:dyDescent="0.3">
      <c r="B2672" s="277">
        <f>'Production '!C2675</f>
        <v>0</v>
      </c>
      <c r="C2672" s="76" t="e">
        <f ca="1">SUMIF('Production '!$C$4:$AI$4407,'Tracking Sheet'!B2672,'Production '!$M$4:$M$4407)</f>
        <v>#DIV/0!</v>
      </c>
      <c r="D2672" s="76" t="e">
        <f ca="1">SUMIF('Production '!$C$4:$AI$4407,'Tracking Sheet'!B2672,'Production '!$Q$4:$Q$4407)</f>
        <v>#DIV/0!</v>
      </c>
      <c r="E2672" s="76">
        <f ca="1">SUMIF('Production '!$C$4:$AI$4407,'Tracking Sheet'!B2672,'Production '!$S$4:$S$4407)</f>
        <v>-1268218.9828305368</v>
      </c>
      <c r="F2672" s="76">
        <f ca="1">SUMIF('Production '!$C$4:$AI$4407,'Tracking Sheet'!B2672,'Production '!$U$4:$U$4407)</f>
        <v>-10620.435600016917</v>
      </c>
      <c r="G2672" s="76" t="e">
        <f ca="1">SUMIF('Production '!$C$4:$AI$4407,'Tracking Sheet'!B2672,'Production '!$W$4:$W$4407)</f>
        <v>#DIV/0!</v>
      </c>
      <c r="H2672" s="76">
        <f ca="1">SUMIF('Production '!$C$4:$AI$4407,'Tracking Sheet'!B2672,'Production '!$F$4:$F$4407)</f>
        <v>3230621.3283604058</v>
      </c>
      <c r="I2672" s="76">
        <f ca="1">SUMIF('Production '!$C$4:$AI$4407,'Tracking Sheet'!B2672,'Production '!$V$4:$V$4407)</f>
        <v>-489.86487791182844</v>
      </c>
      <c r="J2672" s="76">
        <f ca="1">SUMIF('Production '!$C$4:$AI$4407,'Tracking Sheet'!B2672,'Production '!$AG$4:$AG$4407)</f>
        <v>0</v>
      </c>
    </row>
    <row r="2673" spans="2:10" x14ac:dyDescent="0.3">
      <c r="B2673" s="277">
        <f>'Production '!C2676</f>
        <v>0</v>
      </c>
      <c r="C2673" s="76" t="e">
        <f ca="1">SUMIF('Production '!$C$4:$AI$4407,'Tracking Sheet'!B2673,'Production '!$M$4:$M$4407)</f>
        <v>#DIV/0!</v>
      </c>
      <c r="D2673" s="76" t="e">
        <f ca="1">SUMIF('Production '!$C$4:$AI$4407,'Tracking Sheet'!B2673,'Production '!$Q$4:$Q$4407)</f>
        <v>#DIV/0!</v>
      </c>
      <c r="E2673" s="76">
        <f ca="1">SUMIF('Production '!$C$4:$AI$4407,'Tracking Sheet'!B2673,'Production '!$S$4:$S$4407)</f>
        <v>-1268218.9828305368</v>
      </c>
      <c r="F2673" s="76">
        <f ca="1">SUMIF('Production '!$C$4:$AI$4407,'Tracking Sheet'!B2673,'Production '!$U$4:$U$4407)</f>
        <v>-10620.435600016917</v>
      </c>
      <c r="G2673" s="76" t="e">
        <f ca="1">SUMIF('Production '!$C$4:$AI$4407,'Tracking Sheet'!B2673,'Production '!$W$4:$W$4407)</f>
        <v>#DIV/0!</v>
      </c>
      <c r="H2673" s="76">
        <f ca="1">SUMIF('Production '!$C$4:$AI$4407,'Tracking Sheet'!B2673,'Production '!$F$4:$F$4407)</f>
        <v>3230621.3283604058</v>
      </c>
      <c r="I2673" s="76">
        <f ca="1">SUMIF('Production '!$C$4:$AI$4407,'Tracking Sheet'!B2673,'Production '!$V$4:$V$4407)</f>
        <v>-489.86487791182844</v>
      </c>
      <c r="J2673" s="76">
        <f ca="1">SUMIF('Production '!$C$4:$AI$4407,'Tracking Sheet'!B2673,'Production '!$AG$4:$AG$4407)</f>
        <v>0</v>
      </c>
    </row>
    <row r="2674" spans="2:10" x14ac:dyDescent="0.3">
      <c r="B2674" s="277">
        <f>'Production '!C2677</f>
        <v>0</v>
      </c>
      <c r="C2674" s="76" t="e">
        <f ca="1">SUMIF('Production '!$C$4:$AI$4407,'Tracking Sheet'!B2674,'Production '!$M$4:$M$4407)</f>
        <v>#DIV/0!</v>
      </c>
      <c r="D2674" s="76" t="e">
        <f ca="1">SUMIF('Production '!$C$4:$AI$4407,'Tracking Sheet'!B2674,'Production '!$Q$4:$Q$4407)</f>
        <v>#DIV/0!</v>
      </c>
      <c r="E2674" s="76">
        <f ca="1">SUMIF('Production '!$C$4:$AI$4407,'Tracking Sheet'!B2674,'Production '!$S$4:$S$4407)</f>
        <v>-1268218.9828305368</v>
      </c>
      <c r="F2674" s="76">
        <f ca="1">SUMIF('Production '!$C$4:$AI$4407,'Tracking Sheet'!B2674,'Production '!$U$4:$U$4407)</f>
        <v>-10620.435600016917</v>
      </c>
      <c r="G2674" s="76" t="e">
        <f ca="1">SUMIF('Production '!$C$4:$AI$4407,'Tracking Sheet'!B2674,'Production '!$W$4:$W$4407)</f>
        <v>#DIV/0!</v>
      </c>
      <c r="H2674" s="76">
        <f ca="1">SUMIF('Production '!$C$4:$AI$4407,'Tracking Sheet'!B2674,'Production '!$F$4:$F$4407)</f>
        <v>3230621.3283604058</v>
      </c>
      <c r="I2674" s="76">
        <f ca="1">SUMIF('Production '!$C$4:$AI$4407,'Tracking Sheet'!B2674,'Production '!$V$4:$V$4407)</f>
        <v>-489.86487791182844</v>
      </c>
      <c r="J2674" s="76">
        <f ca="1">SUMIF('Production '!$C$4:$AI$4407,'Tracking Sheet'!B2674,'Production '!$AG$4:$AG$4407)</f>
        <v>0</v>
      </c>
    </row>
    <row r="2675" spans="2:10" x14ac:dyDescent="0.3">
      <c r="B2675" s="277">
        <f>'Production '!C2678</f>
        <v>0</v>
      </c>
      <c r="C2675" s="76" t="e">
        <f ca="1">SUMIF('Production '!$C$4:$AI$4407,'Tracking Sheet'!B2675,'Production '!$M$4:$M$4407)</f>
        <v>#DIV/0!</v>
      </c>
      <c r="D2675" s="76" t="e">
        <f ca="1">SUMIF('Production '!$C$4:$AI$4407,'Tracking Sheet'!B2675,'Production '!$Q$4:$Q$4407)</f>
        <v>#DIV/0!</v>
      </c>
      <c r="E2675" s="76">
        <f ca="1">SUMIF('Production '!$C$4:$AI$4407,'Tracking Sheet'!B2675,'Production '!$S$4:$S$4407)</f>
        <v>-1268218.9828305368</v>
      </c>
      <c r="F2675" s="76">
        <f ca="1">SUMIF('Production '!$C$4:$AI$4407,'Tracking Sheet'!B2675,'Production '!$U$4:$U$4407)</f>
        <v>-10620.435600016917</v>
      </c>
      <c r="G2675" s="76" t="e">
        <f ca="1">SUMIF('Production '!$C$4:$AI$4407,'Tracking Sheet'!B2675,'Production '!$W$4:$W$4407)</f>
        <v>#DIV/0!</v>
      </c>
      <c r="H2675" s="76">
        <f ca="1">SUMIF('Production '!$C$4:$AI$4407,'Tracking Sheet'!B2675,'Production '!$F$4:$F$4407)</f>
        <v>3230621.3283604058</v>
      </c>
      <c r="I2675" s="76">
        <f ca="1">SUMIF('Production '!$C$4:$AI$4407,'Tracking Sheet'!B2675,'Production '!$V$4:$V$4407)</f>
        <v>-489.86487791182844</v>
      </c>
      <c r="J2675" s="76">
        <f ca="1">SUMIF('Production '!$C$4:$AI$4407,'Tracking Sheet'!B2675,'Production '!$AG$4:$AG$4407)</f>
        <v>0</v>
      </c>
    </row>
    <row r="2676" spans="2:10" x14ac:dyDescent="0.3">
      <c r="B2676" s="277">
        <f>'Production '!C2679</f>
        <v>0</v>
      </c>
      <c r="C2676" s="76" t="e">
        <f ca="1">SUMIF('Production '!$C$4:$AI$4407,'Tracking Sheet'!B2676,'Production '!$M$4:$M$4407)</f>
        <v>#DIV/0!</v>
      </c>
      <c r="D2676" s="76" t="e">
        <f ca="1">SUMIF('Production '!$C$4:$AI$4407,'Tracking Sheet'!B2676,'Production '!$Q$4:$Q$4407)</f>
        <v>#DIV/0!</v>
      </c>
      <c r="E2676" s="76">
        <f ca="1">SUMIF('Production '!$C$4:$AI$4407,'Tracking Sheet'!B2676,'Production '!$S$4:$S$4407)</f>
        <v>-1268218.9828305368</v>
      </c>
      <c r="F2676" s="76">
        <f ca="1">SUMIF('Production '!$C$4:$AI$4407,'Tracking Sheet'!B2676,'Production '!$U$4:$U$4407)</f>
        <v>-10620.435600016917</v>
      </c>
      <c r="G2676" s="76" t="e">
        <f ca="1">SUMIF('Production '!$C$4:$AI$4407,'Tracking Sheet'!B2676,'Production '!$W$4:$W$4407)</f>
        <v>#DIV/0!</v>
      </c>
      <c r="H2676" s="76">
        <f ca="1">SUMIF('Production '!$C$4:$AI$4407,'Tracking Sheet'!B2676,'Production '!$F$4:$F$4407)</f>
        <v>3230621.3283604058</v>
      </c>
      <c r="I2676" s="76">
        <f ca="1">SUMIF('Production '!$C$4:$AI$4407,'Tracking Sheet'!B2676,'Production '!$V$4:$V$4407)</f>
        <v>-489.86487791182844</v>
      </c>
      <c r="J2676" s="76">
        <f ca="1">SUMIF('Production '!$C$4:$AI$4407,'Tracking Sheet'!B2676,'Production '!$AG$4:$AG$4407)</f>
        <v>0</v>
      </c>
    </row>
    <row r="2677" spans="2:10" x14ac:dyDescent="0.3">
      <c r="B2677" s="277">
        <f>'Production '!C2680</f>
        <v>0</v>
      </c>
      <c r="C2677" s="76" t="e">
        <f ca="1">SUMIF('Production '!$C$4:$AI$4407,'Tracking Sheet'!B2677,'Production '!$M$4:$M$4407)</f>
        <v>#DIV/0!</v>
      </c>
      <c r="D2677" s="76" t="e">
        <f ca="1">SUMIF('Production '!$C$4:$AI$4407,'Tracking Sheet'!B2677,'Production '!$Q$4:$Q$4407)</f>
        <v>#DIV/0!</v>
      </c>
      <c r="E2677" s="76">
        <f ca="1">SUMIF('Production '!$C$4:$AI$4407,'Tracking Sheet'!B2677,'Production '!$S$4:$S$4407)</f>
        <v>-1268218.9828305368</v>
      </c>
      <c r="F2677" s="76">
        <f ca="1">SUMIF('Production '!$C$4:$AI$4407,'Tracking Sheet'!B2677,'Production '!$U$4:$U$4407)</f>
        <v>-10620.435600016917</v>
      </c>
      <c r="G2677" s="76" t="e">
        <f ca="1">SUMIF('Production '!$C$4:$AI$4407,'Tracking Sheet'!B2677,'Production '!$W$4:$W$4407)</f>
        <v>#DIV/0!</v>
      </c>
      <c r="H2677" s="76">
        <f ca="1">SUMIF('Production '!$C$4:$AI$4407,'Tracking Sheet'!B2677,'Production '!$F$4:$F$4407)</f>
        <v>3230621.3283604058</v>
      </c>
      <c r="I2677" s="76">
        <f ca="1">SUMIF('Production '!$C$4:$AI$4407,'Tracking Sheet'!B2677,'Production '!$V$4:$V$4407)</f>
        <v>-489.86487791182844</v>
      </c>
      <c r="J2677" s="76">
        <f ca="1">SUMIF('Production '!$C$4:$AI$4407,'Tracking Sheet'!B2677,'Production '!$AG$4:$AG$4407)</f>
        <v>0</v>
      </c>
    </row>
    <row r="2678" spans="2:10" x14ac:dyDescent="0.3">
      <c r="B2678" s="277">
        <f>'Production '!C2681</f>
        <v>0</v>
      </c>
      <c r="C2678" s="76" t="e">
        <f ca="1">SUMIF('Production '!$C$4:$AI$4407,'Tracking Sheet'!B2678,'Production '!$M$4:$M$4407)</f>
        <v>#DIV/0!</v>
      </c>
      <c r="D2678" s="76" t="e">
        <f ca="1">SUMIF('Production '!$C$4:$AI$4407,'Tracking Sheet'!B2678,'Production '!$Q$4:$Q$4407)</f>
        <v>#DIV/0!</v>
      </c>
      <c r="E2678" s="76">
        <f ca="1">SUMIF('Production '!$C$4:$AI$4407,'Tracking Sheet'!B2678,'Production '!$S$4:$S$4407)</f>
        <v>-1268218.9828305368</v>
      </c>
      <c r="F2678" s="76">
        <f ca="1">SUMIF('Production '!$C$4:$AI$4407,'Tracking Sheet'!B2678,'Production '!$U$4:$U$4407)</f>
        <v>-10620.435600016917</v>
      </c>
      <c r="G2678" s="76" t="e">
        <f ca="1">SUMIF('Production '!$C$4:$AI$4407,'Tracking Sheet'!B2678,'Production '!$W$4:$W$4407)</f>
        <v>#DIV/0!</v>
      </c>
      <c r="H2678" s="76">
        <f ca="1">SUMIF('Production '!$C$4:$AI$4407,'Tracking Sheet'!B2678,'Production '!$F$4:$F$4407)</f>
        <v>3230621.3283604058</v>
      </c>
      <c r="I2678" s="76">
        <f ca="1">SUMIF('Production '!$C$4:$AI$4407,'Tracking Sheet'!B2678,'Production '!$V$4:$V$4407)</f>
        <v>-489.86487791182844</v>
      </c>
      <c r="J2678" s="76">
        <f ca="1">SUMIF('Production '!$C$4:$AI$4407,'Tracking Sheet'!B2678,'Production '!$AG$4:$AG$4407)</f>
        <v>0</v>
      </c>
    </row>
    <row r="2679" spans="2:10" x14ac:dyDescent="0.3">
      <c r="B2679" s="277">
        <f>'Production '!C2682</f>
        <v>0</v>
      </c>
      <c r="C2679" s="76" t="e">
        <f ca="1">SUMIF('Production '!$C$4:$AI$4407,'Tracking Sheet'!B2679,'Production '!$M$4:$M$4407)</f>
        <v>#DIV/0!</v>
      </c>
      <c r="D2679" s="76" t="e">
        <f ca="1">SUMIF('Production '!$C$4:$AI$4407,'Tracking Sheet'!B2679,'Production '!$Q$4:$Q$4407)</f>
        <v>#DIV/0!</v>
      </c>
      <c r="E2679" s="76">
        <f ca="1">SUMIF('Production '!$C$4:$AI$4407,'Tracking Sheet'!B2679,'Production '!$S$4:$S$4407)</f>
        <v>-1268218.9828305368</v>
      </c>
      <c r="F2679" s="76">
        <f ca="1">SUMIF('Production '!$C$4:$AI$4407,'Tracking Sheet'!B2679,'Production '!$U$4:$U$4407)</f>
        <v>-10620.435600016917</v>
      </c>
      <c r="G2679" s="76" t="e">
        <f ca="1">SUMIF('Production '!$C$4:$AI$4407,'Tracking Sheet'!B2679,'Production '!$W$4:$W$4407)</f>
        <v>#DIV/0!</v>
      </c>
      <c r="H2679" s="76">
        <f ca="1">SUMIF('Production '!$C$4:$AI$4407,'Tracking Sheet'!B2679,'Production '!$F$4:$F$4407)</f>
        <v>3230621.3283604058</v>
      </c>
      <c r="I2679" s="76">
        <f ca="1">SUMIF('Production '!$C$4:$AI$4407,'Tracking Sheet'!B2679,'Production '!$V$4:$V$4407)</f>
        <v>-489.86487791182844</v>
      </c>
      <c r="J2679" s="76">
        <f ca="1">SUMIF('Production '!$C$4:$AI$4407,'Tracking Sheet'!B2679,'Production '!$AG$4:$AG$4407)</f>
        <v>0</v>
      </c>
    </row>
    <row r="2680" spans="2:10" x14ac:dyDescent="0.3">
      <c r="B2680" s="277">
        <f>'Production '!C2683</f>
        <v>0</v>
      </c>
      <c r="C2680" s="76" t="e">
        <f ca="1">SUMIF('Production '!$C$4:$AI$4407,'Tracking Sheet'!B2680,'Production '!$M$4:$M$4407)</f>
        <v>#DIV/0!</v>
      </c>
      <c r="D2680" s="76" t="e">
        <f ca="1">SUMIF('Production '!$C$4:$AI$4407,'Tracking Sheet'!B2680,'Production '!$Q$4:$Q$4407)</f>
        <v>#DIV/0!</v>
      </c>
      <c r="E2680" s="76">
        <f ca="1">SUMIF('Production '!$C$4:$AI$4407,'Tracking Sheet'!B2680,'Production '!$S$4:$S$4407)</f>
        <v>-1268218.9828305368</v>
      </c>
      <c r="F2680" s="76">
        <f ca="1">SUMIF('Production '!$C$4:$AI$4407,'Tracking Sheet'!B2680,'Production '!$U$4:$U$4407)</f>
        <v>-10620.435600016917</v>
      </c>
      <c r="G2680" s="76" t="e">
        <f ca="1">SUMIF('Production '!$C$4:$AI$4407,'Tracking Sheet'!B2680,'Production '!$W$4:$W$4407)</f>
        <v>#DIV/0!</v>
      </c>
      <c r="H2680" s="76">
        <f ca="1">SUMIF('Production '!$C$4:$AI$4407,'Tracking Sheet'!B2680,'Production '!$F$4:$F$4407)</f>
        <v>3230621.3283604058</v>
      </c>
      <c r="I2680" s="76">
        <f ca="1">SUMIF('Production '!$C$4:$AI$4407,'Tracking Sheet'!B2680,'Production '!$V$4:$V$4407)</f>
        <v>-489.86487791182844</v>
      </c>
      <c r="J2680" s="76">
        <f ca="1">SUMIF('Production '!$C$4:$AI$4407,'Tracking Sheet'!B2680,'Production '!$AG$4:$AG$4407)</f>
        <v>0</v>
      </c>
    </row>
    <row r="2681" spans="2:10" x14ac:dyDescent="0.3">
      <c r="B2681" s="277">
        <f>'Production '!C2684</f>
        <v>0</v>
      </c>
      <c r="C2681" s="76" t="e">
        <f ca="1">SUMIF('Production '!$C$4:$AI$4407,'Tracking Sheet'!B2681,'Production '!$M$4:$M$4407)</f>
        <v>#DIV/0!</v>
      </c>
      <c r="D2681" s="76" t="e">
        <f ca="1">SUMIF('Production '!$C$4:$AI$4407,'Tracking Sheet'!B2681,'Production '!$Q$4:$Q$4407)</f>
        <v>#DIV/0!</v>
      </c>
      <c r="E2681" s="76">
        <f ca="1">SUMIF('Production '!$C$4:$AI$4407,'Tracking Sheet'!B2681,'Production '!$S$4:$S$4407)</f>
        <v>-1268218.9828305368</v>
      </c>
      <c r="F2681" s="76">
        <f ca="1">SUMIF('Production '!$C$4:$AI$4407,'Tracking Sheet'!B2681,'Production '!$U$4:$U$4407)</f>
        <v>-10620.435600016917</v>
      </c>
      <c r="G2681" s="76" t="e">
        <f ca="1">SUMIF('Production '!$C$4:$AI$4407,'Tracking Sheet'!B2681,'Production '!$W$4:$W$4407)</f>
        <v>#DIV/0!</v>
      </c>
      <c r="H2681" s="76">
        <f ca="1">SUMIF('Production '!$C$4:$AI$4407,'Tracking Sheet'!B2681,'Production '!$F$4:$F$4407)</f>
        <v>3230621.3283604058</v>
      </c>
      <c r="I2681" s="76">
        <f ca="1">SUMIF('Production '!$C$4:$AI$4407,'Tracking Sheet'!B2681,'Production '!$V$4:$V$4407)</f>
        <v>-489.86487791182844</v>
      </c>
      <c r="J2681" s="76">
        <f ca="1">SUMIF('Production '!$C$4:$AI$4407,'Tracking Sheet'!B2681,'Production '!$AG$4:$AG$4407)</f>
        <v>0</v>
      </c>
    </row>
    <row r="2682" spans="2:10" x14ac:dyDescent="0.3">
      <c r="B2682" s="277">
        <f>'Production '!C2685</f>
        <v>0</v>
      </c>
      <c r="C2682" s="76" t="e">
        <f ca="1">SUMIF('Production '!$C$4:$AI$4407,'Tracking Sheet'!B2682,'Production '!$M$4:$M$4407)</f>
        <v>#DIV/0!</v>
      </c>
      <c r="D2682" s="76" t="e">
        <f ca="1">SUMIF('Production '!$C$4:$AI$4407,'Tracking Sheet'!B2682,'Production '!$Q$4:$Q$4407)</f>
        <v>#DIV/0!</v>
      </c>
      <c r="E2682" s="76">
        <f ca="1">SUMIF('Production '!$C$4:$AI$4407,'Tracking Sheet'!B2682,'Production '!$S$4:$S$4407)</f>
        <v>-1268218.9828305368</v>
      </c>
      <c r="F2682" s="76">
        <f ca="1">SUMIF('Production '!$C$4:$AI$4407,'Tracking Sheet'!B2682,'Production '!$U$4:$U$4407)</f>
        <v>-10620.435600016917</v>
      </c>
      <c r="G2682" s="76" t="e">
        <f ca="1">SUMIF('Production '!$C$4:$AI$4407,'Tracking Sheet'!B2682,'Production '!$W$4:$W$4407)</f>
        <v>#DIV/0!</v>
      </c>
      <c r="H2682" s="76">
        <f ca="1">SUMIF('Production '!$C$4:$AI$4407,'Tracking Sheet'!B2682,'Production '!$F$4:$F$4407)</f>
        <v>3230621.3283604058</v>
      </c>
      <c r="I2682" s="76">
        <f ca="1">SUMIF('Production '!$C$4:$AI$4407,'Tracking Sheet'!B2682,'Production '!$V$4:$V$4407)</f>
        <v>-489.86487791182844</v>
      </c>
      <c r="J2682" s="76">
        <f ca="1">SUMIF('Production '!$C$4:$AI$4407,'Tracking Sheet'!B2682,'Production '!$AG$4:$AG$4407)</f>
        <v>0</v>
      </c>
    </row>
    <row r="2683" spans="2:10" x14ac:dyDescent="0.3">
      <c r="B2683" s="277">
        <f>'Production '!C2686</f>
        <v>0</v>
      </c>
      <c r="C2683" s="76" t="e">
        <f ca="1">SUMIF('Production '!$C$4:$AI$4407,'Tracking Sheet'!B2683,'Production '!$M$4:$M$4407)</f>
        <v>#DIV/0!</v>
      </c>
      <c r="D2683" s="76" t="e">
        <f ca="1">SUMIF('Production '!$C$4:$AI$4407,'Tracking Sheet'!B2683,'Production '!$Q$4:$Q$4407)</f>
        <v>#DIV/0!</v>
      </c>
      <c r="E2683" s="76">
        <f ca="1">SUMIF('Production '!$C$4:$AI$4407,'Tracking Sheet'!B2683,'Production '!$S$4:$S$4407)</f>
        <v>-1268218.9828305368</v>
      </c>
      <c r="F2683" s="76">
        <f ca="1">SUMIF('Production '!$C$4:$AI$4407,'Tracking Sheet'!B2683,'Production '!$U$4:$U$4407)</f>
        <v>-10620.435600016917</v>
      </c>
      <c r="G2683" s="76" t="e">
        <f ca="1">SUMIF('Production '!$C$4:$AI$4407,'Tracking Sheet'!B2683,'Production '!$W$4:$W$4407)</f>
        <v>#DIV/0!</v>
      </c>
      <c r="H2683" s="76">
        <f ca="1">SUMIF('Production '!$C$4:$AI$4407,'Tracking Sheet'!B2683,'Production '!$F$4:$F$4407)</f>
        <v>3230621.3283604058</v>
      </c>
      <c r="I2683" s="76">
        <f ca="1">SUMIF('Production '!$C$4:$AI$4407,'Tracking Sheet'!B2683,'Production '!$V$4:$V$4407)</f>
        <v>-489.86487791182844</v>
      </c>
      <c r="J2683" s="76">
        <f ca="1">SUMIF('Production '!$C$4:$AI$4407,'Tracking Sheet'!B2683,'Production '!$AG$4:$AG$4407)</f>
        <v>0</v>
      </c>
    </row>
    <row r="2684" spans="2:10" x14ac:dyDescent="0.3">
      <c r="B2684" s="277">
        <f>'Production '!C2687</f>
        <v>0</v>
      </c>
      <c r="C2684" s="76" t="e">
        <f ca="1">SUMIF('Production '!$C$4:$AI$4407,'Tracking Sheet'!B2684,'Production '!$M$4:$M$4407)</f>
        <v>#DIV/0!</v>
      </c>
      <c r="D2684" s="76" t="e">
        <f ca="1">SUMIF('Production '!$C$4:$AI$4407,'Tracking Sheet'!B2684,'Production '!$Q$4:$Q$4407)</f>
        <v>#DIV/0!</v>
      </c>
      <c r="E2684" s="76">
        <f ca="1">SUMIF('Production '!$C$4:$AI$4407,'Tracking Sheet'!B2684,'Production '!$S$4:$S$4407)</f>
        <v>-1268218.9828305368</v>
      </c>
      <c r="F2684" s="76">
        <f ca="1">SUMIF('Production '!$C$4:$AI$4407,'Tracking Sheet'!B2684,'Production '!$U$4:$U$4407)</f>
        <v>-10620.435600016917</v>
      </c>
      <c r="G2684" s="76" t="e">
        <f ca="1">SUMIF('Production '!$C$4:$AI$4407,'Tracking Sheet'!B2684,'Production '!$W$4:$W$4407)</f>
        <v>#DIV/0!</v>
      </c>
      <c r="H2684" s="76">
        <f ca="1">SUMIF('Production '!$C$4:$AI$4407,'Tracking Sheet'!B2684,'Production '!$F$4:$F$4407)</f>
        <v>3230621.3283604058</v>
      </c>
      <c r="I2684" s="76">
        <f ca="1">SUMIF('Production '!$C$4:$AI$4407,'Tracking Sheet'!B2684,'Production '!$V$4:$V$4407)</f>
        <v>-489.86487791182844</v>
      </c>
      <c r="J2684" s="76">
        <f ca="1">SUMIF('Production '!$C$4:$AI$4407,'Tracking Sheet'!B2684,'Production '!$AG$4:$AG$4407)</f>
        <v>0</v>
      </c>
    </row>
    <row r="2685" spans="2:10" x14ac:dyDescent="0.3">
      <c r="B2685" s="277">
        <f>'Production '!C2688</f>
        <v>0</v>
      </c>
      <c r="C2685" s="76" t="e">
        <f ca="1">SUMIF('Production '!$C$4:$AI$4407,'Tracking Sheet'!B2685,'Production '!$M$4:$M$4407)</f>
        <v>#DIV/0!</v>
      </c>
      <c r="D2685" s="76" t="e">
        <f ca="1">SUMIF('Production '!$C$4:$AI$4407,'Tracking Sheet'!B2685,'Production '!$Q$4:$Q$4407)</f>
        <v>#DIV/0!</v>
      </c>
      <c r="E2685" s="76">
        <f ca="1">SUMIF('Production '!$C$4:$AI$4407,'Tracking Sheet'!B2685,'Production '!$S$4:$S$4407)</f>
        <v>-1268218.9828305368</v>
      </c>
      <c r="F2685" s="76">
        <f ca="1">SUMIF('Production '!$C$4:$AI$4407,'Tracking Sheet'!B2685,'Production '!$U$4:$U$4407)</f>
        <v>-10620.435600016917</v>
      </c>
      <c r="G2685" s="76" t="e">
        <f ca="1">SUMIF('Production '!$C$4:$AI$4407,'Tracking Sheet'!B2685,'Production '!$W$4:$W$4407)</f>
        <v>#DIV/0!</v>
      </c>
      <c r="H2685" s="76">
        <f ca="1">SUMIF('Production '!$C$4:$AI$4407,'Tracking Sheet'!B2685,'Production '!$F$4:$F$4407)</f>
        <v>3230621.3283604058</v>
      </c>
      <c r="I2685" s="76">
        <f ca="1">SUMIF('Production '!$C$4:$AI$4407,'Tracking Sheet'!B2685,'Production '!$V$4:$V$4407)</f>
        <v>-489.86487791182844</v>
      </c>
      <c r="J2685" s="76">
        <f ca="1">SUMIF('Production '!$C$4:$AI$4407,'Tracking Sheet'!B2685,'Production '!$AG$4:$AG$4407)</f>
        <v>0</v>
      </c>
    </row>
    <row r="2686" spans="2:10" x14ac:dyDescent="0.3">
      <c r="B2686" s="277">
        <f>'Production '!C2689</f>
        <v>0</v>
      </c>
      <c r="C2686" s="76" t="e">
        <f ca="1">SUMIF('Production '!$C$4:$AI$4407,'Tracking Sheet'!B2686,'Production '!$M$4:$M$4407)</f>
        <v>#DIV/0!</v>
      </c>
      <c r="D2686" s="76" t="e">
        <f ca="1">SUMIF('Production '!$C$4:$AI$4407,'Tracking Sheet'!B2686,'Production '!$Q$4:$Q$4407)</f>
        <v>#DIV/0!</v>
      </c>
      <c r="E2686" s="76">
        <f ca="1">SUMIF('Production '!$C$4:$AI$4407,'Tracking Sheet'!B2686,'Production '!$S$4:$S$4407)</f>
        <v>-1268218.9828305368</v>
      </c>
      <c r="F2686" s="76">
        <f ca="1">SUMIF('Production '!$C$4:$AI$4407,'Tracking Sheet'!B2686,'Production '!$U$4:$U$4407)</f>
        <v>-10620.435600016917</v>
      </c>
      <c r="G2686" s="76" t="e">
        <f ca="1">SUMIF('Production '!$C$4:$AI$4407,'Tracking Sheet'!B2686,'Production '!$W$4:$W$4407)</f>
        <v>#DIV/0!</v>
      </c>
      <c r="H2686" s="76">
        <f ca="1">SUMIF('Production '!$C$4:$AI$4407,'Tracking Sheet'!B2686,'Production '!$F$4:$F$4407)</f>
        <v>3230621.3283604058</v>
      </c>
      <c r="I2686" s="76">
        <f ca="1">SUMIF('Production '!$C$4:$AI$4407,'Tracking Sheet'!B2686,'Production '!$V$4:$V$4407)</f>
        <v>-489.86487791182844</v>
      </c>
      <c r="J2686" s="76">
        <f ca="1">SUMIF('Production '!$C$4:$AI$4407,'Tracking Sheet'!B2686,'Production '!$AG$4:$AG$4407)</f>
        <v>0</v>
      </c>
    </row>
    <row r="2687" spans="2:10" x14ac:dyDescent="0.3">
      <c r="B2687" s="277">
        <f>'Production '!C2690</f>
        <v>0</v>
      </c>
      <c r="C2687" s="76" t="e">
        <f ca="1">SUMIF('Production '!$C$4:$AI$4407,'Tracking Sheet'!B2687,'Production '!$M$4:$M$4407)</f>
        <v>#DIV/0!</v>
      </c>
      <c r="D2687" s="76" t="e">
        <f ca="1">SUMIF('Production '!$C$4:$AI$4407,'Tracking Sheet'!B2687,'Production '!$Q$4:$Q$4407)</f>
        <v>#DIV/0!</v>
      </c>
      <c r="E2687" s="76">
        <f ca="1">SUMIF('Production '!$C$4:$AI$4407,'Tracking Sheet'!B2687,'Production '!$S$4:$S$4407)</f>
        <v>-1268218.9828305368</v>
      </c>
      <c r="F2687" s="76">
        <f ca="1">SUMIF('Production '!$C$4:$AI$4407,'Tracking Sheet'!B2687,'Production '!$U$4:$U$4407)</f>
        <v>-10620.435600016917</v>
      </c>
      <c r="G2687" s="76" t="e">
        <f ca="1">SUMIF('Production '!$C$4:$AI$4407,'Tracking Sheet'!B2687,'Production '!$W$4:$W$4407)</f>
        <v>#DIV/0!</v>
      </c>
      <c r="H2687" s="76">
        <f ca="1">SUMIF('Production '!$C$4:$AI$4407,'Tracking Sheet'!B2687,'Production '!$F$4:$F$4407)</f>
        <v>3230621.3283604058</v>
      </c>
      <c r="I2687" s="76">
        <f ca="1">SUMIF('Production '!$C$4:$AI$4407,'Tracking Sheet'!B2687,'Production '!$V$4:$V$4407)</f>
        <v>-489.86487791182844</v>
      </c>
      <c r="J2687" s="76">
        <f ca="1">SUMIF('Production '!$C$4:$AI$4407,'Tracking Sheet'!B2687,'Production '!$AG$4:$AG$4407)</f>
        <v>0</v>
      </c>
    </row>
    <row r="2688" spans="2:10" x14ac:dyDescent="0.3">
      <c r="B2688" s="277">
        <f>'Production '!C2691</f>
        <v>0</v>
      </c>
      <c r="C2688" s="76" t="e">
        <f ca="1">SUMIF('Production '!$C$4:$AI$4407,'Tracking Sheet'!B2688,'Production '!$M$4:$M$4407)</f>
        <v>#DIV/0!</v>
      </c>
      <c r="D2688" s="76" t="e">
        <f ca="1">SUMIF('Production '!$C$4:$AI$4407,'Tracking Sheet'!B2688,'Production '!$Q$4:$Q$4407)</f>
        <v>#DIV/0!</v>
      </c>
      <c r="E2688" s="76">
        <f ca="1">SUMIF('Production '!$C$4:$AI$4407,'Tracking Sheet'!B2688,'Production '!$S$4:$S$4407)</f>
        <v>-1268218.9828305368</v>
      </c>
      <c r="F2688" s="76">
        <f ca="1">SUMIF('Production '!$C$4:$AI$4407,'Tracking Sheet'!B2688,'Production '!$U$4:$U$4407)</f>
        <v>-10620.435600016917</v>
      </c>
      <c r="G2688" s="76" t="e">
        <f ca="1">SUMIF('Production '!$C$4:$AI$4407,'Tracking Sheet'!B2688,'Production '!$W$4:$W$4407)</f>
        <v>#DIV/0!</v>
      </c>
      <c r="H2688" s="76">
        <f ca="1">SUMIF('Production '!$C$4:$AI$4407,'Tracking Sheet'!B2688,'Production '!$F$4:$F$4407)</f>
        <v>3230621.3283604058</v>
      </c>
      <c r="I2688" s="76">
        <f ca="1">SUMIF('Production '!$C$4:$AI$4407,'Tracking Sheet'!B2688,'Production '!$V$4:$V$4407)</f>
        <v>-489.86487791182844</v>
      </c>
      <c r="J2688" s="76">
        <f ca="1">SUMIF('Production '!$C$4:$AI$4407,'Tracking Sheet'!B2688,'Production '!$AG$4:$AG$4407)</f>
        <v>0</v>
      </c>
    </row>
    <row r="2689" spans="2:10" x14ac:dyDescent="0.3">
      <c r="B2689" s="277">
        <f>'Production '!C2692</f>
        <v>0</v>
      </c>
      <c r="C2689" s="76" t="e">
        <f ca="1">SUMIF('Production '!$C$4:$AI$4407,'Tracking Sheet'!B2689,'Production '!$M$4:$M$4407)</f>
        <v>#DIV/0!</v>
      </c>
      <c r="D2689" s="76" t="e">
        <f ca="1">SUMIF('Production '!$C$4:$AI$4407,'Tracking Sheet'!B2689,'Production '!$Q$4:$Q$4407)</f>
        <v>#DIV/0!</v>
      </c>
      <c r="E2689" s="76">
        <f ca="1">SUMIF('Production '!$C$4:$AI$4407,'Tracking Sheet'!B2689,'Production '!$S$4:$S$4407)</f>
        <v>-1268218.9828305368</v>
      </c>
      <c r="F2689" s="76">
        <f ca="1">SUMIF('Production '!$C$4:$AI$4407,'Tracking Sheet'!B2689,'Production '!$U$4:$U$4407)</f>
        <v>-10620.435600016917</v>
      </c>
      <c r="G2689" s="76" t="e">
        <f ca="1">SUMIF('Production '!$C$4:$AI$4407,'Tracking Sheet'!B2689,'Production '!$W$4:$W$4407)</f>
        <v>#DIV/0!</v>
      </c>
      <c r="H2689" s="76">
        <f ca="1">SUMIF('Production '!$C$4:$AI$4407,'Tracking Sheet'!B2689,'Production '!$F$4:$F$4407)</f>
        <v>3230621.3283604058</v>
      </c>
      <c r="I2689" s="76">
        <f ca="1">SUMIF('Production '!$C$4:$AI$4407,'Tracking Sheet'!B2689,'Production '!$V$4:$V$4407)</f>
        <v>-489.86487791182844</v>
      </c>
      <c r="J2689" s="76">
        <f ca="1">SUMIF('Production '!$C$4:$AI$4407,'Tracking Sheet'!B2689,'Production '!$AG$4:$AG$4407)</f>
        <v>0</v>
      </c>
    </row>
    <row r="2690" spans="2:10" x14ac:dyDescent="0.3">
      <c r="B2690" s="277">
        <f>'Production '!C2693</f>
        <v>0</v>
      </c>
      <c r="C2690" s="76" t="e">
        <f ca="1">SUMIF('Production '!$C$4:$AI$4407,'Tracking Sheet'!B2690,'Production '!$M$4:$M$4407)</f>
        <v>#DIV/0!</v>
      </c>
      <c r="D2690" s="76" t="e">
        <f ca="1">SUMIF('Production '!$C$4:$AI$4407,'Tracking Sheet'!B2690,'Production '!$Q$4:$Q$4407)</f>
        <v>#DIV/0!</v>
      </c>
      <c r="E2690" s="76">
        <f ca="1">SUMIF('Production '!$C$4:$AI$4407,'Tracking Sheet'!B2690,'Production '!$S$4:$S$4407)</f>
        <v>-1268218.9828305368</v>
      </c>
      <c r="F2690" s="76">
        <f ca="1">SUMIF('Production '!$C$4:$AI$4407,'Tracking Sheet'!B2690,'Production '!$U$4:$U$4407)</f>
        <v>-10620.435600016917</v>
      </c>
      <c r="G2690" s="76" t="e">
        <f ca="1">SUMIF('Production '!$C$4:$AI$4407,'Tracking Sheet'!B2690,'Production '!$W$4:$W$4407)</f>
        <v>#DIV/0!</v>
      </c>
      <c r="H2690" s="76">
        <f ca="1">SUMIF('Production '!$C$4:$AI$4407,'Tracking Sheet'!B2690,'Production '!$F$4:$F$4407)</f>
        <v>3230621.3283604058</v>
      </c>
      <c r="I2690" s="76">
        <f ca="1">SUMIF('Production '!$C$4:$AI$4407,'Tracking Sheet'!B2690,'Production '!$V$4:$V$4407)</f>
        <v>-489.86487791182844</v>
      </c>
      <c r="J2690" s="76">
        <f ca="1">SUMIF('Production '!$C$4:$AI$4407,'Tracking Sheet'!B2690,'Production '!$AG$4:$AG$4407)</f>
        <v>0</v>
      </c>
    </row>
    <row r="2691" spans="2:10" x14ac:dyDescent="0.3">
      <c r="B2691" s="277">
        <f>'Production '!C2694</f>
        <v>0</v>
      </c>
      <c r="C2691" s="76" t="e">
        <f ca="1">SUMIF('Production '!$C$4:$AI$4407,'Tracking Sheet'!B2691,'Production '!$M$4:$M$4407)</f>
        <v>#DIV/0!</v>
      </c>
      <c r="D2691" s="76" t="e">
        <f ca="1">SUMIF('Production '!$C$4:$AI$4407,'Tracking Sheet'!B2691,'Production '!$Q$4:$Q$4407)</f>
        <v>#DIV/0!</v>
      </c>
      <c r="E2691" s="76">
        <f ca="1">SUMIF('Production '!$C$4:$AI$4407,'Tracking Sheet'!B2691,'Production '!$S$4:$S$4407)</f>
        <v>-1268218.9828305368</v>
      </c>
      <c r="F2691" s="76">
        <f ca="1">SUMIF('Production '!$C$4:$AI$4407,'Tracking Sheet'!B2691,'Production '!$U$4:$U$4407)</f>
        <v>-10620.435600016917</v>
      </c>
      <c r="G2691" s="76" t="e">
        <f ca="1">SUMIF('Production '!$C$4:$AI$4407,'Tracking Sheet'!B2691,'Production '!$W$4:$W$4407)</f>
        <v>#DIV/0!</v>
      </c>
      <c r="H2691" s="76">
        <f ca="1">SUMIF('Production '!$C$4:$AI$4407,'Tracking Sheet'!B2691,'Production '!$F$4:$F$4407)</f>
        <v>3230621.3283604058</v>
      </c>
      <c r="I2691" s="76">
        <f ca="1">SUMIF('Production '!$C$4:$AI$4407,'Tracking Sheet'!B2691,'Production '!$V$4:$V$4407)</f>
        <v>-489.86487791182844</v>
      </c>
      <c r="J2691" s="76">
        <f ca="1">SUMIF('Production '!$C$4:$AI$4407,'Tracking Sheet'!B2691,'Production '!$AG$4:$AG$4407)</f>
        <v>0</v>
      </c>
    </row>
    <row r="2692" spans="2:10" x14ac:dyDescent="0.3">
      <c r="B2692" s="277">
        <f>'Production '!C2695</f>
        <v>0</v>
      </c>
      <c r="C2692" s="76" t="e">
        <f ca="1">SUMIF('Production '!$C$4:$AI$4407,'Tracking Sheet'!B2692,'Production '!$M$4:$M$4407)</f>
        <v>#DIV/0!</v>
      </c>
      <c r="D2692" s="76" t="e">
        <f ca="1">SUMIF('Production '!$C$4:$AI$4407,'Tracking Sheet'!B2692,'Production '!$Q$4:$Q$4407)</f>
        <v>#DIV/0!</v>
      </c>
      <c r="E2692" s="76">
        <f ca="1">SUMIF('Production '!$C$4:$AI$4407,'Tracking Sheet'!B2692,'Production '!$S$4:$S$4407)</f>
        <v>-1268218.9828305368</v>
      </c>
      <c r="F2692" s="76">
        <f ca="1">SUMIF('Production '!$C$4:$AI$4407,'Tracking Sheet'!B2692,'Production '!$U$4:$U$4407)</f>
        <v>-10620.435600016917</v>
      </c>
      <c r="G2692" s="76" t="e">
        <f ca="1">SUMIF('Production '!$C$4:$AI$4407,'Tracking Sheet'!B2692,'Production '!$W$4:$W$4407)</f>
        <v>#DIV/0!</v>
      </c>
      <c r="H2692" s="76">
        <f ca="1">SUMIF('Production '!$C$4:$AI$4407,'Tracking Sheet'!B2692,'Production '!$F$4:$F$4407)</f>
        <v>3230621.3283604058</v>
      </c>
      <c r="I2692" s="76">
        <f ca="1">SUMIF('Production '!$C$4:$AI$4407,'Tracking Sheet'!B2692,'Production '!$V$4:$V$4407)</f>
        <v>-489.86487791182844</v>
      </c>
      <c r="J2692" s="76">
        <f ca="1">SUMIF('Production '!$C$4:$AI$4407,'Tracking Sheet'!B2692,'Production '!$AG$4:$AG$4407)</f>
        <v>0</v>
      </c>
    </row>
    <row r="2693" spans="2:10" x14ac:dyDescent="0.3">
      <c r="B2693" s="277">
        <f>'Production '!C2696</f>
        <v>0</v>
      </c>
      <c r="C2693" s="76" t="e">
        <f ca="1">SUMIF('Production '!$C$4:$AI$4407,'Tracking Sheet'!B2693,'Production '!$M$4:$M$4407)</f>
        <v>#DIV/0!</v>
      </c>
      <c r="D2693" s="76" t="e">
        <f ca="1">SUMIF('Production '!$C$4:$AI$4407,'Tracking Sheet'!B2693,'Production '!$Q$4:$Q$4407)</f>
        <v>#DIV/0!</v>
      </c>
      <c r="E2693" s="76">
        <f ca="1">SUMIF('Production '!$C$4:$AI$4407,'Tracking Sheet'!B2693,'Production '!$S$4:$S$4407)</f>
        <v>-1268218.9828305368</v>
      </c>
      <c r="F2693" s="76">
        <f ca="1">SUMIF('Production '!$C$4:$AI$4407,'Tracking Sheet'!B2693,'Production '!$U$4:$U$4407)</f>
        <v>-10620.435600016917</v>
      </c>
      <c r="G2693" s="76" t="e">
        <f ca="1">SUMIF('Production '!$C$4:$AI$4407,'Tracking Sheet'!B2693,'Production '!$W$4:$W$4407)</f>
        <v>#DIV/0!</v>
      </c>
      <c r="H2693" s="76">
        <f ca="1">SUMIF('Production '!$C$4:$AI$4407,'Tracking Sheet'!B2693,'Production '!$F$4:$F$4407)</f>
        <v>3230621.3283604058</v>
      </c>
      <c r="I2693" s="76">
        <f ca="1">SUMIF('Production '!$C$4:$AI$4407,'Tracking Sheet'!B2693,'Production '!$V$4:$V$4407)</f>
        <v>-489.86487791182844</v>
      </c>
      <c r="J2693" s="76">
        <f ca="1">SUMIF('Production '!$C$4:$AI$4407,'Tracking Sheet'!B2693,'Production '!$AG$4:$AG$4407)</f>
        <v>0</v>
      </c>
    </row>
    <row r="2694" spans="2:10" x14ac:dyDescent="0.3">
      <c r="B2694" s="277">
        <f>'Production '!C2697</f>
        <v>0</v>
      </c>
      <c r="C2694" s="76" t="e">
        <f ca="1">SUMIF('Production '!$C$4:$AI$4407,'Tracking Sheet'!B2694,'Production '!$M$4:$M$4407)</f>
        <v>#DIV/0!</v>
      </c>
      <c r="D2694" s="76" t="e">
        <f ca="1">SUMIF('Production '!$C$4:$AI$4407,'Tracking Sheet'!B2694,'Production '!$Q$4:$Q$4407)</f>
        <v>#DIV/0!</v>
      </c>
      <c r="E2694" s="76">
        <f ca="1">SUMIF('Production '!$C$4:$AI$4407,'Tracking Sheet'!B2694,'Production '!$S$4:$S$4407)</f>
        <v>-1268218.9828305368</v>
      </c>
      <c r="F2694" s="76">
        <f ca="1">SUMIF('Production '!$C$4:$AI$4407,'Tracking Sheet'!B2694,'Production '!$U$4:$U$4407)</f>
        <v>-10620.435600016917</v>
      </c>
      <c r="G2694" s="76" t="e">
        <f ca="1">SUMIF('Production '!$C$4:$AI$4407,'Tracking Sheet'!B2694,'Production '!$W$4:$W$4407)</f>
        <v>#DIV/0!</v>
      </c>
      <c r="H2694" s="76">
        <f ca="1">SUMIF('Production '!$C$4:$AI$4407,'Tracking Sheet'!B2694,'Production '!$F$4:$F$4407)</f>
        <v>3230621.3283604058</v>
      </c>
      <c r="I2694" s="76">
        <f ca="1">SUMIF('Production '!$C$4:$AI$4407,'Tracking Sheet'!B2694,'Production '!$V$4:$V$4407)</f>
        <v>-489.86487791182844</v>
      </c>
      <c r="J2694" s="76">
        <f ca="1">SUMIF('Production '!$C$4:$AI$4407,'Tracking Sheet'!B2694,'Production '!$AG$4:$AG$4407)</f>
        <v>0</v>
      </c>
    </row>
    <row r="2695" spans="2:10" x14ac:dyDescent="0.3">
      <c r="B2695" s="277">
        <f>'Production '!C2698</f>
        <v>0</v>
      </c>
      <c r="C2695" s="76" t="e">
        <f ca="1">SUMIF('Production '!$C$4:$AI$4407,'Tracking Sheet'!B2695,'Production '!$M$4:$M$4407)</f>
        <v>#DIV/0!</v>
      </c>
      <c r="D2695" s="76" t="e">
        <f ca="1">SUMIF('Production '!$C$4:$AI$4407,'Tracking Sheet'!B2695,'Production '!$Q$4:$Q$4407)</f>
        <v>#DIV/0!</v>
      </c>
      <c r="E2695" s="76">
        <f ca="1">SUMIF('Production '!$C$4:$AI$4407,'Tracking Sheet'!B2695,'Production '!$S$4:$S$4407)</f>
        <v>-1268218.9828305368</v>
      </c>
      <c r="F2695" s="76">
        <f ca="1">SUMIF('Production '!$C$4:$AI$4407,'Tracking Sheet'!B2695,'Production '!$U$4:$U$4407)</f>
        <v>-10620.435600016917</v>
      </c>
      <c r="G2695" s="76" t="e">
        <f ca="1">SUMIF('Production '!$C$4:$AI$4407,'Tracking Sheet'!B2695,'Production '!$W$4:$W$4407)</f>
        <v>#DIV/0!</v>
      </c>
      <c r="H2695" s="76">
        <f ca="1">SUMIF('Production '!$C$4:$AI$4407,'Tracking Sheet'!B2695,'Production '!$F$4:$F$4407)</f>
        <v>3230621.3283604058</v>
      </c>
      <c r="I2695" s="76">
        <f ca="1">SUMIF('Production '!$C$4:$AI$4407,'Tracking Sheet'!B2695,'Production '!$V$4:$V$4407)</f>
        <v>-489.86487791182844</v>
      </c>
      <c r="J2695" s="76">
        <f ca="1">SUMIF('Production '!$C$4:$AI$4407,'Tracking Sheet'!B2695,'Production '!$AG$4:$AG$4407)</f>
        <v>0</v>
      </c>
    </row>
    <row r="2696" spans="2:10" x14ac:dyDescent="0.3">
      <c r="B2696" s="277">
        <f>'Production '!C2699</f>
        <v>0</v>
      </c>
      <c r="C2696" s="76" t="e">
        <f ca="1">SUMIF('Production '!$C$4:$AI$4407,'Tracking Sheet'!B2696,'Production '!$M$4:$M$4407)</f>
        <v>#DIV/0!</v>
      </c>
      <c r="D2696" s="76" t="e">
        <f ca="1">SUMIF('Production '!$C$4:$AI$4407,'Tracking Sheet'!B2696,'Production '!$Q$4:$Q$4407)</f>
        <v>#DIV/0!</v>
      </c>
      <c r="E2696" s="76">
        <f ca="1">SUMIF('Production '!$C$4:$AI$4407,'Tracking Sheet'!B2696,'Production '!$S$4:$S$4407)</f>
        <v>-1268218.9828305368</v>
      </c>
      <c r="F2696" s="76">
        <f ca="1">SUMIF('Production '!$C$4:$AI$4407,'Tracking Sheet'!B2696,'Production '!$U$4:$U$4407)</f>
        <v>-10620.435600016917</v>
      </c>
      <c r="G2696" s="76" t="e">
        <f ca="1">SUMIF('Production '!$C$4:$AI$4407,'Tracking Sheet'!B2696,'Production '!$W$4:$W$4407)</f>
        <v>#DIV/0!</v>
      </c>
      <c r="H2696" s="76">
        <f ca="1">SUMIF('Production '!$C$4:$AI$4407,'Tracking Sheet'!B2696,'Production '!$F$4:$F$4407)</f>
        <v>3230621.3283604058</v>
      </c>
      <c r="I2696" s="76">
        <f ca="1">SUMIF('Production '!$C$4:$AI$4407,'Tracking Sheet'!B2696,'Production '!$V$4:$V$4407)</f>
        <v>-489.86487791182844</v>
      </c>
      <c r="J2696" s="76">
        <f ca="1">SUMIF('Production '!$C$4:$AI$4407,'Tracking Sheet'!B2696,'Production '!$AG$4:$AG$4407)</f>
        <v>0</v>
      </c>
    </row>
    <row r="2697" spans="2:10" x14ac:dyDescent="0.3">
      <c r="B2697" s="277">
        <f>'Production '!C2700</f>
        <v>0</v>
      </c>
      <c r="C2697" s="76" t="e">
        <f ca="1">SUMIF('Production '!$C$4:$AI$4407,'Tracking Sheet'!B2697,'Production '!$M$4:$M$4407)</f>
        <v>#DIV/0!</v>
      </c>
      <c r="D2697" s="76" t="e">
        <f ca="1">SUMIF('Production '!$C$4:$AI$4407,'Tracking Sheet'!B2697,'Production '!$Q$4:$Q$4407)</f>
        <v>#DIV/0!</v>
      </c>
      <c r="E2697" s="76">
        <f ca="1">SUMIF('Production '!$C$4:$AI$4407,'Tracking Sheet'!B2697,'Production '!$S$4:$S$4407)</f>
        <v>-1268218.9828305368</v>
      </c>
      <c r="F2697" s="76">
        <f ca="1">SUMIF('Production '!$C$4:$AI$4407,'Tracking Sheet'!B2697,'Production '!$U$4:$U$4407)</f>
        <v>-10620.435600016917</v>
      </c>
      <c r="G2697" s="76" t="e">
        <f ca="1">SUMIF('Production '!$C$4:$AI$4407,'Tracking Sheet'!B2697,'Production '!$W$4:$W$4407)</f>
        <v>#DIV/0!</v>
      </c>
      <c r="H2697" s="76">
        <f ca="1">SUMIF('Production '!$C$4:$AI$4407,'Tracking Sheet'!B2697,'Production '!$F$4:$F$4407)</f>
        <v>3230621.3283604058</v>
      </c>
      <c r="I2697" s="76">
        <f ca="1">SUMIF('Production '!$C$4:$AI$4407,'Tracking Sheet'!B2697,'Production '!$V$4:$V$4407)</f>
        <v>-489.86487791182844</v>
      </c>
      <c r="J2697" s="76">
        <f ca="1">SUMIF('Production '!$C$4:$AI$4407,'Tracking Sheet'!B2697,'Production '!$AG$4:$AG$4407)</f>
        <v>0</v>
      </c>
    </row>
    <row r="2698" spans="2:10" x14ac:dyDescent="0.3">
      <c r="B2698" s="277">
        <f>'Production '!C2701</f>
        <v>0</v>
      </c>
      <c r="C2698" s="76" t="e">
        <f ca="1">SUMIF('Production '!$C$4:$AI$4407,'Tracking Sheet'!B2698,'Production '!$M$4:$M$4407)</f>
        <v>#DIV/0!</v>
      </c>
      <c r="D2698" s="76" t="e">
        <f ca="1">SUMIF('Production '!$C$4:$AI$4407,'Tracking Sheet'!B2698,'Production '!$Q$4:$Q$4407)</f>
        <v>#DIV/0!</v>
      </c>
      <c r="E2698" s="76">
        <f ca="1">SUMIF('Production '!$C$4:$AI$4407,'Tracking Sheet'!B2698,'Production '!$S$4:$S$4407)</f>
        <v>-1268218.9828305368</v>
      </c>
      <c r="F2698" s="76">
        <f ca="1">SUMIF('Production '!$C$4:$AI$4407,'Tracking Sheet'!B2698,'Production '!$U$4:$U$4407)</f>
        <v>-10620.435600016917</v>
      </c>
      <c r="G2698" s="76" t="e">
        <f ca="1">SUMIF('Production '!$C$4:$AI$4407,'Tracking Sheet'!B2698,'Production '!$W$4:$W$4407)</f>
        <v>#DIV/0!</v>
      </c>
      <c r="H2698" s="76">
        <f ca="1">SUMIF('Production '!$C$4:$AI$4407,'Tracking Sheet'!B2698,'Production '!$F$4:$F$4407)</f>
        <v>3230621.3283604058</v>
      </c>
      <c r="I2698" s="76">
        <f ca="1">SUMIF('Production '!$C$4:$AI$4407,'Tracking Sheet'!B2698,'Production '!$V$4:$V$4407)</f>
        <v>-489.86487791182844</v>
      </c>
      <c r="J2698" s="76">
        <f ca="1">SUMIF('Production '!$C$4:$AI$4407,'Tracking Sheet'!B2698,'Production '!$AG$4:$AG$4407)</f>
        <v>0</v>
      </c>
    </row>
    <row r="2699" spans="2:10" x14ac:dyDescent="0.3">
      <c r="B2699" s="277">
        <f>'Production '!C2702</f>
        <v>0</v>
      </c>
      <c r="C2699" s="76" t="e">
        <f ca="1">SUMIF('Production '!$C$4:$AI$4407,'Tracking Sheet'!B2699,'Production '!$M$4:$M$4407)</f>
        <v>#DIV/0!</v>
      </c>
      <c r="D2699" s="76" t="e">
        <f ca="1">SUMIF('Production '!$C$4:$AI$4407,'Tracking Sheet'!B2699,'Production '!$Q$4:$Q$4407)</f>
        <v>#DIV/0!</v>
      </c>
      <c r="E2699" s="76">
        <f ca="1">SUMIF('Production '!$C$4:$AI$4407,'Tracking Sheet'!B2699,'Production '!$S$4:$S$4407)</f>
        <v>-1268218.9828305368</v>
      </c>
      <c r="F2699" s="76">
        <f ca="1">SUMIF('Production '!$C$4:$AI$4407,'Tracking Sheet'!B2699,'Production '!$U$4:$U$4407)</f>
        <v>-10620.435600016917</v>
      </c>
      <c r="G2699" s="76" t="e">
        <f ca="1">SUMIF('Production '!$C$4:$AI$4407,'Tracking Sheet'!B2699,'Production '!$W$4:$W$4407)</f>
        <v>#DIV/0!</v>
      </c>
      <c r="H2699" s="76">
        <f ca="1">SUMIF('Production '!$C$4:$AI$4407,'Tracking Sheet'!B2699,'Production '!$F$4:$F$4407)</f>
        <v>3230621.3283604058</v>
      </c>
      <c r="I2699" s="76">
        <f ca="1">SUMIF('Production '!$C$4:$AI$4407,'Tracking Sheet'!B2699,'Production '!$V$4:$V$4407)</f>
        <v>-489.86487791182844</v>
      </c>
      <c r="J2699" s="76">
        <f ca="1">SUMIF('Production '!$C$4:$AI$4407,'Tracking Sheet'!B2699,'Production '!$AG$4:$AG$4407)</f>
        <v>0</v>
      </c>
    </row>
    <row r="2700" spans="2:10" x14ac:dyDescent="0.3">
      <c r="B2700" s="277">
        <f>'Production '!C2703</f>
        <v>0</v>
      </c>
      <c r="C2700" s="76" t="e">
        <f ca="1">SUMIF('Production '!$C$4:$AI$4407,'Tracking Sheet'!B2700,'Production '!$M$4:$M$4407)</f>
        <v>#DIV/0!</v>
      </c>
      <c r="D2700" s="76" t="e">
        <f ca="1">SUMIF('Production '!$C$4:$AI$4407,'Tracking Sheet'!B2700,'Production '!$Q$4:$Q$4407)</f>
        <v>#DIV/0!</v>
      </c>
      <c r="E2700" s="76">
        <f ca="1">SUMIF('Production '!$C$4:$AI$4407,'Tracking Sheet'!B2700,'Production '!$S$4:$S$4407)</f>
        <v>-1268218.9828305368</v>
      </c>
      <c r="F2700" s="76">
        <f ca="1">SUMIF('Production '!$C$4:$AI$4407,'Tracking Sheet'!B2700,'Production '!$U$4:$U$4407)</f>
        <v>-10620.435600016917</v>
      </c>
      <c r="G2700" s="76" t="e">
        <f ca="1">SUMIF('Production '!$C$4:$AI$4407,'Tracking Sheet'!B2700,'Production '!$W$4:$W$4407)</f>
        <v>#DIV/0!</v>
      </c>
      <c r="H2700" s="76">
        <f ca="1">SUMIF('Production '!$C$4:$AI$4407,'Tracking Sheet'!B2700,'Production '!$F$4:$F$4407)</f>
        <v>3230621.3283604058</v>
      </c>
      <c r="I2700" s="76">
        <f ca="1">SUMIF('Production '!$C$4:$AI$4407,'Tracking Sheet'!B2700,'Production '!$V$4:$V$4407)</f>
        <v>-489.86487791182844</v>
      </c>
      <c r="J2700" s="76">
        <f ca="1">SUMIF('Production '!$C$4:$AI$4407,'Tracking Sheet'!B2700,'Production '!$AG$4:$AG$4407)</f>
        <v>0</v>
      </c>
    </row>
    <row r="2701" spans="2:10" x14ac:dyDescent="0.3">
      <c r="B2701" s="277">
        <f>'Production '!C2704</f>
        <v>0</v>
      </c>
      <c r="C2701" s="76" t="e">
        <f ca="1">SUMIF('Production '!$C$4:$AI$4407,'Tracking Sheet'!B2701,'Production '!$M$4:$M$4407)</f>
        <v>#DIV/0!</v>
      </c>
      <c r="D2701" s="76" t="e">
        <f ca="1">SUMIF('Production '!$C$4:$AI$4407,'Tracking Sheet'!B2701,'Production '!$Q$4:$Q$4407)</f>
        <v>#DIV/0!</v>
      </c>
      <c r="E2701" s="76">
        <f ca="1">SUMIF('Production '!$C$4:$AI$4407,'Tracking Sheet'!B2701,'Production '!$S$4:$S$4407)</f>
        <v>-1268218.9828305368</v>
      </c>
      <c r="F2701" s="76">
        <f ca="1">SUMIF('Production '!$C$4:$AI$4407,'Tracking Sheet'!B2701,'Production '!$U$4:$U$4407)</f>
        <v>-10620.435600016917</v>
      </c>
      <c r="G2701" s="76" t="e">
        <f ca="1">SUMIF('Production '!$C$4:$AI$4407,'Tracking Sheet'!B2701,'Production '!$W$4:$W$4407)</f>
        <v>#DIV/0!</v>
      </c>
      <c r="H2701" s="76">
        <f ca="1">SUMIF('Production '!$C$4:$AI$4407,'Tracking Sheet'!B2701,'Production '!$F$4:$F$4407)</f>
        <v>3230621.3283604058</v>
      </c>
      <c r="I2701" s="76">
        <f ca="1">SUMIF('Production '!$C$4:$AI$4407,'Tracking Sheet'!B2701,'Production '!$V$4:$V$4407)</f>
        <v>-489.86487791182844</v>
      </c>
      <c r="J2701" s="76">
        <f ca="1">SUMIF('Production '!$C$4:$AI$4407,'Tracking Sheet'!B2701,'Production '!$AG$4:$AG$4407)</f>
        <v>0</v>
      </c>
    </row>
    <row r="2702" spans="2:10" x14ac:dyDescent="0.3">
      <c r="B2702" s="277">
        <f>'Production '!C2705</f>
        <v>0</v>
      </c>
      <c r="C2702" s="76" t="e">
        <f ca="1">SUMIF('Production '!$C$4:$AI$4407,'Tracking Sheet'!B2702,'Production '!$M$4:$M$4407)</f>
        <v>#DIV/0!</v>
      </c>
      <c r="D2702" s="76" t="e">
        <f ca="1">SUMIF('Production '!$C$4:$AI$4407,'Tracking Sheet'!B2702,'Production '!$Q$4:$Q$4407)</f>
        <v>#DIV/0!</v>
      </c>
      <c r="E2702" s="76">
        <f ca="1">SUMIF('Production '!$C$4:$AI$4407,'Tracking Sheet'!B2702,'Production '!$S$4:$S$4407)</f>
        <v>-1268218.9828305368</v>
      </c>
      <c r="F2702" s="76">
        <f ca="1">SUMIF('Production '!$C$4:$AI$4407,'Tracking Sheet'!B2702,'Production '!$U$4:$U$4407)</f>
        <v>-10620.435600016917</v>
      </c>
      <c r="G2702" s="76" t="e">
        <f ca="1">SUMIF('Production '!$C$4:$AI$4407,'Tracking Sheet'!B2702,'Production '!$W$4:$W$4407)</f>
        <v>#DIV/0!</v>
      </c>
      <c r="H2702" s="76">
        <f ca="1">SUMIF('Production '!$C$4:$AI$4407,'Tracking Sheet'!B2702,'Production '!$F$4:$F$4407)</f>
        <v>3230621.3283604058</v>
      </c>
      <c r="I2702" s="76">
        <f ca="1">SUMIF('Production '!$C$4:$AI$4407,'Tracking Sheet'!B2702,'Production '!$V$4:$V$4407)</f>
        <v>-489.86487791182844</v>
      </c>
      <c r="J2702" s="76">
        <f ca="1">SUMIF('Production '!$C$4:$AI$4407,'Tracking Sheet'!B2702,'Production '!$AG$4:$AG$4407)</f>
        <v>0</v>
      </c>
    </row>
    <row r="2703" spans="2:10" x14ac:dyDescent="0.3">
      <c r="B2703" s="277">
        <f>'Production '!C2706</f>
        <v>0</v>
      </c>
      <c r="C2703" s="76" t="e">
        <f ca="1">SUMIF('Production '!$C$4:$AI$4407,'Tracking Sheet'!B2703,'Production '!$M$4:$M$4407)</f>
        <v>#DIV/0!</v>
      </c>
      <c r="D2703" s="76" t="e">
        <f ca="1">SUMIF('Production '!$C$4:$AI$4407,'Tracking Sheet'!B2703,'Production '!$Q$4:$Q$4407)</f>
        <v>#DIV/0!</v>
      </c>
      <c r="E2703" s="76">
        <f ca="1">SUMIF('Production '!$C$4:$AI$4407,'Tracking Sheet'!B2703,'Production '!$S$4:$S$4407)</f>
        <v>-1268218.9828305368</v>
      </c>
      <c r="F2703" s="76">
        <f ca="1">SUMIF('Production '!$C$4:$AI$4407,'Tracking Sheet'!B2703,'Production '!$U$4:$U$4407)</f>
        <v>-10620.435600016917</v>
      </c>
      <c r="G2703" s="76" t="e">
        <f ca="1">SUMIF('Production '!$C$4:$AI$4407,'Tracking Sheet'!B2703,'Production '!$W$4:$W$4407)</f>
        <v>#DIV/0!</v>
      </c>
      <c r="H2703" s="76">
        <f ca="1">SUMIF('Production '!$C$4:$AI$4407,'Tracking Sheet'!B2703,'Production '!$F$4:$F$4407)</f>
        <v>3230621.3283604058</v>
      </c>
      <c r="I2703" s="76">
        <f ca="1">SUMIF('Production '!$C$4:$AI$4407,'Tracking Sheet'!B2703,'Production '!$V$4:$V$4407)</f>
        <v>-489.86487791182844</v>
      </c>
      <c r="J2703" s="76">
        <f ca="1">SUMIF('Production '!$C$4:$AI$4407,'Tracking Sheet'!B2703,'Production '!$AG$4:$AG$4407)</f>
        <v>0</v>
      </c>
    </row>
    <row r="2704" spans="2:10" x14ac:dyDescent="0.3">
      <c r="B2704" s="277">
        <f>'Production '!C2707</f>
        <v>0</v>
      </c>
      <c r="C2704" s="76" t="e">
        <f ca="1">SUMIF('Production '!$C$4:$AI$4407,'Tracking Sheet'!B2704,'Production '!$M$4:$M$4407)</f>
        <v>#DIV/0!</v>
      </c>
      <c r="D2704" s="76" t="e">
        <f ca="1">SUMIF('Production '!$C$4:$AI$4407,'Tracking Sheet'!B2704,'Production '!$Q$4:$Q$4407)</f>
        <v>#DIV/0!</v>
      </c>
      <c r="E2704" s="76">
        <f ca="1">SUMIF('Production '!$C$4:$AI$4407,'Tracking Sheet'!B2704,'Production '!$S$4:$S$4407)</f>
        <v>-1268218.9828305368</v>
      </c>
      <c r="F2704" s="76">
        <f ca="1">SUMIF('Production '!$C$4:$AI$4407,'Tracking Sheet'!B2704,'Production '!$U$4:$U$4407)</f>
        <v>-10620.435600016917</v>
      </c>
      <c r="G2704" s="76" t="e">
        <f ca="1">SUMIF('Production '!$C$4:$AI$4407,'Tracking Sheet'!B2704,'Production '!$W$4:$W$4407)</f>
        <v>#DIV/0!</v>
      </c>
      <c r="H2704" s="76">
        <f ca="1">SUMIF('Production '!$C$4:$AI$4407,'Tracking Sheet'!B2704,'Production '!$F$4:$F$4407)</f>
        <v>3230621.3283604058</v>
      </c>
      <c r="I2704" s="76">
        <f ca="1">SUMIF('Production '!$C$4:$AI$4407,'Tracking Sheet'!B2704,'Production '!$V$4:$V$4407)</f>
        <v>-489.86487791182844</v>
      </c>
      <c r="J2704" s="76">
        <f ca="1">SUMIF('Production '!$C$4:$AI$4407,'Tracking Sheet'!B2704,'Production '!$AG$4:$AG$4407)</f>
        <v>0</v>
      </c>
    </row>
    <row r="2705" spans="2:10" x14ac:dyDescent="0.3">
      <c r="B2705" s="277">
        <f>'Production '!C2708</f>
        <v>0</v>
      </c>
      <c r="C2705" s="76" t="e">
        <f ca="1">SUMIF('Production '!$C$4:$AI$4407,'Tracking Sheet'!B2705,'Production '!$M$4:$M$4407)</f>
        <v>#DIV/0!</v>
      </c>
      <c r="D2705" s="76" t="e">
        <f ca="1">SUMIF('Production '!$C$4:$AI$4407,'Tracking Sheet'!B2705,'Production '!$Q$4:$Q$4407)</f>
        <v>#DIV/0!</v>
      </c>
      <c r="E2705" s="76">
        <f ca="1">SUMIF('Production '!$C$4:$AI$4407,'Tracking Sheet'!B2705,'Production '!$S$4:$S$4407)</f>
        <v>-1268218.9828305368</v>
      </c>
      <c r="F2705" s="76">
        <f ca="1">SUMIF('Production '!$C$4:$AI$4407,'Tracking Sheet'!B2705,'Production '!$U$4:$U$4407)</f>
        <v>-10620.435600016917</v>
      </c>
      <c r="G2705" s="76" t="e">
        <f ca="1">SUMIF('Production '!$C$4:$AI$4407,'Tracking Sheet'!B2705,'Production '!$W$4:$W$4407)</f>
        <v>#DIV/0!</v>
      </c>
      <c r="H2705" s="76">
        <f ca="1">SUMIF('Production '!$C$4:$AI$4407,'Tracking Sheet'!B2705,'Production '!$F$4:$F$4407)</f>
        <v>3230621.3283604058</v>
      </c>
      <c r="I2705" s="76">
        <f ca="1">SUMIF('Production '!$C$4:$AI$4407,'Tracking Sheet'!B2705,'Production '!$V$4:$V$4407)</f>
        <v>-489.86487791182844</v>
      </c>
      <c r="J2705" s="76">
        <f ca="1">SUMIF('Production '!$C$4:$AI$4407,'Tracking Sheet'!B2705,'Production '!$AG$4:$AG$4407)</f>
        <v>0</v>
      </c>
    </row>
    <row r="2706" spans="2:10" x14ac:dyDescent="0.3">
      <c r="B2706" s="277">
        <f>'Production '!C2709</f>
        <v>0</v>
      </c>
      <c r="C2706" s="76" t="e">
        <f ca="1">SUMIF('Production '!$C$4:$AI$4407,'Tracking Sheet'!B2706,'Production '!$M$4:$M$4407)</f>
        <v>#DIV/0!</v>
      </c>
      <c r="D2706" s="76" t="e">
        <f ca="1">SUMIF('Production '!$C$4:$AI$4407,'Tracking Sheet'!B2706,'Production '!$Q$4:$Q$4407)</f>
        <v>#DIV/0!</v>
      </c>
      <c r="E2706" s="76">
        <f ca="1">SUMIF('Production '!$C$4:$AI$4407,'Tracking Sheet'!B2706,'Production '!$S$4:$S$4407)</f>
        <v>-1268218.9828305368</v>
      </c>
      <c r="F2706" s="76">
        <f ca="1">SUMIF('Production '!$C$4:$AI$4407,'Tracking Sheet'!B2706,'Production '!$U$4:$U$4407)</f>
        <v>-10620.435600016917</v>
      </c>
      <c r="G2706" s="76" t="e">
        <f ca="1">SUMIF('Production '!$C$4:$AI$4407,'Tracking Sheet'!B2706,'Production '!$W$4:$W$4407)</f>
        <v>#DIV/0!</v>
      </c>
      <c r="H2706" s="76">
        <f ca="1">SUMIF('Production '!$C$4:$AI$4407,'Tracking Sheet'!B2706,'Production '!$F$4:$F$4407)</f>
        <v>3230621.3283604058</v>
      </c>
      <c r="I2706" s="76">
        <f ca="1">SUMIF('Production '!$C$4:$AI$4407,'Tracking Sheet'!B2706,'Production '!$V$4:$V$4407)</f>
        <v>-489.86487791182844</v>
      </c>
      <c r="J2706" s="76">
        <f ca="1">SUMIF('Production '!$C$4:$AI$4407,'Tracking Sheet'!B2706,'Production '!$AG$4:$AG$4407)</f>
        <v>0</v>
      </c>
    </row>
    <row r="2707" spans="2:10" x14ac:dyDescent="0.3">
      <c r="B2707" s="277">
        <f>'Production '!C2710</f>
        <v>0</v>
      </c>
      <c r="C2707" s="76" t="e">
        <f ca="1">SUMIF('Production '!$C$4:$AI$4407,'Tracking Sheet'!B2707,'Production '!$M$4:$M$4407)</f>
        <v>#DIV/0!</v>
      </c>
      <c r="D2707" s="76" t="e">
        <f ca="1">SUMIF('Production '!$C$4:$AI$4407,'Tracking Sheet'!B2707,'Production '!$Q$4:$Q$4407)</f>
        <v>#DIV/0!</v>
      </c>
      <c r="E2707" s="76">
        <f ca="1">SUMIF('Production '!$C$4:$AI$4407,'Tracking Sheet'!B2707,'Production '!$S$4:$S$4407)</f>
        <v>-1268218.9828305368</v>
      </c>
      <c r="F2707" s="76">
        <f ca="1">SUMIF('Production '!$C$4:$AI$4407,'Tracking Sheet'!B2707,'Production '!$U$4:$U$4407)</f>
        <v>-10620.435600016917</v>
      </c>
      <c r="G2707" s="76" t="e">
        <f ca="1">SUMIF('Production '!$C$4:$AI$4407,'Tracking Sheet'!B2707,'Production '!$W$4:$W$4407)</f>
        <v>#DIV/0!</v>
      </c>
      <c r="H2707" s="76">
        <f ca="1">SUMIF('Production '!$C$4:$AI$4407,'Tracking Sheet'!B2707,'Production '!$F$4:$F$4407)</f>
        <v>3230621.3283604058</v>
      </c>
      <c r="I2707" s="76">
        <f ca="1">SUMIF('Production '!$C$4:$AI$4407,'Tracking Sheet'!B2707,'Production '!$V$4:$V$4407)</f>
        <v>-489.86487791182844</v>
      </c>
      <c r="J2707" s="76">
        <f ca="1">SUMIF('Production '!$C$4:$AI$4407,'Tracking Sheet'!B2707,'Production '!$AG$4:$AG$4407)</f>
        <v>0</v>
      </c>
    </row>
    <row r="2708" spans="2:10" x14ac:dyDescent="0.3">
      <c r="B2708" s="277">
        <f>'Production '!C2711</f>
        <v>0</v>
      </c>
      <c r="C2708" s="76" t="e">
        <f ca="1">SUMIF('Production '!$C$4:$AI$4407,'Tracking Sheet'!B2708,'Production '!$M$4:$M$4407)</f>
        <v>#DIV/0!</v>
      </c>
      <c r="D2708" s="76" t="e">
        <f ca="1">SUMIF('Production '!$C$4:$AI$4407,'Tracking Sheet'!B2708,'Production '!$Q$4:$Q$4407)</f>
        <v>#DIV/0!</v>
      </c>
      <c r="E2708" s="76">
        <f ca="1">SUMIF('Production '!$C$4:$AI$4407,'Tracking Sheet'!B2708,'Production '!$S$4:$S$4407)</f>
        <v>-1268218.9828305368</v>
      </c>
      <c r="F2708" s="76">
        <f ca="1">SUMIF('Production '!$C$4:$AI$4407,'Tracking Sheet'!B2708,'Production '!$U$4:$U$4407)</f>
        <v>-10620.435600016917</v>
      </c>
      <c r="G2708" s="76" t="e">
        <f ca="1">SUMIF('Production '!$C$4:$AI$4407,'Tracking Sheet'!B2708,'Production '!$W$4:$W$4407)</f>
        <v>#DIV/0!</v>
      </c>
      <c r="H2708" s="76">
        <f ca="1">SUMIF('Production '!$C$4:$AI$4407,'Tracking Sheet'!B2708,'Production '!$F$4:$F$4407)</f>
        <v>3230621.3283604058</v>
      </c>
      <c r="I2708" s="76">
        <f ca="1">SUMIF('Production '!$C$4:$AI$4407,'Tracking Sheet'!B2708,'Production '!$V$4:$V$4407)</f>
        <v>-489.86487791182844</v>
      </c>
      <c r="J2708" s="76">
        <f ca="1">SUMIF('Production '!$C$4:$AI$4407,'Tracking Sheet'!B2708,'Production '!$AG$4:$AG$4407)</f>
        <v>0</v>
      </c>
    </row>
    <row r="2709" spans="2:10" x14ac:dyDescent="0.3">
      <c r="B2709" s="277">
        <f>'Production '!C2712</f>
        <v>0</v>
      </c>
      <c r="C2709" s="76" t="e">
        <f ca="1">SUMIF('Production '!$C$4:$AI$4407,'Tracking Sheet'!B2709,'Production '!$M$4:$M$4407)</f>
        <v>#DIV/0!</v>
      </c>
      <c r="D2709" s="76" t="e">
        <f ca="1">SUMIF('Production '!$C$4:$AI$4407,'Tracking Sheet'!B2709,'Production '!$Q$4:$Q$4407)</f>
        <v>#DIV/0!</v>
      </c>
      <c r="E2709" s="76">
        <f ca="1">SUMIF('Production '!$C$4:$AI$4407,'Tracking Sheet'!B2709,'Production '!$S$4:$S$4407)</f>
        <v>-1268218.9828305368</v>
      </c>
      <c r="F2709" s="76">
        <f ca="1">SUMIF('Production '!$C$4:$AI$4407,'Tracking Sheet'!B2709,'Production '!$U$4:$U$4407)</f>
        <v>-10620.435600016917</v>
      </c>
      <c r="G2709" s="76" t="e">
        <f ca="1">SUMIF('Production '!$C$4:$AI$4407,'Tracking Sheet'!B2709,'Production '!$W$4:$W$4407)</f>
        <v>#DIV/0!</v>
      </c>
      <c r="H2709" s="76">
        <f ca="1">SUMIF('Production '!$C$4:$AI$4407,'Tracking Sheet'!B2709,'Production '!$F$4:$F$4407)</f>
        <v>3230621.3283604058</v>
      </c>
      <c r="I2709" s="76">
        <f ca="1">SUMIF('Production '!$C$4:$AI$4407,'Tracking Sheet'!B2709,'Production '!$V$4:$V$4407)</f>
        <v>-489.86487791182844</v>
      </c>
      <c r="J2709" s="76">
        <f ca="1">SUMIF('Production '!$C$4:$AI$4407,'Tracking Sheet'!B2709,'Production '!$AG$4:$AG$4407)</f>
        <v>0</v>
      </c>
    </row>
    <row r="2710" spans="2:10" x14ac:dyDescent="0.3">
      <c r="B2710" s="277">
        <f>'Production '!C2713</f>
        <v>0</v>
      </c>
      <c r="C2710" s="76" t="e">
        <f ca="1">SUMIF('Production '!$C$4:$AI$4407,'Tracking Sheet'!B2710,'Production '!$M$4:$M$4407)</f>
        <v>#DIV/0!</v>
      </c>
      <c r="D2710" s="76" t="e">
        <f ca="1">SUMIF('Production '!$C$4:$AI$4407,'Tracking Sheet'!B2710,'Production '!$Q$4:$Q$4407)</f>
        <v>#DIV/0!</v>
      </c>
      <c r="E2710" s="76">
        <f ca="1">SUMIF('Production '!$C$4:$AI$4407,'Tracking Sheet'!B2710,'Production '!$S$4:$S$4407)</f>
        <v>-1268218.9828305368</v>
      </c>
      <c r="F2710" s="76">
        <f ca="1">SUMIF('Production '!$C$4:$AI$4407,'Tracking Sheet'!B2710,'Production '!$U$4:$U$4407)</f>
        <v>-10620.435600016917</v>
      </c>
      <c r="G2710" s="76" t="e">
        <f ca="1">SUMIF('Production '!$C$4:$AI$4407,'Tracking Sheet'!B2710,'Production '!$W$4:$W$4407)</f>
        <v>#DIV/0!</v>
      </c>
      <c r="H2710" s="76">
        <f ca="1">SUMIF('Production '!$C$4:$AI$4407,'Tracking Sheet'!B2710,'Production '!$F$4:$F$4407)</f>
        <v>3230621.3283604058</v>
      </c>
      <c r="I2710" s="76">
        <f ca="1">SUMIF('Production '!$C$4:$AI$4407,'Tracking Sheet'!B2710,'Production '!$V$4:$V$4407)</f>
        <v>-489.86487791182844</v>
      </c>
      <c r="J2710" s="76">
        <f ca="1">SUMIF('Production '!$C$4:$AI$4407,'Tracking Sheet'!B2710,'Production '!$AG$4:$AG$4407)</f>
        <v>0</v>
      </c>
    </row>
    <row r="2711" spans="2:10" x14ac:dyDescent="0.3">
      <c r="B2711" s="277">
        <f>'Production '!C2714</f>
        <v>0</v>
      </c>
      <c r="C2711" s="76" t="e">
        <f ca="1">SUMIF('Production '!$C$4:$AI$4407,'Tracking Sheet'!B2711,'Production '!$M$4:$M$4407)</f>
        <v>#DIV/0!</v>
      </c>
      <c r="D2711" s="76" t="e">
        <f ca="1">SUMIF('Production '!$C$4:$AI$4407,'Tracking Sheet'!B2711,'Production '!$Q$4:$Q$4407)</f>
        <v>#DIV/0!</v>
      </c>
      <c r="E2711" s="76">
        <f ca="1">SUMIF('Production '!$C$4:$AI$4407,'Tracking Sheet'!B2711,'Production '!$S$4:$S$4407)</f>
        <v>-1268218.9828305368</v>
      </c>
      <c r="F2711" s="76">
        <f ca="1">SUMIF('Production '!$C$4:$AI$4407,'Tracking Sheet'!B2711,'Production '!$U$4:$U$4407)</f>
        <v>-10620.435600016917</v>
      </c>
      <c r="G2711" s="76" t="e">
        <f ca="1">SUMIF('Production '!$C$4:$AI$4407,'Tracking Sheet'!B2711,'Production '!$W$4:$W$4407)</f>
        <v>#DIV/0!</v>
      </c>
      <c r="H2711" s="76">
        <f ca="1">SUMIF('Production '!$C$4:$AI$4407,'Tracking Sheet'!B2711,'Production '!$F$4:$F$4407)</f>
        <v>3230621.3283604058</v>
      </c>
      <c r="I2711" s="76">
        <f ca="1">SUMIF('Production '!$C$4:$AI$4407,'Tracking Sheet'!B2711,'Production '!$V$4:$V$4407)</f>
        <v>-489.86487791182844</v>
      </c>
      <c r="J2711" s="76">
        <f ca="1">SUMIF('Production '!$C$4:$AI$4407,'Tracking Sheet'!B2711,'Production '!$AG$4:$AG$4407)</f>
        <v>0</v>
      </c>
    </row>
    <row r="2712" spans="2:10" x14ac:dyDescent="0.3">
      <c r="B2712" s="277">
        <f>'Production '!C2715</f>
        <v>0</v>
      </c>
      <c r="C2712" s="76" t="e">
        <f ca="1">SUMIF('Production '!$C$4:$AI$4407,'Tracking Sheet'!B2712,'Production '!$M$4:$M$4407)</f>
        <v>#DIV/0!</v>
      </c>
      <c r="D2712" s="76" t="e">
        <f ca="1">SUMIF('Production '!$C$4:$AI$4407,'Tracking Sheet'!B2712,'Production '!$Q$4:$Q$4407)</f>
        <v>#DIV/0!</v>
      </c>
      <c r="E2712" s="76">
        <f ca="1">SUMIF('Production '!$C$4:$AI$4407,'Tracking Sheet'!B2712,'Production '!$S$4:$S$4407)</f>
        <v>-1268218.9828305368</v>
      </c>
      <c r="F2712" s="76">
        <f ca="1">SUMIF('Production '!$C$4:$AI$4407,'Tracking Sheet'!B2712,'Production '!$U$4:$U$4407)</f>
        <v>-10620.435600016917</v>
      </c>
      <c r="G2712" s="76" t="e">
        <f ca="1">SUMIF('Production '!$C$4:$AI$4407,'Tracking Sheet'!B2712,'Production '!$W$4:$W$4407)</f>
        <v>#DIV/0!</v>
      </c>
      <c r="H2712" s="76">
        <f ca="1">SUMIF('Production '!$C$4:$AI$4407,'Tracking Sheet'!B2712,'Production '!$F$4:$F$4407)</f>
        <v>3230621.3283604058</v>
      </c>
      <c r="I2712" s="76">
        <f ca="1">SUMIF('Production '!$C$4:$AI$4407,'Tracking Sheet'!B2712,'Production '!$V$4:$V$4407)</f>
        <v>-489.86487791182844</v>
      </c>
      <c r="J2712" s="76">
        <f ca="1">SUMIF('Production '!$C$4:$AI$4407,'Tracking Sheet'!B2712,'Production '!$AG$4:$AG$4407)</f>
        <v>0</v>
      </c>
    </row>
    <row r="2713" spans="2:10" x14ac:dyDescent="0.3">
      <c r="B2713" s="277">
        <f>'Production '!C2716</f>
        <v>0</v>
      </c>
      <c r="C2713" s="76" t="e">
        <f ca="1">SUMIF('Production '!$C$4:$AI$4407,'Tracking Sheet'!B2713,'Production '!$M$4:$M$4407)</f>
        <v>#DIV/0!</v>
      </c>
      <c r="D2713" s="76" t="e">
        <f ca="1">SUMIF('Production '!$C$4:$AI$4407,'Tracking Sheet'!B2713,'Production '!$Q$4:$Q$4407)</f>
        <v>#DIV/0!</v>
      </c>
      <c r="E2713" s="76">
        <f ca="1">SUMIF('Production '!$C$4:$AI$4407,'Tracking Sheet'!B2713,'Production '!$S$4:$S$4407)</f>
        <v>-1268218.9828305368</v>
      </c>
      <c r="F2713" s="76">
        <f ca="1">SUMIF('Production '!$C$4:$AI$4407,'Tracking Sheet'!B2713,'Production '!$U$4:$U$4407)</f>
        <v>-10620.435600016917</v>
      </c>
      <c r="G2713" s="76" t="e">
        <f ca="1">SUMIF('Production '!$C$4:$AI$4407,'Tracking Sheet'!B2713,'Production '!$W$4:$W$4407)</f>
        <v>#DIV/0!</v>
      </c>
      <c r="H2713" s="76">
        <f ca="1">SUMIF('Production '!$C$4:$AI$4407,'Tracking Sheet'!B2713,'Production '!$F$4:$F$4407)</f>
        <v>3230621.3283604058</v>
      </c>
      <c r="I2713" s="76">
        <f ca="1">SUMIF('Production '!$C$4:$AI$4407,'Tracking Sheet'!B2713,'Production '!$V$4:$V$4407)</f>
        <v>-489.86487791182844</v>
      </c>
      <c r="J2713" s="76">
        <f ca="1">SUMIF('Production '!$C$4:$AI$4407,'Tracking Sheet'!B2713,'Production '!$AG$4:$AG$4407)</f>
        <v>0</v>
      </c>
    </row>
    <row r="2714" spans="2:10" x14ac:dyDescent="0.3">
      <c r="B2714" s="277">
        <f>'Production '!C2717</f>
        <v>0</v>
      </c>
      <c r="C2714" s="76" t="e">
        <f ca="1">SUMIF('Production '!$C$4:$AI$4407,'Tracking Sheet'!B2714,'Production '!$M$4:$M$4407)</f>
        <v>#DIV/0!</v>
      </c>
      <c r="D2714" s="76" t="e">
        <f ca="1">SUMIF('Production '!$C$4:$AI$4407,'Tracking Sheet'!B2714,'Production '!$Q$4:$Q$4407)</f>
        <v>#DIV/0!</v>
      </c>
      <c r="E2714" s="76">
        <f ca="1">SUMIF('Production '!$C$4:$AI$4407,'Tracking Sheet'!B2714,'Production '!$S$4:$S$4407)</f>
        <v>-1268218.9828305368</v>
      </c>
      <c r="F2714" s="76">
        <f ca="1">SUMIF('Production '!$C$4:$AI$4407,'Tracking Sheet'!B2714,'Production '!$U$4:$U$4407)</f>
        <v>-10620.435600016917</v>
      </c>
      <c r="G2714" s="76" t="e">
        <f ca="1">SUMIF('Production '!$C$4:$AI$4407,'Tracking Sheet'!B2714,'Production '!$W$4:$W$4407)</f>
        <v>#DIV/0!</v>
      </c>
      <c r="H2714" s="76">
        <f ca="1">SUMIF('Production '!$C$4:$AI$4407,'Tracking Sheet'!B2714,'Production '!$F$4:$F$4407)</f>
        <v>3230621.3283604058</v>
      </c>
      <c r="I2714" s="76">
        <f ca="1">SUMIF('Production '!$C$4:$AI$4407,'Tracking Sheet'!B2714,'Production '!$V$4:$V$4407)</f>
        <v>-489.86487791182844</v>
      </c>
      <c r="J2714" s="76">
        <f ca="1">SUMIF('Production '!$C$4:$AI$4407,'Tracking Sheet'!B2714,'Production '!$AG$4:$AG$4407)</f>
        <v>0</v>
      </c>
    </row>
    <row r="2715" spans="2:10" x14ac:dyDescent="0.3">
      <c r="B2715" s="277">
        <f>'Production '!C2718</f>
        <v>0</v>
      </c>
      <c r="C2715" s="76" t="e">
        <f ca="1">SUMIF('Production '!$C$4:$AI$4407,'Tracking Sheet'!B2715,'Production '!$M$4:$M$4407)</f>
        <v>#DIV/0!</v>
      </c>
      <c r="D2715" s="76" t="e">
        <f ca="1">SUMIF('Production '!$C$4:$AI$4407,'Tracking Sheet'!B2715,'Production '!$Q$4:$Q$4407)</f>
        <v>#DIV/0!</v>
      </c>
      <c r="E2715" s="76">
        <f ca="1">SUMIF('Production '!$C$4:$AI$4407,'Tracking Sheet'!B2715,'Production '!$S$4:$S$4407)</f>
        <v>-1268218.9828305368</v>
      </c>
      <c r="F2715" s="76">
        <f ca="1">SUMIF('Production '!$C$4:$AI$4407,'Tracking Sheet'!B2715,'Production '!$U$4:$U$4407)</f>
        <v>-10620.435600016917</v>
      </c>
      <c r="G2715" s="76" t="e">
        <f ca="1">SUMIF('Production '!$C$4:$AI$4407,'Tracking Sheet'!B2715,'Production '!$W$4:$W$4407)</f>
        <v>#DIV/0!</v>
      </c>
      <c r="H2715" s="76">
        <f ca="1">SUMIF('Production '!$C$4:$AI$4407,'Tracking Sheet'!B2715,'Production '!$F$4:$F$4407)</f>
        <v>3230621.3283604058</v>
      </c>
      <c r="I2715" s="76">
        <f ca="1">SUMIF('Production '!$C$4:$AI$4407,'Tracking Sheet'!B2715,'Production '!$V$4:$V$4407)</f>
        <v>-489.86487791182844</v>
      </c>
      <c r="J2715" s="76">
        <f ca="1">SUMIF('Production '!$C$4:$AI$4407,'Tracking Sheet'!B2715,'Production '!$AG$4:$AG$4407)</f>
        <v>0</v>
      </c>
    </row>
    <row r="2716" spans="2:10" x14ac:dyDescent="0.3">
      <c r="B2716" s="277">
        <f>'Production '!C2719</f>
        <v>0</v>
      </c>
      <c r="C2716" s="76" t="e">
        <f ca="1">SUMIF('Production '!$C$4:$AI$4407,'Tracking Sheet'!B2716,'Production '!$M$4:$M$4407)</f>
        <v>#DIV/0!</v>
      </c>
      <c r="D2716" s="76" t="e">
        <f ca="1">SUMIF('Production '!$C$4:$AI$4407,'Tracking Sheet'!B2716,'Production '!$Q$4:$Q$4407)</f>
        <v>#DIV/0!</v>
      </c>
      <c r="E2716" s="76">
        <f ca="1">SUMIF('Production '!$C$4:$AI$4407,'Tracking Sheet'!B2716,'Production '!$S$4:$S$4407)</f>
        <v>-1268218.9828305368</v>
      </c>
      <c r="F2716" s="76">
        <f ca="1">SUMIF('Production '!$C$4:$AI$4407,'Tracking Sheet'!B2716,'Production '!$U$4:$U$4407)</f>
        <v>-10620.435600016917</v>
      </c>
      <c r="G2716" s="76" t="e">
        <f ca="1">SUMIF('Production '!$C$4:$AI$4407,'Tracking Sheet'!B2716,'Production '!$W$4:$W$4407)</f>
        <v>#DIV/0!</v>
      </c>
      <c r="H2716" s="76">
        <f ca="1">SUMIF('Production '!$C$4:$AI$4407,'Tracking Sheet'!B2716,'Production '!$F$4:$F$4407)</f>
        <v>3230621.3283604058</v>
      </c>
      <c r="I2716" s="76">
        <f ca="1">SUMIF('Production '!$C$4:$AI$4407,'Tracking Sheet'!B2716,'Production '!$V$4:$V$4407)</f>
        <v>-489.86487791182844</v>
      </c>
      <c r="J2716" s="76">
        <f ca="1">SUMIF('Production '!$C$4:$AI$4407,'Tracking Sheet'!B2716,'Production '!$AG$4:$AG$4407)</f>
        <v>0</v>
      </c>
    </row>
    <row r="2717" spans="2:10" x14ac:dyDescent="0.3">
      <c r="B2717" s="277">
        <f>'Production '!C2720</f>
        <v>0</v>
      </c>
      <c r="C2717" s="76" t="e">
        <f ca="1">SUMIF('Production '!$C$4:$AI$4407,'Tracking Sheet'!B2717,'Production '!$M$4:$M$4407)</f>
        <v>#DIV/0!</v>
      </c>
      <c r="D2717" s="76" t="e">
        <f ca="1">SUMIF('Production '!$C$4:$AI$4407,'Tracking Sheet'!B2717,'Production '!$Q$4:$Q$4407)</f>
        <v>#DIV/0!</v>
      </c>
      <c r="E2717" s="76">
        <f ca="1">SUMIF('Production '!$C$4:$AI$4407,'Tracking Sheet'!B2717,'Production '!$S$4:$S$4407)</f>
        <v>-1268218.9828305368</v>
      </c>
      <c r="F2717" s="76">
        <f ca="1">SUMIF('Production '!$C$4:$AI$4407,'Tracking Sheet'!B2717,'Production '!$U$4:$U$4407)</f>
        <v>-10620.435600016917</v>
      </c>
      <c r="G2717" s="76" t="e">
        <f ca="1">SUMIF('Production '!$C$4:$AI$4407,'Tracking Sheet'!B2717,'Production '!$W$4:$W$4407)</f>
        <v>#DIV/0!</v>
      </c>
      <c r="H2717" s="76">
        <f ca="1">SUMIF('Production '!$C$4:$AI$4407,'Tracking Sheet'!B2717,'Production '!$F$4:$F$4407)</f>
        <v>3230621.3283604058</v>
      </c>
      <c r="I2717" s="76">
        <f ca="1">SUMIF('Production '!$C$4:$AI$4407,'Tracking Sheet'!B2717,'Production '!$V$4:$V$4407)</f>
        <v>-489.86487791182844</v>
      </c>
      <c r="J2717" s="76">
        <f ca="1">SUMIF('Production '!$C$4:$AI$4407,'Tracking Sheet'!B2717,'Production '!$AG$4:$AG$4407)</f>
        <v>0</v>
      </c>
    </row>
    <row r="2718" spans="2:10" x14ac:dyDescent="0.3">
      <c r="B2718" s="277">
        <f>'Production '!C2721</f>
        <v>0</v>
      </c>
      <c r="C2718" s="76" t="e">
        <f ca="1">SUMIF('Production '!$C$4:$AI$4407,'Tracking Sheet'!B2718,'Production '!$M$4:$M$4407)</f>
        <v>#DIV/0!</v>
      </c>
      <c r="D2718" s="76" t="e">
        <f ca="1">SUMIF('Production '!$C$4:$AI$4407,'Tracking Sheet'!B2718,'Production '!$Q$4:$Q$4407)</f>
        <v>#DIV/0!</v>
      </c>
      <c r="E2718" s="76">
        <f ca="1">SUMIF('Production '!$C$4:$AI$4407,'Tracking Sheet'!B2718,'Production '!$S$4:$S$4407)</f>
        <v>-1268218.9828305368</v>
      </c>
      <c r="F2718" s="76">
        <f ca="1">SUMIF('Production '!$C$4:$AI$4407,'Tracking Sheet'!B2718,'Production '!$U$4:$U$4407)</f>
        <v>-10620.435600016917</v>
      </c>
      <c r="G2718" s="76" t="e">
        <f ca="1">SUMIF('Production '!$C$4:$AI$4407,'Tracking Sheet'!B2718,'Production '!$W$4:$W$4407)</f>
        <v>#DIV/0!</v>
      </c>
      <c r="H2718" s="76">
        <f ca="1">SUMIF('Production '!$C$4:$AI$4407,'Tracking Sheet'!B2718,'Production '!$F$4:$F$4407)</f>
        <v>3230621.3283604058</v>
      </c>
      <c r="I2718" s="76">
        <f ca="1">SUMIF('Production '!$C$4:$AI$4407,'Tracking Sheet'!B2718,'Production '!$V$4:$V$4407)</f>
        <v>-489.86487791182844</v>
      </c>
      <c r="J2718" s="76">
        <f ca="1">SUMIF('Production '!$C$4:$AI$4407,'Tracking Sheet'!B2718,'Production '!$AG$4:$AG$4407)</f>
        <v>0</v>
      </c>
    </row>
    <row r="2719" spans="2:10" x14ac:dyDescent="0.3">
      <c r="B2719" s="277">
        <f>'Production '!C2722</f>
        <v>0</v>
      </c>
      <c r="C2719" s="76" t="e">
        <f ca="1">SUMIF('Production '!$C$4:$AI$4407,'Tracking Sheet'!B2719,'Production '!$M$4:$M$4407)</f>
        <v>#DIV/0!</v>
      </c>
      <c r="D2719" s="76" t="e">
        <f ca="1">SUMIF('Production '!$C$4:$AI$4407,'Tracking Sheet'!B2719,'Production '!$Q$4:$Q$4407)</f>
        <v>#DIV/0!</v>
      </c>
      <c r="E2719" s="76">
        <f ca="1">SUMIF('Production '!$C$4:$AI$4407,'Tracking Sheet'!B2719,'Production '!$S$4:$S$4407)</f>
        <v>-1268218.9828305368</v>
      </c>
      <c r="F2719" s="76">
        <f ca="1">SUMIF('Production '!$C$4:$AI$4407,'Tracking Sheet'!B2719,'Production '!$U$4:$U$4407)</f>
        <v>-10620.435600016917</v>
      </c>
      <c r="G2719" s="76" t="e">
        <f ca="1">SUMIF('Production '!$C$4:$AI$4407,'Tracking Sheet'!B2719,'Production '!$W$4:$W$4407)</f>
        <v>#DIV/0!</v>
      </c>
      <c r="H2719" s="76">
        <f ca="1">SUMIF('Production '!$C$4:$AI$4407,'Tracking Sheet'!B2719,'Production '!$F$4:$F$4407)</f>
        <v>3230621.3283604058</v>
      </c>
      <c r="I2719" s="76">
        <f ca="1">SUMIF('Production '!$C$4:$AI$4407,'Tracking Sheet'!B2719,'Production '!$V$4:$V$4407)</f>
        <v>-489.86487791182844</v>
      </c>
      <c r="J2719" s="76">
        <f ca="1">SUMIF('Production '!$C$4:$AI$4407,'Tracking Sheet'!B2719,'Production '!$AG$4:$AG$4407)</f>
        <v>0</v>
      </c>
    </row>
    <row r="2720" spans="2:10" x14ac:dyDescent="0.3">
      <c r="B2720" s="277">
        <f>'Production '!C2723</f>
        <v>0</v>
      </c>
      <c r="C2720" s="76" t="e">
        <f ca="1">SUMIF('Production '!$C$4:$AI$4407,'Tracking Sheet'!B2720,'Production '!$M$4:$M$4407)</f>
        <v>#DIV/0!</v>
      </c>
      <c r="D2720" s="76" t="e">
        <f ca="1">SUMIF('Production '!$C$4:$AI$4407,'Tracking Sheet'!B2720,'Production '!$Q$4:$Q$4407)</f>
        <v>#DIV/0!</v>
      </c>
      <c r="E2720" s="76">
        <f ca="1">SUMIF('Production '!$C$4:$AI$4407,'Tracking Sheet'!B2720,'Production '!$S$4:$S$4407)</f>
        <v>-1268218.9828305368</v>
      </c>
      <c r="F2720" s="76">
        <f ca="1">SUMIF('Production '!$C$4:$AI$4407,'Tracking Sheet'!B2720,'Production '!$U$4:$U$4407)</f>
        <v>-10620.435600016917</v>
      </c>
      <c r="G2720" s="76" t="e">
        <f ca="1">SUMIF('Production '!$C$4:$AI$4407,'Tracking Sheet'!B2720,'Production '!$W$4:$W$4407)</f>
        <v>#DIV/0!</v>
      </c>
      <c r="H2720" s="76">
        <f ca="1">SUMIF('Production '!$C$4:$AI$4407,'Tracking Sheet'!B2720,'Production '!$F$4:$F$4407)</f>
        <v>3230621.3283604058</v>
      </c>
      <c r="I2720" s="76">
        <f ca="1">SUMIF('Production '!$C$4:$AI$4407,'Tracking Sheet'!B2720,'Production '!$V$4:$V$4407)</f>
        <v>-489.86487791182844</v>
      </c>
      <c r="J2720" s="76">
        <f ca="1">SUMIF('Production '!$C$4:$AI$4407,'Tracking Sheet'!B2720,'Production '!$AG$4:$AG$4407)</f>
        <v>0</v>
      </c>
    </row>
    <row r="2721" spans="2:10" x14ac:dyDescent="0.3">
      <c r="B2721" s="277">
        <f>'Production '!C2724</f>
        <v>0</v>
      </c>
      <c r="C2721" s="76" t="e">
        <f ca="1">SUMIF('Production '!$C$4:$AI$4407,'Tracking Sheet'!B2721,'Production '!$M$4:$M$4407)</f>
        <v>#DIV/0!</v>
      </c>
      <c r="D2721" s="76" t="e">
        <f ca="1">SUMIF('Production '!$C$4:$AI$4407,'Tracking Sheet'!B2721,'Production '!$Q$4:$Q$4407)</f>
        <v>#DIV/0!</v>
      </c>
      <c r="E2721" s="76">
        <f ca="1">SUMIF('Production '!$C$4:$AI$4407,'Tracking Sheet'!B2721,'Production '!$S$4:$S$4407)</f>
        <v>-1268218.9828305368</v>
      </c>
      <c r="F2721" s="76">
        <f ca="1">SUMIF('Production '!$C$4:$AI$4407,'Tracking Sheet'!B2721,'Production '!$U$4:$U$4407)</f>
        <v>-10620.435600016917</v>
      </c>
      <c r="G2721" s="76" t="e">
        <f ca="1">SUMIF('Production '!$C$4:$AI$4407,'Tracking Sheet'!B2721,'Production '!$W$4:$W$4407)</f>
        <v>#DIV/0!</v>
      </c>
      <c r="H2721" s="76">
        <f ca="1">SUMIF('Production '!$C$4:$AI$4407,'Tracking Sheet'!B2721,'Production '!$F$4:$F$4407)</f>
        <v>3230621.3283604058</v>
      </c>
      <c r="I2721" s="76">
        <f ca="1">SUMIF('Production '!$C$4:$AI$4407,'Tracking Sheet'!B2721,'Production '!$V$4:$V$4407)</f>
        <v>-489.86487791182844</v>
      </c>
      <c r="J2721" s="76">
        <f ca="1">SUMIF('Production '!$C$4:$AI$4407,'Tracking Sheet'!B2721,'Production '!$AG$4:$AG$4407)</f>
        <v>0</v>
      </c>
    </row>
    <row r="2722" spans="2:10" x14ac:dyDescent="0.3">
      <c r="B2722" s="277">
        <f>'Production '!C2725</f>
        <v>0</v>
      </c>
      <c r="C2722" s="76" t="e">
        <f ca="1">SUMIF('Production '!$C$4:$AI$4407,'Tracking Sheet'!B2722,'Production '!$M$4:$M$4407)</f>
        <v>#DIV/0!</v>
      </c>
      <c r="D2722" s="76" t="e">
        <f ca="1">SUMIF('Production '!$C$4:$AI$4407,'Tracking Sheet'!B2722,'Production '!$Q$4:$Q$4407)</f>
        <v>#DIV/0!</v>
      </c>
      <c r="E2722" s="76">
        <f ca="1">SUMIF('Production '!$C$4:$AI$4407,'Tracking Sheet'!B2722,'Production '!$S$4:$S$4407)</f>
        <v>-1268218.9828305368</v>
      </c>
      <c r="F2722" s="76">
        <f ca="1">SUMIF('Production '!$C$4:$AI$4407,'Tracking Sheet'!B2722,'Production '!$U$4:$U$4407)</f>
        <v>-10620.435600016917</v>
      </c>
      <c r="G2722" s="76" t="e">
        <f ca="1">SUMIF('Production '!$C$4:$AI$4407,'Tracking Sheet'!B2722,'Production '!$W$4:$W$4407)</f>
        <v>#DIV/0!</v>
      </c>
      <c r="H2722" s="76">
        <f ca="1">SUMIF('Production '!$C$4:$AI$4407,'Tracking Sheet'!B2722,'Production '!$F$4:$F$4407)</f>
        <v>3230621.3283604058</v>
      </c>
      <c r="I2722" s="76">
        <f ca="1">SUMIF('Production '!$C$4:$AI$4407,'Tracking Sheet'!B2722,'Production '!$V$4:$V$4407)</f>
        <v>-489.86487791182844</v>
      </c>
      <c r="J2722" s="76">
        <f ca="1">SUMIF('Production '!$C$4:$AI$4407,'Tracking Sheet'!B2722,'Production '!$AG$4:$AG$4407)</f>
        <v>0</v>
      </c>
    </row>
    <row r="2723" spans="2:10" x14ac:dyDescent="0.3">
      <c r="B2723" s="277">
        <f>'Production '!C2726</f>
        <v>0</v>
      </c>
      <c r="C2723" s="76" t="e">
        <f ca="1">SUMIF('Production '!$C$4:$AI$4407,'Tracking Sheet'!B2723,'Production '!$M$4:$M$4407)</f>
        <v>#DIV/0!</v>
      </c>
      <c r="D2723" s="76" t="e">
        <f ca="1">SUMIF('Production '!$C$4:$AI$4407,'Tracking Sheet'!B2723,'Production '!$Q$4:$Q$4407)</f>
        <v>#DIV/0!</v>
      </c>
      <c r="E2723" s="76">
        <f ca="1">SUMIF('Production '!$C$4:$AI$4407,'Tracking Sheet'!B2723,'Production '!$S$4:$S$4407)</f>
        <v>-1268218.9828305368</v>
      </c>
      <c r="F2723" s="76">
        <f ca="1">SUMIF('Production '!$C$4:$AI$4407,'Tracking Sheet'!B2723,'Production '!$U$4:$U$4407)</f>
        <v>-10620.435600016917</v>
      </c>
      <c r="G2723" s="76" t="e">
        <f ca="1">SUMIF('Production '!$C$4:$AI$4407,'Tracking Sheet'!B2723,'Production '!$W$4:$W$4407)</f>
        <v>#DIV/0!</v>
      </c>
      <c r="H2723" s="76">
        <f ca="1">SUMIF('Production '!$C$4:$AI$4407,'Tracking Sheet'!B2723,'Production '!$F$4:$F$4407)</f>
        <v>3230621.3283604058</v>
      </c>
      <c r="I2723" s="76">
        <f ca="1">SUMIF('Production '!$C$4:$AI$4407,'Tracking Sheet'!B2723,'Production '!$V$4:$V$4407)</f>
        <v>-489.86487791182844</v>
      </c>
      <c r="J2723" s="76">
        <f ca="1">SUMIF('Production '!$C$4:$AI$4407,'Tracking Sheet'!B2723,'Production '!$AG$4:$AG$4407)</f>
        <v>0</v>
      </c>
    </row>
    <row r="2724" spans="2:10" x14ac:dyDescent="0.3">
      <c r="B2724" s="277">
        <f>'Production '!C2727</f>
        <v>0</v>
      </c>
      <c r="C2724" s="76" t="e">
        <f ca="1">SUMIF('Production '!$C$4:$AI$4407,'Tracking Sheet'!B2724,'Production '!$M$4:$M$4407)</f>
        <v>#DIV/0!</v>
      </c>
      <c r="D2724" s="76" t="e">
        <f ca="1">SUMIF('Production '!$C$4:$AI$4407,'Tracking Sheet'!B2724,'Production '!$Q$4:$Q$4407)</f>
        <v>#DIV/0!</v>
      </c>
      <c r="E2724" s="76">
        <f ca="1">SUMIF('Production '!$C$4:$AI$4407,'Tracking Sheet'!B2724,'Production '!$S$4:$S$4407)</f>
        <v>-1268218.9828305368</v>
      </c>
      <c r="F2724" s="76">
        <f ca="1">SUMIF('Production '!$C$4:$AI$4407,'Tracking Sheet'!B2724,'Production '!$U$4:$U$4407)</f>
        <v>-10620.435600016917</v>
      </c>
      <c r="G2724" s="76" t="e">
        <f ca="1">SUMIF('Production '!$C$4:$AI$4407,'Tracking Sheet'!B2724,'Production '!$W$4:$W$4407)</f>
        <v>#DIV/0!</v>
      </c>
      <c r="H2724" s="76">
        <f ca="1">SUMIF('Production '!$C$4:$AI$4407,'Tracking Sheet'!B2724,'Production '!$F$4:$F$4407)</f>
        <v>3230621.3283604058</v>
      </c>
      <c r="I2724" s="76">
        <f ca="1">SUMIF('Production '!$C$4:$AI$4407,'Tracking Sheet'!B2724,'Production '!$V$4:$V$4407)</f>
        <v>-489.86487791182844</v>
      </c>
      <c r="J2724" s="76">
        <f ca="1">SUMIF('Production '!$C$4:$AI$4407,'Tracking Sheet'!B2724,'Production '!$AG$4:$AG$4407)</f>
        <v>0</v>
      </c>
    </row>
    <row r="2725" spans="2:10" x14ac:dyDescent="0.3">
      <c r="B2725" s="277">
        <f>'Production '!C2728</f>
        <v>0</v>
      </c>
      <c r="C2725" s="76" t="e">
        <f ca="1">SUMIF('Production '!$C$4:$AI$4407,'Tracking Sheet'!B2725,'Production '!$M$4:$M$4407)</f>
        <v>#DIV/0!</v>
      </c>
      <c r="D2725" s="76" t="e">
        <f ca="1">SUMIF('Production '!$C$4:$AI$4407,'Tracking Sheet'!B2725,'Production '!$Q$4:$Q$4407)</f>
        <v>#DIV/0!</v>
      </c>
      <c r="E2725" s="76">
        <f ca="1">SUMIF('Production '!$C$4:$AI$4407,'Tracking Sheet'!B2725,'Production '!$S$4:$S$4407)</f>
        <v>-1268218.9828305368</v>
      </c>
      <c r="F2725" s="76">
        <f ca="1">SUMIF('Production '!$C$4:$AI$4407,'Tracking Sheet'!B2725,'Production '!$U$4:$U$4407)</f>
        <v>-10620.435600016917</v>
      </c>
      <c r="G2725" s="76" t="e">
        <f ca="1">SUMIF('Production '!$C$4:$AI$4407,'Tracking Sheet'!B2725,'Production '!$W$4:$W$4407)</f>
        <v>#DIV/0!</v>
      </c>
      <c r="H2725" s="76">
        <f ca="1">SUMIF('Production '!$C$4:$AI$4407,'Tracking Sheet'!B2725,'Production '!$F$4:$F$4407)</f>
        <v>3230621.3283604058</v>
      </c>
      <c r="I2725" s="76">
        <f ca="1">SUMIF('Production '!$C$4:$AI$4407,'Tracking Sheet'!B2725,'Production '!$V$4:$V$4407)</f>
        <v>-489.86487791182844</v>
      </c>
      <c r="J2725" s="76">
        <f ca="1">SUMIF('Production '!$C$4:$AI$4407,'Tracking Sheet'!B2725,'Production '!$AG$4:$AG$4407)</f>
        <v>0</v>
      </c>
    </row>
    <row r="2726" spans="2:10" x14ac:dyDescent="0.3">
      <c r="B2726" s="277">
        <f>'Production '!C2729</f>
        <v>0</v>
      </c>
      <c r="C2726" s="76" t="e">
        <f ca="1">SUMIF('Production '!$C$4:$AI$4407,'Tracking Sheet'!B2726,'Production '!$M$4:$M$4407)</f>
        <v>#DIV/0!</v>
      </c>
      <c r="D2726" s="76" t="e">
        <f ca="1">SUMIF('Production '!$C$4:$AI$4407,'Tracking Sheet'!B2726,'Production '!$Q$4:$Q$4407)</f>
        <v>#DIV/0!</v>
      </c>
      <c r="E2726" s="76">
        <f ca="1">SUMIF('Production '!$C$4:$AI$4407,'Tracking Sheet'!B2726,'Production '!$S$4:$S$4407)</f>
        <v>-1268218.9828305368</v>
      </c>
      <c r="F2726" s="76">
        <f ca="1">SUMIF('Production '!$C$4:$AI$4407,'Tracking Sheet'!B2726,'Production '!$U$4:$U$4407)</f>
        <v>-10620.435600016917</v>
      </c>
      <c r="G2726" s="76" t="e">
        <f ca="1">SUMIF('Production '!$C$4:$AI$4407,'Tracking Sheet'!B2726,'Production '!$W$4:$W$4407)</f>
        <v>#DIV/0!</v>
      </c>
      <c r="H2726" s="76">
        <f ca="1">SUMIF('Production '!$C$4:$AI$4407,'Tracking Sheet'!B2726,'Production '!$F$4:$F$4407)</f>
        <v>3230621.3283604058</v>
      </c>
      <c r="I2726" s="76">
        <f ca="1">SUMIF('Production '!$C$4:$AI$4407,'Tracking Sheet'!B2726,'Production '!$V$4:$V$4407)</f>
        <v>-489.86487791182844</v>
      </c>
      <c r="J2726" s="76">
        <f ca="1">SUMIF('Production '!$C$4:$AI$4407,'Tracking Sheet'!B2726,'Production '!$AG$4:$AG$4407)</f>
        <v>0</v>
      </c>
    </row>
    <row r="2727" spans="2:10" x14ac:dyDescent="0.3">
      <c r="B2727" s="277">
        <f>'Production '!C2730</f>
        <v>0</v>
      </c>
      <c r="C2727" s="76" t="e">
        <f ca="1">SUMIF('Production '!$C$4:$AI$4407,'Tracking Sheet'!B2727,'Production '!$M$4:$M$4407)</f>
        <v>#DIV/0!</v>
      </c>
      <c r="D2727" s="76" t="e">
        <f ca="1">SUMIF('Production '!$C$4:$AI$4407,'Tracking Sheet'!B2727,'Production '!$Q$4:$Q$4407)</f>
        <v>#DIV/0!</v>
      </c>
      <c r="E2727" s="76">
        <f ca="1">SUMIF('Production '!$C$4:$AI$4407,'Tracking Sheet'!B2727,'Production '!$S$4:$S$4407)</f>
        <v>-1268218.9828305368</v>
      </c>
      <c r="F2727" s="76">
        <f ca="1">SUMIF('Production '!$C$4:$AI$4407,'Tracking Sheet'!B2727,'Production '!$U$4:$U$4407)</f>
        <v>-10620.435600016917</v>
      </c>
      <c r="G2727" s="76" t="e">
        <f ca="1">SUMIF('Production '!$C$4:$AI$4407,'Tracking Sheet'!B2727,'Production '!$W$4:$W$4407)</f>
        <v>#DIV/0!</v>
      </c>
      <c r="H2727" s="76">
        <f ca="1">SUMIF('Production '!$C$4:$AI$4407,'Tracking Sheet'!B2727,'Production '!$F$4:$F$4407)</f>
        <v>3230621.3283604058</v>
      </c>
      <c r="I2727" s="76">
        <f ca="1">SUMIF('Production '!$C$4:$AI$4407,'Tracking Sheet'!B2727,'Production '!$V$4:$V$4407)</f>
        <v>-489.86487791182844</v>
      </c>
      <c r="J2727" s="76">
        <f ca="1">SUMIF('Production '!$C$4:$AI$4407,'Tracking Sheet'!B2727,'Production '!$AG$4:$AG$4407)</f>
        <v>0</v>
      </c>
    </row>
    <row r="2728" spans="2:10" x14ac:dyDescent="0.3">
      <c r="B2728" s="277">
        <f>'Production '!C2731</f>
        <v>0</v>
      </c>
      <c r="C2728" s="76" t="e">
        <f ca="1">SUMIF('Production '!$C$4:$AI$4407,'Tracking Sheet'!B2728,'Production '!$M$4:$M$4407)</f>
        <v>#DIV/0!</v>
      </c>
      <c r="D2728" s="76" t="e">
        <f ca="1">SUMIF('Production '!$C$4:$AI$4407,'Tracking Sheet'!B2728,'Production '!$Q$4:$Q$4407)</f>
        <v>#DIV/0!</v>
      </c>
      <c r="E2728" s="76">
        <f ca="1">SUMIF('Production '!$C$4:$AI$4407,'Tracking Sheet'!B2728,'Production '!$S$4:$S$4407)</f>
        <v>-1268218.9828305368</v>
      </c>
      <c r="F2728" s="76">
        <f ca="1">SUMIF('Production '!$C$4:$AI$4407,'Tracking Sheet'!B2728,'Production '!$U$4:$U$4407)</f>
        <v>-10620.435600016917</v>
      </c>
      <c r="G2728" s="76" t="e">
        <f ca="1">SUMIF('Production '!$C$4:$AI$4407,'Tracking Sheet'!B2728,'Production '!$W$4:$W$4407)</f>
        <v>#DIV/0!</v>
      </c>
      <c r="H2728" s="76">
        <f ca="1">SUMIF('Production '!$C$4:$AI$4407,'Tracking Sheet'!B2728,'Production '!$F$4:$F$4407)</f>
        <v>3230621.3283604058</v>
      </c>
      <c r="I2728" s="76">
        <f ca="1">SUMIF('Production '!$C$4:$AI$4407,'Tracking Sheet'!B2728,'Production '!$V$4:$V$4407)</f>
        <v>-489.86487791182844</v>
      </c>
      <c r="J2728" s="76">
        <f ca="1">SUMIF('Production '!$C$4:$AI$4407,'Tracking Sheet'!B2728,'Production '!$AG$4:$AG$4407)</f>
        <v>0</v>
      </c>
    </row>
    <row r="2729" spans="2:10" x14ac:dyDescent="0.3">
      <c r="B2729" s="277">
        <f>'Production '!C2732</f>
        <v>0</v>
      </c>
      <c r="C2729" s="76" t="e">
        <f ca="1">SUMIF('Production '!$C$4:$AI$4407,'Tracking Sheet'!B2729,'Production '!$M$4:$M$4407)</f>
        <v>#DIV/0!</v>
      </c>
      <c r="D2729" s="76" t="e">
        <f ca="1">SUMIF('Production '!$C$4:$AI$4407,'Tracking Sheet'!B2729,'Production '!$Q$4:$Q$4407)</f>
        <v>#DIV/0!</v>
      </c>
      <c r="E2729" s="76">
        <f ca="1">SUMIF('Production '!$C$4:$AI$4407,'Tracking Sheet'!B2729,'Production '!$S$4:$S$4407)</f>
        <v>-1268218.9828305368</v>
      </c>
      <c r="F2729" s="76">
        <f ca="1">SUMIF('Production '!$C$4:$AI$4407,'Tracking Sheet'!B2729,'Production '!$U$4:$U$4407)</f>
        <v>-10620.435600016917</v>
      </c>
      <c r="G2729" s="76" t="e">
        <f ca="1">SUMIF('Production '!$C$4:$AI$4407,'Tracking Sheet'!B2729,'Production '!$W$4:$W$4407)</f>
        <v>#DIV/0!</v>
      </c>
      <c r="H2729" s="76">
        <f ca="1">SUMIF('Production '!$C$4:$AI$4407,'Tracking Sheet'!B2729,'Production '!$F$4:$F$4407)</f>
        <v>3230621.3283604058</v>
      </c>
      <c r="I2729" s="76">
        <f ca="1">SUMIF('Production '!$C$4:$AI$4407,'Tracking Sheet'!B2729,'Production '!$V$4:$V$4407)</f>
        <v>-489.86487791182844</v>
      </c>
      <c r="J2729" s="76">
        <f ca="1">SUMIF('Production '!$C$4:$AI$4407,'Tracking Sheet'!B2729,'Production '!$AG$4:$AG$4407)</f>
        <v>0</v>
      </c>
    </row>
    <row r="2730" spans="2:10" x14ac:dyDescent="0.3">
      <c r="B2730" s="277">
        <f>'Production '!C2733</f>
        <v>0</v>
      </c>
      <c r="C2730" s="76" t="e">
        <f ca="1">SUMIF('Production '!$C$4:$AI$4407,'Tracking Sheet'!B2730,'Production '!$M$4:$M$4407)</f>
        <v>#DIV/0!</v>
      </c>
      <c r="D2730" s="76" t="e">
        <f ca="1">SUMIF('Production '!$C$4:$AI$4407,'Tracking Sheet'!B2730,'Production '!$Q$4:$Q$4407)</f>
        <v>#DIV/0!</v>
      </c>
      <c r="E2730" s="76">
        <f ca="1">SUMIF('Production '!$C$4:$AI$4407,'Tracking Sheet'!B2730,'Production '!$S$4:$S$4407)</f>
        <v>-1268218.9828305368</v>
      </c>
      <c r="F2730" s="76">
        <f ca="1">SUMIF('Production '!$C$4:$AI$4407,'Tracking Sheet'!B2730,'Production '!$U$4:$U$4407)</f>
        <v>-10620.435600016917</v>
      </c>
      <c r="G2730" s="76" t="e">
        <f ca="1">SUMIF('Production '!$C$4:$AI$4407,'Tracking Sheet'!B2730,'Production '!$W$4:$W$4407)</f>
        <v>#DIV/0!</v>
      </c>
      <c r="H2730" s="76">
        <f ca="1">SUMIF('Production '!$C$4:$AI$4407,'Tracking Sheet'!B2730,'Production '!$F$4:$F$4407)</f>
        <v>3230621.3283604058</v>
      </c>
      <c r="I2730" s="76">
        <f ca="1">SUMIF('Production '!$C$4:$AI$4407,'Tracking Sheet'!B2730,'Production '!$V$4:$V$4407)</f>
        <v>-489.86487791182844</v>
      </c>
      <c r="J2730" s="76">
        <f ca="1">SUMIF('Production '!$C$4:$AI$4407,'Tracking Sheet'!B2730,'Production '!$AG$4:$AG$4407)</f>
        <v>0</v>
      </c>
    </row>
    <row r="2731" spans="2:10" x14ac:dyDescent="0.3">
      <c r="B2731" s="277">
        <f>'Production '!C2734</f>
        <v>0</v>
      </c>
      <c r="C2731" s="76" t="e">
        <f ca="1">SUMIF('Production '!$C$4:$AI$4407,'Tracking Sheet'!B2731,'Production '!$M$4:$M$4407)</f>
        <v>#DIV/0!</v>
      </c>
      <c r="D2731" s="76" t="e">
        <f ca="1">SUMIF('Production '!$C$4:$AI$4407,'Tracking Sheet'!B2731,'Production '!$Q$4:$Q$4407)</f>
        <v>#DIV/0!</v>
      </c>
      <c r="E2731" s="76">
        <f ca="1">SUMIF('Production '!$C$4:$AI$4407,'Tracking Sheet'!B2731,'Production '!$S$4:$S$4407)</f>
        <v>-1268218.9828305368</v>
      </c>
      <c r="F2731" s="76">
        <f ca="1">SUMIF('Production '!$C$4:$AI$4407,'Tracking Sheet'!B2731,'Production '!$U$4:$U$4407)</f>
        <v>-10620.435600016917</v>
      </c>
      <c r="G2731" s="76" t="e">
        <f ca="1">SUMIF('Production '!$C$4:$AI$4407,'Tracking Sheet'!B2731,'Production '!$W$4:$W$4407)</f>
        <v>#DIV/0!</v>
      </c>
      <c r="H2731" s="76">
        <f ca="1">SUMIF('Production '!$C$4:$AI$4407,'Tracking Sheet'!B2731,'Production '!$F$4:$F$4407)</f>
        <v>3230621.3283604058</v>
      </c>
      <c r="I2731" s="76">
        <f ca="1">SUMIF('Production '!$C$4:$AI$4407,'Tracking Sheet'!B2731,'Production '!$V$4:$V$4407)</f>
        <v>-489.86487791182844</v>
      </c>
      <c r="J2731" s="76">
        <f ca="1">SUMIF('Production '!$C$4:$AI$4407,'Tracking Sheet'!B2731,'Production '!$AG$4:$AG$4407)</f>
        <v>0</v>
      </c>
    </row>
    <row r="2732" spans="2:10" x14ac:dyDescent="0.3">
      <c r="B2732" s="277">
        <f>'Production '!C2735</f>
        <v>0</v>
      </c>
      <c r="C2732" s="76" t="e">
        <f ca="1">SUMIF('Production '!$C$4:$AI$4407,'Tracking Sheet'!B2732,'Production '!$M$4:$M$4407)</f>
        <v>#DIV/0!</v>
      </c>
      <c r="D2732" s="76" t="e">
        <f ca="1">SUMIF('Production '!$C$4:$AI$4407,'Tracking Sheet'!B2732,'Production '!$Q$4:$Q$4407)</f>
        <v>#DIV/0!</v>
      </c>
      <c r="E2732" s="76">
        <f ca="1">SUMIF('Production '!$C$4:$AI$4407,'Tracking Sheet'!B2732,'Production '!$S$4:$S$4407)</f>
        <v>-1268218.9828305368</v>
      </c>
      <c r="F2732" s="76">
        <f ca="1">SUMIF('Production '!$C$4:$AI$4407,'Tracking Sheet'!B2732,'Production '!$U$4:$U$4407)</f>
        <v>-10620.435600016917</v>
      </c>
      <c r="G2732" s="76" t="e">
        <f ca="1">SUMIF('Production '!$C$4:$AI$4407,'Tracking Sheet'!B2732,'Production '!$W$4:$W$4407)</f>
        <v>#DIV/0!</v>
      </c>
      <c r="H2732" s="76">
        <f ca="1">SUMIF('Production '!$C$4:$AI$4407,'Tracking Sheet'!B2732,'Production '!$F$4:$F$4407)</f>
        <v>3230621.3283604058</v>
      </c>
      <c r="I2732" s="76">
        <f ca="1">SUMIF('Production '!$C$4:$AI$4407,'Tracking Sheet'!B2732,'Production '!$V$4:$V$4407)</f>
        <v>-489.86487791182844</v>
      </c>
      <c r="J2732" s="76">
        <f ca="1">SUMIF('Production '!$C$4:$AI$4407,'Tracking Sheet'!B2732,'Production '!$AG$4:$AG$4407)</f>
        <v>0</v>
      </c>
    </row>
    <row r="2733" spans="2:10" x14ac:dyDescent="0.3">
      <c r="B2733" s="277">
        <f>'Production '!C2736</f>
        <v>0</v>
      </c>
      <c r="C2733" s="76" t="e">
        <f ca="1">SUMIF('Production '!$C$4:$AI$4407,'Tracking Sheet'!B2733,'Production '!$M$4:$M$4407)</f>
        <v>#DIV/0!</v>
      </c>
      <c r="D2733" s="76" t="e">
        <f ca="1">SUMIF('Production '!$C$4:$AI$4407,'Tracking Sheet'!B2733,'Production '!$Q$4:$Q$4407)</f>
        <v>#DIV/0!</v>
      </c>
      <c r="E2733" s="76">
        <f ca="1">SUMIF('Production '!$C$4:$AI$4407,'Tracking Sheet'!B2733,'Production '!$S$4:$S$4407)</f>
        <v>-1268218.9828305368</v>
      </c>
      <c r="F2733" s="76">
        <f ca="1">SUMIF('Production '!$C$4:$AI$4407,'Tracking Sheet'!B2733,'Production '!$U$4:$U$4407)</f>
        <v>-10620.435600016917</v>
      </c>
      <c r="G2733" s="76" t="e">
        <f ca="1">SUMIF('Production '!$C$4:$AI$4407,'Tracking Sheet'!B2733,'Production '!$W$4:$W$4407)</f>
        <v>#DIV/0!</v>
      </c>
      <c r="H2733" s="76">
        <f ca="1">SUMIF('Production '!$C$4:$AI$4407,'Tracking Sheet'!B2733,'Production '!$F$4:$F$4407)</f>
        <v>3230621.3283604058</v>
      </c>
      <c r="I2733" s="76">
        <f ca="1">SUMIF('Production '!$C$4:$AI$4407,'Tracking Sheet'!B2733,'Production '!$V$4:$V$4407)</f>
        <v>-489.86487791182844</v>
      </c>
      <c r="J2733" s="76">
        <f ca="1">SUMIF('Production '!$C$4:$AI$4407,'Tracking Sheet'!B2733,'Production '!$AG$4:$AG$4407)</f>
        <v>0</v>
      </c>
    </row>
    <row r="2734" spans="2:10" x14ac:dyDescent="0.3">
      <c r="B2734" s="277">
        <f>'Production '!C2737</f>
        <v>0</v>
      </c>
      <c r="C2734" s="76" t="e">
        <f ca="1">SUMIF('Production '!$C$4:$AI$4407,'Tracking Sheet'!B2734,'Production '!$M$4:$M$4407)</f>
        <v>#DIV/0!</v>
      </c>
      <c r="D2734" s="76" t="e">
        <f ca="1">SUMIF('Production '!$C$4:$AI$4407,'Tracking Sheet'!B2734,'Production '!$Q$4:$Q$4407)</f>
        <v>#DIV/0!</v>
      </c>
      <c r="E2734" s="76">
        <f ca="1">SUMIF('Production '!$C$4:$AI$4407,'Tracking Sheet'!B2734,'Production '!$S$4:$S$4407)</f>
        <v>-1268218.9828305368</v>
      </c>
      <c r="F2734" s="76">
        <f ca="1">SUMIF('Production '!$C$4:$AI$4407,'Tracking Sheet'!B2734,'Production '!$U$4:$U$4407)</f>
        <v>-10620.435600016917</v>
      </c>
      <c r="G2734" s="76" t="e">
        <f ca="1">SUMIF('Production '!$C$4:$AI$4407,'Tracking Sheet'!B2734,'Production '!$W$4:$W$4407)</f>
        <v>#DIV/0!</v>
      </c>
      <c r="H2734" s="76">
        <f ca="1">SUMIF('Production '!$C$4:$AI$4407,'Tracking Sheet'!B2734,'Production '!$F$4:$F$4407)</f>
        <v>3230621.3283604058</v>
      </c>
      <c r="I2734" s="76">
        <f ca="1">SUMIF('Production '!$C$4:$AI$4407,'Tracking Sheet'!B2734,'Production '!$V$4:$V$4407)</f>
        <v>-489.86487791182844</v>
      </c>
      <c r="J2734" s="76">
        <f ca="1">SUMIF('Production '!$C$4:$AI$4407,'Tracking Sheet'!B2734,'Production '!$AG$4:$AG$4407)</f>
        <v>0</v>
      </c>
    </row>
    <row r="2735" spans="2:10" x14ac:dyDescent="0.3">
      <c r="B2735" s="277">
        <f>'Production '!C2738</f>
        <v>0</v>
      </c>
      <c r="C2735" s="76" t="e">
        <f ca="1">SUMIF('Production '!$C$4:$AI$4407,'Tracking Sheet'!B2735,'Production '!$M$4:$M$4407)</f>
        <v>#DIV/0!</v>
      </c>
      <c r="D2735" s="76" t="e">
        <f ca="1">SUMIF('Production '!$C$4:$AI$4407,'Tracking Sheet'!B2735,'Production '!$Q$4:$Q$4407)</f>
        <v>#DIV/0!</v>
      </c>
      <c r="E2735" s="76">
        <f ca="1">SUMIF('Production '!$C$4:$AI$4407,'Tracking Sheet'!B2735,'Production '!$S$4:$S$4407)</f>
        <v>-1268218.9828305368</v>
      </c>
      <c r="F2735" s="76">
        <f ca="1">SUMIF('Production '!$C$4:$AI$4407,'Tracking Sheet'!B2735,'Production '!$U$4:$U$4407)</f>
        <v>-10620.435600016917</v>
      </c>
      <c r="G2735" s="76" t="e">
        <f ca="1">SUMIF('Production '!$C$4:$AI$4407,'Tracking Sheet'!B2735,'Production '!$W$4:$W$4407)</f>
        <v>#DIV/0!</v>
      </c>
      <c r="H2735" s="76">
        <f ca="1">SUMIF('Production '!$C$4:$AI$4407,'Tracking Sheet'!B2735,'Production '!$F$4:$F$4407)</f>
        <v>3230621.3283604058</v>
      </c>
      <c r="I2735" s="76">
        <f ca="1">SUMIF('Production '!$C$4:$AI$4407,'Tracking Sheet'!B2735,'Production '!$V$4:$V$4407)</f>
        <v>-489.86487791182844</v>
      </c>
      <c r="J2735" s="76">
        <f ca="1">SUMIF('Production '!$C$4:$AI$4407,'Tracking Sheet'!B2735,'Production '!$AG$4:$AG$4407)</f>
        <v>0</v>
      </c>
    </row>
    <row r="2736" spans="2:10" x14ac:dyDescent="0.3">
      <c r="B2736" s="277">
        <f>'Production '!C2739</f>
        <v>0</v>
      </c>
      <c r="C2736" s="76" t="e">
        <f ca="1">SUMIF('Production '!$C$4:$AI$4407,'Tracking Sheet'!B2736,'Production '!$M$4:$M$4407)</f>
        <v>#DIV/0!</v>
      </c>
      <c r="D2736" s="76" t="e">
        <f ca="1">SUMIF('Production '!$C$4:$AI$4407,'Tracking Sheet'!B2736,'Production '!$Q$4:$Q$4407)</f>
        <v>#DIV/0!</v>
      </c>
      <c r="E2736" s="76">
        <f ca="1">SUMIF('Production '!$C$4:$AI$4407,'Tracking Sheet'!B2736,'Production '!$S$4:$S$4407)</f>
        <v>-1268218.9828305368</v>
      </c>
      <c r="F2736" s="76">
        <f ca="1">SUMIF('Production '!$C$4:$AI$4407,'Tracking Sheet'!B2736,'Production '!$U$4:$U$4407)</f>
        <v>-10620.435600016917</v>
      </c>
      <c r="G2736" s="76" t="e">
        <f ca="1">SUMIF('Production '!$C$4:$AI$4407,'Tracking Sheet'!B2736,'Production '!$W$4:$W$4407)</f>
        <v>#DIV/0!</v>
      </c>
      <c r="H2736" s="76">
        <f ca="1">SUMIF('Production '!$C$4:$AI$4407,'Tracking Sheet'!B2736,'Production '!$F$4:$F$4407)</f>
        <v>3230621.3283604058</v>
      </c>
      <c r="I2736" s="76">
        <f ca="1">SUMIF('Production '!$C$4:$AI$4407,'Tracking Sheet'!B2736,'Production '!$V$4:$V$4407)</f>
        <v>-489.86487791182844</v>
      </c>
      <c r="J2736" s="76">
        <f ca="1">SUMIF('Production '!$C$4:$AI$4407,'Tracking Sheet'!B2736,'Production '!$AG$4:$AG$4407)</f>
        <v>0</v>
      </c>
    </row>
    <row r="2737" spans="2:10" x14ac:dyDescent="0.3">
      <c r="B2737" s="277">
        <f>'Production '!C2740</f>
        <v>0</v>
      </c>
      <c r="C2737" s="76" t="e">
        <f ca="1">SUMIF('Production '!$C$4:$AI$4407,'Tracking Sheet'!B2737,'Production '!$M$4:$M$4407)</f>
        <v>#DIV/0!</v>
      </c>
      <c r="D2737" s="76" t="e">
        <f ca="1">SUMIF('Production '!$C$4:$AI$4407,'Tracking Sheet'!B2737,'Production '!$Q$4:$Q$4407)</f>
        <v>#DIV/0!</v>
      </c>
      <c r="E2737" s="76">
        <f ca="1">SUMIF('Production '!$C$4:$AI$4407,'Tracking Sheet'!B2737,'Production '!$S$4:$S$4407)</f>
        <v>-1268218.9828305368</v>
      </c>
      <c r="F2737" s="76">
        <f ca="1">SUMIF('Production '!$C$4:$AI$4407,'Tracking Sheet'!B2737,'Production '!$U$4:$U$4407)</f>
        <v>-10620.435600016917</v>
      </c>
      <c r="G2737" s="76" t="e">
        <f ca="1">SUMIF('Production '!$C$4:$AI$4407,'Tracking Sheet'!B2737,'Production '!$W$4:$W$4407)</f>
        <v>#DIV/0!</v>
      </c>
      <c r="H2737" s="76">
        <f ca="1">SUMIF('Production '!$C$4:$AI$4407,'Tracking Sheet'!B2737,'Production '!$F$4:$F$4407)</f>
        <v>3230621.3283604058</v>
      </c>
      <c r="I2737" s="76">
        <f ca="1">SUMIF('Production '!$C$4:$AI$4407,'Tracking Sheet'!B2737,'Production '!$V$4:$V$4407)</f>
        <v>-489.86487791182844</v>
      </c>
      <c r="J2737" s="76">
        <f ca="1">SUMIF('Production '!$C$4:$AI$4407,'Tracking Sheet'!B2737,'Production '!$AG$4:$AG$4407)</f>
        <v>0</v>
      </c>
    </row>
    <row r="2738" spans="2:10" x14ac:dyDescent="0.3">
      <c r="B2738" s="277">
        <f>'Production '!C2741</f>
        <v>0</v>
      </c>
      <c r="C2738" s="76" t="e">
        <f ca="1">SUMIF('Production '!$C$4:$AI$4407,'Tracking Sheet'!B2738,'Production '!$M$4:$M$4407)</f>
        <v>#DIV/0!</v>
      </c>
      <c r="D2738" s="76" t="e">
        <f ca="1">SUMIF('Production '!$C$4:$AI$4407,'Tracking Sheet'!B2738,'Production '!$Q$4:$Q$4407)</f>
        <v>#DIV/0!</v>
      </c>
      <c r="E2738" s="76">
        <f ca="1">SUMIF('Production '!$C$4:$AI$4407,'Tracking Sheet'!B2738,'Production '!$S$4:$S$4407)</f>
        <v>-1268218.9828305368</v>
      </c>
      <c r="F2738" s="76">
        <f ca="1">SUMIF('Production '!$C$4:$AI$4407,'Tracking Sheet'!B2738,'Production '!$U$4:$U$4407)</f>
        <v>-10620.435600016917</v>
      </c>
      <c r="G2738" s="76" t="e">
        <f ca="1">SUMIF('Production '!$C$4:$AI$4407,'Tracking Sheet'!B2738,'Production '!$W$4:$W$4407)</f>
        <v>#DIV/0!</v>
      </c>
      <c r="H2738" s="76">
        <f ca="1">SUMIF('Production '!$C$4:$AI$4407,'Tracking Sheet'!B2738,'Production '!$F$4:$F$4407)</f>
        <v>3230621.3283604058</v>
      </c>
      <c r="I2738" s="76">
        <f ca="1">SUMIF('Production '!$C$4:$AI$4407,'Tracking Sheet'!B2738,'Production '!$V$4:$V$4407)</f>
        <v>-489.86487791182844</v>
      </c>
      <c r="J2738" s="76">
        <f ca="1">SUMIF('Production '!$C$4:$AI$4407,'Tracking Sheet'!B2738,'Production '!$AG$4:$AG$4407)</f>
        <v>0</v>
      </c>
    </row>
    <row r="2739" spans="2:10" x14ac:dyDescent="0.3">
      <c r="B2739" s="277">
        <f>'Production '!C2742</f>
        <v>0</v>
      </c>
      <c r="C2739" s="76" t="e">
        <f ca="1">SUMIF('Production '!$C$4:$AI$4407,'Tracking Sheet'!B2739,'Production '!$M$4:$M$4407)</f>
        <v>#DIV/0!</v>
      </c>
      <c r="D2739" s="76" t="e">
        <f ca="1">SUMIF('Production '!$C$4:$AI$4407,'Tracking Sheet'!B2739,'Production '!$Q$4:$Q$4407)</f>
        <v>#DIV/0!</v>
      </c>
      <c r="E2739" s="76">
        <f ca="1">SUMIF('Production '!$C$4:$AI$4407,'Tracking Sheet'!B2739,'Production '!$S$4:$S$4407)</f>
        <v>-1268218.9828305368</v>
      </c>
      <c r="F2739" s="76">
        <f ca="1">SUMIF('Production '!$C$4:$AI$4407,'Tracking Sheet'!B2739,'Production '!$U$4:$U$4407)</f>
        <v>-10620.435600016917</v>
      </c>
      <c r="G2739" s="76" t="e">
        <f ca="1">SUMIF('Production '!$C$4:$AI$4407,'Tracking Sheet'!B2739,'Production '!$W$4:$W$4407)</f>
        <v>#DIV/0!</v>
      </c>
      <c r="H2739" s="76">
        <f ca="1">SUMIF('Production '!$C$4:$AI$4407,'Tracking Sheet'!B2739,'Production '!$F$4:$F$4407)</f>
        <v>3230621.3283604058</v>
      </c>
      <c r="I2739" s="76">
        <f ca="1">SUMIF('Production '!$C$4:$AI$4407,'Tracking Sheet'!B2739,'Production '!$V$4:$V$4407)</f>
        <v>-489.86487791182844</v>
      </c>
      <c r="J2739" s="76">
        <f ca="1">SUMIF('Production '!$C$4:$AI$4407,'Tracking Sheet'!B2739,'Production '!$AG$4:$AG$4407)</f>
        <v>0</v>
      </c>
    </row>
    <row r="2740" spans="2:10" x14ac:dyDescent="0.3">
      <c r="B2740" s="277">
        <f>'Production '!C2743</f>
        <v>0</v>
      </c>
      <c r="C2740" s="76" t="e">
        <f ca="1">SUMIF('Production '!$C$4:$AI$4407,'Tracking Sheet'!B2740,'Production '!$M$4:$M$4407)</f>
        <v>#DIV/0!</v>
      </c>
      <c r="D2740" s="76" t="e">
        <f ca="1">SUMIF('Production '!$C$4:$AI$4407,'Tracking Sheet'!B2740,'Production '!$Q$4:$Q$4407)</f>
        <v>#DIV/0!</v>
      </c>
      <c r="E2740" s="76">
        <f ca="1">SUMIF('Production '!$C$4:$AI$4407,'Tracking Sheet'!B2740,'Production '!$S$4:$S$4407)</f>
        <v>-1268218.9828305368</v>
      </c>
      <c r="F2740" s="76">
        <f ca="1">SUMIF('Production '!$C$4:$AI$4407,'Tracking Sheet'!B2740,'Production '!$U$4:$U$4407)</f>
        <v>-10620.435600016917</v>
      </c>
      <c r="G2740" s="76" t="e">
        <f ca="1">SUMIF('Production '!$C$4:$AI$4407,'Tracking Sheet'!B2740,'Production '!$W$4:$W$4407)</f>
        <v>#DIV/0!</v>
      </c>
      <c r="H2740" s="76">
        <f ca="1">SUMIF('Production '!$C$4:$AI$4407,'Tracking Sheet'!B2740,'Production '!$F$4:$F$4407)</f>
        <v>3230621.3283604058</v>
      </c>
      <c r="I2740" s="76">
        <f ca="1">SUMIF('Production '!$C$4:$AI$4407,'Tracking Sheet'!B2740,'Production '!$V$4:$V$4407)</f>
        <v>-489.86487791182844</v>
      </c>
      <c r="J2740" s="76">
        <f ca="1">SUMIF('Production '!$C$4:$AI$4407,'Tracking Sheet'!B2740,'Production '!$AG$4:$AG$4407)</f>
        <v>0</v>
      </c>
    </row>
    <row r="2741" spans="2:10" x14ac:dyDescent="0.3">
      <c r="B2741" s="277">
        <f>'Production '!C2744</f>
        <v>0</v>
      </c>
      <c r="C2741" s="76" t="e">
        <f ca="1">SUMIF('Production '!$C$4:$AI$4407,'Tracking Sheet'!B2741,'Production '!$M$4:$M$4407)</f>
        <v>#DIV/0!</v>
      </c>
      <c r="D2741" s="76" t="e">
        <f ca="1">SUMIF('Production '!$C$4:$AI$4407,'Tracking Sheet'!B2741,'Production '!$Q$4:$Q$4407)</f>
        <v>#DIV/0!</v>
      </c>
      <c r="E2741" s="76">
        <f ca="1">SUMIF('Production '!$C$4:$AI$4407,'Tracking Sheet'!B2741,'Production '!$S$4:$S$4407)</f>
        <v>-1268218.9828305368</v>
      </c>
      <c r="F2741" s="76">
        <f ca="1">SUMIF('Production '!$C$4:$AI$4407,'Tracking Sheet'!B2741,'Production '!$U$4:$U$4407)</f>
        <v>-10620.435600016917</v>
      </c>
      <c r="G2741" s="76" t="e">
        <f ca="1">SUMIF('Production '!$C$4:$AI$4407,'Tracking Sheet'!B2741,'Production '!$W$4:$W$4407)</f>
        <v>#DIV/0!</v>
      </c>
      <c r="H2741" s="76">
        <f ca="1">SUMIF('Production '!$C$4:$AI$4407,'Tracking Sheet'!B2741,'Production '!$F$4:$F$4407)</f>
        <v>3230621.3283604058</v>
      </c>
      <c r="I2741" s="76">
        <f ca="1">SUMIF('Production '!$C$4:$AI$4407,'Tracking Sheet'!B2741,'Production '!$V$4:$V$4407)</f>
        <v>-489.86487791182844</v>
      </c>
      <c r="J2741" s="76">
        <f ca="1">SUMIF('Production '!$C$4:$AI$4407,'Tracking Sheet'!B2741,'Production '!$AG$4:$AG$4407)</f>
        <v>0</v>
      </c>
    </row>
    <row r="2742" spans="2:10" x14ac:dyDescent="0.3">
      <c r="B2742" s="277">
        <f>'Production '!C2745</f>
        <v>0</v>
      </c>
      <c r="C2742" s="76" t="e">
        <f ca="1">SUMIF('Production '!$C$4:$AI$4407,'Tracking Sheet'!B2742,'Production '!$M$4:$M$4407)</f>
        <v>#DIV/0!</v>
      </c>
      <c r="D2742" s="76" t="e">
        <f ca="1">SUMIF('Production '!$C$4:$AI$4407,'Tracking Sheet'!B2742,'Production '!$Q$4:$Q$4407)</f>
        <v>#DIV/0!</v>
      </c>
      <c r="E2742" s="76">
        <f ca="1">SUMIF('Production '!$C$4:$AI$4407,'Tracking Sheet'!B2742,'Production '!$S$4:$S$4407)</f>
        <v>-1268218.9828305368</v>
      </c>
      <c r="F2742" s="76">
        <f ca="1">SUMIF('Production '!$C$4:$AI$4407,'Tracking Sheet'!B2742,'Production '!$U$4:$U$4407)</f>
        <v>-10620.435600016917</v>
      </c>
      <c r="G2742" s="76" t="e">
        <f ca="1">SUMIF('Production '!$C$4:$AI$4407,'Tracking Sheet'!B2742,'Production '!$W$4:$W$4407)</f>
        <v>#DIV/0!</v>
      </c>
      <c r="H2742" s="76">
        <f ca="1">SUMIF('Production '!$C$4:$AI$4407,'Tracking Sheet'!B2742,'Production '!$F$4:$F$4407)</f>
        <v>3230621.3283604058</v>
      </c>
      <c r="I2742" s="76">
        <f ca="1">SUMIF('Production '!$C$4:$AI$4407,'Tracking Sheet'!B2742,'Production '!$V$4:$V$4407)</f>
        <v>-489.86487791182844</v>
      </c>
      <c r="J2742" s="76">
        <f ca="1">SUMIF('Production '!$C$4:$AI$4407,'Tracking Sheet'!B2742,'Production '!$AG$4:$AG$4407)</f>
        <v>0</v>
      </c>
    </row>
    <row r="2743" spans="2:10" x14ac:dyDescent="0.3">
      <c r="B2743" s="277">
        <f>'Production '!C2746</f>
        <v>0</v>
      </c>
      <c r="C2743" s="76" t="e">
        <f ca="1">SUMIF('Production '!$C$4:$AI$4407,'Tracking Sheet'!B2743,'Production '!$M$4:$M$4407)</f>
        <v>#DIV/0!</v>
      </c>
      <c r="D2743" s="76" t="e">
        <f ca="1">SUMIF('Production '!$C$4:$AI$4407,'Tracking Sheet'!B2743,'Production '!$Q$4:$Q$4407)</f>
        <v>#DIV/0!</v>
      </c>
      <c r="E2743" s="76">
        <f ca="1">SUMIF('Production '!$C$4:$AI$4407,'Tracking Sheet'!B2743,'Production '!$S$4:$S$4407)</f>
        <v>-1268218.9828305368</v>
      </c>
      <c r="F2743" s="76">
        <f ca="1">SUMIF('Production '!$C$4:$AI$4407,'Tracking Sheet'!B2743,'Production '!$U$4:$U$4407)</f>
        <v>-10620.435600016917</v>
      </c>
      <c r="G2743" s="76" t="e">
        <f ca="1">SUMIF('Production '!$C$4:$AI$4407,'Tracking Sheet'!B2743,'Production '!$W$4:$W$4407)</f>
        <v>#DIV/0!</v>
      </c>
      <c r="H2743" s="76">
        <f ca="1">SUMIF('Production '!$C$4:$AI$4407,'Tracking Sheet'!B2743,'Production '!$F$4:$F$4407)</f>
        <v>3230621.3283604058</v>
      </c>
      <c r="I2743" s="76">
        <f ca="1">SUMIF('Production '!$C$4:$AI$4407,'Tracking Sheet'!B2743,'Production '!$V$4:$V$4407)</f>
        <v>-489.86487791182844</v>
      </c>
      <c r="J2743" s="76">
        <f ca="1">SUMIF('Production '!$C$4:$AI$4407,'Tracking Sheet'!B2743,'Production '!$AG$4:$AG$4407)</f>
        <v>0</v>
      </c>
    </row>
    <row r="2744" spans="2:10" x14ac:dyDescent="0.3">
      <c r="B2744" s="277">
        <f>'Production '!C2747</f>
        <v>0</v>
      </c>
      <c r="C2744" s="76" t="e">
        <f ca="1">SUMIF('Production '!$C$4:$AI$4407,'Tracking Sheet'!B2744,'Production '!$M$4:$M$4407)</f>
        <v>#DIV/0!</v>
      </c>
      <c r="D2744" s="76" t="e">
        <f ca="1">SUMIF('Production '!$C$4:$AI$4407,'Tracking Sheet'!B2744,'Production '!$Q$4:$Q$4407)</f>
        <v>#DIV/0!</v>
      </c>
      <c r="E2744" s="76">
        <f ca="1">SUMIF('Production '!$C$4:$AI$4407,'Tracking Sheet'!B2744,'Production '!$S$4:$S$4407)</f>
        <v>-1268218.9828305368</v>
      </c>
      <c r="F2744" s="76">
        <f ca="1">SUMIF('Production '!$C$4:$AI$4407,'Tracking Sheet'!B2744,'Production '!$U$4:$U$4407)</f>
        <v>-10620.435600016917</v>
      </c>
      <c r="G2744" s="76" t="e">
        <f ca="1">SUMIF('Production '!$C$4:$AI$4407,'Tracking Sheet'!B2744,'Production '!$W$4:$W$4407)</f>
        <v>#DIV/0!</v>
      </c>
      <c r="H2744" s="76">
        <f ca="1">SUMIF('Production '!$C$4:$AI$4407,'Tracking Sheet'!B2744,'Production '!$F$4:$F$4407)</f>
        <v>3230621.3283604058</v>
      </c>
      <c r="I2744" s="76">
        <f ca="1">SUMIF('Production '!$C$4:$AI$4407,'Tracking Sheet'!B2744,'Production '!$V$4:$V$4407)</f>
        <v>-489.86487791182844</v>
      </c>
      <c r="J2744" s="76">
        <f ca="1">SUMIF('Production '!$C$4:$AI$4407,'Tracking Sheet'!B2744,'Production '!$AG$4:$AG$4407)</f>
        <v>0</v>
      </c>
    </row>
    <row r="2745" spans="2:10" x14ac:dyDescent="0.3">
      <c r="B2745" s="277">
        <f>'Production '!C2748</f>
        <v>0</v>
      </c>
      <c r="C2745" s="76" t="e">
        <f ca="1">SUMIF('Production '!$C$4:$AI$4407,'Tracking Sheet'!B2745,'Production '!$M$4:$M$4407)</f>
        <v>#DIV/0!</v>
      </c>
      <c r="D2745" s="76" t="e">
        <f ca="1">SUMIF('Production '!$C$4:$AI$4407,'Tracking Sheet'!B2745,'Production '!$Q$4:$Q$4407)</f>
        <v>#DIV/0!</v>
      </c>
      <c r="E2745" s="76">
        <f ca="1">SUMIF('Production '!$C$4:$AI$4407,'Tracking Sheet'!B2745,'Production '!$S$4:$S$4407)</f>
        <v>-1268218.9828305368</v>
      </c>
      <c r="F2745" s="76">
        <f ca="1">SUMIF('Production '!$C$4:$AI$4407,'Tracking Sheet'!B2745,'Production '!$U$4:$U$4407)</f>
        <v>-10620.435600016917</v>
      </c>
      <c r="G2745" s="76" t="e">
        <f ca="1">SUMIF('Production '!$C$4:$AI$4407,'Tracking Sheet'!B2745,'Production '!$W$4:$W$4407)</f>
        <v>#DIV/0!</v>
      </c>
      <c r="H2745" s="76">
        <f ca="1">SUMIF('Production '!$C$4:$AI$4407,'Tracking Sheet'!B2745,'Production '!$F$4:$F$4407)</f>
        <v>3230621.3283604058</v>
      </c>
      <c r="I2745" s="76">
        <f ca="1">SUMIF('Production '!$C$4:$AI$4407,'Tracking Sheet'!B2745,'Production '!$V$4:$V$4407)</f>
        <v>-489.86487791182844</v>
      </c>
      <c r="J2745" s="76">
        <f ca="1">SUMIF('Production '!$C$4:$AI$4407,'Tracking Sheet'!B2745,'Production '!$AG$4:$AG$4407)</f>
        <v>0</v>
      </c>
    </row>
    <row r="2746" spans="2:10" x14ac:dyDescent="0.3">
      <c r="B2746" s="277">
        <f>'Production '!C2749</f>
        <v>0</v>
      </c>
      <c r="C2746" s="76" t="e">
        <f ca="1">SUMIF('Production '!$C$4:$AI$4407,'Tracking Sheet'!B2746,'Production '!$M$4:$M$4407)</f>
        <v>#DIV/0!</v>
      </c>
      <c r="D2746" s="76" t="e">
        <f ca="1">SUMIF('Production '!$C$4:$AI$4407,'Tracking Sheet'!B2746,'Production '!$Q$4:$Q$4407)</f>
        <v>#DIV/0!</v>
      </c>
      <c r="E2746" s="76">
        <f ca="1">SUMIF('Production '!$C$4:$AI$4407,'Tracking Sheet'!B2746,'Production '!$S$4:$S$4407)</f>
        <v>-1268218.9828305368</v>
      </c>
      <c r="F2746" s="76">
        <f ca="1">SUMIF('Production '!$C$4:$AI$4407,'Tracking Sheet'!B2746,'Production '!$U$4:$U$4407)</f>
        <v>-10620.435600016917</v>
      </c>
      <c r="G2746" s="76" t="e">
        <f ca="1">SUMIF('Production '!$C$4:$AI$4407,'Tracking Sheet'!B2746,'Production '!$W$4:$W$4407)</f>
        <v>#DIV/0!</v>
      </c>
      <c r="H2746" s="76">
        <f ca="1">SUMIF('Production '!$C$4:$AI$4407,'Tracking Sheet'!B2746,'Production '!$F$4:$F$4407)</f>
        <v>3230621.3283604058</v>
      </c>
      <c r="I2746" s="76">
        <f ca="1">SUMIF('Production '!$C$4:$AI$4407,'Tracking Sheet'!B2746,'Production '!$V$4:$V$4407)</f>
        <v>-489.86487791182844</v>
      </c>
      <c r="J2746" s="76">
        <f ca="1">SUMIF('Production '!$C$4:$AI$4407,'Tracking Sheet'!B2746,'Production '!$AG$4:$AG$4407)</f>
        <v>0</v>
      </c>
    </row>
    <row r="2747" spans="2:10" x14ac:dyDescent="0.3">
      <c r="B2747" s="277">
        <f>'Production '!C2750</f>
        <v>0</v>
      </c>
      <c r="C2747" s="76" t="e">
        <f ca="1">SUMIF('Production '!$C$4:$AI$4407,'Tracking Sheet'!B2747,'Production '!$M$4:$M$4407)</f>
        <v>#DIV/0!</v>
      </c>
      <c r="D2747" s="76" t="e">
        <f ca="1">SUMIF('Production '!$C$4:$AI$4407,'Tracking Sheet'!B2747,'Production '!$Q$4:$Q$4407)</f>
        <v>#DIV/0!</v>
      </c>
      <c r="E2747" s="76">
        <f ca="1">SUMIF('Production '!$C$4:$AI$4407,'Tracking Sheet'!B2747,'Production '!$S$4:$S$4407)</f>
        <v>-1268218.9828305368</v>
      </c>
      <c r="F2747" s="76">
        <f ca="1">SUMIF('Production '!$C$4:$AI$4407,'Tracking Sheet'!B2747,'Production '!$U$4:$U$4407)</f>
        <v>-10620.435600016917</v>
      </c>
      <c r="G2747" s="76" t="e">
        <f ca="1">SUMIF('Production '!$C$4:$AI$4407,'Tracking Sheet'!B2747,'Production '!$W$4:$W$4407)</f>
        <v>#DIV/0!</v>
      </c>
      <c r="H2747" s="76">
        <f ca="1">SUMIF('Production '!$C$4:$AI$4407,'Tracking Sheet'!B2747,'Production '!$F$4:$F$4407)</f>
        <v>3230621.3283604058</v>
      </c>
      <c r="I2747" s="76">
        <f ca="1">SUMIF('Production '!$C$4:$AI$4407,'Tracking Sheet'!B2747,'Production '!$V$4:$V$4407)</f>
        <v>-489.86487791182844</v>
      </c>
      <c r="J2747" s="76">
        <f ca="1">SUMIF('Production '!$C$4:$AI$4407,'Tracking Sheet'!B2747,'Production '!$AG$4:$AG$4407)</f>
        <v>0</v>
      </c>
    </row>
    <row r="2748" spans="2:10" x14ac:dyDescent="0.3">
      <c r="B2748" s="277">
        <f>'Production '!C2751</f>
        <v>0</v>
      </c>
      <c r="C2748" s="76" t="e">
        <f ca="1">SUMIF('Production '!$C$4:$AI$4407,'Tracking Sheet'!B2748,'Production '!$M$4:$M$4407)</f>
        <v>#DIV/0!</v>
      </c>
      <c r="D2748" s="76" t="e">
        <f ca="1">SUMIF('Production '!$C$4:$AI$4407,'Tracking Sheet'!B2748,'Production '!$Q$4:$Q$4407)</f>
        <v>#DIV/0!</v>
      </c>
      <c r="E2748" s="76">
        <f ca="1">SUMIF('Production '!$C$4:$AI$4407,'Tracking Sheet'!B2748,'Production '!$S$4:$S$4407)</f>
        <v>-1268218.9828305368</v>
      </c>
      <c r="F2748" s="76">
        <f ca="1">SUMIF('Production '!$C$4:$AI$4407,'Tracking Sheet'!B2748,'Production '!$U$4:$U$4407)</f>
        <v>-10620.435600016917</v>
      </c>
      <c r="G2748" s="76" t="e">
        <f ca="1">SUMIF('Production '!$C$4:$AI$4407,'Tracking Sheet'!B2748,'Production '!$W$4:$W$4407)</f>
        <v>#DIV/0!</v>
      </c>
      <c r="H2748" s="76">
        <f ca="1">SUMIF('Production '!$C$4:$AI$4407,'Tracking Sheet'!B2748,'Production '!$F$4:$F$4407)</f>
        <v>3230621.3283604058</v>
      </c>
      <c r="I2748" s="76">
        <f ca="1">SUMIF('Production '!$C$4:$AI$4407,'Tracking Sheet'!B2748,'Production '!$V$4:$V$4407)</f>
        <v>-489.86487791182844</v>
      </c>
      <c r="J2748" s="76">
        <f ca="1">SUMIF('Production '!$C$4:$AI$4407,'Tracking Sheet'!B2748,'Production '!$AG$4:$AG$4407)</f>
        <v>0</v>
      </c>
    </row>
    <row r="2749" spans="2:10" x14ac:dyDescent="0.3">
      <c r="B2749" s="277">
        <f>'Production '!C2752</f>
        <v>0</v>
      </c>
      <c r="C2749" s="76" t="e">
        <f ca="1">SUMIF('Production '!$C$4:$AI$4407,'Tracking Sheet'!B2749,'Production '!$M$4:$M$4407)</f>
        <v>#DIV/0!</v>
      </c>
      <c r="D2749" s="76" t="e">
        <f ca="1">SUMIF('Production '!$C$4:$AI$4407,'Tracking Sheet'!B2749,'Production '!$Q$4:$Q$4407)</f>
        <v>#DIV/0!</v>
      </c>
      <c r="E2749" s="76">
        <f ca="1">SUMIF('Production '!$C$4:$AI$4407,'Tracking Sheet'!B2749,'Production '!$S$4:$S$4407)</f>
        <v>-1268218.9828305368</v>
      </c>
      <c r="F2749" s="76">
        <f ca="1">SUMIF('Production '!$C$4:$AI$4407,'Tracking Sheet'!B2749,'Production '!$U$4:$U$4407)</f>
        <v>-10620.435600016917</v>
      </c>
      <c r="G2749" s="76" t="e">
        <f ca="1">SUMIF('Production '!$C$4:$AI$4407,'Tracking Sheet'!B2749,'Production '!$W$4:$W$4407)</f>
        <v>#DIV/0!</v>
      </c>
      <c r="H2749" s="76">
        <f ca="1">SUMIF('Production '!$C$4:$AI$4407,'Tracking Sheet'!B2749,'Production '!$F$4:$F$4407)</f>
        <v>3230621.3283604058</v>
      </c>
      <c r="I2749" s="76">
        <f ca="1">SUMIF('Production '!$C$4:$AI$4407,'Tracking Sheet'!B2749,'Production '!$V$4:$V$4407)</f>
        <v>-489.86487791182844</v>
      </c>
      <c r="J2749" s="76">
        <f ca="1">SUMIF('Production '!$C$4:$AI$4407,'Tracking Sheet'!B2749,'Production '!$AG$4:$AG$4407)</f>
        <v>0</v>
      </c>
    </row>
    <row r="2750" spans="2:10" x14ac:dyDescent="0.3">
      <c r="B2750" s="277">
        <f>'Production '!C2753</f>
        <v>0</v>
      </c>
      <c r="C2750" s="76" t="e">
        <f ca="1">SUMIF('Production '!$C$4:$AI$4407,'Tracking Sheet'!B2750,'Production '!$M$4:$M$4407)</f>
        <v>#DIV/0!</v>
      </c>
      <c r="D2750" s="76" t="e">
        <f ca="1">SUMIF('Production '!$C$4:$AI$4407,'Tracking Sheet'!B2750,'Production '!$Q$4:$Q$4407)</f>
        <v>#DIV/0!</v>
      </c>
      <c r="E2750" s="76">
        <f ca="1">SUMIF('Production '!$C$4:$AI$4407,'Tracking Sheet'!B2750,'Production '!$S$4:$S$4407)</f>
        <v>-1268218.9828305368</v>
      </c>
      <c r="F2750" s="76">
        <f ca="1">SUMIF('Production '!$C$4:$AI$4407,'Tracking Sheet'!B2750,'Production '!$U$4:$U$4407)</f>
        <v>-10620.435600016917</v>
      </c>
      <c r="G2750" s="76" t="e">
        <f ca="1">SUMIF('Production '!$C$4:$AI$4407,'Tracking Sheet'!B2750,'Production '!$W$4:$W$4407)</f>
        <v>#DIV/0!</v>
      </c>
      <c r="H2750" s="76">
        <f ca="1">SUMIF('Production '!$C$4:$AI$4407,'Tracking Sheet'!B2750,'Production '!$F$4:$F$4407)</f>
        <v>3230621.3283604058</v>
      </c>
      <c r="I2750" s="76">
        <f ca="1">SUMIF('Production '!$C$4:$AI$4407,'Tracking Sheet'!B2750,'Production '!$V$4:$V$4407)</f>
        <v>-489.86487791182844</v>
      </c>
      <c r="J2750" s="76">
        <f ca="1">SUMIF('Production '!$C$4:$AI$4407,'Tracking Sheet'!B2750,'Production '!$AG$4:$AG$4407)</f>
        <v>0</v>
      </c>
    </row>
    <row r="2751" spans="2:10" x14ac:dyDescent="0.3">
      <c r="B2751" s="277">
        <f>'Production '!C2754</f>
        <v>0</v>
      </c>
      <c r="C2751" s="76" t="e">
        <f ca="1">SUMIF('Production '!$C$4:$AI$4407,'Tracking Sheet'!B2751,'Production '!$M$4:$M$4407)</f>
        <v>#DIV/0!</v>
      </c>
      <c r="D2751" s="76" t="e">
        <f ca="1">SUMIF('Production '!$C$4:$AI$4407,'Tracking Sheet'!B2751,'Production '!$Q$4:$Q$4407)</f>
        <v>#DIV/0!</v>
      </c>
      <c r="E2751" s="76">
        <f ca="1">SUMIF('Production '!$C$4:$AI$4407,'Tracking Sheet'!B2751,'Production '!$S$4:$S$4407)</f>
        <v>-1268218.9828305368</v>
      </c>
      <c r="F2751" s="76">
        <f ca="1">SUMIF('Production '!$C$4:$AI$4407,'Tracking Sheet'!B2751,'Production '!$U$4:$U$4407)</f>
        <v>-10620.435600016917</v>
      </c>
      <c r="G2751" s="76" t="e">
        <f ca="1">SUMIF('Production '!$C$4:$AI$4407,'Tracking Sheet'!B2751,'Production '!$W$4:$W$4407)</f>
        <v>#DIV/0!</v>
      </c>
      <c r="H2751" s="76">
        <f ca="1">SUMIF('Production '!$C$4:$AI$4407,'Tracking Sheet'!B2751,'Production '!$F$4:$F$4407)</f>
        <v>3230621.3283604058</v>
      </c>
      <c r="I2751" s="76">
        <f ca="1">SUMIF('Production '!$C$4:$AI$4407,'Tracking Sheet'!B2751,'Production '!$V$4:$V$4407)</f>
        <v>-489.86487791182844</v>
      </c>
      <c r="J2751" s="76">
        <f ca="1">SUMIF('Production '!$C$4:$AI$4407,'Tracking Sheet'!B2751,'Production '!$AG$4:$AG$4407)</f>
        <v>0</v>
      </c>
    </row>
    <row r="2752" spans="2:10" x14ac:dyDescent="0.3">
      <c r="B2752" s="277">
        <f>'Production '!C2755</f>
        <v>0</v>
      </c>
      <c r="C2752" s="76" t="e">
        <f ca="1">SUMIF('Production '!$C$4:$AI$4407,'Tracking Sheet'!B2752,'Production '!$M$4:$M$4407)</f>
        <v>#DIV/0!</v>
      </c>
      <c r="D2752" s="76" t="e">
        <f ca="1">SUMIF('Production '!$C$4:$AI$4407,'Tracking Sheet'!B2752,'Production '!$Q$4:$Q$4407)</f>
        <v>#DIV/0!</v>
      </c>
      <c r="E2752" s="76">
        <f ca="1">SUMIF('Production '!$C$4:$AI$4407,'Tracking Sheet'!B2752,'Production '!$S$4:$S$4407)</f>
        <v>-1268218.9828305368</v>
      </c>
      <c r="F2752" s="76">
        <f ca="1">SUMIF('Production '!$C$4:$AI$4407,'Tracking Sheet'!B2752,'Production '!$U$4:$U$4407)</f>
        <v>-10620.435600016917</v>
      </c>
      <c r="G2752" s="76" t="e">
        <f ca="1">SUMIF('Production '!$C$4:$AI$4407,'Tracking Sheet'!B2752,'Production '!$W$4:$W$4407)</f>
        <v>#DIV/0!</v>
      </c>
      <c r="H2752" s="76">
        <f ca="1">SUMIF('Production '!$C$4:$AI$4407,'Tracking Sheet'!B2752,'Production '!$F$4:$F$4407)</f>
        <v>3230621.3283604058</v>
      </c>
      <c r="I2752" s="76">
        <f ca="1">SUMIF('Production '!$C$4:$AI$4407,'Tracking Sheet'!B2752,'Production '!$V$4:$V$4407)</f>
        <v>-489.86487791182844</v>
      </c>
      <c r="J2752" s="76">
        <f ca="1">SUMIF('Production '!$C$4:$AI$4407,'Tracking Sheet'!B2752,'Production '!$AG$4:$AG$4407)</f>
        <v>0</v>
      </c>
    </row>
    <row r="2753" spans="2:10" x14ac:dyDescent="0.3">
      <c r="B2753" s="277">
        <f>'Production '!C2756</f>
        <v>0</v>
      </c>
      <c r="C2753" s="76" t="e">
        <f ca="1">SUMIF('Production '!$C$4:$AI$4407,'Tracking Sheet'!B2753,'Production '!$M$4:$M$4407)</f>
        <v>#DIV/0!</v>
      </c>
      <c r="D2753" s="76" t="e">
        <f ca="1">SUMIF('Production '!$C$4:$AI$4407,'Tracking Sheet'!B2753,'Production '!$Q$4:$Q$4407)</f>
        <v>#DIV/0!</v>
      </c>
      <c r="E2753" s="76">
        <f ca="1">SUMIF('Production '!$C$4:$AI$4407,'Tracking Sheet'!B2753,'Production '!$S$4:$S$4407)</f>
        <v>-1268218.9828305368</v>
      </c>
      <c r="F2753" s="76">
        <f ca="1">SUMIF('Production '!$C$4:$AI$4407,'Tracking Sheet'!B2753,'Production '!$U$4:$U$4407)</f>
        <v>-10620.435600016917</v>
      </c>
      <c r="G2753" s="76" t="e">
        <f ca="1">SUMIF('Production '!$C$4:$AI$4407,'Tracking Sheet'!B2753,'Production '!$W$4:$W$4407)</f>
        <v>#DIV/0!</v>
      </c>
      <c r="H2753" s="76">
        <f ca="1">SUMIF('Production '!$C$4:$AI$4407,'Tracking Sheet'!B2753,'Production '!$F$4:$F$4407)</f>
        <v>3230621.3283604058</v>
      </c>
      <c r="I2753" s="76">
        <f ca="1">SUMIF('Production '!$C$4:$AI$4407,'Tracking Sheet'!B2753,'Production '!$V$4:$V$4407)</f>
        <v>-489.86487791182844</v>
      </c>
      <c r="J2753" s="76">
        <f ca="1">SUMIF('Production '!$C$4:$AI$4407,'Tracking Sheet'!B2753,'Production '!$AG$4:$AG$4407)</f>
        <v>0</v>
      </c>
    </row>
    <row r="2754" spans="2:10" x14ac:dyDescent="0.3">
      <c r="B2754" s="277">
        <f>'Production '!C2757</f>
        <v>0</v>
      </c>
      <c r="C2754" s="76" t="e">
        <f ca="1">SUMIF('Production '!$C$4:$AI$4407,'Tracking Sheet'!B2754,'Production '!$M$4:$M$4407)</f>
        <v>#DIV/0!</v>
      </c>
      <c r="D2754" s="76" t="e">
        <f ca="1">SUMIF('Production '!$C$4:$AI$4407,'Tracking Sheet'!B2754,'Production '!$Q$4:$Q$4407)</f>
        <v>#DIV/0!</v>
      </c>
      <c r="E2754" s="76">
        <f ca="1">SUMIF('Production '!$C$4:$AI$4407,'Tracking Sheet'!B2754,'Production '!$S$4:$S$4407)</f>
        <v>-1268218.9828305368</v>
      </c>
      <c r="F2754" s="76">
        <f ca="1">SUMIF('Production '!$C$4:$AI$4407,'Tracking Sheet'!B2754,'Production '!$U$4:$U$4407)</f>
        <v>-10620.435600016917</v>
      </c>
      <c r="G2754" s="76" t="e">
        <f ca="1">SUMIF('Production '!$C$4:$AI$4407,'Tracking Sheet'!B2754,'Production '!$W$4:$W$4407)</f>
        <v>#DIV/0!</v>
      </c>
      <c r="H2754" s="76">
        <f ca="1">SUMIF('Production '!$C$4:$AI$4407,'Tracking Sheet'!B2754,'Production '!$F$4:$F$4407)</f>
        <v>3230621.3283604058</v>
      </c>
      <c r="I2754" s="76">
        <f ca="1">SUMIF('Production '!$C$4:$AI$4407,'Tracking Sheet'!B2754,'Production '!$V$4:$V$4407)</f>
        <v>-489.86487791182844</v>
      </c>
      <c r="J2754" s="76">
        <f ca="1">SUMIF('Production '!$C$4:$AI$4407,'Tracking Sheet'!B2754,'Production '!$AG$4:$AG$4407)</f>
        <v>0</v>
      </c>
    </row>
    <row r="2755" spans="2:10" x14ac:dyDescent="0.3">
      <c r="B2755" s="277">
        <f>'Production '!C2758</f>
        <v>0</v>
      </c>
      <c r="C2755" s="76" t="e">
        <f ca="1">SUMIF('Production '!$C$4:$AI$4407,'Tracking Sheet'!B2755,'Production '!$M$4:$M$4407)</f>
        <v>#DIV/0!</v>
      </c>
      <c r="D2755" s="76" t="e">
        <f ca="1">SUMIF('Production '!$C$4:$AI$4407,'Tracking Sheet'!B2755,'Production '!$Q$4:$Q$4407)</f>
        <v>#DIV/0!</v>
      </c>
      <c r="E2755" s="76">
        <f ca="1">SUMIF('Production '!$C$4:$AI$4407,'Tracking Sheet'!B2755,'Production '!$S$4:$S$4407)</f>
        <v>-1268218.9828305368</v>
      </c>
      <c r="F2755" s="76">
        <f ca="1">SUMIF('Production '!$C$4:$AI$4407,'Tracking Sheet'!B2755,'Production '!$U$4:$U$4407)</f>
        <v>-10620.435600016917</v>
      </c>
      <c r="G2755" s="76" t="e">
        <f ca="1">SUMIF('Production '!$C$4:$AI$4407,'Tracking Sheet'!B2755,'Production '!$W$4:$W$4407)</f>
        <v>#DIV/0!</v>
      </c>
      <c r="H2755" s="76">
        <f ca="1">SUMIF('Production '!$C$4:$AI$4407,'Tracking Sheet'!B2755,'Production '!$F$4:$F$4407)</f>
        <v>3230621.3283604058</v>
      </c>
      <c r="I2755" s="76">
        <f ca="1">SUMIF('Production '!$C$4:$AI$4407,'Tracking Sheet'!B2755,'Production '!$V$4:$V$4407)</f>
        <v>-489.86487791182844</v>
      </c>
      <c r="J2755" s="76">
        <f ca="1">SUMIF('Production '!$C$4:$AI$4407,'Tracking Sheet'!B2755,'Production '!$AG$4:$AG$4407)</f>
        <v>0</v>
      </c>
    </row>
    <row r="2756" spans="2:10" x14ac:dyDescent="0.3">
      <c r="B2756" s="277">
        <f>'Production '!C2759</f>
        <v>0</v>
      </c>
      <c r="C2756" s="76" t="e">
        <f ca="1">SUMIF('Production '!$C$4:$AI$4407,'Tracking Sheet'!B2756,'Production '!$M$4:$M$4407)</f>
        <v>#DIV/0!</v>
      </c>
      <c r="D2756" s="76" t="e">
        <f ca="1">SUMIF('Production '!$C$4:$AI$4407,'Tracking Sheet'!B2756,'Production '!$Q$4:$Q$4407)</f>
        <v>#DIV/0!</v>
      </c>
      <c r="E2756" s="76">
        <f ca="1">SUMIF('Production '!$C$4:$AI$4407,'Tracking Sheet'!B2756,'Production '!$S$4:$S$4407)</f>
        <v>-1268218.9828305368</v>
      </c>
      <c r="F2756" s="76">
        <f ca="1">SUMIF('Production '!$C$4:$AI$4407,'Tracking Sheet'!B2756,'Production '!$U$4:$U$4407)</f>
        <v>-10620.435600016917</v>
      </c>
      <c r="G2756" s="76" t="e">
        <f ca="1">SUMIF('Production '!$C$4:$AI$4407,'Tracking Sheet'!B2756,'Production '!$W$4:$W$4407)</f>
        <v>#DIV/0!</v>
      </c>
      <c r="H2756" s="76">
        <f ca="1">SUMIF('Production '!$C$4:$AI$4407,'Tracking Sheet'!B2756,'Production '!$F$4:$F$4407)</f>
        <v>3230621.3283604058</v>
      </c>
      <c r="I2756" s="76">
        <f ca="1">SUMIF('Production '!$C$4:$AI$4407,'Tracking Sheet'!B2756,'Production '!$V$4:$V$4407)</f>
        <v>-489.86487791182844</v>
      </c>
      <c r="J2756" s="76">
        <f ca="1">SUMIF('Production '!$C$4:$AI$4407,'Tracking Sheet'!B2756,'Production '!$AG$4:$AG$4407)</f>
        <v>0</v>
      </c>
    </row>
    <row r="2757" spans="2:10" x14ac:dyDescent="0.3">
      <c r="B2757" s="277">
        <f>'Production '!C2760</f>
        <v>0</v>
      </c>
      <c r="C2757" s="76" t="e">
        <f ca="1">SUMIF('Production '!$C$4:$AI$4407,'Tracking Sheet'!B2757,'Production '!$M$4:$M$4407)</f>
        <v>#DIV/0!</v>
      </c>
      <c r="D2757" s="76" t="e">
        <f ca="1">SUMIF('Production '!$C$4:$AI$4407,'Tracking Sheet'!B2757,'Production '!$Q$4:$Q$4407)</f>
        <v>#DIV/0!</v>
      </c>
      <c r="E2757" s="76">
        <f ca="1">SUMIF('Production '!$C$4:$AI$4407,'Tracking Sheet'!B2757,'Production '!$S$4:$S$4407)</f>
        <v>-1268218.9828305368</v>
      </c>
      <c r="F2757" s="76">
        <f ca="1">SUMIF('Production '!$C$4:$AI$4407,'Tracking Sheet'!B2757,'Production '!$U$4:$U$4407)</f>
        <v>-10620.435600016917</v>
      </c>
      <c r="G2757" s="76" t="e">
        <f ca="1">SUMIF('Production '!$C$4:$AI$4407,'Tracking Sheet'!B2757,'Production '!$W$4:$W$4407)</f>
        <v>#DIV/0!</v>
      </c>
      <c r="H2757" s="76">
        <f ca="1">SUMIF('Production '!$C$4:$AI$4407,'Tracking Sheet'!B2757,'Production '!$F$4:$F$4407)</f>
        <v>3230621.3283604058</v>
      </c>
      <c r="I2757" s="76">
        <f ca="1">SUMIF('Production '!$C$4:$AI$4407,'Tracking Sheet'!B2757,'Production '!$V$4:$V$4407)</f>
        <v>-489.86487791182844</v>
      </c>
      <c r="J2757" s="76">
        <f ca="1">SUMIF('Production '!$C$4:$AI$4407,'Tracking Sheet'!B2757,'Production '!$AG$4:$AG$4407)</f>
        <v>0</v>
      </c>
    </row>
    <row r="2758" spans="2:10" x14ac:dyDescent="0.3">
      <c r="B2758" s="277">
        <f>'Production '!C2761</f>
        <v>0</v>
      </c>
      <c r="C2758" s="76" t="e">
        <f ca="1">SUMIF('Production '!$C$4:$AI$4407,'Tracking Sheet'!B2758,'Production '!$M$4:$M$4407)</f>
        <v>#DIV/0!</v>
      </c>
      <c r="D2758" s="76" t="e">
        <f ca="1">SUMIF('Production '!$C$4:$AI$4407,'Tracking Sheet'!B2758,'Production '!$Q$4:$Q$4407)</f>
        <v>#DIV/0!</v>
      </c>
      <c r="E2758" s="76">
        <f ca="1">SUMIF('Production '!$C$4:$AI$4407,'Tracking Sheet'!B2758,'Production '!$S$4:$S$4407)</f>
        <v>-1268218.9828305368</v>
      </c>
      <c r="F2758" s="76">
        <f ca="1">SUMIF('Production '!$C$4:$AI$4407,'Tracking Sheet'!B2758,'Production '!$U$4:$U$4407)</f>
        <v>-10620.435600016917</v>
      </c>
      <c r="G2758" s="76" t="e">
        <f ca="1">SUMIF('Production '!$C$4:$AI$4407,'Tracking Sheet'!B2758,'Production '!$W$4:$W$4407)</f>
        <v>#DIV/0!</v>
      </c>
      <c r="H2758" s="76">
        <f ca="1">SUMIF('Production '!$C$4:$AI$4407,'Tracking Sheet'!B2758,'Production '!$F$4:$F$4407)</f>
        <v>3230621.3283604058</v>
      </c>
      <c r="I2758" s="76">
        <f ca="1">SUMIF('Production '!$C$4:$AI$4407,'Tracking Sheet'!B2758,'Production '!$V$4:$V$4407)</f>
        <v>-489.86487791182844</v>
      </c>
      <c r="J2758" s="76">
        <f ca="1">SUMIF('Production '!$C$4:$AI$4407,'Tracking Sheet'!B2758,'Production '!$AG$4:$AG$4407)</f>
        <v>0</v>
      </c>
    </row>
    <row r="2759" spans="2:10" x14ac:dyDescent="0.3">
      <c r="B2759" s="277">
        <f>'Production '!C2762</f>
        <v>0</v>
      </c>
      <c r="C2759" s="76" t="e">
        <f ca="1">SUMIF('Production '!$C$4:$AI$4407,'Tracking Sheet'!B2759,'Production '!$M$4:$M$4407)</f>
        <v>#DIV/0!</v>
      </c>
      <c r="D2759" s="76" t="e">
        <f ca="1">SUMIF('Production '!$C$4:$AI$4407,'Tracking Sheet'!B2759,'Production '!$Q$4:$Q$4407)</f>
        <v>#DIV/0!</v>
      </c>
      <c r="E2759" s="76">
        <f ca="1">SUMIF('Production '!$C$4:$AI$4407,'Tracking Sheet'!B2759,'Production '!$S$4:$S$4407)</f>
        <v>-1268218.9828305368</v>
      </c>
      <c r="F2759" s="76">
        <f ca="1">SUMIF('Production '!$C$4:$AI$4407,'Tracking Sheet'!B2759,'Production '!$U$4:$U$4407)</f>
        <v>-10620.435600016917</v>
      </c>
      <c r="G2759" s="76" t="e">
        <f ca="1">SUMIF('Production '!$C$4:$AI$4407,'Tracking Sheet'!B2759,'Production '!$W$4:$W$4407)</f>
        <v>#DIV/0!</v>
      </c>
      <c r="H2759" s="76">
        <f ca="1">SUMIF('Production '!$C$4:$AI$4407,'Tracking Sheet'!B2759,'Production '!$F$4:$F$4407)</f>
        <v>3230621.3283604058</v>
      </c>
      <c r="I2759" s="76">
        <f ca="1">SUMIF('Production '!$C$4:$AI$4407,'Tracking Sheet'!B2759,'Production '!$V$4:$V$4407)</f>
        <v>-489.86487791182844</v>
      </c>
      <c r="J2759" s="76">
        <f ca="1">SUMIF('Production '!$C$4:$AI$4407,'Tracking Sheet'!B2759,'Production '!$AG$4:$AG$4407)</f>
        <v>0</v>
      </c>
    </row>
    <row r="2760" spans="2:10" x14ac:dyDescent="0.3">
      <c r="B2760" s="277">
        <f>'Production '!C2763</f>
        <v>0</v>
      </c>
      <c r="C2760" s="76" t="e">
        <f ca="1">SUMIF('Production '!$C$4:$AI$4407,'Tracking Sheet'!B2760,'Production '!$M$4:$M$4407)</f>
        <v>#DIV/0!</v>
      </c>
      <c r="D2760" s="76" t="e">
        <f ca="1">SUMIF('Production '!$C$4:$AI$4407,'Tracking Sheet'!B2760,'Production '!$Q$4:$Q$4407)</f>
        <v>#DIV/0!</v>
      </c>
      <c r="E2760" s="76">
        <f ca="1">SUMIF('Production '!$C$4:$AI$4407,'Tracking Sheet'!B2760,'Production '!$S$4:$S$4407)</f>
        <v>-1268218.9828305368</v>
      </c>
      <c r="F2760" s="76">
        <f ca="1">SUMIF('Production '!$C$4:$AI$4407,'Tracking Sheet'!B2760,'Production '!$U$4:$U$4407)</f>
        <v>-10620.435600016917</v>
      </c>
      <c r="G2760" s="76" t="e">
        <f ca="1">SUMIF('Production '!$C$4:$AI$4407,'Tracking Sheet'!B2760,'Production '!$W$4:$W$4407)</f>
        <v>#DIV/0!</v>
      </c>
      <c r="H2760" s="76">
        <f ca="1">SUMIF('Production '!$C$4:$AI$4407,'Tracking Sheet'!B2760,'Production '!$F$4:$F$4407)</f>
        <v>3230621.3283604058</v>
      </c>
      <c r="I2760" s="76">
        <f ca="1">SUMIF('Production '!$C$4:$AI$4407,'Tracking Sheet'!B2760,'Production '!$V$4:$V$4407)</f>
        <v>-489.86487791182844</v>
      </c>
      <c r="J2760" s="76">
        <f ca="1">SUMIF('Production '!$C$4:$AI$4407,'Tracking Sheet'!B2760,'Production '!$AG$4:$AG$4407)</f>
        <v>0</v>
      </c>
    </row>
    <row r="2761" spans="2:10" x14ac:dyDescent="0.3">
      <c r="B2761" s="277">
        <f>'Production '!C2764</f>
        <v>0</v>
      </c>
      <c r="C2761" s="76" t="e">
        <f ca="1">SUMIF('Production '!$C$4:$AI$4407,'Tracking Sheet'!B2761,'Production '!$M$4:$M$4407)</f>
        <v>#DIV/0!</v>
      </c>
      <c r="D2761" s="76" t="e">
        <f ca="1">SUMIF('Production '!$C$4:$AI$4407,'Tracking Sheet'!B2761,'Production '!$Q$4:$Q$4407)</f>
        <v>#DIV/0!</v>
      </c>
      <c r="E2761" s="76">
        <f ca="1">SUMIF('Production '!$C$4:$AI$4407,'Tracking Sheet'!B2761,'Production '!$S$4:$S$4407)</f>
        <v>-1268218.9828305368</v>
      </c>
      <c r="F2761" s="76">
        <f ca="1">SUMIF('Production '!$C$4:$AI$4407,'Tracking Sheet'!B2761,'Production '!$U$4:$U$4407)</f>
        <v>-10620.435600016917</v>
      </c>
      <c r="G2761" s="76" t="e">
        <f ca="1">SUMIF('Production '!$C$4:$AI$4407,'Tracking Sheet'!B2761,'Production '!$W$4:$W$4407)</f>
        <v>#DIV/0!</v>
      </c>
      <c r="H2761" s="76">
        <f ca="1">SUMIF('Production '!$C$4:$AI$4407,'Tracking Sheet'!B2761,'Production '!$F$4:$F$4407)</f>
        <v>3230621.3283604058</v>
      </c>
      <c r="I2761" s="76">
        <f ca="1">SUMIF('Production '!$C$4:$AI$4407,'Tracking Sheet'!B2761,'Production '!$V$4:$V$4407)</f>
        <v>-489.86487791182844</v>
      </c>
      <c r="J2761" s="76">
        <f ca="1">SUMIF('Production '!$C$4:$AI$4407,'Tracking Sheet'!B2761,'Production '!$AG$4:$AG$4407)</f>
        <v>0</v>
      </c>
    </row>
    <row r="2762" spans="2:10" x14ac:dyDescent="0.3">
      <c r="B2762" s="277">
        <f>'Production '!C2765</f>
        <v>0</v>
      </c>
      <c r="C2762" s="76" t="e">
        <f ca="1">SUMIF('Production '!$C$4:$AI$4407,'Tracking Sheet'!B2762,'Production '!$M$4:$M$4407)</f>
        <v>#DIV/0!</v>
      </c>
      <c r="D2762" s="76" t="e">
        <f ca="1">SUMIF('Production '!$C$4:$AI$4407,'Tracking Sheet'!B2762,'Production '!$Q$4:$Q$4407)</f>
        <v>#DIV/0!</v>
      </c>
      <c r="E2762" s="76">
        <f ca="1">SUMIF('Production '!$C$4:$AI$4407,'Tracking Sheet'!B2762,'Production '!$S$4:$S$4407)</f>
        <v>-1268218.9828305368</v>
      </c>
      <c r="F2762" s="76">
        <f ca="1">SUMIF('Production '!$C$4:$AI$4407,'Tracking Sheet'!B2762,'Production '!$U$4:$U$4407)</f>
        <v>-10620.435600016917</v>
      </c>
      <c r="G2762" s="76" t="e">
        <f ca="1">SUMIF('Production '!$C$4:$AI$4407,'Tracking Sheet'!B2762,'Production '!$W$4:$W$4407)</f>
        <v>#DIV/0!</v>
      </c>
      <c r="H2762" s="76">
        <f ca="1">SUMIF('Production '!$C$4:$AI$4407,'Tracking Sheet'!B2762,'Production '!$F$4:$F$4407)</f>
        <v>3230621.3283604058</v>
      </c>
      <c r="I2762" s="76">
        <f ca="1">SUMIF('Production '!$C$4:$AI$4407,'Tracking Sheet'!B2762,'Production '!$V$4:$V$4407)</f>
        <v>-489.86487791182844</v>
      </c>
      <c r="J2762" s="76">
        <f ca="1">SUMIF('Production '!$C$4:$AI$4407,'Tracking Sheet'!B2762,'Production '!$AG$4:$AG$4407)</f>
        <v>0</v>
      </c>
    </row>
    <row r="2763" spans="2:10" x14ac:dyDescent="0.3">
      <c r="B2763" s="277">
        <f>'Production '!C2766</f>
        <v>0</v>
      </c>
      <c r="C2763" s="76" t="e">
        <f ca="1">SUMIF('Production '!$C$4:$AI$4407,'Tracking Sheet'!B2763,'Production '!$M$4:$M$4407)</f>
        <v>#DIV/0!</v>
      </c>
      <c r="D2763" s="76" t="e">
        <f ca="1">SUMIF('Production '!$C$4:$AI$4407,'Tracking Sheet'!B2763,'Production '!$Q$4:$Q$4407)</f>
        <v>#DIV/0!</v>
      </c>
      <c r="E2763" s="76">
        <f ca="1">SUMIF('Production '!$C$4:$AI$4407,'Tracking Sheet'!B2763,'Production '!$S$4:$S$4407)</f>
        <v>-1268218.9828305368</v>
      </c>
      <c r="F2763" s="76">
        <f ca="1">SUMIF('Production '!$C$4:$AI$4407,'Tracking Sheet'!B2763,'Production '!$U$4:$U$4407)</f>
        <v>-10620.435600016917</v>
      </c>
      <c r="G2763" s="76" t="e">
        <f ca="1">SUMIF('Production '!$C$4:$AI$4407,'Tracking Sheet'!B2763,'Production '!$W$4:$W$4407)</f>
        <v>#DIV/0!</v>
      </c>
      <c r="H2763" s="76">
        <f ca="1">SUMIF('Production '!$C$4:$AI$4407,'Tracking Sheet'!B2763,'Production '!$F$4:$F$4407)</f>
        <v>3230621.3283604058</v>
      </c>
      <c r="I2763" s="76">
        <f ca="1">SUMIF('Production '!$C$4:$AI$4407,'Tracking Sheet'!B2763,'Production '!$V$4:$V$4407)</f>
        <v>-489.86487791182844</v>
      </c>
      <c r="J2763" s="76">
        <f ca="1">SUMIF('Production '!$C$4:$AI$4407,'Tracking Sheet'!B2763,'Production '!$AG$4:$AG$4407)</f>
        <v>0</v>
      </c>
    </row>
    <row r="2764" spans="2:10" x14ac:dyDescent="0.3">
      <c r="B2764" s="277">
        <f>'Production '!C2767</f>
        <v>0</v>
      </c>
      <c r="C2764" s="76" t="e">
        <f ca="1">SUMIF('Production '!$C$4:$AI$4407,'Tracking Sheet'!B2764,'Production '!$M$4:$M$4407)</f>
        <v>#DIV/0!</v>
      </c>
      <c r="D2764" s="76" t="e">
        <f ca="1">SUMIF('Production '!$C$4:$AI$4407,'Tracking Sheet'!B2764,'Production '!$Q$4:$Q$4407)</f>
        <v>#DIV/0!</v>
      </c>
      <c r="E2764" s="76">
        <f ca="1">SUMIF('Production '!$C$4:$AI$4407,'Tracking Sheet'!B2764,'Production '!$S$4:$S$4407)</f>
        <v>-1268218.9828305368</v>
      </c>
      <c r="F2764" s="76">
        <f ca="1">SUMIF('Production '!$C$4:$AI$4407,'Tracking Sheet'!B2764,'Production '!$U$4:$U$4407)</f>
        <v>-10620.435600016917</v>
      </c>
      <c r="G2764" s="76" t="e">
        <f ca="1">SUMIF('Production '!$C$4:$AI$4407,'Tracking Sheet'!B2764,'Production '!$W$4:$W$4407)</f>
        <v>#DIV/0!</v>
      </c>
      <c r="H2764" s="76">
        <f ca="1">SUMIF('Production '!$C$4:$AI$4407,'Tracking Sheet'!B2764,'Production '!$F$4:$F$4407)</f>
        <v>3230621.3283604058</v>
      </c>
      <c r="I2764" s="76">
        <f ca="1">SUMIF('Production '!$C$4:$AI$4407,'Tracking Sheet'!B2764,'Production '!$V$4:$V$4407)</f>
        <v>-489.86487791182844</v>
      </c>
      <c r="J2764" s="76">
        <f ca="1">SUMIF('Production '!$C$4:$AI$4407,'Tracking Sheet'!B2764,'Production '!$AG$4:$AG$4407)</f>
        <v>0</v>
      </c>
    </row>
    <row r="2765" spans="2:10" x14ac:dyDescent="0.3">
      <c r="B2765" s="277">
        <f>'Production '!C2768</f>
        <v>0</v>
      </c>
      <c r="C2765" s="76" t="e">
        <f ca="1">SUMIF('Production '!$C$4:$AI$4407,'Tracking Sheet'!B2765,'Production '!$M$4:$M$4407)</f>
        <v>#DIV/0!</v>
      </c>
      <c r="D2765" s="76" t="e">
        <f ca="1">SUMIF('Production '!$C$4:$AI$4407,'Tracking Sheet'!B2765,'Production '!$Q$4:$Q$4407)</f>
        <v>#DIV/0!</v>
      </c>
      <c r="E2765" s="76">
        <f ca="1">SUMIF('Production '!$C$4:$AI$4407,'Tracking Sheet'!B2765,'Production '!$S$4:$S$4407)</f>
        <v>-1268218.9828305368</v>
      </c>
      <c r="F2765" s="76">
        <f ca="1">SUMIF('Production '!$C$4:$AI$4407,'Tracking Sheet'!B2765,'Production '!$U$4:$U$4407)</f>
        <v>-10620.435600016917</v>
      </c>
      <c r="G2765" s="76" t="e">
        <f ca="1">SUMIF('Production '!$C$4:$AI$4407,'Tracking Sheet'!B2765,'Production '!$W$4:$W$4407)</f>
        <v>#DIV/0!</v>
      </c>
      <c r="H2765" s="76">
        <f ca="1">SUMIF('Production '!$C$4:$AI$4407,'Tracking Sheet'!B2765,'Production '!$F$4:$F$4407)</f>
        <v>3230621.3283604058</v>
      </c>
      <c r="I2765" s="76">
        <f ca="1">SUMIF('Production '!$C$4:$AI$4407,'Tracking Sheet'!B2765,'Production '!$V$4:$V$4407)</f>
        <v>-489.86487791182844</v>
      </c>
      <c r="J2765" s="76">
        <f ca="1">SUMIF('Production '!$C$4:$AI$4407,'Tracking Sheet'!B2765,'Production '!$AG$4:$AG$4407)</f>
        <v>0</v>
      </c>
    </row>
    <row r="2766" spans="2:10" x14ac:dyDescent="0.3">
      <c r="B2766" s="277">
        <f>'Production '!C2769</f>
        <v>0</v>
      </c>
      <c r="C2766" s="76" t="e">
        <f ca="1">SUMIF('Production '!$C$4:$AI$4407,'Tracking Sheet'!B2766,'Production '!$M$4:$M$4407)</f>
        <v>#DIV/0!</v>
      </c>
      <c r="D2766" s="76" t="e">
        <f ca="1">SUMIF('Production '!$C$4:$AI$4407,'Tracking Sheet'!B2766,'Production '!$Q$4:$Q$4407)</f>
        <v>#DIV/0!</v>
      </c>
      <c r="E2766" s="76">
        <f ca="1">SUMIF('Production '!$C$4:$AI$4407,'Tracking Sheet'!B2766,'Production '!$S$4:$S$4407)</f>
        <v>-1268218.9828305368</v>
      </c>
      <c r="F2766" s="76">
        <f ca="1">SUMIF('Production '!$C$4:$AI$4407,'Tracking Sheet'!B2766,'Production '!$U$4:$U$4407)</f>
        <v>-10620.435600016917</v>
      </c>
      <c r="G2766" s="76" t="e">
        <f ca="1">SUMIF('Production '!$C$4:$AI$4407,'Tracking Sheet'!B2766,'Production '!$W$4:$W$4407)</f>
        <v>#DIV/0!</v>
      </c>
      <c r="H2766" s="76">
        <f ca="1">SUMIF('Production '!$C$4:$AI$4407,'Tracking Sheet'!B2766,'Production '!$F$4:$F$4407)</f>
        <v>3230621.3283604058</v>
      </c>
      <c r="I2766" s="76">
        <f ca="1">SUMIF('Production '!$C$4:$AI$4407,'Tracking Sheet'!B2766,'Production '!$V$4:$V$4407)</f>
        <v>-489.86487791182844</v>
      </c>
      <c r="J2766" s="76">
        <f ca="1">SUMIF('Production '!$C$4:$AI$4407,'Tracking Sheet'!B2766,'Production '!$AG$4:$AG$4407)</f>
        <v>0</v>
      </c>
    </row>
    <row r="2767" spans="2:10" x14ac:dyDescent="0.3">
      <c r="B2767" s="277">
        <f>'Production '!C2770</f>
        <v>0</v>
      </c>
      <c r="C2767" s="76" t="e">
        <f ca="1">SUMIF('Production '!$C$4:$AI$4407,'Tracking Sheet'!B2767,'Production '!$M$4:$M$4407)</f>
        <v>#DIV/0!</v>
      </c>
      <c r="D2767" s="76" t="e">
        <f ca="1">SUMIF('Production '!$C$4:$AI$4407,'Tracking Sheet'!B2767,'Production '!$Q$4:$Q$4407)</f>
        <v>#DIV/0!</v>
      </c>
      <c r="E2767" s="76">
        <f ca="1">SUMIF('Production '!$C$4:$AI$4407,'Tracking Sheet'!B2767,'Production '!$S$4:$S$4407)</f>
        <v>-1268218.9828305368</v>
      </c>
      <c r="F2767" s="76">
        <f ca="1">SUMIF('Production '!$C$4:$AI$4407,'Tracking Sheet'!B2767,'Production '!$U$4:$U$4407)</f>
        <v>-10620.435600016917</v>
      </c>
      <c r="G2767" s="76" t="e">
        <f ca="1">SUMIF('Production '!$C$4:$AI$4407,'Tracking Sheet'!B2767,'Production '!$W$4:$W$4407)</f>
        <v>#DIV/0!</v>
      </c>
      <c r="H2767" s="76">
        <f ca="1">SUMIF('Production '!$C$4:$AI$4407,'Tracking Sheet'!B2767,'Production '!$F$4:$F$4407)</f>
        <v>3230621.3283604058</v>
      </c>
      <c r="I2767" s="76">
        <f ca="1">SUMIF('Production '!$C$4:$AI$4407,'Tracking Sheet'!B2767,'Production '!$V$4:$V$4407)</f>
        <v>-489.86487791182844</v>
      </c>
      <c r="J2767" s="76">
        <f ca="1">SUMIF('Production '!$C$4:$AI$4407,'Tracking Sheet'!B2767,'Production '!$AG$4:$AG$4407)</f>
        <v>0</v>
      </c>
    </row>
    <row r="2768" spans="2:10" x14ac:dyDescent="0.3">
      <c r="B2768" s="277">
        <f>'Production '!C2771</f>
        <v>0</v>
      </c>
      <c r="C2768" s="76" t="e">
        <f ca="1">SUMIF('Production '!$C$4:$AI$4407,'Tracking Sheet'!B2768,'Production '!$M$4:$M$4407)</f>
        <v>#DIV/0!</v>
      </c>
      <c r="D2768" s="76" t="e">
        <f ca="1">SUMIF('Production '!$C$4:$AI$4407,'Tracking Sheet'!B2768,'Production '!$Q$4:$Q$4407)</f>
        <v>#DIV/0!</v>
      </c>
      <c r="E2768" s="76">
        <f ca="1">SUMIF('Production '!$C$4:$AI$4407,'Tracking Sheet'!B2768,'Production '!$S$4:$S$4407)</f>
        <v>-1268218.9828305368</v>
      </c>
      <c r="F2768" s="76">
        <f ca="1">SUMIF('Production '!$C$4:$AI$4407,'Tracking Sheet'!B2768,'Production '!$U$4:$U$4407)</f>
        <v>-10620.435600016917</v>
      </c>
      <c r="G2768" s="76" t="e">
        <f ca="1">SUMIF('Production '!$C$4:$AI$4407,'Tracking Sheet'!B2768,'Production '!$W$4:$W$4407)</f>
        <v>#DIV/0!</v>
      </c>
      <c r="H2768" s="76">
        <f ca="1">SUMIF('Production '!$C$4:$AI$4407,'Tracking Sheet'!B2768,'Production '!$F$4:$F$4407)</f>
        <v>3230621.3283604058</v>
      </c>
      <c r="I2768" s="76">
        <f ca="1">SUMIF('Production '!$C$4:$AI$4407,'Tracking Sheet'!B2768,'Production '!$V$4:$V$4407)</f>
        <v>-489.86487791182844</v>
      </c>
      <c r="J2768" s="76">
        <f ca="1">SUMIF('Production '!$C$4:$AI$4407,'Tracking Sheet'!B2768,'Production '!$AG$4:$AG$4407)</f>
        <v>0</v>
      </c>
    </row>
    <row r="2769" spans="2:10" x14ac:dyDescent="0.3">
      <c r="B2769" s="277">
        <f>'Production '!C2772</f>
        <v>0</v>
      </c>
      <c r="C2769" s="76" t="e">
        <f ca="1">SUMIF('Production '!$C$4:$AI$4407,'Tracking Sheet'!B2769,'Production '!$M$4:$M$4407)</f>
        <v>#DIV/0!</v>
      </c>
      <c r="D2769" s="76" t="e">
        <f ca="1">SUMIF('Production '!$C$4:$AI$4407,'Tracking Sheet'!B2769,'Production '!$Q$4:$Q$4407)</f>
        <v>#DIV/0!</v>
      </c>
      <c r="E2769" s="76">
        <f ca="1">SUMIF('Production '!$C$4:$AI$4407,'Tracking Sheet'!B2769,'Production '!$S$4:$S$4407)</f>
        <v>-1268218.9828305368</v>
      </c>
      <c r="F2769" s="76">
        <f ca="1">SUMIF('Production '!$C$4:$AI$4407,'Tracking Sheet'!B2769,'Production '!$U$4:$U$4407)</f>
        <v>-10620.435600016917</v>
      </c>
      <c r="G2769" s="76" t="e">
        <f ca="1">SUMIF('Production '!$C$4:$AI$4407,'Tracking Sheet'!B2769,'Production '!$W$4:$W$4407)</f>
        <v>#DIV/0!</v>
      </c>
      <c r="H2769" s="76">
        <f ca="1">SUMIF('Production '!$C$4:$AI$4407,'Tracking Sheet'!B2769,'Production '!$F$4:$F$4407)</f>
        <v>3230621.3283604058</v>
      </c>
      <c r="I2769" s="76">
        <f ca="1">SUMIF('Production '!$C$4:$AI$4407,'Tracking Sheet'!B2769,'Production '!$V$4:$V$4407)</f>
        <v>-489.86487791182844</v>
      </c>
      <c r="J2769" s="76">
        <f ca="1">SUMIF('Production '!$C$4:$AI$4407,'Tracking Sheet'!B2769,'Production '!$AG$4:$AG$4407)</f>
        <v>0</v>
      </c>
    </row>
    <row r="2770" spans="2:10" x14ac:dyDescent="0.3">
      <c r="B2770" s="277">
        <f>'Production '!C2773</f>
        <v>0</v>
      </c>
      <c r="C2770" s="76" t="e">
        <f ca="1">SUMIF('Production '!$C$4:$AI$4407,'Tracking Sheet'!B2770,'Production '!$M$4:$M$4407)</f>
        <v>#DIV/0!</v>
      </c>
      <c r="D2770" s="76" t="e">
        <f ca="1">SUMIF('Production '!$C$4:$AI$4407,'Tracking Sheet'!B2770,'Production '!$Q$4:$Q$4407)</f>
        <v>#DIV/0!</v>
      </c>
      <c r="E2770" s="76">
        <f ca="1">SUMIF('Production '!$C$4:$AI$4407,'Tracking Sheet'!B2770,'Production '!$S$4:$S$4407)</f>
        <v>-1268218.9828305368</v>
      </c>
      <c r="F2770" s="76">
        <f ca="1">SUMIF('Production '!$C$4:$AI$4407,'Tracking Sheet'!B2770,'Production '!$U$4:$U$4407)</f>
        <v>-10620.435600016917</v>
      </c>
      <c r="G2770" s="76" t="e">
        <f ca="1">SUMIF('Production '!$C$4:$AI$4407,'Tracking Sheet'!B2770,'Production '!$W$4:$W$4407)</f>
        <v>#DIV/0!</v>
      </c>
      <c r="H2770" s="76">
        <f ca="1">SUMIF('Production '!$C$4:$AI$4407,'Tracking Sheet'!B2770,'Production '!$F$4:$F$4407)</f>
        <v>3230621.3283604058</v>
      </c>
      <c r="I2770" s="76">
        <f ca="1">SUMIF('Production '!$C$4:$AI$4407,'Tracking Sheet'!B2770,'Production '!$V$4:$V$4407)</f>
        <v>-489.86487791182844</v>
      </c>
      <c r="J2770" s="76">
        <f ca="1">SUMIF('Production '!$C$4:$AI$4407,'Tracking Sheet'!B2770,'Production '!$AG$4:$AG$4407)</f>
        <v>0</v>
      </c>
    </row>
    <row r="2771" spans="2:10" x14ac:dyDescent="0.3">
      <c r="B2771" s="277">
        <f>'Production '!C2774</f>
        <v>0</v>
      </c>
      <c r="C2771" s="76" t="e">
        <f ca="1">SUMIF('Production '!$C$4:$AI$4407,'Tracking Sheet'!B2771,'Production '!$M$4:$M$4407)</f>
        <v>#DIV/0!</v>
      </c>
      <c r="D2771" s="76" t="e">
        <f ca="1">SUMIF('Production '!$C$4:$AI$4407,'Tracking Sheet'!B2771,'Production '!$Q$4:$Q$4407)</f>
        <v>#DIV/0!</v>
      </c>
      <c r="E2771" s="76">
        <f ca="1">SUMIF('Production '!$C$4:$AI$4407,'Tracking Sheet'!B2771,'Production '!$S$4:$S$4407)</f>
        <v>-1268218.9828305368</v>
      </c>
      <c r="F2771" s="76">
        <f ca="1">SUMIF('Production '!$C$4:$AI$4407,'Tracking Sheet'!B2771,'Production '!$U$4:$U$4407)</f>
        <v>-10620.435600016917</v>
      </c>
      <c r="G2771" s="76" t="e">
        <f ca="1">SUMIF('Production '!$C$4:$AI$4407,'Tracking Sheet'!B2771,'Production '!$W$4:$W$4407)</f>
        <v>#DIV/0!</v>
      </c>
      <c r="H2771" s="76">
        <f ca="1">SUMIF('Production '!$C$4:$AI$4407,'Tracking Sheet'!B2771,'Production '!$F$4:$F$4407)</f>
        <v>3230621.3283604058</v>
      </c>
      <c r="I2771" s="76">
        <f ca="1">SUMIF('Production '!$C$4:$AI$4407,'Tracking Sheet'!B2771,'Production '!$V$4:$V$4407)</f>
        <v>-489.86487791182844</v>
      </c>
      <c r="J2771" s="76">
        <f ca="1">SUMIF('Production '!$C$4:$AI$4407,'Tracking Sheet'!B2771,'Production '!$AG$4:$AG$4407)</f>
        <v>0</v>
      </c>
    </row>
    <row r="2772" spans="2:10" x14ac:dyDescent="0.3">
      <c r="B2772" s="277">
        <f>'Production '!C2775</f>
        <v>0</v>
      </c>
      <c r="C2772" s="76" t="e">
        <f ca="1">SUMIF('Production '!$C$4:$AI$4407,'Tracking Sheet'!B2772,'Production '!$M$4:$M$4407)</f>
        <v>#DIV/0!</v>
      </c>
      <c r="D2772" s="76" t="e">
        <f ca="1">SUMIF('Production '!$C$4:$AI$4407,'Tracking Sheet'!B2772,'Production '!$Q$4:$Q$4407)</f>
        <v>#DIV/0!</v>
      </c>
      <c r="E2772" s="76">
        <f ca="1">SUMIF('Production '!$C$4:$AI$4407,'Tracking Sheet'!B2772,'Production '!$S$4:$S$4407)</f>
        <v>-1268218.9828305368</v>
      </c>
      <c r="F2772" s="76">
        <f ca="1">SUMIF('Production '!$C$4:$AI$4407,'Tracking Sheet'!B2772,'Production '!$U$4:$U$4407)</f>
        <v>-10620.435600016917</v>
      </c>
      <c r="G2772" s="76" t="e">
        <f ca="1">SUMIF('Production '!$C$4:$AI$4407,'Tracking Sheet'!B2772,'Production '!$W$4:$W$4407)</f>
        <v>#DIV/0!</v>
      </c>
      <c r="H2772" s="76">
        <f ca="1">SUMIF('Production '!$C$4:$AI$4407,'Tracking Sheet'!B2772,'Production '!$F$4:$F$4407)</f>
        <v>3230621.3283604058</v>
      </c>
      <c r="I2772" s="76">
        <f ca="1">SUMIF('Production '!$C$4:$AI$4407,'Tracking Sheet'!B2772,'Production '!$V$4:$V$4407)</f>
        <v>-489.86487791182844</v>
      </c>
      <c r="J2772" s="76">
        <f ca="1">SUMIF('Production '!$C$4:$AI$4407,'Tracking Sheet'!B2772,'Production '!$AG$4:$AG$4407)</f>
        <v>0</v>
      </c>
    </row>
    <row r="2773" spans="2:10" x14ac:dyDescent="0.3">
      <c r="B2773" s="277">
        <f>'Production '!C2776</f>
        <v>0</v>
      </c>
      <c r="C2773" s="76" t="e">
        <f ca="1">SUMIF('Production '!$C$4:$AI$4407,'Tracking Sheet'!B2773,'Production '!$M$4:$M$4407)</f>
        <v>#DIV/0!</v>
      </c>
      <c r="D2773" s="76" t="e">
        <f ca="1">SUMIF('Production '!$C$4:$AI$4407,'Tracking Sheet'!B2773,'Production '!$Q$4:$Q$4407)</f>
        <v>#DIV/0!</v>
      </c>
      <c r="E2773" s="76">
        <f ca="1">SUMIF('Production '!$C$4:$AI$4407,'Tracking Sheet'!B2773,'Production '!$S$4:$S$4407)</f>
        <v>-1268218.9828305368</v>
      </c>
      <c r="F2773" s="76">
        <f ca="1">SUMIF('Production '!$C$4:$AI$4407,'Tracking Sheet'!B2773,'Production '!$U$4:$U$4407)</f>
        <v>-10620.435600016917</v>
      </c>
      <c r="G2773" s="76" t="e">
        <f ca="1">SUMIF('Production '!$C$4:$AI$4407,'Tracking Sheet'!B2773,'Production '!$W$4:$W$4407)</f>
        <v>#DIV/0!</v>
      </c>
      <c r="H2773" s="76">
        <f ca="1">SUMIF('Production '!$C$4:$AI$4407,'Tracking Sheet'!B2773,'Production '!$F$4:$F$4407)</f>
        <v>3230621.3283604058</v>
      </c>
      <c r="I2773" s="76">
        <f ca="1">SUMIF('Production '!$C$4:$AI$4407,'Tracking Sheet'!B2773,'Production '!$V$4:$V$4407)</f>
        <v>-489.86487791182844</v>
      </c>
      <c r="J2773" s="76">
        <f ca="1">SUMIF('Production '!$C$4:$AI$4407,'Tracking Sheet'!B2773,'Production '!$AG$4:$AG$4407)</f>
        <v>0</v>
      </c>
    </row>
    <row r="2774" spans="2:10" x14ac:dyDescent="0.3">
      <c r="B2774" s="277">
        <f>'Production '!C2777</f>
        <v>0</v>
      </c>
      <c r="C2774" s="76" t="e">
        <f ca="1">SUMIF('Production '!$C$4:$AI$4407,'Tracking Sheet'!B2774,'Production '!$M$4:$M$4407)</f>
        <v>#DIV/0!</v>
      </c>
      <c r="D2774" s="76" t="e">
        <f ca="1">SUMIF('Production '!$C$4:$AI$4407,'Tracking Sheet'!B2774,'Production '!$Q$4:$Q$4407)</f>
        <v>#DIV/0!</v>
      </c>
      <c r="E2774" s="76">
        <f ca="1">SUMIF('Production '!$C$4:$AI$4407,'Tracking Sheet'!B2774,'Production '!$S$4:$S$4407)</f>
        <v>-1268218.9828305368</v>
      </c>
      <c r="F2774" s="76">
        <f ca="1">SUMIF('Production '!$C$4:$AI$4407,'Tracking Sheet'!B2774,'Production '!$U$4:$U$4407)</f>
        <v>-10620.435600016917</v>
      </c>
      <c r="G2774" s="76" t="e">
        <f ca="1">SUMIF('Production '!$C$4:$AI$4407,'Tracking Sheet'!B2774,'Production '!$W$4:$W$4407)</f>
        <v>#DIV/0!</v>
      </c>
      <c r="H2774" s="76">
        <f ca="1">SUMIF('Production '!$C$4:$AI$4407,'Tracking Sheet'!B2774,'Production '!$F$4:$F$4407)</f>
        <v>3230621.3283604058</v>
      </c>
      <c r="I2774" s="76">
        <f ca="1">SUMIF('Production '!$C$4:$AI$4407,'Tracking Sheet'!B2774,'Production '!$V$4:$V$4407)</f>
        <v>-489.86487791182844</v>
      </c>
      <c r="J2774" s="76">
        <f ca="1">SUMIF('Production '!$C$4:$AI$4407,'Tracking Sheet'!B2774,'Production '!$AG$4:$AG$4407)</f>
        <v>0</v>
      </c>
    </row>
    <row r="2775" spans="2:10" x14ac:dyDescent="0.3">
      <c r="B2775" s="277">
        <f>'Production '!C2778</f>
        <v>0</v>
      </c>
      <c r="C2775" s="76" t="e">
        <f ca="1">SUMIF('Production '!$C$4:$AI$4407,'Tracking Sheet'!B2775,'Production '!$M$4:$M$4407)</f>
        <v>#DIV/0!</v>
      </c>
      <c r="D2775" s="76" t="e">
        <f ca="1">SUMIF('Production '!$C$4:$AI$4407,'Tracking Sheet'!B2775,'Production '!$Q$4:$Q$4407)</f>
        <v>#DIV/0!</v>
      </c>
      <c r="E2775" s="76">
        <f ca="1">SUMIF('Production '!$C$4:$AI$4407,'Tracking Sheet'!B2775,'Production '!$S$4:$S$4407)</f>
        <v>-1268218.9828305368</v>
      </c>
      <c r="F2775" s="76">
        <f ca="1">SUMIF('Production '!$C$4:$AI$4407,'Tracking Sheet'!B2775,'Production '!$U$4:$U$4407)</f>
        <v>-10620.435600016917</v>
      </c>
      <c r="G2775" s="76" t="e">
        <f ca="1">SUMIF('Production '!$C$4:$AI$4407,'Tracking Sheet'!B2775,'Production '!$W$4:$W$4407)</f>
        <v>#DIV/0!</v>
      </c>
      <c r="H2775" s="76">
        <f ca="1">SUMIF('Production '!$C$4:$AI$4407,'Tracking Sheet'!B2775,'Production '!$F$4:$F$4407)</f>
        <v>3230621.3283604058</v>
      </c>
      <c r="I2775" s="76">
        <f ca="1">SUMIF('Production '!$C$4:$AI$4407,'Tracking Sheet'!B2775,'Production '!$V$4:$V$4407)</f>
        <v>-489.86487791182844</v>
      </c>
      <c r="J2775" s="76">
        <f ca="1">SUMIF('Production '!$C$4:$AI$4407,'Tracking Sheet'!B2775,'Production '!$AG$4:$AG$4407)</f>
        <v>0</v>
      </c>
    </row>
    <row r="2776" spans="2:10" x14ac:dyDescent="0.3">
      <c r="B2776" s="277">
        <f>'Production '!C2779</f>
        <v>0</v>
      </c>
      <c r="C2776" s="76" t="e">
        <f ca="1">SUMIF('Production '!$C$4:$AI$4407,'Tracking Sheet'!B2776,'Production '!$M$4:$M$4407)</f>
        <v>#DIV/0!</v>
      </c>
      <c r="D2776" s="76" t="e">
        <f ca="1">SUMIF('Production '!$C$4:$AI$4407,'Tracking Sheet'!B2776,'Production '!$Q$4:$Q$4407)</f>
        <v>#DIV/0!</v>
      </c>
      <c r="E2776" s="76">
        <f ca="1">SUMIF('Production '!$C$4:$AI$4407,'Tracking Sheet'!B2776,'Production '!$S$4:$S$4407)</f>
        <v>-1268218.9828305368</v>
      </c>
      <c r="F2776" s="76">
        <f ca="1">SUMIF('Production '!$C$4:$AI$4407,'Tracking Sheet'!B2776,'Production '!$U$4:$U$4407)</f>
        <v>-10620.435600016917</v>
      </c>
      <c r="G2776" s="76" t="e">
        <f ca="1">SUMIF('Production '!$C$4:$AI$4407,'Tracking Sheet'!B2776,'Production '!$W$4:$W$4407)</f>
        <v>#DIV/0!</v>
      </c>
      <c r="H2776" s="76">
        <f ca="1">SUMIF('Production '!$C$4:$AI$4407,'Tracking Sheet'!B2776,'Production '!$F$4:$F$4407)</f>
        <v>3230621.3283604058</v>
      </c>
      <c r="I2776" s="76">
        <f ca="1">SUMIF('Production '!$C$4:$AI$4407,'Tracking Sheet'!B2776,'Production '!$V$4:$V$4407)</f>
        <v>-489.86487791182844</v>
      </c>
      <c r="J2776" s="76">
        <f ca="1">SUMIF('Production '!$C$4:$AI$4407,'Tracking Sheet'!B2776,'Production '!$AG$4:$AG$4407)</f>
        <v>0</v>
      </c>
    </row>
    <row r="2777" spans="2:10" x14ac:dyDescent="0.3">
      <c r="B2777" s="277">
        <f>'Production '!C2780</f>
        <v>0</v>
      </c>
      <c r="C2777" s="76" t="e">
        <f ca="1">SUMIF('Production '!$C$4:$AI$4407,'Tracking Sheet'!B2777,'Production '!$M$4:$M$4407)</f>
        <v>#DIV/0!</v>
      </c>
      <c r="D2777" s="76" t="e">
        <f ca="1">SUMIF('Production '!$C$4:$AI$4407,'Tracking Sheet'!B2777,'Production '!$Q$4:$Q$4407)</f>
        <v>#DIV/0!</v>
      </c>
      <c r="E2777" s="76">
        <f ca="1">SUMIF('Production '!$C$4:$AI$4407,'Tracking Sheet'!B2777,'Production '!$S$4:$S$4407)</f>
        <v>-1268218.9828305368</v>
      </c>
      <c r="F2777" s="76">
        <f ca="1">SUMIF('Production '!$C$4:$AI$4407,'Tracking Sheet'!B2777,'Production '!$U$4:$U$4407)</f>
        <v>-10620.435600016917</v>
      </c>
      <c r="G2777" s="76" t="e">
        <f ca="1">SUMIF('Production '!$C$4:$AI$4407,'Tracking Sheet'!B2777,'Production '!$W$4:$W$4407)</f>
        <v>#DIV/0!</v>
      </c>
      <c r="H2777" s="76">
        <f ca="1">SUMIF('Production '!$C$4:$AI$4407,'Tracking Sheet'!B2777,'Production '!$F$4:$F$4407)</f>
        <v>3230621.3283604058</v>
      </c>
      <c r="I2777" s="76">
        <f ca="1">SUMIF('Production '!$C$4:$AI$4407,'Tracking Sheet'!B2777,'Production '!$V$4:$V$4407)</f>
        <v>-489.86487791182844</v>
      </c>
      <c r="J2777" s="76">
        <f ca="1">SUMIF('Production '!$C$4:$AI$4407,'Tracking Sheet'!B2777,'Production '!$AG$4:$AG$4407)</f>
        <v>0</v>
      </c>
    </row>
    <row r="2778" spans="2:10" x14ac:dyDescent="0.3">
      <c r="B2778" s="277">
        <f>'Production '!C2781</f>
        <v>0</v>
      </c>
      <c r="C2778" s="76" t="e">
        <f ca="1">SUMIF('Production '!$C$4:$AI$4407,'Tracking Sheet'!B2778,'Production '!$M$4:$M$4407)</f>
        <v>#DIV/0!</v>
      </c>
      <c r="D2778" s="76" t="e">
        <f ca="1">SUMIF('Production '!$C$4:$AI$4407,'Tracking Sheet'!B2778,'Production '!$Q$4:$Q$4407)</f>
        <v>#DIV/0!</v>
      </c>
      <c r="E2778" s="76">
        <f ca="1">SUMIF('Production '!$C$4:$AI$4407,'Tracking Sheet'!B2778,'Production '!$S$4:$S$4407)</f>
        <v>-1268218.9828305368</v>
      </c>
      <c r="F2778" s="76">
        <f ca="1">SUMIF('Production '!$C$4:$AI$4407,'Tracking Sheet'!B2778,'Production '!$U$4:$U$4407)</f>
        <v>-10620.435600016917</v>
      </c>
      <c r="G2778" s="76" t="e">
        <f ca="1">SUMIF('Production '!$C$4:$AI$4407,'Tracking Sheet'!B2778,'Production '!$W$4:$W$4407)</f>
        <v>#DIV/0!</v>
      </c>
      <c r="H2778" s="76">
        <f ca="1">SUMIF('Production '!$C$4:$AI$4407,'Tracking Sheet'!B2778,'Production '!$F$4:$F$4407)</f>
        <v>3230621.3283604058</v>
      </c>
      <c r="I2778" s="76">
        <f ca="1">SUMIF('Production '!$C$4:$AI$4407,'Tracking Sheet'!B2778,'Production '!$V$4:$V$4407)</f>
        <v>-489.86487791182844</v>
      </c>
      <c r="J2778" s="76">
        <f ca="1">SUMIF('Production '!$C$4:$AI$4407,'Tracking Sheet'!B2778,'Production '!$AG$4:$AG$4407)</f>
        <v>0</v>
      </c>
    </row>
    <row r="2779" spans="2:10" x14ac:dyDescent="0.3">
      <c r="B2779" s="277">
        <f>'Production '!C2782</f>
        <v>0</v>
      </c>
      <c r="C2779" s="76" t="e">
        <f ca="1">SUMIF('Production '!$C$4:$AI$4407,'Tracking Sheet'!B2779,'Production '!$M$4:$M$4407)</f>
        <v>#DIV/0!</v>
      </c>
      <c r="D2779" s="76" t="e">
        <f ca="1">SUMIF('Production '!$C$4:$AI$4407,'Tracking Sheet'!B2779,'Production '!$Q$4:$Q$4407)</f>
        <v>#DIV/0!</v>
      </c>
      <c r="E2779" s="76">
        <f ca="1">SUMIF('Production '!$C$4:$AI$4407,'Tracking Sheet'!B2779,'Production '!$S$4:$S$4407)</f>
        <v>-1268218.9828305368</v>
      </c>
      <c r="F2779" s="76">
        <f ca="1">SUMIF('Production '!$C$4:$AI$4407,'Tracking Sheet'!B2779,'Production '!$U$4:$U$4407)</f>
        <v>-10620.435600016917</v>
      </c>
      <c r="G2779" s="76" t="e">
        <f ca="1">SUMIF('Production '!$C$4:$AI$4407,'Tracking Sheet'!B2779,'Production '!$W$4:$W$4407)</f>
        <v>#DIV/0!</v>
      </c>
      <c r="H2779" s="76">
        <f ca="1">SUMIF('Production '!$C$4:$AI$4407,'Tracking Sheet'!B2779,'Production '!$F$4:$F$4407)</f>
        <v>3230621.3283604058</v>
      </c>
      <c r="I2779" s="76">
        <f ca="1">SUMIF('Production '!$C$4:$AI$4407,'Tracking Sheet'!B2779,'Production '!$V$4:$V$4407)</f>
        <v>-489.86487791182844</v>
      </c>
      <c r="J2779" s="76">
        <f ca="1">SUMIF('Production '!$C$4:$AI$4407,'Tracking Sheet'!B2779,'Production '!$AG$4:$AG$4407)</f>
        <v>0</v>
      </c>
    </row>
    <row r="2780" spans="2:10" x14ac:dyDescent="0.3">
      <c r="B2780" s="277">
        <f>'Production '!C2783</f>
        <v>0</v>
      </c>
      <c r="C2780" s="76" t="e">
        <f ca="1">SUMIF('Production '!$C$4:$AI$4407,'Tracking Sheet'!B2780,'Production '!$M$4:$M$4407)</f>
        <v>#DIV/0!</v>
      </c>
      <c r="D2780" s="76" t="e">
        <f ca="1">SUMIF('Production '!$C$4:$AI$4407,'Tracking Sheet'!B2780,'Production '!$Q$4:$Q$4407)</f>
        <v>#DIV/0!</v>
      </c>
      <c r="E2780" s="76">
        <f ca="1">SUMIF('Production '!$C$4:$AI$4407,'Tracking Sheet'!B2780,'Production '!$S$4:$S$4407)</f>
        <v>-1268218.9828305368</v>
      </c>
      <c r="F2780" s="76">
        <f ca="1">SUMIF('Production '!$C$4:$AI$4407,'Tracking Sheet'!B2780,'Production '!$U$4:$U$4407)</f>
        <v>-10620.435600016917</v>
      </c>
      <c r="G2780" s="76" t="e">
        <f ca="1">SUMIF('Production '!$C$4:$AI$4407,'Tracking Sheet'!B2780,'Production '!$W$4:$W$4407)</f>
        <v>#DIV/0!</v>
      </c>
      <c r="H2780" s="76">
        <f ca="1">SUMIF('Production '!$C$4:$AI$4407,'Tracking Sheet'!B2780,'Production '!$F$4:$F$4407)</f>
        <v>3230621.3283604058</v>
      </c>
      <c r="I2780" s="76">
        <f ca="1">SUMIF('Production '!$C$4:$AI$4407,'Tracking Sheet'!B2780,'Production '!$V$4:$V$4407)</f>
        <v>-489.86487791182844</v>
      </c>
      <c r="J2780" s="76">
        <f ca="1">SUMIF('Production '!$C$4:$AI$4407,'Tracking Sheet'!B2780,'Production '!$AG$4:$AG$4407)</f>
        <v>0</v>
      </c>
    </row>
    <row r="2781" spans="2:10" x14ac:dyDescent="0.3">
      <c r="B2781" s="277">
        <f>'Production '!C2784</f>
        <v>0</v>
      </c>
      <c r="C2781" s="76" t="e">
        <f ca="1">SUMIF('Production '!$C$4:$AI$4407,'Tracking Sheet'!B2781,'Production '!$M$4:$M$4407)</f>
        <v>#DIV/0!</v>
      </c>
      <c r="D2781" s="76" t="e">
        <f ca="1">SUMIF('Production '!$C$4:$AI$4407,'Tracking Sheet'!B2781,'Production '!$Q$4:$Q$4407)</f>
        <v>#DIV/0!</v>
      </c>
      <c r="E2781" s="76">
        <f ca="1">SUMIF('Production '!$C$4:$AI$4407,'Tracking Sheet'!B2781,'Production '!$S$4:$S$4407)</f>
        <v>-1268218.9828305368</v>
      </c>
      <c r="F2781" s="76">
        <f ca="1">SUMIF('Production '!$C$4:$AI$4407,'Tracking Sheet'!B2781,'Production '!$U$4:$U$4407)</f>
        <v>-10620.435600016917</v>
      </c>
      <c r="G2781" s="76" t="e">
        <f ca="1">SUMIF('Production '!$C$4:$AI$4407,'Tracking Sheet'!B2781,'Production '!$W$4:$W$4407)</f>
        <v>#DIV/0!</v>
      </c>
      <c r="H2781" s="76">
        <f ca="1">SUMIF('Production '!$C$4:$AI$4407,'Tracking Sheet'!B2781,'Production '!$F$4:$F$4407)</f>
        <v>3230621.3283604058</v>
      </c>
      <c r="I2781" s="76">
        <f ca="1">SUMIF('Production '!$C$4:$AI$4407,'Tracking Sheet'!B2781,'Production '!$V$4:$V$4407)</f>
        <v>-489.86487791182844</v>
      </c>
      <c r="J2781" s="76">
        <f ca="1">SUMIF('Production '!$C$4:$AI$4407,'Tracking Sheet'!B2781,'Production '!$AG$4:$AG$4407)</f>
        <v>0</v>
      </c>
    </row>
    <row r="2782" spans="2:10" x14ac:dyDescent="0.3">
      <c r="B2782" s="277">
        <f>'Production '!C2785</f>
        <v>0</v>
      </c>
      <c r="C2782" s="76" t="e">
        <f ca="1">SUMIF('Production '!$C$4:$AI$4407,'Tracking Sheet'!B2782,'Production '!$M$4:$M$4407)</f>
        <v>#DIV/0!</v>
      </c>
      <c r="D2782" s="76" t="e">
        <f ca="1">SUMIF('Production '!$C$4:$AI$4407,'Tracking Sheet'!B2782,'Production '!$Q$4:$Q$4407)</f>
        <v>#DIV/0!</v>
      </c>
      <c r="E2782" s="76">
        <f ca="1">SUMIF('Production '!$C$4:$AI$4407,'Tracking Sheet'!B2782,'Production '!$S$4:$S$4407)</f>
        <v>-1268218.9828305368</v>
      </c>
      <c r="F2782" s="76">
        <f ca="1">SUMIF('Production '!$C$4:$AI$4407,'Tracking Sheet'!B2782,'Production '!$U$4:$U$4407)</f>
        <v>-10620.435600016917</v>
      </c>
      <c r="G2782" s="76" t="e">
        <f ca="1">SUMIF('Production '!$C$4:$AI$4407,'Tracking Sheet'!B2782,'Production '!$W$4:$W$4407)</f>
        <v>#DIV/0!</v>
      </c>
      <c r="H2782" s="76">
        <f ca="1">SUMIF('Production '!$C$4:$AI$4407,'Tracking Sheet'!B2782,'Production '!$F$4:$F$4407)</f>
        <v>3230621.3283604058</v>
      </c>
      <c r="I2782" s="76">
        <f ca="1">SUMIF('Production '!$C$4:$AI$4407,'Tracking Sheet'!B2782,'Production '!$V$4:$V$4407)</f>
        <v>-489.86487791182844</v>
      </c>
      <c r="J2782" s="76">
        <f ca="1">SUMIF('Production '!$C$4:$AI$4407,'Tracking Sheet'!B2782,'Production '!$AG$4:$AG$4407)</f>
        <v>0</v>
      </c>
    </row>
    <row r="2783" spans="2:10" x14ac:dyDescent="0.3">
      <c r="B2783" s="277">
        <f>'Production '!C2786</f>
        <v>0</v>
      </c>
      <c r="C2783" s="76" t="e">
        <f ca="1">SUMIF('Production '!$C$4:$AI$4407,'Tracking Sheet'!B2783,'Production '!$M$4:$M$4407)</f>
        <v>#DIV/0!</v>
      </c>
      <c r="D2783" s="76" t="e">
        <f ca="1">SUMIF('Production '!$C$4:$AI$4407,'Tracking Sheet'!B2783,'Production '!$Q$4:$Q$4407)</f>
        <v>#DIV/0!</v>
      </c>
      <c r="E2783" s="76">
        <f ca="1">SUMIF('Production '!$C$4:$AI$4407,'Tracking Sheet'!B2783,'Production '!$S$4:$S$4407)</f>
        <v>-1268218.9828305368</v>
      </c>
      <c r="F2783" s="76">
        <f ca="1">SUMIF('Production '!$C$4:$AI$4407,'Tracking Sheet'!B2783,'Production '!$U$4:$U$4407)</f>
        <v>-10620.435600016917</v>
      </c>
      <c r="G2783" s="76" t="e">
        <f ca="1">SUMIF('Production '!$C$4:$AI$4407,'Tracking Sheet'!B2783,'Production '!$W$4:$W$4407)</f>
        <v>#DIV/0!</v>
      </c>
      <c r="H2783" s="76">
        <f ca="1">SUMIF('Production '!$C$4:$AI$4407,'Tracking Sheet'!B2783,'Production '!$F$4:$F$4407)</f>
        <v>3230621.3283604058</v>
      </c>
      <c r="I2783" s="76">
        <f ca="1">SUMIF('Production '!$C$4:$AI$4407,'Tracking Sheet'!B2783,'Production '!$V$4:$V$4407)</f>
        <v>-489.86487791182844</v>
      </c>
      <c r="J2783" s="76">
        <f ca="1">SUMIF('Production '!$C$4:$AI$4407,'Tracking Sheet'!B2783,'Production '!$AG$4:$AG$4407)</f>
        <v>0</v>
      </c>
    </row>
    <row r="2784" spans="2:10" x14ac:dyDescent="0.3">
      <c r="B2784" s="277">
        <f>'Production '!C2787</f>
        <v>0</v>
      </c>
      <c r="C2784" s="76" t="e">
        <f ca="1">SUMIF('Production '!$C$4:$AI$4407,'Tracking Sheet'!B2784,'Production '!$M$4:$M$4407)</f>
        <v>#DIV/0!</v>
      </c>
      <c r="D2784" s="76" t="e">
        <f ca="1">SUMIF('Production '!$C$4:$AI$4407,'Tracking Sheet'!B2784,'Production '!$Q$4:$Q$4407)</f>
        <v>#DIV/0!</v>
      </c>
      <c r="E2784" s="76">
        <f ca="1">SUMIF('Production '!$C$4:$AI$4407,'Tracking Sheet'!B2784,'Production '!$S$4:$S$4407)</f>
        <v>-1268218.9828305368</v>
      </c>
      <c r="F2784" s="76">
        <f ca="1">SUMIF('Production '!$C$4:$AI$4407,'Tracking Sheet'!B2784,'Production '!$U$4:$U$4407)</f>
        <v>-10620.435600016917</v>
      </c>
      <c r="G2784" s="76" t="e">
        <f ca="1">SUMIF('Production '!$C$4:$AI$4407,'Tracking Sheet'!B2784,'Production '!$W$4:$W$4407)</f>
        <v>#DIV/0!</v>
      </c>
      <c r="H2784" s="76">
        <f ca="1">SUMIF('Production '!$C$4:$AI$4407,'Tracking Sheet'!B2784,'Production '!$F$4:$F$4407)</f>
        <v>3230621.3283604058</v>
      </c>
      <c r="I2784" s="76">
        <f ca="1">SUMIF('Production '!$C$4:$AI$4407,'Tracking Sheet'!B2784,'Production '!$V$4:$V$4407)</f>
        <v>-489.86487791182844</v>
      </c>
      <c r="J2784" s="76">
        <f ca="1">SUMIF('Production '!$C$4:$AI$4407,'Tracking Sheet'!B2784,'Production '!$AG$4:$AG$4407)</f>
        <v>0</v>
      </c>
    </row>
    <row r="2785" spans="2:10" x14ac:dyDescent="0.3">
      <c r="B2785" s="277">
        <f>'Production '!C2788</f>
        <v>0</v>
      </c>
      <c r="C2785" s="76" t="e">
        <f ca="1">SUMIF('Production '!$C$4:$AI$4407,'Tracking Sheet'!B2785,'Production '!$M$4:$M$4407)</f>
        <v>#DIV/0!</v>
      </c>
      <c r="D2785" s="76" t="e">
        <f ca="1">SUMIF('Production '!$C$4:$AI$4407,'Tracking Sheet'!B2785,'Production '!$Q$4:$Q$4407)</f>
        <v>#DIV/0!</v>
      </c>
      <c r="E2785" s="76">
        <f ca="1">SUMIF('Production '!$C$4:$AI$4407,'Tracking Sheet'!B2785,'Production '!$S$4:$S$4407)</f>
        <v>-1268218.9828305368</v>
      </c>
      <c r="F2785" s="76">
        <f ca="1">SUMIF('Production '!$C$4:$AI$4407,'Tracking Sheet'!B2785,'Production '!$U$4:$U$4407)</f>
        <v>-10620.435600016917</v>
      </c>
      <c r="G2785" s="76" t="e">
        <f ca="1">SUMIF('Production '!$C$4:$AI$4407,'Tracking Sheet'!B2785,'Production '!$W$4:$W$4407)</f>
        <v>#DIV/0!</v>
      </c>
      <c r="H2785" s="76">
        <f ca="1">SUMIF('Production '!$C$4:$AI$4407,'Tracking Sheet'!B2785,'Production '!$F$4:$F$4407)</f>
        <v>3230621.3283604058</v>
      </c>
      <c r="I2785" s="76">
        <f ca="1">SUMIF('Production '!$C$4:$AI$4407,'Tracking Sheet'!B2785,'Production '!$V$4:$V$4407)</f>
        <v>-489.86487791182844</v>
      </c>
      <c r="J2785" s="76">
        <f ca="1">SUMIF('Production '!$C$4:$AI$4407,'Tracking Sheet'!B2785,'Production '!$AG$4:$AG$4407)</f>
        <v>0</v>
      </c>
    </row>
    <row r="2786" spans="2:10" x14ac:dyDescent="0.3">
      <c r="B2786" s="277">
        <f>'Production '!C2789</f>
        <v>0</v>
      </c>
      <c r="C2786" s="76" t="e">
        <f ca="1">SUMIF('Production '!$C$4:$AI$4407,'Tracking Sheet'!B2786,'Production '!$M$4:$M$4407)</f>
        <v>#DIV/0!</v>
      </c>
      <c r="D2786" s="76" t="e">
        <f ca="1">SUMIF('Production '!$C$4:$AI$4407,'Tracking Sheet'!B2786,'Production '!$Q$4:$Q$4407)</f>
        <v>#DIV/0!</v>
      </c>
      <c r="E2786" s="76">
        <f ca="1">SUMIF('Production '!$C$4:$AI$4407,'Tracking Sheet'!B2786,'Production '!$S$4:$S$4407)</f>
        <v>-1268218.9828305368</v>
      </c>
      <c r="F2786" s="76">
        <f ca="1">SUMIF('Production '!$C$4:$AI$4407,'Tracking Sheet'!B2786,'Production '!$U$4:$U$4407)</f>
        <v>-10620.435600016917</v>
      </c>
      <c r="G2786" s="76" t="e">
        <f ca="1">SUMIF('Production '!$C$4:$AI$4407,'Tracking Sheet'!B2786,'Production '!$W$4:$W$4407)</f>
        <v>#DIV/0!</v>
      </c>
      <c r="H2786" s="76">
        <f ca="1">SUMIF('Production '!$C$4:$AI$4407,'Tracking Sheet'!B2786,'Production '!$F$4:$F$4407)</f>
        <v>3230621.3283604058</v>
      </c>
      <c r="I2786" s="76">
        <f ca="1">SUMIF('Production '!$C$4:$AI$4407,'Tracking Sheet'!B2786,'Production '!$V$4:$V$4407)</f>
        <v>-489.86487791182844</v>
      </c>
      <c r="J2786" s="76">
        <f ca="1">SUMIF('Production '!$C$4:$AI$4407,'Tracking Sheet'!B2786,'Production '!$AG$4:$AG$4407)</f>
        <v>0</v>
      </c>
    </row>
    <row r="2787" spans="2:10" x14ac:dyDescent="0.3">
      <c r="B2787" s="277">
        <f>'Production '!C2790</f>
        <v>0</v>
      </c>
      <c r="C2787" s="76" t="e">
        <f ca="1">SUMIF('Production '!$C$4:$AI$4407,'Tracking Sheet'!B2787,'Production '!$M$4:$M$4407)</f>
        <v>#DIV/0!</v>
      </c>
      <c r="D2787" s="76" t="e">
        <f ca="1">SUMIF('Production '!$C$4:$AI$4407,'Tracking Sheet'!B2787,'Production '!$Q$4:$Q$4407)</f>
        <v>#DIV/0!</v>
      </c>
      <c r="E2787" s="76">
        <f ca="1">SUMIF('Production '!$C$4:$AI$4407,'Tracking Sheet'!B2787,'Production '!$S$4:$S$4407)</f>
        <v>-1268218.9828305368</v>
      </c>
      <c r="F2787" s="76">
        <f ca="1">SUMIF('Production '!$C$4:$AI$4407,'Tracking Sheet'!B2787,'Production '!$U$4:$U$4407)</f>
        <v>-10620.435600016917</v>
      </c>
      <c r="G2787" s="76" t="e">
        <f ca="1">SUMIF('Production '!$C$4:$AI$4407,'Tracking Sheet'!B2787,'Production '!$W$4:$W$4407)</f>
        <v>#DIV/0!</v>
      </c>
      <c r="H2787" s="76">
        <f ca="1">SUMIF('Production '!$C$4:$AI$4407,'Tracking Sheet'!B2787,'Production '!$F$4:$F$4407)</f>
        <v>3230621.3283604058</v>
      </c>
      <c r="I2787" s="76">
        <f ca="1">SUMIF('Production '!$C$4:$AI$4407,'Tracking Sheet'!B2787,'Production '!$V$4:$V$4407)</f>
        <v>-489.86487791182844</v>
      </c>
      <c r="J2787" s="76">
        <f ca="1">SUMIF('Production '!$C$4:$AI$4407,'Tracking Sheet'!B2787,'Production '!$AG$4:$AG$4407)</f>
        <v>0</v>
      </c>
    </row>
    <row r="2788" spans="2:10" x14ac:dyDescent="0.3">
      <c r="B2788" s="277">
        <f>'Production '!C2791</f>
        <v>0</v>
      </c>
      <c r="C2788" s="76" t="e">
        <f ca="1">SUMIF('Production '!$C$4:$AI$4407,'Tracking Sheet'!B2788,'Production '!$M$4:$M$4407)</f>
        <v>#DIV/0!</v>
      </c>
      <c r="D2788" s="76" t="e">
        <f ca="1">SUMIF('Production '!$C$4:$AI$4407,'Tracking Sheet'!B2788,'Production '!$Q$4:$Q$4407)</f>
        <v>#DIV/0!</v>
      </c>
      <c r="E2788" s="76">
        <f ca="1">SUMIF('Production '!$C$4:$AI$4407,'Tracking Sheet'!B2788,'Production '!$S$4:$S$4407)</f>
        <v>-1268218.9828305368</v>
      </c>
      <c r="F2788" s="76">
        <f ca="1">SUMIF('Production '!$C$4:$AI$4407,'Tracking Sheet'!B2788,'Production '!$U$4:$U$4407)</f>
        <v>-10620.435600016917</v>
      </c>
      <c r="G2788" s="76" t="e">
        <f ca="1">SUMIF('Production '!$C$4:$AI$4407,'Tracking Sheet'!B2788,'Production '!$W$4:$W$4407)</f>
        <v>#DIV/0!</v>
      </c>
      <c r="H2788" s="76">
        <f ca="1">SUMIF('Production '!$C$4:$AI$4407,'Tracking Sheet'!B2788,'Production '!$F$4:$F$4407)</f>
        <v>3230621.3283604058</v>
      </c>
      <c r="I2788" s="76">
        <f ca="1">SUMIF('Production '!$C$4:$AI$4407,'Tracking Sheet'!B2788,'Production '!$V$4:$V$4407)</f>
        <v>-489.86487791182844</v>
      </c>
      <c r="J2788" s="76">
        <f ca="1">SUMIF('Production '!$C$4:$AI$4407,'Tracking Sheet'!B2788,'Production '!$AG$4:$AG$4407)</f>
        <v>0</v>
      </c>
    </row>
    <row r="2789" spans="2:10" x14ac:dyDescent="0.3">
      <c r="B2789" s="277">
        <f>'Production '!C2792</f>
        <v>0</v>
      </c>
      <c r="C2789" s="76" t="e">
        <f ca="1">SUMIF('Production '!$C$4:$AI$4407,'Tracking Sheet'!B2789,'Production '!$M$4:$M$4407)</f>
        <v>#DIV/0!</v>
      </c>
      <c r="D2789" s="76" t="e">
        <f ca="1">SUMIF('Production '!$C$4:$AI$4407,'Tracking Sheet'!B2789,'Production '!$Q$4:$Q$4407)</f>
        <v>#DIV/0!</v>
      </c>
      <c r="E2789" s="76">
        <f ca="1">SUMIF('Production '!$C$4:$AI$4407,'Tracking Sheet'!B2789,'Production '!$S$4:$S$4407)</f>
        <v>-1268218.9828305368</v>
      </c>
      <c r="F2789" s="76">
        <f ca="1">SUMIF('Production '!$C$4:$AI$4407,'Tracking Sheet'!B2789,'Production '!$U$4:$U$4407)</f>
        <v>-10620.435600016917</v>
      </c>
      <c r="G2789" s="76" t="e">
        <f ca="1">SUMIF('Production '!$C$4:$AI$4407,'Tracking Sheet'!B2789,'Production '!$W$4:$W$4407)</f>
        <v>#DIV/0!</v>
      </c>
      <c r="H2789" s="76">
        <f ca="1">SUMIF('Production '!$C$4:$AI$4407,'Tracking Sheet'!B2789,'Production '!$F$4:$F$4407)</f>
        <v>3230621.3283604058</v>
      </c>
      <c r="I2789" s="76">
        <f ca="1">SUMIF('Production '!$C$4:$AI$4407,'Tracking Sheet'!B2789,'Production '!$V$4:$V$4407)</f>
        <v>-489.86487791182844</v>
      </c>
      <c r="J2789" s="76">
        <f ca="1">SUMIF('Production '!$C$4:$AI$4407,'Tracking Sheet'!B2789,'Production '!$AG$4:$AG$4407)</f>
        <v>0</v>
      </c>
    </row>
    <row r="2790" spans="2:10" x14ac:dyDescent="0.3">
      <c r="B2790" s="277">
        <f>'Production '!C2793</f>
        <v>0</v>
      </c>
      <c r="C2790" s="76" t="e">
        <f ca="1">SUMIF('Production '!$C$4:$AI$4407,'Tracking Sheet'!B2790,'Production '!$M$4:$M$4407)</f>
        <v>#DIV/0!</v>
      </c>
      <c r="D2790" s="76" t="e">
        <f ca="1">SUMIF('Production '!$C$4:$AI$4407,'Tracking Sheet'!B2790,'Production '!$Q$4:$Q$4407)</f>
        <v>#DIV/0!</v>
      </c>
      <c r="E2790" s="76">
        <f ca="1">SUMIF('Production '!$C$4:$AI$4407,'Tracking Sheet'!B2790,'Production '!$S$4:$S$4407)</f>
        <v>-1268218.9828305368</v>
      </c>
      <c r="F2790" s="76">
        <f ca="1">SUMIF('Production '!$C$4:$AI$4407,'Tracking Sheet'!B2790,'Production '!$U$4:$U$4407)</f>
        <v>-10620.435600016917</v>
      </c>
      <c r="G2790" s="76" t="e">
        <f ca="1">SUMIF('Production '!$C$4:$AI$4407,'Tracking Sheet'!B2790,'Production '!$W$4:$W$4407)</f>
        <v>#DIV/0!</v>
      </c>
      <c r="H2790" s="76">
        <f ca="1">SUMIF('Production '!$C$4:$AI$4407,'Tracking Sheet'!B2790,'Production '!$F$4:$F$4407)</f>
        <v>3230621.3283604058</v>
      </c>
      <c r="I2790" s="76">
        <f ca="1">SUMIF('Production '!$C$4:$AI$4407,'Tracking Sheet'!B2790,'Production '!$V$4:$V$4407)</f>
        <v>-489.86487791182844</v>
      </c>
      <c r="J2790" s="76">
        <f ca="1">SUMIF('Production '!$C$4:$AI$4407,'Tracking Sheet'!B2790,'Production '!$AG$4:$AG$4407)</f>
        <v>0</v>
      </c>
    </row>
    <row r="2791" spans="2:10" x14ac:dyDescent="0.3">
      <c r="B2791" s="277">
        <f>'Production '!C2794</f>
        <v>0</v>
      </c>
      <c r="C2791" s="76" t="e">
        <f ca="1">SUMIF('Production '!$C$4:$AI$4407,'Tracking Sheet'!B2791,'Production '!$M$4:$M$4407)</f>
        <v>#DIV/0!</v>
      </c>
      <c r="D2791" s="76" t="e">
        <f ca="1">SUMIF('Production '!$C$4:$AI$4407,'Tracking Sheet'!B2791,'Production '!$Q$4:$Q$4407)</f>
        <v>#DIV/0!</v>
      </c>
      <c r="E2791" s="76">
        <f ca="1">SUMIF('Production '!$C$4:$AI$4407,'Tracking Sheet'!B2791,'Production '!$S$4:$S$4407)</f>
        <v>-1268218.9828305368</v>
      </c>
      <c r="F2791" s="76">
        <f ca="1">SUMIF('Production '!$C$4:$AI$4407,'Tracking Sheet'!B2791,'Production '!$U$4:$U$4407)</f>
        <v>-10620.435600016917</v>
      </c>
      <c r="G2791" s="76" t="e">
        <f ca="1">SUMIF('Production '!$C$4:$AI$4407,'Tracking Sheet'!B2791,'Production '!$W$4:$W$4407)</f>
        <v>#DIV/0!</v>
      </c>
      <c r="H2791" s="76">
        <f ca="1">SUMIF('Production '!$C$4:$AI$4407,'Tracking Sheet'!B2791,'Production '!$F$4:$F$4407)</f>
        <v>3230621.3283604058</v>
      </c>
      <c r="I2791" s="76">
        <f ca="1">SUMIF('Production '!$C$4:$AI$4407,'Tracking Sheet'!B2791,'Production '!$V$4:$V$4407)</f>
        <v>-489.86487791182844</v>
      </c>
      <c r="J2791" s="76">
        <f ca="1">SUMIF('Production '!$C$4:$AI$4407,'Tracking Sheet'!B2791,'Production '!$AG$4:$AG$4407)</f>
        <v>0</v>
      </c>
    </row>
    <row r="2792" spans="2:10" x14ac:dyDescent="0.3">
      <c r="B2792" s="277">
        <f>'Production '!C2795</f>
        <v>0</v>
      </c>
      <c r="C2792" s="76" t="e">
        <f ca="1">SUMIF('Production '!$C$4:$AI$4407,'Tracking Sheet'!B2792,'Production '!$M$4:$M$4407)</f>
        <v>#DIV/0!</v>
      </c>
      <c r="D2792" s="76" t="e">
        <f ca="1">SUMIF('Production '!$C$4:$AI$4407,'Tracking Sheet'!B2792,'Production '!$Q$4:$Q$4407)</f>
        <v>#DIV/0!</v>
      </c>
      <c r="E2792" s="76">
        <f ca="1">SUMIF('Production '!$C$4:$AI$4407,'Tracking Sheet'!B2792,'Production '!$S$4:$S$4407)</f>
        <v>-1268218.9828305368</v>
      </c>
      <c r="F2792" s="76">
        <f ca="1">SUMIF('Production '!$C$4:$AI$4407,'Tracking Sheet'!B2792,'Production '!$U$4:$U$4407)</f>
        <v>-10620.435600016917</v>
      </c>
      <c r="G2792" s="76" t="e">
        <f ca="1">SUMIF('Production '!$C$4:$AI$4407,'Tracking Sheet'!B2792,'Production '!$W$4:$W$4407)</f>
        <v>#DIV/0!</v>
      </c>
      <c r="H2792" s="76">
        <f ca="1">SUMIF('Production '!$C$4:$AI$4407,'Tracking Sheet'!B2792,'Production '!$F$4:$F$4407)</f>
        <v>3230621.3283604058</v>
      </c>
      <c r="I2792" s="76">
        <f ca="1">SUMIF('Production '!$C$4:$AI$4407,'Tracking Sheet'!B2792,'Production '!$V$4:$V$4407)</f>
        <v>-489.86487791182844</v>
      </c>
      <c r="J2792" s="76">
        <f ca="1">SUMIF('Production '!$C$4:$AI$4407,'Tracking Sheet'!B2792,'Production '!$AG$4:$AG$4407)</f>
        <v>0</v>
      </c>
    </row>
    <row r="2793" spans="2:10" x14ac:dyDescent="0.3">
      <c r="B2793" s="277">
        <f>'Production '!C2796</f>
        <v>0</v>
      </c>
      <c r="C2793" s="76" t="e">
        <f ca="1">SUMIF('Production '!$C$4:$AI$4407,'Tracking Sheet'!B2793,'Production '!$M$4:$M$4407)</f>
        <v>#DIV/0!</v>
      </c>
      <c r="D2793" s="76" t="e">
        <f ca="1">SUMIF('Production '!$C$4:$AI$4407,'Tracking Sheet'!B2793,'Production '!$Q$4:$Q$4407)</f>
        <v>#DIV/0!</v>
      </c>
      <c r="E2793" s="76">
        <f ca="1">SUMIF('Production '!$C$4:$AI$4407,'Tracking Sheet'!B2793,'Production '!$S$4:$S$4407)</f>
        <v>-1268218.9828305368</v>
      </c>
      <c r="F2793" s="76">
        <f ca="1">SUMIF('Production '!$C$4:$AI$4407,'Tracking Sheet'!B2793,'Production '!$U$4:$U$4407)</f>
        <v>-10620.435600016917</v>
      </c>
      <c r="G2793" s="76" t="e">
        <f ca="1">SUMIF('Production '!$C$4:$AI$4407,'Tracking Sheet'!B2793,'Production '!$W$4:$W$4407)</f>
        <v>#DIV/0!</v>
      </c>
      <c r="H2793" s="76">
        <f ca="1">SUMIF('Production '!$C$4:$AI$4407,'Tracking Sheet'!B2793,'Production '!$F$4:$F$4407)</f>
        <v>3230621.3283604058</v>
      </c>
      <c r="I2793" s="76">
        <f ca="1">SUMIF('Production '!$C$4:$AI$4407,'Tracking Sheet'!B2793,'Production '!$V$4:$V$4407)</f>
        <v>-489.86487791182844</v>
      </c>
      <c r="J2793" s="76">
        <f ca="1">SUMIF('Production '!$C$4:$AI$4407,'Tracking Sheet'!B2793,'Production '!$AG$4:$AG$4407)</f>
        <v>0</v>
      </c>
    </row>
    <row r="2794" spans="2:10" x14ac:dyDescent="0.3">
      <c r="B2794" s="277">
        <f>'Production '!C2797</f>
        <v>0</v>
      </c>
      <c r="C2794" s="76" t="e">
        <f ca="1">SUMIF('Production '!$C$4:$AI$4407,'Tracking Sheet'!B2794,'Production '!$M$4:$M$4407)</f>
        <v>#DIV/0!</v>
      </c>
      <c r="D2794" s="76" t="e">
        <f ca="1">SUMIF('Production '!$C$4:$AI$4407,'Tracking Sheet'!B2794,'Production '!$Q$4:$Q$4407)</f>
        <v>#DIV/0!</v>
      </c>
      <c r="E2794" s="76">
        <f ca="1">SUMIF('Production '!$C$4:$AI$4407,'Tracking Sheet'!B2794,'Production '!$S$4:$S$4407)</f>
        <v>-1268218.9828305368</v>
      </c>
      <c r="F2794" s="76">
        <f ca="1">SUMIF('Production '!$C$4:$AI$4407,'Tracking Sheet'!B2794,'Production '!$U$4:$U$4407)</f>
        <v>-10620.435600016917</v>
      </c>
      <c r="G2794" s="76" t="e">
        <f ca="1">SUMIF('Production '!$C$4:$AI$4407,'Tracking Sheet'!B2794,'Production '!$W$4:$W$4407)</f>
        <v>#DIV/0!</v>
      </c>
      <c r="H2794" s="76">
        <f ca="1">SUMIF('Production '!$C$4:$AI$4407,'Tracking Sheet'!B2794,'Production '!$F$4:$F$4407)</f>
        <v>3230621.3283604058</v>
      </c>
      <c r="I2794" s="76">
        <f ca="1">SUMIF('Production '!$C$4:$AI$4407,'Tracking Sheet'!B2794,'Production '!$V$4:$V$4407)</f>
        <v>-489.86487791182844</v>
      </c>
      <c r="J2794" s="76">
        <f ca="1">SUMIF('Production '!$C$4:$AI$4407,'Tracking Sheet'!B2794,'Production '!$AG$4:$AG$4407)</f>
        <v>0</v>
      </c>
    </row>
    <row r="2795" spans="2:10" x14ac:dyDescent="0.3">
      <c r="B2795" s="277">
        <f>'Production '!C2798</f>
        <v>0</v>
      </c>
      <c r="C2795" s="76" t="e">
        <f ca="1">SUMIF('Production '!$C$4:$AI$4407,'Tracking Sheet'!B2795,'Production '!$M$4:$M$4407)</f>
        <v>#DIV/0!</v>
      </c>
      <c r="D2795" s="76" t="e">
        <f ca="1">SUMIF('Production '!$C$4:$AI$4407,'Tracking Sheet'!B2795,'Production '!$Q$4:$Q$4407)</f>
        <v>#DIV/0!</v>
      </c>
      <c r="E2795" s="76">
        <f ca="1">SUMIF('Production '!$C$4:$AI$4407,'Tracking Sheet'!B2795,'Production '!$S$4:$S$4407)</f>
        <v>-1268218.9828305368</v>
      </c>
      <c r="F2795" s="76">
        <f ca="1">SUMIF('Production '!$C$4:$AI$4407,'Tracking Sheet'!B2795,'Production '!$U$4:$U$4407)</f>
        <v>-10620.435600016917</v>
      </c>
      <c r="G2795" s="76" t="e">
        <f ca="1">SUMIF('Production '!$C$4:$AI$4407,'Tracking Sheet'!B2795,'Production '!$W$4:$W$4407)</f>
        <v>#DIV/0!</v>
      </c>
      <c r="H2795" s="76">
        <f ca="1">SUMIF('Production '!$C$4:$AI$4407,'Tracking Sheet'!B2795,'Production '!$F$4:$F$4407)</f>
        <v>3230621.3283604058</v>
      </c>
      <c r="I2795" s="76">
        <f ca="1">SUMIF('Production '!$C$4:$AI$4407,'Tracking Sheet'!B2795,'Production '!$V$4:$V$4407)</f>
        <v>-489.86487791182844</v>
      </c>
      <c r="J2795" s="76">
        <f ca="1">SUMIF('Production '!$C$4:$AI$4407,'Tracking Sheet'!B2795,'Production '!$AG$4:$AG$4407)</f>
        <v>0</v>
      </c>
    </row>
    <row r="2796" spans="2:10" x14ac:dyDescent="0.3">
      <c r="B2796" s="277">
        <f>'Production '!C2799</f>
        <v>0</v>
      </c>
      <c r="C2796" s="76" t="e">
        <f ca="1">SUMIF('Production '!$C$4:$AI$4407,'Tracking Sheet'!B2796,'Production '!$M$4:$M$4407)</f>
        <v>#DIV/0!</v>
      </c>
      <c r="D2796" s="76" t="e">
        <f ca="1">SUMIF('Production '!$C$4:$AI$4407,'Tracking Sheet'!B2796,'Production '!$Q$4:$Q$4407)</f>
        <v>#DIV/0!</v>
      </c>
      <c r="E2796" s="76">
        <f ca="1">SUMIF('Production '!$C$4:$AI$4407,'Tracking Sheet'!B2796,'Production '!$S$4:$S$4407)</f>
        <v>-1268218.9828305368</v>
      </c>
      <c r="F2796" s="76">
        <f ca="1">SUMIF('Production '!$C$4:$AI$4407,'Tracking Sheet'!B2796,'Production '!$U$4:$U$4407)</f>
        <v>-10620.435600016917</v>
      </c>
      <c r="G2796" s="76" t="e">
        <f ca="1">SUMIF('Production '!$C$4:$AI$4407,'Tracking Sheet'!B2796,'Production '!$W$4:$W$4407)</f>
        <v>#DIV/0!</v>
      </c>
      <c r="H2796" s="76">
        <f ca="1">SUMIF('Production '!$C$4:$AI$4407,'Tracking Sheet'!B2796,'Production '!$F$4:$F$4407)</f>
        <v>3230621.3283604058</v>
      </c>
      <c r="I2796" s="76">
        <f ca="1">SUMIF('Production '!$C$4:$AI$4407,'Tracking Sheet'!B2796,'Production '!$V$4:$V$4407)</f>
        <v>-489.86487791182844</v>
      </c>
      <c r="J2796" s="76">
        <f ca="1">SUMIF('Production '!$C$4:$AI$4407,'Tracking Sheet'!B2796,'Production '!$AG$4:$AG$4407)</f>
        <v>0</v>
      </c>
    </row>
    <row r="2797" spans="2:10" x14ac:dyDescent="0.3">
      <c r="B2797" s="277">
        <f>'Production '!C2800</f>
        <v>0</v>
      </c>
      <c r="C2797" s="76" t="e">
        <f ca="1">SUMIF('Production '!$C$4:$AI$4407,'Tracking Sheet'!B2797,'Production '!$M$4:$M$4407)</f>
        <v>#DIV/0!</v>
      </c>
      <c r="D2797" s="76" t="e">
        <f ca="1">SUMIF('Production '!$C$4:$AI$4407,'Tracking Sheet'!B2797,'Production '!$Q$4:$Q$4407)</f>
        <v>#DIV/0!</v>
      </c>
      <c r="E2797" s="76">
        <f ca="1">SUMIF('Production '!$C$4:$AI$4407,'Tracking Sheet'!B2797,'Production '!$S$4:$S$4407)</f>
        <v>-1268218.9828305368</v>
      </c>
      <c r="F2797" s="76">
        <f ca="1">SUMIF('Production '!$C$4:$AI$4407,'Tracking Sheet'!B2797,'Production '!$U$4:$U$4407)</f>
        <v>-10620.435600016917</v>
      </c>
      <c r="G2797" s="76" t="e">
        <f ca="1">SUMIF('Production '!$C$4:$AI$4407,'Tracking Sheet'!B2797,'Production '!$W$4:$W$4407)</f>
        <v>#DIV/0!</v>
      </c>
      <c r="H2797" s="76">
        <f ca="1">SUMIF('Production '!$C$4:$AI$4407,'Tracking Sheet'!B2797,'Production '!$F$4:$F$4407)</f>
        <v>3230621.3283604058</v>
      </c>
      <c r="I2797" s="76">
        <f ca="1">SUMIF('Production '!$C$4:$AI$4407,'Tracking Sheet'!B2797,'Production '!$V$4:$V$4407)</f>
        <v>-489.86487791182844</v>
      </c>
      <c r="J2797" s="76">
        <f ca="1">SUMIF('Production '!$C$4:$AI$4407,'Tracking Sheet'!B2797,'Production '!$AG$4:$AG$4407)</f>
        <v>0</v>
      </c>
    </row>
    <row r="2798" spans="2:10" x14ac:dyDescent="0.3">
      <c r="B2798" s="277">
        <f>'Production '!C2801</f>
        <v>0</v>
      </c>
      <c r="C2798" s="76" t="e">
        <f ca="1">SUMIF('Production '!$C$4:$AI$4407,'Tracking Sheet'!B2798,'Production '!$M$4:$M$4407)</f>
        <v>#DIV/0!</v>
      </c>
      <c r="D2798" s="76" t="e">
        <f ca="1">SUMIF('Production '!$C$4:$AI$4407,'Tracking Sheet'!B2798,'Production '!$Q$4:$Q$4407)</f>
        <v>#DIV/0!</v>
      </c>
      <c r="E2798" s="76">
        <f ca="1">SUMIF('Production '!$C$4:$AI$4407,'Tracking Sheet'!B2798,'Production '!$S$4:$S$4407)</f>
        <v>-1268218.9828305368</v>
      </c>
      <c r="F2798" s="76">
        <f ca="1">SUMIF('Production '!$C$4:$AI$4407,'Tracking Sheet'!B2798,'Production '!$U$4:$U$4407)</f>
        <v>-10620.435600016917</v>
      </c>
      <c r="G2798" s="76" t="e">
        <f ca="1">SUMIF('Production '!$C$4:$AI$4407,'Tracking Sheet'!B2798,'Production '!$W$4:$W$4407)</f>
        <v>#DIV/0!</v>
      </c>
      <c r="H2798" s="76">
        <f ca="1">SUMIF('Production '!$C$4:$AI$4407,'Tracking Sheet'!B2798,'Production '!$F$4:$F$4407)</f>
        <v>3230621.3283604058</v>
      </c>
      <c r="I2798" s="76">
        <f ca="1">SUMIF('Production '!$C$4:$AI$4407,'Tracking Sheet'!B2798,'Production '!$V$4:$V$4407)</f>
        <v>-489.86487791182844</v>
      </c>
      <c r="J2798" s="76">
        <f ca="1">SUMIF('Production '!$C$4:$AI$4407,'Tracking Sheet'!B2798,'Production '!$AG$4:$AG$4407)</f>
        <v>0</v>
      </c>
    </row>
    <row r="2799" spans="2:10" x14ac:dyDescent="0.3">
      <c r="B2799" s="277">
        <f>'Production '!C2802</f>
        <v>0</v>
      </c>
      <c r="C2799" s="76" t="e">
        <f ca="1">SUMIF('Production '!$C$4:$AI$4407,'Tracking Sheet'!B2799,'Production '!$M$4:$M$4407)</f>
        <v>#DIV/0!</v>
      </c>
      <c r="D2799" s="76" t="e">
        <f ca="1">SUMIF('Production '!$C$4:$AI$4407,'Tracking Sheet'!B2799,'Production '!$Q$4:$Q$4407)</f>
        <v>#DIV/0!</v>
      </c>
      <c r="E2799" s="76">
        <f ca="1">SUMIF('Production '!$C$4:$AI$4407,'Tracking Sheet'!B2799,'Production '!$S$4:$S$4407)</f>
        <v>-1268218.9828305368</v>
      </c>
      <c r="F2799" s="76">
        <f ca="1">SUMIF('Production '!$C$4:$AI$4407,'Tracking Sheet'!B2799,'Production '!$U$4:$U$4407)</f>
        <v>-10620.435600016917</v>
      </c>
      <c r="G2799" s="76" t="e">
        <f ca="1">SUMIF('Production '!$C$4:$AI$4407,'Tracking Sheet'!B2799,'Production '!$W$4:$W$4407)</f>
        <v>#DIV/0!</v>
      </c>
      <c r="H2799" s="76">
        <f ca="1">SUMIF('Production '!$C$4:$AI$4407,'Tracking Sheet'!B2799,'Production '!$F$4:$F$4407)</f>
        <v>3230621.3283604058</v>
      </c>
      <c r="I2799" s="76">
        <f ca="1">SUMIF('Production '!$C$4:$AI$4407,'Tracking Sheet'!B2799,'Production '!$V$4:$V$4407)</f>
        <v>-489.86487791182844</v>
      </c>
      <c r="J2799" s="76">
        <f ca="1">SUMIF('Production '!$C$4:$AI$4407,'Tracking Sheet'!B2799,'Production '!$AG$4:$AG$4407)</f>
        <v>0</v>
      </c>
    </row>
    <row r="2800" spans="2:10" x14ac:dyDescent="0.3">
      <c r="B2800" s="277">
        <f>'Production '!C2803</f>
        <v>0</v>
      </c>
      <c r="C2800" s="76" t="e">
        <f ca="1">SUMIF('Production '!$C$4:$AI$4407,'Tracking Sheet'!B2800,'Production '!$M$4:$M$4407)</f>
        <v>#DIV/0!</v>
      </c>
      <c r="D2800" s="76" t="e">
        <f ca="1">SUMIF('Production '!$C$4:$AI$4407,'Tracking Sheet'!B2800,'Production '!$Q$4:$Q$4407)</f>
        <v>#DIV/0!</v>
      </c>
      <c r="E2800" s="76">
        <f ca="1">SUMIF('Production '!$C$4:$AI$4407,'Tracking Sheet'!B2800,'Production '!$S$4:$S$4407)</f>
        <v>-1268218.9828305368</v>
      </c>
      <c r="F2800" s="76">
        <f ca="1">SUMIF('Production '!$C$4:$AI$4407,'Tracking Sheet'!B2800,'Production '!$U$4:$U$4407)</f>
        <v>-10620.435600016917</v>
      </c>
      <c r="G2800" s="76" t="e">
        <f ca="1">SUMIF('Production '!$C$4:$AI$4407,'Tracking Sheet'!B2800,'Production '!$W$4:$W$4407)</f>
        <v>#DIV/0!</v>
      </c>
      <c r="H2800" s="76">
        <f ca="1">SUMIF('Production '!$C$4:$AI$4407,'Tracking Sheet'!B2800,'Production '!$F$4:$F$4407)</f>
        <v>3230621.3283604058</v>
      </c>
      <c r="I2800" s="76">
        <f ca="1">SUMIF('Production '!$C$4:$AI$4407,'Tracking Sheet'!B2800,'Production '!$V$4:$V$4407)</f>
        <v>-489.86487791182844</v>
      </c>
      <c r="J2800" s="76">
        <f ca="1">SUMIF('Production '!$C$4:$AI$4407,'Tracking Sheet'!B2800,'Production '!$AG$4:$AG$4407)</f>
        <v>0</v>
      </c>
    </row>
    <row r="2801" spans="2:10" x14ac:dyDescent="0.3">
      <c r="B2801" s="277">
        <f>'Production '!C2804</f>
        <v>0</v>
      </c>
      <c r="C2801" s="76" t="e">
        <f ca="1">SUMIF('Production '!$C$4:$AI$4407,'Tracking Sheet'!B2801,'Production '!$M$4:$M$4407)</f>
        <v>#DIV/0!</v>
      </c>
      <c r="D2801" s="76" t="e">
        <f ca="1">SUMIF('Production '!$C$4:$AI$4407,'Tracking Sheet'!B2801,'Production '!$Q$4:$Q$4407)</f>
        <v>#DIV/0!</v>
      </c>
      <c r="E2801" s="76">
        <f ca="1">SUMIF('Production '!$C$4:$AI$4407,'Tracking Sheet'!B2801,'Production '!$S$4:$S$4407)</f>
        <v>-1268218.9828305368</v>
      </c>
      <c r="F2801" s="76">
        <f ca="1">SUMIF('Production '!$C$4:$AI$4407,'Tracking Sheet'!B2801,'Production '!$U$4:$U$4407)</f>
        <v>-10620.435600016917</v>
      </c>
      <c r="G2801" s="76" t="e">
        <f ca="1">SUMIF('Production '!$C$4:$AI$4407,'Tracking Sheet'!B2801,'Production '!$W$4:$W$4407)</f>
        <v>#DIV/0!</v>
      </c>
      <c r="H2801" s="76">
        <f ca="1">SUMIF('Production '!$C$4:$AI$4407,'Tracking Sheet'!B2801,'Production '!$F$4:$F$4407)</f>
        <v>3230621.3283604058</v>
      </c>
      <c r="I2801" s="76">
        <f ca="1">SUMIF('Production '!$C$4:$AI$4407,'Tracking Sheet'!B2801,'Production '!$V$4:$V$4407)</f>
        <v>-489.86487791182844</v>
      </c>
      <c r="J2801" s="76">
        <f ca="1">SUMIF('Production '!$C$4:$AI$4407,'Tracking Sheet'!B2801,'Production '!$AG$4:$AG$4407)</f>
        <v>0</v>
      </c>
    </row>
    <row r="2802" spans="2:10" x14ac:dyDescent="0.3">
      <c r="B2802" s="277">
        <f>'Production '!C2805</f>
        <v>0</v>
      </c>
      <c r="C2802" s="76" t="e">
        <f ca="1">SUMIF('Production '!$C$4:$AI$4407,'Tracking Sheet'!B2802,'Production '!$M$4:$M$4407)</f>
        <v>#DIV/0!</v>
      </c>
      <c r="D2802" s="76" t="e">
        <f ca="1">SUMIF('Production '!$C$4:$AI$4407,'Tracking Sheet'!B2802,'Production '!$Q$4:$Q$4407)</f>
        <v>#DIV/0!</v>
      </c>
      <c r="E2802" s="76">
        <f ca="1">SUMIF('Production '!$C$4:$AI$4407,'Tracking Sheet'!B2802,'Production '!$S$4:$S$4407)</f>
        <v>-1268218.9828305368</v>
      </c>
      <c r="F2802" s="76">
        <f ca="1">SUMIF('Production '!$C$4:$AI$4407,'Tracking Sheet'!B2802,'Production '!$U$4:$U$4407)</f>
        <v>-10620.435600016917</v>
      </c>
      <c r="G2802" s="76" t="e">
        <f ca="1">SUMIF('Production '!$C$4:$AI$4407,'Tracking Sheet'!B2802,'Production '!$W$4:$W$4407)</f>
        <v>#DIV/0!</v>
      </c>
      <c r="H2802" s="76">
        <f ca="1">SUMIF('Production '!$C$4:$AI$4407,'Tracking Sheet'!B2802,'Production '!$F$4:$F$4407)</f>
        <v>3230621.3283604058</v>
      </c>
      <c r="I2802" s="76">
        <f ca="1">SUMIF('Production '!$C$4:$AI$4407,'Tracking Sheet'!B2802,'Production '!$V$4:$V$4407)</f>
        <v>-489.86487791182844</v>
      </c>
      <c r="J2802" s="76">
        <f ca="1">SUMIF('Production '!$C$4:$AI$4407,'Tracking Sheet'!B2802,'Production '!$AG$4:$AG$4407)</f>
        <v>0</v>
      </c>
    </row>
    <row r="2803" spans="2:10" x14ac:dyDescent="0.3">
      <c r="B2803" s="277">
        <f>'Production '!C2806</f>
        <v>0</v>
      </c>
      <c r="C2803" s="76" t="e">
        <f ca="1">SUMIF('Production '!$C$4:$AI$4407,'Tracking Sheet'!B2803,'Production '!$M$4:$M$4407)</f>
        <v>#DIV/0!</v>
      </c>
      <c r="D2803" s="76" t="e">
        <f ca="1">SUMIF('Production '!$C$4:$AI$4407,'Tracking Sheet'!B2803,'Production '!$Q$4:$Q$4407)</f>
        <v>#DIV/0!</v>
      </c>
      <c r="E2803" s="76">
        <f ca="1">SUMIF('Production '!$C$4:$AI$4407,'Tracking Sheet'!B2803,'Production '!$S$4:$S$4407)</f>
        <v>-1268218.9828305368</v>
      </c>
      <c r="F2803" s="76">
        <f ca="1">SUMIF('Production '!$C$4:$AI$4407,'Tracking Sheet'!B2803,'Production '!$U$4:$U$4407)</f>
        <v>-10620.435600016917</v>
      </c>
      <c r="G2803" s="76" t="e">
        <f ca="1">SUMIF('Production '!$C$4:$AI$4407,'Tracking Sheet'!B2803,'Production '!$W$4:$W$4407)</f>
        <v>#DIV/0!</v>
      </c>
      <c r="H2803" s="76">
        <f ca="1">SUMIF('Production '!$C$4:$AI$4407,'Tracking Sheet'!B2803,'Production '!$F$4:$F$4407)</f>
        <v>3230621.3283604058</v>
      </c>
      <c r="I2803" s="76">
        <f ca="1">SUMIF('Production '!$C$4:$AI$4407,'Tracking Sheet'!B2803,'Production '!$V$4:$V$4407)</f>
        <v>-489.86487791182844</v>
      </c>
      <c r="J2803" s="76">
        <f ca="1">SUMIF('Production '!$C$4:$AI$4407,'Tracking Sheet'!B2803,'Production '!$AG$4:$AG$4407)</f>
        <v>0</v>
      </c>
    </row>
    <row r="2804" spans="2:10" x14ac:dyDescent="0.3">
      <c r="B2804" s="277">
        <f>'Production '!C2807</f>
        <v>0</v>
      </c>
      <c r="C2804" s="76" t="e">
        <f ca="1">SUMIF('Production '!$C$4:$AI$4407,'Tracking Sheet'!B2804,'Production '!$M$4:$M$4407)</f>
        <v>#DIV/0!</v>
      </c>
      <c r="D2804" s="76" t="e">
        <f ca="1">SUMIF('Production '!$C$4:$AI$4407,'Tracking Sheet'!B2804,'Production '!$Q$4:$Q$4407)</f>
        <v>#DIV/0!</v>
      </c>
      <c r="E2804" s="76">
        <f ca="1">SUMIF('Production '!$C$4:$AI$4407,'Tracking Sheet'!B2804,'Production '!$S$4:$S$4407)</f>
        <v>-1268218.9828305368</v>
      </c>
      <c r="F2804" s="76">
        <f ca="1">SUMIF('Production '!$C$4:$AI$4407,'Tracking Sheet'!B2804,'Production '!$U$4:$U$4407)</f>
        <v>-10620.435600016917</v>
      </c>
      <c r="G2804" s="76" t="e">
        <f ca="1">SUMIF('Production '!$C$4:$AI$4407,'Tracking Sheet'!B2804,'Production '!$W$4:$W$4407)</f>
        <v>#DIV/0!</v>
      </c>
      <c r="H2804" s="76">
        <f ca="1">SUMIF('Production '!$C$4:$AI$4407,'Tracking Sheet'!B2804,'Production '!$F$4:$F$4407)</f>
        <v>3230621.3283604058</v>
      </c>
      <c r="I2804" s="76">
        <f ca="1">SUMIF('Production '!$C$4:$AI$4407,'Tracking Sheet'!B2804,'Production '!$V$4:$V$4407)</f>
        <v>-489.86487791182844</v>
      </c>
      <c r="J2804" s="76">
        <f ca="1">SUMIF('Production '!$C$4:$AI$4407,'Tracking Sheet'!B2804,'Production '!$AG$4:$AG$4407)</f>
        <v>0</v>
      </c>
    </row>
    <row r="2805" spans="2:10" x14ac:dyDescent="0.3">
      <c r="B2805" s="277">
        <f>'Production '!C2808</f>
        <v>0</v>
      </c>
      <c r="C2805" s="76" t="e">
        <f ca="1">SUMIF('Production '!$C$4:$AI$4407,'Tracking Sheet'!B2805,'Production '!$M$4:$M$4407)</f>
        <v>#DIV/0!</v>
      </c>
      <c r="D2805" s="76" t="e">
        <f ca="1">SUMIF('Production '!$C$4:$AI$4407,'Tracking Sheet'!B2805,'Production '!$Q$4:$Q$4407)</f>
        <v>#DIV/0!</v>
      </c>
      <c r="E2805" s="76">
        <f ca="1">SUMIF('Production '!$C$4:$AI$4407,'Tracking Sheet'!B2805,'Production '!$S$4:$S$4407)</f>
        <v>-1268218.9828305368</v>
      </c>
      <c r="F2805" s="76">
        <f ca="1">SUMIF('Production '!$C$4:$AI$4407,'Tracking Sheet'!B2805,'Production '!$U$4:$U$4407)</f>
        <v>-10620.435600016917</v>
      </c>
      <c r="G2805" s="76" t="e">
        <f ca="1">SUMIF('Production '!$C$4:$AI$4407,'Tracking Sheet'!B2805,'Production '!$W$4:$W$4407)</f>
        <v>#DIV/0!</v>
      </c>
      <c r="H2805" s="76">
        <f ca="1">SUMIF('Production '!$C$4:$AI$4407,'Tracking Sheet'!B2805,'Production '!$F$4:$F$4407)</f>
        <v>3230621.3283604058</v>
      </c>
      <c r="I2805" s="76">
        <f ca="1">SUMIF('Production '!$C$4:$AI$4407,'Tracking Sheet'!B2805,'Production '!$V$4:$V$4407)</f>
        <v>-489.86487791182844</v>
      </c>
      <c r="J2805" s="76">
        <f ca="1">SUMIF('Production '!$C$4:$AI$4407,'Tracking Sheet'!B2805,'Production '!$AG$4:$AG$4407)</f>
        <v>0</v>
      </c>
    </row>
    <row r="2806" spans="2:10" x14ac:dyDescent="0.3">
      <c r="B2806" s="277">
        <f>'Production '!C2809</f>
        <v>0</v>
      </c>
      <c r="C2806" s="76" t="e">
        <f ca="1">SUMIF('Production '!$C$4:$AI$4407,'Tracking Sheet'!B2806,'Production '!$M$4:$M$4407)</f>
        <v>#DIV/0!</v>
      </c>
      <c r="D2806" s="76" t="e">
        <f ca="1">SUMIF('Production '!$C$4:$AI$4407,'Tracking Sheet'!B2806,'Production '!$Q$4:$Q$4407)</f>
        <v>#DIV/0!</v>
      </c>
      <c r="E2806" s="76">
        <f ca="1">SUMIF('Production '!$C$4:$AI$4407,'Tracking Sheet'!B2806,'Production '!$S$4:$S$4407)</f>
        <v>-1268218.9828305368</v>
      </c>
      <c r="F2806" s="76">
        <f ca="1">SUMIF('Production '!$C$4:$AI$4407,'Tracking Sheet'!B2806,'Production '!$U$4:$U$4407)</f>
        <v>-10620.435600016917</v>
      </c>
      <c r="G2806" s="76" t="e">
        <f ca="1">SUMIF('Production '!$C$4:$AI$4407,'Tracking Sheet'!B2806,'Production '!$W$4:$W$4407)</f>
        <v>#DIV/0!</v>
      </c>
      <c r="H2806" s="76">
        <f ca="1">SUMIF('Production '!$C$4:$AI$4407,'Tracking Sheet'!B2806,'Production '!$F$4:$F$4407)</f>
        <v>3230621.3283604058</v>
      </c>
      <c r="I2806" s="76">
        <f ca="1">SUMIF('Production '!$C$4:$AI$4407,'Tracking Sheet'!B2806,'Production '!$V$4:$V$4407)</f>
        <v>-489.86487791182844</v>
      </c>
      <c r="J2806" s="76">
        <f ca="1">SUMIF('Production '!$C$4:$AI$4407,'Tracking Sheet'!B2806,'Production '!$AG$4:$AG$4407)</f>
        <v>0</v>
      </c>
    </row>
    <row r="2807" spans="2:10" x14ac:dyDescent="0.3">
      <c r="B2807" s="277">
        <f>'Production '!C2810</f>
        <v>0</v>
      </c>
      <c r="C2807" s="76" t="e">
        <f ca="1">SUMIF('Production '!$C$4:$AI$4407,'Tracking Sheet'!B2807,'Production '!$M$4:$M$4407)</f>
        <v>#DIV/0!</v>
      </c>
      <c r="D2807" s="76" t="e">
        <f ca="1">SUMIF('Production '!$C$4:$AI$4407,'Tracking Sheet'!B2807,'Production '!$Q$4:$Q$4407)</f>
        <v>#DIV/0!</v>
      </c>
      <c r="E2807" s="76">
        <f ca="1">SUMIF('Production '!$C$4:$AI$4407,'Tracking Sheet'!B2807,'Production '!$S$4:$S$4407)</f>
        <v>-1268218.9828305368</v>
      </c>
      <c r="F2807" s="76">
        <f ca="1">SUMIF('Production '!$C$4:$AI$4407,'Tracking Sheet'!B2807,'Production '!$U$4:$U$4407)</f>
        <v>-10620.435600016917</v>
      </c>
      <c r="G2807" s="76" t="e">
        <f ca="1">SUMIF('Production '!$C$4:$AI$4407,'Tracking Sheet'!B2807,'Production '!$W$4:$W$4407)</f>
        <v>#DIV/0!</v>
      </c>
      <c r="H2807" s="76">
        <f ca="1">SUMIF('Production '!$C$4:$AI$4407,'Tracking Sheet'!B2807,'Production '!$F$4:$F$4407)</f>
        <v>3230621.3283604058</v>
      </c>
      <c r="I2807" s="76">
        <f ca="1">SUMIF('Production '!$C$4:$AI$4407,'Tracking Sheet'!B2807,'Production '!$V$4:$V$4407)</f>
        <v>-489.86487791182844</v>
      </c>
      <c r="J2807" s="76">
        <f ca="1">SUMIF('Production '!$C$4:$AI$4407,'Tracking Sheet'!B2807,'Production '!$AG$4:$AG$4407)</f>
        <v>0</v>
      </c>
    </row>
    <row r="2808" spans="2:10" x14ac:dyDescent="0.3">
      <c r="B2808" s="277">
        <f>'Production '!C2811</f>
        <v>0</v>
      </c>
      <c r="C2808" s="76" t="e">
        <f ca="1">SUMIF('Production '!$C$4:$AI$4407,'Tracking Sheet'!B2808,'Production '!$M$4:$M$4407)</f>
        <v>#DIV/0!</v>
      </c>
      <c r="D2808" s="76" t="e">
        <f ca="1">SUMIF('Production '!$C$4:$AI$4407,'Tracking Sheet'!B2808,'Production '!$Q$4:$Q$4407)</f>
        <v>#DIV/0!</v>
      </c>
      <c r="E2808" s="76">
        <f ca="1">SUMIF('Production '!$C$4:$AI$4407,'Tracking Sheet'!B2808,'Production '!$S$4:$S$4407)</f>
        <v>-1268218.9828305368</v>
      </c>
      <c r="F2808" s="76">
        <f ca="1">SUMIF('Production '!$C$4:$AI$4407,'Tracking Sheet'!B2808,'Production '!$U$4:$U$4407)</f>
        <v>-10620.435600016917</v>
      </c>
      <c r="G2808" s="76" t="e">
        <f ca="1">SUMIF('Production '!$C$4:$AI$4407,'Tracking Sheet'!B2808,'Production '!$W$4:$W$4407)</f>
        <v>#DIV/0!</v>
      </c>
      <c r="H2808" s="76">
        <f ca="1">SUMIF('Production '!$C$4:$AI$4407,'Tracking Sheet'!B2808,'Production '!$F$4:$F$4407)</f>
        <v>3230621.3283604058</v>
      </c>
      <c r="I2808" s="76">
        <f ca="1">SUMIF('Production '!$C$4:$AI$4407,'Tracking Sheet'!B2808,'Production '!$V$4:$V$4407)</f>
        <v>-489.86487791182844</v>
      </c>
      <c r="J2808" s="76">
        <f ca="1">SUMIF('Production '!$C$4:$AI$4407,'Tracking Sheet'!B2808,'Production '!$AG$4:$AG$4407)</f>
        <v>0</v>
      </c>
    </row>
    <row r="2809" spans="2:10" x14ac:dyDescent="0.3">
      <c r="B2809" s="277">
        <f>'Production '!C2812</f>
        <v>0</v>
      </c>
      <c r="C2809" s="76" t="e">
        <f ca="1">SUMIF('Production '!$C$4:$AI$4407,'Tracking Sheet'!B2809,'Production '!$M$4:$M$4407)</f>
        <v>#DIV/0!</v>
      </c>
      <c r="D2809" s="76" t="e">
        <f ca="1">SUMIF('Production '!$C$4:$AI$4407,'Tracking Sheet'!B2809,'Production '!$Q$4:$Q$4407)</f>
        <v>#DIV/0!</v>
      </c>
      <c r="E2809" s="76">
        <f ca="1">SUMIF('Production '!$C$4:$AI$4407,'Tracking Sheet'!B2809,'Production '!$S$4:$S$4407)</f>
        <v>-1268218.9828305368</v>
      </c>
      <c r="F2809" s="76">
        <f ca="1">SUMIF('Production '!$C$4:$AI$4407,'Tracking Sheet'!B2809,'Production '!$U$4:$U$4407)</f>
        <v>-10620.435600016917</v>
      </c>
      <c r="G2809" s="76" t="e">
        <f ca="1">SUMIF('Production '!$C$4:$AI$4407,'Tracking Sheet'!B2809,'Production '!$W$4:$W$4407)</f>
        <v>#DIV/0!</v>
      </c>
      <c r="H2809" s="76">
        <f ca="1">SUMIF('Production '!$C$4:$AI$4407,'Tracking Sheet'!B2809,'Production '!$F$4:$F$4407)</f>
        <v>3230621.3283604058</v>
      </c>
      <c r="I2809" s="76">
        <f ca="1">SUMIF('Production '!$C$4:$AI$4407,'Tracking Sheet'!B2809,'Production '!$V$4:$V$4407)</f>
        <v>-489.86487791182844</v>
      </c>
      <c r="J2809" s="76">
        <f ca="1">SUMIF('Production '!$C$4:$AI$4407,'Tracking Sheet'!B2809,'Production '!$AG$4:$AG$4407)</f>
        <v>0</v>
      </c>
    </row>
    <row r="2810" spans="2:10" x14ac:dyDescent="0.3">
      <c r="B2810" s="277">
        <f>'Production '!C2813</f>
        <v>0</v>
      </c>
      <c r="C2810" s="76" t="e">
        <f ca="1">SUMIF('Production '!$C$4:$AI$4407,'Tracking Sheet'!B2810,'Production '!$M$4:$M$4407)</f>
        <v>#DIV/0!</v>
      </c>
      <c r="D2810" s="76" t="e">
        <f ca="1">SUMIF('Production '!$C$4:$AI$4407,'Tracking Sheet'!B2810,'Production '!$Q$4:$Q$4407)</f>
        <v>#DIV/0!</v>
      </c>
      <c r="E2810" s="76">
        <f ca="1">SUMIF('Production '!$C$4:$AI$4407,'Tracking Sheet'!B2810,'Production '!$S$4:$S$4407)</f>
        <v>-1268218.9828305368</v>
      </c>
      <c r="F2810" s="76">
        <f ca="1">SUMIF('Production '!$C$4:$AI$4407,'Tracking Sheet'!B2810,'Production '!$U$4:$U$4407)</f>
        <v>-10620.435600016917</v>
      </c>
      <c r="G2810" s="76" t="e">
        <f ca="1">SUMIF('Production '!$C$4:$AI$4407,'Tracking Sheet'!B2810,'Production '!$W$4:$W$4407)</f>
        <v>#DIV/0!</v>
      </c>
      <c r="H2810" s="76">
        <f ca="1">SUMIF('Production '!$C$4:$AI$4407,'Tracking Sheet'!B2810,'Production '!$F$4:$F$4407)</f>
        <v>3230621.3283604058</v>
      </c>
      <c r="I2810" s="76">
        <f ca="1">SUMIF('Production '!$C$4:$AI$4407,'Tracking Sheet'!B2810,'Production '!$V$4:$V$4407)</f>
        <v>-489.86487791182844</v>
      </c>
      <c r="J2810" s="76">
        <f ca="1">SUMIF('Production '!$C$4:$AI$4407,'Tracking Sheet'!B2810,'Production '!$AG$4:$AG$4407)</f>
        <v>0</v>
      </c>
    </row>
    <row r="2811" spans="2:10" x14ac:dyDescent="0.3">
      <c r="B2811" s="277">
        <f>'Production '!C2814</f>
        <v>0</v>
      </c>
      <c r="C2811" s="76" t="e">
        <f ca="1">SUMIF('Production '!$C$4:$AI$4407,'Tracking Sheet'!B2811,'Production '!$M$4:$M$4407)</f>
        <v>#DIV/0!</v>
      </c>
      <c r="D2811" s="76" t="e">
        <f ca="1">SUMIF('Production '!$C$4:$AI$4407,'Tracking Sheet'!B2811,'Production '!$Q$4:$Q$4407)</f>
        <v>#DIV/0!</v>
      </c>
      <c r="E2811" s="76">
        <f ca="1">SUMIF('Production '!$C$4:$AI$4407,'Tracking Sheet'!B2811,'Production '!$S$4:$S$4407)</f>
        <v>-1268218.9828305368</v>
      </c>
      <c r="F2811" s="76">
        <f ca="1">SUMIF('Production '!$C$4:$AI$4407,'Tracking Sheet'!B2811,'Production '!$U$4:$U$4407)</f>
        <v>-10620.435600016917</v>
      </c>
      <c r="G2811" s="76" t="e">
        <f ca="1">SUMIF('Production '!$C$4:$AI$4407,'Tracking Sheet'!B2811,'Production '!$W$4:$W$4407)</f>
        <v>#DIV/0!</v>
      </c>
      <c r="H2811" s="76">
        <f ca="1">SUMIF('Production '!$C$4:$AI$4407,'Tracking Sheet'!B2811,'Production '!$F$4:$F$4407)</f>
        <v>3230621.3283604058</v>
      </c>
      <c r="I2811" s="76">
        <f ca="1">SUMIF('Production '!$C$4:$AI$4407,'Tracking Sheet'!B2811,'Production '!$V$4:$V$4407)</f>
        <v>-489.86487791182844</v>
      </c>
      <c r="J2811" s="76">
        <f ca="1">SUMIF('Production '!$C$4:$AI$4407,'Tracking Sheet'!B2811,'Production '!$AG$4:$AG$4407)</f>
        <v>0</v>
      </c>
    </row>
    <row r="2812" spans="2:10" x14ac:dyDescent="0.3">
      <c r="B2812" s="277">
        <f>'Production '!C2815</f>
        <v>0</v>
      </c>
      <c r="C2812" s="76" t="e">
        <f ca="1">SUMIF('Production '!$C$4:$AI$4407,'Tracking Sheet'!B2812,'Production '!$M$4:$M$4407)</f>
        <v>#DIV/0!</v>
      </c>
      <c r="D2812" s="76" t="e">
        <f ca="1">SUMIF('Production '!$C$4:$AI$4407,'Tracking Sheet'!B2812,'Production '!$Q$4:$Q$4407)</f>
        <v>#DIV/0!</v>
      </c>
      <c r="E2812" s="76">
        <f ca="1">SUMIF('Production '!$C$4:$AI$4407,'Tracking Sheet'!B2812,'Production '!$S$4:$S$4407)</f>
        <v>-1268218.9828305368</v>
      </c>
      <c r="F2812" s="76">
        <f ca="1">SUMIF('Production '!$C$4:$AI$4407,'Tracking Sheet'!B2812,'Production '!$U$4:$U$4407)</f>
        <v>-10620.435600016917</v>
      </c>
      <c r="G2812" s="76" t="e">
        <f ca="1">SUMIF('Production '!$C$4:$AI$4407,'Tracking Sheet'!B2812,'Production '!$W$4:$W$4407)</f>
        <v>#DIV/0!</v>
      </c>
      <c r="H2812" s="76">
        <f ca="1">SUMIF('Production '!$C$4:$AI$4407,'Tracking Sheet'!B2812,'Production '!$F$4:$F$4407)</f>
        <v>3230621.3283604058</v>
      </c>
      <c r="I2812" s="76">
        <f ca="1">SUMIF('Production '!$C$4:$AI$4407,'Tracking Sheet'!B2812,'Production '!$V$4:$V$4407)</f>
        <v>-489.86487791182844</v>
      </c>
      <c r="J2812" s="76">
        <f ca="1">SUMIF('Production '!$C$4:$AI$4407,'Tracking Sheet'!B2812,'Production '!$AG$4:$AG$4407)</f>
        <v>0</v>
      </c>
    </row>
    <row r="2813" spans="2:10" x14ac:dyDescent="0.3">
      <c r="B2813" s="277">
        <f>'Production '!C2816</f>
        <v>0</v>
      </c>
      <c r="C2813" s="76" t="e">
        <f ca="1">SUMIF('Production '!$C$4:$AI$4407,'Tracking Sheet'!B2813,'Production '!$M$4:$M$4407)</f>
        <v>#DIV/0!</v>
      </c>
      <c r="D2813" s="76" t="e">
        <f ca="1">SUMIF('Production '!$C$4:$AI$4407,'Tracking Sheet'!B2813,'Production '!$Q$4:$Q$4407)</f>
        <v>#DIV/0!</v>
      </c>
      <c r="E2813" s="76">
        <f ca="1">SUMIF('Production '!$C$4:$AI$4407,'Tracking Sheet'!B2813,'Production '!$S$4:$S$4407)</f>
        <v>-1268218.9828305368</v>
      </c>
      <c r="F2813" s="76">
        <f ca="1">SUMIF('Production '!$C$4:$AI$4407,'Tracking Sheet'!B2813,'Production '!$U$4:$U$4407)</f>
        <v>-10620.435600016917</v>
      </c>
      <c r="G2813" s="76" t="e">
        <f ca="1">SUMIF('Production '!$C$4:$AI$4407,'Tracking Sheet'!B2813,'Production '!$W$4:$W$4407)</f>
        <v>#DIV/0!</v>
      </c>
      <c r="H2813" s="76">
        <f ca="1">SUMIF('Production '!$C$4:$AI$4407,'Tracking Sheet'!B2813,'Production '!$F$4:$F$4407)</f>
        <v>3230621.3283604058</v>
      </c>
      <c r="I2813" s="76">
        <f ca="1">SUMIF('Production '!$C$4:$AI$4407,'Tracking Sheet'!B2813,'Production '!$V$4:$V$4407)</f>
        <v>-489.86487791182844</v>
      </c>
      <c r="J2813" s="76">
        <f ca="1">SUMIF('Production '!$C$4:$AI$4407,'Tracking Sheet'!B2813,'Production '!$AG$4:$AG$4407)</f>
        <v>0</v>
      </c>
    </row>
    <row r="2814" spans="2:10" x14ac:dyDescent="0.3">
      <c r="B2814" s="277">
        <f>'Production '!C2817</f>
        <v>0</v>
      </c>
      <c r="C2814" s="76" t="e">
        <f ca="1">SUMIF('Production '!$C$4:$AI$4407,'Tracking Sheet'!B2814,'Production '!$M$4:$M$4407)</f>
        <v>#DIV/0!</v>
      </c>
      <c r="D2814" s="76" t="e">
        <f ca="1">SUMIF('Production '!$C$4:$AI$4407,'Tracking Sheet'!B2814,'Production '!$Q$4:$Q$4407)</f>
        <v>#DIV/0!</v>
      </c>
      <c r="E2814" s="76">
        <f ca="1">SUMIF('Production '!$C$4:$AI$4407,'Tracking Sheet'!B2814,'Production '!$S$4:$S$4407)</f>
        <v>-1268218.9828305368</v>
      </c>
      <c r="F2814" s="76">
        <f ca="1">SUMIF('Production '!$C$4:$AI$4407,'Tracking Sheet'!B2814,'Production '!$U$4:$U$4407)</f>
        <v>-10620.435600016917</v>
      </c>
      <c r="G2814" s="76" t="e">
        <f ca="1">SUMIF('Production '!$C$4:$AI$4407,'Tracking Sheet'!B2814,'Production '!$W$4:$W$4407)</f>
        <v>#DIV/0!</v>
      </c>
      <c r="H2814" s="76">
        <f ca="1">SUMIF('Production '!$C$4:$AI$4407,'Tracking Sheet'!B2814,'Production '!$F$4:$F$4407)</f>
        <v>3230621.3283604058</v>
      </c>
      <c r="I2814" s="76">
        <f ca="1">SUMIF('Production '!$C$4:$AI$4407,'Tracking Sheet'!B2814,'Production '!$V$4:$V$4407)</f>
        <v>-489.86487791182844</v>
      </c>
      <c r="J2814" s="76">
        <f ca="1">SUMIF('Production '!$C$4:$AI$4407,'Tracking Sheet'!B2814,'Production '!$AG$4:$AG$4407)</f>
        <v>0</v>
      </c>
    </row>
    <row r="2815" spans="2:10" x14ac:dyDescent="0.3">
      <c r="B2815" s="277">
        <f>'Production '!C2818</f>
        <v>0</v>
      </c>
      <c r="C2815" s="76" t="e">
        <f ca="1">SUMIF('Production '!$C$4:$AI$4407,'Tracking Sheet'!B2815,'Production '!$M$4:$M$4407)</f>
        <v>#DIV/0!</v>
      </c>
      <c r="D2815" s="76" t="e">
        <f ca="1">SUMIF('Production '!$C$4:$AI$4407,'Tracking Sheet'!B2815,'Production '!$Q$4:$Q$4407)</f>
        <v>#DIV/0!</v>
      </c>
      <c r="E2815" s="76">
        <f ca="1">SUMIF('Production '!$C$4:$AI$4407,'Tracking Sheet'!B2815,'Production '!$S$4:$S$4407)</f>
        <v>-1268218.9828305368</v>
      </c>
      <c r="F2815" s="76">
        <f ca="1">SUMIF('Production '!$C$4:$AI$4407,'Tracking Sheet'!B2815,'Production '!$U$4:$U$4407)</f>
        <v>-10620.435600016917</v>
      </c>
      <c r="G2815" s="76" t="e">
        <f ca="1">SUMIF('Production '!$C$4:$AI$4407,'Tracking Sheet'!B2815,'Production '!$W$4:$W$4407)</f>
        <v>#DIV/0!</v>
      </c>
      <c r="H2815" s="76">
        <f ca="1">SUMIF('Production '!$C$4:$AI$4407,'Tracking Sheet'!B2815,'Production '!$F$4:$F$4407)</f>
        <v>3230621.3283604058</v>
      </c>
      <c r="I2815" s="76">
        <f ca="1">SUMIF('Production '!$C$4:$AI$4407,'Tracking Sheet'!B2815,'Production '!$V$4:$V$4407)</f>
        <v>-489.86487791182844</v>
      </c>
      <c r="J2815" s="76">
        <f ca="1">SUMIF('Production '!$C$4:$AI$4407,'Tracking Sheet'!B2815,'Production '!$AG$4:$AG$4407)</f>
        <v>0</v>
      </c>
    </row>
    <row r="2816" spans="2:10" x14ac:dyDescent="0.3">
      <c r="B2816" s="277">
        <f>'Production '!C2819</f>
        <v>0</v>
      </c>
      <c r="C2816" s="76" t="e">
        <f ca="1">SUMIF('Production '!$C$4:$AI$4407,'Tracking Sheet'!B2816,'Production '!$M$4:$M$4407)</f>
        <v>#DIV/0!</v>
      </c>
      <c r="D2816" s="76" t="e">
        <f ca="1">SUMIF('Production '!$C$4:$AI$4407,'Tracking Sheet'!B2816,'Production '!$Q$4:$Q$4407)</f>
        <v>#DIV/0!</v>
      </c>
      <c r="E2816" s="76">
        <f ca="1">SUMIF('Production '!$C$4:$AI$4407,'Tracking Sheet'!B2816,'Production '!$S$4:$S$4407)</f>
        <v>-1268218.9828305368</v>
      </c>
      <c r="F2816" s="76">
        <f ca="1">SUMIF('Production '!$C$4:$AI$4407,'Tracking Sheet'!B2816,'Production '!$U$4:$U$4407)</f>
        <v>-10620.435600016917</v>
      </c>
      <c r="G2816" s="76" t="e">
        <f ca="1">SUMIF('Production '!$C$4:$AI$4407,'Tracking Sheet'!B2816,'Production '!$W$4:$W$4407)</f>
        <v>#DIV/0!</v>
      </c>
      <c r="H2816" s="76">
        <f ca="1">SUMIF('Production '!$C$4:$AI$4407,'Tracking Sheet'!B2816,'Production '!$F$4:$F$4407)</f>
        <v>3230621.3283604058</v>
      </c>
      <c r="I2816" s="76">
        <f ca="1">SUMIF('Production '!$C$4:$AI$4407,'Tracking Sheet'!B2816,'Production '!$V$4:$V$4407)</f>
        <v>-489.86487791182844</v>
      </c>
      <c r="J2816" s="76">
        <f ca="1">SUMIF('Production '!$C$4:$AI$4407,'Tracking Sheet'!B2816,'Production '!$AG$4:$AG$4407)</f>
        <v>0</v>
      </c>
    </row>
    <row r="2817" spans="2:10" x14ac:dyDescent="0.3">
      <c r="B2817" s="277">
        <f>'Production '!C2820</f>
        <v>0</v>
      </c>
      <c r="C2817" s="76" t="e">
        <f ca="1">SUMIF('Production '!$C$4:$AI$4407,'Tracking Sheet'!B2817,'Production '!$M$4:$M$4407)</f>
        <v>#DIV/0!</v>
      </c>
      <c r="D2817" s="76" t="e">
        <f ca="1">SUMIF('Production '!$C$4:$AI$4407,'Tracking Sheet'!B2817,'Production '!$Q$4:$Q$4407)</f>
        <v>#DIV/0!</v>
      </c>
      <c r="E2817" s="76">
        <f ca="1">SUMIF('Production '!$C$4:$AI$4407,'Tracking Sheet'!B2817,'Production '!$S$4:$S$4407)</f>
        <v>-1268218.9828305368</v>
      </c>
      <c r="F2817" s="76">
        <f ca="1">SUMIF('Production '!$C$4:$AI$4407,'Tracking Sheet'!B2817,'Production '!$U$4:$U$4407)</f>
        <v>-10620.435600016917</v>
      </c>
      <c r="G2817" s="76" t="e">
        <f ca="1">SUMIF('Production '!$C$4:$AI$4407,'Tracking Sheet'!B2817,'Production '!$W$4:$W$4407)</f>
        <v>#DIV/0!</v>
      </c>
      <c r="H2817" s="76">
        <f ca="1">SUMIF('Production '!$C$4:$AI$4407,'Tracking Sheet'!B2817,'Production '!$F$4:$F$4407)</f>
        <v>3230621.3283604058</v>
      </c>
      <c r="I2817" s="76">
        <f ca="1">SUMIF('Production '!$C$4:$AI$4407,'Tracking Sheet'!B2817,'Production '!$V$4:$V$4407)</f>
        <v>-489.86487791182844</v>
      </c>
      <c r="J2817" s="76">
        <f ca="1">SUMIF('Production '!$C$4:$AI$4407,'Tracking Sheet'!B2817,'Production '!$AG$4:$AG$4407)</f>
        <v>0</v>
      </c>
    </row>
    <row r="2818" spans="2:10" x14ac:dyDescent="0.3">
      <c r="B2818" s="277">
        <f>'Production '!C2821</f>
        <v>0</v>
      </c>
      <c r="C2818" s="76" t="e">
        <f ca="1">SUMIF('Production '!$C$4:$AI$4407,'Tracking Sheet'!B2818,'Production '!$M$4:$M$4407)</f>
        <v>#DIV/0!</v>
      </c>
      <c r="D2818" s="76" t="e">
        <f ca="1">SUMIF('Production '!$C$4:$AI$4407,'Tracking Sheet'!B2818,'Production '!$Q$4:$Q$4407)</f>
        <v>#DIV/0!</v>
      </c>
      <c r="E2818" s="76">
        <f ca="1">SUMIF('Production '!$C$4:$AI$4407,'Tracking Sheet'!B2818,'Production '!$S$4:$S$4407)</f>
        <v>-1268218.9828305368</v>
      </c>
      <c r="F2818" s="76">
        <f ca="1">SUMIF('Production '!$C$4:$AI$4407,'Tracking Sheet'!B2818,'Production '!$U$4:$U$4407)</f>
        <v>-10620.435600016917</v>
      </c>
      <c r="G2818" s="76" t="e">
        <f ca="1">SUMIF('Production '!$C$4:$AI$4407,'Tracking Sheet'!B2818,'Production '!$W$4:$W$4407)</f>
        <v>#DIV/0!</v>
      </c>
      <c r="H2818" s="76">
        <f ca="1">SUMIF('Production '!$C$4:$AI$4407,'Tracking Sheet'!B2818,'Production '!$F$4:$F$4407)</f>
        <v>3230621.3283604058</v>
      </c>
      <c r="I2818" s="76">
        <f ca="1">SUMIF('Production '!$C$4:$AI$4407,'Tracking Sheet'!B2818,'Production '!$V$4:$V$4407)</f>
        <v>-489.86487791182844</v>
      </c>
      <c r="J2818" s="76">
        <f ca="1">SUMIF('Production '!$C$4:$AI$4407,'Tracking Sheet'!B2818,'Production '!$AG$4:$AG$4407)</f>
        <v>0</v>
      </c>
    </row>
    <row r="2819" spans="2:10" x14ac:dyDescent="0.3">
      <c r="B2819" s="277">
        <f>'Production '!C2822</f>
        <v>0</v>
      </c>
      <c r="C2819" s="76" t="e">
        <f ca="1">SUMIF('Production '!$C$4:$AI$4407,'Tracking Sheet'!B2819,'Production '!$M$4:$M$4407)</f>
        <v>#DIV/0!</v>
      </c>
      <c r="D2819" s="76" t="e">
        <f ca="1">SUMIF('Production '!$C$4:$AI$4407,'Tracking Sheet'!B2819,'Production '!$Q$4:$Q$4407)</f>
        <v>#DIV/0!</v>
      </c>
      <c r="E2819" s="76">
        <f ca="1">SUMIF('Production '!$C$4:$AI$4407,'Tracking Sheet'!B2819,'Production '!$S$4:$S$4407)</f>
        <v>-1268218.9828305368</v>
      </c>
      <c r="F2819" s="76">
        <f ca="1">SUMIF('Production '!$C$4:$AI$4407,'Tracking Sheet'!B2819,'Production '!$U$4:$U$4407)</f>
        <v>-10620.435600016917</v>
      </c>
      <c r="G2819" s="76" t="e">
        <f ca="1">SUMIF('Production '!$C$4:$AI$4407,'Tracking Sheet'!B2819,'Production '!$W$4:$W$4407)</f>
        <v>#DIV/0!</v>
      </c>
      <c r="H2819" s="76">
        <f ca="1">SUMIF('Production '!$C$4:$AI$4407,'Tracking Sheet'!B2819,'Production '!$F$4:$F$4407)</f>
        <v>3230621.3283604058</v>
      </c>
      <c r="I2819" s="76">
        <f ca="1">SUMIF('Production '!$C$4:$AI$4407,'Tracking Sheet'!B2819,'Production '!$V$4:$V$4407)</f>
        <v>-489.86487791182844</v>
      </c>
      <c r="J2819" s="76">
        <f ca="1">SUMIF('Production '!$C$4:$AI$4407,'Tracking Sheet'!B2819,'Production '!$AG$4:$AG$4407)</f>
        <v>0</v>
      </c>
    </row>
    <row r="2820" spans="2:10" x14ac:dyDescent="0.3">
      <c r="B2820" s="277">
        <f>'Production '!C2823</f>
        <v>0</v>
      </c>
      <c r="C2820" s="76" t="e">
        <f ca="1">SUMIF('Production '!$C$4:$AI$4407,'Tracking Sheet'!B2820,'Production '!$M$4:$M$4407)</f>
        <v>#DIV/0!</v>
      </c>
      <c r="D2820" s="76" t="e">
        <f ca="1">SUMIF('Production '!$C$4:$AI$4407,'Tracking Sheet'!B2820,'Production '!$Q$4:$Q$4407)</f>
        <v>#DIV/0!</v>
      </c>
      <c r="E2820" s="76">
        <f ca="1">SUMIF('Production '!$C$4:$AI$4407,'Tracking Sheet'!B2820,'Production '!$S$4:$S$4407)</f>
        <v>-1268218.9828305368</v>
      </c>
      <c r="F2820" s="76">
        <f ca="1">SUMIF('Production '!$C$4:$AI$4407,'Tracking Sheet'!B2820,'Production '!$U$4:$U$4407)</f>
        <v>-10620.435600016917</v>
      </c>
      <c r="G2820" s="76" t="e">
        <f ca="1">SUMIF('Production '!$C$4:$AI$4407,'Tracking Sheet'!B2820,'Production '!$W$4:$W$4407)</f>
        <v>#DIV/0!</v>
      </c>
      <c r="H2820" s="76">
        <f ca="1">SUMIF('Production '!$C$4:$AI$4407,'Tracking Sheet'!B2820,'Production '!$F$4:$F$4407)</f>
        <v>3230621.3283604058</v>
      </c>
      <c r="I2820" s="76">
        <f ca="1">SUMIF('Production '!$C$4:$AI$4407,'Tracking Sheet'!B2820,'Production '!$V$4:$V$4407)</f>
        <v>-489.86487791182844</v>
      </c>
      <c r="J2820" s="76">
        <f ca="1">SUMIF('Production '!$C$4:$AI$4407,'Tracking Sheet'!B2820,'Production '!$AG$4:$AG$4407)</f>
        <v>0</v>
      </c>
    </row>
    <row r="2821" spans="2:10" x14ac:dyDescent="0.3">
      <c r="B2821" s="277">
        <f>'Production '!C2824</f>
        <v>0</v>
      </c>
      <c r="C2821" s="76" t="e">
        <f ca="1">SUMIF('Production '!$C$4:$AI$4407,'Tracking Sheet'!B2821,'Production '!$M$4:$M$4407)</f>
        <v>#DIV/0!</v>
      </c>
      <c r="D2821" s="76" t="e">
        <f ca="1">SUMIF('Production '!$C$4:$AI$4407,'Tracking Sheet'!B2821,'Production '!$Q$4:$Q$4407)</f>
        <v>#DIV/0!</v>
      </c>
      <c r="E2821" s="76">
        <f ca="1">SUMIF('Production '!$C$4:$AI$4407,'Tracking Sheet'!B2821,'Production '!$S$4:$S$4407)</f>
        <v>-1268218.9828305368</v>
      </c>
      <c r="F2821" s="76">
        <f ca="1">SUMIF('Production '!$C$4:$AI$4407,'Tracking Sheet'!B2821,'Production '!$U$4:$U$4407)</f>
        <v>-10620.435600016917</v>
      </c>
      <c r="G2821" s="76" t="e">
        <f ca="1">SUMIF('Production '!$C$4:$AI$4407,'Tracking Sheet'!B2821,'Production '!$W$4:$W$4407)</f>
        <v>#DIV/0!</v>
      </c>
      <c r="H2821" s="76">
        <f ca="1">SUMIF('Production '!$C$4:$AI$4407,'Tracking Sheet'!B2821,'Production '!$F$4:$F$4407)</f>
        <v>3230621.3283604058</v>
      </c>
      <c r="I2821" s="76">
        <f ca="1">SUMIF('Production '!$C$4:$AI$4407,'Tracking Sheet'!B2821,'Production '!$V$4:$V$4407)</f>
        <v>-489.86487791182844</v>
      </c>
      <c r="J2821" s="76">
        <f ca="1">SUMIF('Production '!$C$4:$AI$4407,'Tracking Sheet'!B2821,'Production '!$AG$4:$AG$4407)</f>
        <v>0</v>
      </c>
    </row>
    <row r="2822" spans="2:10" x14ac:dyDescent="0.3">
      <c r="B2822" s="277">
        <f>'Production '!C2825</f>
        <v>0</v>
      </c>
      <c r="C2822" s="76" t="e">
        <f ca="1">SUMIF('Production '!$C$4:$AI$4407,'Tracking Sheet'!B2822,'Production '!$M$4:$M$4407)</f>
        <v>#DIV/0!</v>
      </c>
      <c r="D2822" s="76" t="e">
        <f ca="1">SUMIF('Production '!$C$4:$AI$4407,'Tracking Sheet'!B2822,'Production '!$Q$4:$Q$4407)</f>
        <v>#DIV/0!</v>
      </c>
      <c r="E2822" s="76">
        <f ca="1">SUMIF('Production '!$C$4:$AI$4407,'Tracking Sheet'!B2822,'Production '!$S$4:$S$4407)</f>
        <v>-1268218.9828305368</v>
      </c>
      <c r="F2822" s="76">
        <f ca="1">SUMIF('Production '!$C$4:$AI$4407,'Tracking Sheet'!B2822,'Production '!$U$4:$U$4407)</f>
        <v>-10620.435600016917</v>
      </c>
      <c r="G2822" s="76" t="e">
        <f ca="1">SUMIF('Production '!$C$4:$AI$4407,'Tracking Sheet'!B2822,'Production '!$W$4:$W$4407)</f>
        <v>#DIV/0!</v>
      </c>
      <c r="H2822" s="76">
        <f ca="1">SUMIF('Production '!$C$4:$AI$4407,'Tracking Sheet'!B2822,'Production '!$F$4:$F$4407)</f>
        <v>3230621.3283604058</v>
      </c>
      <c r="I2822" s="76">
        <f ca="1">SUMIF('Production '!$C$4:$AI$4407,'Tracking Sheet'!B2822,'Production '!$V$4:$V$4407)</f>
        <v>-489.86487791182844</v>
      </c>
      <c r="J2822" s="76">
        <f ca="1">SUMIF('Production '!$C$4:$AI$4407,'Tracking Sheet'!B2822,'Production '!$AG$4:$AG$4407)</f>
        <v>0</v>
      </c>
    </row>
    <row r="2823" spans="2:10" x14ac:dyDescent="0.3">
      <c r="B2823" s="277">
        <f>'Production '!C2826</f>
        <v>0</v>
      </c>
      <c r="C2823" s="76" t="e">
        <f ca="1">SUMIF('Production '!$C$4:$AI$4407,'Tracking Sheet'!B2823,'Production '!$M$4:$M$4407)</f>
        <v>#DIV/0!</v>
      </c>
      <c r="D2823" s="76" t="e">
        <f ca="1">SUMIF('Production '!$C$4:$AI$4407,'Tracking Sheet'!B2823,'Production '!$Q$4:$Q$4407)</f>
        <v>#DIV/0!</v>
      </c>
      <c r="E2823" s="76">
        <f ca="1">SUMIF('Production '!$C$4:$AI$4407,'Tracking Sheet'!B2823,'Production '!$S$4:$S$4407)</f>
        <v>-1268218.9828305368</v>
      </c>
      <c r="F2823" s="76">
        <f ca="1">SUMIF('Production '!$C$4:$AI$4407,'Tracking Sheet'!B2823,'Production '!$U$4:$U$4407)</f>
        <v>-10620.435600016917</v>
      </c>
      <c r="G2823" s="76" t="e">
        <f ca="1">SUMIF('Production '!$C$4:$AI$4407,'Tracking Sheet'!B2823,'Production '!$W$4:$W$4407)</f>
        <v>#DIV/0!</v>
      </c>
      <c r="H2823" s="76">
        <f ca="1">SUMIF('Production '!$C$4:$AI$4407,'Tracking Sheet'!B2823,'Production '!$F$4:$F$4407)</f>
        <v>3230621.3283604058</v>
      </c>
      <c r="I2823" s="76">
        <f ca="1">SUMIF('Production '!$C$4:$AI$4407,'Tracking Sheet'!B2823,'Production '!$V$4:$V$4407)</f>
        <v>-489.86487791182844</v>
      </c>
      <c r="J2823" s="76">
        <f ca="1">SUMIF('Production '!$C$4:$AI$4407,'Tracking Sheet'!B2823,'Production '!$AG$4:$AG$4407)</f>
        <v>0</v>
      </c>
    </row>
    <row r="2824" spans="2:10" x14ac:dyDescent="0.3">
      <c r="B2824" s="277">
        <f>'Production '!C2827</f>
        <v>0</v>
      </c>
      <c r="C2824" s="76" t="e">
        <f ca="1">SUMIF('Production '!$C$4:$AI$4407,'Tracking Sheet'!B2824,'Production '!$M$4:$M$4407)</f>
        <v>#DIV/0!</v>
      </c>
      <c r="D2824" s="76" t="e">
        <f ca="1">SUMIF('Production '!$C$4:$AI$4407,'Tracking Sheet'!B2824,'Production '!$Q$4:$Q$4407)</f>
        <v>#DIV/0!</v>
      </c>
      <c r="E2824" s="76">
        <f ca="1">SUMIF('Production '!$C$4:$AI$4407,'Tracking Sheet'!B2824,'Production '!$S$4:$S$4407)</f>
        <v>-1268218.9828305368</v>
      </c>
      <c r="F2824" s="76">
        <f ca="1">SUMIF('Production '!$C$4:$AI$4407,'Tracking Sheet'!B2824,'Production '!$U$4:$U$4407)</f>
        <v>-10620.435600016917</v>
      </c>
      <c r="G2824" s="76" t="e">
        <f ca="1">SUMIF('Production '!$C$4:$AI$4407,'Tracking Sheet'!B2824,'Production '!$W$4:$W$4407)</f>
        <v>#DIV/0!</v>
      </c>
      <c r="H2824" s="76">
        <f ca="1">SUMIF('Production '!$C$4:$AI$4407,'Tracking Sheet'!B2824,'Production '!$F$4:$F$4407)</f>
        <v>3230621.3283604058</v>
      </c>
      <c r="I2824" s="76">
        <f ca="1">SUMIF('Production '!$C$4:$AI$4407,'Tracking Sheet'!B2824,'Production '!$V$4:$V$4407)</f>
        <v>-489.86487791182844</v>
      </c>
      <c r="J2824" s="76">
        <f ca="1">SUMIF('Production '!$C$4:$AI$4407,'Tracking Sheet'!B2824,'Production '!$AG$4:$AG$4407)</f>
        <v>0</v>
      </c>
    </row>
    <row r="2825" spans="2:10" x14ac:dyDescent="0.3">
      <c r="B2825" s="277">
        <f>'Production '!C2828</f>
        <v>0</v>
      </c>
      <c r="C2825" s="76" t="e">
        <f ca="1">SUMIF('Production '!$C$4:$AI$4407,'Tracking Sheet'!B2825,'Production '!$M$4:$M$4407)</f>
        <v>#DIV/0!</v>
      </c>
      <c r="D2825" s="76" t="e">
        <f ca="1">SUMIF('Production '!$C$4:$AI$4407,'Tracking Sheet'!B2825,'Production '!$Q$4:$Q$4407)</f>
        <v>#DIV/0!</v>
      </c>
      <c r="E2825" s="76">
        <f ca="1">SUMIF('Production '!$C$4:$AI$4407,'Tracking Sheet'!B2825,'Production '!$S$4:$S$4407)</f>
        <v>-1268218.9828305368</v>
      </c>
      <c r="F2825" s="76">
        <f ca="1">SUMIF('Production '!$C$4:$AI$4407,'Tracking Sheet'!B2825,'Production '!$U$4:$U$4407)</f>
        <v>-10620.435600016917</v>
      </c>
      <c r="G2825" s="76" t="e">
        <f ca="1">SUMIF('Production '!$C$4:$AI$4407,'Tracking Sheet'!B2825,'Production '!$W$4:$W$4407)</f>
        <v>#DIV/0!</v>
      </c>
      <c r="H2825" s="76">
        <f ca="1">SUMIF('Production '!$C$4:$AI$4407,'Tracking Sheet'!B2825,'Production '!$F$4:$F$4407)</f>
        <v>3230621.3283604058</v>
      </c>
      <c r="I2825" s="76">
        <f ca="1">SUMIF('Production '!$C$4:$AI$4407,'Tracking Sheet'!B2825,'Production '!$V$4:$V$4407)</f>
        <v>-489.86487791182844</v>
      </c>
      <c r="J2825" s="76">
        <f ca="1">SUMIF('Production '!$C$4:$AI$4407,'Tracking Sheet'!B2825,'Production '!$AG$4:$AG$4407)</f>
        <v>0</v>
      </c>
    </row>
    <row r="2826" spans="2:10" x14ac:dyDescent="0.3">
      <c r="B2826" s="277">
        <f>'Production '!C2829</f>
        <v>0</v>
      </c>
      <c r="C2826" s="76" t="e">
        <f ca="1">SUMIF('Production '!$C$4:$AI$4407,'Tracking Sheet'!B2826,'Production '!$M$4:$M$4407)</f>
        <v>#DIV/0!</v>
      </c>
      <c r="D2826" s="76" t="e">
        <f ca="1">SUMIF('Production '!$C$4:$AI$4407,'Tracking Sheet'!B2826,'Production '!$Q$4:$Q$4407)</f>
        <v>#DIV/0!</v>
      </c>
      <c r="E2826" s="76">
        <f ca="1">SUMIF('Production '!$C$4:$AI$4407,'Tracking Sheet'!B2826,'Production '!$S$4:$S$4407)</f>
        <v>-1268218.9828305368</v>
      </c>
      <c r="F2826" s="76">
        <f ca="1">SUMIF('Production '!$C$4:$AI$4407,'Tracking Sheet'!B2826,'Production '!$U$4:$U$4407)</f>
        <v>-10620.435600016917</v>
      </c>
      <c r="G2826" s="76" t="e">
        <f ca="1">SUMIF('Production '!$C$4:$AI$4407,'Tracking Sheet'!B2826,'Production '!$W$4:$W$4407)</f>
        <v>#DIV/0!</v>
      </c>
      <c r="H2826" s="76">
        <f ca="1">SUMIF('Production '!$C$4:$AI$4407,'Tracking Sheet'!B2826,'Production '!$F$4:$F$4407)</f>
        <v>3230621.3283604058</v>
      </c>
      <c r="I2826" s="76">
        <f ca="1">SUMIF('Production '!$C$4:$AI$4407,'Tracking Sheet'!B2826,'Production '!$V$4:$V$4407)</f>
        <v>-489.86487791182844</v>
      </c>
      <c r="J2826" s="76">
        <f ca="1">SUMIF('Production '!$C$4:$AI$4407,'Tracking Sheet'!B2826,'Production '!$AG$4:$AG$4407)</f>
        <v>0</v>
      </c>
    </row>
    <row r="2827" spans="2:10" x14ac:dyDescent="0.3">
      <c r="B2827" s="277">
        <f>'Production '!C2830</f>
        <v>0</v>
      </c>
      <c r="C2827" s="76" t="e">
        <f ca="1">SUMIF('Production '!$C$4:$AI$4407,'Tracking Sheet'!B2827,'Production '!$M$4:$M$4407)</f>
        <v>#DIV/0!</v>
      </c>
      <c r="D2827" s="76" t="e">
        <f ca="1">SUMIF('Production '!$C$4:$AI$4407,'Tracking Sheet'!B2827,'Production '!$Q$4:$Q$4407)</f>
        <v>#DIV/0!</v>
      </c>
      <c r="E2827" s="76">
        <f ca="1">SUMIF('Production '!$C$4:$AI$4407,'Tracking Sheet'!B2827,'Production '!$S$4:$S$4407)</f>
        <v>-1268218.9828305368</v>
      </c>
      <c r="F2827" s="76">
        <f ca="1">SUMIF('Production '!$C$4:$AI$4407,'Tracking Sheet'!B2827,'Production '!$U$4:$U$4407)</f>
        <v>-10620.435600016917</v>
      </c>
      <c r="G2827" s="76" t="e">
        <f ca="1">SUMIF('Production '!$C$4:$AI$4407,'Tracking Sheet'!B2827,'Production '!$W$4:$W$4407)</f>
        <v>#DIV/0!</v>
      </c>
      <c r="H2827" s="76">
        <f ca="1">SUMIF('Production '!$C$4:$AI$4407,'Tracking Sheet'!B2827,'Production '!$F$4:$F$4407)</f>
        <v>3230621.3283604058</v>
      </c>
      <c r="I2827" s="76">
        <f ca="1">SUMIF('Production '!$C$4:$AI$4407,'Tracking Sheet'!B2827,'Production '!$V$4:$V$4407)</f>
        <v>-489.86487791182844</v>
      </c>
      <c r="J2827" s="76">
        <f ca="1">SUMIF('Production '!$C$4:$AI$4407,'Tracking Sheet'!B2827,'Production '!$AG$4:$AG$4407)</f>
        <v>0</v>
      </c>
    </row>
    <row r="2828" spans="2:10" x14ac:dyDescent="0.3">
      <c r="B2828" s="277">
        <f>'Production '!C2831</f>
        <v>0</v>
      </c>
      <c r="C2828" s="76" t="e">
        <f ca="1">SUMIF('Production '!$C$4:$AI$4407,'Tracking Sheet'!B2828,'Production '!$M$4:$M$4407)</f>
        <v>#DIV/0!</v>
      </c>
      <c r="D2828" s="76" t="e">
        <f ca="1">SUMIF('Production '!$C$4:$AI$4407,'Tracking Sheet'!B2828,'Production '!$Q$4:$Q$4407)</f>
        <v>#DIV/0!</v>
      </c>
      <c r="E2828" s="76">
        <f ca="1">SUMIF('Production '!$C$4:$AI$4407,'Tracking Sheet'!B2828,'Production '!$S$4:$S$4407)</f>
        <v>-1268218.9828305368</v>
      </c>
      <c r="F2828" s="76">
        <f ca="1">SUMIF('Production '!$C$4:$AI$4407,'Tracking Sheet'!B2828,'Production '!$U$4:$U$4407)</f>
        <v>-10620.435600016917</v>
      </c>
      <c r="G2828" s="76" t="e">
        <f ca="1">SUMIF('Production '!$C$4:$AI$4407,'Tracking Sheet'!B2828,'Production '!$W$4:$W$4407)</f>
        <v>#DIV/0!</v>
      </c>
      <c r="H2828" s="76">
        <f ca="1">SUMIF('Production '!$C$4:$AI$4407,'Tracking Sheet'!B2828,'Production '!$F$4:$F$4407)</f>
        <v>3230621.3283604058</v>
      </c>
      <c r="I2828" s="76">
        <f ca="1">SUMIF('Production '!$C$4:$AI$4407,'Tracking Sheet'!B2828,'Production '!$V$4:$V$4407)</f>
        <v>-489.86487791182844</v>
      </c>
      <c r="J2828" s="76">
        <f ca="1">SUMIF('Production '!$C$4:$AI$4407,'Tracking Sheet'!B2828,'Production '!$AG$4:$AG$4407)</f>
        <v>0</v>
      </c>
    </row>
    <row r="2829" spans="2:10" x14ac:dyDescent="0.3">
      <c r="B2829" s="277">
        <f>'Production '!C2832</f>
        <v>0</v>
      </c>
      <c r="C2829" s="76" t="e">
        <f ca="1">SUMIF('Production '!$C$4:$AI$4407,'Tracking Sheet'!B2829,'Production '!$M$4:$M$4407)</f>
        <v>#DIV/0!</v>
      </c>
      <c r="D2829" s="76" t="e">
        <f ca="1">SUMIF('Production '!$C$4:$AI$4407,'Tracking Sheet'!B2829,'Production '!$Q$4:$Q$4407)</f>
        <v>#DIV/0!</v>
      </c>
      <c r="E2829" s="76">
        <f ca="1">SUMIF('Production '!$C$4:$AI$4407,'Tracking Sheet'!B2829,'Production '!$S$4:$S$4407)</f>
        <v>-1268218.9828305368</v>
      </c>
      <c r="F2829" s="76">
        <f ca="1">SUMIF('Production '!$C$4:$AI$4407,'Tracking Sheet'!B2829,'Production '!$U$4:$U$4407)</f>
        <v>-10620.435600016917</v>
      </c>
      <c r="G2829" s="76" t="e">
        <f ca="1">SUMIF('Production '!$C$4:$AI$4407,'Tracking Sheet'!B2829,'Production '!$W$4:$W$4407)</f>
        <v>#DIV/0!</v>
      </c>
      <c r="H2829" s="76">
        <f ca="1">SUMIF('Production '!$C$4:$AI$4407,'Tracking Sheet'!B2829,'Production '!$F$4:$F$4407)</f>
        <v>3230621.3283604058</v>
      </c>
      <c r="I2829" s="76">
        <f ca="1">SUMIF('Production '!$C$4:$AI$4407,'Tracking Sheet'!B2829,'Production '!$V$4:$V$4407)</f>
        <v>-489.86487791182844</v>
      </c>
      <c r="J2829" s="76">
        <f ca="1">SUMIF('Production '!$C$4:$AI$4407,'Tracking Sheet'!B2829,'Production '!$AG$4:$AG$4407)</f>
        <v>0</v>
      </c>
    </row>
    <row r="2830" spans="2:10" x14ac:dyDescent="0.3">
      <c r="B2830" s="277">
        <f>'Production '!C2833</f>
        <v>0</v>
      </c>
      <c r="C2830" s="76" t="e">
        <f ca="1">SUMIF('Production '!$C$4:$AI$4407,'Tracking Sheet'!B2830,'Production '!$M$4:$M$4407)</f>
        <v>#DIV/0!</v>
      </c>
      <c r="D2830" s="76" t="e">
        <f ca="1">SUMIF('Production '!$C$4:$AI$4407,'Tracking Sheet'!B2830,'Production '!$Q$4:$Q$4407)</f>
        <v>#DIV/0!</v>
      </c>
      <c r="E2830" s="76">
        <f ca="1">SUMIF('Production '!$C$4:$AI$4407,'Tracking Sheet'!B2830,'Production '!$S$4:$S$4407)</f>
        <v>-1268218.9828305368</v>
      </c>
      <c r="F2830" s="76">
        <f ca="1">SUMIF('Production '!$C$4:$AI$4407,'Tracking Sheet'!B2830,'Production '!$U$4:$U$4407)</f>
        <v>-10620.435600016917</v>
      </c>
      <c r="G2830" s="76" t="e">
        <f ca="1">SUMIF('Production '!$C$4:$AI$4407,'Tracking Sheet'!B2830,'Production '!$W$4:$W$4407)</f>
        <v>#DIV/0!</v>
      </c>
      <c r="H2830" s="76">
        <f ca="1">SUMIF('Production '!$C$4:$AI$4407,'Tracking Sheet'!B2830,'Production '!$F$4:$F$4407)</f>
        <v>3230621.3283604058</v>
      </c>
      <c r="I2830" s="76">
        <f ca="1">SUMIF('Production '!$C$4:$AI$4407,'Tracking Sheet'!B2830,'Production '!$V$4:$V$4407)</f>
        <v>-489.86487791182844</v>
      </c>
      <c r="J2830" s="76">
        <f ca="1">SUMIF('Production '!$C$4:$AI$4407,'Tracking Sheet'!B2830,'Production '!$AG$4:$AG$4407)</f>
        <v>0</v>
      </c>
    </row>
    <row r="2831" spans="2:10" x14ac:dyDescent="0.3">
      <c r="B2831" s="277">
        <f>'Production '!C2834</f>
        <v>0</v>
      </c>
      <c r="C2831" s="76" t="e">
        <f ca="1">SUMIF('Production '!$C$4:$AI$4407,'Tracking Sheet'!B2831,'Production '!$M$4:$M$4407)</f>
        <v>#DIV/0!</v>
      </c>
      <c r="D2831" s="76" t="e">
        <f ca="1">SUMIF('Production '!$C$4:$AI$4407,'Tracking Sheet'!B2831,'Production '!$Q$4:$Q$4407)</f>
        <v>#DIV/0!</v>
      </c>
      <c r="E2831" s="76">
        <f ca="1">SUMIF('Production '!$C$4:$AI$4407,'Tracking Sheet'!B2831,'Production '!$S$4:$S$4407)</f>
        <v>-1268218.9828305368</v>
      </c>
      <c r="F2831" s="76">
        <f ca="1">SUMIF('Production '!$C$4:$AI$4407,'Tracking Sheet'!B2831,'Production '!$U$4:$U$4407)</f>
        <v>-10620.435600016917</v>
      </c>
      <c r="G2831" s="76" t="e">
        <f ca="1">SUMIF('Production '!$C$4:$AI$4407,'Tracking Sheet'!B2831,'Production '!$W$4:$W$4407)</f>
        <v>#DIV/0!</v>
      </c>
      <c r="H2831" s="76">
        <f ca="1">SUMIF('Production '!$C$4:$AI$4407,'Tracking Sheet'!B2831,'Production '!$F$4:$F$4407)</f>
        <v>3230621.3283604058</v>
      </c>
      <c r="I2831" s="76">
        <f ca="1">SUMIF('Production '!$C$4:$AI$4407,'Tracking Sheet'!B2831,'Production '!$V$4:$V$4407)</f>
        <v>-489.86487791182844</v>
      </c>
      <c r="J2831" s="76">
        <f ca="1">SUMIF('Production '!$C$4:$AI$4407,'Tracking Sheet'!B2831,'Production '!$AG$4:$AG$4407)</f>
        <v>0</v>
      </c>
    </row>
    <row r="2832" spans="2:10" x14ac:dyDescent="0.3">
      <c r="B2832" s="277">
        <f>'Production '!C2835</f>
        <v>0</v>
      </c>
      <c r="C2832" s="76" t="e">
        <f ca="1">SUMIF('Production '!$C$4:$AI$4407,'Tracking Sheet'!B2832,'Production '!$M$4:$M$4407)</f>
        <v>#DIV/0!</v>
      </c>
      <c r="D2832" s="76" t="e">
        <f ca="1">SUMIF('Production '!$C$4:$AI$4407,'Tracking Sheet'!B2832,'Production '!$Q$4:$Q$4407)</f>
        <v>#DIV/0!</v>
      </c>
      <c r="E2832" s="76">
        <f ca="1">SUMIF('Production '!$C$4:$AI$4407,'Tracking Sheet'!B2832,'Production '!$S$4:$S$4407)</f>
        <v>-1268218.9828305368</v>
      </c>
      <c r="F2832" s="76">
        <f ca="1">SUMIF('Production '!$C$4:$AI$4407,'Tracking Sheet'!B2832,'Production '!$U$4:$U$4407)</f>
        <v>-10620.435600016917</v>
      </c>
      <c r="G2832" s="76" t="e">
        <f ca="1">SUMIF('Production '!$C$4:$AI$4407,'Tracking Sheet'!B2832,'Production '!$W$4:$W$4407)</f>
        <v>#DIV/0!</v>
      </c>
      <c r="H2832" s="76">
        <f ca="1">SUMIF('Production '!$C$4:$AI$4407,'Tracking Sheet'!B2832,'Production '!$F$4:$F$4407)</f>
        <v>3230621.3283604058</v>
      </c>
      <c r="I2832" s="76">
        <f ca="1">SUMIF('Production '!$C$4:$AI$4407,'Tracking Sheet'!B2832,'Production '!$V$4:$V$4407)</f>
        <v>-489.86487791182844</v>
      </c>
      <c r="J2832" s="76">
        <f ca="1">SUMIF('Production '!$C$4:$AI$4407,'Tracking Sheet'!B2832,'Production '!$AG$4:$AG$4407)</f>
        <v>0</v>
      </c>
    </row>
    <row r="2833" spans="2:10" x14ac:dyDescent="0.3">
      <c r="B2833" s="277">
        <f>'Production '!C2836</f>
        <v>0</v>
      </c>
      <c r="C2833" s="76" t="e">
        <f ca="1">SUMIF('Production '!$C$4:$AI$4407,'Tracking Sheet'!B2833,'Production '!$M$4:$M$4407)</f>
        <v>#DIV/0!</v>
      </c>
      <c r="D2833" s="76" t="e">
        <f ca="1">SUMIF('Production '!$C$4:$AI$4407,'Tracking Sheet'!B2833,'Production '!$Q$4:$Q$4407)</f>
        <v>#DIV/0!</v>
      </c>
      <c r="E2833" s="76">
        <f ca="1">SUMIF('Production '!$C$4:$AI$4407,'Tracking Sheet'!B2833,'Production '!$S$4:$S$4407)</f>
        <v>-1268218.9828305368</v>
      </c>
      <c r="F2833" s="76">
        <f ca="1">SUMIF('Production '!$C$4:$AI$4407,'Tracking Sheet'!B2833,'Production '!$U$4:$U$4407)</f>
        <v>-10620.435600016917</v>
      </c>
      <c r="G2833" s="76" t="e">
        <f ca="1">SUMIF('Production '!$C$4:$AI$4407,'Tracking Sheet'!B2833,'Production '!$W$4:$W$4407)</f>
        <v>#DIV/0!</v>
      </c>
      <c r="H2833" s="76">
        <f ca="1">SUMIF('Production '!$C$4:$AI$4407,'Tracking Sheet'!B2833,'Production '!$F$4:$F$4407)</f>
        <v>3230621.3283604058</v>
      </c>
      <c r="I2833" s="76">
        <f ca="1">SUMIF('Production '!$C$4:$AI$4407,'Tracking Sheet'!B2833,'Production '!$V$4:$V$4407)</f>
        <v>-489.86487791182844</v>
      </c>
      <c r="J2833" s="76">
        <f ca="1">SUMIF('Production '!$C$4:$AI$4407,'Tracking Sheet'!B2833,'Production '!$AG$4:$AG$4407)</f>
        <v>0</v>
      </c>
    </row>
    <row r="2834" spans="2:10" x14ac:dyDescent="0.3">
      <c r="B2834" s="277">
        <f>'Production '!C2837</f>
        <v>0</v>
      </c>
      <c r="C2834" s="76" t="e">
        <f ca="1">SUMIF('Production '!$C$4:$AI$4407,'Tracking Sheet'!B2834,'Production '!$M$4:$M$4407)</f>
        <v>#DIV/0!</v>
      </c>
      <c r="D2834" s="76" t="e">
        <f ca="1">SUMIF('Production '!$C$4:$AI$4407,'Tracking Sheet'!B2834,'Production '!$Q$4:$Q$4407)</f>
        <v>#DIV/0!</v>
      </c>
      <c r="E2834" s="76">
        <f ca="1">SUMIF('Production '!$C$4:$AI$4407,'Tracking Sheet'!B2834,'Production '!$S$4:$S$4407)</f>
        <v>-1268218.9828305368</v>
      </c>
      <c r="F2834" s="76">
        <f ca="1">SUMIF('Production '!$C$4:$AI$4407,'Tracking Sheet'!B2834,'Production '!$U$4:$U$4407)</f>
        <v>-10620.435600016917</v>
      </c>
      <c r="G2834" s="76" t="e">
        <f ca="1">SUMIF('Production '!$C$4:$AI$4407,'Tracking Sheet'!B2834,'Production '!$W$4:$W$4407)</f>
        <v>#DIV/0!</v>
      </c>
      <c r="H2834" s="76">
        <f ca="1">SUMIF('Production '!$C$4:$AI$4407,'Tracking Sheet'!B2834,'Production '!$F$4:$F$4407)</f>
        <v>3230621.3283604058</v>
      </c>
      <c r="I2834" s="76">
        <f ca="1">SUMIF('Production '!$C$4:$AI$4407,'Tracking Sheet'!B2834,'Production '!$V$4:$V$4407)</f>
        <v>-489.86487791182844</v>
      </c>
      <c r="J2834" s="76">
        <f ca="1">SUMIF('Production '!$C$4:$AI$4407,'Tracking Sheet'!B2834,'Production '!$AG$4:$AG$4407)</f>
        <v>0</v>
      </c>
    </row>
    <row r="2835" spans="2:10" x14ac:dyDescent="0.3">
      <c r="B2835" s="277">
        <f>'Production '!C2838</f>
        <v>0</v>
      </c>
      <c r="C2835" s="76" t="e">
        <f ca="1">SUMIF('Production '!$C$4:$AI$4407,'Tracking Sheet'!B2835,'Production '!$M$4:$M$4407)</f>
        <v>#DIV/0!</v>
      </c>
      <c r="D2835" s="76" t="e">
        <f ca="1">SUMIF('Production '!$C$4:$AI$4407,'Tracking Sheet'!B2835,'Production '!$Q$4:$Q$4407)</f>
        <v>#DIV/0!</v>
      </c>
      <c r="E2835" s="76">
        <f ca="1">SUMIF('Production '!$C$4:$AI$4407,'Tracking Sheet'!B2835,'Production '!$S$4:$S$4407)</f>
        <v>-1268218.9828305368</v>
      </c>
      <c r="F2835" s="76">
        <f ca="1">SUMIF('Production '!$C$4:$AI$4407,'Tracking Sheet'!B2835,'Production '!$U$4:$U$4407)</f>
        <v>-10620.435600016917</v>
      </c>
      <c r="G2835" s="76" t="e">
        <f ca="1">SUMIF('Production '!$C$4:$AI$4407,'Tracking Sheet'!B2835,'Production '!$W$4:$W$4407)</f>
        <v>#DIV/0!</v>
      </c>
      <c r="H2835" s="76">
        <f ca="1">SUMIF('Production '!$C$4:$AI$4407,'Tracking Sheet'!B2835,'Production '!$F$4:$F$4407)</f>
        <v>3230621.3283604058</v>
      </c>
      <c r="I2835" s="76">
        <f ca="1">SUMIF('Production '!$C$4:$AI$4407,'Tracking Sheet'!B2835,'Production '!$V$4:$V$4407)</f>
        <v>-489.86487791182844</v>
      </c>
      <c r="J2835" s="76">
        <f ca="1">SUMIF('Production '!$C$4:$AI$4407,'Tracking Sheet'!B2835,'Production '!$AG$4:$AG$4407)</f>
        <v>0</v>
      </c>
    </row>
    <row r="2836" spans="2:10" x14ac:dyDescent="0.3">
      <c r="B2836" s="277">
        <f>'Production '!C2839</f>
        <v>0</v>
      </c>
      <c r="C2836" s="76" t="e">
        <f ca="1">SUMIF('Production '!$C$4:$AI$4407,'Tracking Sheet'!B2836,'Production '!$M$4:$M$4407)</f>
        <v>#DIV/0!</v>
      </c>
      <c r="D2836" s="76" t="e">
        <f ca="1">SUMIF('Production '!$C$4:$AI$4407,'Tracking Sheet'!B2836,'Production '!$Q$4:$Q$4407)</f>
        <v>#DIV/0!</v>
      </c>
      <c r="E2836" s="76">
        <f ca="1">SUMIF('Production '!$C$4:$AI$4407,'Tracking Sheet'!B2836,'Production '!$S$4:$S$4407)</f>
        <v>-1268218.9828305368</v>
      </c>
      <c r="F2836" s="76">
        <f ca="1">SUMIF('Production '!$C$4:$AI$4407,'Tracking Sheet'!B2836,'Production '!$U$4:$U$4407)</f>
        <v>-10620.435600016917</v>
      </c>
      <c r="G2836" s="76" t="e">
        <f ca="1">SUMIF('Production '!$C$4:$AI$4407,'Tracking Sheet'!B2836,'Production '!$W$4:$W$4407)</f>
        <v>#DIV/0!</v>
      </c>
      <c r="H2836" s="76">
        <f ca="1">SUMIF('Production '!$C$4:$AI$4407,'Tracking Sheet'!B2836,'Production '!$F$4:$F$4407)</f>
        <v>3230621.3283604058</v>
      </c>
      <c r="I2836" s="76">
        <f ca="1">SUMIF('Production '!$C$4:$AI$4407,'Tracking Sheet'!B2836,'Production '!$V$4:$V$4407)</f>
        <v>-489.86487791182844</v>
      </c>
      <c r="J2836" s="76">
        <f ca="1">SUMIF('Production '!$C$4:$AI$4407,'Tracking Sheet'!B2836,'Production '!$AG$4:$AG$4407)</f>
        <v>0</v>
      </c>
    </row>
    <row r="2837" spans="2:10" x14ac:dyDescent="0.3">
      <c r="B2837" s="277">
        <f>'Production '!C2840</f>
        <v>0</v>
      </c>
      <c r="C2837" s="76" t="e">
        <f ca="1">SUMIF('Production '!$C$4:$AI$4407,'Tracking Sheet'!B2837,'Production '!$M$4:$M$4407)</f>
        <v>#DIV/0!</v>
      </c>
      <c r="D2837" s="76" t="e">
        <f ca="1">SUMIF('Production '!$C$4:$AI$4407,'Tracking Sheet'!B2837,'Production '!$Q$4:$Q$4407)</f>
        <v>#DIV/0!</v>
      </c>
      <c r="E2837" s="76">
        <f ca="1">SUMIF('Production '!$C$4:$AI$4407,'Tracking Sheet'!B2837,'Production '!$S$4:$S$4407)</f>
        <v>-1268218.9828305368</v>
      </c>
      <c r="F2837" s="76">
        <f ca="1">SUMIF('Production '!$C$4:$AI$4407,'Tracking Sheet'!B2837,'Production '!$U$4:$U$4407)</f>
        <v>-10620.435600016917</v>
      </c>
      <c r="G2837" s="76" t="e">
        <f ca="1">SUMIF('Production '!$C$4:$AI$4407,'Tracking Sheet'!B2837,'Production '!$W$4:$W$4407)</f>
        <v>#DIV/0!</v>
      </c>
      <c r="H2837" s="76">
        <f ca="1">SUMIF('Production '!$C$4:$AI$4407,'Tracking Sheet'!B2837,'Production '!$F$4:$F$4407)</f>
        <v>3230621.3283604058</v>
      </c>
      <c r="I2837" s="76">
        <f ca="1">SUMIF('Production '!$C$4:$AI$4407,'Tracking Sheet'!B2837,'Production '!$V$4:$V$4407)</f>
        <v>-489.86487791182844</v>
      </c>
      <c r="J2837" s="76">
        <f ca="1">SUMIF('Production '!$C$4:$AI$4407,'Tracking Sheet'!B2837,'Production '!$AG$4:$AG$4407)</f>
        <v>0</v>
      </c>
    </row>
    <row r="2838" spans="2:10" x14ac:dyDescent="0.3">
      <c r="B2838" s="277">
        <f>'Production '!C2841</f>
        <v>0</v>
      </c>
      <c r="C2838" s="76" t="e">
        <f ca="1">SUMIF('Production '!$C$4:$AI$4407,'Tracking Sheet'!B2838,'Production '!$M$4:$M$4407)</f>
        <v>#DIV/0!</v>
      </c>
      <c r="D2838" s="76" t="e">
        <f ca="1">SUMIF('Production '!$C$4:$AI$4407,'Tracking Sheet'!B2838,'Production '!$Q$4:$Q$4407)</f>
        <v>#DIV/0!</v>
      </c>
      <c r="E2838" s="76">
        <f ca="1">SUMIF('Production '!$C$4:$AI$4407,'Tracking Sheet'!B2838,'Production '!$S$4:$S$4407)</f>
        <v>-1268218.9828305368</v>
      </c>
      <c r="F2838" s="76">
        <f ca="1">SUMIF('Production '!$C$4:$AI$4407,'Tracking Sheet'!B2838,'Production '!$U$4:$U$4407)</f>
        <v>-10620.435600016917</v>
      </c>
      <c r="G2838" s="76" t="e">
        <f ca="1">SUMIF('Production '!$C$4:$AI$4407,'Tracking Sheet'!B2838,'Production '!$W$4:$W$4407)</f>
        <v>#DIV/0!</v>
      </c>
      <c r="H2838" s="76">
        <f ca="1">SUMIF('Production '!$C$4:$AI$4407,'Tracking Sheet'!B2838,'Production '!$F$4:$F$4407)</f>
        <v>3230621.3283604058</v>
      </c>
      <c r="I2838" s="76">
        <f ca="1">SUMIF('Production '!$C$4:$AI$4407,'Tracking Sheet'!B2838,'Production '!$V$4:$V$4407)</f>
        <v>-489.86487791182844</v>
      </c>
      <c r="J2838" s="76">
        <f ca="1">SUMIF('Production '!$C$4:$AI$4407,'Tracking Sheet'!B2838,'Production '!$AG$4:$AG$4407)</f>
        <v>0</v>
      </c>
    </row>
    <row r="2839" spans="2:10" x14ac:dyDescent="0.3">
      <c r="B2839" s="277">
        <f>'Production '!C2842</f>
        <v>0</v>
      </c>
      <c r="C2839" s="76" t="e">
        <f ca="1">SUMIF('Production '!$C$4:$AI$4407,'Tracking Sheet'!B2839,'Production '!$M$4:$M$4407)</f>
        <v>#DIV/0!</v>
      </c>
      <c r="D2839" s="76" t="e">
        <f ca="1">SUMIF('Production '!$C$4:$AI$4407,'Tracking Sheet'!B2839,'Production '!$Q$4:$Q$4407)</f>
        <v>#DIV/0!</v>
      </c>
      <c r="E2839" s="76">
        <f ca="1">SUMIF('Production '!$C$4:$AI$4407,'Tracking Sheet'!B2839,'Production '!$S$4:$S$4407)</f>
        <v>-1268218.9828305368</v>
      </c>
      <c r="F2839" s="76">
        <f ca="1">SUMIF('Production '!$C$4:$AI$4407,'Tracking Sheet'!B2839,'Production '!$U$4:$U$4407)</f>
        <v>-10620.435600016917</v>
      </c>
      <c r="G2839" s="76" t="e">
        <f ca="1">SUMIF('Production '!$C$4:$AI$4407,'Tracking Sheet'!B2839,'Production '!$W$4:$W$4407)</f>
        <v>#DIV/0!</v>
      </c>
      <c r="H2839" s="76">
        <f ca="1">SUMIF('Production '!$C$4:$AI$4407,'Tracking Sheet'!B2839,'Production '!$F$4:$F$4407)</f>
        <v>3230621.3283604058</v>
      </c>
      <c r="I2839" s="76">
        <f ca="1">SUMIF('Production '!$C$4:$AI$4407,'Tracking Sheet'!B2839,'Production '!$V$4:$V$4407)</f>
        <v>-489.86487791182844</v>
      </c>
      <c r="J2839" s="76">
        <f ca="1">SUMIF('Production '!$C$4:$AI$4407,'Tracking Sheet'!B2839,'Production '!$AG$4:$AG$4407)</f>
        <v>0</v>
      </c>
    </row>
    <row r="2840" spans="2:10" x14ac:dyDescent="0.3">
      <c r="B2840" s="277">
        <f>'Production '!C2843</f>
        <v>0</v>
      </c>
      <c r="C2840" s="76" t="e">
        <f ca="1">SUMIF('Production '!$C$4:$AI$4407,'Tracking Sheet'!B2840,'Production '!$M$4:$M$4407)</f>
        <v>#DIV/0!</v>
      </c>
      <c r="D2840" s="76" t="e">
        <f ca="1">SUMIF('Production '!$C$4:$AI$4407,'Tracking Sheet'!B2840,'Production '!$Q$4:$Q$4407)</f>
        <v>#DIV/0!</v>
      </c>
      <c r="E2840" s="76">
        <f ca="1">SUMIF('Production '!$C$4:$AI$4407,'Tracking Sheet'!B2840,'Production '!$S$4:$S$4407)</f>
        <v>-1268218.9828305368</v>
      </c>
      <c r="F2840" s="76">
        <f ca="1">SUMIF('Production '!$C$4:$AI$4407,'Tracking Sheet'!B2840,'Production '!$U$4:$U$4407)</f>
        <v>-10620.435600016917</v>
      </c>
      <c r="G2840" s="76" t="e">
        <f ca="1">SUMIF('Production '!$C$4:$AI$4407,'Tracking Sheet'!B2840,'Production '!$W$4:$W$4407)</f>
        <v>#DIV/0!</v>
      </c>
      <c r="H2840" s="76">
        <f ca="1">SUMIF('Production '!$C$4:$AI$4407,'Tracking Sheet'!B2840,'Production '!$F$4:$F$4407)</f>
        <v>3230621.3283604058</v>
      </c>
      <c r="I2840" s="76">
        <f ca="1">SUMIF('Production '!$C$4:$AI$4407,'Tracking Sheet'!B2840,'Production '!$V$4:$V$4407)</f>
        <v>-489.86487791182844</v>
      </c>
      <c r="J2840" s="76">
        <f ca="1">SUMIF('Production '!$C$4:$AI$4407,'Tracking Sheet'!B2840,'Production '!$AG$4:$AG$4407)</f>
        <v>0</v>
      </c>
    </row>
    <row r="2841" spans="2:10" x14ac:dyDescent="0.3">
      <c r="B2841" s="277">
        <f>'Production '!C2844</f>
        <v>0</v>
      </c>
      <c r="C2841" s="76" t="e">
        <f ca="1">SUMIF('Production '!$C$4:$AI$4407,'Tracking Sheet'!B2841,'Production '!$M$4:$M$4407)</f>
        <v>#DIV/0!</v>
      </c>
      <c r="D2841" s="76" t="e">
        <f ca="1">SUMIF('Production '!$C$4:$AI$4407,'Tracking Sheet'!B2841,'Production '!$Q$4:$Q$4407)</f>
        <v>#DIV/0!</v>
      </c>
      <c r="E2841" s="76">
        <f ca="1">SUMIF('Production '!$C$4:$AI$4407,'Tracking Sheet'!B2841,'Production '!$S$4:$S$4407)</f>
        <v>-1268218.9828305368</v>
      </c>
      <c r="F2841" s="76">
        <f ca="1">SUMIF('Production '!$C$4:$AI$4407,'Tracking Sheet'!B2841,'Production '!$U$4:$U$4407)</f>
        <v>-10620.435600016917</v>
      </c>
      <c r="G2841" s="76" t="e">
        <f ca="1">SUMIF('Production '!$C$4:$AI$4407,'Tracking Sheet'!B2841,'Production '!$W$4:$W$4407)</f>
        <v>#DIV/0!</v>
      </c>
      <c r="H2841" s="76">
        <f ca="1">SUMIF('Production '!$C$4:$AI$4407,'Tracking Sheet'!B2841,'Production '!$F$4:$F$4407)</f>
        <v>3230621.3283604058</v>
      </c>
      <c r="I2841" s="76">
        <f ca="1">SUMIF('Production '!$C$4:$AI$4407,'Tracking Sheet'!B2841,'Production '!$V$4:$V$4407)</f>
        <v>-489.86487791182844</v>
      </c>
      <c r="J2841" s="76">
        <f ca="1">SUMIF('Production '!$C$4:$AI$4407,'Tracking Sheet'!B2841,'Production '!$AG$4:$AG$4407)</f>
        <v>0</v>
      </c>
    </row>
    <row r="2842" spans="2:10" x14ac:dyDescent="0.3">
      <c r="B2842" s="277">
        <f>'Production '!C2845</f>
        <v>0</v>
      </c>
      <c r="C2842" s="76" t="e">
        <f ca="1">SUMIF('Production '!$C$4:$AI$4407,'Tracking Sheet'!B2842,'Production '!$M$4:$M$4407)</f>
        <v>#DIV/0!</v>
      </c>
      <c r="D2842" s="76" t="e">
        <f ca="1">SUMIF('Production '!$C$4:$AI$4407,'Tracking Sheet'!B2842,'Production '!$Q$4:$Q$4407)</f>
        <v>#DIV/0!</v>
      </c>
      <c r="E2842" s="76">
        <f ca="1">SUMIF('Production '!$C$4:$AI$4407,'Tracking Sheet'!B2842,'Production '!$S$4:$S$4407)</f>
        <v>-1268218.9828305368</v>
      </c>
      <c r="F2842" s="76">
        <f ca="1">SUMIF('Production '!$C$4:$AI$4407,'Tracking Sheet'!B2842,'Production '!$U$4:$U$4407)</f>
        <v>-10620.435600016917</v>
      </c>
      <c r="G2842" s="76" t="e">
        <f ca="1">SUMIF('Production '!$C$4:$AI$4407,'Tracking Sheet'!B2842,'Production '!$W$4:$W$4407)</f>
        <v>#DIV/0!</v>
      </c>
      <c r="H2842" s="76">
        <f ca="1">SUMIF('Production '!$C$4:$AI$4407,'Tracking Sheet'!B2842,'Production '!$F$4:$F$4407)</f>
        <v>3230621.3283604058</v>
      </c>
      <c r="I2842" s="76">
        <f ca="1">SUMIF('Production '!$C$4:$AI$4407,'Tracking Sheet'!B2842,'Production '!$V$4:$V$4407)</f>
        <v>-489.86487791182844</v>
      </c>
      <c r="J2842" s="76">
        <f ca="1">SUMIF('Production '!$C$4:$AI$4407,'Tracking Sheet'!B2842,'Production '!$AG$4:$AG$4407)</f>
        <v>0</v>
      </c>
    </row>
    <row r="2843" spans="2:10" x14ac:dyDescent="0.3">
      <c r="B2843" s="277">
        <f>'Production '!C2846</f>
        <v>0</v>
      </c>
      <c r="C2843" s="76" t="e">
        <f ca="1">SUMIF('Production '!$C$4:$AI$4407,'Tracking Sheet'!B2843,'Production '!$M$4:$M$4407)</f>
        <v>#DIV/0!</v>
      </c>
      <c r="D2843" s="76" t="e">
        <f ca="1">SUMIF('Production '!$C$4:$AI$4407,'Tracking Sheet'!B2843,'Production '!$Q$4:$Q$4407)</f>
        <v>#DIV/0!</v>
      </c>
      <c r="E2843" s="76">
        <f ca="1">SUMIF('Production '!$C$4:$AI$4407,'Tracking Sheet'!B2843,'Production '!$S$4:$S$4407)</f>
        <v>-1268218.9828305368</v>
      </c>
      <c r="F2843" s="76">
        <f ca="1">SUMIF('Production '!$C$4:$AI$4407,'Tracking Sheet'!B2843,'Production '!$U$4:$U$4407)</f>
        <v>-10620.435600016917</v>
      </c>
      <c r="G2843" s="76" t="e">
        <f ca="1">SUMIF('Production '!$C$4:$AI$4407,'Tracking Sheet'!B2843,'Production '!$W$4:$W$4407)</f>
        <v>#DIV/0!</v>
      </c>
      <c r="H2843" s="76">
        <f ca="1">SUMIF('Production '!$C$4:$AI$4407,'Tracking Sheet'!B2843,'Production '!$F$4:$F$4407)</f>
        <v>3230621.3283604058</v>
      </c>
      <c r="I2843" s="76">
        <f ca="1">SUMIF('Production '!$C$4:$AI$4407,'Tracking Sheet'!B2843,'Production '!$V$4:$V$4407)</f>
        <v>-489.86487791182844</v>
      </c>
      <c r="J2843" s="76">
        <f ca="1">SUMIF('Production '!$C$4:$AI$4407,'Tracking Sheet'!B2843,'Production '!$AG$4:$AG$4407)</f>
        <v>0</v>
      </c>
    </row>
    <row r="2844" spans="2:10" x14ac:dyDescent="0.3">
      <c r="B2844" s="277">
        <f>'Production '!C2847</f>
        <v>0</v>
      </c>
      <c r="C2844" s="76" t="e">
        <f ca="1">SUMIF('Production '!$C$4:$AI$4407,'Tracking Sheet'!B2844,'Production '!$M$4:$M$4407)</f>
        <v>#DIV/0!</v>
      </c>
      <c r="D2844" s="76" t="e">
        <f ca="1">SUMIF('Production '!$C$4:$AI$4407,'Tracking Sheet'!B2844,'Production '!$Q$4:$Q$4407)</f>
        <v>#DIV/0!</v>
      </c>
      <c r="E2844" s="76">
        <f ca="1">SUMIF('Production '!$C$4:$AI$4407,'Tracking Sheet'!B2844,'Production '!$S$4:$S$4407)</f>
        <v>-1268218.9828305368</v>
      </c>
      <c r="F2844" s="76">
        <f ca="1">SUMIF('Production '!$C$4:$AI$4407,'Tracking Sheet'!B2844,'Production '!$U$4:$U$4407)</f>
        <v>-10620.435600016917</v>
      </c>
      <c r="G2844" s="76" t="e">
        <f ca="1">SUMIF('Production '!$C$4:$AI$4407,'Tracking Sheet'!B2844,'Production '!$W$4:$W$4407)</f>
        <v>#DIV/0!</v>
      </c>
      <c r="H2844" s="76">
        <f ca="1">SUMIF('Production '!$C$4:$AI$4407,'Tracking Sheet'!B2844,'Production '!$F$4:$F$4407)</f>
        <v>3230621.3283604058</v>
      </c>
      <c r="I2844" s="76">
        <f ca="1">SUMIF('Production '!$C$4:$AI$4407,'Tracking Sheet'!B2844,'Production '!$V$4:$V$4407)</f>
        <v>-489.86487791182844</v>
      </c>
      <c r="J2844" s="76">
        <f ca="1">SUMIF('Production '!$C$4:$AI$4407,'Tracking Sheet'!B2844,'Production '!$AG$4:$AG$4407)</f>
        <v>0</v>
      </c>
    </row>
    <row r="2845" spans="2:10" x14ac:dyDescent="0.3">
      <c r="B2845" s="277">
        <f>'Production '!C2848</f>
        <v>0</v>
      </c>
      <c r="C2845" s="76" t="e">
        <f ca="1">SUMIF('Production '!$C$4:$AI$4407,'Tracking Sheet'!B2845,'Production '!$M$4:$M$4407)</f>
        <v>#DIV/0!</v>
      </c>
      <c r="D2845" s="76" t="e">
        <f ca="1">SUMIF('Production '!$C$4:$AI$4407,'Tracking Sheet'!B2845,'Production '!$Q$4:$Q$4407)</f>
        <v>#DIV/0!</v>
      </c>
      <c r="E2845" s="76">
        <f ca="1">SUMIF('Production '!$C$4:$AI$4407,'Tracking Sheet'!B2845,'Production '!$S$4:$S$4407)</f>
        <v>-1268218.9828305368</v>
      </c>
      <c r="F2845" s="76">
        <f ca="1">SUMIF('Production '!$C$4:$AI$4407,'Tracking Sheet'!B2845,'Production '!$U$4:$U$4407)</f>
        <v>-10620.435600016917</v>
      </c>
      <c r="G2845" s="76" t="e">
        <f ca="1">SUMIF('Production '!$C$4:$AI$4407,'Tracking Sheet'!B2845,'Production '!$W$4:$W$4407)</f>
        <v>#DIV/0!</v>
      </c>
      <c r="H2845" s="76">
        <f ca="1">SUMIF('Production '!$C$4:$AI$4407,'Tracking Sheet'!B2845,'Production '!$F$4:$F$4407)</f>
        <v>3230621.3283604058</v>
      </c>
      <c r="I2845" s="76">
        <f ca="1">SUMIF('Production '!$C$4:$AI$4407,'Tracking Sheet'!B2845,'Production '!$V$4:$V$4407)</f>
        <v>-489.86487791182844</v>
      </c>
      <c r="J2845" s="76">
        <f ca="1">SUMIF('Production '!$C$4:$AI$4407,'Tracking Sheet'!B2845,'Production '!$AG$4:$AG$4407)</f>
        <v>0</v>
      </c>
    </row>
    <row r="2846" spans="2:10" x14ac:dyDescent="0.3">
      <c r="B2846" s="277">
        <f>'Production '!C2849</f>
        <v>0</v>
      </c>
      <c r="C2846" s="76" t="e">
        <f ca="1">SUMIF('Production '!$C$4:$AI$4407,'Tracking Sheet'!B2846,'Production '!$M$4:$M$4407)</f>
        <v>#DIV/0!</v>
      </c>
      <c r="D2846" s="76" t="e">
        <f ca="1">SUMIF('Production '!$C$4:$AI$4407,'Tracking Sheet'!B2846,'Production '!$Q$4:$Q$4407)</f>
        <v>#DIV/0!</v>
      </c>
      <c r="E2846" s="76">
        <f ca="1">SUMIF('Production '!$C$4:$AI$4407,'Tracking Sheet'!B2846,'Production '!$S$4:$S$4407)</f>
        <v>-1268218.9828305368</v>
      </c>
      <c r="F2846" s="76">
        <f ca="1">SUMIF('Production '!$C$4:$AI$4407,'Tracking Sheet'!B2846,'Production '!$U$4:$U$4407)</f>
        <v>-10620.435600016917</v>
      </c>
      <c r="G2846" s="76" t="e">
        <f ca="1">SUMIF('Production '!$C$4:$AI$4407,'Tracking Sheet'!B2846,'Production '!$W$4:$W$4407)</f>
        <v>#DIV/0!</v>
      </c>
      <c r="H2846" s="76">
        <f ca="1">SUMIF('Production '!$C$4:$AI$4407,'Tracking Sheet'!B2846,'Production '!$F$4:$F$4407)</f>
        <v>3230621.3283604058</v>
      </c>
      <c r="I2846" s="76">
        <f ca="1">SUMIF('Production '!$C$4:$AI$4407,'Tracking Sheet'!B2846,'Production '!$V$4:$V$4407)</f>
        <v>-489.86487791182844</v>
      </c>
      <c r="J2846" s="76">
        <f ca="1">SUMIF('Production '!$C$4:$AI$4407,'Tracking Sheet'!B2846,'Production '!$AG$4:$AG$4407)</f>
        <v>0</v>
      </c>
    </row>
    <row r="2847" spans="2:10" x14ac:dyDescent="0.3">
      <c r="B2847" s="277">
        <f>'Production '!C2850</f>
        <v>0</v>
      </c>
      <c r="C2847" s="76" t="e">
        <f ca="1">SUMIF('Production '!$C$4:$AI$4407,'Tracking Sheet'!B2847,'Production '!$M$4:$M$4407)</f>
        <v>#DIV/0!</v>
      </c>
      <c r="D2847" s="76" t="e">
        <f ca="1">SUMIF('Production '!$C$4:$AI$4407,'Tracking Sheet'!B2847,'Production '!$Q$4:$Q$4407)</f>
        <v>#DIV/0!</v>
      </c>
      <c r="E2847" s="76">
        <f ca="1">SUMIF('Production '!$C$4:$AI$4407,'Tracking Sheet'!B2847,'Production '!$S$4:$S$4407)</f>
        <v>-1268218.9828305368</v>
      </c>
      <c r="F2847" s="76">
        <f ca="1">SUMIF('Production '!$C$4:$AI$4407,'Tracking Sheet'!B2847,'Production '!$U$4:$U$4407)</f>
        <v>-10620.435600016917</v>
      </c>
      <c r="G2847" s="76" t="e">
        <f ca="1">SUMIF('Production '!$C$4:$AI$4407,'Tracking Sheet'!B2847,'Production '!$W$4:$W$4407)</f>
        <v>#DIV/0!</v>
      </c>
      <c r="H2847" s="76">
        <f ca="1">SUMIF('Production '!$C$4:$AI$4407,'Tracking Sheet'!B2847,'Production '!$F$4:$F$4407)</f>
        <v>3230621.3283604058</v>
      </c>
      <c r="I2847" s="76">
        <f ca="1">SUMIF('Production '!$C$4:$AI$4407,'Tracking Sheet'!B2847,'Production '!$V$4:$V$4407)</f>
        <v>-489.86487791182844</v>
      </c>
      <c r="J2847" s="76">
        <f ca="1">SUMIF('Production '!$C$4:$AI$4407,'Tracking Sheet'!B2847,'Production '!$AG$4:$AG$4407)</f>
        <v>0</v>
      </c>
    </row>
    <row r="2848" spans="2:10" x14ac:dyDescent="0.3">
      <c r="B2848" s="277">
        <f>'Production '!C2851</f>
        <v>0</v>
      </c>
      <c r="C2848" s="76" t="e">
        <f ca="1">SUMIF('Production '!$C$4:$AI$4407,'Tracking Sheet'!B2848,'Production '!$M$4:$M$4407)</f>
        <v>#DIV/0!</v>
      </c>
      <c r="D2848" s="76" t="e">
        <f ca="1">SUMIF('Production '!$C$4:$AI$4407,'Tracking Sheet'!B2848,'Production '!$Q$4:$Q$4407)</f>
        <v>#DIV/0!</v>
      </c>
      <c r="E2848" s="76">
        <f ca="1">SUMIF('Production '!$C$4:$AI$4407,'Tracking Sheet'!B2848,'Production '!$S$4:$S$4407)</f>
        <v>-1268218.9828305368</v>
      </c>
      <c r="F2848" s="76">
        <f ca="1">SUMIF('Production '!$C$4:$AI$4407,'Tracking Sheet'!B2848,'Production '!$U$4:$U$4407)</f>
        <v>-10620.435600016917</v>
      </c>
      <c r="G2848" s="76" t="e">
        <f ca="1">SUMIF('Production '!$C$4:$AI$4407,'Tracking Sheet'!B2848,'Production '!$W$4:$W$4407)</f>
        <v>#DIV/0!</v>
      </c>
      <c r="H2848" s="76">
        <f ca="1">SUMIF('Production '!$C$4:$AI$4407,'Tracking Sheet'!B2848,'Production '!$F$4:$F$4407)</f>
        <v>3230621.3283604058</v>
      </c>
      <c r="I2848" s="76">
        <f ca="1">SUMIF('Production '!$C$4:$AI$4407,'Tracking Sheet'!B2848,'Production '!$V$4:$V$4407)</f>
        <v>-489.86487791182844</v>
      </c>
      <c r="J2848" s="76">
        <f ca="1">SUMIF('Production '!$C$4:$AI$4407,'Tracking Sheet'!B2848,'Production '!$AG$4:$AG$4407)</f>
        <v>0</v>
      </c>
    </row>
    <row r="2849" spans="2:10" x14ac:dyDescent="0.3">
      <c r="B2849" s="277">
        <f>'Production '!C2852</f>
        <v>0</v>
      </c>
      <c r="C2849" s="76" t="e">
        <f ca="1">SUMIF('Production '!$C$4:$AI$4407,'Tracking Sheet'!B2849,'Production '!$M$4:$M$4407)</f>
        <v>#DIV/0!</v>
      </c>
      <c r="D2849" s="76" t="e">
        <f ca="1">SUMIF('Production '!$C$4:$AI$4407,'Tracking Sheet'!B2849,'Production '!$Q$4:$Q$4407)</f>
        <v>#DIV/0!</v>
      </c>
      <c r="E2849" s="76">
        <f ca="1">SUMIF('Production '!$C$4:$AI$4407,'Tracking Sheet'!B2849,'Production '!$S$4:$S$4407)</f>
        <v>-1268218.9828305368</v>
      </c>
      <c r="F2849" s="76">
        <f ca="1">SUMIF('Production '!$C$4:$AI$4407,'Tracking Sheet'!B2849,'Production '!$U$4:$U$4407)</f>
        <v>-10620.435600016917</v>
      </c>
      <c r="G2849" s="76" t="e">
        <f ca="1">SUMIF('Production '!$C$4:$AI$4407,'Tracking Sheet'!B2849,'Production '!$W$4:$W$4407)</f>
        <v>#DIV/0!</v>
      </c>
      <c r="H2849" s="76">
        <f ca="1">SUMIF('Production '!$C$4:$AI$4407,'Tracking Sheet'!B2849,'Production '!$F$4:$F$4407)</f>
        <v>3230621.3283604058</v>
      </c>
      <c r="I2849" s="76">
        <f ca="1">SUMIF('Production '!$C$4:$AI$4407,'Tracking Sheet'!B2849,'Production '!$V$4:$V$4407)</f>
        <v>-489.86487791182844</v>
      </c>
      <c r="J2849" s="76">
        <f ca="1">SUMIF('Production '!$C$4:$AI$4407,'Tracking Sheet'!B2849,'Production '!$AG$4:$AG$4407)</f>
        <v>0</v>
      </c>
    </row>
    <row r="2850" spans="2:10" x14ac:dyDescent="0.3">
      <c r="B2850" s="277">
        <f>'Production '!C2853</f>
        <v>0</v>
      </c>
      <c r="C2850" s="76" t="e">
        <f ca="1">SUMIF('Production '!$C$4:$AI$4407,'Tracking Sheet'!B2850,'Production '!$M$4:$M$4407)</f>
        <v>#DIV/0!</v>
      </c>
      <c r="D2850" s="76" t="e">
        <f ca="1">SUMIF('Production '!$C$4:$AI$4407,'Tracking Sheet'!B2850,'Production '!$Q$4:$Q$4407)</f>
        <v>#DIV/0!</v>
      </c>
      <c r="E2850" s="76">
        <f ca="1">SUMIF('Production '!$C$4:$AI$4407,'Tracking Sheet'!B2850,'Production '!$S$4:$S$4407)</f>
        <v>-1268218.9828305368</v>
      </c>
      <c r="F2850" s="76">
        <f ca="1">SUMIF('Production '!$C$4:$AI$4407,'Tracking Sheet'!B2850,'Production '!$U$4:$U$4407)</f>
        <v>-10620.435600016917</v>
      </c>
      <c r="G2850" s="76" t="e">
        <f ca="1">SUMIF('Production '!$C$4:$AI$4407,'Tracking Sheet'!B2850,'Production '!$W$4:$W$4407)</f>
        <v>#DIV/0!</v>
      </c>
      <c r="H2850" s="76">
        <f ca="1">SUMIF('Production '!$C$4:$AI$4407,'Tracking Sheet'!B2850,'Production '!$F$4:$F$4407)</f>
        <v>3230621.3283604058</v>
      </c>
      <c r="I2850" s="76">
        <f ca="1">SUMIF('Production '!$C$4:$AI$4407,'Tracking Sheet'!B2850,'Production '!$V$4:$V$4407)</f>
        <v>-489.86487791182844</v>
      </c>
      <c r="J2850" s="76">
        <f ca="1">SUMIF('Production '!$C$4:$AI$4407,'Tracking Sheet'!B2850,'Production '!$AG$4:$AG$4407)</f>
        <v>0</v>
      </c>
    </row>
    <row r="2851" spans="2:10" x14ac:dyDescent="0.3">
      <c r="B2851" s="277">
        <f>'Production '!C2854</f>
        <v>0</v>
      </c>
      <c r="C2851" s="76" t="e">
        <f ca="1">SUMIF('Production '!$C$4:$AI$4407,'Tracking Sheet'!B2851,'Production '!$M$4:$M$4407)</f>
        <v>#DIV/0!</v>
      </c>
      <c r="D2851" s="76" t="e">
        <f ca="1">SUMIF('Production '!$C$4:$AI$4407,'Tracking Sheet'!B2851,'Production '!$Q$4:$Q$4407)</f>
        <v>#DIV/0!</v>
      </c>
      <c r="E2851" s="76">
        <f ca="1">SUMIF('Production '!$C$4:$AI$4407,'Tracking Sheet'!B2851,'Production '!$S$4:$S$4407)</f>
        <v>-1268218.9828305368</v>
      </c>
      <c r="F2851" s="76">
        <f ca="1">SUMIF('Production '!$C$4:$AI$4407,'Tracking Sheet'!B2851,'Production '!$U$4:$U$4407)</f>
        <v>-10620.435600016917</v>
      </c>
      <c r="G2851" s="76" t="e">
        <f ca="1">SUMIF('Production '!$C$4:$AI$4407,'Tracking Sheet'!B2851,'Production '!$W$4:$W$4407)</f>
        <v>#DIV/0!</v>
      </c>
      <c r="H2851" s="76">
        <f ca="1">SUMIF('Production '!$C$4:$AI$4407,'Tracking Sheet'!B2851,'Production '!$F$4:$F$4407)</f>
        <v>3230621.3283604058</v>
      </c>
      <c r="I2851" s="76">
        <f ca="1">SUMIF('Production '!$C$4:$AI$4407,'Tracking Sheet'!B2851,'Production '!$V$4:$V$4407)</f>
        <v>-489.86487791182844</v>
      </c>
      <c r="J2851" s="76">
        <f ca="1">SUMIF('Production '!$C$4:$AI$4407,'Tracking Sheet'!B2851,'Production '!$AG$4:$AG$4407)</f>
        <v>0</v>
      </c>
    </row>
    <row r="2852" spans="2:10" x14ac:dyDescent="0.3">
      <c r="B2852" s="277">
        <f>'Production '!C2855</f>
        <v>0</v>
      </c>
      <c r="C2852" s="76" t="e">
        <f ca="1">SUMIF('Production '!$C$4:$AI$4407,'Tracking Sheet'!B2852,'Production '!$M$4:$M$4407)</f>
        <v>#DIV/0!</v>
      </c>
      <c r="D2852" s="76" t="e">
        <f ca="1">SUMIF('Production '!$C$4:$AI$4407,'Tracking Sheet'!B2852,'Production '!$Q$4:$Q$4407)</f>
        <v>#DIV/0!</v>
      </c>
      <c r="E2852" s="76">
        <f ca="1">SUMIF('Production '!$C$4:$AI$4407,'Tracking Sheet'!B2852,'Production '!$S$4:$S$4407)</f>
        <v>-1268218.9828305368</v>
      </c>
      <c r="F2852" s="76">
        <f ca="1">SUMIF('Production '!$C$4:$AI$4407,'Tracking Sheet'!B2852,'Production '!$U$4:$U$4407)</f>
        <v>-10620.435600016917</v>
      </c>
      <c r="G2852" s="76" t="e">
        <f ca="1">SUMIF('Production '!$C$4:$AI$4407,'Tracking Sheet'!B2852,'Production '!$W$4:$W$4407)</f>
        <v>#DIV/0!</v>
      </c>
      <c r="H2852" s="76">
        <f ca="1">SUMIF('Production '!$C$4:$AI$4407,'Tracking Sheet'!B2852,'Production '!$F$4:$F$4407)</f>
        <v>3230621.3283604058</v>
      </c>
      <c r="I2852" s="76">
        <f ca="1">SUMIF('Production '!$C$4:$AI$4407,'Tracking Sheet'!B2852,'Production '!$V$4:$V$4407)</f>
        <v>-489.86487791182844</v>
      </c>
      <c r="J2852" s="76">
        <f ca="1">SUMIF('Production '!$C$4:$AI$4407,'Tracking Sheet'!B2852,'Production '!$AG$4:$AG$4407)</f>
        <v>0</v>
      </c>
    </row>
    <row r="2853" spans="2:10" x14ac:dyDescent="0.3">
      <c r="B2853" s="277">
        <f>'Production '!C2856</f>
        <v>0</v>
      </c>
      <c r="C2853" s="76" t="e">
        <f ca="1">SUMIF('Production '!$C$4:$AI$4407,'Tracking Sheet'!B2853,'Production '!$M$4:$M$4407)</f>
        <v>#DIV/0!</v>
      </c>
      <c r="D2853" s="76" t="e">
        <f ca="1">SUMIF('Production '!$C$4:$AI$4407,'Tracking Sheet'!B2853,'Production '!$Q$4:$Q$4407)</f>
        <v>#DIV/0!</v>
      </c>
      <c r="E2853" s="76">
        <f ca="1">SUMIF('Production '!$C$4:$AI$4407,'Tracking Sheet'!B2853,'Production '!$S$4:$S$4407)</f>
        <v>-1268218.9828305368</v>
      </c>
      <c r="F2853" s="76">
        <f ca="1">SUMIF('Production '!$C$4:$AI$4407,'Tracking Sheet'!B2853,'Production '!$U$4:$U$4407)</f>
        <v>-10620.435600016917</v>
      </c>
      <c r="G2853" s="76" t="e">
        <f ca="1">SUMIF('Production '!$C$4:$AI$4407,'Tracking Sheet'!B2853,'Production '!$W$4:$W$4407)</f>
        <v>#DIV/0!</v>
      </c>
      <c r="H2853" s="76">
        <f ca="1">SUMIF('Production '!$C$4:$AI$4407,'Tracking Sheet'!B2853,'Production '!$F$4:$F$4407)</f>
        <v>3230621.3283604058</v>
      </c>
      <c r="I2853" s="76">
        <f ca="1">SUMIF('Production '!$C$4:$AI$4407,'Tracking Sheet'!B2853,'Production '!$V$4:$V$4407)</f>
        <v>-489.86487791182844</v>
      </c>
      <c r="J2853" s="76">
        <f ca="1">SUMIF('Production '!$C$4:$AI$4407,'Tracking Sheet'!B2853,'Production '!$AG$4:$AG$4407)</f>
        <v>0</v>
      </c>
    </row>
    <row r="2854" spans="2:10" x14ac:dyDescent="0.3">
      <c r="B2854" s="277">
        <f>'Production '!C2857</f>
        <v>0</v>
      </c>
      <c r="C2854" s="76" t="e">
        <f ca="1">SUMIF('Production '!$C$4:$AI$4407,'Tracking Sheet'!B2854,'Production '!$M$4:$M$4407)</f>
        <v>#DIV/0!</v>
      </c>
      <c r="D2854" s="76" t="e">
        <f ca="1">SUMIF('Production '!$C$4:$AI$4407,'Tracking Sheet'!B2854,'Production '!$Q$4:$Q$4407)</f>
        <v>#DIV/0!</v>
      </c>
      <c r="E2854" s="76">
        <f ca="1">SUMIF('Production '!$C$4:$AI$4407,'Tracking Sheet'!B2854,'Production '!$S$4:$S$4407)</f>
        <v>-1268218.9828305368</v>
      </c>
      <c r="F2854" s="76">
        <f ca="1">SUMIF('Production '!$C$4:$AI$4407,'Tracking Sheet'!B2854,'Production '!$U$4:$U$4407)</f>
        <v>-10620.435600016917</v>
      </c>
      <c r="G2854" s="76" t="e">
        <f ca="1">SUMIF('Production '!$C$4:$AI$4407,'Tracking Sheet'!B2854,'Production '!$W$4:$W$4407)</f>
        <v>#DIV/0!</v>
      </c>
      <c r="H2854" s="76">
        <f ca="1">SUMIF('Production '!$C$4:$AI$4407,'Tracking Sheet'!B2854,'Production '!$F$4:$F$4407)</f>
        <v>3230621.3283604058</v>
      </c>
      <c r="I2854" s="76">
        <f ca="1">SUMIF('Production '!$C$4:$AI$4407,'Tracking Sheet'!B2854,'Production '!$V$4:$V$4407)</f>
        <v>-489.86487791182844</v>
      </c>
      <c r="J2854" s="76">
        <f ca="1">SUMIF('Production '!$C$4:$AI$4407,'Tracking Sheet'!B2854,'Production '!$AG$4:$AG$4407)</f>
        <v>0</v>
      </c>
    </row>
    <row r="2855" spans="2:10" x14ac:dyDescent="0.3">
      <c r="B2855" s="277">
        <f>'Production '!C2858</f>
        <v>0</v>
      </c>
      <c r="C2855" s="76" t="e">
        <f ca="1">SUMIF('Production '!$C$4:$AI$4407,'Tracking Sheet'!B2855,'Production '!$M$4:$M$4407)</f>
        <v>#DIV/0!</v>
      </c>
      <c r="D2855" s="76" t="e">
        <f ca="1">SUMIF('Production '!$C$4:$AI$4407,'Tracking Sheet'!B2855,'Production '!$Q$4:$Q$4407)</f>
        <v>#DIV/0!</v>
      </c>
      <c r="E2855" s="76">
        <f ca="1">SUMIF('Production '!$C$4:$AI$4407,'Tracking Sheet'!B2855,'Production '!$S$4:$S$4407)</f>
        <v>-1268218.9828305368</v>
      </c>
      <c r="F2855" s="76">
        <f ca="1">SUMIF('Production '!$C$4:$AI$4407,'Tracking Sheet'!B2855,'Production '!$U$4:$U$4407)</f>
        <v>-10620.435600016917</v>
      </c>
      <c r="G2855" s="76" t="e">
        <f ca="1">SUMIF('Production '!$C$4:$AI$4407,'Tracking Sheet'!B2855,'Production '!$W$4:$W$4407)</f>
        <v>#DIV/0!</v>
      </c>
      <c r="H2855" s="76">
        <f ca="1">SUMIF('Production '!$C$4:$AI$4407,'Tracking Sheet'!B2855,'Production '!$F$4:$F$4407)</f>
        <v>3230621.3283604058</v>
      </c>
      <c r="I2855" s="76">
        <f ca="1">SUMIF('Production '!$C$4:$AI$4407,'Tracking Sheet'!B2855,'Production '!$V$4:$V$4407)</f>
        <v>-489.86487791182844</v>
      </c>
      <c r="J2855" s="76">
        <f ca="1">SUMIF('Production '!$C$4:$AI$4407,'Tracking Sheet'!B2855,'Production '!$AG$4:$AG$4407)</f>
        <v>0</v>
      </c>
    </row>
    <row r="2856" spans="2:10" x14ac:dyDescent="0.3">
      <c r="B2856" s="277">
        <f>'Production '!C2859</f>
        <v>0</v>
      </c>
      <c r="C2856" s="76" t="e">
        <f ca="1">SUMIF('Production '!$C$4:$AI$4407,'Tracking Sheet'!B2856,'Production '!$M$4:$M$4407)</f>
        <v>#DIV/0!</v>
      </c>
      <c r="D2856" s="76" t="e">
        <f ca="1">SUMIF('Production '!$C$4:$AI$4407,'Tracking Sheet'!B2856,'Production '!$Q$4:$Q$4407)</f>
        <v>#DIV/0!</v>
      </c>
      <c r="E2856" s="76">
        <f ca="1">SUMIF('Production '!$C$4:$AI$4407,'Tracking Sheet'!B2856,'Production '!$S$4:$S$4407)</f>
        <v>-1268218.9828305368</v>
      </c>
      <c r="F2856" s="76">
        <f ca="1">SUMIF('Production '!$C$4:$AI$4407,'Tracking Sheet'!B2856,'Production '!$U$4:$U$4407)</f>
        <v>-10620.435600016917</v>
      </c>
      <c r="G2856" s="76" t="e">
        <f ca="1">SUMIF('Production '!$C$4:$AI$4407,'Tracking Sheet'!B2856,'Production '!$W$4:$W$4407)</f>
        <v>#DIV/0!</v>
      </c>
      <c r="H2856" s="76">
        <f ca="1">SUMIF('Production '!$C$4:$AI$4407,'Tracking Sheet'!B2856,'Production '!$F$4:$F$4407)</f>
        <v>3230621.3283604058</v>
      </c>
      <c r="I2856" s="76">
        <f ca="1">SUMIF('Production '!$C$4:$AI$4407,'Tracking Sheet'!B2856,'Production '!$V$4:$V$4407)</f>
        <v>-489.86487791182844</v>
      </c>
      <c r="J2856" s="76">
        <f ca="1">SUMIF('Production '!$C$4:$AI$4407,'Tracking Sheet'!B2856,'Production '!$AG$4:$AG$4407)</f>
        <v>0</v>
      </c>
    </row>
    <row r="2857" spans="2:10" x14ac:dyDescent="0.3">
      <c r="B2857" s="277">
        <f>'Production '!C2860</f>
        <v>0</v>
      </c>
      <c r="C2857" s="76" t="e">
        <f ca="1">SUMIF('Production '!$C$4:$AI$4407,'Tracking Sheet'!B2857,'Production '!$M$4:$M$4407)</f>
        <v>#DIV/0!</v>
      </c>
      <c r="D2857" s="76" t="e">
        <f ca="1">SUMIF('Production '!$C$4:$AI$4407,'Tracking Sheet'!B2857,'Production '!$Q$4:$Q$4407)</f>
        <v>#DIV/0!</v>
      </c>
      <c r="E2857" s="76">
        <f ca="1">SUMIF('Production '!$C$4:$AI$4407,'Tracking Sheet'!B2857,'Production '!$S$4:$S$4407)</f>
        <v>-1268218.9828305368</v>
      </c>
      <c r="F2857" s="76">
        <f ca="1">SUMIF('Production '!$C$4:$AI$4407,'Tracking Sheet'!B2857,'Production '!$U$4:$U$4407)</f>
        <v>-10620.435600016917</v>
      </c>
      <c r="G2857" s="76" t="e">
        <f ca="1">SUMIF('Production '!$C$4:$AI$4407,'Tracking Sheet'!B2857,'Production '!$W$4:$W$4407)</f>
        <v>#DIV/0!</v>
      </c>
      <c r="H2857" s="76">
        <f ca="1">SUMIF('Production '!$C$4:$AI$4407,'Tracking Sheet'!B2857,'Production '!$F$4:$F$4407)</f>
        <v>3230621.3283604058</v>
      </c>
      <c r="I2857" s="76">
        <f ca="1">SUMIF('Production '!$C$4:$AI$4407,'Tracking Sheet'!B2857,'Production '!$V$4:$V$4407)</f>
        <v>-489.86487791182844</v>
      </c>
      <c r="J2857" s="76">
        <f ca="1">SUMIF('Production '!$C$4:$AI$4407,'Tracking Sheet'!B2857,'Production '!$AG$4:$AG$4407)</f>
        <v>0</v>
      </c>
    </row>
    <row r="2858" spans="2:10" x14ac:dyDescent="0.3">
      <c r="B2858" s="277">
        <f>'Production '!C2861</f>
        <v>0</v>
      </c>
      <c r="C2858" s="76" t="e">
        <f ca="1">SUMIF('Production '!$C$4:$AI$4407,'Tracking Sheet'!B2858,'Production '!$M$4:$M$4407)</f>
        <v>#DIV/0!</v>
      </c>
      <c r="D2858" s="76" t="e">
        <f ca="1">SUMIF('Production '!$C$4:$AI$4407,'Tracking Sheet'!B2858,'Production '!$Q$4:$Q$4407)</f>
        <v>#DIV/0!</v>
      </c>
      <c r="E2858" s="76">
        <f ca="1">SUMIF('Production '!$C$4:$AI$4407,'Tracking Sheet'!B2858,'Production '!$S$4:$S$4407)</f>
        <v>-1268218.9828305368</v>
      </c>
      <c r="F2858" s="76">
        <f ca="1">SUMIF('Production '!$C$4:$AI$4407,'Tracking Sheet'!B2858,'Production '!$U$4:$U$4407)</f>
        <v>-10620.435600016917</v>
      </c>
      <c r="G2858" s="76" t="e">
        <f ca="1">SUMIF('Production '!$C$4:$AI$4407,'Tracking Sheet'!B2858,'Production '!$W$4:$W$4407)</f>
        <v>#DIV/0!</v>
      </c>
      <c r="H2858" s="76">
        <f ca="1">SUMIF('Production '!$C$4:$AI$4407,'Tracking Sheet'!B2858,'Production '!$F$4:$F$4407)</f>
        <v>3230621.3283604058</v>
      </c>
      <c r="I2858" s="76">
        <f ca="1">SUMIF('Production '!$C$4:$AI$4407,'Tracking Sheet'!B2858,'Production '!$V$4:$V$4407)</f>
        <v>-489.86487791182844</v>
      </c>
      <c r="J2858" s="76">
        <f ca="1">SUMIF('Production '!$C$4:$AI$4407,'Tracking Sheet'!B2858,'Production '!$AG$4:$AG$4407)</f>
        <v>0</v>
      </c>
    </row>
    <row r="2859" spans="2:10" x14ac:dyDescent="0.3">
      <c r="B2859" s="277">
        <f>'Production '!C2862</f>
        <v>0</v>
      </c>
      <c r="C2859" s="76" t="e">
        <f ca="1">SUMIF('Production '!$C$4:$AI$4407,'Tracking Sheet'!B2859,'Production '!$M$4:$M$4407)</f>
        <v>#DIV/0!</v>
      </c>
      <c r="D2859" s="76" t="e">
        <f ca="1">SUMIF('Production '!$C$4:$AI$4407,'Tracking Sheet'!B2859,'Production '!$Q$4:$Q$4407)</f>
        <v>#DIV/0!</v>
      </c>
      <c r="E2859" s="76">
        <f ca="1">SUMIF('Production '!$C$4:$AI$4407,'Tracking Sheet'!B2859,'Production '!$S$4:$S$4407)</f>
        <v>-1268218.9828305368</v>
      </c>
      <c r="F2859" s="76">
        <f ca="1">SUMIF('Production '!$C$4:$AI$4407,'Tracking Sheet'!B2859,'Production '!$U$4:$U$4407)</f>
        <v>-10620.435600016917</v>
      </c>
      <c r="G2859" s="76" t="e">
        <f ca="1">SUMIF('Production '!$C$4:$AI$4407,'Tracking Sheet'!B2859,'Production '!$W$4:$W$4407)</f>
        <v>#DIV/0!</v>
      </c>
      <c r="H2859" s="76">
        <f ca="1">SUMIF('Production '!$C$4:$AI$4407,'Tracking Sheet'!B2859,'Production '!$F$4:$F$4407)</f>
        <v>3230621.3283604058</v>
      </c>
      <c r="I2859" s="76">
        <f ca="1">SUMIF('Production '!$C$4:$AI$4407,'Tracking Sheet'!B2859,'Production '!$V$4:$V$4407)</f>
        <v>-489.86487791182844</v>
      </c>
      <c r="J2859" s="76">
        <f ca="1">SUMIF('Production '!$C$4:$AI$4407,'Tracking Sheet'!B2859,'Production '!$AG$4:$AG$4407)</f>
        <v>0</v>
      </c>
    </row>
    <row r="2860" spans="2:10" x14ac:dyDescent="0.3">
      <c r="B2860" s="277">
        <f>'Production '!C2863</f>
        <v>0</v>
      </c>
      <c r="C2860" s="76" t="e">
        <f ca="1">SUMIF('Production '!$C$4:$AI$4407,'Tracking Sheet'!B2860,'Production '!$M$4:$M$4407)</f>
        <v>#DIV/0!</v>
      </c>
      <c r="D2860" s="76" t="e">
        <f ca="1">SUMIF('Production '!$C$4:$AI$4407,'Tracking Sheet'!B2860,'Production '!$Q$4:$Q$4407)</f>
        <v>#DIV/0!</v>
      </c>
      <c r="E2860" s="76">
        <f ca="1">SUMIF('Production '!$C$4:$AI$4407,'Tracking Sheet'!B2860,'Production '!$S$4:$S$4407)</f>
        <v>-1268218.9828305368</v>
      </c>
      <c r="F2860" s="76">
        <f ca="1">SUMIF('Production '!$C$4:$AI$4407,'Tracking Sheet'!B2860,'Production '!$U$4:$U$4407)</f>
        <v>-10620.435600016917</v>
      </c>
      <c r="G2860" s="76" t="e">
        <f ca="1">SUMIF('Production '!$C$4:$AI$4407,'Tracking Sheet'!B2860,'Production '!$W$4:$W$4407)</f>
        <v>#DIV/0!</v>
      </c>
      <c r="H2860" s="76">
        <f ca="1">SUMIF('Production '!$C$4:$AI$4407,'Tracking Sheet'!B2860,'Production '!$F$4:$F$4407)</f>
        <v>3230621.3283604058</v>
      </c>
      <c r="I2860" s="76">
        <f ca="1">SUMIF('Production '!$C$4:$AI$4407,'Tracking Sheet'!B2860,'Production '!$V$4:$V$4407)</f>
        <v>-489.86487791182844</v>
      </c>
      <c r="J2860" s="76">
        <f ca="1">SUMIF('Production '!$C$4:$AI$4407,'Tracking Sheet'!B2860,'Production '!$AG$4:$AG$4407)</f>
        <v>0</v>
      </c>
    </row>
    <row r="2861" spans="2:10" x14ac:dyDescent="0.3">
      <c r="B2861" s="277">
        <f>'Production '!C2864</f>
        <v>0</v>
      </c>
      <c r="C2861" s="76" t="e">
        <f ca="1">SUMIF('Production '!$C$4:$AI$4407,'Tracking Sheet'!B2861,'Production '!$M$4:$M$4407)</f>
        <v>#DIV/0!</v>
      </c>
      <c r="D2861" s="76" t="e">
        <f ca="1">SUMIF('Production '!$C$4:$AI$4407,'Tracking Sheet'!B2861,'Production '!$Q$4:$Q$4407)</f>
        <v>#DIV/0!</v>
      </c>
      <c r="E2861" s="76">
        <f ca="1">SUMIF('Production '!$C$4:$AI$4407,'Tracking Sheet'!B2861,'Production '!$S$4:$S$4407)</f>
        <v>-1268218.9828305368</v>
      </c>
      <c r="F2861" s="76">
        <f ca="1">SUMIF('Production '!$C$4:$AI$4407,'Tracking Sheet'!B2861,'Production '!$U$4:$U$4407)</f>
        <v>-10620.435600016917</v>
      </c>
      <c r="G2861" s="76" t="e">
        <f ca="1">SUMIF('Production '!$C$4:$AI$4407,'Tracking Sheet'!B2861,'Production '!$W$4:$W$4407)</f>
        <v>#DIV/0!</v>
      </c>
      <c r="H2861" s="76">
        <f ca="1">SUMIF('Production '!$C$4:$AI$4407,'Tracking Sheet'!B2861,'Production '!$F$4:$F$4407)</f>
        <v>3230621.3283604058</v>
      </c>
      <c r="I2861" s="76">
        <f ca="1">SUMIF('Production '!$C$4:$AI$4407,'Tracking Sheet'!B2861,'Production '!$V$4:$V$4407)</f>
        <v>-489.86487791182844</v>
      </c>
      <c r="J2861" s="76">
        <f ca="1">SUMIF('Production '!$C$4:$AI$4407,'Tracking Sheet'!B2861,'Production '!$AG$4:$AG$4407)</f>
        <v>0</v>
      </c>
    </row>
    <row r="2862" spans="2:10" x14ac:dyDescent="0.3">
      <c r="B2862" s="277">
        <f>'Production '!C2865</f>
        <v>0</v>
      </c>
      <c r="C2862" s="76" t="e">
        <f ca="1">SUMIF('Production '!$C$4:$AI$4407,'Tracking Sheet'!B2862,'Production '!$M$4:$M$4407)</f>
        <v>#DIV/0!</v>
      </c>
      <c r="D2862" s="76" t="e">
        <f ca="1">SUMIF('Production '!$C$4:$AI$4407,'Tracking Sheet'!B2862,'Production '!$Q$4:$Q$4407)</f>
        <v>#DIV/0!</v>
      </c>
      <c r="E2862" s="76">
        <f ca="1">SUMIF('Production '!$C$4:$AI$4407,'Tracking Sheet'!B2862,'Production '!$S$4:$S$4407)</f>
        <v>-1268218.9828305368</v>
      </c>
      <c r="F2862" s="76">
        <f ca="1">SUMIF('Production '!$C$4:$AI$4407,'Tracking Sheet'!B2862,'Production '!$U$4:$U$4407)</f>
        <v>-10620.435600016917</v>
      </c>
      <c r="G2862" s="76" t="e">
        <f ca="1">SUMIF('Production '!$C$4:$AI$4407,'Tracking Sheet'!B2862,'Production '!$W$4:$W$4407)</f>
        <v>#DIV/0!</v>
      </c>
      <c r="H2862" s="76">
        <f ca="1">SUMIF('Production '!$C$4:$AI$4407,'Tracking Sheet'!B2862,'Production '!$F$4:$F$4407)</f>
        <v>3230621.3283604058</v>
      </c>
      <c r="I2862" s="76">
        <f ca="1">SUMIF('Production '!$C$4:$AI$4407,'Tracking Sheet'!B2862,'Production '!$V$4:$V$4407)</f>
        <v>-489.86487791182844</v>
      </c>
      <c r="J2862" s="76">
        <f ca="1">SUMIF('Production '!$C$4:$AI$4407,'Tracking Sheet'!B2862,'Production '!$AG$4:$AG$4407)</f>
        <v>0</v>
      </c>
    </row>
    <row r="2863" spans="2:10" x14ac:dyDescent="0.3">
      <c r="B2863" s="277">
        <f>'Production '!C2866</f>
        <v>0</v>
      </c>
      <c r="C2863" s="76" t="e">
        <f ca="1">SUMIF('Production '!$C$4:$AI$4407,'Tracking Sheet'!B2863,'Production '!$M$4:$M$4407)</f>
        <v>#DIV/0!</v>
      </c>
      <c r="D2863" s="76" t="e">
        <f ca="1">SUMIF('Production '!$C$4:$AI$4407,'Tracking Sheet'!B2863,'Production '!$Q$4:$Q$4407)</f>
        <v>#DIV/0!</v>
      </c>
      <c r="E2863" s="76">
        <f ca="1">SUMIF('Production '!$C$4:$AI$4407,'Tracking Sheet'!B2863,'Production '!$S$4:$S$4407)</f>
        <v>-1268218.9828305368</v>
      </c>
      <c r="F2863" s="76">
        <f ca="1">SUMIF('Production '!$C$4:$AI$4407,'Tracking Sheet'!B2863,'Production '!$U$4:$U$4407)</f>
        <v>-10620.435600016917</v>
      </c>
      <c r="G2863" s="76" t="e">
        <f ca="1">SUMIF('Production '!$C$4:$AI$4407,'Tracking Sheet'!B2863,'Production '!$W$4:$W$4407)</f>
        <v>#DIV/0!</v>
      </c>
      <c r="H2863" s="76">
        <f ca="1">SUMIF('Production '!$C$4:$AI$4407,'Tracking Sheet'!B2863,'Production '!$F$4:$F$4407)</f>
        <v>3230621.3283604058</v>
      </c>
      <c r="I2863" s="76">
        <f ca="1">SUMIF('Production '!$C$4:$AI$4407,'Tracking Sheet'!B2863,'Production '!$V$4:$V$4407)</f>
        <v>-489.86487791182844</v>
      </c>
      <c r="J2863" s="76">
        <f ca="1">SUMIF('Production '!$C$4:$AI$4407,'Tracking Sheet'!B2863,'Production '!$AG$4:$AG$4407)</f>
        <v>0</v>
      </c>
    </row>
    <row r="2864" spans="2:10" x14ac:dyDescent="0.3">
      <c r="B2864" s="277">
        <f>'Production '!C2867</f>
        <v>0</v>
      </c>
      <c r="C2864" s="76" t="e">
        <f ca="1">SUMIF('Production '!$C$4:$AI$4407,'Tracking Sheet'!B2864,'Production '!$M$4:$M$4407)</f>
        <v>#DIV/0!</v>
      </c>
      <c r="D2864" s="76" t="e">
        <f ca="1">SUMIF('Production '!$C$4:$AI$4407,'Tracking Sheet'!B2864,'Production '!$Q$4:$Q$4407)</f>
        <v>#DIV/0!</v>
      </c>
      <c r="E2864" s="76">
        <f ca="1">SUMIF('Production '!$C$4:$AI$4407,'Tracking Sheet'!B2864,'Production '!$S$4:$S$4407)</f>
        <v>-1268218.9828305368</v>
      </c>
      <c r="F2864" s="76">
        <f ca="1">SUMIF('Production '!$C$4:$AI$4407,'Tracking Sheet'!B2864,'Production '!$U$4:$U$4407)</f>
        <v>-10620.435600016917</v>
      </c>
      <c r="G2864" s="76" t="e">
        <f ca="1">SUMIF('Production '!$C$4:$AI$4407,'Tracking Sheet'!B2864,'Production '!$W$4:$W$4407)</f>
        <v>#DIV/0!</v>
      </c>
      <c r="H2864" s="76">
        <f ca="1">SUMIF('Production '!$C$4:$AI$4407,'Tracking Sheet'!B2864,'Production '!$F$4:$F$4407)</f>
        <v>3230621.3283604058</v>
      </c>
      <c r="I2864" s="76">
        <f ca="1">SUMIF('Production '!$C$4:$AI$4407,'Tracking Sheet'!B2864,'Production '!$V$4:$V$4407)</f>
        <v>-489.86487791182844</v>
      </c>
      <c r="J2864" s="76">
        <f ca="1">SUMIF('Production '!$C$4:$AI$4407,'Tracking Sheet'!B2864,'Production '!$AG$4:$AG$4407)</f>
        <v>0</v>
      </c>
    </row>
    <row r="2865" spans="2:10" x14ac:dyDescent="0.3">
      <c r="B2865" s="277">
        <f>'Production '!C2868</f>
        <v>0</v>
      </c>
      <c r="C2865" s="76" t="e">
        <f ca="1">SUMIF('Production '!$C$4:$AI$4407,'Tracking Sheet'!B2865,'Production '!$M$4:$M$4407)</f>
        <v>#DIV/0!</v>
      </c>
      <c r="D2865" s="76" t="e">
        <f ca="1">SUMIF('Production '!$C$4:$AI$4407,'Tracking Sheet'!B2865,'Production '!$Q$4:$Q$4407)</f>
        <v>#DIV/0!</v>
      </c>
      <c r="E2865" s="76">
        <f ca="1">SUMIF('Production '!$C$4:$AI$4407,'Tracking Sheet'!B2865,'Production '!$S$4:$S$4407)</f>
        <v>-1268218.9828305368</v>
      </c>
      <c r="F2865" s="76">
        <f ca="1">SUMIF('Production '!$C$4:$AI$4407,'Tracking Sheet'!B2865,'Production '!$U$4:$U$4407)</f>
        <v>-10620.435600016917</v>
      </c>
      <c r="G2865" s="76" t="e">
        <f ca="1">SUMIF('Production '!$C$4:$AI$4407,'Tracking Sheet'!B2865,'Production '!$W$4:$W$4407)</f>
        <v>#DIV/0!</v>
      </c>
      <c r="H2865" s="76">
        <f ca="1">SUMIF('Production '!$C$4:$AI$4407,'Tracking Sheet'!B2865,'Production '!$F$4:$F$4407)</f>
        <v>3230621.3283604058</v>
      </c>
      <c r="I2865" s="76">
        <f ca="1">SUMIF('Production '!$C$4:$AI$4407,'Tracking Sheet'!B2865,'Production '!$V$4:$V$4407)</f>
        <v>-489.86487791182844</v>
      </c>
      <c r="J2865" s="76">
        <f ca="1">SUMIF('Production '!$C$4:$AI$4407,'Tracking Sheet'!B2865,'Production '!$AG$4:$AG$4407)</f>
        <v>0</v>
      </c>
    </row>
    <row r="2866" spans="2:10" x14ac:dyDescent="0.3">
      <c r="B2866" s="277">
        <f>'Production '!C2869</f>
        <v>0</v>
      </c>
      <c r="C2866" s="76" t="e">
        <f ca="1">SUMIF('Production '!$C$4:$AI$4407,'Tracking Sheet'!B2866,'Production '!$M$4:$M$4407)</f>
        <v>#DIV/0!</v>
      </c>
      <c r="D2866" s="76" t="e">
        <f ca="1">SUMIF('Production '!$C$4:$AI$4407,'Tracking Sheet'!B2866,'Production '!$Q$4:$Q$4407)</f>
        <v>#DIV/0!</v>
      </c>
      <c r="E2866" s="76">
        <f ca="1">SUMIF('Production '!$C$4:$AI$4407,'Tracking Sheet'!B2866,'Production '!$S$4:$S$4407)</f>
        <v>-1268218.9828305368</v>
      </c>
      <c r="F2866" s="76">
        <f ca="1">SUMIF('Production '!$C$4:$AI$4407,'Tracking Sheet'!B2866,'Production '!$U$4:$U$4407)</f>
        <v>-10620.435600016917</v>
      </c>
      <c r="G2866" s="76" t="e">
        <f ca="1">SUMIF('Production '!$C$4:$AI$4407,'Tracking Sheet'!B2866,'Production '!$W$4:$W$4407)</f>
        <v>#DIV/0!</v>
      </c>
      <c r="H2866" s="76">
        <f ca="1">SUMIF('Production '!$C$4:$AI$4407,'Tracking Sheet'!B2866,'Production '!$F$4:$F$4407)</f>
        <v>3230621.3283604058</v>
      </c>
      <c r="I2866" s="76">
        <f ca="1">SUMIF('Production '!$C$4:$AI$4407,'Tracking Sheet'!B2866,'Production '!$V$4:$V$4407)</f>
        <v>-489.86487791182844</v>
      </c>
      <c r="J2866" s="76">
        <f ca="1">SUMIF('Production '!$C$4:$AI$4407,'Tracking Sheet'!B2866,'Production '!$AG$4:$AG$4407)</f>
        <v>0</v>
      </c>
    </row>
    <row r="2867" spans="2:10" x14ac:dyDescent="0.3">
      <c r="B2867" s="277">
        <f>'Production '!C2870</f>
        <v>0</v>
      </c>
      <c r="C2867" s="76" t="e">
        <f ca="1">SUMIF('Production '!$C$4:$AI$4407,'Tracking Sheet'!B2867,'Production '!$M$4:$M$4407)</f>
        <v>#DIV/0!</v>
      </c>
      <c r="D2867" s="76" t="e">
        <f ca="1">SUMIF('Production '!$C$4:$AI$4407,'Tracking Sheet'!B2867,'Production '!$Q$4:$Q$4407)</f>
        <v>#DIV/0!</v>
      </c>
      <c r="E2867" s="76">
        <f ca="1">SUMIF('Production '!$C$4:$AI$4407,'Tracking Sheet'!B2867,'Production '!$S$4:$S$4407)</f>
        <v>-1268218.9828305368</v>
      </c>
      <c r="F2867" s="76">
        <f ca="1">SUMIF('Production '!$C$4:$AI$4407,'Tracking Sheet'!B2867,'Production '!$U$4:$U$4407)</f>
        <v>-10620.435600016917</v>
      </c>
      <c r="G2867" s="76" t="e">
        <f ca="1">SUMIF('Production '!$C$4:$AI$4407,'Tracking Sheet'!B2867,'Production '!$W$4:$W$4407)</f>
        <v>#DIV/0!</v>
      </c>
      <c r="H2867" s="76">
        <f ca="1">SUMIF('Production '!$C$4:$AI$4407,'Tracking Sheet'!B2867,'Production '!$F$4:$F$4407)</f>
        <v>3230621.3283604058</v>
      </c>
      <c r="I2867" s="76">
        <f ca="1">SUMIF('Production '!$C$4:$AI$4407,'Tracking Sheet'!B2867,'Production '!$V$4:$V$4407)</f>
        <v>-489.86487791182844</v>
      </c>
      <c r="J2867" s="76">
        <f ca="1">SUMIF('Production '!$C$4:$AI$4407,'Tracking Sheet'!B2867,'Production '!$AG$4:$AG$4407)</f>
        <v>0</v>
      </c>
    </row>
    <row r="2868" spans="2:10" x14ac:dyDescent="0.3">
      <c r="B2868" s="277">
        <f>'Production '!C2871</f>
        <v>0</v>
      </c>
      <c r="C2868" s="76" t="e">
        <f ca="1">SUMIF('Production '!$C$4:$AI$4407,'Tracking Sheet'!B2868,'Production '!$M$4:$M$4407)</f>
        <v>#DIV/0!</v>
      </c>
      <c r="D2868" s="76" t="e">
        <f ca="1">SUMIF('Production '!$C$4:$AI$4407,'Tracking Sheet'!B2868,'Production '!$Q$4:$Q$4407)</f>
        <v>#DIV/0!</v>
      </c>
      <c r="E2868" s="76">
        <f ca="1">SUMIF('Production '!$C$4:$AI$4407,'Tracking Sheet'!B2868,'Production '!$S$4:$S$4407)</f>
        <v>-1268218.9828305368</v>
      </c>
      <c r="F2868" s="76">
        <f ca="1">SUMIF('Production '!$C$4:$AI$4407,'Tracking Sheet'!B2868,'Production '!$U$4:$U$4407)</f>
        <v>-10620.435600016917</v>
      </c>
      <c r="G2868" s="76" t="e">
        <f ca="1">SUMIF('Production '!$C$4:$AI$4407,'Tracking Sheet'!B2868,'Production '!$W$4:$W$4407)</f>
        <v>#DIV/0!</v>
      </c>
      <c r="H2868" s="76">
        <f ca="1">SUMIF('Production '!$C$4:$AI$4407,'Tracking Sheet'!B2868,'Production '!$F$4:$F$4407)</f>
        <v>3230621.3283604058</v>
      </c>
      <c r="I2868" s="76">
        <f ca="1">SUMIF('Production '!$C$4:$AI$4407,'Tracking Sheet'!B2868,'Production '!$V$4:$V$4407)</f>
        <v>-489.86487791182844</v>
      </c>
      <c r="J2868" s="76">
        <f ca="1">SUMIF('Production '!$C$4:$AI$4407,'Tracking Sheet'!B2868,'Production '!$AG$4:$AG$4407)</f>
        <v>0</v>
      </c>
    </row>
    <row r="2869" spans="2:10" x14ac:dyDescent="0.3">
      <c r="B2869" s="277">
        <f>'Production '!C2872</f>
        <v>0</v>
      </c>
      <c r="C2869" s="76" t="e">
        <f ca="1">SUMIF('Production '!$C$4:$AI$4407,'Tracking Sheet'!B2869,'Production '!$M$4:$M$4407)</f>
        <v>#DIV/0!</v>
      </c>
      <c r="D2869" s="76" t="e">
        <f ca="1">SUMIF('Production '!$C$4:$AI$4407,'Tracking Sheet'!B2869,'Production '!$Q$4:$Q$4407)</f>
        <v>#DIV/0!</v>
      </c>
      <c r="E2869" s="76">
        <f ca="1">SUMIF('Production '!$C$4:$AI$4407,'Tracking Sheet'!B2869,'Production '!$S$4:$S$4407)</f>
        <v>-1268218.9828305368</v>
      </c>
      <c r="F2869" s="76">
        <f ca="1">SUMIF('Production '!$C$4:$AI$4407,'Tracking Sheet'!B2869,'Production '!$U$4:$U$4407)</f>
        <v>-10620.435600016917</v>
      </c>
      <c r="G2869" s="76" t="e">
        <f ca="1">SUMIF('Production '!$C$4:$AI$4407,'Tracking Sheet'!B2869,'Production '!$W$4:$W$4407)</f>
        <v>#DIV/0!</v>
      </c>
      <c r="H2869" s="76">
        <f ca="1">SUMIF('Production '!$C$4:$AI$4407,'Tracking Sheet'!B2869,'Production '!$F$4:$F$4407)</f>
        <v>3230621.3283604058</v>
      </c>
      <c r="I2869" s="76">
        <f ca="1">SUMIF('Production '!$C$4:$AI$4407,'Tracking Sheet'!B2869,'Production '!$V$4:$V$4407)</f>
        <v>-489.86487791182844</v>
      </c>
      <c r="J2869" s="76">
        <f ca="1">SUMIF('Production '!$C$4:$AI$4407,'Tracking Sheet'!B2869,'Production '!$AG$4:$AG$4407)</f>
        <v>0</v>
      </c>
    </row>
    <row r="2870" spans="2:10" x14ac:dyDescent="0.3">
      <c r="B2870" s="277">
        <f>'Production '!C2873</f>
        <v>0</v>
      </c>
      <c r="C2870" s="76" t="e">
        <f ca="1">SUMIF('Production '!$C$4:$AI$4407,'Tracking Sheet'!B2870,'Production '!$M$4:$M$4407)</f>
        <v>#DIV/0!</v>
      </c>
      <c r="D2870" s="76" t="e">
        <f ca="1">SUMIF('Production '!$C$4:$AI$4407,'Tracking Sheet'!B2870,'Production '!$Q$4:$Q$4407)</f>
        <v>#DIV/0!</v>
      </c>
      <c r="E2870" s="76">
        <f ca="1">SUMIF('Production '!$C$4:$AI$4407,'Tracking Sheet'!B2870,'Production '!$S$4:$S$4407)</f>
        <v>-1268218.9828305368</v>
      </c>
      <c r="F2870" s="76">
        <f ca="1">SUMIF('Production '!$C$4:$AI$4407,'Tracking Sheet'!B2870,'Production '!$U$4:$U$4407)</f>
        <v>-10620.435600016917</v>
      </c>
      <c r="G2870" s="76" t="e">
        <f ca="1">SUMIF('Production '!$C$4:$AI$4407,'Tracking Sheet'!B2870,'Production '!$W$4:$W$4407)</f>
        <v>#DIV/0!</v>
      </c>
      <c r="H2870" s="76">
        <f ca="1">SUMIF('Production '!$C$4:$AI$4407,'Tracking Sheet'!B2870,'Production '!$F$4:$F$4407)</f>
        <v>3230621.3283604058</v>
      </c>
      <c r="I2870" s="76">
        <f ca="1">SUMIF('Production '!$C$4:$AI$4407,'Tracking Sheet'!B2870,'Production '!$V$4:$V$4407)</f>
        <v>-489.86487791182844</v>
      </c>
      <c r="J2870" s="76">
        <f ca="1">SUMIF('Production '!$C$4:$AI$4407,'Tracking Sheet'!B2870,'Production '!$AG$4:$AG$4407)</f>
        <v>0</v>
      </c>
    </row>
    <row r="2871" spans="2:10" x14ac:dyDescent="0.3">
      <c r="B2871" s="277">
        <f>'Production '!C2874</f>
        <v>0</v>
      </c>
      <c r="C2871" s="76" t="e">
        <f ca="1">SUMIF('Production '!$C$4:$AI$4407,'Tracking Sheet'!B2871,'Production '!$M$4:$M$4407)</f>
        <v>#DIV/0!</v>
      </c>
      <c r="D2871" s="76" t="e">
        <f ca="1">SUMIF('Production '!$C$4:$AI$4407,'Tracking Sheet'!B2871,'Production '!$Q$4:$Q$4407)</f>
        <v>#DIV/0!</v>
      </c>
      <c r="E2871" s="76">
        <f ca="1">SUMIF('Production '!$C$4:$AI$4407,'Tracking Sheet'!B2871,'Production '!$S$4:$S$4407)</f>
        <v>-1268218.9828305368</v>
      </c>
      <c r="F2871" s="76">
        <f ca="1">SUMIF('Production '!$C$4:$AI$4407,'Tracking Sheet'!B2871,'Production '!$U$4:$U$4407)</f>
        <v>-10620.435600016917</v>
      </c>
      <c r="G2871" s="76" t="e">
        <f ca="1">SUMIF('Production '!$C$4:$AI$4407,'Tracking Sheet'!B2871,'Production '!$W$4:$W$4407)</f>
        <v>#DIV/0!</v>
      </c>
      <c r="H2871" s="76">
        <f ca="1">SUMIF('Production '!$C$4:$AI$4407,'Tracking Sheet'!B2871,'Production '!$F$4:$F$4407)</f>
        <v>3230621.3283604058</v>
      </c>
      <c r="I2871" s="76">
        <f ca="1">SUMIF('Production '!$C$4:$AI$4407,'Tracking Sheet'!B2871,'Production '!$V$4:$V$4407)</f>
        <v>-489.86487791182844</v>
      </c>
      <c r="J2871" s="76">
        <f ca="1">SUMIF('Production '!$C$4:$AI$4407,'Tracking Sheet'!B2871,'Production '!$AG$4:$AG$4407)</f>
        <v>0</v>
      </c>
    </row>
    <row r="2872" spans="2:10" x14ac:dyDescent="0.3">
      <c r="B2872" s="277">
        <f>'Production '!C2875</f>
        <v>0</v>
      </c>
      <c r="C2872" s="76" t="e">
        <f ca="1">SUMIF('Production '!$C$4:$AI$4407,'Tracking Sheet'!B2872,'Production '!$M$4:$M$4407)</f>
        <v>#DIV/0!</v>
      </c>
      <c r="D2872" s="76" t="e">
        <f ca="1">SUMIF('Production '!$C$4:$AI$4407,'Tracking Sheet'!B2872,'Production '!$Q$4:$Q$4407)</f>
        <v>#DIV/0!</v>
      </c>
      <c r="E2872" s="76">
        <f ca="1">SUMIF('Production '!$C$4:$AI$4407,'Tracking Sheet'!B2872,'Production '!$S$4:$S$4407)</f>
        <v>-1268218.9828305368</v>
      </c>
      <c r="F2872" s="76">
        <f ca="1">SUMIF('Production '!$C$4:$AI$4407,'Tracking Sheet'!B2872,'Production '!$U$4:$U$4407)</f>
        <v>-10620.435600016917</v>
      </c>
      <c r="G2872" s="76" t="e">
        <f ca="1">SUMIF('Production '!$C$4:$AI$4407,'Tracking Sheet'!B2872,'Production '!$W$4:$W$4407)</f>
        <v>#DIV/0!</v>
      </c>
      <c r="H2872" s="76">
        <f ca="1">SUMIF('Production '!$C$4:$AI$4407,'Tracking Sheet'!B2872,'Production '!$F$4:$F$4407)</f>
        <v>3230621.3283604058</v>
      </c>
      <c r="I2872" s="76">
        <f ca="1">SUMIF('Production '!$C$4:$AI$4407,'Tracking Sheet'!B2872,'Production '!$V$4:$V$4407)</f>
        <v>-489.86487791182844</v>
      </c>
      <c r="J2872" s="76">
        <f ca="1">SUMIF('Production '!$C$4:$AI$4407,'Tracking Sheet'!B2872,'Production '!$AG$4:$AG$4407)</f>
        <v>0</v>
      </c>
    </row>
    <row r="2873" spans="2:10" x14ac:dyDescent="0.3">
      <c r="B2873" s="277">
        <f>'Production '!C2876</f>
        <v>0</v>
      </c>
      <c r="C2873" s="76" t="e">
        <f ca="1">SUMIF('Production '!$C$4:$AI$4407,'Tracking Sheet'!B2873,'Production '!$M$4:$M$4407)</f>
        <v>#DIV/0!</v>
      </c>
      <c r="D2873" s="76" t="e">
        <f ca="1">SUMIF('Production '!$C$4:$AI$4407,'Tracking Sheet'!B2873,'Production '!$Q$4:$Q$4407)</f>
        <v>#DIV/0!</v>
      </c>
      <c r="E2873" s="76">
        <f ca="1">SUMIF('Production '!$C$4:$AI$4407,'Tracking Sheet'!B2873,'Production '!$S$4:$S$4407)</f>
        <v>-1268218.9828305368</v>
      </c>
      <c r="F2873" s="76">
        <f ca="1">SUMIF('Production '!$C$4:$AI$4407,'Tracking Sheet'!B2873,'Production '!$U$4:$U$4407)</f>
        <v>-10620.435600016917</v>
      </c>
      <c r="G2873" s="76" t="e">
        <f ca="1">SUMIF('Production '!$C$4:$AI$4407,'Tracking Sheet'!B2873,'Production '!$W$4:$W$4407)</f>
        <v>#DIV/0!</v>
      </c>
      <c r="H2873" s="76">
        <f ca="1">SUMIF('Production '!$C$4:$AI$4407,'Tracking Sheet'!B2873,'Production '!$F$4:$F$4407)</f>
        <v>3230621.3283604058</v>
      </c>
      <c r="I2873" s="76">
        <f ca="1">SUMIF('Production '!$C$4:$AI$4407,'Tracking Sheet'!B2873,'Production '!$V$4:$V$4407)</f>
        <v>-489.86487791182844</v>
      </c>
      <c r="J2873" s="76">
        <f ca="1">SUMIF('Production '!$C$4:$AI$4407,'Tracking Sheet'!B2873,'Production '!$AG$4:$AG$4407)</f>
        <v>0</v>
      </c>
    </row>
    <row r="2874" spans="2:10" x14ac:dyDescent="0.3">
      <c r="B2874" s="277">
        <f>'Production '!C2877</f>
        <v>0</v>
      </c>
      <c r="C2874" s="76" t="e">
        <f ca="1">SUMIF('Production '!$C$4:$AI$4407,'Tracking Sheet'!B2874,'Production '!$M$4:$M$4407)</f>
        <v>#DIV/0!</v>
      </c>
      <c r="D2874" s="76" t="e">
        <f ca="1">SUMIF('Production '!$C$4:$AI$4407,'Tracking Sheet'!B2874,'Production '!$Q$4:$Q$4407)</f>
        <v>#DIV/0!</v>
      </c>
      <c r="E2874" s="76">
        <f ca="1">SUMIF('Production '!$C$4:$AI$4407,'Tracking Sheet'!B2874,'Production '!$S$4:$S$4407)</f>
        <v>-1268218.9828305368</v>
      </c>
      <c r="F2874" s="76">
        <f ca="1">SUMIF('Production '!$C$4:$AI$4407,'Tracking Sheet'!B2874,'Production '!$U$4:$U$4407)</f>
        <v>-10620.435600016917</v>
      </c>
      <c r="G2874" s="76" t="e">
        <f ca="1">SUMIF('Production '!$C$4:$AI$4407,'Tracking Sheet'!B2874,'Production '!$W$4:$W$4407)</f>
        <v>#DIV/0!</v>
      </c>
      <c r="H2874" s="76">
        <f ca="1">SUMIF('Production '!$C$4:$AI$4407,'Tracking Sheet'!B2874,'Production '!$F$4:$F$4407)</f>
        <v>3230621.3283604058</v>
      </c>
      <c r="I2874" s="76">
        <f ca="1">SUMIF('Production '!$C$4:$AI$4407,'Tracking Sheet'!B2874,'Production '!$V$4:$V$4407)</f>
        <v>-489.86487791182844</v>
      </c>
      <c r="J2874" s="76">
        <f ca="1">SUMIF('Production '!$C$4:$AI$4407,'Tracking Sheet'!B2874,'Production '!$AG$4:$AG$4407)</f>
        <v>0</v>
      </c>
    </row>
    <row r="2875" spans="2:10" x14ac:dyDescent="0.3">
      <c r="B2875" s="277">
        <f>'Production '!C2878</f>
        <v>0</v>
      </c>
      <c r="C2875" s="76" t="e">
        <f ca="1">SUMIF('Production '!$C$4:$AI$4407,'Tracking Sheet'!B2875,'Production '!$M$4:$M$4407)</f>
        <v>#DIV/0!</v>
      </c>
      <c r="D2875" s="76" t="e">
        <f ca="1">SUMIF('Production '!$C$4:$AI$4407,'Tracking Sheet'!B2875,'Production '!$Q$4:$Q$4407)</f>
        <v>#DIV/0!</v>
      </c>
      <c r="E2875" s="76">
        <f ca="1">SUMIF('Production '!$C$4:$AI$4407,'Tracking Sheet'!B2875,'Production '!$S$4:$S$4407)</f>
        <v>-1268218.9828305368</v>
      </c>
      <c r="F2875" s="76">
        <f ca="1">SUMIF('Production '!$C$4:$AI$4407,'Tracking Sheet'!B2875,'Production '!$U$4:$U$4407)</f>
        <v>-10620.435600016917</v>
      </c>
      <c r="G2875" s="76" t="e">
        <f ca="1">SUMIF('Production '!$C$4:$AI$4407,'Tracking Sheet'!B2875,'Production '!$W$4:$W$4407)</f>
        <v>#DIV/0!</v>
      </c>
      <c r="H2875" s="76">
        <f ca="1">SUMIF('Production '!$C$4:$AI$4407,'Tracking Sheet'!B2875,'Production '!$F$4:$F$4407)</f>
        <v>3230621.3283604058</v>
      </c>
      <c r="I2875" s="76">
        <f ca="1">SUMIF('Production '!$C$4:$AI$4407,'Tracking Sheet'!B2875,'Production '!$V$4:$V$4407)</f>
        <v>-489.86487791182844</v>
      </c>
      <c r="J2875" s="76">
        <f ca="1">SUMIF('Production '!$C$4:$AI$4407,'Tracking Sheet'!B2875,'Production '!$AG$4:$AG$4407)</f>
        <v>0</v>
      </c>
    </row>
    <row r="2876" spans="2:10" x14ac:dyDescent="0.3">
      <c r="B2876" s="277">
        <f>'Production '!C2879</f>
        <v>0</v>
      </c>
      <c r="C2876" s="76" t="e">
        <f ca="1">SUMIF('Production '!$C$4:$AI$4407,'Tracking Sheet'!B2876,'Production '!$M$4:$M$4407)</f>
        <v>#DIV/0!</v>
      </c>
      <c r="D2876" s="76" t="e">
        <f ca="1">SUMIF('Production '!$C$4:$AI$4407,'Tracking Sheet'!B2876,'Production '!$Q$4:$Q$4407)</f>
        <v>#DIV/0!</v>
      </c>
      <c r="E2876" s="76">
        <f ca="1">SUMIF('Production '!$C$4:$AI$4407,'Tracking Sheet'!B2876,'Production '!$S$4:$S$4407)</f>
        <v>-1268218.9828305368</v>
      </c>
      <c r="F2876" s="76">
        <f ca="1">SUMIF('Production '!$C$4:$AI$4407,'Tracking Sheet'!B2876,'Production '!$U$4:$U$4407)</f>
        <v>-10620.435600016917</v>
      </c>
      <c r="G2876" s="76" t="e">
        <f ca="1">SUMIF('Production '!$C$4:$AI$4407,'Tracking Sheet'!B2876,'Production '!$W$4:$W$4407)</f>
        <v>#DIV/0!</v>
      </c>
      <c r="H2876" s="76">
        <f ca="1">SUMIF('Production '!$C$4:$AI$4407,'Tracking Sheet'!B2876,'Production '!$F$4:$F$4407)</f>
        <v>3230621.3283604058</v>
      </c>
      <c r="I2876" s="76">
        <f ca="1">SUMIF('Production '!$C$4:$AI$4407,'Tracking Sheet'!B2876,'Production '!$V$4:$V$4407)</f>
        <v>-489.86487791182844</v>
      </c>
      <c r="J2876" s="76">
        <f ca="1">SUMIF('Production '!$C$4:$AI$4407,'Tracking Sheet'!B2876,'Production '!$AG$4:$AG$4407)</f>
        <v>0</v>
      </c>
    </row>
    <row r="2877" spans="2:10" x14ac:dyDescent="0.3">
      <c r="B2877" s="277">
        <f>'Production '!C2880</f>
        <v>0</v>
      </c>
      <c r="C2877" s="76" t="e">
        <f ca="1">SUMIF('Production '!$C$4:$AI$4407,'Tracking Sheet'!B2877,'Production '!$M$4:$M$4407)</f>
        <v>#DIV/0!</v>
      </c>
      <c r="D2877" s="76" t="e">
        <f ca="1">SUMIF('Production '!$C$4:$AI$4407,'Tracking Sheet'!B2877,'Production '!$Q$4:$Q$4407)</f>
        <v>#DIV/0!</v>
      </c>
      <c r="E2877" s="76">
        <f ca="1">SUMIF('Production '!$C$4:$AI$4407,'Tracking Sheet'!B2877,'Production '!$S$4:$S$4407)</f>
        <v>-1268218.9828305368</v>
      </c>
      <c r="F2877" s="76">
        <f ca="1">SUMIF('Production '!$C$4:$AI$4407,'Tracking Sheet'!B2877,'Production '!$U$4:$U$4407)</f>
        <v>-10620.435600016917</v>
      </c>
      <c r="G2877" s="76" t="e">
        <f ca="1">SUMIF('Production '!$C$4:$AI$4407,'Tracking Sheet'!B2877,'Production '!$W$4:$W$4407)</f>
        <v>#DIV/0!</v>
      </c>
      <c r="H2877" s="76">
        <f ca="1">SUMIF('Production '!$C$4:$AI$4407,'Tracking Sheet'!B2877,'Production '!$F$4:$F$4407)</f>
        <v>3230621.3283604058</v>
      </c>
      <c r="I2877" s="76">
        <f ca="1">SUMIF('Production '!$C$4:$AI$4407,'Tracking Sheet'!B2877,'Production '!$V$4:$V$4407)</f>
        <v>-489.86487791182844</v>
      </c>
      <c r="J2877" s="76">
        <f ca="1">SUMIF('Production '!$C$4:$AI$4407,'Tracking Sheet'!B2877,'Production '!$AG$4:$AG$4407)</f>
        <v>0</v>
      </c>
    </row>
    <row r="2878" spans="2:10" x14ac:dyDescent="0.3">
      <c r="B2878" s="277">
        <f>'Production '!C2881</f>
        <v>0</v>
      </c>
      <c r="C2878" s="76" t="e">
        <f ca="1">SUMIF('Production '!$C$4:$AI$4407,'Tracking Sheet'!B2878,'Production '!$M$4:$M$4407)</f>
        <v>#DIV/0!</v>
      </c>
      <c r="D2878" s="76" t="e">
        <f ca="1">SUMIF('Production '!$C$4:$AI$4407,'Tracking Sheet'!B2878,'Production '!$Q$4:$Q$4407)</f>
        <v>#DIV/0!</v>
      </c>
      <c r="E2878" s="76">
        <f ca="1">SUMIF('Production '!$C$4:$AI$4407,'Tracking Sheet'!B2878,'Production '!$S$4:$S$4407)</f>
        <v>-1268218.9828305368</v>
      </c>
      <c r="F2878" s="76">
        <f ca="1">SUMIF('Production '!$C$4:$AI$4407,'Tracking Sheet'!B2878,'Production '!$U$4:$U$4407)</f>
        <v>-10620.435600016917</v>
      </c>
      <c r="G2878" s="76" t="e">
        <f ca="1">SUMIF('Production '!$C$4:$AI$4407,'Tracking Sheet'!B2878,'Production '!$W$4:$W$4407)</f>
        <v>#DIV/0!</v>
      </c>
      <c r="H2878" s="76">
        <f ca="1">SUMIF('Production '!$C$4:$AI$4407,'Tracking Sheet'!B2878,'Production '!$F$4:$F$4407)</f>
        <v>3230621.3283604058</v>
      </c>
      <c r="I2878" s="76">
        <f ca="1">SUMIF('Production '!$C$4:$AI$4407,'Tracking Sheet'!B2878,'Production '!$V$4:$V$4407)</f>
        <v>-489.86487791182844</v>
      </c>
      <c r="J2878" s="76">
        <f ca="1">SUMIF('Production '!$C$4:$AI$4407,'Tracking Sheet'!B2878,'Production '!$AG$4:$AG$4407)</f>
        <v>0</v>
      </c>
    </row>
    <row r="2879" spans="2:10" x14ac:dyDescent="0.3">
      <c r="B2879" s="277">
        <f>'Production '!C2882</f>
        <v>0</v>
      </c>
      <c r="C2879" s="76" t="e">
        <f ca="1">SUMIF('Production '!$C$4:$AI$4407,'Tracking Sheet'!B2879,'Production '!$M$4:$M$4407)</f>
        <v>#DIV/0!</v>
      </c>
      <c r="D2879" s="76" t="e">
        <f ca="1">SUMIF('Production '!$C$4:$AI$4407,'Tracking Sheet'!B2879,'Production '!$Q$4:$Q$4407)</f>
        <v>#DIV/0!</v>
      </c>
      <c r="E2879" s="76">
        <f ca="1">SUMIF('Production '!$C$4:$AI$4407,'Tracking Sheet'!B2879,'Production '!$S$4:$S$4407)</f>
        <v>-1268218.9828305368</v>
      </c>
      <c r="F2879" s="76">
        <f ca="1">SUMIF('Production '!$C$4:$AI$4407,'Tracking Sheet'!B2879,'Production '!$U$4:$U$4407)</f>
        <v>-10620.435600016917</v>
      </c>
      <c r="G2879" s="76" t="e">
        <f ca="1">SUMIF('Production '!$C$4:$AI$4407,'Tracking Sheet'!B2879,'Production '!$W$4:$W$4407)</f>
        <v>#DIV/0!</v>
      </c>
      <c r="H2879" s="76">
        <f ca="1">SUMIF('Production '!$C$4:$AI$4407,'Tracking Sheet'!B2879,'Production '!$F$4:$F$4407)</f>
        <v>3230621.3283604058</v>
      </c>
      <c r="I2879" s="76">
        <f ca="1">SUMIF('Production '!$C$4:$AI$4407,'Tracking Sheet'!B2879,'Production '!$V$4:$V$4407)</f>
        <v>-489.86487791182844</v>
      </c>
      <c r="J2879" s="76">
        <f ca="1">SUMIF('Production '!$C$4:$AI$4407,'Tracking Sheet'!B2879,'Production '!$AG$4:$AG$4407)</f>
        <v>0</v>
      </c>
    </row>
    <row r="2880" spans="2:10" x14ac:dyDescent="0.3">
      <c r="B2880" s="277">
        <f>'Production '!C2883</f>
        <v>0</v>
      </c>
      <c r="C2880" s="76" t="e">
        <f ca="1">SUMIF('Production '!$C$4:$AI$4407,'Tracking Sheet'!B2880,'Production '!$M$4:$M$4407)</f>
        <v>#DIV/0!</v>
      </c>
      <c r="D2880" s="76" t="e">
        <f ca="1">SUMIF('Production '!$C$4:$AI$4407,'Tracking Sheet'!B2880,'Production '!$Q$4:$Q$4407)</f>
        <v>#DIV/0!</v>
      </c>
      <c r="E2880" s="76">
        <f ca="1">SUMIF('Production '!$C$4:$AI$4407,'Tracking Sheet'!B2880,'Production '!$S$4:$S$4407)</f>
        <v>-1268218.9828305368</v>
      </c>
      <c r="F2880" s="76">
        <f ca="1">SUMIF('Production '!$C$4:$AI$4407,'Tracking Sheet'!B2880,'Production '!$U$4:$U$4407)</f>
        <v>-10620.435600016917</v>
      </c>
      <c r="G2880" s="76" t="e">
        <f ca="1">SUMIF('Production '!$C$4:$AI$4407,'Tracking Sheet'!B2880,'Production '!$W$4:$W$4407)</f>
        <v>#DIV/0!</v>
      </c>
      <c r="H2880" s="76">
        <f ca="1">SUMIF('Production '!$C$4:$AI$4407,'Tracking Sheet'!B2880,'Production '!$F$4:$F$4407)</f>
        <v>3230621.3283604058</v>
      </c>
      <c r="I2880" s="76">
        <f ca="1">SUMIF('Production '!$C$4:$AI$4407,'Tracking Sheet'!B2880,'Production '!$V$4:$V$4407)</f>
        <v>-489.86487791182844</v>
      </c>
      <c r="J2880" s="76">
        <f ca="1">SUMIF('Production '!$C$4:$AI$4407,'Tracking Sheet'!B2880,'Production '!$AG$4:$AG$4407)</f>
        <v>0</v>
      </c>
    </row>
    <row r="2881" spans="2:10" x14ac:dyDescent="0.3">
      <c r="B2881" s="277">
        <f>'Production '!C2884</f>
        <v>0</v>
      </c>
      <c r="C2881" s="76" t="e">
        <f ca="1">SUMIF('Production '!$C$4:$AI$4407,'Tracking Sheet'!B2881,'Production '!$M$4:$M$4407)</f>
        <v>#DIV/0!</v>
      </c>
      <c r="D2881" s="76" t="e">
        <f ca="1">SUMIF('Production '!$C$4:$AI$4407,'Tracking Sheet'!B2881,'Production '!$Q$4:$Q$4407)</f>
        <v>#DIV/0!</v>
      </c>
      <c r="E2881" s="76">
        <f ca="1">SUMIF('Production '!$C$4:$AI$4407,'Tracking Sheet'!B2881,'Production '!$S$4:$S$4407)</f>
        <v>-1268218.9828305368</v>
      </c>
      <c r="F2881" s="76">
        <f ca="1">SUMIF('Production '!$C$4:$AI$4407,'Tracking Sheet'!B2881,'Production '!$U$4:$U$4407)</f>
        <v>-10620.435600016917</v>
      </c>
      <c r="G2881" s="76" t="e">
        <f ca="1">SUMIF('Production '!$C$4:$AI$4407,'Tracking Sheet'!B2881,'Production '!$W$4:$W$4407)</f>
        <v>#DIV/0!</v>
      </c>
      <c r="H2881" s="76">
        <f ca="1">SUMIF('Production '!$C$4:$AI$4407,'Tracking Sheet'!B2881,'Production '!$F$4:$F$4407)</f>
        <v>3230621.3283604058</v>
      </c>
      <c r="I2881" s="76">
        <f ca="1">SUMIF('Production '!$C$4:$AI$4407,'Tracking Sheet'!B2881,'Production '!$V$4:$V$4407)</f>
        <v>-489.86487791182844</v>
      </c>
      <c r="J2881" s="76">
        <f ca="1">SUMIF('Production '!$C$4:$AI$4407,'Tracking Sheet'!B2881,'Production '!$AG$4:$AG$4407)</f>
        <v>0</v>
      </c>
    </row>
    <row r="2882" spans="2:10" x14ac:dyDescent="0.3">
      <c r="B2882" s="277">
        <f>'Production '!C2885</f>
        <v>0</v>
      </c>
      <c r="C2882" s="76" t="e">
        <f ca="1">SUMIF('Production '!$C$4:$AI$4407,'Tracking Sheet'!B2882,'Production '!$M$4:$M$4407)</f>
        <v>#DIV/0!</v>
      </c>
      <c r="D2882" s="76" t="e">
        <f ca="1">SUMIF('Production '!$C$4:$AI$4407,'Tracking Sheet'!B2882,'Production '!$Q$4:$Q$4407)</f>
        <v>#DIV/0!</v>
      </c>
      <c r="E2882" s="76">
        <f ca="1">SUMIF('Production '!$C$4:$AI$4407,'Tracking Sheet'!B2882,'Production '!$S$4:$S$4407)</f>
        <v>-1268218.9828305368</v>
      </c>
      <c r="F2882" s="76">
        <f ca="1">SUMIF('Production '!$C$4:$AI$4407,'Tracking Sheet'!B2882,'Production '!$U$4:$U$4407)</f>
        <v>-10620.435600016917</v>
      </c>
      <c r="G2882" s="76" t="e">
        <f ca="1">SUMIF('Production '!$C$4:$AI$4407,'Tracking Sheet'!B2882,'Production '!$W$4:$W$4407)</f>
        <v>#DIV/0!</v>
      </c>
      <c r="H2882" s="76">
        <f ca="1">SUMIF('Production '!$C$4:$AI$4407,'Tracking Sheet'!B2882,'Production '!$F$4:$F$4407)</f>
        <v>3230621.3283604058</v>
      </c>
      <c r="I2882" s="76">
        <f ca="1">SUMIF('Production '!$C$4:$AI$4407,'Tracking Sheet'!B2882,'Production '!$V$4:$V$4407)</f>
        <v>-489.86487791182844</v>
      </c>
      <c r="J2882" s="76">
        <f ca="1">SUMIF('Production '!$C$4:$AI$4407,'Tracking Sheet'!B2882,'Production '!$AG$4:$AG$4407)</f>
        <v>0</v>
      </c>
    </row>
    <row r="2883" spans="2:10" x14ac:dyDescent="0.3">
      <c r="B2883" s="277">
        <f>'Production '!C2886</f>
        <v>0</v>
      </c>
      <c r="C2883" s="76" t="e">
        <f ca="1">SUMIF('Production '!$C$4:$AI$4407,'Tracking Sheet'!B2883,'Production '!$M$4:$M$4407)</f>
        <v>#DIV/0!</v>
      </c>
      <c r="D2883" s="76" t="e">
        <f ca="1">SUMIF('Production '!$C$4:$AI$4407,'Tracking Sheet'!B2883,'Production '!$Q$4:$Q$4407)</f>
        <v>#DIV/0!</v>
      </c>
      <c r="E2883" s="76">
        <f ca="1">SUMIF('Production '!$C$4:$AI$4407,'Tracking Sheet'!B2883,'Production '!$S$4:$S$4407)</f>
        <v>-1268218.9828305368</v>
      </c>
      <c r="F2883" s="76">
        <f ca="1">SUMIF('Production '!$C$4:$AI$4407,'Tracking Sheet'!B2883,'Production '!$U$4:$U$4407)</f>
        <v>-10620.435600016917</v>
      </c>
      <c r="G2883" s="76" t="e">
        <f ca="1">SUMIF('Production '!$C$4:$AI$4407,'Tracking Sheet'!B2883,'Production '!$W$4:$W$4407)</f>
        <v>#DIV/0!</v>
      </c>
      <c r="H2883" s="76">
        <f ca="1">SUMIF('Production '!$C$4:$AI$4407,'Tracking Sheet'!B2883,'Production '!$F$4:$F$4407)</f>
        <v>3230621.3283604058</v>
      </c>
      <c r="I2883" s="76">
        <f ca="1">SUMIF('Production '!$C$4:$AI$4407,'Tracking Sheet'!B2883,'Production '!$V$4:$V$4407)</f>
        <v>-489.86487791182844</v>
      </c>
      <c r="J2883" s="76">
        <f ca="1">SUMIF('Production '!$C$4:$AI$4407,'Tracking Sheet'!B2883,'Production '!$AG$4:$AG$4407)</f>
        <v>0</v>
      </c>
    </row>
    <row r="2884" spans="2:10" x14ac:dyDescent="0.3">
      <c r="B2884" s="277">
        <f>'Production '!C2887</f>
        <v>0</v>
      </c>
      <c r="C2884" s="76" t="e">
        <f ca="1">SUMIF('Production '!$C$4:$AI$4407,'Tracking Sheet'!B2884,'Production '!$M$4:$M$4407)</f>
        <v>#DIV/0!</v>
      </c>
      <c r="D2884" s="76" t="e">
        <f ca="1">SUMIF('Production '!$C$4:$AI$4407,'Tracking Sheet'!B2884,'Production '!$Q$4:$Q$4407)</f>
        <v>#DIV/0!</v>
      </c>
      <c r="E2884" s="76">
        <f ca="1">SUMIF('Production '!$C$4:$AI$4407,'Tracking Sheet'!B2884,'Production '!$S$4:$S$4407)</f>
        <v>-1268218.9828305368</v>
      </c>
      <c r="F2884" s="76">
        <f ca="1">SUMIF('Production '!$C$4:$AI$4407,'Tracking Sheet'!B2884,'Production '!$U$4:$U$4407)</f>
        <v>-10620.435600016917</v>
      </c>
      <c r="G2884" s="76" t="e">
        <f ca="1">SUMIF('Production '!$C$4:$AI$4407,'Tracking Sheet'!B2884,'Production '!$W$4:$W$4407)</f>
        <v>#DIV/0!</v>
      </c>
      <c r="H2884" s="76">
        <f ca="1">SUMIF('Production '!$C$4:$AI$4407,'Tracking Sheet'!B2884,'Production '!$F$4:$F$4407)</f>
        <v>3230621.3283604058</v>
      </c>
      <c r="I2884" s="76">
        <f ca="1">SUMIF('Production '!$C$4:$AI$4407,'Tracking Sheet'!B2884,'Production '!$V$4:$V$4407)</f>
        <v>-489.86487791182844</v>
      </c>
      <c r="J2884" s="76">
        <f ca="1">SUMIF('Production '!$C$4:$AI$4407,'Tracking Sheet'!B2884,'Production '!$AG$4:$AG$4407)</f>
        <v>0</v>
      </c>
    </row>
    <row r="2885" spans="2:10" x14ac:dyDescent="0.3">
      <c r="B2885" s="277">
        <f>'Production '!C2888</f>
        <v>0</v>
      </c>
      <c r="C2885" s="76" t="e">
        <f ca="1">SUMIF('Production '!$C$4:$AI$4407,'Tracking Sheet'!B2885,'Production '!$M$4:$M$4407)</f>
        <v>#DIV/0!</v>
      </c>
      <c r="D2885" s="76" t="e">
        <f ca="1">SUMIF('Production '!$C$4:$AI$4407,'Tracking Sheet'!B2885,'Production '!$Q$4:$Q$4407)</f>
        <v>#DIV/0!</v>
      </c>
      <c r="E2885" s="76">
        <f ca="1">SUMIF('Production '!$C$4:$AI$4407,'Tracking Sheet'!B2885,'Production '!$S$4:$S$4407)</f>
        <v>-1268218.9828305368</v>
      </c>
      <c r="F2885" s="76">
        <f ca="1">SUMIF('Production '!$C$4:$AI$4407,'Tracking Sheet'!B2885,'Production '!$U$4:$U$4407)</f>
        <v>-10620.435600016917</v>
      </c>
      <c r="G2885" s="76" t="e">
        <f ca="1">SUMIF('Production '!$C$4:$AI$4407,'Tracking Sheet'!B2885,'Production '!$W$4:$W$4407)</f>
        <v>#DIV/0!</v>
      </c>
      <c r="H2885" s="76">
        <f ca="1">SUMIF('Production '!$C$4:$AI$4407,'Tracking Sheet'!B2885,'Production '!$F$4:$F$4407)</f>
        <v>3230621.3283604058</v>
      </c>
      <c r="I2885" s="76">
        <f ca="1">SUMIF('Production '!$C$4:$AI$4407,'Tracking Sheet'!B2885,'Production '!$V$4:$V$4407)</f>
        <v>-489.86487791182844</v>
      </c>
      <c r="J2885" s="76">
        <f ca="1">SUMIF('Production '!$C$4:$AI$4407,'Tracking Sheet'!B2885,'Production '!$AG$4:$AG$4407)</f>
        <v>0</v>
      </c>
    </row>
    <row r="2886" spans="2:10" x14ac:dyDescent="0.3">
      <c r="B2886" s="277">
        <f>'Production '!C2889</f>
        <v>0</v>
      </c>
      <c r="C2886" s="76" t="e">
        <f ca="1">SUMIF('Production '!$C$4:$AI$4407,'Tracking Sheet'!B2886,'Production '!$M$4:$M$4407)</f>
        <v>#DIV/0!</v>
      </c>
      <c r="D2886" s="76" t="e">
        <f ca="1">SUMIF('Production '!$C$4:$AI$4407,'Tracking Sheet'!B2886,'Production '!$Q$4:$Q$4407)</f>
        <v>#DIV/0!</v>
      </c>
      <c r="E2886" s="76">
        <f ca="1">SUMIF('Production '!$C$4:$AI$4407,'Tracking Sheet'!B2886,'Production '!$S$4:$S$4407)</f>
        <v>-1268218.9828305368</v>
      </c>
      <c r="F2886" s="76">
        <f ca="1">SUMIF('Production '!$C$4:$AI$4407,'Tracking Sheet'!B2886,'Production '!$U$4:$U$4407)</f>
        <v>-10620.435600016917</v>
      </c>
      <c r="G2886" s="76" t="e">
        <f ca="1">SUMIF('Production '!$C$4:$AI$4407,'Tracking Sheet'!B2886,'Production '!$W$4:$W$4407)</f>
        <v>#DIV/0!</v>
      </c>
      <c r="H2886" s="76">
        <f ca="1">SUMIF('Production '!$C$4:$AI$4407,'Tracking Sheet'!B2886,'Production '!$F$4:$F$4407)</f>
        <v>3230621.3283604058</v>
      </c>
      <c r="I2886" s="76">
        <f ca="1">SUMIF('Production '!$C$4:$AI$4407,'Tracking Sheet'!B2886,'Production '!$V$4:$V$4407)</f>
        <v>-489.86487791182844</v>
      </c>
      <c r="J2886" s="76">
        <f ca="1">SUMIF('Production '!$C$4:$AI$4407,'Tracking Sheet'!B2886,'Production '!$AG$4:$AG$4407)</f>
        <v>0</v>
      </c>
    </row>
    <row r="2887" spans="2:10" x14ac:dyDescent="0.3">
      <c r="B2887" s="277">
        <f>'Production '!C2890</f>
        <v>0</v>
      </c>
      <c r="C2887" s="76" t="e">
        <f ca="1">SUMIF('Production '!$C$4:$AI$4407,'Tracking Sheet'!B2887,'Production '!$M$4:$M$4407)</f>
        <v>#DIV/0!</v>
      </c>
      <c r="D2887" s="76" t="e">
        <f ca="1">SUMIF('Production '!$C$4:$AI$4407,'Tracking Sheet'!B2887,'Production '!$Q$4:$Q$4407)</f>
        <v>#DIV/0!</v>
      </c>
      <c r="E2887" s="76">
        <f ca="1">SUMIF('Production '!$C$4:$AI$4407,'Tracking Sheet'!B2887,'Production '!$S$4:$S$4407)</f>
        <v>-1268218.9828305368</v>
      </c>
      <c r="F2887" s="76">
        <f ca="1">SUMIF('Production '!$C$4:$AI$4407,'Tracking Sheet'!B2887,'Production '!$U$4:$U$4407)</f>
        <v>-10620.435600016917</v>
      </c>
      <c r="G2887" s="76" t="e">
        <f ca="1">SUMIF('Production '!$C$4:$AI$4407,'Tracking Sheet'!B2887,'Production '!$W$4:$W$4407)</f>
        <v>#DIV/0!</v>
      </c>
      <c r="H2887" s="76">
        <f ca="1">SUMIF('Production '!$C$4:$AI$4407,'Tracking Sheet'!B2887,'Production '!$F$4:$F$4407)</f>
        <v>3230621.3283604058</v>
      </c>
      <c r="I2887" s="76">
        <f ca="1">SUMIF('Production '!$C$4:$AI$4407,'Tracking Sheet'!B2887,'Production '!$V$4:$V$4407)</f>
        <v>-489.86487791182844</v>
      </c>
      <c r="J2887" s="76">
        <f ca="1">SUMIF('Production '!$C$4:$AI$4407,'Tracking Sheet'!B2887,'Production '!$AG$4:$AG$4407)</f>
        <v>0</v>
      </c>
    </row>
    <row r="2888" spans="2:10" x14ac:dyDescent="0.3">
      <c r="B2888" s="277">
        <f>'Production '!C2891</f>
        <v>0</v>
      </c>
      <c r="C2888" s="76" t="e">
        <f ca="1">SUMIF('Production '!$C$4:$AI$4407,'Tracking Sheet'!B2888,'Production '!$M$4:$M$4407)</f>
        <v>#DIV/0!</v>
      </c>
      <c r="D2888" s="76" t="e">
        <f ca="1">SUMIF('Production '!$C$4:$AI$4407,'Tracking Sheet'!B2888,'Production '!$Q$4:$Q$4407)</f>
        <v>#DIV/0!</v>
      </c>
      <c r="E2888" s="76">
        <f ca="1">SUMIF('Production '!$C$4:$AI$4407,'Tracking Sheet'!B2888,'Production '!$S$4:$S$4407)</f>
        <v>-1268218.9828305368</v>
      </c>
      <c r="F2888" s="76">
        <f ca="1">SUMIF('Production '!$C$4:$AI$4407,'Tracking Sheet'!B2888,'Production '!$U$4:$U$4407)</f>
        <v>-10620.435600016917</v>
      </c>
      <c r="G2888" s="76" t="e">
        <f ca="1">SUMIF('Production '!$C$4:$AI$4407,'Tracking Sheet'!B2888,'Production '!$W$4:$W$4407)</f>
        <v>#DIV/0!</v>
      </c>
      <c r="H2888" s="76">
        <f ca="1">SUMIF('Production '!$C$4:$AI$4407,'Tracking Sheet'!B2888,'Production '!$F$4:$F$4407)</f>
        <v>3230621.3283604058</v>
      </c>
      <c r="I2888" s="76">
        <f ca="1">SUMIF('Production '!$C$4:$AI$4407,'Tracking Sheet'!B2888,'Production '!$V$4:$V$4407)</f>
        <v>-489.86487791182844</v>
      </c>
      <c r="J2888" s="76">
        <f ca="1">SUMIF('Production '!$C$4:$AI$4407,'Tracking Sheet'!B2888,'Production '!$AG$4:$AG$4407)</f>
        <v>0</v>
      </c>
    </row>
    <row r="2889" spans="2:10" x14ac:dyDescent="0.3">
      <c r="B2889" s="277">
        <f>'Production '!C2892</f>
        <v>0</v>
      </c>
      <c r="C2889" s="76" t="e">
        <f ca="1">SUMIF('Production '!$C$4:$AI$4407,'Tracking Sheet'!B2889,'Production '!$M$4:$M$4407)</f>
        <v>#DIV/0!</v>
      </c>
      <c r="D2889" s="76" t="e">
        <f ca="1">SUMIF('Production '!$C$4:$AI$4407,'Tracking Sheet'!B2889,'Production '!$Q$4:$Q$4407)</f>
        <v>#DIV/0!</v>
      </c>
      <c r="E2889" s="76">
        <f ca="1">SUMIF('Production '!$C$4:$AI$4407,'Tracking Sheet'!B2889,'Production '!$S$4:$S$4407)</f>
        <v>-1268218.9828305368</v>
      </c>
      <c r="F2889" s="76">
        <f ca="1">SUMIF('Production '!$C$4:$AI$4407,'Tracking Sheet'!B2889,'Production '!$U$4:$U$4407)</f>
        <v>-10620.435600016917</v>
      </c>
      <c r="G2889" s="76" t="e">
        <f ca="1">SUMIF('Production '!$C$4:$AI$4407,'Tracking Sheet'!B2889,'Production '!$W$4:$W$4407)</f>
        <v>#DIV/0!</v>
      </c>
      <c r="H2889" s="76">
        <f ca="1">SUMIF('Production '!$C$4:$AI$4407,'Tracking Sheet'!B2889,'Production '!$F$4:$F$4407)</f>
        <v>3230621.3283604058</v>
      </c>
      <c r="I2889" s="76">
        <f ca="1">SUMIF('Production '!$C$4:$AI$4407,'Tracking Sheet'!B2889,'Production '!$V$4:$V$4407)</f>
        <v>-489.86487791182844</v>
      </c>
      <c r="J2889" s="76">
        <f ca="1">SUMIF('Production '!$C$4:$AI$4407,'Tracking Sheet'!B2889,'Production '!$AG$4:$AG$4407)</f>
        <v>0</v>
      </c>
    </row>
    <row r="2890" spans="2:10" x14ac:dyDescent="0.3">
      <c r="B2890" s="277">
        <f>'Production '!C2893</f>
        <v>0</v>
      </c>
      <c r="C2890" s="76" t="e">
        <f ca="1">SUMIF('Production '!$C$4:$AI$4407,'Tracking Sheet'!B2890,'Production '!$M$4:$M$4407)</f>
        <v>#DIV/0!</v>
      </c>
      <c r="D2890" s="76" t="e">
        <f ca="1">SUMIF('Production '!$C$4:$AI$4407,'Tracking Sheet'!B2890,'Production '!$Q$4:$Q$4407)</f>
        <v>#DIV/0!</v>
      </c>
      <c r="E2890" s="76">
        <f ca="1">SUMIF('Production '!$C$4:$AI$4407,'Tracking Sheet'!B2890,'Production '!$S$4:$S$4407)</f>
        <v>-1268218.9828305368</v>
      </c>
      <c r="F2890" s="76">
        <f ca="1">SUMIF('Production '!$C$4:$AI$4407,'Tracking Sheet'!B2890,'Production '!$U$4:$U$4407)</f>
        <v>-10620.435600016917</v>
      </c>
      <c r="G2890" s="76" t="e">
        <f ca="1">SUMIF('Production '!$C$4:$AI$4407,'Tracking Sheet'!B2890,'Production '!$W$4:$W$4407)</f>
        <v>#DIV/0!</v>
      </c>
      <c r="H2890" s="76">
        <f ca="1">SUMIF('Production '!$C$4:$AI$4407,'Tracking Sheet'!B2890,'Production '!$F$4:$F$4407)</f>
        <v>3230621.3283604058</v>
      </c>
      <c r="I2890" s="76">
        <f ca="1">SUMIF('Production '!$C$4:$AI$4407,'Tracking Sheet'!B2890,'Production '!$V$4:$V$4407)</f>
        <v>-489.86487791182844</v>
      </c>
      <c r="J2890" s="76">
        <f ca="1">SUMIF('Production '!$C$4:$AI$4407,'Tracking Sheet'!B2890,'Production '!$AG$4:$AG$4407)</f>
        <v>0</v>
      </c>
    </row>
    <row r="2891" spans="2:10" x14ac:dyDescent="0.3">
      <c r="B2891" s="277">
        <f>'Production '!C2894</f>
        <v>0</v>
      </c>
      <c r="C2891" s="76" t="e">
        <f ca="1">SUMIF('Production '!$C$4:$AI$4407,'Tracking Sheet'!B2891,'Production '!$M$4:$M$4407)</f>
        <v>#DIV/0!</v>
      </c>
      <c r="D2891" s="76" t="e">
        <f ca="1">SUMIF('Production '!$C$4:$AI$4407,'Tracking Sheet'!B2891,'Production '!$Q$4:$Q$4407)</f>
        <v>#DIV/0!</v>
      </c>
      <c r="E2891" s="76">
        <f ca="1">SUMIF('Production '!$C$4:$AI$4407,'Tracking Sheet'!B2891,'Production '!$S$4:$S$4407)</f>
        <v>-1268218.9828305368</v>
      </c>
      <c r="F2891" s="76">
        <f ca="1">SUMIF('Production '!$C$4:$AI$4407,'Tracking Sheet'!B2891,'Production '!$U$4:$U$4407)</f>
        <v>-10620.435600016917</v>
      </c>
      <c r="G2891" s="76" t="e">
        <f ca="1">SUMIF('Production '!$C$4:$AI$4407,'Tracking Sheet'!B2891,'Production '!$W$4:$W$4407)</f>
        <v>#DIV/0!</v>
      </c>
      <c r="H2891" s="76">
        <f ca="1">SUMIF('Production '!$C$4:$AI$4407,'Tracking Sheet'!B2891,'Production '!$F$4:$F$4407)</f>
        <v>3230621.3283604058</v>
      </c>
      <c r="I2891" s="76">
        <f ca="1">SUMIF('Production '!$C$4:$AI$4407,'Tracking Sheet'!B2891,'Production '!$V$4:$V$4407)</f>
        <v>-489.86487791182844</v>
      </c>
      <c r="J2891" s="76">
        <f ca="1">SUMIF('Production '!$C$4:$AI$4407,'Tracking Sheet'!B2891,'Production '!$AG$4:$AG$4407)</f>
        <v>0</v>
      </c>
    </row>
    <row r="2892" spans="2:10" x14ac:dyDescent="0.3">
      <c r="B2892" s="277">
        <f>'Production '!C2895</f>
        <v>0</v>
      </c>
      <c r="C2892" s="76" t="e">
        <f ca="1">SUMIF('Production '!$C$4:$AI$4407,'Tracking Sheet'!B2892,'Production '!$M$4:$M$4407)</f>
        <v>#DIV/0!</v>
      </c>
      <c r="D2892" s="76" t="e">
        <f ca="1">SUMIF('Production '!$C$4:$AI$4407,'Tracking Sheet'!B2892,'Production '!$Q$4:$Q$4407)</f>
        <v>#DIV/0!</v>
      </c>
      <c r="E2892" s="76">
        <f ca="1">SUMIF('Production '!$C$4:$AI$4407,'Tracking Sheet'!B2892,'Production '!$S$4:$S$4407)</f>
        <v>-1268218.9828305368</v>
      </c>
      <c r="F2892" s="76">
        <f ca="1">SUMIF('Production '!$C$4:$AI$4407,'Tracking Sheet'!B2892,'Production '!$U$4:$U$4407)</f>
        <v>-10620.435600016917</v>
      </c>
      <c r="G2892" s="76" t="e">
        <f ca="1">SUMIF('Production '!$C$4:$AI$4407,'Tracking Sheet'!B2892,'Production '!$W$4:$W$4407)</f>
        <v>#DIV/0!</v>
      </c>
      <c r="H2892" s="76">
        <f ca="1">SUMIF('Production '!$C$4:$AI$4407,'Tracking Sheet'!B2892,'Production '!$F$4:$F$4407)</f>
        <v>3230621.3283604058</v>
      </c>
      <c r="I2892" s="76">
        <f ca="1">SUMIF('Production '!$C$4:$AI$4407,'Tracking Sheet'!B2892,'Production '!$V$4:$V$4407)</f>
        <v>-489.86487791182844</v>
      </c>
      <c r="J2892" s="76">
        <f ca="1">SUMIF('Production '!$C$4:$AI$4407,'Tracking Sheet'!B2892,'Production '!$AG$4:$AG$4407)</f>
        <v>0</v>
      </c>
    </row>
    <row r="2893" spans="2:10" x14ac:dyDescent="0.3">
      <c r="B2893" s="277">
        <f>'Production '!C2896</f>
        <v>0</v>
      </c>
      <c r="C2893" s="76" t="e">
        <f ca="1">SUMIF('Production '!$C$4:$AI$4407,'Tracking Sheet'!B2893,'Production '!$M$4:$M$4407)</f>
        <v>#DIV/0!</v>
      </c>
      <c r="D2893" s="76" t="e">
        <f ca="1">SUMIF('Production '!$C$4:$AI$4407,'Tracking Sheet'!B2893,'Production '!$Q$4:$Q$4407)</f>
        <v>#DIV/0!</v>
      </c>
      <c r="E2893" s="76">
        <f ca="1">SUMIF('Production '!$C$4:$AI$4407,'Tracking Sheet'!B2893,'Production '!$S$4:$S$4407)</f>
        <v>-1268218.9828305368</v>
      </c>
      <c r="F2893" s="76">
        <f ca="1">SUMIF('Production '!$C$4:$AI$4407,'Tracking Sheet'!B2893,'Production '!$U$4:$U$4407)</f>
        <v>-10620.435600016917</v>
      </c>
      <c r="G2893" s="76" t="e">
        <f ca="1">SUMIF('Production '!$C$4:$AI$4407,'Tracking Sheet'!B2893,'Production '!$W$4:$W$4407)</f>
        <v>#DIV/0!</v>
      </c>
      <c r="H2893" s="76">
        <f ca="1">SUMIF('Production '!$C$4:$AI$4407,'Tracking Sheet'!B2893,'Production '!$F$4:$F$4407)</f>
        <v>3230621.3283604058</v>
      </c>
      <c r="I2893" s="76">
        <f ca="1">SUMIF('Production '!$C$4:$AI$4407,'Tracking Sheet'!B2893,'Production '!$V$4:$V$4407)</f>
        <v>-489.86487791182844</v>
      </c>
      <c r="J2893" s="76">
        <f ca="1">SUMIF('Production '!$C$4:$AI$4407,'Tracking Sheet'!B2893,'Production '!$AG$4:$AG$4407)</f>
        <v>0</v>
      </c>
    </row>
    <row r="2894" spans="2:10" x14ac:dyDescent="0.3">
      <c r="B2894" s="277">
        <f>'Production '!C2897</f>
        <v>0</v>
      </c>
      <c r="C2894" s="76" t="e">
        <f ca="1">SUMIF('Production '!$C$4:$AI$4407,'Tracking Sheet'!B2894,'Production '!$M$4:$M$4407)</f>
        <v>#DIV/0!</v>
      </c>
      <c r="D2894" s="76" t="e">
        <f ca="1">SUMIF('Production '!$C$4:$AI$4407,'Tracking Sheet'!B2894,'Production '!$Q$4:$Q$4407)</f>
        <v>#DIV/0!</v>
      </c>
      <c r="E2894" s="76">
        <f ca="1">SUMIF('Production '!$C$4:$AI$4407,'Tracking Sheet'!B2894,'Production '!$S$4:$S$4407)</f>
        <v>-1268218.9828305368</v>
      </c>
      <c r="F2894" s="76">
        <f ca="1">SUMIF('Production '!$C$4:$AI$4407,'Tracking Sheet'!B2894,'Production '!$U$4:$U$4407)</f>
        <v>-10620.435600016917</v>
      </c>
      <c r="G2894" s="76" t="e">
        <f ca="1">SUMIF('Production '!$C$4:$AI$4407,'Tracking Sheet'!B2894,'Production '!$W$4:$W$4407)</f>
        <v>#DIV/0!</v>
      </c>
      <c r="H2894" s="76">
        <f ca="1">SUMIF('Production '!$C$4:$AI$4407,'Tracking Sheet'!B2894,'Production '!$F$4:$F$4407)</f>
        <v>3230621.3283604058</v>
      </c>
      <c r="I2894" s="76">
        <f ca="1">SUMIF('Production '!$C$4:$AI$4407,'Tracking Sheet'!B2894,'Production '!$V$4:$V$4407)</f>
        <v>-489.86487791182844</v>
      </c>
      <c r="J2894" s="76">
        <f ca="1">SUMIF('Production '!$C$4:$AI$4407,'Tracking Sheet'!B2894,'Production '!$AG$4:$AG$4407)</f>
        <v>0</v>
      </c>
    </row>
    <row r="2895" spans="2:10" x14ac:dyDescent="0.3">
      <c r="B2895" s="277">
        <f>'Production '!C2898</f>
        <v>0</v>
      </c>
      <c r="C2895" s="76" t="e">
        <f ca="1">SUMIF('Production '!$C$4:$AI$4407,'Tracking Sheet'!B2895,'Production '!$M$4:$M$4407)</f>
        <v>#DIV/0!</v>
      </c>
      <c r="D2895" s="76" t="e">
        <f ca="1">SUMIF('Production '!$C$4:$AI$4407,'Tracking Sheet'!B2895,'Production '!$Q$4:$Q$4407)</f>
        <v>#DIV/0!</v>
      </c>
      <c r="E2895" s="76">
        <f ca="1">SUMIF('Production '!$C$4:$AI$4407,'Tracking Sheet'!B2895,'Production '!$S$4:$S$4407)</f>
        <v>-1268218.9828305368</v>
      </c>
      <c r="F2895" s="76">
        <f ca="1">SUMIF('Production '!$C$4:$AI$4407,'Tracking Sheet'!B2895,'Production '!$U$4:$U$4407)</f>
        <v>-10620.435600016917</v>
      </c>
      <c r="G2895" s="76" t="e">
        <f ca="1">SUMIF('Production '!$C$4:$AI$4407,'Tracking Sheet'!B2895,'Production '!$W$4:$W$4407)</f>
        <v>#DIV/0!</v>
      </c>
      <c r="H2895" s="76">
        <f ca="1">SUMIF('Production '!$C$4:$AI$4407,'Tracking Sheet'!B2895,'Production '!$F$4:$F$4407)</f>
        <v>3230621.3283604058</v>
      </c>
      <c r="I2895" s="76">
        <f ca="1">SUMIF('Production '!$C$4:$AI$4407,'Tracking Sheet'!B2895,'Production '!$V$4:$V$4407)</f>
        <v>-489.86487791182844</v>
      </c>
      <c r="J2895" s="76">
        <f ca="1">SUMIF('Production '!$C$4:$AI$4407,'Tracking Sheet'!B2895,'Production '!$AG$4:$AG$4407)</f>
        <v>0</v>
      </c>
    </row>
    <row r="2896" spans="2:10" x14ac:dyDescent="0.3">
      <c r="B2896" s="277">
        <f>'Production '!C2899</f>
        <v>0</v>
      </c>
      <c r="C2896" s="76" t="e">
        <f ca="1">SUMIF('Production '!$C$4:$AI$4407,'Tracking Sheet'!B2896,'Production '!$M$4:$M$4407)</f>
        <v>#DIV/0!</v>
      </c>
      <c r="D2896" s="76" t="e">
        <f ca="1">SUMIF('Production '!$C$4:$AI$4407,'Tracking Sheet'!B2896,'Production '!$Q$4:$Q$4407)</f>
        <v>#DIV/0!</v>
      </c>
      <c r="E2896" s="76">
        <f ca="1">SUMIF('Production '!$C$4:$AI$4407,'Tracking Sheet'!B2896,'Production '!$S$4:$S$4407)</f>
        <v>-1268218.9828305368</v>
      </c>
      <c r="F2896" s="76">
        <f ca="1">SUMIF('Production '!$C$4:$AI$4407,'Tracking Sheet'!B2896,'Production '!$U$4:$U$4407)</f>
        <v>-10620.435600016917</v>
      </c>
      <c r="G2896" s="76" t="e">
        <f ca="1">SUMIF('Production '!$C$4:$AI$4407,'Tracking Sheet'!B2896,'Production '!$W$4:$W$4407)</f>
        <v>#DIV/0!</v>
      </c>
      <c r="H2896" s="76">
        <f ca="1">SUMIF('Production '!$C$4:$AI$4407,'Tracking Sheet'!B2896,'Production '!$F$4:$F$4407)</f>
        <v>3230621.3283604058</v>
      </c>
      <c r="I2896" s="76">
        <f ca="1">SUMIF('Production '!$C$4:$AI$4407,'Tracking Sheet'!B2896,'Production '!$V$4:$V$4407)</f>
        <v>-489.86487791182844</v>
      </c>
      <c r="J2896" s="76">
        <f ca="1">SUMIF('Production '!$C$4:$AI$4407,'Tracking Sheet'!B2896,'Production '!$AG$4:$AG$4407)</f>
        <v>0</v>
      </c>
    </row>
    <row r="2897" spans="2:10" x14ac:dyDescent="0.3">
      <c r="B2897" s="277">
        <f>'Production '!C2900</f>
        <v>0</v>
      </c>
      <c r="C2897" s="76" t="e">
        <f ca="1">SUMIF('Production '!$C$4:$AI$4407,'Tracking Sheet'!B2897,'Production '!$M$4:$M$4407)</f>
        <v>#DIV/0!</v>
      </c>
      <c r="D2897" s="76" t="e">
        <f ca="1">SUMIF('Production '!$C$4:$AI$4407,'Tracking Sheet'!B2897,'Production '!$Q$4:$Q$4407)</f>
        <v>#DIV/0!</v>
      </c>
      <c r="E2897" s="76">
        <f ca="1">SUMIF('Production '!$C$4:$AI$4407,'Tracking Sheet'!B2897,'Production '!$S$4:$S$4407)</f>
        <v>-1268218.9828305368</v>
      </c>
      <c r="F2897" s="76">
        <f ca="1">SUMIF('Production '!$C$4:$AI$4407,'Tracking Sheet'!B2897,'Production '!$U$4:$U$4407)</f>
        <v>-10620.435600016917</v>
      </c>
      <c r="G2897" s="76" t="e">
        <f ca="1">SUMIF('Production '!$C$4:$AI$4407,'Tracking Sheet'!B2897,'Production '!$W$4:$W$4407)</f>
        <v>#DIV/0!</v>
      </c>
      <c r="H2897" s="76">
        <f ca="1">SUMIF('Production '!$C$4:$AI$4407,'Tracking Sheet'!B2897,'Production '!$F$4:$F$4407)</f>
        <v>3230621.3283604058</v>
      </c>
      <c r="I2897" s="76">
        <f ca="1">SUMIF('Production '!$C$4:$AI$4407,'Tracking Sheet'!B2897,'Production '!$V$4:$V$4407)</f>
        <v>-489.86487791182844</v>
      </c>
      <c r="J2897" s="76">
        <f ca="1">SUMIF('Production '!$C$4:$AI$4407,'Tracking Sheet'!B2897,'Production '!$AG$4:$AG$4407)</f>
        <v>0</v>
      </c>
    </row>
    <row r="2898" spans="2:10" x14ac:dyDescent="0.3">
      <c r="B2898" s="277">
        <f>'Production '!C2901</f>
        <v>0</v>
      </c>
      <c r="C2898" s="76" t="e">
        <f ca="1">SUMIF('Production '!$C$4:$AI$4407,'Tracking Sheet'!B2898,'Production '!$M$4:$M$4407)</f>
        <v>#DIV/0!</v>
      </c>
      <c r="D2898" s="76" t="e">
        <f ca="1">SUMIF('Production '!$C$4:$AI$4407,'Tracking Sheet'!B2898,'Production '!$Q$4:$Q$4407)</f>
        <v>#DIV/0!</v>
      </c>
      <c r="E2898" s="76">
        <f ca="1">SUMIF('Production '!$C$4:$AI$4407,'Tracking Sheet'!B2898,'Production '!$S$4:$S$4407)</f>
        <v>-1268218.9828305368</v>
      </c>
      <c r="F2898" s="76">
        <f ca="1">SUMIF('Production '!$C$4:$AI$4407,'Tracking Sheet'!B2898,'Production '!$U$4:$U$4407)</f>
        <v>-10620.435600016917</v>
      </c>
      <c r="G2898" s="76" t="e">
        <f ca="1">SUMIF('Production '!$C$4:$AI$4407,'Tracking Sheet'!B2898,'Production '!$W$4:$W$4407)</f>
        <v>#DIV/0!</v>
      </c>
      <c r="H2898" s="76">
        <f ca="1">SUMIF('Production '!$C$4:$AI$4407,'Tracking Sheet'!B2898,'Production '!$F$4:$F$4407)</f>
        <v>3230621.3283604058</v>
      </c>
      <c r="I2898" s="76">
        <f ca="1">SUMIF('Production '!$C$4:$AI$4407,'Tracking Sheet'!B2898,'Production '!$V$4:$V$4407)</f>
        <v>-489.86487791182844</v>
      </c>
      <c r="J2898" s="76">
        <f ca="1">SUMIF('Production '!$C$4:$AI$4407,'Tracking Sheet'!B2898,'Production '!$AG$4:$AG$4407)</f>
        <v>0</v>
      </c>
    </row>
    <row r="2899" spans="2:10" x14ac:dyDescent="0.3">
      <c r="B2899" s="277">
        <f>'Production '!C2902</f>
        <v>0</v>
      </c>
      <c r="C2899" s="76" t="e">
        <f ca="1">SUMIF('Production '!$C$4:$AI$4407,'Tracking Sheet'!B2899,'Production '!$M$4:$M$4407)</f>
        <v>#DIV/0!</v>
      </c>
      <c r="D2899" s="76" t="e">
        <f ca="1">SUMIF('Production '!$C$4:$AI$4407,'Tracking Sheet'!B2899,'Production '!$Q$4:$Q$4407)</f>
        <v>#DIV/0!</v>
      </c>
      <c r="E2899" s="76">
        <f ca="1">SUMIF('Production '!$C$4:$AI$4407,'Tracking Sheet'!B2899,'Production '!$S$4:$S$4407)</f>
        <v>-1268218.9828305368</v>
      </c>
      <c r="F2899" s="76">
        <f ca="1">SUMIF('Production '!$C$4:$AI$4407,'Tracking Sheet'!B2899,'Production '!$U$4:$U$4407)</f>
        <v>-10620.435600016917</v>
      </c>
      <c r="G2899" s="76" t="e">
        <f ca="1">SUMIF('Production '!$C$4:$AI$4407,'Tracking Sheet'!B2899,'Production '!$W$4:$W$4407)</f>
        <v>#DIV/0!</v>
      </c>
      <c r="H2899" s="76">
        <f ca="1">SUMIF('Production '!$C$4:$AI$4407,'Tracking Sheet'!B2899,'Production '!$F$4:$F$4407)</f>
        <v>3230621.3283604058</v>
      </c>
      <c r="I2899" s="76">
        <f ca="1">SUMIF('Production '!$C$4:$AI$4407,'Tracking Sheet'!B2899,'Production '!$V$4:$V$4407)</f>
        <v>-489.86487791182844</v>
      </c>
      <c r="J2899" s="76">
        <f ca="1">SUMIF('Production '!$C$4:$AI$4407,'Tracking Sheet'!B2899,'Production '!$AG$4:$AG$4407)</f>
        <v>0</v>
      </c>
    </row>
    <row r="2900" spans="2:10" x14ac:dyDescent="0.3">
      <c r="B2900" s="277">
        <f>'Production '!C2903</f>
        <v>0</v>
      </c>
      <c r="C2900" s="76" t="e">
        <f ca="1">SUMIF('Production '!$C$4:$AI$4407,'Tracking Sheet'!B2900,'Production '!$M$4:$M$4407)</f>
        <v>#DIV/0!</v>
      </c>
      <c r="D2900" s="76" t="e">
        <f ca="1">SUMIF('Production '!$C$4:$AI$4407,'Tracking Sheet'!B2900,'Production '!$Q$4:$Q$4407)</f>
        <v>#DIV/0!</v>
      </c>
      <c r="E2900" s="76">
        <f ca="1">SUMIF('Production '!$C$4:$AI$4407,'Tracking Sheet'!B2900,'Production '!$S$4:$S$4407)</f>
        <v>-1268218.9828305368</v>
      </c>
      <c r="F2900" s="76">
        <f ca="1">SUMIF('Production '!$C$4:$AI$4407,'Tracking Sheet'!B2900,'Production '!$U$4:$U$4407)</f>
        <v>-10620.435600016917</v>
      </c>
      <c r="G2900" s="76" t="e">
        <f ca="1">SUMIF('Production '!$C$4:$AI$4407,'Tracking Sheet'!B2900,'Production '!$W$4:$W$4407)</f>
        <v>#DIV/0!</v>
      </c>
      <c r="H2900" s="76">
        <f ca="1">SUMIF('Production '!$C$4:$AI$4407,'Tracking Sheet'!B2900,'Production '!$F$4:$F$4407)</f>
        <v>3230621.3283604058</v>
      </c>
      <c r="I2900" s="76">
        <f ca="1">SUMIF('Production '!$C$4:$AI$4407,'Tracking Sheet'!B2900,'Production '!$V$4:$V$4407)</f>
        <v>-489.86487791182844</v>
      </c>
      <c r="J2900" s="76">
        <f ca="1">SUMIF('Production '!$C$4:$AI$4407,'Tracking Sheet'!B2900,'Production '!$AG$4:$AG$4407)</f>
        <v>0</v>
      </c>
    </row>
    <row r="2901" spans="2:10" x14ac:dyDescent="0.3">
      <c r="B2901" s="277">
        <f>'Production '!C2904</f>
        <v>0</v>
      </c>
      <c r="C2901" s="76" t="e">
        <f ca="1">SUMIF('Production '!$C$4:$AI$4407,'Tracking Sheet'!B2901,'Production '!$M$4:$M$4407)</f>
        <v>#DIV/0!</v>
      </c>
      <c r="D2901" s="76" t="e">
        <f ca="1">SUMIF('Production '!$C$4:$AI$4407,'Tracking Sheet'!B2901,'Production '!$Q$4:$Q$4407)</f>
        <v>#DIV/0!</v>
      </c>
      <c r="E2901" s="76">
        <f ca="1">SUMIF('Production '!$C$4:$AI$4407,'Tracking Sheet'!B2901,'Production '!$S$4:$S$4407)</f>
        <v>-1268218.9828305368</v>
      </c>
      <c r="F2901" s="76">
        <f ca="1">SUMIF('Production '!$C$4:$AI$4407,'Tracking Sheet'!B2901,'Production '!$U$4:$U$4407)</f>
        <v>-10620.435600016917</v>
      </c>
      <c r="G2901" s="76" t="e">
        <f ca="1">SUMIF('Production '!$C$4:$AI$4407,'Tracking Sheet'!B2901,'Production '!$W$4:$W$4407)</f>
        <v>#DIV/0!</v>
      </c>
      <c r="H2901" s="76">
        <f ca="1">SUMIF('Production '!$C$4:$AI$4407,'Tracking Sheet'!B2901,'Production '!$F$4:$F$4407)</f>
        <v>3230621.3283604058</v>
      </c>
      <c r="I2901" s="76">
        <f ca="1">SUMIF('Production '!$C$4:$AI$4407,'Tracking Sheet'!B2901,'Production '!$V$4:$V$4407)</f>
        <v>-489.86487791182844</v>
      </c>
      <c r="J2901" s="76">
        <f ca="1">SUMIF('Production '!$C$4:$AI$4407,'Tracking Sheet'!B2901,'Production '!$AG$4:$AG$4407)</f>
        <v>0</v>
      </c>
    </row>
    <row r="2902" spans="2:10" x14ac:dyDescent="0.3">
      <c r="B2902" s="277">
        <f>'Production '!C2905</f>
        <v>0</v>
      </c>
      <c r="C2902" s="76" t="e">
        <f ca="1">SUMIF('Production '!$C$4:$AI$4407,'Tracking Sheet'!B2902,'Production '!$M$4:$M$4407)</f>
        <v>#DIV/0!</v>
      </c>
      <c r="D2902" s="76" t="e">
        <f ca="1">SUMIF('Production '!$C$4:$AI$4407,'Tracking Sheet'!B2902,'Production '!$Q$4:$Q$4407)</f>
        <v>#DIV/0!</v>
      </c>
      <c r="E2902" s="76">
        <f ca="1">SUMIF('Production '!$C$4:$AI$4407,'Tracking Sheet'!B2902,'Production '!$S$4:$S$4407)</f>
        <v>-1268218.9828305368</v>
      </c>
      <c r="F2902" s="76">
        <f ca="1">SUMIF('Production '!$C$4:$AI$4407,'Tracking Sheet'!B2902,'Production '!$U$4:$U$4407)</f>
        <v>-10620.435600016917</v>
      </c>
      <c r="G2902" s="76" t="e">
        <f ca="1">SUMIF('Production '!$C$4:$AI$4407,'Tracking Sheet'!B2902,'Production '!$W$4:$W$4407)</f>
        <v>#DIV/0!</v>
      </c>
      <c r="H2902" s="76">
        <f ca="1">SUMIF('Production '!$C$4:$AI$4407,'Tracking Sheet'!B2902,'Production '!$F$4:$F$4407)</f>
        <v>3230621.3283604058</v>
      </c>
      <c r="I2902" s="76">
        <f ca="1">SUMIF('Production '!$C$4:$AI$4407,'Tracking Sheet'!B2902,'Production '!$V$4:$V$4407)</f>
        <v>-489.86487791182844</v>
      </c>
      <c r="J2902" s="76">
        <f ca="1">SUMIF('Production '!$C$4:$AI$4407,'Tracking Sheet'!B2902,'Production '!$AG$4:$AG$4407)</f>
        <v>0</v>
      </c>
    </row>
    <row r="2903" spans="2:10" x14ac:dyDescent="0.3">
      <c r="B2903" s="277">
        <f>'Production '!C2906</f>
        <v>0</v>
      </c>
      <c r="C2903" s="76" t="e">
        <f ca="1">SUMIF('Production '!$C$4:$AI$4407,'Tracking Sheet'!B2903,'Production '!$M$4:$M$4407)</f>
        <v>#DIV/0!</v>
      </c>
      <c r="D2903" s="76" t="e">
        <f ca="1">SUMIF('Production '!$C$4:$AI$4407,'Tracking Sheet'!B2903,'Production '!$Q$4:$Q$4407)</f>
        <v>#DIV/0!</v>
      </c>
      <c r="E2903" s="76">
        <f ca="1">SUMIF('Production '!$C$4:$AI$4407,'Tracking Sheet'!B2903,'Production '!$S$4:$S$4407)</f>
        <v>-1268218.9828305368</v>
      </c>
      <c r="F2903" s="76">
        <f ca="1">SUMIF('Production '!$C$4:$AI$4407,'Tracking Sheet'!B2903,'Production '!$U$4:$U$4407)</f>
        <v>-10620.435600016917</v>
      </c>
      <c r="G2903" s="76" t="e">
        <f ca="1">SUMIF('Production '!$C$4:$AI$4407,'Tracking Sheet'!B2903,'Production '!$W$4:$W$4407)</f>
        <v>#DIV/0!</v>
      </c>
      <c r="H2903" s="76">
        <f ca="1">SUMIF('Production '!$C$4:$AI$4407,'Tracking Sheet'!B2903,'Production '!$F$4:$F$4407)</f>
        <v>3230621.3283604058</v>
      </c>
      <c r="I2903" s="76">
        <f ca="1">SUMIF('Production '!$C$4:$AI$4407,'Tracking Sheet'!B2903,'Production '!$V$4:$V$4407)</f>
        <v>-489.86487791182844</v>
      </c>
      <c r="J2903" s="76">
        <f ca="1">SUMIF('Production '!$C$4:$AI$4407,'Tracking Sheet'!B2903,'Production '!$AG$4:$AG$4407)</f>
        <v>0</v>
      </c>
    </row>
    <row r="2904" spans="2:10" x14ac:dyDescent="0.3">
      <c r="B2904" s="277">
        <f>'Production '!C2907</f>
        <v>0</v>
      </c>
      <c r="C2904" s="76" t="e">
        <f ca="1">SUMIF('Production '!$C$4:$AI$4407,'Tracking Sheet'!B2904,'Production '!$M$4:$M$4407)</f>
        <v>#DIV/0!</v>
      </c>
      <c r="D2904" s="76" t="e">
        <f ca="1">SUMIF('Production '!$C$4:$AI$4407,'Tracking Sheet'!B2904,'Production '!$Q$4:$Q$4407)</f>
        <v>#DIV/0!</v>
      </c>
      <c r="E2904" s="76">
        <f ca="1">SUMIF('Production '!$C$4:$AI$4407,'Tracking Sheet'!B2904,'Production '!$S$4:$S$4407)</f>
        <v>-1268218.9828305368</v>
      </c>
      <c r="F2904" s="76">
        <f ca="1">SUMIF('Production '!$C$4:$AI$4407,'Tracking Sheet'!B2904,'Production '!$U$4:$U$4407)</f>
        <v>-10620.435600016917</v>
      </c>
      <c r="G2904" s="76" t="e">
        <f ca="1">SUMIF('Production '!$C$4:$AI$4407,'Tracking Sheet'!B2904,'Production '!$W$4:$W$4407)</f>
        <v>#DIV/0!</v>
      </c>
      <c r="H2904" s="76">
        <f ca="1">SUMIF('Production '!$C$4:$AI$4407,'Tracking Sheet'!B2904,'Production '!$F$4:$F$4407)</f>
        <v>3230621.3283604058</v>
      </c>
      <c r="I2904" s="76">
        <f ca="1">SUMIF('Production '!$C$4:$AI$4407,'Tracking Sheet'!B2904,'Production '!$V$4:$V$4407)</f>
        <v>-489.86487791182844</v>
      </c>
      <c r="J2904" s="76">
        <f ca="1">SUMIF('Production '!$C$4:$AI$4407,'Tracking Sheet'!B2904,'Production '!$AG$4:$AG$4407)</f>
        <v>0</v>
      </c>
    </row>
    <row r="2905" spans="2:10" x14ac:dyDescent="0.3">
      <c r="B2905" s="277">
        <f>'Production '!C2908</f>
        <v>0</v>
      </c>
      <c r="C2905" s="76" t="e">
        <f ca="1">SUMIF('Production '!$C$4:$AI$4407,'Tracking Sheet'!B2905,'Production '!$M$4:$M$4407)</f>
        <v>#DIV/0!</v>
      </c>
      <c r="D2905" s="76" t="e">
        <f ca="1">SUMIF('Production '!$C$4:$AI$4407,'Tracking Sheet'!B2905,'Production '!$Q$4:$Q$4407)</f>
        <v>#DIV/0!</v>
      </c>
      <c r="E2905" s="76">
        <f ca="1">SUMIF('Production '!$C$4:$AI$4407,'Tracking Sheet'!B2905,'Production '!$S$4:$S$4407)</f>
        <v>-1268218.9828305368</v>
      </c>
      <c r="F2905" s="76">
        <f ca="1">SUMIF('Production '!$C$4:$AI$4407,'Tracking Sheet'!B2905,'Production '!$U$4:$U$4407)</f>
        <v>-10620.435600016917</v>
      </c>
      <c r="G2905" s="76" t="e">
        <f ca="1">SUMIF('Production '!$C$4:$AI$4407,'Tracking Sheet'!B2905,'Production '!$W$4:$W$4407)</f>
        <v>#DIV/0!</v>
      </c>
      <c r="H2905" s="76">
        <f ca="1">SUMIF('Production '!$C$4:$AI$4407,'Tracking Sheet'!B2905,'Production '!$F$4:$F$4407)</f>
        <v>3230621.3283604058</v>
      </c>
      <c r="I2905" s="76">
        <f ca="1">SUMIF('Production '!$C$4:$AI$4407,'Tracking Sheet'!B2905,'Production '!$V$4:$V$4407)</f>
        <v>-489.86487791182844</v>
      </c>
      <c r="J2905" s="76">
        <f ca="1">SUMIF('Production '!$C$4:$AI$4407,'Tracking Sheet'!B2905,'Production '!$AG$4:$AG$4407)</f>
        <v>0</v>
      </c>
    </row>
    <row r="2906" spans="2:10" x14ac:dyDescent="0.3">
      <c r="B2906" s="277">
        <f>'Production '!C2909</f>
        <v>0</v>
      </c>
      <c r="C2906" s="76" t="e">
        <f ca="1">SUMIF('Production '!$C$4:$AI$4407,'Tracking Sheet'!B2906,'Production '!$M$4:$M$4407)</f>
        <v>#DIV/0!</v>
      </c>
      <c r="D2906" s="76" t="e">
        <f ca="1">SUMIF('Production '!$C$4:$AI$4407,'Tracking Sheet'!B2906,'Production '!$Q$4:$Q$4407)</f>
        <v>#DIV/0!</v>
      </c>
      <c r="E2906" s="76">
        <f ca="1">SUMIF('Production '!$C$4:$AI$4407,'Tracking Sheet'!B2906,'Production '!$S$4:$S$4407)</f>
        <v>-1268218.9828305368</v>
      </c>
      <c r="F2906" s="76">
        <f ca="1">SUMIF('Production '!$C$4:$AI$4407,'Tracking Sheet'!B2906,'Production '!$U$4:$U$4407)</f>
        <v>-10620.435600016917</v>
      </c>
      <c r="G2906" s="76" t="e">
        <f ca="1">SUMIF('Production '!$C$4:$AI$4407,'Tracking Sheet'!B2906,'Production '!$W$4:$W$4407)</f>
        <v>#DIV/0!</v>
      </c>
      <c r="H2906" s="76">
        <f ca="1">SUMIF('Production '!$C$4:$AI$4407,'Tracking Sheet'!B2906,'Production '!$F$4:$F$4407)</f>
        <v>3230621.3283604058</v>
      </c>
      <c r="I2906" s="76">
        <f ca="1">SUMIF('Production '!$C$4:$AI$4407,'Tracking Sheet'!B2906,'Production '!$V$4:$V$4407)</f>
        <v>-489.86487791182844</v>
      </c>
      <c r="J2906" s="76">
        <f ca="1">SUMIF('Production '!$C$4:$AI$4407,'Tracking Sheet'!B2906,'Production '!$AG$4:$AG$4407)</f>
        <v>0</v>
      </c>
    </row>
    <row r="2907" spans="2:10" x14ac:dyDescent="0.3">
      <c r="B2907" s="277">
        <f>'Production '!C2910</f>
        <v>0</v>
      </c>
      <c r="C2907" s="76" t="e">
        <f ca="1">SUMIF('Production '!$C$4:$AI$4407,'Tracking Sheet'!B2907,'Production '!$M$4:$M$4407)</f>
        <v>#DIV/0!</v>
      </c>
      <c r="D2907" s="76" t="e">
        <f ca="1">SUMIF('Production '!$C$4:$AI$4407,'Tracking Sheet'!B2907,'Production '!$Q$4:$Q$4407)</f>
        <v>#DIV/0!</v>
      </c>
      <c r="E2907" s="76">
        <f ca="1">SUMIF('Production '!$C$4:$AI$4407,'Tracking Sheet'!B2907,'Production '!$S$4:$S$4407)</f>
        <v>-1268218.9828305368</v>
      </c>
      <c r="F2907" s="76">
        <f ca="1">SUMIF('Production '!$C$4:$AI$4407,'Tracking Sheet'!B2907,'Production '!$U$4:$U$4407)</f>
        <v>-10620.435600016917</v>
      </c>
      <c r="G2907" s="76" t="e">
        <f ca="1">SUMIF('Production '!$C$4:$AI$4407,'Tracking Sheet'!B2907,'Production '!$W$4:$W$4407)</f>
        <v>#DIV/0!</v>
      </c>
      <c r="H2907" s="76">
        <f ca="1">SUMIF('Production '!$C$4:$AI$4407,'Tracking Sheet'!B2907,'Production '!$F$4:$F$4407)</f>
        <v>3230621.3283604058</v>
      </c>
      <c r="I2907" s="76">
        <f ca="1">SUMIF('Production '!$C$4:$AI$4407,'Tracking Sheet'!B2907,'Production '!$V$4:$V$4407)</f>
        <v>-489.86487791182844</v>
      </c>
      <c r="J2907" s="76">
        <f ca="1">SUMIF('Production '!$C$4:$AI$4407,'Tracking Sheet'!B2907,'Production '!$AG$4:$AG$4407)</f>
        <v>0</v>
      </c>
    </row>
    <row r="2908" spans="2:10" x14ac:dyDescent="0.3">
      <c r="B2908" s="277">
        <f>'Production '!C2911</f>
        <v>0</v>
      </c>
      <c r="C2908" s="76" t="e">
        <f ca="1">SUMIF('Production '!$C$4:$AI$4407,'Tracking Sheet'!B2908,'Production '!$M$4:$M$4407)</f>
        <v>#DIV/0!</v>
      </c>
      <c r="D2908" s="76" t="e">
        <f ca="1">SUMIF('Production '!$C$4:$AI$4407,'Tracking Sheet'!B2908,'Production '!$Q$4:$Q$4407)</f>
        <v>#DIV/0!</v>
      </c>
      <c r="E2908" s="76">
        <f ca="1">SUMIF('Production '!$C$4:$AI$4407,'Tracking Sheet'!B2908,'Production '!$S$4:$S$4407)</f>
        <v>-1268218.9828305368</v>
      </c>
      <c r="F2908" s="76">
        <f ca="1">SUMIF('Production '!$C$4:$AI$4407,'Tracking Sheet'!B2908,'Production '!$U$4:$U$4407)</f>
        <v>-10620.435600016917</v>
      </c>
      <c r="G2908" s="76" t="e">
        <f ca="1">SUMIF('Production '!$C$4:$AI$4407,'Tracking Sheet'!B2908,'Production '!$W$4:$W$4407)</f>
        <v>#DIV/0!</v>
      </c>
      <c r="H2908" s="76">
        <f ca="1">SUMIF('Production '!$C$4:$AI$4407,'Tracking Sheet'!B2908,'Production '!$F$4:$F$4407)</f>
        <v>3230621.3283604058</v>
      </c>
      <c r="I2908" s="76">
        <f ca="1">SUMIF('Production '!$C$4:$AI$4407,'Tracking Sheet'!B2908,'Production '!$V$4:$V$4407)</f>
        <v>-489.86487791182844</v>
      </c>
      <c r="J2908" s="76">
        <f ca="1">SUMIF('Production '!$C$4:$AI$4407,'Tracking Sheet'!B2908,'Production '!$AG$4:$AG$4407)</f>
        <v>0</v>
      </c>
    </row>
    <row r="2909" spans="2:10" x14ac:dyDescent="0.3">
      <c r="B2909" s="277">
        <f>'Production '!C2912</f>
        <v>0</v>
      </c>
      <c r="C2909" s="76" t="e">
        <f ca="1">SUMIF('Production '!$C$4:$AI$4407,'Tracking Sheet'!B2909,'Production '!$M$4:$M$4407)</f>
        <v>#DIV/0!</v>
      </c>
      <c r="D2909" s="76" t="e">
        <f ca="1">SUMIF('Production '!$C$4:$AI$4407,'Tracking Sheet'!B2909,'Production '!$Q$4:$Q$4407)</f>
        <v>#DIV/0!</v>
      </c>
      <c r="E2909" s="76">
        <f ca="1">SUMIF('Production '!$C$4:$AI$4407,'Tracking Sheet'!B2909,'Production '!$S$4:$S$4407)</f>
        <v>-1268218.9828305368</v>
      </c>
      <c r="F2909" s="76">
        <f ca="1">SUMIF('Production '!$C$4:$AI$4407,'Tracking Sheet'!B2909,'Production '!$U$4:$U$4407)</f>
        <v>-10620.435600016917</v>
      </c>
      <c r="G2909" s="76" t="e">
        <f ca="1">SUMIF('Production '!$C$4:$AI$4407,'Tracking Sheet'!B2909,'Production '!$W$4:$W$4407)</f>
        <v>#DIV/0!</v>
      </c>
      <c r="H2909" s="76">
        <f ca="1">SUMIF('Production '!$C$4:$AI$4407,'Tracking Sheet'!B2909,'Production '!$F$4:$F$4407)</f>
        <v>3230621.3283604058</v>
      </c>
      <c r="I2909" s="76">
        <f ca="1">SUMIF('Production '!$C$4:$AI$4407,'Tracking Sheet'!B2909,'Production '!$V$4:$V$4407)</f>
        <v>-489.86487791182844</v>
      </c>
      <c r="J2909" s="76">
        <f ca="1">SUMIF('Production '!$C$4:$AI$4407,'Tracking Sheet'!B2909,'Production '!$AG$4:$AG$4407)</f>
        <v>0</v>
      </c>
    </row>
    <row r="2910" spans="2:10" x14ac:dyDescent="0.3">
      <c r="B2910" s="277">
        <f>'Production '!C2913</f>
        <v>0</v>
      </c>
      <c r="C2910" s="76" t="e">
        <f ca="1">SUMIF('Production '!$C$4:$AI$4407,'Tracking Sheet'!B2910,'Production '!$M$4:$M$4407)</f>
        <v>#DIV/0!</v>
      </c>
      <c r="D2910" s="76" t="e">
        <f ca="1">SUMIF('Production '!$C$4:$AI$4407,'Tracking Sheet'!B2910,'Production '!$Q$4:$Q$4407)</f>
        <v>#DIV/0!</v>
      </c>
      <c r="E2910" s="76">
        <f ca="1">SUMIF('Production '!$C$4:$AI$4407,'Tracking Sheet'!B2910,'Production '!$S$4:$S$4407)</f>
        <v>-1268218.9828305368</v>
      </c>
      <c r="F2910" s="76">
        <f ca="1">SUMIF('Production '!$C$4:$AI$4407,'Tracking Sheet'!B2910,'Production '!$U$4:$U$4407)</f>
        <v>-10620.435600016917</v>
      </c>
      <c r="G2910" s="76" t="e">
        <f ca="1">SUMIF('Production '!$C$4:$AI$4407,'Tracking Sheet'!B2910,'Production '!$W$4:$W$4407)</f>
        <v>#DIV/0!</v>
      </c>
      <c r="H2910" s="76">
        <f ca="1">SUMIF('Production '!$C$4:$AI$4407,'Tracking Sheet'!B2910,'Production '!$F$4:$F$4407)</f>
        <v>3230621.3283604058</v>
      </c>
      <c r="I2910" s="76">
        <f ca="1">SUMIF('Production '!$C$4:$AI$4407,'Tracking Sheet'!B2910,'Production '!$V$4:$V$4407)</f>
        <v>-489.86487791182844</v>
      </c>
      <c r="J2910" s="76">
        <f ca="1">SUMIF('Production '!$C$4:$AI$4407,'Tracking Sheet'!B2910,'Production '!$AG$4:$AG$4407)</f>
        <v>0</v>
      </c>
    </row>
    <row r="2911" spans="2:10" x14ac:dyDescent="0.3">
      <c r="B2911" s="277">
        <f>'Production '!C2914</f>
        <v>0</v>
      </c>
      <c r="C2911" s="76" t="e">
        <f ca="1">SUMIF('Production '!$C$4:$AI$4407,'Tracking Sheet'!B2911,'Production '!$M$4:$M$4407)</f>
        <v>#DIV/0!</v>
      </c>
      <c r="D2911" s="76" t="e">
        <f ca="1">SUMIF('Production '!$C$4:$AI$4407,'Tracking Sheet'!B2911,'Production '!$Q$4:$Q$4407)</f>
        <v>#DIV/0!</v>
      </c>
      <c r="E2911" s="76">
        <f ca="1">SUMIF('Production '!$C$4:$AI$4407,'Tracking Sheet'!B2911,'Production '!$S$4:$S$4407)</f>
        <v>-1268218.9828305368</v>
      </c>
      <c r="F2911" s="76">
        <f ca="1">SUMIF('Production '!$C$4:$AI$4407,'Tracking Sheet'!B2911,'Production '!$U$4:$U$4407)</f>
        <v>-10620.435600016917</v>
      </c>
      <c r="G2911" s="76" t="e">
        <f ca="1">SUMIF('Production '!$C$4:$AI$4407,'Tracking Sheet'!B2911,'Production '!$W$4:$W$4407)</f>
        <v>#DIV/0!</v>
      </c>
      <c r="H2911" s="76">
        <f ca="1">SUMIF('Production '!$C$4:$AI$4407,'Tracking Sheet'!B2911,'Production '!$F$4:$F$4407)</f>
        <v>3230621.3283604058</v>
      </c>
      <c r="I2911" s="76">
        <f ca="1">SUMIF('Production '!$C$4:$AI$4407,'Tracking Sheet'!B2911,'Production '!$V$4:$V$4407)</f>
        <v>-489.86487791182844</v>
      </c>
      <c r="J2911" s="76">
        <f ca="1">SUMIF('Production '!$C$4:$AI$4407,'Tracking Sheet'!B2911,'Production '!$AG$4:$AG$4407)</f>
        <v>0</v>
      </c>
    </row>
    <row r="2912" spans="2:10" x14ac:dyDescent="0.3">
      <c r="B2912" s="277">
        <f>'Production '!C2915</f>
        <v>0</v>
      </c>
      <c r="C2912" s="76" t="e">
        <f ca="1">SUMIF('Production '!$C$4:$AI$4407,'Tracking Sheet'!B2912,'Production '!$M$4:$M$4407)</f>
        <v>#DIV/0!</v>
      </c>
      <c r="D2912" s="76" t="e">
        <f ca="1">SUMIF('Production '!$C$4:$AI$4407,'Tracking Sheet'!B2912,'Production '!$Q$4:$Q$4407)</f>
        <v>#DIV/0!</v>
      </c>
      <c r="E2912" s="76">
        <f ca="1">SUMIF('Production '!$C$4:$AI$4407,'Tracking Sheet'!B2912,'Production '!$S$4:$S$4407)</f>
        <v>-1268218.9828305368</v>
      </c>
      <c r="F2912" s="76">
        <f ca="1">SUMIF('Production '!$C$4:$AI$4407,'Tracking Sheet'!B2912,'Production '!$U$4:$U$4407)</f>
        <v>-10620.435600016917</v>
      </c>
      <c r="G2912" s="76" t="e">
        <f ca="1">SUMIF('Production '!$C$4:$AI$4407,'Tracking Sheet'!B2912,'Production '!$W$4:$W$4407)</f>
        <v>#DIV/0!</v>
      </c>
      <c r="H2912" s="76">
        <f ca="1">SUMIF('Production '!$C$4:$AI$4407,'Tracking Sheet'!B2912,'Production '!$F$4:$F$4407)</f>
        <v>3230621.3283604058</v>
      </c>
      <c r="I2912" s="76">
        <f ca="1">SUMIF('Production '!$C$4:$AI$4407,'Tracking Sheet'!B2912,'Production '!$V$4:$V$4407)</f>
        <v>-489.86487791182844</v>
      </c>
      <c r="J2912" s="76">
        <f ca="1">SUMIF('Production '!$C$4:$AI$4407,'Tracking Sheet'!B2912,'Production '!$AG$4:$AG$4407)</f>
        <v>0</v>
      </c>
    </row>
    <row r="2913" spans="2:10" x14ac:dyDescent="0.3">
      <c r="B2913" s="277">
        <f>'Production '!C2916</f>
        <v>0</v>
      </c>
      <c r="C2913" s="76" t="e">
        <f ca="1">SUMIF('Production '!$C$4:$AI$4407,'Tracking Sheet'!B2913,'Production '!$M$4:$M$4407)</f>
        <v>#DIV/0!</v>
      </c>
      <c r="D2913" s="76" t="e">
        <f ca="1">SUMIF('Production '!$C$4:$AI$4407,'Tracking Sheet'!B2913,'Production '!$Q$4:$Q$4407)</f>
        <v>#DIV/0!</v>
      </c>
      <c r="E2913" s="76">
        <f ca="1">SUMIF('Production '!$C$4:$AI$4407,'Tracking Sheet'!B2913,'Production '!$S$4:$S$4407)</f>
        <v>-1268218.9828305368</v>
      </c>
      <c r="F2913" s="76">
        <f ca="1">SUMIF('Production '!$C$4:$AI$4407,'Tracking Sheet'!B2913,'Production '!$U$4:$U$4407)</f>
        <v>-10620.435600016917</v>
      </c>
      <c r="G2913" s="76" t="e">
        <f ca="1">SUMIF('Production '!$C$4:$AI$4407,'Tracking Sheet'!B2913,'Production '!$W$4:$W$4407)</f>
        <v>#DIV/0!</v>
      </c>
      <c r="H2913" s="76">
        <f ca="1">SUMIF('Production '!$C$4:$AI$4407,'Tracking Sheet'!B2913,'Production '!$F$4:$F$4407)</f>
        <v>3230621.3283604058</v>
      </c>
      <c r="I2913" s="76">
        <f ca="1">SUMIF('Production '!$C$4:$AI$4407,'Tracking Sheet'!B2913,'Production '!$V$4:$V$4407)</f>
        <v>-489.86487791182844</v>
      </c>
      <c r="J2913" s="76">
        <f ca="1">SUMIF('Production '!$C$4:$AI$4407,'Tracking Sheet'!B2913,'Production '!$AG$4:$AG$4407)</f>
        <v>0</v>
      </c>
    </row>
    <row r="2914" spans="2:10" x14ac:dyDescent="0.3">
      <c r="B2914" s="277">
        <f>'Production '!C2917</f>
        <v>0</v>
      </c>
      <c r="C2914" s="76" t="e">
        <f ca="1">SUMIF('Production '!$C$4:$AI$4407,'Tracking Sheet'!B2914,'Production '!$M$4:$M$4407)</f>
        <v>#DIV/0!</v>
      </c>
      <c r="D2914" s="76" t="e">
        <f ca="1">SUMIF('Production '!$C$4:$AI$4407,'Tracking Sheet'!B2914,'Production '!$Q$4:$Q$4407)</f>
        <v>#DIV/0!</v>
      </c>
      <c r="E2914" s="76">
        <f ca="1">SUMIF('Production '!$C$4:$AI$4407,'Tracking Sheet'!B2914,'Production '!$S$4:$S$4407)</f>
        <v>-1268218.9828305368</v>
      </c>
      <c r="F2914" s="76">
        <f ca="1">SUMIF('Production '!$C$4:$AI$4407,'Tracking Sheet'!B2914,'Production '!$U$4:$U$4407)</f>
        <v>-10620.435600016917</v>
      </c>
      <c r="G2914" s="76" t="e">
        <f ca="1">SUMIF('Production '!$C$4:$AI$4407,'Tracking Sheet'!B2914,'Production '!$W$4:$W$4407)</f>
        <v>#DIV/0!</v>
      </c>
      <c r="H2914" s="76">
        <f ca="1">SUMIF('Production '!$C$4:$AI$4407,'Tracking Sheet'!B2914,'Production '!$F$4:$F$4407)</f>
        <v>3230621.3283604058</v>
      </c>
      <c r="I2914" s="76">
        <f ca="1">SUMIF('Production '!$C$4:$AI$4407,'Tracking Sheet'!B2914,'Production '!$V$4:$V$4407)</f>
        <v>-489.86487791182844</v>
      </c>
      <c r="J2914" s="76">
        <f ca="1">SUMIF('Production '!$C$4:$AI$4407,'Tracking Sheet'!B2914,'Production '!$AG$4:$AG$4407)</f>
        <v>0</v>
      </c>
    </row>
    <row r="2915" spans="2:10" x14ac:dyDescent="0.3">
      <c r="B2915" s="277">
        <f>'Production '!C2918</f>
        <v>0</v>
      </c>
      <c r="C2915" s="76" t="e">
        <f ca="1">SUMIF('Production '!$C$4:$AI$4407,'Tracking Sheet'!B2915,'Production '!$M$4:$M$4407)</f>
        <v>#DIV/0!</v>
      </c>
      <c r="D2915" s="76" t="e">
        <f ca="1">SUMIF('Production '!$C$4:$AI$4407,'Tracking Sheet'!B2915,'Production '!$Q$4:$Q$4407)</f>
        <v>#DIV/0!</v>
      </c>
      <c r="E2915" s="76">
        <f ca="1">SUMIF('Production '!$C$4:$AI$4407,'Tracking Sheet'!B2915,'Production '!$S$4:$S$4407)</f>
        <v>-1268218.9828305368</v>
      </c>
      <c r="F2915" s="76">
        <f ca="1">SUMIF('Production '!$C$4:$AI$4407,'Tracking Sheet'!B2915,'Production '!$U$4:$U$4407)</f>
        <v>-10620.435600016917</v>
      </c>
      <c r="G2915" s="76" t="e">
        <f ca="1">SUMIF('Production '!$C$4:$AI$4407,'Tracking Sheet'!B2915,'Production '!$W$4:$W$4407)</f>
        <v>#DIV/0!</v>
      </c>
      <c r="H2915" s="76">
        <f ca="1">SUMIF('Production '!$C$4:$AI$4407,'Tracking Sheet'!B2915,'Production '!$F$4:$F$4407)</f>
        <v>3230621.3283604058</v>
      </c>
      <c r="I2915" s="76">
        <f ca="1">SUMIF('Production '!$C$4:$AI$4407,'Tracking Sheet'!B2915,'Production '!$V$4:$V$4407)</f>
        <v>-489.86487791182844</v>
      </c>
      <c r="J2915" s="76">
        <f ca="1">SUMIF('Production '!$C$4:$AI$4407,'Tracking Sheet'!B2915,'Production '!$AG$4:$AG$4407)</f>
        <v>0</v>
      </c>
    </row>
    <row r="2916" spans="2:10" x14ac:dyDescent="0.3">
      <c r="B2916" s="277">
        <f>'Production '!C2919</f>
        <v>0</v>
      </c>
      <c r="C2916" s="76" t="e">
        <f ca="1">SUMIF('Production '!$C$4:$AI$4407,'Tracking Sheet'!B2916,'Production '!$M$4:$M$4407)</f>
        <v>#DIV/0!</v>
      </c>
      <c r="D2916" s="76" t="e">
        <f ca="1">SUMIF('Production '!$C$4:$AI$4407,'Tracking Sheet'!B2916,'Production '!$Q$4:$Q$4407)</f>
        <v>#DIV/0!</v>
      </c>
      <c r="E2916" s="76">
        <f ca="1">SUMIF('Production '!$C$4:$AI$4407,'Tracking Sheet'!B2916,'Production '!$S$4:$S$4407)</f>
        <v>-1268218.9828305368</v>
      </c>
      <c r="F2916" s="76">
        <f ca="1">SUMIF('Production '!$C$4:$AI$4407,'Tracking Sheet'!B2916,'Production '!$U$4:$U$4407)</f>
        <v>-10620.435600016917</v>
      </c>
      <c r="G2916" s="76" t="e">
        <f ca="1">SUMIF('Production '!$C$4:$AI$4407,'Tracking Sheet'!B2916,'Production '!$W$4:$W$4407)</f>
        <v>#DIV/0!</v>
      </c>
      <c r="H2916" s="76">
        <f ca="1">SUMIF('Production '!$C$4:$AI$4407,'Tracking Sheet'!B2916,'Production '!$F$4:$F$4407)</f>
        <v>3230621.3283604058</v>
      </c>
      <c r="I2916" s="76">
        <f ca="1">SUMIF('Production '!$C$4:$AI$4407,'Tracking Sheet'!B2916,'Production '!$V$4:$V$4407)</f>
        <v>-489.86487791182844</v>
      </c>
      <c r="J2916" s="76">
        <f ca="1">SUMIF('Production '!$C$4:$AI$4407,'Tracking Sheet'!B2916,'Production '!$AG$4:$AG$4407)</f>
        <v>0</v>
      </c>
    </row>
    <row r="2917" spans="2:10" x14ac:dyDescent="0.3">
      <c r="B2917" s="277">
        <f>'Production '!C2920</f>
        <v>0</v>
      </c>
      <c r="C2917" s="76" t="e">
        <f ca="1">SUMIF('Production '!$C$4:$AI$4407,'Tracking Sheet'!B2917,'Production '!$M$4:$M$4407)</f>
        <v>#DIV/0!</v>
      </c>
      <c r="D2917" s="76" t="e">
        <f ca="1">SUMIF('Production '!$C$4:$AI$4407,'Tracking Sheet'!B2917,'Production '!$Q$4:$Q$4407)</f>
        <v>#DIV/0!</v>
      </c>
      <c r="E2917" s="76">
        <f ca="1">SUMIF('Production '!$C$4:$AI$4407,'Tracking Sheet'!B2917,'Production '!$S$4:$S$4407)</f>
        <v>-1268218.9828305368</v>
      </c>
      <c r="F2917" s="76">
        <f ca="1">SUMIF('Production '!$C$4:$AI$4407,'Tracking Sheet'!B2917,'Production '!$U$4:$U$4407)</f>
        <v>-10620.435600016917</v>
      </c>
      <c r="G2917" s="76" t="e">
        <f ca="1">SUMIF('Production '!$C$4:$AI$4407,'Tracking Sheet'!B2917,'Production '!$W$4:$W$4407)</f>
        <v>#DIV/0!</v>
      </c>
      <c r="H2917" s="76">
        <f ca="1">SUMIF('Production '!$C$4:$AI$4407,'Tracking Sheet'!B2917,'Production '!$F$4:$F$4407)</f>
        <v>3230621.3283604058</v>
      </c>
      <c r="I2917" s="76">
        <f ca="1">SUMIF('Production '!$C$4:$AI$4407,'Tracking Sheet'!B2917,'Production '!$V$4:$V$4407)</f>
        <v>-489.86487791182844</v>
      </c>
      <c r="J2917" s="76">
        <f ca="1">SUMIF('Production '!$C$4:$AI$4407,'Tracking Sheet'!B2917,'Production '!$AG$4:$AG$4407)</f>
        <v>0</v>
      </c>
    </row>
    <row r="2918" spans="2:10" x14ac:dyDescent="0.3">
      <c r="B2918" s="277">
        <f>'Production '!C2921</f>
        <v>0</v>
      </c>
      <c r="C2918" s="76" t="e">
        <f ca="1">SUMIF('Production '!$C$4:$AI$4407,'Tracking Sheet'!B2918,'Production '!$M$4:$M$4407)</f>
        <v>#DIV/0!</v>
      </c>
      <c r="D2918" s="76" t="e">
        <f ca="1">SUMIF('Production '!$C$4:$AI$4407,'Tracking Sheet'!B2918,'Production '!$Q$4:$Q$4407)</f>
        <v>#DIV/0!</v>
      </c>
      <c r="E2918" s="76">
        <f ca="1">SUMIF('Production '!$C$4:$AI$4407,'Tracking Sheet'!B2918,'Production '!$S$4:$S$4407)</f>
        <v>-1268218.9828305368</v>
      </c>
      <c r="F2918" s="76">
        <f ca="1">SUMIF('Production '!$C$4:$AI$4407,'Tracking Sheet'!B2918,'Production '!$U$4:$U$4407)</f>
        <v>-10620.435600016917</v>
      </c>
      <c r="G2918" s="76" t="e">
        <f ca="1">SUMIF('Production '!$C$4:$AI$4407,'Tracking Sheet'!B2918,'Production '!$W$4:$W$4407)</f>
        <v>#DIV/0!</v>
      </c>
      <c r="H2918" s="76">
        <f ca="1">SUMIF('Production '!$C$4:$AI$4407,'Tracking Sheet'!B2918,'Production '!$F$4:$F$4407)</f>
        <v>3230621.3283604058</v>
      </c>
      <c r="I2918" s="76">
        <f ca="1">SUMIF('Production '!$C$4:$AI$4407,'Tracking Sheet'!B2918,'Production '!$V$4:$V$4407)</f>
        <v>-489.86487791182844</v>
      </c>
      <c r="J2918" s="76">
        <f ca="1">SUMIF('Production '!$C$4:$AI$4407,'Tracking Sheet'!B2918,'Production '!$AG$4:$AG$4407)</f>
        <v>0</v>
      </c>
    </row>
    <row r="2919" spans="2:10" x14ac:dyDescent="0.3">
      <c r="B2919" s="277">
        <f>'Production '!C2922</f>
        <v>0</v>
      </c>
      <c r="C2919" s="76" t="e">
        <f ca="1">SUMIF('Production '!$C$4:$AI$4407,'Tracking Sheet'!B2919,'Production '!$M$4:$M$4407)</f>
        <v>#DIV/0!</v>
      </c>
      <c r="D2919" s="76" t="e">
        <f ca="1">SUMIF('Production '!$C$4:$AI$4407,'Tracking Sheet'!B2919,'Production '!$Q$4:$Q$4407)</f>
        <v>#DIV/0!</v>
      </c>
      <c r="E2919" s="76">
        <f ca="1">SUMIF('Production '!$C$4:$AI$4407,'Tracking Sheet'!B2919,'Production '!$S$4:$S$4407)</f>
        <v>-1268218.9828305368</v>
      </c>
      <c r="F2919" s="76">
        <f ca="1">SUMIF('Production '!$C$4:$AI$4407,'Tracking Sheet'!B2919,'Production '!$U$4:$U$4407)</f>
        <v>-10620.435600016917</v>
      </c>
      <c r="G2919" s="76" t="e">
        <f ca="1">SUMIF('Production '!$C$4:$AI$4407,'Tracking Sheet'!B2919,'Production '!$W$4:$W$4407)</f>
        <v>#DIV/0!</v>
      </c>
      <c r="H2919" s="76">
        <f ca="1">SUMIF('Production '!$C$4:$AI$4407,'Tracking Sheet'!B2919,'Production '!$F$4:$F$4407)</f>
        <v>3230621.3283604058</v>
      </c>
      <c r="I2919" s="76">
        <f ca="1">SUMIF('Production '!$C$4:$AI$4407,'Tracking Sheet'!B2919,'Production '!$V$4:$V$4407)</f>
        <v>-489.86487791182844</v>
      </c>
      <c r="J2919" s="76">
        <f ca="1">SUMIF('Production '!$C$4:$AI$4407,'Tracking Sheet'!B2919,'Production '!$AG$4:$AG$4407)</f>
        <v>0</v>
      </c>
    </row>
    <row r="2920" spans="2:10" x14ac:dyDescent="0.3">
      <c r="B2920" s="277">
        <f>'Production '!C2923</f>
        <v>0</v>
      </c>
      <c r="C2920" s="76" t="e">
        <f ca="1">SUMIF('Production '!$C$4:$AI$4407,'Tracking Sheet'!B2920,'Production '!$M$4:$M$4407)</f>
        <v>#DIV/0!</v>
      </c>
      <c r="D2920" s="76" t="e">
        <f ca="1">SUMIF('Production '!$C$4:$AI$4407,'Tracking Sheet'!B2920,'Production '!$Q$4:$Q$4407)</f>
        <v>#DIV/0!</v>
      </c>
      <c r="E2920" s="76">
        <f ca="1">SUMIF('Production '!$C$4:$AI$4407,'Tracking Sheet'!B2920,'Production '!$S$4:$S$4407)</f>
        <v>-1268218.9828305368</v>
      </c>
      <c r="F2920" s="76">
        <f ca="1">SUMIF('Production '!$C$4:$AI$4407,'Tracking Sheet'!B2920,'Production '!$U$4:$U$4407)</f>
        <v>-10620.435600016917</v>
      </c>
      <c r="G2920" s="76" t="e">
        <f ca="1">SUMIF('Production '!$C$4:$AI$4407,'Tracking Sheet'!B2920,'Production '!$W$4:$W$4407)</f>
        <v>#DIV/0!</v>
      </c>
      <c r="H2920" s="76">
        <f ca="1">SUMIF('Production '!$C$4:$AI$4407,'Tracking Sheet'!B2920,'Production '!$F$4:$F$4407)</f>
        <v>3230621.3283604058</v>
      </c>
      <c r="I2920" s="76">
        <f ca="1">SUMIF('Production '!$C$4:$AI$4407,'Tracking Sheet'!B2920,'Production '!$V$4:$V$4407)</f>
        <v>-489.86487791182844</v>
      </c>
      <c r="J2920" s="76">
        <f ca="1">SUMIF('Production '!$C$4:$AI$4407,'Tracking Sheet'!B2920,'Production '!$AG$4:$AG$4407)</f>
        <v>0</v>
      </c>
    </row>
    <row r="2921" spans="2:10" x14ac:dyDescent="0.3">
      <c r="B2921" s="277">
        <f>'Production '!C2924</f>
        <v>0</v>
      </c>
      <c r="C2921" s="76" t="e">
        <f ca="1">SUMIF('Production '!$C$4:$AI$4407,'Tracking Sheet'!B2921,'Production '!$M$4:$M$4407)</f>
        <v>#DIV/0!</v>
      </c>
      <c r="D2921" s="76" t="e">
        <f ca="1">SUMIF('Production '!$C$4:$AI$4407,'Tracking Sheet'!B2921,'Production '!$Q$4:$Q$4407)</f>
        <v>#DIV/0!</v>
      </c>
      <c r="E2921" s="76">
        <f ca="1">SUMIF('Production '!$C$4:$AI$4407,'Tracking Sheet'!B2921,'Production '!$S$4:$S$4407)</f>
        <v>-1268218.9828305368</v>
      </c>
      <c r="F2921" s="76">
        <f ca="1">SUMIF('Production '!$C$4:$AI$4407,'Tracking Sheet'!B2921,'Production '!$U$4:$U$4407)</f>
        <v>-10620.435600016917</v>
      </c>
      <c r="G2921" s="76" t="e">
        <f ca="1">SUMIF('Production '!$C$4:$AI$4407,'Tracking Sheet'!B2921,'Production '!$W$4:$W$4407)</f>
        <v>#DIV/0!</v>
      </c>
      <c r="H2921" s="76">
        <f ca="1">SUMIF('Production '!$C$4:$AI$4407,'Tracking Sheet'!B2921,'Production '!$F$4:$F$4407)</f>
        <v>3230621.3283604058</v>
      </c>
      <c r="I2921" s="76">
        <f ca="1">SUMIF('Production '!$C$4:$AI$4407,'Tracking Sheet'!B2921,'Production '!$V$4:$V$4407)</f>
        <v>-489.86487791182844</v>
      </c>
      <c r="J2921" s="76">
        <f ca="1">SUMIF('Production '!$C$4:$AI$4407,'Tracking Sheet'!B2921,'Production '!$AG$4:$AG$4407)</f>
        <v>0</v>
      </c>
    </row>
    <row r="2922" spans="2:10" x14ac:dyDescent="0.3">
      <c r="B2922" s="277">
        <f>'Production '!C2925</f>
        <v>0</v>
      </c>
      <c r="C2922" s="76" t="e">
        <f ca="1">SUMIF('Production '!$C$4:$AI$4407,'Tracking Sheet'!B2922,'Production '!$M$4:$M$4407)</f>
        <v>#DIV/0!</v>
      </c>
      <c r="D2922" s="76" t="e">
        <f ca="1">SUMIF('Production '!$C$4:$AI$4407,'Tracking Sheet'!B2922,'Production '!$Q$4:$Q$4407)</f>
        <v>#DIV/0!</v>
      </c>
      <c r="E2922" s="76">
        <f ca="1">SUMIF('Production '!$C$4:$AI$4407,'Tracking Sheet'!B2922,'Production '!$S$4:$S$4407)</f>
        <v>-1268218.9828305368</v>
      </c>
      <c r="F2922" s="76">
        <f ca="1">SUMIF('Production '!$C$4:$AI$4407,'Tracking Sheet'!B2922,'Production '!$U$4:$U$4407)</f>
        <v>-10620.435600016917</v>
      </c>
      <c r="G2922" s="76" t="e">
        <f ca="1">SUMIF('Production '!$C$4:$AI$4407,'Tracking Sheet'!B2922,'Production '!$W$4:$W$4407)</f>
        <v>#DIV/0!</v>
      </c>
      <c r="H2922" s="76">
        <f ca="1">SUMIF('Production '!$C$4:$AI$4407,'Tracking Sheet'!B2922,'Production '!$F$4:$F$4407)</f>
        <v>3230621.3283604058</v>
      </c>
      <c r="I2922" s="76">
        <f ca="1">SUMIF('Production '!$C$4:$AI$4407,'Tracking Sheet'!B2922,'Production '!$V$4:$V$4407)</f>
        <v>-489.86487791182844</v>
      </c>
      <c r="J2922" s="76">
        <f ca="1">SUMIF('Production '!$C$4:$AI$4407,'Tracking Sheet'!B2922,'Production '!$AG$4:$AG$4407)</f>
        <v>0</v>
      </c>
    </row>
    <row r="2923" spans="2:10" x14ac:dyDescent="0.3">
      <c r="B2923" s="277">
        <f>'Production '!C2926</f>
        <v>0</v>
      </c>
      <c r="C2923" s="76" t="e">
        <f ca="1">SUMIF('Production '!$C$4:$AI$4407,'Tracking Sheet'!B2923,'Production '!$M$4:$M$4407)</f>
        <v>#DIV/0!</v>
      </c>
      <c r="D2923" s="76" t="e">
        <f ca="1">SUMIF('Production '!$C$4:$AI$4407,'Tracking Sheet'!B2923,'Production '!$Q$4:$Q$4407)</f>
        <v>#DIV/0!</v>
      </c>
      <c r="E2923" s="76">
        <f ca="1">SUMIF('Production '!$C$4:$AI$4407,'Tracking Sheet'!B2923,'Production '!$S$4:$S$4407)</f>
        <v>-1268218.9828305368</v>
      </c>
      <c r="F2923" s="76">
        <f ca="1">SUMIF('Production '!$C$4:$AI$4407,'Tracking Sheet'!B2923,'Production '!$U$4:$U$4407)</f>
        <v>-10620.435600016917</v>
      </c>
      <c r="G2923" s="76" t="e">
        <f ca="1">SUMIF('Production '!$C$4:$AI$4407,'Tracking Sheet'!B2923,'Production '!$W$4:$W$4407)</f>
        <v>#DIV/0!</v>
      </c>
      <c r="H2923" s="76">
        <f ca="1">SUMIF('Production '!$C$4:$AI$4407,'Tracking Sheet'!B2923,'Production '!$F$4:$F$4407)</f>
        <v>3230621.3283604058</v>
      </c>
      <c r="I2923" s="76">
        <f ca="1">SUMIF('Production '!$C$4:$AI$4407,'Tracking Sheet'!B2923,'Production '!$V$4:$V$4407)</f>
        <v>-489.86487791182844</v>
      </c>
      <c r="J2923" s="76">
        <f ca="1">SUMIF('Production '!$C$4:$AI$4407,'Tracking Sheet'!B2923,'Production '!$AG$4:$AG$4407)</f>
        <v>0</v>
      </c>
    </row>
    <row r="2924" spans="2:10" x14ac:dyDescent="0.3">
      <c r="B2924" s="277">
        <f>'Production '!C2927</f>
        <v>0</v>
      </c>
      <c r="C2924" s="76" t="e">
        <f ca="1">SUMIF('Production '!$C$4:$AI$4407,'Tracking Sheet'!B2924,'Production '!$M$4:$M$4407)</f>
        <v>#DIV/0!</v>
      </c>
      <c r="D2924" s="76" t="e">
        <f ca="1">SUMIF('Production '!$C$4:$AI$4407,'Tracking Sheet'!B2924,'Production '!$Q$4:$Q$4407)</f>
        <v>#DIV/0!</v>
      </c>
      <c r="E2924" s="76">
        <f ca="1">SUMIF('Production '!$C$4:$AI$4407,'Tracking Sheet'!B2924,'Production '!$S$4:$S$4407)</f>
        <v>-1268218.9828305368</v>
      </c>
      <c r="F2924" s="76">
        <f ca="1">SUMIF('Production '!$C$4:$AI$4407,'Tracking Sheet'!B2924,'Production '!$U$4:$U$4407)</f>
        <v>-10620.435600016917</v>
      </c>
      <c r="G2924" s="76" t="e">
        <f ca="1">SUMIF('Production '!$C$4:$AI$4407,'Tracking Sheet'!B2924,'Production '!$W$4:$W$4407)</f>
        <v>#DIV/0!</v>
      </c>
      <c r="H2924" s="76">
        <f ca="1">SUMIF('Production '!$C$4:$AI$4407,'Tracking Sheet'!B2924,'Production '!$F$4:$F$4407)</f>
        <v>3230621.3283604058</v>
      </c>
      <c r="I2924" s="76">
        <f ca="1">SUMIF('Production '!$C$4:$AI$4407,'Tracking Sheet'!B2924,'Production '!$V$4:$V$4407)</f>
        <v>-489.86487791182844</v>
      </c>
      <c r="J2924" s="76">
        <f ca="1">SUMIF('Production '!$C$4:$AI$4407,'Tracking Sheet'!B2924,'Production '!$AG$4:$AG$4407)</f>
        <v>0</v>
      </c>
    </row>
    <row r="2925" spans="2:10" x14ac:dyDescent="0.3">
      <c r="B2925" s="277">
        <f>'Production '!C2928</f>
        <v>0</v>
      </c>
      <c r="C2925" s="76" t="e">
        <f ca="1">SUMIF('Production '!$C$4:$AI$4407,'Tracking Sheet'!B2925,'Production '!$M$4:$M$4407)</f>
        <v>#DIV/0!</v>
      </c>
      <c r="D2925" s="76" t="e">
        <f ca="1">SUMIF('Production '!$C$4:$AI$4407,'Tracking Sheet'!B2925,'Production '!$Q$4:$Q$4407)</f>
        <v>#DIV/0!</v>
      </c>
      <c r="E2925" s="76">
        <f ca="1">SUMIF('Production '!$C$4:$AI$4407,'Tracking Sheet'!B2925,'Production '!$S$4:$S$4407)</f>
        <v>-1268218.9828305368</v>
      </c>
      <c r="F2925" s="76">
        <f ca="1">SUMIF('Production '!$C$4:$AI$4407,'Tracking Sheet'!B2925,'Production '!$U$4:$U$4407)</f>
        <v>-10620.435600016917</v>
      </c>
      <c r="G2925" s="76" t="e">
        <f ca="1">SUMIF('Production '!$C$4:$AI$4407,'Tracking Sheet'!B2925,'Production '!$W$4:$W$4407)</f>
        <v>#DIV/0!</v>
      </c>
      <c r="H2925" s="76">
        <f ca="1">SUMIF('Production '!$C$4:$AI$4407,'Tracking Sheet'!B2925,'Production '!$F$4:$F$4407)</f>
        <v>3230621.3283604058</v>
      </c>
      <c r="I2925" s="76">
        <f ca="1">SUMIF('Production '!$C$4:$AI$4407,'Tracking Sheet'!B2925,'Production '!$V$4:$V$4407)</f>
        <v>-489.86487791182844</v>
      </c>
      <c r="J2925" s="76">
        <f ca="1">SUMIF('Production '!$C$4:$AI$4407,'Tracking Sheet'!B2925,'Production '!$AG$4:$AG$4407)</f>
        <v>0</v>
      </c>
    </row>
    <row r="2926" spans="2:10" x14ac:dyDescent="0.3">
      <c r="B2926" s="277">
        <f>'Production '!C2929</f>
        <v>0</v>
      </c>
      <c r="C2926" s="76" t="e">
        <f ca="1">SUMIF('Production '!$C$4:$AI$4407,'Tracking Sheet'!B2926,'Production '!$M$4:$M$4407)</f>
        <v>#DIV/0!</v>
      </c>
      <c r="D2926" s="76" t="e">
        <f ca="1">SUMIF('Production '!$C$4:$AI$4407,'Tracking Sheet'!B2926,'Production '!$Q$4:$Q$4407)</f>
        <v>#DIV/0!</v>
      </c>
      <c r="E2926" s="76">
        <f ca="1">SUMIF('Production '!$C$4:$AI$4407,'Tracking Sheet'!B2926,'Production '!$S$4:$S$4407)</f>
        <v>-1268218.9828305368</v>
      </c>
      <c r="F2926" s="76">
        <f ca="1">SUMIF('Production '!$C$4:$AI$4407,'Tracking Sheet'!B2926,'Production '!$U$4:$U$4407)</f>
        <v>-10620.435600016917</v>
      </c>
      <c r="G2926" s="76" t="e">
        <f ca="1">SUMIF('Production '!$C$4:$AI$4407,'Tracking Sheet'!B2926,'Production '!$W$4:$W$4407)</f>
        <v>#DIV/0!</v>
      </c>
      <c r="H2926" s="76">
        <f ca="1">SUMIF('Production '!$C$4:$AI$4407,'Tracking Sheet'!B2926,'Production '!$F$4:$F$4407)</f>
        <v>3230621.3283604058</v>
      </c>
      <c r="I2926" s="76">
        <f ca="1">SUMIF('Production '!$C$4:$AI$4407,'Tracking Sheet'!B2926,'Production '!$V$4:$V$4407)</f>
        <v>-489.86487791182844</v>
      </c>
      <c r="J2926" s="76">
        <f ca="1">SUMIF('Production '!$C$4:$AI$4407,'Tracking Sheet'!B2926,'Production '!$AG$4:$AG$4407)</f>
        <v>0</v>
      </c>
    </row>
    <row r="2927" spans="2:10" x14ac:dyDescent="0.3">
      <c r="B2927" s="277">
        <f>'Production '!C2930</f>
        <v>0</v>
      </c>
      <c r="C2927" s="76" t="e">
        <f ca="1">SUMIF('Production '!$C$4:$AI$4407,'Tracking Sheet'!B2927,'Production '!$M$4:$M$4407)</f>
        <v>#DIV/0!</v>
      </c>
      <c r="D2927" s="76" t="e">
        <f ca="1">SUMIF('Production '!$C$4:$AI$4407,'Tracking Sheet'!B2927,'Production '!$Q$4:$Q$4407)</f>
        <v>#DIV/0!</v>
      </c>
      <c r="E2927" s="76">
        <f ca="1">SUMIF('Production '!$C$4:$AI$4407,'Tracking Sheet'!B2927,'Production '!$S$4:$S$4407)</f>
        <v>-1268218.9828305368</v>
      </c>
      <c r="F2927" s="76">
        <f ca="1">SUMIF('Production '!$C$4:$AI$4407,'Tracking Sheet'!B2927,'Production '!$U$4:$U$4407)</f>
        <v>-10620.435600016917</v>
      </c>
      <c r="G2927" s="76" t="e">
        <f ca="1">SUMIF('Production '!$C$4:$AI$4407,'Tracking Sheet'!B2927,'Production '!$W$4:$W$4407)</f>
        <v>#DIV/0!</v>
      </c>
      <c r="H2927" s="76">
        <f ca="1">SUMIF('Production '!$C$4:$AI$4407,'Tracking Sheet'!B2927,'Production '!$F$4:$F$4407)</f>
        <v>3230621.3283604058</v>
      </c>
      <c r="I2927" s="76">
        <f ca="1">SUMIF('Production '!$C$4:$AI$4407,'Tracking Sheet'!B2927,'Production '!$V$4:$V$4407)</f>
        <v>-489.86487791182844</v>
      </c>
      <c r="J2927" s="76">
        <f ca="1">SUMIF('Production '!$C$4:$AI$4407,'Tracking Sheet'!B2927,'Production '!$AG$4:$AG$4407)</f>
        <v>0</v>
      </c>
    </row>
    <row r="2928" spans="2:10" x14ac:dyDescent="0.3">
      <c r="B2928" s="277">
        <f>'Production '!C2931</f>
        <v>0</v>
      </c>
      <c r="C2928" s="76" t="e">
        <f ca="1">SUMIF('Production '!$C$4:$AI$4407,'Tracking Sheet'!B2928,'Production '!$M$4:$M$4407)</f>
        <v>#DIV/0!</v>
      </c>
      <c r="D2928" s="76" t="e">
        <f ca="1">SUMIF('Production '!$C$4:$AI$4407,'Tracking Sheet'!B2928,'Production '!$Q$4:$Q$4407)</f>
        <v>#DIV/0!</v>
      </c>
      <c r="E2928" s="76">
        <f ca="1">SUMIF('Production '!$C$4:$AI$4407,'Tracking Sheet'!B2928,'Production '!$S$4:$S$4407)</f>
        <v>-1268218.9828305368</v>
      </c>
      <c r="F2928" s="76">
        <f ca="1">SUMIF('Production '!$C$4:$AI$4407,'Tracking Sheet'!B2928,'Production '!$U$4:$U$4407)</f>
        <v>-10620.435600016917</v>
      </c>
      <c r="G2928" s="76" t="e">
        <f ca="1">SUMIF('Production '!$C$4:$AI$4407,'Tracking Sheet'!B2928,'Production '!$W$4:$W$4407)</f>
        <v>#DIV/0!</v>
      </c>
      <c r="H2928" s="76">
        <f ca="1">SUMIF('Production '!$C$4:$AI$4407,'Tracking Sheet'!B2928,'Production '!$F$4:$F$4407)</f>
        <v>3230621.3283604058</v>
      </c>
      <c r="I2928" s="76">
        <f ca="1">SUMIF('Production '!$C$4:$AI$4407,'Tracking Sheet'!B2928,'Production '!$V$4:$V$4407)</f>
        <v>-489.86487791182844</v>
      </c>
      <c r="J2928" s="76">
        <f ca="1">SUMIF('Production '!$C$4:$AI$4407,'Tracking Sheet'!B2928,'Production '!$AG$4:$AG$4407)</f>
        <v>0</v>
      </c>
    </row>
    <row r="2929" spans="2:10" x14ac:dyDescent="0.3">
      <c r="B2929" s="277">
        <f>'Production '!C2932</f>
        <v>0</v>
      </c>
      <c r="C2929" s="76" t="e">
        <f ca="1">SUMIF('Production '!$C$4:$AI$4407,'Tracking Sheet'!B2929,'Production '!$M$4:$M$4407)</f>
        <v>#DIV/0!</v>
      </c>
      <c r="D2929" s="76" t="e">
        <f ca="1">SUMIF('Production '!$C$4:$AI$4407,'Tracking Sheet'!B2929,'Production '!$Q$4:$Q$4407)</f>
        <v>#DIV/0!</v>
      </c>
      <c r="E2929" s="76">
        <f ca="1">SUMIF('Production '!$C$4:$AI$4407,'Tracking Sheet'!B2929,'Production '!$S$4:$S$4407)</f>
        <v>-1268218.9828305368</v>
      </c>
      <c r="F2929" s="76">
        <f ca="1">SUMIF('Production '!$C$4:$AI$4407,'Tracking Sheet'!B2929,'Production '!$U$4:$U$4407)</f>
        <v>-10620.435600016917</v>
      </c>
      <c r="G2929" s="76" t="e">
        <f ca="1">SUMIF('Production '!$C$4:$AI$4407,'Tracking Sheet'!B2929,'Production '!$W$4:$W$4407)</f>
        <v>#DIV/0!</v>
      </c>
      <c r="H2929" s="76">
        <f ca="1">SUMIF('Production '!$C$4:$AI$4407,'Tracking Sheet'!B2929,'Production '!$F$4:$F$4407)</f>
        <v>3230621.3283604058</v>
      </c>
      <c r="I2929" s="76">
        <f ca="1">SUMIF('Production '!$C$4:$AI$4407,'Tracking Sheet'!B2929,'Production '!$V$4:$V$4407)</f>
        <v>-489.86487791182844</v>
      </c>
      <c r="J2929" s="76">
        <f ca="1">SUMIF('Production '!$C$4:$AI$4407,'Tracking Sheet'!B2929,'Production '!$AG$4:$AG$4407)</f>
        <v>0</v>
      </c>
    </row>
    <row r="2930" spans="2:10" x14ac:dyDescent="0.3">
      <c r="B2930" s="277">
        <f>'Production '!C2933</f>
        <v>0</v>
      </c>
      <c r="C2930" s="76" t="e">
        <f ca="1">SUMIF('Production '!$C$4:$AI$4407,'Tracking Sheet'!B2930,'Production '!$M$4:$M$4407)</f>
        <v>#DIV/0!</v>
      </c>
      <c r="D2930" s="76" t="e">
        <f ca="1">SUMIF('Production '!$C$4:$AI$4407,'Tracking Sheet'!B2930,'Production '!$Q$4:$Q$4407)</f>
        <v>#DIV/0!</v>
      </c>
      <c r="E2930" s="76">
        <f ca="1">SUMIF('Production '!$C$4:$AI$4407,'Tracking Sheet'!B2930,'Production '!$S$4:$S$4407)</f>
        <v>-1268218.9828305368</v>
      </c>
      <c r="F2930" s="76">
        <f ca="1">SUMIF('Production '!$C$4:$AI$4407,'Tracking Sheet'!B2930,'Production '!$U$4:$U$4407)</f>
        <v>-10620.435600016917</v>
      </c>
      <c r="G2930" s="76" t="e">
        <f ca="1">SUMIF('Production '!$C$4:$AI$4407,'Tracking Sheet'!B2930,'Production '!$W$4:$W$4407)</f>
        <v>#DIV/0!</v>
      </c>
      <c r="H2930" s="76">
        <f ca="1">SUMIF('Production '!$C$4:$AI$4407,'Tracking Sheet'!B2930,'Production '!$F$4:$F$4407)</f>
        <v>3230621.3283604058</v>
      </c>
      <c r="I2930" s="76">
        <f ca="1">SUMIF('Production '!$C$4:$AI$4407,'Tracking Sheet'!B2930,'Production '!$V$4:$V$4407)</f>
        <v>-489.86487791182844</v>
      </c>
      <c r="J2930" s="76">
        <f ca="1">SUMIF('Production '!$C$4:$AI$4407,'Tracking Sheet'!B2930,'Production '!$AG$4:$AG$4407)</f>
        <v>0</v>
      </c>
    </row>
    <row r="2931" spans="2:10" x14ac:dyDescent="0.3">
      <c r="B2931" s="277">
        <f>'Production '!C2934</f>
        <v>0</v>
      </c>
      <c r="C2931" s="76" t="e">
        <f ca="1">SUMIF('Production '!$C$4:$AI$4407,'Tracking Sheet'!B2931,'Production '!$M$4:$M$4407)</f>
        <v>#DIV/0!</v>
      </c>
      <c r="D2931" s="76" t="e">
        <f ca="1">SUMIF('Production '!$C$4:$AI$4407,'Tracking Sheet'!B2931,'Production '!$Q$4:$Q$4407)</f>
        <v>#DIV/0!</v>
      </c>
      <c r="E2931" s="76">
        <f ca="1">SUMIF('Production '!$C$4:$AI$4407,'Tracking Sheet'!B2931,'Production '!$S$4:$S$4407)</f>
        <v>-1268218.9828305368</v>
      </c>
      <c r="F2931" s="76">
        <f ca="1">SUMIF('Production '!$C$4:$AI$4407,'Tracking Sheet'!B2931,'Production '!$U$4:$U$4407)</f>
        <v>-10620.435600016917</v>
      </c>
      <c r="G2931" s="76" t="e">
        <f ca="1">SUMIF('Production '!$C$4:$AI$4407,'Tracking Sheet'!B2931,'Production '!$W$4:$W$4407)</f>
        <v>#DIV/0!</v>
      </c>
      <c r="H2931" s="76">
        <f ca="1">SUMIF('Production '!$C$4:$AI$4407,'Tracking Sheet'!B2931,'Production '!$F$4:$F$4407)</f>
        <v>3230621.3283604058</v>
      </c>
      <c r="I2931" s="76">
        <f ca="1">SUMIF('Production '!$C$4:$AI$4407,'Tracking Sheet'!B2931,'Production '!$V$4:$V$4407)</f>
        <v>-489.86487791182844</v>
      </c>
      <c r="J2931" s="76">
        <f ca="1">SUMIF('Production '!$C$4:$AI$4407,'Tracking Sheet'!B2931,'Production '!$AG$4:$AG$4407)</f>
        <v>0</v>
      </c>
    </row>
    <row r="2932" spans="2:10" x14ac:dyDescent="0.3">
      <c r="B2932" s="277">
        <f>'Production '!C2935</f>
        <v>0</v>
      </c>
      <c r="C2932" s="76" t="e">
        <f ca="1">SUMIF('Production '!$C$4:$AI$4407,'Tracking Sheet'!B2932,'Production '!$M$4:$M$4407)</f>
        <v>#DIV/0!</v>
      </c>
      <c r="D2932" s="76" t="e">
        <f ca="1">SUMIF('Production '!$C$4:$AI$4407,'Tracking Sheet'!B2932,'Production '!$Q$4:$Q$4407)</f>
        <v>#DIV/0!</v>
      </c>
      <c r="E2932" s="76">
        <f ca="1">SUMIF('Production '!$C$4:$AI$4407,'Tracking Sheet'!B2932,'Production '!$S$4:$S$4407)</f>
        <v>-1268218.9828305368</v>
      </c>
      <c r="F2932" s="76">
        <f ca="1">SUMIF('Production '!$C$4:$AI$4407,'Tracking Sheet'!B2932,'Production '!$U$4:$U$4407)</f>
        <v>-10620.435600016917</v>
      </c>
      <c r="G2932" s="76" t="e">
        <f ca="1">SUMIF('Production '!$C$4:$AI$4407,'Tracking Sheet'!B2932,'Production '!$W$4:$W$4407)</f>
        <v>#DIV/0!</v>
      </c>
      <c r="H2932" s="76">
        <f ca="1">SUMIF('Production '!$C$4:$AI$4407,'Tracking Sheet'!B2932,'Production '!$F$4:$F$4407)</f>
        <v>3230621.3283604058</v>
      </c>
      <c r="I2932" s="76">
        <f ca="1">SUMIF('Production '!$C$4:$AI$4407,'Tracking Sheet'!B2932,'Production '!$V$4:$V$4407)</f>
        <v>-489.86487791182844</v>
      </c>
      <c r="J2932" s="76">
        <f ca="1">SUMIF('Production '!$C$4:$AI$4407,'Tracking Sheet'!B2932,'Production '!$AG$4:$AG$4407)</f>
        <v>0</v>
      </c>
    </row>
    <row r="2933" spans="2:10" x14ac:dyDescent="0.3">
      <c r="B2933" s="277">
        <f>'Production '!C2936</f>
        <v>0</v>
      </c>
      <c r="C2933" s="76" t="e">
        <f ca="1">SUMIF('Production '!$C$4:$AI$4407,'Tracking Sheet'!B2933,'Production '!$M$4:$M$4407)</f>
        <v>#DIV/0!</v>
      </c>
      <c r="D2933" s="76" t="e">
        <f ca="1">SUMIF('Production '!$C$4:$AI$4407,'Tracking Sheet'!B2933,'Production '!$Q$4:$Q$4407)</f>
        <v>#DIV/0!</v>
      </c>
      <c r="E2933" s="76">
        <f ca="1">SUMIF('Production '!$C$4:$AI$4407,'Tracking Sheet'!B2933,'Production '!$S$4:$S$4407)</f>
        <v>-1268218.9828305368</v>
      </c>
      <c r="F2933" s="76">
        <f ca="1">SUMIF('Production '!$C$4:$AI$4407,'Tracking Sheet'!B2933,'Production '!$U$4:$U$4407)</f>
        <v>-10620.435600016917</v>
      </c>
      <c r="G2933" s="76" t="e">
        <f ca="1">SUMIF('Production '!$C$4:$AI$4407,'Tracking Sheet'!B2933,'Production '!$W$4:$W$4407)</f>
        <v>#DIV/0!</v>
      </c>
      <c r="H2933" s="76">
        <f ca="1">SUMIF('Production '!$C$4:$AI$4407,'Tracking Sheet'!B2933,'Production '!$F$4:$F$4407)</f>
        <v>3230621.3283604058</v>
      </c>
      <c r="I2933" s="76">
        <f ca="1">SUMIF('Production '!$C$4:$AI$4407,'Tracking Sheet'!B2933,'Production '!$V$4:$V$4407)</f>
        <v>-489.86487791182844</v>
      </c>
      <c r="J2933" s="76">
        <f ca="1">SUMIF('Production '!$C$4:$AI$4407,'Tracking Sheet'!B2933,'Production '!$AG$4:$AG$4407)</f>
        <v>0</v>
      </c>
    </row>
    <row r="2934" spans="2:10" x14ac:dyDescent="0.3">
      <c r="B2934" s="277">
        <f>'Production '!C2937</f>
        <v>0</v>
      </c>
      <c r="C2934" s="76" t="e">
        <f ca="1">SUMIF('Production '!$C$4:$AI$4407,'Tracking Sheet'!B2934,'Production '!$M$4:$M$4407)</f>
        <v>#DIV/0!</v>
      </c>
      <c r="D2934" s="76" t="e">
        <f ca="1">SUMIF('Production '!$C$4:$AI$4407,'Tracking Sheet'!B2934,'Production '!$Q$4:$Q$4407)</f>
        <v>#DIV/0!</v>
      </c>
      <c r="E2934" s="76">
        <f ca="1">SUMIF('Production '!$C$4:$AI$4407,'Tracking Sheet'!B2934,'Production '!$S$4:$S$4407)</f>
        <v>-1268218.9828305368</v>
      </c>
      <c r="F2934" s="76">
        <f ca="1">SUMIF('Production '!$C$4:$AI$4407,'Tracking Sheet'!B2934,'Production '!$U$4:$U$4407)</f>
        <v>-10620.435600016917</v>
      </c>
      <c r="G2934" s="76" t="e">
        <f ca="1">SUMIF('Production '!$C$4:$AI$4407,'Tracking Sheet'!B2934,'Production '!$W$4:$W$4407)</f>
        <v>#DIV/0!</v>
      </c>
      <c r="H2934" s="76">
        <f ca="1">SUMIF('Production '!$C$4:$AI$4407,'Tracking Sheet'!B2934,'Production '!$F$4:$F$4407)</f>
        <v>3230621.3283604058</v>
      </c>
      <c r="I2934" s="76">
        <f ca="1">SUMIF('Production '!$C$4:$AI$4407,'Tracking Sheet'!B2934,'Production '!$V$4:$V$4407)</f>
        <v>-489.86487791182844</v>
      </c>
      <c r="J2934" s="76">
        <f ca="1">SUMIF('Production '!$C$4:$AI$4407,'Tracking Sheet'!B2934,'Production '!$AG$4:$AG$4407)</f>
        <v>0</v>
      </c>
    </row>
    <row r="2935" spans="2:10" x14ac:dyDescent="0.3">
      <c r="B2935" s="277">
        <f>'Production '!C2938</f>
        <v>0</v>
      </c>
      <c r="C2935" s="76" t="e">
        <f ca="1">SUMIF('Production '!$C$4:$AI$4407,'Tracking Sheet'!B2935,'Production '!$M$4:$M$4407)</f>
        <v>#DIV/0!</v>
      </c>
      <c r="D2935" s="76" t="e">
        <f ca="1">SUMIF('Production '!$C$4:$AI$4407,'Tracking Sheet'!B2935,'Production '!$Q$4:$Q$4407)</f>
        <v>#DIV/0!</v>
      </c>
      <c r="E2935" s="76">
        <f ca="1">SUMIF('Production '!$C$4:$AI$4407,'Tracking Sheet'!B2935,'Production '!$S$4:$S$4407)</f>
        <v>-1268218.9828305368</v>
      </c>
      <c r="F2935" s="76">
        <f ca="1">SUMIF('Production '!$C$4:$AI$4407,'Tracking Sheet'!B2935,'Production '!$U$4:$U$4407)</f>
        <v>-10620.435600016917</v>
      </c>
      <c r="G2935" s="76" t="e">
        <f ca="1">SUMIF('Production '!$C$4:$AI$4407,'Tracking Sheet'!B2935,'Production '!$W$4:$W$4407)</f>
        <v>#DIV/0!</v>
      </c>
      <c r="H2935" s="76">
        <f ca="1">SUMIF('Production '!$C$4:$AI$4407,'Tracking Sheet'!B2935,'Production '!$F$4:$F$4407)</f>
        <v>3230621.3283604058</v>
      </c>
      <c r="I2935" s="76">
        <f ca="1">SUMIF('Production '!$C$4:$AI$4407,'Tracking Sheet'!B2935,'Production '!$V$4:$V$4407)</f>
        <v>-489.86487791182844</v>
      </c>
      <c r="J2935" s="76">
        <f ca="1">SUMIF('Production '!$C$4:$AI$4407,'Tracking Sheet'!B2935,'Production '!$AG$4:$AG$4407)</f>
        <v>0</v>
      </c>
    </row>
    <row r="2936" spans="2:10" x14ac:dyDescent="0.3">
      <c r="B2936" s="277">
        <f>'Production '!C2939</f>
        <v>0</v>
      </c>
      <c r="C2936" s="76" t="e">
        <f ca="1">SUMIF('Production '!$C$4:$AI$4407,'Tracking Sheet'!B2936,'Production '!$M$4:$M$4407)</f>
        <v>#DIV/0!</v>
      </c>
      <c r="D2936" s="76" t="e">
        <f ca="1">SUMIF('Production '!$C$4:$AI$4407,'Tracking Sheet'!B2936,'Production '!$Q$4:$Q$4407)</f>
        <v>#DIV/0!</v>
      </c>
      <c r="E2936" s="76">
        <f ca="1">SUMIF('Production '!$C$4:$AI$4407,'Tracking Sheet'!B2936,'Production '!$S$4:$S$4407)</f>
        <v>-1268218.9828305368</v>
      </c>
      <c r="F2936" s="76">
        <f ca="1">SUMIF('Production '!$C$4:$AI$4407,'Tracking Sheet'!B2936,'Production '!$U$4:$U$4407)</f>
        <v>-10620.435600016917</v>
      </c>
      <c r="G2936" s="76" t="e">
        <f ca="1">SUMIF('Production '!$C$4:$AI$4407,'Tracking Sheet'!B2936,'Production '!$W$4:$W$4407)</f>
        <v>#DIV/0!</v>
      </c>
      <c r="H2936" s="76">
        <f ca="1">SUMIF('Production '!$C$4:$AI$4407,'Tracking Sheet'!B2936,'Production '!$F$4:$F$4407)</f>
        <v>3230621.3283604058</v>
      </c>
      <c r="I2936" s="76">
        <f ca="1">SUMIF('Production '!$C$4:$AI$4407,'Tracking Sheet'!B2936,'Production '!$V$4:$V$4407)</f>
        <v>-489.86487791182844</v>
      </c>
      <c r="J2936" s="76">
        <f ca="1">SUMIF('Production '!$C$4:$AI$4407,'Tracking Sheet'!B2936,'Production '!$AG$4:$AG$4407)</f>
        <v>0</v>
      </c>
    </row>
    <row r="2937" spans="2:10" x14ac:dyDescent="0.3">
      <c r="B2937" s="277">
        <f>'Production '!C2940</f>
        <v>0</v>
      </c>
      <c r="C2937" s="76" t="e">
        <f ca="1">SUMIF('Production '!$C$4:$AI$4407,'Tracking Sheet'!B2937,'Production '!$M$4:$M$4407)</f>
        <v>#DIV/0!</v>
      </c>
      <c r="D2937" s="76" t="e">
        <f ca="1">SUMIF('Production '!$C$4:$AI$4407,'Tracking Sheet'!B2937,'Production '!$Q$4:$Q$4407)</f>
        <v>#DIV/0!</v>
      </c>
      <c r="E2937" s="76">
        <f ca="1">SUMIF('Production '!$C$4:$AI$4407,'Tracking Sheet'!B2937,'Production '!$S$4:$S$4407)</f>
        <v>-1268218.9828305368</v>
      </c>
      <c r="F2937" s="76">
        <f ca="1">SUMIF('Production '!$C$4:$AI$4407,'Tracking Sheet'!B2937,'Production '!$U$4:$U$4407)</f>
        <v>-10620.435600016917</v>
      </c>
      <c r="G2937" s="76" t="e">
        <f ca="1">SUMIF('Production '!$C$4:$AI$4407,'Tracking Sheet'!B2937,'Production '!$W$4:$W$4407)</f>
        <v>#DIV/0!</v>
      </c>
      <c r="H2937" s="76">
        <f ca="1">SUMIF('Production '!$C$4:$AI$4407,'Tracking Sheet'!B2937,'Production '!$F$4:$F$4407)</f>
        <v>3230621.3283604058</v>
      </c>
      <c r="I2937" s="76">
        <f ca="1">SUMIF('Production '!$C$4:$AI$4407,'Tracking Sheet'!B2937,'Production '!$V$4:$V$4407)</f>
        <v>-489.86487791182844</v>
      </c>
      <c r="J2937" s="76">
        <f ca="1">SUMIF('Production '!$C$4:$AI$4407,'Tracking Sheet'!B2937,'Production '!$AG$4:$AG$4407)</f>
        <v>0</v>
      </c>
    </row>
    <row r="2938" spans="2:10" x14ac:dyDescent="0.3">
      <c r="B2938" s="277">
        <f>'Production '!C2941</f>
        <v>0</v>
      </c>
      <c r="C2938" s="76" t="e">
        <f ca="1">SUMIF('Production '!$C$4:$AI$4407,'Tracking Sheet'!B2938,'Production '!$M$4:$M$4407)</f>
        <v>#DIV/0!</v>
      </c>
      <c r="D2938" s="76" t="e">
        <f ca="1">SUMIF('Production '!$C$4:$AI$4407,'Tracking Sheet'!B2938,'Production '!$Q$4:$Q$4407)</f>
        <v>#DIV/0!</v>
      </c>
      <c r="E2938" s="76">
        <f ca="1">SUMIF('Production '!$C$4:$AI$4407,'Tracking Sheet'!B2938,'Production '!$S$4:$S$4407)</f>
        <v>-1268218.9828305368</v>
      </c>
      <c r="F2938" s="76">
        <f ca="1">SUMIF('Production '!$C$4:$AI$4407,'Tracking Sheet'!B2938,'Production '!$U$4:$U$4407)</f>
        <v>-10620.435600016917</v>
      </c>
      <c r="G2938" s="76" t="e">
        <f ca="1">SUMIF('Production '!$C$4:$AI$4407,'Tracking Sheet'!B2938,'Production '!$W$4:$W$4407)</f>
        <v>#DIV/0!</v>
      </c>
      <c r="H2938" s="76">
        <f ca="1">SUMIF('Production '!$C$4:$AI$4407,'Tracking Sheet'!B2938,'Production '!$F$4:$F$4407)</f>
        <v>3230621.3283604058</v>
      </c>
      <c r="I2938" s="76">
        <f ca="1">SUMIF('Production '!$C$4:$AI$4407,'Tracking Sheet'!B2938,'Production '!$V$4:$V$4407)</f>
        <v>-489.86487791182844</v>
      </c>
      <c r="J2938" s="76">
        <f ca="1">SUMIF('Production '!$C$4:$AI$4407,'Tracking Sheet'!B2938,'Production '!$AG$4:$AG$4407)</f>
        <v>0</v>
      </c>
    </row>
    <row r="2939" spans="2:10" x14ac:dyDescent="0.3">
      <c r="B2939" s="277">
        <f>'Production '!C2942</f>
        <v>0</v>
      </c>
      <c r="C2939" s="76" t="e">
        <f ca="1">SUMIF('Production '!$C$4:$AI$4407,'Tracking Sheet'!B2939,'Production '!$M$4:$M$4407)</f>
        <v>#DIV/0!</v>
      </c>
      <c r="D2939" s="76" t="e">
        <f ca="1">SUMIF('Production '!$C$4:$AI$4407,'Tracking Sheet'!B2939,'Production '!$Q$4:$Q$4407)</f>
        <v>#DIV/0!</v>
      </c>
      <c r="E2939" s="76">
        <f ca="1">SUMIF('Production '!$C$4:$AI$4407,'Tracking Sheet'!B2939,'Production '!$S$4:$S$4407)</f>
        <v>-1268218.9828305368</v>
      </c>
      <c r="F2939" s="76">
        <f ca="1">SUMIF('Production '!$C$4:$AI$4407,'Tracking Sheet'!B2939,'Production '!$U$4:$U$4407)</f>
        <v>-10620.435600016917</v>
      </c>
      <c r="G2939" s="76" t="e">
        <f ca="1">SUMIF('Production '!$C$4:$AI$4407,'Tracking Sheet'!B2939,'Production '!$W$4:$W$4407)</f>
        <v>#DIV/0!</v>
      </c>
      <c r="H2939" s="76">
        <f ca="1">SUMIF('Production '!$C$4:$AI$4407,'Tracking Sheet'!B2939,'Production '!$F$4:$F$4407)</f>
        <v>3230621.3283604058</v>
      </c>
      <c r="I2939" s="76">
        <f ca="1">SUMIF('Production '!$C$4:$AI$4407,'Tracking Sheet'!B2939,'Production '!$V$4:$V$4407)</f>
        <v>-489.86487791182844</v>
      </c>
      <c r="J2939" s="76">
        <f ca="1">SUMIF('Production '!$C$4:$AI$4407,'Tracking Sheet'!B2939,'Production '!$AG$4:$AG$4407)</f>
        <v>0</v>
      </c>
    </row>
    <row r="2940" spans="2:10" x14ac:dyDescent="0.3">
      <c r="B2940" s="277">
        <f>'Production '!C2943</f>
        <v>0</v>
      </c>
      <c r="C2940" s="76" t="e">
        <f ca="1">SUMIF('Production '!$C$4:$AI$4407,'Tracking Sheet'!B2940,'Production '!$M$4:$M$4407)</f>
        <v>#DIV/0!</v>
      </c>
      <c r="D2940" s="76" t="e">
        <f ca="1">SUMIF('Production '!$C$4:$AI$4407,'Tracking Sheet'!B2940,'Production '!$Q$4:$Q$4407)</f>
        <v>#DIV/0!</v>
      </c>
      <c r="E2940" s="76">
        <f ca="1">SUMIF('Production '!$C$4:$AI$4407,'Tracking Sheet'!B2940,'Production '!$S$4:$S$4407)</f>
        <v>-1268218.9828305368</v>
      </c>
      <c r="F2940" s="76">
        <f ca="1">SUMIF('Production '!$C$4:$AI$4407,'Tracking Sheet'!B2940,'Production '!$U$4:$U$4407)</f>
        <v>-10620.435600016917</v>
      </c>
      <c r="G2940" s="76" t="e">
        <f ca="1">SUMIF('Production '!$C$4:$AI$4407,'Tracking Sheet'!B2940,'Production '!$W$4:$W$4407)</f>
        <v>#DIV/0!</v>
      </c>
      <c r="H2940" s="76">
        <f ca="1">SUMIF('Production '!$C$4:$AI$4407,'Tracking Sheet'!B2940,'Production '!$F$4:$F$4407)</f>
        <v>3230621.3283604058</v>
      </c>
      <c r="I2940" s="76">
        <f ca="1">SUMIF('Production '!$C$4:$AI$4407,'Tracking Sheet'!B2940,'Production '!$V$4:$V$4407)</f>
        <v>-489.86487791182844</v>
      </c>
      <c r="J2940" s="76">
        <f ca="1">SUMIF('Production '!$C$4:$AI$4407,'Tracking Sheet'!B2940,'Production '!$AG$4:$AG$4407)</f>
        <v>0</v>
      </c>
    </row>
    <row r="2941" spans="2:10" x14ac:dyDescent="0.3">
      <c r="B2941" s="277">
        <f>'Production '!C2944</f>
        <v>0</v>
      </c>
      <c r="C2941" s="76" t="e">
        <f ca="1">SUMIF('Production '!$C$4:$AI$4407,'Tracking Sheet'!B2941,'Production '!$M$4:$M$4407)</f>
        <v>#DIV/0!</v>
      </c>
      <c r="D2941" s="76" t="e">
        <f ca="1">SUMIF('Production '!$C$4:$AI$4407,'Tracking Sheet'!B2941,'Production '!$Q$4:$Q$4407)</f>
        <v>#DIV/0!</v>
      </c>
      <c r="E2941" s="76">
        <f ca="1">SUMIF('Production '!$C$4:$AI$4407,'Tracking Sheet'!B2941,'Production '!$S$4:$S$4407)</f>
        <v>-1268218.9828305368</v>
      </c>
      <c r="F2941" s="76">
        <f ca="1">SUMIF('Production '!$C$4:$AI$4407,'Tracking Sheet'!B2941,'Production '!$U$4:$U$4407)</f>
        <v>-10620.435600016917</v>
      </c>
      <c r="G2941" s="76" t="e">
        <f ca="1">SUMIF('Production '!$C$4:$AI$4407,'Tracking Sheet'!B2941,'Production '!$W$4:$W$4407)</f>
        <v>#DIV/0!</v>
      </c>
      <c r="H2941" s="76">
        <f ca="1">SUMIF('Production '!$C$4:$AI$4407,'Tracking Sheet'!B2941,'Production '!$F$4:$F$4407)</f>
        <v>3230621.3283604058</v>
      </c>
      <c r="I2941" s="76">
        <f ca="1">SUMIF('Production '!$C$4:$AI$4407,'Tracking Sheet'!B2941,'Production '!$V$4:$V$4407)</f>
        <v>-489.86487791182844</v>
      </c>
      <c r="J2941" s="76">
        <f ca="1">SUMIF('Production '!$C$4:$AI$4407,'Tracking Sheet'!B2941,'Production '!$AG$4:$AG$4407)</f>
        <v>0</v>
      </c>
    </row>
    <row r="2942" spans="2:10" x14ac:dyDescent="0.3">
      <c r="B2942" s="277">
        <f>'Production '!C2945</f>
        <v>0</v>
      </c>
      <c r="C2942" s="76" t="e">
        <f ca="1">SUMIF('Production '!$C$4:$AI$4407,'Tracking Sheet'!B2942,'Production '!$M$4:$M$4407)</f>
        <v>#DIV/0!</v>
      </c>
      <c r="D2942" s="76" t="e">
        <f ca="1">SUMIF('Production '!$C$4:$AI$4407,'Tracking Sheet'!B2942,'Production '!$Q$4:$Q$4407)</f>
        <v>#DIV/0!</v>
      </c>
      <c r="E2942" s="76">
        <f ca="1">SUMIF('Production '!$C$4:$AI$4407,'Tracking Sheet'!B2942,'Production '!$S$4:$S$4407)</f>
        <v>-1268218.9828305368</v>
      </c>
      <c r="F2942" s="76">
        <f ca="1">SUMIF('Production '!$C$4:$AI$4407,'Tracking Sheet'!B2942,'Production '!$U$4:$U$4407)</f>
        <v>-10620.435600016917</v>
      </c>
      <c r="G2942" s="76" t="e">
        <f ca="1">SUMIF('Production '!$C$4:$AI$4407,'Tracking Sheet'!B2942,'Production '!$W$4:$W$4407)</f>
        <v>#DIV/0!</v>
      </c>
      <c r="H2942" s="76">
        <f ca="1">SUMIF('Production '!$C$4:$AI$4407,'Tracking Sheet'!B2942,'Production '!$F$4:$F$4407)</f>
        <v>3230621.3283604058</v>
      </c>
      <c r="I2942" s="76">
        <f ca="1">SUMIF('Production '!$C$4:$AI$4407,'Tracking Sheet'!B2942,'Production '!$V$4:$V$4407)</f>
        <v>-489.86487791182844</v>
      </c>
      <c r="J2942" s="76">
        <f ca="1">SUMIF('Production '!$C$4:$AI$4407,'Tracking Sheet'!B2942,'Production '!$AG$4:$AG$4407)</f>
        <v>0</v>
      </c>
    </row>
    <row r="2943" spans="2:10" x14ac:dyDescent="0.3">
      <c r="B2943" s="277">
        <f>'Production '!C2946</f>
        <v>0</v>
      </c>
      <c r="C2943" s="76" t="e">
        <f ca="1">SUMIF('Production '!$C$4:$AI$4407,'Tracking Sheet'!B2943,'Production '!$M$4:$M$4407)</f>
        <v>#DIV/0!</v>
      </c>
      <c r="D2943" s="76" t="e">
        <f ca="1">SUMIF('Production '!$C$4:$AI$4407,'Tracking Sheet'!B2943,'Production '!$Q$4:$Q$4407)</f>
        <v>#DIV/0!</v>
      </c>
      <c r="E2943" s="76">
        <f ca="1">SUMIF('Production '!$C$4:$AI$4407,'Tracking Sheet'!B2943,'Production '!$S$4:$S$4407)</f>
        <v>-1268218.9828305368</v>
      </c>
      <c r="F2943" s="76">
        <f ca="1">SUMIF('Production '!$C$4:$AI$4407,'Tracking Sheet'!B2943,'Production '!$U$4:$U$4407)</f>
        <v>-10620.435600016917</v>
      </c>
      <c r="G2943" s="76" t="e">
        <f ca="1">SUMIF('Production '!$C$4:$AI$4407,'Tracking Sheet'!B2943,'Production '!$W$4:$W$4407)</f>
        <v>#DIV/0!</v>
      </c>
      <c r="H2943" s="76">
        <f ca="1">SUMIF('Production '!$C$4:$AI$4407,'Tracking Sheet'!B2943,'Production '!$F$4:$F$4407)</f>
        <v>3230621.3283604058</v>
      </c>
      <c r="I2943" s="76">
        <f ca="1">SUMIF('Production '!$C$4:$AI$4407,'Tracking Sheet'!B2943,'Production '!$V$4:$V$4407)</f>
        <v>-489.86487791182844</v>
      </c>
      <c r="J2943" s="76">
        <f ca="1">SUMIF('Production '!$C$4:$AI$4407,'Tracking Sheet'!B2943,'Production '!$AG$4:$AG$4407)</f>
        <v>0</v>
      </c>
    </row>
    <row r="2944" spans="2:10" x14ac:dyDescent="0.3">
      <c r="B2944" s="277">
        <f>'Production '!C2947</f>
        <v>0</v>
      </c>
      <c r="C2944" s="76" t="e">
        <f ca="1">SUMIF('Production '!$C$4:$AI$4407,'Tracking Sheet'!B2944,'Production '!$M$4:$M$4407)</f>
        <v>#DIV/0!</v>
      </c>
      <c r="D2944" s="76" t="e">
        <f ca="1">SUMIF('Production '!$C$4:$AI$4407,'Tracking Sheet'!B2944,'Production '!$Q$4:$Q$4407)</f>
        <v>#DIV/0!</v>
      </c>
      <c r="E2944" s="76">
        <f ca="1">SUMIF('Production '!$C$4:$AI$4407,'Tracking Sheet'!B2944,'Production '!$S$4:$S$4407)</f>
        <v>-1268218.9828305368</v>
      </c>
      <c r="F2944" s="76">
        <f ca="1">SUMIF('Production '!$C$4:$AI$4407,'Tracking Sheet'!B2944,'Production '!$U$4:$U$4407)</f>
        <v>-10620.435600016917</v>
      </c>
      <c r="G2944" s="76" t="e">
        <f ca="1">SUMIF('Production '!$C$4:$AI$4407,'Tracking Sheet'!B2944,'Production '!$W$4:$W$4407)</f>
        <v>#DIV/0!</v>
      </c>
      <c r="H2944" s="76">
        <f ca="1">SUMIF('Production '!$C$4:$AI$4407,'Tracking Sheet'!B2944,'Production '!$F$4:$F$4407)</f>
        <v>3230621.3283604058</v>
      </c>
      <c r="I2944" s="76">
        <f ca="1">SUMIF('Production '!$C$4:$AI$4407,'Tracking Sheet'!B2944,'Production '!$V$4:$V$4407)</f>
        <v>-489.86487791182844</v>
      </c>
      <c r="J2944" s="76">
        <f ca="1">SUMIF('Production '!$C$4:$AI$4407,'Tracking Sheet'!B2944,'Production '!$AG$4:$AG$4407)</f>
        <v>0</v>
      </c>
    </row>
    <row r="2945" spans="2:10" x14ac:dyDescent="0.3">
      <c r="B2945" s="277">
        <f>'Production '!C2948</f>
        <v>0</v>
      </c>
      <c r="C2945" s="76" t="e">
        <f ca="1">SUMIF('Production '!$C$4:$AI$4407,'Tracking Sheet'!B2945,'Production '!$M$4:$M$4407)</f>
        <v>#DIV/0!</v>
      </c>
      <c r="D2945" s="76" t="e">
        <f ca="1">SUMIF('Production '!$C$4:$AI$4407,'Tracking Sheet'!B2945,'Production '!$Q$4:$Q$4407)</f>
        <v>#DIV/0!</v>
      </c>
      <c r="E2945" s="76">
        <f ca="1">SUMIF('Production '!$C$4:$AI$4407,'Tracking Sheet'!B2945,'Production '!$S$4:$S$4407)</f>
        <v>-1268218.9828305368</v>
      </c>
      <c r="F2945" s="76">
        <f ca="1">SUMIF('Production '!$C$4:$AI$4407,'Tracking Sheet'!B2945,'Production '!$U$4:$U$4407)</f>
        <v>-10620.435600016917</v>
      </c>
      <c r="G2945" s="76" t="e">
        <f ca="1">SUMIF('Production '!$C$4:$AI$4407,'Tracking Sheet'!B2945,'Production '!$W$4:$W$4407)</f>
        <v>#DIV/0!</v>
      </c>
      <c r="H2945" s="76">
        <f ca="1">SUMIF('Production '!$C$4:$AI$4407,'Tracking Sheet'!B2945,'Production '!$F$4:$F$4407)</f>
        <v>3230621.3283604058</v>
      </c>
      <c r="I2945" s="76">
        <f ca="1">SUMIF('Production '!$C$4:$AI$4407,'Tracking Sheet'!B2945,'Production '!$V$4:$V$4407)</f>
        <v>-489.86487791182844</v>
      </c>
      <c r="J2945" s="76">
        <f ca="1">SUMIF('Production '!$C$4:$AI$4407,'Tracking Sheet'!B2945,'Production '!$AG$4:$AG$4407)</f>
        <v>0</v>
      </c>
    </row>
    <row r="2946" spans="2:10" x14ac:dyDescent="0.3">
      <c r="B2946" s="277">
        <f>'Production '!C2949</f>
        <v>0</v>
      </c>
      <c r="C2946" s="76" t="e">
        <f ca="1">SUMIF('Production '!$C$4:$AI$4407,'Tracking Sheet'!B2946,'Production '!$M$4:$M$4407)</f>
        <v>#DIV/0!</v>
      </c>
      <c r="D2946" s="76" t="e">
        <f ca="1">SUMIF('Production '!$C$4:$AI$4407,'Tracking Sheet'!B2946,'Production '!$Q$4:$Q$4407)</f>
        <v>#DIV/0!</v>
      </c>
      <c r="E2946" s="76">
        <f ca="1">SUMIF('Production '!$C$4:$AI$4407,'Tracking Sheet'!B2946,'Production '!$S$4:$S$4407)</f>
        <v>-1268218.9828305368</v>
      </c>
      <c r="F2946" s="76">
        <f ca="1">SUMIF('Production '!$C$4:$AI$4407,'Tracking Sheet'!B2946,'Production '!$U$4:$U$4407)</f>
        <v>-10620.435600016917</v>
      </c>
      <c r="G2946" s="76" t="e">
        <f ca="1">SUMIF('Production '!$C$4:$AI$4407,'Tracking Sheet'!B2946,'Production '!$W$4:$W$4407)</f>
        <v>#DIV/0!</v>
      </c>
      <c r="H2946" s="76">
        <f ca="1">SUMIF('Production '!$C$4:$AI$4407,'Tracking Sheet'!B2946,'Production '!$F$4:$F$4407)</f>
        <v>3230621.3283604058</v>
      </c>
      <c r="I2946" s="76">
        <f ca="1">SUMIF('Production '!$C$4:$AI$4407,'Tracking Sheet'!B2946,'Production '!$V$4:$V$4407)</f>
        <v>-489.86487791182844</v>
      </c>
      <c r="J2946" s="76">
        <f ca="1">SUMIF('Production '!$C$4:$AI$4407,'Tracking Sheet'!B2946,'Production '!$AG$4:$AG$4407)</f>
        <v>0</v>
      </c>
    </row>
    <row r="2947" spans="2:10" x14ac:dyDescent="0.3">
      <c r="B2947" s="277">
        <f>'Production '!C2950</f>
        <v>0</v>
      </c>
      <c r="C2947" s="76" t="e">
        <f ca="1">SUMIF('Production '!$C$4:$AI$4407,'Tracking Sheet'!B2947,'Production '!$M$4:$M$4407)</f>
        <v>#DIV/0!</v>
      </c>
      <c r="D2947" s="76" t="e">
        <f ca="1">SUMIF('Production '!$C$4:$AI$4407,'Tracking Sheet'!B2947,'Production '!$Q$4:$Q$4407)</f>
        <v>#DIV/0!</v>
      </c>
      <c r="E2947" s="76">
        <f ca="1">SUMIF('Production '!$C$4:$AI$4407,'Tracking Sheet'!B2947,'Production '!$S$4:$S$4407)</f>
        <v>-1268218.9828305368</v>
      </c>
      <c r="F2947" s="76">
        <f ca="1">SUMIF('Production '!$C$4:$AI$4407,'Tracking Sheet'!B2947,'Production '!$U$4:$U$4407)</f>
        <v>-10620.435600016917</v>
      </c>
      <c r="G2947" s="76" t="e">
        <f ca="1">SUMIF('Production '!$C$4:$AI$4407,'Tracking Sheet'!B2947,'Production '!$W$4:$W$4407)</f>
        <v>#DIV/0!</v>
      </c>
      <c r="H2947" s="76">
        <f ca="1">SUMIF('Production '!$C$4:$AI$4407,'Tracking Sheet'!B2947,'Production '!$F$4:$F$4407)</f>
        <v>3230621.3283604058</v>
      </c>
      <c r="I2947" s="76">
        <f ca="1">SUMIF('Production '!$C$4:$AI$4407,'Tracking Sheet'!B2947,'Production '!$V$4:$V$4407)</f>
        <v>-489.86487791182844</v>
      </c>
      <c r="J2947" s="76">
        <f ca="1">SUMIF('Production '!$C$4:$AI$4407,'Tracking Sheet'!B2947,'Production '!$AG$4:$AG$4407)</f>
        <v>0</v>
      </c>
    </row>
    <row r="2948" spans="2:10" x14ac:dyDescent="0.3">
      <c r="B2948" s="277">
        <f>'Production '!C2951</f>
        <v>0</v>
      </c>
      <c r="C2948" s="76" t="e">
        <f ca="1">SUMIF('Production '!$C$4:$AI$4407,'Tracking Sheet'!B2948,'Production '!$M$4:$M$4407)</f>
        <v>#DIV/0!</v>
      </c>
      <c r="D2948" s="76" t="e">
        <f ca="1">SUMIF('Production '!$C$4:$AI$4407,'Tracking Sheet'!B2948,'Production '!$Q$4:$Q$4407)</f>
        <v>#DIV/0!</v>
      </c>
      <c r="E2948" s="76">
        <f ca="1">SUMIF('Production '!$C$4:$AI$4407,'Tracking Sheet'!B2948,'Production '!$S$4:$S$4407)</f>
        <v>-1268218.9828305368</v>
      </c>
      <c r="F2948" s="76">
        <f ca="1">SUMIF('Production '!$C$4:$AI$4407,'Tracking Sheet'!B2948,'Production '!$U$4:$U$4407)</f>
        <v>-10620.435600016917</v>
      </c>
      <c r="G2948" s="76" t="e">
        <f ca="1">SUMIF('Production '!$C$4:$AI$4407,'Tracking Sheet'!B2948,'Production '!$W$4:$W$4407)</f>
        <v>#DIV/0!</v>
      </c>
      <c r="H2948" s="76">
        <f ca="1">SUMIF('Production '!$C$4:$AI$4407,'Tracking Sheet'!B2948,'Production '!$F$4:$F$4407)</f>
        <v>3230621.3283604058</v>
      </c>
      <c r="I2948" s="76">
        <f ca="1">SUMIF('Production '!$C$4:$AI$4407,'Tracking Sheet'!B2948,'Production '!$V$4:$V$4407)</f>
        <v>-489.86487791182844</v>
      </c>
      <c r="J2948" s="76">
        <f ca="1">SUMIF('Production '!$C$4:$AI$4407,'Tracking Sheet'!B2948,'Production '!$AG$4:$AG$4407)</f>
        <v>0</v>
      </c>
    </row>
    <row r="2949" spans="2:10" x14ac:dyDescent="0.3">
      <c r="B2949" s="277">
        <f>'Production '!C2952</f>
        <v>0</v>
      </c>
      <c r="C2949" s="76" t="e">
        <f ca="1">SUMIF('Production '!$C$4:$AI$4407,'Tracking Sheet'!B2949,'Production '!$M$4:$M$4407)</f>
        <v>#DIV/0!</v>
      </c>
      <c r="D2949" s="76" t="e">
        <f ca="1">SUMIF('Production '!$C$4:$AI$4407,'Tracking Sheet'!B2949,'Production '!$Q$4:$Q$4407)</f>
        <v>#DIV/0!</v>
      </c>
      <c r="E2949" s="76">
        <f ca="1">SUMIF('Production '!$C$4:$AI$4407,'Tracking Sheet'!B2949,'Production '!$S$4:$S$4407)</f>
        <v>-1268218.9828305368</v>
      </c>
      <c r="F2949" s="76">
        <f ca="1">SUMIF('Production '!$C$4:$AI$4407,'Tracking Sheet'!B2949,'Production '!$U$4:$U$4407)</f>
        <v>-10620.435600016917</v>
      </c>
      <c r="G2949" s="76" t="e">
        <f ca="1">SUMIF('Production '!$C$4:$AI$4407,'Tracking Sheet'!B2949,'Production '!$W$4:$W$4407)</f>
        <v>#DIV/0!</v>
      </c>
      <c r="H2949" s="76">
        <f ca="1">SUMIF('Production '!$C$4:$AI$4407,'Tracking Sheet'!B2949,'Production '!$F$4:$F$4407)</f>
        <v>3230621.3283604058</v>
      </c>
      <c r="I2949" s="76">
        <f ca="1">SUMIF('Production '!$C$4:$AI$4407,'Tracking Sheet'!B2949,'Production '!$V$4:$V$4407)</f>
        <v>-489.86487791182844</v>
      </c>
      <c r="J2949" s="76">
        <f ca="1">SUMIF('Production '!$C$4:$AI$4407,'Tracking Sheet'!B2949,'Production '!$AG$4:$AG$4407)</f>
        <v>0</v>
      </c>
    </row>
    <row r="2950" spans="2:10" x14ac:dyDescent="0.3">
      <c r="B2950" s="277">
        <f>'Production '!C2953</f>
        <v>0</v>
      </c>
      <c r="C2950" s="76" t="e">
        <f ca="1">SUMIF('Production '!$C$4:$AI$4407,'Tracking Sheet'!B2950,'Production '!$M$4:$M$4407)</f>
        <v>#DIV/0!</v>
      </c>
      <c r="D2950" s="76" t="e">
        <f ca="1">SUMIF('Production '!$C$4:$AI$4407,'Tracking Sheet'!B2950,'Production '!$Q$4:$Q$4407)</f>
        <v>#DIV/0!</v>
      </c>
      <c r="E2950" s="76">
        <f ca="1">SUMIF('Production '!$C$4:$AI$4407,'Tracking Sheet'!B2950,'Production '!$S$4:$S$4407)</f>
        <v>-1268218.9828305368</v>
      </c>
      <c r="F2950" s="76">
        <f ca="1">SUMIF('Production '!$C$4:$AI$4407,'Tracking Sheet'!B2950,'Production '!$U$4:$U$4407)</f>
        <v>-10620.435600016917</v>
      </c>
      <c r="G2950" s="76" t="e">
        <f ca="1">SUMIF('Production '!$C$4:$AI$4407,'Tracking Sheet'!B2950,'Production '!$W$4:$W$4407)</f>
        <v>#DIV/0!</v>
      </c>
      <c r="H2950" s="76">
        <f ca="1">SUMIF('Production '!$C$4:$AI$4407,'Tracking Sheet'!B2950,'Production '!$F$4:$F$4407)</f>
        <v>3230621.3283604058</v>
      </c>
      <c r="I2950" s="76">
        <f ca="1">SUMIF('Production '!$C$4:$AI$4407,'Tracking Sheet'!B2950,'Production '!$V$4:$V$4407)</f>
        <v>-489.86487791182844</v>
      </c>
      <c r="J2950" s="76">
        <f ca="1">SUMIF('Production '!$C$4:$AI$4407,'Tracking Sheet'!B2950,'Production '!$AG$4:$AG$4407)</f>
        <v>0</v>
      </c>
    </row>
    <row r="2951" spans="2:10" x14ac:dyDescent="0.3">
      <c r="B2951" s="277">
        <f>'Production '!C2954</f>
        <v>0</v>
      </c>
      <c r="C2951" s="76" t="e">
        <f ca="1">SUMIF('Production '!$C$4:$AI$4407,'Tracking Sheet'!B2951,'Production '!$M$4:$M$4407)</f>
        <v>#DIV/0!</v>
      </c>
      <c r="D2951" s="76" t="e">
        <f ca="1">SUMIF('Production '!$C$4:$AI$4407,'Tracking Sheet'!B2951,'Production '!$Q$4:$Q$4407)</f>
        <v>#DIV/0!</v>
      </c>
      <c r="E2951" s="76">
        <f ca="1">SUMIF('Production '!$C$4:$AI$4407,'Tracking Sheet'!B2951,'Production '!$S$4:$S$4407)</f>
        <v>-1268218.9828305368</v>
      </c>
      <c r="F2951" s="76">
        <f ca="1">SUMIF('Production '!$C$4:$AI$4407,'Tracking Sheet'!B2951,'Production '!$U$4:$U$4407)</f>
        <v>-10620.435600016917</v>
      </c>
      <c r="G2951" s="76" t="e">
        <f ca="1">SUMIF('Production '!$C$4:$AI$4407,'Tracking Sheet'!B2951,'Production '!$W$4:$W$4407)</f>
        <v>#DIV/0!</v>
      </c>
      <c r="H2951" s="76">
        <f ca="1">SUMIF('Production '!$C$4:$AI$4407,'Tracking Sheet'!B2951,'Production '!$F$4:$F$4407)</f>
        <v>3230621.3283604058</v>
      </c>
      <c r="I2951" s="76">
        <f ca="1">SUMIF('Production '!$C$4:$AI$4407,'Tracking Sheet'!B2951,'Production '!$V$4:$V$4407)</f>
        <v>-489.86487791182844</v>
      </c>
      <c r="J2951" s="76">
        <f ca="1">SUMIF('Production '!$C$4:$AI$4407,'Tracking Sheet'!B2951,'Production '!$AG$4:$AG$4407)</f>
        <v>0</v>
      </c>
    </row>
    <row r="2952" spans="2:10" x14ac:dyDescent="0.3">
      <c r="B2952" s="277">
        <f>'Production '!C2955</f>
        <v>0</v>
      </c>
      <c r="C2952" s="76" t="e">
        <f ca="1">SUMIF('Production '!$C$4:$AI$4407,'Tracking Sheet'!B2952,'Production '!$M$4:$M$4407)</f>
        <v>#DIV/0!</v>
      </c>
      <c r="D2952" s="76" t="e">
        <f ca="1">SUMIF('Production '!$C$4:$AI$4407,'Tracking Sheet'!B2952,'Production '!$Q$4:$Q$4407)</f>
        <v>#DIV/0!</v>
      </c>
      <c r="E2952" s="76">
        <f ca="1">SUMIF('Production '!$C$4:$AI$4407,'Tracking Sheet'!B2952,'Production '!$S$4:$S$4407)</f>
        <v>-1268218.9828305368</v>
      </c>
      <c r="F2952" s="76">
        <f ca="1">SUMIF('Production '!$C$4:$AI$4407,'Tracking Sheet'!B2952,'Production '!$U$4:$U$4407)</f>
        <v>-10620.435600016917</v>
      </c>
      <c r="G2952" s="76" t="e">
        <f ca="1">SUMIF('Production '!$C$4:$AI$4407,'Tracking Sheet'!B2952,'Production '!$W$4:$W$4407)</f>
        <v>#DIV/0!</v>
      </c>
      <c r="H2952" s="76">
        <f ca="1">SUMIF('Production '!$C$4:$AI$4407,'Tracking Sheet'!B2952,'Production '!$F$4:$F$4407)</f>
        <v>3230621.3283604058</v>
      </c>
      <c r="I2952" s="76">
        <f ca="1">SUMIF('Production '!$C$4:$AI$4407,'Tracking Sheet'!B2952,'Production '!$V$4:$V$4407)</f>
        <v>-489.86487791182844</v>
      </c>
      <c r="J2952" s="76">
        <f ca="1">SUMIF('Production '!$C$4:$AI$4407,'Tracking Sheet'!B2952,'Production '!$AG$4:$AG$4407)</f>
        <v>0</v>
      </c>
    </row>
    <row r="2953" spans="2:10" x14ac:dyDescent="0.3">
      <c r="B2953" s="277">
        <f>'Production '!C2956</f>
        <v>0</v>
      </c>
      <c r="C2953" s="76" t="e">
        <f ca="1">SUMIF('Production '!$C$4:$AI$4407,'Tracking Sheet'!B2953,'Production '!$M$4:$M$4407)</f>
        <v>#DIV/0!</v>
      </c>
      <c r="D2953" s="76" t="e">
        <f ca="1">SUMIF('Production '!$C$4:$AI$4407,'Tracking Sheet'!B2953,'Production '!$Q$4:$Q$4407)</f>
        <v>#DIV/0!</v>
      </c>
      <c r="E2953" s="76">
        <f ca="1">SUMIF('Production '!$C$4:$AI$4407,'Tracking Sheet'!B2953,'Production '!$S$4:$S$4407)</f>
        <v>-1268218.9828305368</v>
      </c>
      <c r="F2953" s="76">
        <f ca="1">SUMIF('Production '!$C$4:$AI$4407,'Tracking Sheet'!B2953,'Production '!$U$4:$U$4407)</f>
        <v>-10620.435600016917</v>
      </c>
      <c r="G2953" s="76" t="e">
        <f ca="1">SUMIF('Production '!$C$4:$AI$4407,'Tracking Sheet'!B2953,'Production '!$W$4:$W$4407)</f>
        <v>#DIV/0!</v>
      </c>
      <c r="H2953" s="76">
        <f ca="1">SUMIF('Production '!$C$4:$AI$4407,'Tracking Sheet'!B2953,'Production '!$F$4:$F$4407)</f>
        <v>3230621.3283604058</v>
      </c>
      <c r="I2953" s="76">
        <f ca="1">SUMIF('Production '!$C$4:$AI$4407,'Tracking Sheet'!B2953,'Production '!$V$4:$V$4407)</f>
        <v>-489.86487791182844</v>
      </c>
      <c r="J2953" s="76">
        <f ca="1">SUMIF('Production '!$C$4:$AI$4407,'Tracking Sheet'!B2953,'Production '!$AG$4:$AG$4407)</f>
        <v>0</v>
      </c>
    </row>
    <row r="2954" spans="2:10" x14ac:dyDescent="0.3">
      <c r="B2954" s="277">
        <f>'Production '!C2957</f>
        <v>0</v>
      </c>
      <c r="C2954" s="76" t="e">
        <f ca="1">SUMIF('Production '!$C$4:$AI$4407,'Tracking Sheet'!B2954,'Production '!$M$4:$M$4407)</f>
        <v>#DIV/0!</v>
      </c>
      <c r="D2954" s="76" t="e">
        <f ca="1">SUMIF('Production '!$C$4:$AI$4407,'Tracking Sheet'!B2954,'Production '!$Q$4:$Q$4407)</f>
        <v>#DIV/0!</v>
      </c>
      <c r="E2954" s="76">
        <f ca="1">SUMIF('Production '!$C$4:$AI$4407,'Tracking Sheet'!B2954,'Production '!$S$4:$S$4407)</f>
        <v>-1268218.9828305368</v>
      </c>
      <c r="F2954" s="76">
        <f ca="1">SUMIF('Production '!$C$4:$AI$4407,'Tracking Sheet'!B2954,'Production '!$U$4:$U$4407)</f>
        <v>-10620.435600016917</v>
      </c>
      <c r="G2954" s="76" t="e">
        <f ca="1">SUMIF('Production '!$C$4:$AI$4407,'Tracking Sheet'!B2954,'Production '!$W$4:$W$4407)</f>
        <v>#DIV/0!</v>
      </c>
      <c r="H2954" s="76">
        <f ca="1">SUMIF('Production '!$C$4:$AI$4407,'Tracking Sheet'!B2954,'Production '!$F$4:$F$4407)</f>
        <v>3230621.3283604058</v>
      </c>
      <c r="I2954" s="76">
        <f ca="1">SUMIF('Production '!$C$4:$AI$4407,'Tracking Sheet'!B2954,'Production '!$V$4:$V$4407)</f>
        <v>-489.86487791182844</v>
      </c>
      <c r="J2954" s="76">
        <f ca="1">SUMIF('Production '!$C$4:$AI$4407,'Tracking Sheet'!B2954,'Production '!$AG$4:$AG$4407)</f>
        <v>0</v>
      </c>
    </row>
    <row r="2955" spans="2:10" x14ac:dyDescent="0.3">
      <c r="B2955" s="277">
        <f>'Production '!C2958</f>
        <v>0</v>
      </c>
      <c r="C2955" s="76" t="e">
        <f ca="1">SUMIF('Production '!$C$4:$AI$4407,'Tracking Sheet'!B2955,'Production '!$M$4:$M$4407)</f>
        <v>#DIV/0!</v>
      </c>
      <c r="D2955" s="76" t="e">
        <f ca="1">SUMIF('Production '!$C$4:$AI$4407,'Tracking Sheet'!B2955,'Production '!$Q$4:$Q$4407)</f>
        <v>#DIV/0!</v>
      </c>
      <c r="E2955" s="76">
        <f ca="1">SUMIF('Production '!$C$4:$AI$4407,'Tracking Sheet'!B2955,'Production '!$S$4:$S$4407)</f>
        <v>-1268218.9828305368</v>
      </c>
      <c r="F2955" s="76">
        <f ca="1">SUMIF('Production '!$C$4:$AI$4407,'Tracking Sheet'!B2955,'Production '!$U$4:$U$4407)</f>
        <v>-10620.435600016917</v>
      </c>
      <c r="G2955" s="76" t="e">
        <f ca="1">SUMIF('Production '!$C$4:$AI$4407,'Tracking Sheet'!B2955,'Production '!$W$4:$W$4407)</f>
        <v>#DIV/0!</v>
      </c>
      <c r="H2955" s="76">
        <f ca="1">SUMIF('Production '!$C$4:$AI$4407,'Tracking Sheet'!B2955,'Production '!$F$4:$F$4407)</f>
        <v>3230621.3283604058</v>
      </c>
      <c r="I2955" s="76">
        <f ca="1">SUMIF('Production '!$C$4:$AI$4407,'Tracking Sheet'!B2955,'Production '!$V$4:$V$4407)</f>
        <v>-489.86487791182844</v>
      </c>
      <c r="J2955" s="76">
        <f ca="1">SUMIF('Production '!$C$4:$AI$4407,'Tracking Sheet'!B2955,'Production '!$AG$4:$AG$4407)</f>
        <v>0</v>
      </c>
    </row>
    <row r="2956" spans="2:10" x14ac:dyDescent="0.3">
      <c r="B2956" s="277">
        <f>'Production '!C2959</f>
        <v>0</v>
      </c>
      <c r="C2956" s="76" t="e">
        <f ca="1">SUMIF('Production '!$C$4:$AI$4407,'Tracking Sheet'!B2956,'Production '!$M$4:$M$4407)</f>
        <v>#DIV/0!</v>
      </c>
      <c r="D2956" s="76" t="e">
        <f ca="1">SUMIF('Production '!$C$4:$AI$4407,'Tracking Sheet'!B2956,'Production '!$Q$4:$Q$4407)</f>
        <v>#DIV/0!</v>
      </c>
      <c r="E2956" s="76">
        <f ca="1">SUMIF('Production '!$C$4:$AI$4407,'Tracking Sheet'!B2956,'Production '!$S$4:$S$4407)</f>
        <v>-1268218.9828305368</v>
      </c>
      <c r="F2956" s="76">
        <f ca="1">SUMIF('Production '!$C$4:$AI$4407,'Tracking Sheet'!B2956,'Production '!$U$4:$U$4407)</f>
        <v>-10620.435600016917</v>
      </c>
      <c r="G2956" s="76" t="e">
        <f ca="1">SUMIF('Production '!$C$4:$AI$4407,'Tracking Sheet'!B2956,'Production '!$W$4:$W$4407)</f>
        <v>#DIV/0!</v>
      </c>
      <c r="H2956" s="76">
        <f ca="1">SUMIF('Production '!$C$4:$AI$4407,'Tracking Sheet'!B2956,'Production '!$F$4:$F$4407)</f>
        <v>3230621.3283604058</v>
      </c>
      <c r="I2956" s="76">
        <f ca="1">SUMIF('Production '!$C$4:$AI$4407,'Tracking Sheet'!B2956,'Production '!$V$4:$V$4407)</f>
        <v>-489.86487791182844</v>
      </c>
      <c r="J2956" s="76">
        <f ca="1">SUMIF('Production '!$C$4:$AI$4407,'Tracking Sheet'!B2956,'Production '!$AG$4:$AG$4407)</f>
        <v>0</v>
      </c>
    </row>
    <row r="2957" spans="2:10" x14ac:dyDescent="0.3">
      <c r="B2957" s="277">
        <f>'Production '!C2960</f>
        <v>0</v>
      </c>
      <c r="C2957" s="76" t="e">
        <f ca="1">SUMIF('Production '!$C$4:$AI$4407,'Tracking Sheet'!B2957,'Production '!$M$4:$M$4407)</f>
        <v>#DIV/0!</v>
      </c>
      <c r="D2957" s="76" t="e">
        <f ca="1">SUMIF('Production '!$C$4:$AI$4407,'Tracking Sheet'!B2957,'Production '!$Q$4:$Q$4407)</f>
        <v>#DIV/0!</v>
      </c>
      <c r="E2957" s="76">
        <f ca="1">SUMIF('Production '!$C$4:$AI$4407,'Tracking Sheet'!B2957,'Production '!$S$4:$S$4407)</f>
        <v>-1268218.9828305368</v>
      </c>
      <c r="F2957" s="76">
        <f ca="1">SUMIF('Production '!$C$4:$AI$4407,'Tracking Sheet'!B2957,'Production '!$U$4:$U$4407)</f>
        <v>-10620.435600016917</v>
      </c>
      <c r="G2957" s="76" t="e">
        <f ca="1">SUMIF('Production '!$C$4:$AI$4407,'Tracking Sheet'!B2957,'Production '!$W$4:$W$4407)</f>
        <v>#DIV/0!</v>
      </c>
      <c r="H2957" s="76">
        <f ca="1">SUMIF('Production '!$C$4:$AI$4407,'Tracking Sheet'!B2957,'Production '!$F$4:$F$4407)</f>
        <v>3230621.3283604058</v>
      </c>
      <c r="I2957" s="76">
        <f ca="1">SUMIF('Production '!$C$4:$AI$4407,'Tracking Sheet'!B2957,'Production '!$V$4:$V$4407)</f>
        <v>-489.86487791182844</v>
      </c>
      <c r="J2957" s="76">
        <f ca="1">SUMIF('Production '!$C$4:$AI$4407,'Tracking Sheet'!B2957,'Production '!$AG$4:$AG$4407)</f>
        <v>0</v>
      </c>
    </row>
    <row r="2958" spans="2:10" x14ac:dyDescent="0.3">
      <c r="B2958" s="277">
        <f>'Production '!C2961</f>
        <v>0</v>
      </c>
      <c r="C2958" s="76" t="e">
        <f ca="1">SUMIF('Production '!$C$4:$AI$4407,'Tracking Sheet'!B2958,'Production '!$M$4:$M$4407)</f>
        <v>#DIV/0!</v>
      </c>
      <c r="D2958" s="76" t="e">
        <f ca="1">SUMIF('Production '!$C$4:$AI$4407,'Tracking Sheet'!B2958,'Production '!$Q$4:$Q$4407)</f>
        <v>#DIV/0!</v>
      </c>
      <c r="E2958" s="76">
        <f ca="1">SUMIF('Production '!$C$4:$AI$4407,'Tracking Sheet'!B2958,'Production '!$S$4:$S$4407)</f>
        <v>-1268218.9828305368</v>
      </c>
      <c r="F2958" s="76">
        <f ca="1">SUMIF('Production '!$C$4:$AI$4407,'Tracking Sheet'!B2958,'Production '!$U$4:$U$4407)</f>
        <v>-10620.435600016917</v>
      </c>
      <c r="G2958" s="76" t="e">
        <f ca="1">SUMIF('Production '!$C$4:$AI$4407,'Tracking Sheet'!B2958,'Production '!$W$4:$W$4407)</f>
        <v>#DIV/0!</v>
      </c>
      <c r="H2958" s="76">
        <f ca="1">SUMIF('Production '!$C$4:$AI$4407,'Tracking Sheet'!B2958,'Production '!$F$4:$F$4407)</f>
        <v>3230621.3283604058</v>
      </c>
      <c r="I2958" s="76">
        <f ca="1">SUMIF('Production '!$C$4:$AI$4407,'Tracking Sheet'!B2958,'Production '!$V$4:$V$4407)</f>
        <v>-489.86487791182844</v>
      </c>
      <c r="J2958" s="76">
        <f ca="1">SUMIF('Production '!$C$4:$AI$4407,'Tracking Sheet'!B2958,'Production '!$AG$4:$AG$4407)</f>
        <v>0</v>
      </c>
    </row>
    <row r="2959" spans="2:10" x14ac:dyDescent="0.3">
      <c r="B2959" s="277">
        <f>'Production '!C2962</f>
        <v>0</v>
      </c>
      <c r="C2959" s="76" t="e">
        <f ca="1">SUMIF('Production '!$C$4:$AI$4407,'Tracking Sheet'!B2959,'Production '!$M$4:$M$4407)</f>
        <v>#DIV/0!</v>
      </c>
      <c r="D2959" s="76" t="e">
        <f ca="1">SUMIF('Production '!$C$4:$AI$4407,'Tracking Sheet'!B2959,'Production '!$Q$4:$Q$4407)</f>
        <v>#DIV/0!</v>
      </c>
      <c r="E2959" s="76">
        <f ca="1">SUMIF('Production '!$C$4:$AI$4407,'Tracking Sheet'!B2959,'Production '!$S$4:$S$4407)</f>
        <v>-1268218.9828305368</v>
      </c>
      <c r="F2959" s="76">
        <f ca="1">SUMIF('Production '!$C$4:$AI$4407,'Tracking Sheet'!B2959,'Production '!$U$4:$U$4407)</f>
        <v>-10620.435600016917</v>
      </c>
      <c r="G2959" s="76" t="e">
        <f ca="1">SUMIF('Production '!$C$4:$AI$4407,'Tracking Sheet'!B2959,'Production '!$W$4:$W$4407)</f>
        <v>#DIV/0!</v>
      </c>
      <c r="H2959" s="76">
        <f ca="1">SUMIF('Production '!$C$4:$AI$4407,'Tracking Sheet'!B2959,'Production '!$F$4:$F$4407)</f>
        <v>3230621.3283604058</v>
      </c>
      <c r="I2959" s="76">
        <f ca="1">SUMIF('Production '!$C$4:$AI$4407,'Tracking Sheet'!B2959,'Production '!$V$4:$V$4407)</f>
        <v>-489.86487791182844</v>
      </c>
      <c r="J2959" s="76">
        <f ca="1">SUMIF('Production '!$C$4:$AI$4407,'Tracking Sheet'!B2959,'Production '!$AG$4:$AG$4407)</f>
        <v>0</v>
      </c>
    </row>
    <row r="2960" spans="2:10" x14ac:dyDescent="0.3">
      <c r="B2960" s="277">
        <f>'Production '!C2963</f>
        <v>0</v>
      </c>
      <c r="C2960" s="76" t="e">
        <f ca="1">SUMIF('Production '!$C$4:$AI$4407,'Tracking Sheet'!B2960,'Production '!$M$4:$M$4407)</f>
        <v>#DIV/0!</v>
      </c>
      <c r="D2960" s="76" t="e">
        <f ca="1">SUMIF('Production '!$C$4:$AI$4407,'Tracking Sheet'!B2960,'Production '!$Q$4:$Q$4407)</f>
        <v>#DIV/0!</v>
      </c>
      <c r="E2960" s="76">
        <f ca="1">SUMIF('Production '!$C$4:$AI$4407,'Tracking Sheet'!B2960,'Production '!$S$4:$S$4407)</f>
        <v>-1268218.9828305368</v>
      </c>
      <c r="F2960" s="76">
        <f ca="1">SUMIF('Production '!$C$4:$AI$4407,'Tracking Sheet'!B2960,'Production '!$U$4:$U$4407)</f>
        <v>-10620.435600016917</v>
      </c>
      <c r="G2960" s="76" t="e">
        <f ca="1">SUMIF('Production '!$C$4:$AI$4407,'Tracking Sheet'!B2960,'Production '!$W$4:$W$4407)</f>
        <v>#DIV/0!</v>
      </c>
      <c r="H2960" s="76">
        <f ca="1">SUMIF('Production '!$C$4:$AI$4407,'Tracking Sheet'!B2960,'Production '!$F$4:$F$4407)</f>
        <v>3230621.3283604058</v>
      </c>
      <c r="I2960" s="76">
        <f ca="1">SUMIF('Production '!$C$4:$AI$4407,'Tracking Sheet'!B2960,'Production '!$V$4:$V$4407)</f>
        <v>-489.86487791182844</v>
      </c>
      <c r="J2960" s="76">
        <f ca="1">SUMIF('Production '!$C$4:$AI$4407,'Tracking Sheet'!B2960,'Production '!$AG$4:$AG$4407)</f>
        <v>0</v>
      </c>
    </row>
    <row r="2961" spans="2:10" x14ac:dyDescent="0.3">
      <c r="B2961" s="277">
        <f>'Production '!C2964</f>
        <v>0</v>
      </c>
      <c r="C2961" s="76" t="e">
        <f ca="1">SUMIF('Production '!$C$4:$AI$4407,'Tracking Sheet'!B2961,'Production '!$M$4:$M$4407)</f>
        <v>#DIV/0!</v>
      </c>
      <c r="D2961" s="76" t="e">
        <f ca="1">SUMIF('Production '!$C$4:$AI$4407,'Tracking Sheet'!B2961,'Production '!$Q$4:$Q$4407)</f>
        <v>#DIV/0!</v>
      </c>
      <c r="E2961" s="76">
        <f ca="1">SUMIF('Production '!$C$4:$AI$4407,'Tracking Sheet'!B2961,'Production '!$S$4:$S$4407)</f>
        <v>-1268218.9828305368</v>
      </c>
      <c r="F2961" s="76">
        <f ca="1">SUMIF('Production '!$C$4:$AI$4407,'Tracking Sheet'!B2961,'Production '!$U$4:$U$4407)</f>
        <v>-10620.435600016917</v>
      </c>
      <c r="G2961" s="76" t="e">
        <f ca="1">SUMIF('Production '!$C$4:$AI$4407,'Tracking Sheet'!B2961,'Production '!$W$4:$W$4407)</f>
        <v>#DIV/0!</v>
      </c>
      <c r="H2961" s="76">
        <f ca="1">SUMIF('Production '!$C$4:$AI$4407,'Tracking Sheet'!B2961,'Production '!$F$4:$F$4407)</f>
        <v>3230621.3283604058</v>
      </c>
      <c r="I2961" s="76">
        <f ca="1">SUMIF('Production '!$C$4:$AI$4407,'Tracking Sheet'!B2961,'Production '!$V$4:$V$4407)</f>
        <v>-489.86487791182844</v>
      </c>
      <c r="J2961" s="76">
        <f ca="1">SUMIF('Production '!$C$4:$AI$4407,'Tracking Sheet'!B2961,'Production '!$AG$4:$AG$4407)</f>
        <v>0</v>
      </c>
    </row>
    <row r="2962" spans="2:10" x14ac:dyDescent="0.3">
      <c r="B2962" s="277">
        <f>'Production '!C2965</f>
        <v>0</v>
      </c>
      <c r="C2962" s="76" t="e">
        <f ca="1">SUMIF('Production '!$C$4:$AI$4407,'Tracking Sheet'!B2962,'Production '!$M$4:$M$4407)</f>
        <v>#DIV/0!</v>
      </c>
      <c r="D2962" s="76" t="e">
        <f ca="1">SUMIF('Production '!$C$4:$AI$4407,'Tracking Sheet'!B2962,'Production '!$Q$4:$Q$4407)</f>
        <v>#DIV/0!</v>
      </c>
      <c r="E2962" s="76">
        <f ca="1">SUMIF('Production '!$C$4:$AI$4407,'Tracking Sheet'!B2962,'Production '!$S$4:$S$4407)</f>
        <v>-1268218.9828305368</v>
      </c>
      <c r="F2962" s="76">
        <f ca="1">SUMIF('Production '!$C$4:$AI$4407,'Tracking Sheet'!B2962,'Production '!$U$4:$U$4407)</f>
        <v>-10620.435600016917</v>
      </c>
      <c r="G2962" s="76" t="e">
        <f ca="1">SUMIF('Production '!$C$4:$AI$4407,'Tracking Sheet'!B2962,'Production '!$W$4:$W$4407)</f>
        <v>#DIV/0!</v>
      </c>
      <c r="H2962" s="76">
        <f ca="1">SUMIF('Production '!$C$4:$AI$4407,'Tracking Sheet'!B2962,'Production '!$F$4:$F$4407)</f>
        <v>3230621.3283604058</v>
      </c>
      <c r="I2962" s="76">
        <f ca="1">SUMIF('Production '!$C$4:$AI$4407,'Tracking Sheet'!B2962,'Production '!$V$4:$V$4407)</f>
        <v>-489.86487791182844</v>
      </c>
      <c r="J2962" s="76">
        <f ca="1">SUMIF('Production '!$C$4:$AI$4407,'Tracking Sheet'!B2962,'Production '!$AG$4:$AG$4407)</f>
        <v>0</v>
      </c>
    </row>
    <row r="2963" spans="2:10" x14ac:dyDescent="0.3">
      <c r="B2963" s="277">
        <f>'Production '!C2966</f>
        <v>0</v>
      </c>
      <c r="C2963" s="76" t="e">
        <f ca="1">SUMIF('Production '!$C$4:$AI$4407,'Tracking Sheet'!B2963,'Production '!$M$4:$M$4407)</f>
        <v>#DIV/0!</v>
      </c>
      <c r="D2963" s="76" t="e">
        <f ca="1">SUMIF('Production '!$C$4:$AI$4407,'Tracking Sheet'!B2963,'Production '!$Q$4:$Q$4407)</f>
        <v>#DIV/0!</v>
      </c>
      <c r="E2963" s="76">
        <f ca="1">SUMIF('Production '!$C$4:$AI$4407,'Tracking Sheet'!B2963,'Production '!$S$4:$S$4407)</f>
        <v>-1268218.9828305368</v>
      </c>
      <c r="F2963" s="76">
        <f ca="1">SUMIF('Production '!$C$4:$AI$4407,'Tracking Sheet'!B2963,'Production '!$U$4:$U$4407)</f>
        <v>-10620.435600016917</v>
      </c>
      <c r="G2963" s="76" t="e">
        <f ca="1">SUMIF('Production '!$C$4:$AI$4407,'Tracking Sheet'!B2963,'Production '!$W$4:$W$4407)</f>
        <v>#DIV/0!</v>
      </c>
      <c r="H2963" s="76">
        <f ca="1">SUMIF('Production '!$C$4:$AI$4407,'Tracking Sheet'!B2963,'Production '!$F$4:$F$4407)</f>
        <v>3230621.3283604058</v>
      </c>
      <c r="I2963" s="76">
        <f ca="1">SUMIF('Production '!$C$4:$AI$4407,'Tracking Sheet'!B2963,'Production '!$V$4:$V$4407)</f>
        <v>-489.86487791182844</v>
      </c>
      <c r="J2963" s="76">
        <f ca="1">SUMIF('Production '!$C$4:$AI$4407,'Tracking Sheet'!B2963,'Production '!$AG$4:$AG$4407)</f>
        <v>0</v>
      </c>
    </row>
    <row r="2964" spans="2:10" x14ac:dyDescent="0.3">
      <c r="B2964" s="277">
        <f>'Production '!C2967</f>
        <v>0</v>
      </c>
      <c r="C2964" s="76" t="e">
        <f ca="1">SUMIF('Production '!$C$4:$AI$4407,'Tracking Sheet'!B2964,'Production '!$M$4:$M$4407)</f>
        <v>#DIV/0!</v>
      </c>
      <c r="D2964" s="76" t="e">
        <f ca="1">SUMIF('Production '!$C$4:$AI$4407,'Tracking Sheet'!B2964,'Production '!$Q$4:$Q$4407)</f>
        <v>#DIV/0!</v>
      </c>
      <c r="E2964" s="76">
        <f ca="1">SUMIF('Production '!$C$4:$AI$4407,'Tracking Sheet'!B2964,'Production '!$S$4:$S$4407)</f>
        <v>-1268218.9828305368</v>
      </c>
      <c r="F2964" s="76">
        <f ca="1">SUMIF('Production '!$C$4:$AI$4407,'Tracking Sheet'!B2964,'Production '!$U$4:$U$4407)</f>
        <v>-10620.435600016917</v>
      </c>
      <c r="G2964" s="76" t="e">
        <f ca="1">SUMIF('Production '!$C$4:$AI$4407,'Tracking Sheet'!B2964,'Production '!$W$4:$W$4407)</f>
        <v>#DIV/0!</v>
      </c>
      <c r="H2964" s="76">
        <f ca="1">SUMIF('Production '!$C$4:$AI$4407,'Tracking Sheet'!B2964,'Production '!$F$4:$F$4407)</f>
        <v>3230621.3283604058</v>
      </c>
      <c r="I2964" s="76">
        <f ca="1">SUMIF('Production '!$C$4:$AI$4407,'Tracking Sheet'!B2964,'Production '!$V$4:$V$4407)</f>
        <v>-489.86487791182844</v>
      </c>
      <c r="J2964" s="76">
        <f ca="1">SUMIF('Production '!$C$4:$AI$4407,'Tracking Sheet'!B2964,'Production '!$AG$4:$AG$4407)</f>
        <v>0</v>
      </c>
    </row>
    <row r="2965" spans="2:10" x14ac:dyDescent="0.3">
      <c r="B2965" s="277">
        <f>'Production '!C2968</f>
        <v>0</v>
      </c>
      <c r="C2965" s="76" t="e">
        <f ca="1">SUMIF('Production '!$C$4:$AI$4407,'Tracking Sheet'!B2965,'Production '!$M$4:$M$4407)</f>
        <v>#DIV/0!</v>
      </c>
      <c r="D2965" s="76" t="e">
        <f ca="1">SUMIF('Production '!$C$4:$AI$4407,'Tracking Sheet'!B2965,'Production '!$Q$4:$Q$4407)</f>
        <v>#DIV/0!</v>
      </c>
      <c r="E2965" s="76">
        <f ca="1">SUMIF('Production '!$C$4:$AI$4407,'Tracking Sheet'!B2965,'Production '!$S$4:$S$4407)</f>
        <v>-1268218.9828305368</v>
      </c>
      <c r="F2965" s="76">
        <f ca="1">SUMIF('Production '!$C$4:$AI$4407,'Tracking Sheet'!B2965,'Production '!$U$4:$U$4407)</f>
        <v>-10620.435600016917</v>
      </c>
      <c r="G2965" s="76" t="e">
        <f ca="1">SUMIF('Production '!$C$4:$AI$4407,'Tracking Sheet'!B2965,'Production '!$W$4:$W$4407)</f>
        <v>#DIV/0!</v>
      </c>
      <c r="H2965" s="76">
        <f ca="1">SUMIF('Production '!$C$4:$AI$4407,'Tracking Sheet'!B2965,'Production '!$F$4:$F$4407)</f>
        <v>3230621.3283604058</v>
      </c>
      <c r="I2965" s="76">
        <f ca="1">SUMIF('Production '!$C$4:$AI$4407,'Tracking Sheet'!B2965,'Production '!$V$4:$V$4407)</f>
        <v>-489.86487791182844</v>
      </c>
      <c r="J2965" s="76">
        <f ca="1">SUMIF('Production '!$C$4:$AI$4407,'Tracking Sheet'!B2965,'Production '!$AG$4:$AG$4407)</f>
        <v>0</v>
      </c>
    </row>
    <row r="2966" spans="2:10" x14ac:dyDescent="0.3">
      <c r="B2966" s="277">
        <f>'Production '!C2969</f>
        <v>0</v>
      </c>
      <c r="C2966" s="76" t="e">
        <f ca="1">SUMIF('Production '!$C$4:$AI$4407,'Tracking Sheet'!B2966,'Production '!$M$4:$M$4407)</f>
        <v>#DIV/0!</v>
      </c>
      <c r="D2966" s="76" t="e">
        <f ca="1">SUMIF('Production '!$C$4:$AI$4407,'Tracking Sheet'!B2966,'Production '!$Q$4:$Q$4407)</f>
        <v>#DIV/0!</v>
      </c>
      <c r="E2966" s="76">
        <f ca="1">SUMIF('Production '!$C$4:$AI$4407,'Tracking Sheet'!B2966,'Production '!$S$4:$S$4407)</f>
        <v>-1268218.9828305368</v>
      </c>
      <c r="F2966" s="76">
        <f ca="1">SUMIF('Production '!$C$4:$AI$4407,'Tracking Sheet'!B2966,'Production '!$U$4:$U$4407)</f>
        <v>-10620.435600016917</v>
      </c>
      <c r="G2966" s="76" t="e">
        <f ca="1">SUMIF('Production '!$C$4:$AI$4407,'Tracking Sheet'!B2966,'Production '!$W$4:$W$4407)</f>
        <v>#DIV/0!</v>
      </c>
      <c r="H2966" s="76">
        <f ca="1">SUMIF('Production '!$C$4:$AI$4407,'Tracking Sheet'!B2966,'Production '!$F$4:$F$4407)</f>
        <v>3230621.3283604058</v>
      </c>
      <c r="I2966" s="76">
        <f ca="1">SUMIF('Production '!$C$4:$AI$4407,'Tracking Sheet'!B2966,'Production '!$V$4:$V$4407)</f>
        <v>-489.86487791182844</v>
      </c>
      <c r="J2966" s="76">
        <f ca="1">SUMIF('Production '!$C$4:$AI$4407,'Tracking Sheet'!B2966,'Production '!$AG$4:$AG$4407)</f>
        <v>0</v>
      </c>
    </row>
    <row r="2967" spans="2:10" x14ac:dyDescent="0.3">
      <c r="B2967" s="277">
        <f>'Production '!C2970</f>
        <v>0</v>
      </c>
      <c r="C2967" s="76" t="e">
        <f ca="1">SUMIF('Production '!$C$4:$AI$4407,'Tracking Sheet'!B2967,'Production '!$M$4:$M$4407)</f>
        <v>#DIV/0!</v>
      </c>
      <c r="D2967" s="76" t="e">
        <f ca="1">SUMIF('Production '!$C$4:$AI$4407,'Tracking Sheet'!B2967,'Production '!$Q$4:$Q$4407)</f>
        <v>#DIV/0!</v>
      </c>
      <c r="E2967" s="76">
        <f ca="1">SUMIF('Production '!$C$4:$AI$4407,'Tracking Sheet'!B2967,'Production '!$S$4:$S$4407)</f>
        <v>-1268218.9828305368</v>
      </c>
      <c r="F2967" s="76">
        <f ca="1">SUMIF('Production '!$C$4:$AI$4407,'Tracking Sheet'!B2967,'Production '!$U$4:$U$4407)</f>
        <v>-10620.435600016917</v>
      </c>
      <c r="G2967" s="76" t="e">
        <f ca="1">SUMIF('Production '!$C$4:$AI$4407,'Tracking Sheet'!B2967,'Production '!$W$4:$W$4407)</f>
        <v>#DIV/0!</v>
      </c>
      <c r="H2967" s="76">
        <f ca="1">SUMIF('Production '!$C$4:$AI$4407,'Tracking Sheet'!B2967,'Production '!$F$4:$F$4407)</f>
        <v>3230621.3283604058</v>
      </c>
      <c r="I2967" s="76">
        <f ca="1">SUMIF('Production '!$C$4:$AI$4407,'Tracking Sheet'!B2967,'Production '!$V$4:$V$4407)</f>
        <v>-489.86487791182844</v>
      </c>
      <c r="J2967" s="76">
        <f ca="1">SUMIF('Production '!$C$4:$AI$4407,'Tracking Sheet'!B2967,'Production '!$AG$4:$AG$4407)</f>
        <v>0</v>
      </c>
    </row>
    <row r="2968" spans="2:10" x14ac:dyDescent="0.3">
      <c r="B2968" s="277">
        <f>'Production '!C2971</f>
        <v>0</v>
      </c>
      <c r="C2968" s="76" t="e">
        <f ca="1">SUMIF('Production '!$C$4:$AI$4407,'Tracking Sheet'!B2968,'Production '!$M$4:$M$4407)</f>
        <v>#DIV/0!</v>
      </c>
      <c r="D2968" s="76" t="e">
        <f ca="1">SUMIF('Production '!$C$4:$AI$4407,'Tracking Sheet'!B2968,'Production '!$Q$4:$Q$4407)</f>
        <v>#DIV/0!</v>
      </c>
      <c r="E2968" s="76">
        <f ca="1">SUMIF('Production '!$C$4:$AI$4407,'Tracking Sheet'!B2968,'Production '!$S$4:$S$4407)</f>
        <v>-1268218.9828305368</v>
      </c>
      <c r="F2968" s="76">
        <f ca="1">SUMIF('Production '!$C$4:$AI$4407,'Tracking Sheet'!B2968,'Production '!$U$4:$U$4407)</f>
        <v>-10620.435600016917</v>
      </c>
      <c r="G2968" s="76" t="e">
        <f ca="1">SUMIF('Production '!$C$4:$AI$4407,'Tracking Sheet'!B2968,'Production '!$W$4:$W$4407)</f>
        <v>#DIV/0!</v>
      </c>
      <c r="H2968" s="76">
        <f ca="1">SUMIF('Production '!$C$4:$AI$4407,'Tracking Sheet'!B2968,'Production '!$F$4:$F$4407)</f>
        <v>3230621.3283604058</v>
      </c>
      <c r="I2968" s="76">
        <f ca="1">SUMIF('Production '!$C$4:$AI$4407,'Tracking Sheet'!B2968,'Production '!$V$4:$V$4407)</f>
        <v>-489.86487791182844</v>
      </c>
      <c r="J2968" s="76">
        <f ca="1">SUMIF('Production '!$C$4:$AI$4407,'Tracking Sheet'!B2968,'Production '!$AG$4:$AG$4407)</f>
        <v>0</v>
      </c>
    </row>
    <row r="2969" spans="2:10" x14ac:dyDescent="0.3">
      <c r="B2969" s="277">
        <f>'Production '!C2972</f>
        <v>0</v>
      </c>
      <c r="C2969" s="76" t="e">
        <f ca="1">SUMIF('Production '!$C$4:$AI$4407,'Tracking Sheet'!B2969,'Production '!$M$4:$M$4407)</f>
        <v>#DIV/0!</v>
      </c>
      <c r="D2969" s="76" t="e">
        <f ca="1">SUMIF('Production '!$C$4:$AI$4407,'Tracking Sheet'!B2969,'Production '!$Q$4:$Q$4407)</f>
        <v>#DIV/0!</v>
      </c>
      <c r="E2969" s="76">
        <f ca="1">SUMIF('Production '!$C$4:$AI$4407,'Tracking Sheet'!B2969,'Production '!$S$4:$S$4407)</f>
        <v>-1268218.9828305368</v>
      </c>
      <c r="F2969" s="76">
        <f ca="1">SUMIF('Production '!$C$4:$AI$4407,'Tracking Sheet'!B2969,'Production '!$U$4:$U$4407)</f>
        <v>-10620.435600016917</v>
      </c>
      <c r="G2969" s="76" t="e">
        <f ca="1">SUMIF('Production '!$C$4:$AI$4407,'Tracking Sheet'!B2969,'Production '!$W$4:$W$4407)</f>
        <v>#DIV/0!</v>
      </c>
      <c r="H2969" s="76">
        <f ca="1">SUMIF('Production '!$C$4:$AI$4407,'Tracking Sheet'!B2969,'Production '!$F$4:$F$4407)</f>
        <v>3230621.3283604058</v>
      </c>
      <c r="I2969" s="76">
        <f ca="1">SUMIF('Production '!$C$4:$AI$4407,'Tracking Sheet'!B2969,'Production '!$V$4:$V$4407)</f>
        <v>-489.86487791182844</v>
      </c>
      <c r="J2969" s="76">
        <f ca="1">SUMIF('Production '!$C$4:$AI$4407,'Tracking Sheet'!B2969,'Production '!$AG$4:$AG$4407)</f>
        <v>0</v>
      </c>
    </row>
    <row r="2970" spans="2:10" x14ac:dyDescent="0.3">
      <c r="B2970" s="277">
        <f>'Production '!C2973</f>
        <v>0</v>
      </c>
      <c r="C2970" s="76" t="e">
        <f ca="1">SUMIF('Production '!$C$4:$AI$4407,'Tracking Sheet'!B2970,'Production '!$M$4:$M$4407)</f>
        <v>#DIV/0!</v>
      </c>
      <c r="D2970" s="76" t="e">
        <f ca="1">SUMIF('Production '!$C$4:$AI$4407,'Tracking Sheet'!B2970,'Production '!$Q$4:$Q$4407)</f>
        <v>#DIV/0!</v>
      </c>
      <c r="E2970" s="76">
        <f ca="1">SUMIF('Production '!$C$4:$AI$4407,'Tracking Sheet'!B2970,'Production '!$S$4:$S$4407)</f>
        <v>-1268218.9828305368</v>
      </c>
      <c r="F2970" s="76">
        <f ca="1">SUMIF('Production '!$C$4:$AI$4407,'Tracking Sheet'!B2970,'Production '!$U$4:$U$4407)</f>
        <v>-10620.435600016917</v>
      </c>
      <c r="G2970" s="76" t="e">
        <f ca="1">SUMIF('Production '!$C$4:$AI$4407,'Tracking Sheet'!B2970,'Production '!$W$4:$W$4407)</f>
        <v>#DIV/0!</v>
      </c>
      <c r="H2970" s="76">
        <f ca="1">SUMIF('Production '!$C$4:$AI$4407,'Tracking Sheet'!B2970,'Production '!$F$4:$F$4407)</f>
        <v>3230621.3283604058</v>
      </c>
      <c r="I2970" s="76">
        <f ca="1">SUMIF('Production '!$C$4:$AI$4407,'Tracking Sheet'!B2970,'Production '!$V$4:$V$4407)</f>
        <v>-489.86487791182844</v>
      </c>
      <c r="J2970" s="76">
        <f ca="1">SUMIF('Production '!$C$4:$AI$4407,'Tracking Sheet'!B2970,'Production '!$AG$4:$AG$4407)</f>
        <v>0</v>
      </c>
    </row>
    <row r="2971" spans="2:10" x14ac:dyDescent="0.3">
      <c r="B2971" s="277">
        <f>'Production '!C2974</f>
        <v>0</v>
      </c>
      <c r="C2971" s="76" t="e">
        <f ca="1">SUMIF('Production '!$C$4:$AI$4407,'Tracking Sheet'!B2971,'Production '!$M$4:$M$4407)</f>
        <v>#DIV/0!</v>
      </c>
      <c r="D2971" s="76" t="e">
        <f ca="1">SUMIF('Production '!$C$4:$AI$4407,'Tracking Sheet'!B2971,'Production '!$Q$4:$Q$4407)</f>
        <v>#DIV/0!</v>
      </c>
      <c r="E2971" s="76">
        <f ca="1">SUMIF('Production '!$C$4:$AI$4407,'Tracking Sheet'!B2971,'Production '!$S$4:$S$4407)</f>
        <v>-1268218.9828305368</v>
      </c>
      <c r="F2971" s="76">
        <f ca="1">SUMIF('Production '!$C$4:$AI$4407,'Tracking Sheet'!B2971,'Production '!$U$4:$U$4407)</f>
        <v>-10620.435600016917</v>
      </c>
      <c r="G2971" s="76" t="e">
        <f ca="1">SUMIF('Production '!$C$4:$AI$4407,'Tracking Sheet'!B2971,'Production '!$W$4:$W$4407)</f>
        <v>#DIV/0!</v>
      </c>
      <c r="H2971" s="76">
        <f ca="1">SUMIF('Production '!$C$4:$AI$4407,'Tracking Sheet'!B2971,'Production '!$F$4:$F$4407)</f>
        <v>3230621.3283604058</v>
      </c>
      <c r="I2971" s="76">
        <f ca="1">SUMIF('Production '!$C$4:$AI$4407,'Tracking Sheet'!B2971,'Production '!$V$4:$V$4407)</f>
        <v>-489.86487791182844</v>
      </c>
      <c r="J2971" s="76">
        <f ca="1">SUMIF('Production '!$C$4:$AI$4407,'Tracking Sheet'!B2971,'Production '!$AG$4:$AG$4407)</f>
        <v>0</v>
      </c>
    </row>
    <row r="2972" spans="2:10" x14ac:dyDescent="0.3">
      <c r="B2972" s="277">
        <f>'Production '!C2975</f>
        <v>0</v>
      </c>
      <c r="C2972" s="76" t="e">
        <f ca="1">SUMIF('Production '!$C$4:$AI$4407,'Tracking Sheet'!B2972,'Production '!$M$4:$M$4407)</f>
        <v>#DIV/0!</v>
      </c>
      <c r="D2972" s="76" t="e">
        <f ca="1">SUMIF('Production '!$C$4:$AI$4407,'Tracking Sheet'!B2972,'Production '!$Q$4:$Q$4407)</f>
        <v>#DIV/0!</v>
      </c>
      <c r="E2972" s="76">
        <f ca="1">SUMIF('Production '!$C$4:$AI$4407,'Tracking Sheet'!B2972,'Production '!$S$4:$S$4407)</f>
        <v>-1268218.9828305368</v>
      </c>
      <c r="F2972" s="76">
        <f ca="1">SUMIF('Production '!$C$4:$AI$4407,'Tracking Sheet'!B2972,'Production '!$U$4:$U$4407)</f>
        <v>-10620.435600016917</v>
      </c>
      <c r="G2972" s="76" t="e">
        <f ca="1">SUMIF('Production '!$C$4:$AI$4407,'Tracking Sheet'!B2972,'Production '!$W$4:$W$4407)</f>
        <v>#DIV/0!</v>
      </c>
      <c r="H2972" s="76">
        <f ca="1">SUMIF('Production '!$C$4:$AI$4407,'Tracking Sheet'!B2972,'Production '!$F$4:$F$4407)</f>
        <v>3230621.3283604058</v>
      </c>
      <c r="I2972" s="76">
        <f ca="1">SUMIF('Production '!$C$4:$AI$4407,'Tracking Sheet'!B2972,'Production '!$V$4:$V$4407)</f>
        <v>-489.86487791182844</v>
      </c>
      <c r="J2972" s="76">
        <f ca="1">SUMIF('Production '!$C$4:$AI$4407,'Tracking Sheet'!B2972,'Production '!$AG$4:$AG$4407)</f>
        <v>0</v>
      </c>
    </row>
    <row r="2973" spans="2:10" x14ac:dyDescent="0.3">
      <c r="B2973" s="277">
        <f>'Production '!C2976</f>
        <v>0</v>
      </c>
      <c r="C2973" s="76" t="e">
        <f ca="1">SUMIF('Production '!$C$4:$AI$4407,'Tracking Sheet'!B2973,'Production '!$M$4:$M$4407)</f>
        <v>#DIV/0!</v>
      </c>
      <c r="D2973" s="76" t="e">
        <f ca="1">SUMIF('Production '!$C$4:$AI$4407,'Tracking Sheet'!B2973,'Production '!$Q$4:$Q$4407)</f>
        <v>#DIV/0!</v>
      </c>
      <c r="E2973" s="76">
        <f ca="1">SUMIF('Production '!$C$4:$AI$4407,'Tracking Sheet'!B2973,'Production '!$S$4:$S$4407)</f>
        <v>-1268218.9828305368</v>
      </c>
      <c r="F2973" s="76">
        <f ca="1">SUMIF('Production '!$C$4:$AI$4407,'Tracking Sheet'!B2973,'Production '!$U$4:$U$4407)</f>
        <v>-10620.435600016917</v>
      </c>
      <c r="G2973" s="76" t="e">
        <f ca="1">SUMIF('Production '!$C$4:$AI$4407,'Tracking Sheet'!B2973,'Production '!$W$4:$W$4407)</f>
        <v>#DIV/0!</v>
      </c>
      <c r="H2973" s="76">
        <f ca="1">SUMIF('Production '!$C$4:$AI$4407,'Tracking Sheet'!B2973,'Production '!$F$4:$F$4407)</f>
        <v>3230621.3283604058</v>
      </c>
      <c r="I2973" s="76">
        <f ca="1">SUMIF('Production '!$C$4:$AI$4407,'Tracking Sheet'!B2973,'Production '!$V$4:$V$4407)</f>
        <v>-489.86487791182844</v>
      </c>
      <c r="J2973" s="76">
        <f ca="1">SUMIF('Production '!$C$4:$AI$4407,'Tracking Sheet'!B2973,'Production '!$AG$4:$AG$4407)</f>
        <v>0</v>
      </c>
    </row>
    <row r="2974" spans="2:10" x14ac:dyDescent="0.3">
      <c r="B2974" s="277">
        <f>'Production '!C2977</f>
        <v>0</v>
      </c>
      <c r="C2974" s="76" t="e">
        <f ca="1">SUMIF('Production '!$C$4:$AI$4407,'Tracking Sheet'!B2974,'Production '!$M$4:$M$4407)</f>
        <v>#DIV/0!</v>
      </c>
      <c r="D2974" s="76" t="e">
        <f ca="1">SUMIF('Production '!$C$4:$AI$4407,'Tracking Sheet'!B2974,'Production '!$Q$4:$Q$4407)</f>
        <v>#DIV/0!</v>
      </c>
      <c r="E2974" s="76">
        <f ca="1">SUMIF('Production '!$C$4:$AI$4407,'Tracking Sheet'!B2974,'Production '!$S$4:$S$4407)</f>
        <v>-1268218.9828305368</v>
      </c>
      <c r="F2974" s="76">
        <f ca="1">SUMIF('Production '!$C$4:$AI$4407,'Tracking Sheet'!B2974,'Production '!$U$4:$U$4407)</f>
        <v>-10620.435600016917</v>
      </c>
      <c r="G2974" s="76" t="e">
        <f ca="1">SUMIF('Production '!$C$4:$AI$4407,'Tracking Sheet'!B2974,'Production '!$W$4:$W$4407)</f>
        <v>#DIV/0!</v>
      </c>
      <c r="H2974" s="76">
        <f ca="1">SUMIF('Production '!$C$4:$AI$4407,'Tracking Sheet'!B2974,'Production '!$F$4:$F$4407)</f>
        <v>3230621.3283604058</v>
      </c>
      <c r="I2974" s="76">
        <f ca="1">SUMIF('Production '!$C$4:$AI$4407,'Tracking Sheet'!B2974,'Production '!$V$4:$V$4407)</f>
        <v>-489.86487791182844</v>
      </c>
      <c r="J2974" s="76">
        <f ca="1">SUMIF('Production '!$C$4:$AI$4407,'Tracking Sheet'!B2974,'Production '!$AG$4:$AG$4407)</f>
        <v>0</v>
      </c>
    </row>
    <row r="2975" spans="2:10" x14ac:dyDescent="0.3">
      <c r="B2975" s="277">
        <f>'Production '!C2978</f>
        <v>0</v>
      </c>
      <c r="C2975" s="76" t="e">
        <f ca="1">SUMIF('Production '!$C$4:$AI$4407,'Tracking Sheet'!B2975,'Production '!$M$4:$M$4407)</f>
        <v>#DIV/0!</v>
      </c>
      <c r="D2975" s="76" t="e">
        <f ca="1">SUMIF('Production '!$C$4:$AI$4407,'Tracking Sheet'!B2975,'Production '!$Q$4:$Q$4407)</f>
        <v>#DIV/0!</v>
      </c>
      <c r="E2975" s="76">
        <f ca="1">SUMIF('Production '!$C$4:$AI$4407,'Tracking Sheet'!B2975,'Production '!$S$4:$S$4407)</f>
        <v>-1268218.9828305368</v>
      </c>
      <c r="F2975" s="76">
        <f ca="1">SUMIF('Production '!$C$4:$AI$4407,'Tracking Sheet'!B2975,'Production '!$U$4:$U$4407)</f>
        <v>-10620.435600016917</v>
      </c>
      <c r="G2975" s="76" t="e">
        <f ca="1">SUMIF('Production '!$C$4:$AI$4407,'Tracking Sheet'!B2975,'Production '!$W$4:$W$4407)</f>
        <v>#DIV/0!</v>
      </c>
      <c r="H2975" s="76">
        <f ca="1">SUMIF('Production '!$C$4:$AI$4407,'Tracking Sheet'!B2975,'Production '!$F$4:$F$4407)</f>
        <v>3230621.3283604058</v>
      </c>
      <c r="I2975" s="76">
        <f ca="1">SUMIF('Production '!$C$4:$AI$4407,'Tracking Sheet'!B2975,'Production '!$V$4:$V$4407)</f>
        <v>-489.86487791182844</v>
      </c>
      <c r="J2975" s="76">
        <f ca="1">SUMIF('Production '!$C$4:$AI$4407,'Tracking Sheet'!B2975,'Production '!$AG$4:$AG$4407)</f>
        <v>0</v>
      </c>
    </row>
    <row r="2976" spans="2:10" x14ac:dyDescent="0.3">
      <c r="B2976" s="277">
        <f>'Production '!C2979</f>
        <v>0</v>
      </c>
      <c r="C2976" s="76" t="e">
        <f ca="1">SUMIF('Production '!$C$4:$AI$4407,'Tracking Sheet'!B2976,'Production '!$M$4:$M$4407)</f>
        <v>#DIV/0!</v>
      </c>
      <c r="D2976" s="76" t="e">
        <f ca="1">SUMIF('Production '!$C$4:$AI$4407,'Tracking Sheet'!B2976,'Production '!$Q$4:$Q$4407)</f>
        <v>#DIV/0!</v>
      </c>
      <c r="E2976" s="76">
        <f ca="1">SUMIF('Production '!$C$4:$AI$4407,'Tracking Sheet'!B2976,'Production '!$S$4:$S$4407)</f>
        <v>-1268218.9828305368</v>
      </c>
      <c r="F2976" s="76">
        <f ca="1">SUMIF('Production '!$C$4:$AI$4407,'Tracking Sheet'!B2976,'Production '!$U$4:$U$4407)</f>
        <v>-10620.435600016917</v>
      </c>
      <c r="G2976" s="76" t="e">
        <f ca="1">SUMIF('Production '!$C$4:$AI$4407,'Tracking Sheet'!B2976,'Production '!$W$4:$W$4407)</f>
        <v>#DIV/0!</v>
      </c>
      <c r="H2976" s="76">
        <f ca="1">SUMIF('Production '!$C$4:$AI$4407,'Tracking Sheet'!B2976,'Production '!$F$4:$F$4407)</f>
        <v>3230621.3283604058</v>
      </c>
      <c r="I2976" s="76">
        <f ca="1">SUMIF('Production '!$C$4:$AI$4407,'Tracking Sheet'!B2976,'Production '!$V$4:$V$4407)</f>
        <v>-489.86487791182844</v>
      </c>
      <c r="J2976" s="76">
        <f ca="1">SUMIF('Production '!$C$4:$AI$4407,'Tracking Sheet'!B2976,'Production '!$AG$4:$AG$4407)</f>
        <v>0</v>
      </c>
    </row>
    <row r="2977" spans="2:10" x14ac:dyDescent="0.3">
      <c r="B2977" s="277">
        <f>'Production '!C2980</f>
        <v>0</v>
      </c>
      <c r="C2977" s="76" t="e">
        <f ca="1">SUMIF('Production '!$C$4:$AI$4407,'Tracking Sheet'!B2977,'Production '!$M$4:$M$4407)</f>
        <v>#DIV/0!</v>
      </c>
      <c r="D2977" s="76" t="e">
        <f ca="1">SUMIF('Production '!$C$4:$AI$4407,'Tracking Sheet'!B2977,'Production '!$Q$4:$Q$4407)</f>
        <v>#DIV/0!</v>
      </c>
      <c r="E2977" s="76">
        <f ca="1">SUMIF('Production '!$C$4:$AI$4407,'Tracking Sheet'!B2977,'Production '!$S$4:$S$4407)</f>
        <v>-1268218.9828305368</v>
      </c>
      <c r="F2977" s="76">
        <f ca="1">SUMIF('Production '!$C$4:$AI$4407,'Tracking Sheet'!B2977,'Production '!$U$4:$U$4407)</f>
        <v>-10620.435600016917</v>
      </c>
      <c r="G2977" s="76" t="e">
        <f ca="1">SUMIF('Production '!$C$4:$AI$4407,'Tracking Sheet'!B2977,'Production '!$W$4:$W$4407)</f>
        <v>#DIV/0!</v>
      </c>
      <c r="H2977" s="76">
        <f ca="1">SUMIF('Production '!$C$4:$AI$4407,'Tracking Sheet'!B2977,'Production '!$F$4:$F$4407)</f>
        <v>3230621.3283604058</v>
      </c>
      <c r="I2977" s="76">
        <f ca="1">SUMIF('Production '!$C$4:$AI$4407,'Tracking Sheet'!B2977,'Production '!$V$4:$V$4407)</f>
        <v>-489.86487791182844</v>
      </c>
      <c r="J2977" s="76">
        <f ca="1">SUMIF('Production '!$C$4:$AI$4407,'Tracking Sheet'!B2977,'Production '!$AG$4:$AG$4407)</f>
        <v>0</v>
      </c>
    </row>
    <row r="2978" spans="2:10" x14ac:dyDescent="0.3">
      <c r="B2978" s="277">
        <f>'Production '!C2981</f>
        <v>0</v>
      </c>
      <c r="C2978" s="76" t="e">
        <f ca="1">SUMIF('Production '!$C$4:$AI$4407,'Tracking Sheet'!B2978,'Production '!$M$4:$M$4407)</f>
        <v>#DIV/0!</v>
      </c>
      <c r="D2978" s="76" t="e">
        <f ca="1">SUMIF('Production '!$C$4:$AI$4407,'Tracking Sheet'!B2978,'Production '!$Q$4:$Q$4407)</f>
        <v>#DIV/0!</v>
      </c>
      <c r="E2978" s="76">
        <f ca="1">SUMIF('Production '!$C$4:$AI$4407,'Tracking Sheet'!B2978,'Production '!$S$4:$S$4407)</f>
        <v>-1268218.9828305368</v>
      </c>
      <c r="F2978" s="76">
        <f ca="1">SUMIF('Production '!$C$4:$AI$4407,'Tracking Sheet'!B2978,'Production '!$U$4:$U$4407)</f>
        <v>-10620.435600016917</v>
      </c>
      <c r="G2978" s="76" t="e">
        <f ca="1">SUMIF('Production '!$C$4:$AI$4407,'Tracking Sheet'!B2978,'Production '!$W$4:$W$4407)</f>
        <v>#DIV/0!</v>
      </c>
      <c r="H2978" s="76">
        <f ca="1">SUMIF('Production '!$C$4:$AI$4407,'Tracking Sheet'!B2978,'Production '!$F$4:$F$4407)</f>
        <v>3230621.3283604058</v>
      </c>
      <c r="I2978" s="76">
        <f ca="1">SUMIF('Production '!$C$4:$AI$4407,'Tracking Sheet'!B2978,'Production '!$V$4:$V$4407)</f>
        <v>-489.86487791182844</v>
      </c>
      <c r="J2978" s="76">
        <f ca="1">SUMIF('Production '!$C$4:$AI$4407,'Tracking Sheet'!B2978,'Production '!$AG$4:$AG$4407)</f>
        <v>0</v>
      </c>
    </row>
    <row r="2979" spans="2:10" x14ac:dyDescent="0.3">
      <c r="B2979" s="277">
        <f>'Production '!C2982</f>
        <v>0</v>
      </c>
      <c r="C2979" s="76" t="e">
        <f ca="1">SUMIF('Production '!$C$4:$AI$4407,'Tracking Sheet'!B2979,'Production '!$M$4:$M$4407)</f>
        <v>#DIV/0!</v>
      </c>
      <c r="D2979" s="76" t="e">
        <f ca="1">SUMIF('Production '!$C$4:$AI$4407,'Tracking Sheet'!B2979,'Production '!$Q$4:$Q$4407)</f>
        <v>#DIV/0!</v>
      </c>
      <c r="E2979" s="76">
        <f ca="1">SUMIF('Production '!$C$4:$AI$4407,'Tracking Sheet'!B2979,'Production '!$S$4:$S$4407)</f>
        <v>-1268218.9828305368</v>
      </c>
      <c r="F2979" s="76">
        <f ca="1">SUMIF('Production '!$C$4:$AI$4407,'Tracking Sheet'!B2979,'Production '!$U$4:$U$4407)</f>
        <v>-10620.435600016917</v>
      </c>
      <c r="G2979" s="76" t="e">
        <f ca="1">SUMIF('Production '!$C$4:$AI$4407,'Tracking Sheet'!B2979,'Production '!$W$4:$W$4407)</f>
        <v>#DIV/0!</v>
      </c>
      <c r="H2979" s="76">
        <f ca="1">SUMIF('Production '!$C$4:$AI$4407,'Tracking Sheet'!B2979,'Production '!$F$4:$F$4407)</f>
        <v>3230621.3283604058</v>
      </c>
      <c r="I2979" s="76">
        <f ca="1">SUMIF('Production '!$C$4:$AI$4407,'Tracking Sheet'!B2979,'Production '!$V$4:$V$4407)</f>
        <v>-489.86487791182844</v>
      </c>
      <c r="J2979" s="76">
        <f ca="1">SUMIF('Production '!$C$4:$AI$4407,'Tracking Sheet'!B2979,'Production '!$AG$4:$AG$4407)</f>
        <v>0</v>
      </c>
    </row>
    <row r="2980" spans="2:10" x14ac:dyDescent="0.3">
      <c r="B2980" s="277">
        <f>'Production '!C2983</f>
        <v>0</v>
      </c>
      <c r="C2980" s="76" t="e">
        <f ca="1">SUMIF('Production '!$C$4:$AI$4407,'Tracking Sheet'!B2980,'Production '!$M$4:$M$4407)</f>
        <v>#DIV/0!</v>
      </c>
      <c r="D2980" s="76" t="e">
        <f ca="1">SUMIF('Production '!$C$4:$AI$4407,'Tracking Sheet'!B2980,'Production '!$Q$4:$Q$4407)</f>
        <v>#DIV/0!</v>
      </c>
      <c r="E2980" s="76">
        <f ca="1">SUMIF('Production '!$C$4:$AI$4407,'Tracking Sheet'!B2980,'Production '!$S$4:$S$4407)</f>
        <v>-1268218.9828305368</v>
      </c>
      <c r="F2980" s="76">
        <f ca="1">SUMIF('Production '!$C$4:$AI$4407,'Tracking Sheet'!B2980,'Production '!$U$4:$U$4407)</f>
        <v>-10620.435600016917</v>
      </c>
      <c r="G2980" s="76" t="e">
        <f ca="1">SUMIF('Production '!$C$4:$AI$4407,'Tracking Sheet'!B2980,'Production '!$W$4:$W$4407)</f>
        <v>#DIV/0!</v>
      </c>
      <c r="H2980" s="76">
        <f ca="1">SUMIF('Production '!$C$4:$AI$4407,'Tracking Sheet'!B2980,'Production '!$F$4:$F$4407)</f>
        <v>3230621.3283604058</v>
      </c>
      <c r="I2980" s="76">
        <f ca="1">SUMIF('Production '!$C$4:$AI$4407,'Tracking Sheet'!B2980,'Production '!$V$4:$V$4407)</f>
        <v>-489.86487791182844</v>
      </c>
      <c r="J2980" s="76">
        <f ca="1">SUMIF('Production '!$C$4:$AI$4407,'Tracking Sheet'!B2980,'Production '!$AG$4:$AG$4407)</f>
        <v>0</v>
      </c>
    </row>
    <row r="2981" spans="2:10" x14ac:dyDescent="0.3">
      <c r="B2981" s="277">
        <f>'Production '!C2984</f>
        <v>0</v>
      </c>
      <c r="C2981" s="76" t="e">
        <f ca="1">SUMIF('Production '!$C$4:$AI$4407,'Tracking Sheet'!B2981,'Production '!$M$4:$M$4407)</f>
        <v>#DIV/0!</v>
      </c>
      <c r="D2981" s="76" t="e">
        <f ca="1">SUMIF('Production '!$C$4:$AI$4407,'Tracking Sheet'!B2981,'Production '!$Q$4:$Q$4407)</f>
        <v>#DIV/0!</v>
      </c>
      <c r="E2981" s="76">
        <f ca="1">SUMIF('Production '!$C$4:$AI$4407,'Tracking Sheet'!B2981,'Production '!$S$4:$S$4407)</f>
        <v>-1268218.9828305368</v>
      </c>
      <c r="F2981" s="76">
        <f ca="1">SUMIF('Production '!$C$4:$AI$4407,'Tracking Sheet'!B2981,'Production '!$U$4:$U$4407)</f>
        <v>-10620.435600016917</v>
      </c>
      <c r="G2981" s="76" t="e">
        <f ca="1">SUMIF('Production '!$C$4:$AI$4407,'Tracking Sheet'!B2981,'Production '!$W$4:$W$4407)</f>
        <v>#DIV/0!</v>
      </c>
      <c r="H2981" s="76">
        <f ca="1">SUMIF('Production '!$C$4:$AI$4407,'Tracking Sheet'!B2981,'Production '!$F$4:$F$4407)</f>
        <v>3230621.3283604058</v>
      </c>
      <c r="I2981" s="76">
        <f ca="1">SUMIF('Production '!$C$4:$AI$4407,'Tracking Sheet'!B2981,'Production '!$V$4:$V$4407)</f>
        <v>-489.86487791182844</v>
      </c>
      <c r="J2981" s="76">
        <f ca="1">SUMIF('Production '!$C$4:$AI$4407,'Tracking Sheet'!B2981,'Production '!$AG$4:$AG$4407)</f>
        <v>0</v>
      </c>
    </row>
    <row r="2982" spans="2:10" x14ac:dyDescent="0.3">
      <c r="B2982" s="277">
        <f>'Production '!C2985</f>
        <v>0</v>
      </c>
      <c r="C2982" s="76" t="e">
        <f ca="1">SUMIF('Production '!$C$4:$AI$4407,'Tracking Sheet'!B2982,'Production '!$M$4:$M$4407)</f>
        <v>#DIV/0!</v>
      </c>
      <c r="D2982" s="76" t="e">
        <f ca="1">SUMIF('Production '!$C$4:$AI$4407,'Tracking Sheet'!B2982,'Production '!$Q$4:$Q$4407)</f>
        <v>#DIV/0!</v>
      </c>
      <c r="E2982" s="76">
        <f ca="1">SUMIF('Production '!$C$4:$AI$4407,'Tracking Sheet'!B2982,'Production '!$S$4:$S$4407)</f>
        <v>-1268218.9828305368</v>
      </c>
      <c r="F2982" s="76">
        <f ca="1">SUMIF('Production '!$C$4:$AI$4407,'Tracking Sheet'!B2982,'Production '!$U$4:$U$4407)</f>
        <v>-10620.435600016917</v>
      </c>
      <c r="G2982" s="76" t="e">
        <f ca="1">SUMIF('Production '!$C$4:$AI$4407,'Tracking Sheet'!B2982,'Production '!$W$4:$W$4407)</f>
        <v>#DIV/0!</v>
      </c>
      <c r="H2982" s="76">
        <f ca="1">SUMIF('Production '!$C$4:$AI$4407,'Tracking Sheet'!B2982,'Production '!$F$4:$F$4407)</f>
        <v>3230621.3283604058</v>
      </c>
      <c r="I2982" s="76">
        <f ca="1">SUMIF('Production '!$C$4:$AI$4407,'Tracking Sheet'!B2982,'Production '!$V$4:$V$4407)</f>
        <v>-489.86487791182844</v>
      </c>
      <c r="J2982" s="76">
        <f ca="1">SUMIF('Production '!$C$4:$AI$4407,'Tracking Sheet'!B2982,'Production '!$AG$4:$AG$4407)</f>
        <v>0</v>
      </c>
    </row>
    <row r="2983" spans="2:10" x14ac:dyDescent="0.3">
      <c r="B2983" s="277">
        <f>'Production '!C2986</f>
        <v>0</v>
      </c>
      <c r="C2983" s="76" t="e">
        <f ca="1">SUMIF('Production '!$C$4:$AI$4407,'Tracking Sheet'!B2983,'Production '!$M$4:$M$4407)</f>
        <v>#DIV/0!</v>
      </c>
      <c r="D2983" s="76" t="e">
        <f ca="1">SUMIF('Production '!$C$4:$AI$4407,'Tracking Sheet'!B2983,'Production '!$Q$4:$Q$4407)</f>
        <v>#DIV/0!</v>
      </c>
      <c r="E2983" s="76">
        <f ca="1">SUMIF('Production '!$C$4:$AI$4407,'Tracking Sheet'!B2983,'Production '!$S$4:$S$4407)</f>
        <v>-1268218.9828305368</v>
      </c>
      <c r="F2983" s="76">
        <f ca="1">SUMIF('Production '!$C$4:$AI$4407,'Tracking Sheet'!B2983,'Production '!$U$4:$U$4407)</f>
        <v>-10620.435600016917</v>
      </c>
      <c r="G2983" s="76" t="e">
        <f ca="1">SUMIF('Production '!$C$4:$AI$4407,'Tracking Sheet'!B2983,'Production '!$W$4:$W$4407)</f>
        <v>#DIV/0!</v>
      </c>
      <c r="H2983" s="76">
        <f ca="1">SUMIF('Production '!$C$4:$AI$4407,'Tracking Sheet'!B2983,'Production '!$F$4:$F$4407)</f>
        <v>3230621.3283604058</v>
      </c>
      <c r="I2983" s="76">
        <f ca="1">SUMIF('Production '!$C$4:$AI$4407,'Tracking Sheet'!B2983,'Production '!$V$4:$V$4407)</f>
        <v>-489.86487791182844</v>
      </c>
      <c r="J2983" s="76">
        <f ca="1">SUMIF('Production '!$C$4:$AI$4407,'Tracking Sheet'!B2983,'Production '!$AG$4:$AG$4407)</f>
        <v>0</v>
      </c>
    </row>
    <row r="2984" spans="2:10" x14ac:dyDescent="0.3">
      <c r="B2984" s="277">
        <f>'Production '!C2987</f>
        <v>0</v>
      </c>
      <c r="C2984" s="76" t="e">
        <f ca="1">SUMIF('Production '!$C$4:$AI$4407,'Tracking Sheet'!B2984,'Production '!$M$4:$M$4407)</f>
        <v>#DIV/0!</v>
      </c>
      <c r="D2984" s="76" t="e">
        <f ca="1">SUMIF('Production '!$C$4:$AI$4407,'Tracking Sheet'!B2984,'Production '!$Q$4:$Q$4407)</f>
        <v>#DIV/0!</v>
      </c>
      <c r="E2984" s="76">
        <f ca="1">SUMIF('Production '!$C$4:$AI$4407,'Tracking Sheet'!B2984,'Production '!$S$4:$S$4407)</f>
        <v>-1268218.9828305368</v>
      </c>
      <c r="F2984" s="76">
        <f ca="1">SUMIF('Production '!$C$4:$AI$4407,'Tracking Sheet'!B2984,'Production '!$U$4:$U$4407)</f>
        <v>-10620.435600016917</v>
      </c>
      <c r="G2984" s="76" t="e">
        <f ca="1">SUMIF('Production '!$C$4:$AI$4407,'Tracking Sheet'!B2984,'Production '!$W$4:$W$4407)</f>
        <v>#DIV/0!</v>
      </c>
      <c r="H2984" s="76">
        <f ca="1">SUMIF('Production '!$C$4:$AI$4407,'Tracking Sheet'!B2984,'Production '!$F$4:$F$4407)</f>
        <v>3230621.3283604058</v>
      </c>
      <c r="I2984" s="76">
        <f ca="1">SUMIF('Production '!$C$4:$AI$4407,'Tracking Sheet'!B2984,'Production '!$V$4:$V$4407)</f>
        <v>-489.86487791182844</v>
      </c>
      <c r="J2984" s="76">
        <f ca="1">SUMIF('Production '!$C$4:$AI$4407,'Tracking Sheet'!B2984,'Production '!$AG$4:$AG$4407)</f>
        <v>0</v>
      </c>
    </row>
    <row r="2985" spans="2:10" x14ac:dyDescent="0.3">
      <c r="B2985" s="277">
        <f>'Production '!C2988</f>
        <v>0</v>
      </c>
      <c r="C2985" s="76" t="e">
        <f ca="1">SUMIF('Production '!$C$4:$AI$4407,'Tracking Sheet'!B2985,'Production '!$M$4:$M$4407)</f>
        <v>#DIV/0!</v>
      </c>
      <c r="D2985" s="76" t="e">
        <f ca="1">SUMIF('Production '!$C$4:$AI$4407,'Tracking Sheet'!B2985,'Production '!$Q$4:$Q$4407)</f>
        <v>#DIV/0!</v>
      </c>
      <c r="E2985" s="76">
        <f ca="1">SUMIF('Production '!$C$4:$AI$4407,'Tracking Sheet'!B2985,'Production '!$S$4:$S$4407)</f>
        <v>-1268218.9828305368</v>
      </c>
      <c r="F2985" s="76">
        <f ca="1">SUMIF('Production '!$C$4:$AI$4407,'Tracking Sheet'!B2985,'Production '!$U$4:$U$4407)</f>
        <v>-10620.435600016917</v>
      </c>
      <c r="G2985" s="76" t="e">
        <f ca="1">SUMIF('Production '!$C$4:$AI$4407,'Tracking Sheet'!B2985,'Production '!$W$4:$W$4407)</f>
        <v>#DIV/0!</v>
      </c>
      <c r="H2985" s="76">
        <f ca="1">SUMIF('Production '!$C$4:$AI$4407,'Tracking Sheet'!B2985,'Production '!$F$4:$F$4407)</f>
        <v>3230621.3283604058</v>
      </c>
      <c r="I2985" s="76">
        <f ca="1">SUMIF('Production '!$C$4:$AI$4407,'Tracking Sheet'!B2985,'Production '!$V$4:$V$4407)</f>
        <v>-489.86487791182844</v>
      </c>
      <c r="J2985" s="76">
        <f ca="1">SUMIF('Production '!$C$4:$AI$4407,'Tracking Sheet'!B2985,'Production '!$AG$4:$AG$4407)</f>
        <v>0</v>
      </c>
    </row>
    <row r="2986" spans="2:10" x14ac:dyDescent="0.3">
      <c r="B2986" s="277">
        <f>'Production '!C2989</f>
        <v>0</v>
      </c>
      <c r="C2986" s="76" t="e">
        <f ca="1">SUMIF('Production '!$C$4:$AI$4407,'Tracking Sheet'!B2986,'Production '!$M$4:$M$4407)</f>
        <v>#DIV/0!</v>
      </c>
      <c r="D2986" s="76" t="e">
        <f ca="1">SUMIF('Production '!$C$4:$AI$4407,'Tracking Sheet'!B2986,'Production '!$Q$4:$Q$4407)</f>
        <v>#DIV/0!</v>
      </c>
      <c r="E2986" s="76">
        <f ca="1">SUMIF('Production '!$C$4:$AI$4407,'Tracking Sheet'!B2986,'Production '!$S$4:$S$4407)</f>
        <v>-1268218.9828305368</v>
      </c>
      <c r="F2986" s="76">
        <f ca="1">SUMIF('Production '!$C$4:$AI$4407,'Tracking Sheet'!B2986,'Production '!$U$4:$U$4407)</f>
        <v>-10620.435600016917</v>
      </c>
      <c r="G2986" s="76" t="e">
        <f ca="1">SUMIF('Production '!$C$4:$AI$4407,'Tracking Sheet'!B2986,'Production '!$W$4:$W$4407)</f>
        <v>#DIV/0!</v>
      </c>
      <c r="H2986" s="76">
        <f ca="1">SUMIF('Production '!$C$4:$AI$4407,'Tracking Sheet'!B2986,'Production '!$F$4:$F$4407)</f>
        <v>3230621.3283604058</v>
      </c>
      <c r="I2986" s="76">
        <f ca="1">SUMIF('Production '!$C$4:$AI$4407,'Tracking Sheet'!B2986,'Production '!$V$4:$V$4407)</f>
        <v>-489.86487791182844</v>
      </c>
      <c r="J2986" s="76">
        <f ca="1">SUMIF('Production '!$C$4:$AI$4407,'Tracking Sheet'!B2986,'Production '!$AG$4:$AG$4407)</f>
        <v>0</v>
      </c>
    </row>
    <row r="2987" spans="2:10" x14ac:dyDescent="0.3">
      <c r="B2987" s="277">
        <f>'Production '!C2990</f>
        <v>0</v>
      </c>
      <c r="C2987" s="76" t="e">
        <f ca="1">SUMIF('Production '!$C$4:$AI$4407,'Tracking Sheet'!B2987,'Production '!$M$4:$M$4407)</f>
        <v>#DIV/0!</v>
      </c>
      <c r="D2987" s="76" t="e">
        <f ca="1">SUMIF('Production '!$C$4:$AI$4407,'Tracking Sheet'!B2987,'Production '!$Q$4:$Q$4407)</f>
        <v>#DIV/0!</v>
      </c>
      <c r="E2987" s="76">
        <f ca="1">SUMIF('Production '!$C$4:$AI$4407,'Tracking Sheet'!B2987,'Production '!$S$4:$S$4407)</f>
        <v>-1268218.9828305368</v>
      </c>
      <c r="F2987" s="76">
        <f ca="1">SUMIF('Production '!$C$4:$AI$4407,'Tracking Sheet'!B2987,'Production '!$U$4:$U$4407)</f>
        <v>-10620.435600016917</v>
      </c>
      <c r="G2987" s="76" t="e">
        <f ca="1">SUMIF('Production '!$C$4:$AI$4407,'Tracking Sheet'!B2987,'Production '!$W$4:$W$4407)</f>
        <v>#DIV/0!</v>
      </c>
      <c r="H2987" s="76">
        <f ca="1">SUMIF('Production '!$C$4:$AI$4407,'Tracking Sheet'!B2987,'Production '!$F$4:$F$4407)</f>
        <v>3230621.3283604058</v>
      </c>
      <c r="I2987" s="76">
        <f ca="1">SUMIF('Production '!$C$4:$AI$4407,'Tracking Sheet'!B2987,'Production '!$V$4:$V$4407)</f>
        <v>-489.86487791182844</v>
      </c>
      <c r="J2987" s="76">
        <f ca="1">SUMIF('Production '!$C$4:$AI$4407,'Tracking Sheet'!B2987,'Production '!$AG$4:$AG$4407)</f>
        <v>0</v>
      </c>
    </row>
    <row r="2988" spans="2:10" x14ac:dyDescent="0.3">
      <c r="B2988" s="277">
        <f>'Production '!C2991</f>
        <v>0</v>
      </c>
      <c r="C2988" s="76" t="e">
        <f ca="1">SUMIF('Production '!$C$4:$AI$4407,'Tracking Sheet'!B2988,'Production '!$M$4:$M$4407)</f>
        <v>#DIV/0!</v>
      </c>
      <c r="D2988" s="76" t="e">
        <f ca="1">SUMIF('Production '!$C$4:$AI$4407,'Tracking Sheet'!B2988,'Production '!$Q$4:$Q$4407)</f>
        <v>#DIV/0!</v>
      </c>
      <c r="E2988" s="76">
        <f ca="1">SUMIF('Production '!$C$4:$AI$4407,'Tracking Sheet'!B2988,'Production '!$S$4:$S$4407)</f>
        <v>-1268218.9828305368</v>
      </c>
      <c r="F2988" s="76">
        <f ca="1">SUMIF('Production '!$C$4:$AI$4407,'Tracking Sheet'!B2988,'Production '!$U$4:$U$4407)</f>
        <v>-10620.435600016917</v>
      </c>
      <c r="G2988" s="76" t="e">
        <f ca="1">SUMIF('Production '!$C$4:$AI$4407,'Tracking Sheet'!B2988,'Production '!$W$4:$W$4407)</f>
        <v>#DIV/0!</v>
      </c>
      <c r="H2988" s="76">
        <f ca="1">SUMIF('Production '!$C$4:$AI$4407,'Tracking Sheet'!B2988,'Production '!$F$4:$F$4407)</f>
        <v>3230621.3283604058</v>
      </c>
      <c r="I2988" s="76">
        <f ca="1">SUMIF('Production '!$C$4:$AI$4407,'Tracking Sheet'!B2988,'Production '!$V$4:$V$4407)</f>
        <v>-489.86487791182844</v>
      </c>
      <c r="J2988" s="76">
        <f ca="1">SUMIF('Production '!$C$4:$AI$4407,'Tracking Sheet'!B2988,'Production '!$AG$4:$AG$4407)</f>
        <v>0</v>
      </c>
    </row>
    <row r="2989" spans="2:10" x14ac:dyDescent="0.3">
      <c r="B2989" s="277">
        <f>'Production '!C2992</f>
        <v>0</v>
      </c>
      <c r="C2989" s="76" t="e">
        <f ca="1">SUMIF('Production '!$C$4:$AI$4407,'Tracking Sheet'!B2989,'Production '!$M$4:$M$4407)</f>
        <v>#DIV/0!</v>
      </c>
      <c r="D2989" s="76" t="e">
        <f ca="1">SUMIF('Production '!$C$4:$AI$4407,'Tracking Sheet'!B2989,'Production '!$Q$4:$Q$4407)</f>
        <v>#DIV/0!</v>
      </c>
      <c r="E2989" s="76">
        <f ca="1">SUMIF('Production '!$C$4:$AI$4407,'Tracking Sheet'!B2989,'Production '!$S$4:$S$4407)</f>
        <v>-1268218.9828305368</v>
      </c>
      <c r="F2989" s="76">
        <f ca="1">SUMIF('Production '!$C$4:$AI$4407,'Tracking Sheet'!B2989,'Production '!$U$4:$U$4407)</f>
        <v>-10620.435600016917</v>
      </c>
      <c r="G2989" s="76" t="e">
        <f ca="1">SUMIF('Production '!$C$4:$AI$4407,'Tracking Sheet'!B2989,'Production '!$W$4:$W$4407)</f>
        <v>#DIV/0!</v>
      </c>
      <c r="H2989" s="76">
        <f ca="1">SUMIF('Production '!$C$4:$AI$4407,'Tracking Sheet'!B2989,'Production '!$F$4:$F$4407)</f>
        <v>3230621.3283604058</v>
      </c>
      <c r="I2989" s="76">
        <f ca="1">SUMIF('Production '!$C$4:$AI$4407,'Tracking Sheet'!B2989,'Production '!$V$4:$V$4407)</f>
        <v>-489.86487791182844</v>
      </c>
      <c r="J2989" s="76">
        <f ca="1">SUMIF('Production '!$C$4:$AI$4407,'Tracking Sheet'!B2989,'Production '!$AG$4:$AG$4407)</f>
        <v>0</v>
      </c>
    </row>
    <row r="2990" spans="2:10" x14ac:dyDescent="0.3">
      <c r="B2990" s="277">
        <f>'Production '!C2993</f>
        <v>0</v>
      </c>
      <c r="C2990" s="76" t="e">
        <f ca="1">SUMIF('Production '!$C$4:$AI$4407,'Tracking Sheet'!B2990,'Production '!$M$4:$M$4407)</f>
        <v>#DIV/0!</v>
      </c>
      <c r="D2990" s="76" t="e">
        <f ca="1">SUMIF('Production '!$C$4:$AI$4407,'Tracking Sheet'!B2990,'Production '!$Q$4:$Q$4407)</f>
        <v>#DIV/0!</v>
      </c>
      <c r="E2990" s="76">
        <f ca="1">SUMIF('Production '!$C$4:$AI$4407,'Tracking Sheet'!B2990,'Production '!$S$4:$S$4407)</f>
        <v>-1268218.9828305368</v>
      </c>
      <c r="F2990" s="76">
        <f ca="1">SUMIF('Production '!$C$4:$AI$4407,'Tracking Sheet'!B2990,'Production '!$U$4:$U$4407)</f>
        <v>-10620.435600016917</v>
      </c>
      <c r="G2990" s="76" t="e">
        <f ca="1">SUMIF('Production '!$C$4:$AI$4407,'Tracking Sheet'!B2990,'Production '!$W$4:$W$4407)</f>
        <v>#DIV/0!</v>
      </c>
      <c r="H2990" s="76">
        <f ca="1">SUMIF('Production '!$C$4:$AI$4407,'Tracking Sheet'!B2990,'Production '!$F$4:$F$4407)</f>
        <v>3230621.3283604058</v>
      </c>
      <c r="I2990" s="76">
        <f ca="1">SUMIF('Production '!$C$4:$AI$4407,'Tracking Sheet'!B2990,'Production '!$V$4:$V$4407)</f>
        <v>-489.86487791182844</v>
      </c>
      <c r="J2990" s="76">
        <f ca="1">SUMIF('Production '!$C$4:$AI$4407,'Tracking Sheet'!B2990,'Production '!$AG$4:$AG$4407)</f>
        <v>0</v>
      </c>
    </row>
    <row r="2991" spans="2:10" x14ac:dyDescent="0.3">
      <c r="B2991" s="277">
        <f>'Production '!C2994</f>
        <v>0</v>
      </c>
      <c r="C2991" s="76" t="e">
        <f ca="1">SUMIF('Production '!$C$4:$AI$4407,'Tracking Sheet'!B2991,'Production '!$M$4:$M$4407)</f>
        <v>#DIV/0!</v>
      </c>
      <c r="D2991" s="76" t="e">
        <f ca="1">SUMIF('Production '!$C$4:$AI$4407,'Tracking Sheet'!B2991,'Production '!$Q$4:$Q$4407)</f>
        <v>#DIV/0!</v>
      </c>
      <c r="E2991" s="76">
        <f ca="1">SUMIF('Production '!$C$4:$AI$4407,'Tracking Sheet'!B2991,'Production '!$S$4:$S$4407)</f>
        <v>-1268218.9828305368</v>
      </c>
      <c r="F2991" s="76">
        <f ca="1">SUMIF('Production '!$C$4:$AI$4407,'Tracking Sheet'!B2991,'Production '!$U$4:$U$4407)</f>
        <v>-10620.435600016917</v>
      </c>
      <c r="G2991" s="76" t="e">
        <f ca="1">SUMIF('Production '!$C$4:$AI$4407,'Tracking Sheet'!B2991,'Production '!$W$4:$W$4407)</f>
        <v>#DIV/0!</v>
      </c>
      <c r="H2991" s="76">
        <f ca="1">SUMIF('Production '!$C$4:$AI$4407,'Tracking Sheet'!B2991,'Production '!$F$4:$F$4407)</f>
        <v>3230621.3283604058</v>
      </c>
      <c r="I2991" s="76">
        <f ca="1">SUMIF('Production '!$C$4:$AI$4407,'Tracking Sheet'!B2991,'Production '!$V$4:$V$4407)</f>
        <v>-489.86487791182844</v>
      </c>
      <c r="J2991" s="76">
        <f ca="1">SUMIF('Production '!$C$4:$AI$4407,'Tracking Sheet'!B2991,'Production '!$AG$4:$AG$4407)</f>
        <v>0</v>
      </c>
    </row>
    <row r="2992" spans="2:10" x14ac:dyDescent="0.3">
      <c r="B2992" s="277">
        <f>'Production '!C2995</f>
        <v>0</v>
      </c>
      <c r="C2992" s="76" t="e">
        <f ca="1">SUMIF('Production '!$C$4:$AI$4407,'Tracking Sheet'!B2992,'Production '!$M$4:$M$4407)</f>
        <v>#DIV/0!</v>
      </c>
      <c r="D2992" s="76" t="e">
        <f ca="1">SUMIF('Production '!$C$4:$AI$4407,'Tracking Sheet'!B2992,'Production '!$Q$4:$Q$4407)</f>
        <v>#DIV/0!</v>
      </c>
      <c r="E2992" s="76">
        <f ca="1">SUMIF('Production '!$C$4:$AI$4407,'Tracking Sheet'!B2992,'Production '!$S$4:$S$4407)</f>
        <v>-1268218.9828305368</v>
      </c>
      <c r="F2992" s="76">
        <f ca="1">SUMIF('Production '!$C$4:$AI$4407,'Tracking Sheet'!B2992,'Production '!$U$4:$U$4407)</f>
        <v>-10620.435600016917</v>
      </c>
      <c r="G2992" s="76" t="e">
        <f ca="1">SUMIF('Production '!$C$4:$AI$4407,'Tracking Sheet'!B2992,'Production '!$W$4:$W$4407)</f>
        <v>#DIV/0!</v>
      </c>
      <c r="H2992" s="76">
        <f ca="1">SUMIF('Production '!$C$4:$AI$4407,'Tracking Sheet'!B2992,'Production '!$F$4:$F$4407)</f>
        <v>3230621.3283604058</v>
      </c>
      <c r="I2992" s="76">
        <f ca="1">SUMIF('Production '!$C$4:$AI$4407,'Tracking Sheet'!B2992,'Production '!$V$4:$V$4407)</f>
        <v>-489.86487791182844</v>
      </c>
      <c r="J2992" s="76">
        <f ca="1">SUMIF('Production '!$C$4:$AI$4407,'Tracking Sheet'!B2992,'Production '!$AG$4:$AG$4407)</f>
        <v>0</v>
      </c>
    </row>
    <row r="2993" spans="2:10" x14ac:dyDescent="0.3">
      <c r="B2993" s="277">
        <f>'Production '!C2996</f>
        <v>0</v>
      </c>
      <c r="C2993" s="76" t="e">
        <f ca="1">SUMIF('Production '!$C$4:$AI$4407,'Tracking Sheet'!B2993,'Production '!$M$4:$M$4407)</f>
        <v>#DIV/0!</v>
      </c>
      <c r="D2993" s="76" t="e">
        <f ca="1">SUMIF('Production '!$C$4:$AI$4407,'Tracking Sheet'!B2993,'Production '!$Q$4:$Q$4407)</f>
        <v>#DIV/0!</v>
      </c>
      <c r="E2993" s="76">
        <f ca="1">SUMIF('Production '!$C$4:$AI$4407,'Tracking Sheet'!B2993,'Production '!$S$4:$S$4407)</f>
        <v>-1268218.9828305368</v>
      </c>
      <c r="F2993" s="76">
        <f ca="1">SUMIF('Production '!$C$4:$AI$4407,'Tracking Sheet'!B2993,'Production '!$U$4:$U$4407)</f>
        <v>-10620.435600016917</v>
      </c>
      <c r="G2993" s="76" t="e">
        <f ca="1">SUMIF('Production '!$C$4:$AI$4407,'Tracking Sheet'!B2993,'Production '!$W$4:$W$4407)</f>
        <v>#DIV/0!</v>
      </c>
      <c r="H2993" s="76">
        <f ca="1">SUMIF('Production '!$C$4:$AI$4407,'Tracking Sheet'!B2993,'Production '!$F$4:$F$4407)</f>
        <v>3230621.3283604058</v>
      </c>
      <c r="I2993" s="76">
        <f ca="1">SUMIF('Production '!$C$4:$AI$4407,'Tracking Sheet'!B2993,'Production '!$V$4:$V$4407)</f>
        <v>-489.86487791182844</v>
      </c>
      <c r="J2993" s="76">
        <f ca="1">SUMIF('Production '!$C$4:$AI$4407,'Tracking Sheet'!B2993,'Production '!$AG$4:$AG$4407)</f>
        <v>0</v>
      </c>
    </row>
    <row r="2994" spans="2:10" x14ac:dyDescent="0.3">
      <c r="B2994" s="277">
        <f>'Production '!C2997</f>
        <v>0</v>
      </c>
      <c r="C2994" s="76" t="e">
        <f ca="1">SUMIF('Production '!$C$4:$AI$4407,'Tracking Sheet'!B2994,'Production '!$M$4:$M$4407)</f>
        <v>#DIV/0!</v>
      </c>
      <c r="D2994" s="76" t="e">
        <f ca="1">SUMIF('Production '!$C$4:$AI$4407,'Tracking Sheet'!B2994,'Production '!$Q$4:$Q$4407)</f>
        <v>#DIV/0!</v>
      </c>
      <c r="E2994" s="76">
        <f ca="1">SUMIF('Production '!$C$4:$AI$4407,'Tracking Sheet'!B2994,'Production '!$S$4:$S$4407)</f>
        <v>-1268218.9828305368</v>
      </c>
      <c r="F2994" s="76">
        <f ca="1">SUMIF('Production '!$C$4:$AI$4407,'Tracking Sheet'!B2994,'Production '!$U$4:$U$4407)</f>
        <v>-10620.435600016917</v>
      </c>
      <c r="G2994" s="76" t="e">
        <f ca="1">SUMIF('Production '!$C$4:$AI$4407,'Tracking Sheet'!B2994,'Production '!$W$4:$W$4407)</f>
        <v>#DIV/0!</v>
      </c>
      <c r="H2994" s="76">
        <f ca="1">SUMIF('Production '!$C$4:$AI$4407,'Tracking Sheet'!B2994,'Production '!$F$4:$F$4407)</f>
        <v>3230621.3283604058</v>
      </c>
      <c r="I2994" s="76">
        <f ca="1">SUMIF('Production '!$C$4:$AI$4407,'Tracking Sheet'!B2994,'Production '!$V$4:$V$4407)</f>
        <v>-489.86487791182844</v>
      </c>
      <c r="J2994" s="76">
        <f ca="1">SUMIF('Production '!$C$4:$AI$4407,'Tracking Sheet'!B2994,'Production '!$AG$4:$AG$4407)</f>
        <v>0</v>
      </c>
    </row>
    <row r="2995" spans="2:10" x14ac:dyDescent="0.3">
      <c r="B2995" s="277">
        <f>'Production '!C2998</f>
        <v>0</v>
      </c>
      <c r="C2995" s="76" t="e">
        <f ca="1">SUMIF('Production '!$C$4:$AI$4407,'Tracking Sheet'!B2995,'Production '!$M$4:$M$4407)</f>
        <v>#DIV/0!</v>
      </c>
      <c r="D2995" s="76" t="e">
        <f ca="1">SUMIF('Production '!$C$4:$AI$4407,'Tracking Sheet'!B2995,'Production '!$Q$4:$Q$4407)</f>
        <v>#DIV/0!</v>
      </c>
      <c r="E2995" s="76">
        <f ca="1">SUMIF('Production '!$C$4:$AI$4407,'Tracking Sheet'!B2995,'Production '!$S$4:$S$4407)</f>
        <v>-1268218.9828305368</v>
      </c>
      <c r="F2995" s="76">
        <f ca="1">SUMIF('Production '!$C$4:$AI$4407,'Tracking Sheet'!B2995,'Production '!$U$4:$U$4407)</f>
        <v>-10620.435600016917</v>
      </c>
      <c r="G2995" s="76" t="e">
        <f ca="1">SUMIF('Production '!$C$4:$AI$4407,'Tracking Sheet'!B2995,'Production '!$W$4:$W$4407)</f>
        <v>#DIV/0!</v>
      </c>
      <c r="H2995" s="76">
        <f ca="1">SUMIF('Production '!$C$4:$AI$4407,'Tracking Sheet'!B2995,'Production '!$F$4:$F$4407)</f>
        <v>3230621.3283604058</v>
      </c>
      <c r="I2995" s="76">
        <f ca="1">SUMIF('Production '!$C$4:$AI$4407,'Tracking Sheet'!B2995,'Production '!$V$4:$V$4407)</f>
        <v>-489.86487791182844</v>
      </c>
      <c r="J2995" s="76">
        <f ca="1">SUMIF('Production '!$C$4:$AI$4407,'Tracking Sheet'!B2995,'Production '!$AG$4:$AG$4407)</f>
        <v>0</v>
      </c>
    </row>
    <row r="2996" spans="2:10" x14ac:dyDescent="0.3">
      <c r="B2996" s="277">
        <f>'Production '!C2999</f>
        <v>0</v>
      </c>
      <c r="C2996" s="76" t="e">
        <f ca="1">SUMIF('Production '!$C$4:$AI$4407,'Tracking Sheet'!B2996,'Production '!$M$4:$M$4407)</f>
        <v>#DIV/0!</v>
      </c>
      <c r="D2996" s="76" t="e">
        <f ca="1">SUMIF('Production '!$C$4:$AI$4407,'Tracking Sheet'!B2996,'Production '!$Q$4:$Q$4407)</f>
        <v>#DIV/0!</v>
      </c>
      <c r="E2996" s="76">
        <f ca="1">SUMIF('Production '!$C$4:$AI$4407,'Tracking Sheet'!B2996,'Production '!$S$4:$S$4407)</f>
        <v>-1268218.9828305368</v>
      </c>
      <c r="F2996" s="76">
        <f ca="1">SUMIF('Production '!$C$4:$AI$4407,'Tracking Sheet'!B2996,'Production '!$U$4:$U$4407)</f>
        <v>-10620.435600016917</v>
      </c>
      <c r="G2996" s="76" t="e">
        <f ca="1">SUMIF('Production '!$C$4:$AI$4407,'Tracking Sheet'!B2996,'Production '!$W$4:$W$4407)</f>
        <v>#DIV/0!</v>
      </c>
      <c r="H2996" s="76">
        <f ca="1">SUMIF('Production '!$C$4:$AI$4407,'Tracking Sheet'!B2996,'Production '!$F$4:$F$4407)</f>
        <v>3230621.3283604058</v>
      </c>
      <c r="I2996" s="76">
        <f ca="1">SUMIF('Production '!$C$4:$AI$4407,'Tracking Sheet'!B2996,'Production '!$V$4:$V$4407)</f>
        <v>-489.86487791182844</v>
      </c>
      <c r="J2996" s="76">
        <f ca="1">SUMIF('Production '!$C$4:$AI$4407,'Tracking Sheet'!B2996,'Production '!$AG$4:$AG$4407)</f>
        <v>0</v>
      </c>
    </row>
    <row r="2997" spans="2:10" x14ac:dyDescent="0.3">
      <c r="B2997" s="277">
        <f>'Production '!C3000</f>
        <v>0</v>
      </c>
      <c r="C2997" s="76" t="e">
        <f ca="1">SUMIF('Production '!$C$4:$AI$4407,'Tracking Sheet'!B2997,'Production '!$M$4:$M$4407)</f>
        <v>#DIV/0!</v>
      </c>
      <c r="D2997" s="76" t="e">
        <f ca="1">SUMIF('Production '!$C$4:$AI$4407,'Tracking Sheet'!B2997,'Production '!$Q$4:$Q$4407)</f>
        <v>#DIV/0!</v>
      </c>
      <c r="E2997" s="76">
        <f ca="1">SUMIF('Production '!$C$4:$AI$4407,'Tracking Sheet'!B2997,'Production '!$S$4:$S$4407)</f>
        <v>-1268218.9828305368</v>
      </c>
      <c r="F2997" s="76">
        <f ca="1">SUMIF('Production '!$C$4:$AI$4407,'Tracking Sheet'!B2997,'Production '!$U$4:$U$4407)</f>
        <v>-10620.435600016917</v>
      </c>
      <c r="G2997" s="76" t="e">
        <f ca="1">SUMIF('Production '!$C$4:$AI$4407,'Tracking Sheet'!B2997,'Production '!$W$4:$W$4407)</f>
        <v>#DIV/0!</v>
      </c>
      <c r="H2997" s="76">
        <f ca="1">SUMIF('Production '!$C$4:$AI$4407,'Tracking Sheet'!B2997,'Production '!$F$4:$F$4407)</f>
        <v>3230621.3283604058</v>
      </c>
      <c r="I2997" s="76">
        <f ca="1">SUMIF('Production '!$C$4:$AI$4407,'Tracking Sheet'!B2997,'Production '!$V$4:$V$4407)</f>
        <v>-489.86487791182844</v>
      </c>
      <c r="J2997" s="76">
        <f ca="1">SUMIF('Production '!$C$4:$AI$4407,'Tracking Sheet'!B2997,'Production '!$AG$4:$AG$4407)</f>
        <v>0</v>
      </c>
    </row>
    <row r="2998" spans="2:10" x14ac:dyDescent="0.3">
      <c r="B2998" s="277">
        <f>'Production '!C3001</f>
        <v>0</v>
      </c>
      <c r="C2998" s="76" t="e">
        <f ca="1">SUMIF('Production '!$C$4:$AI$4407,'Tracking Sheet'!B2998,'Production '!$M$4:$M$4407)</f>
        <v>#DIV/0!</v>
      </c>
      <c r="D2998" s="76" t="e">
        <f ca="1">SUMIF('Production '!$C$4:$AI$4407,'Tracking Sheet'!B2998,'Production '!$Q$4:$Q$4407)</f>
        <v>#DIV/0!</v>
      </c>
      <c r="E2998" s="76">
        <f ca="1">SUMIF('Production '!$C$4:$AI$4407,'Tracking Sheet'!B2998,'Production '!$S$4:$S$4407)</f>
        <v>-1268218.9828305368</v>
      </c>
      <c r="F2998" s="76">
        <f ca="1">SUMIF('Production '!$C$4:$AI$4407,'Tracking Sheet'!B2998,'Production '!$U$4:$U$4407)</f>
        <v>-10620.435600016917</v>
      </c>
      <c r="G2998" s="76" t="e">
        <f ca="1">SUMIF('Production '!$C$4:$AI$4407,'Tracking Sheet'!B2998,'Production '!$W$4:$W$4407)</f>
        <v>#DIV/0!</v>
      </c>
      <c r="H2998" s="76">
        <f ca="1">SUMIF('Production '!$C$4:$AI$4407,'Tracking Sheet'!B2998,'Production '!$F$4:$F$4407)</f>
        <v>3230621.3283604058</v>
      </c>
      <c r="I2998" s="76">
        <f ca="1">SUMIF('Production '!$C$4:$AI$4407,'Tracking Sheet'!B2998,'Production '!$V$4:$V$4407)</f>
        <v>-489.86487791182844</v>
      </c>
      <c r="J2998" s="76">
        <f ca="1">SUMIF('Production '!$C$4:$AI$4407,'Tracking Sheet'!B2998,'Production '!$AG$4:$AG$4407)</f>
        <v>0</v>
      </c>
    </row>
    <row r="2999" spans="2:10" x14ac:dyDescent="0.3">
      <c r="B2999" s="277">
        <f>'Production '!C3002</f>
        <v>0</v>
      </c>
      <c r="C2999" s="76" t="e">
        <f ca="1">SUMIF('Production '!$C$4:$AI$4407,'Tracking Sheet'!B2999,'Production '!$M$4:$M$4407)</f>
        <v>#DIV/0!</v>
      </c>
      <c r="D2999" s="76" t="e">
        <f ca="1">SUMIF('Production '!$C$4:$AI$4407,'Tracking Sheet'!B2999,'Production '!$Q$4:$Q$4407)</f>
        <v>#DIV/0!</v>
      </c>
      <c r="E2999" s="76">
        <f ca="1">SUMIF('Production '!$C$4:$AI$4407,'Tracking Sheet'!B2999,'Production '!$S$4:$S$4407)</f>
        <v>-1268218.9828305368</v>
      </c>
      <c r="F2999" s="76">
        <f ca="1">SUMIF('Production '!$C$4:$AI$4407,'Tracking Sheet'!B2999,'Production '!$U$4:$U$4407)</f>
        <v>-10620.435600016917</v>
      </c>
      <c r="G2999" s="76" t="e">
        <f ca="1">SUMIF('Production '!$C$4:$AI$4407,'Tracking Sheet'!B2999,'Production '!$W$4:$W$4407)</f>
        <v>#DIV/0!</v>
      </c>
      <c r="H2999" s="76">
        <f ca="1">SUMIF('Production '!$C$4:$AI$4407,'Tracking Sheet'!B2999,'Production '!$F$4:$F$4407)</f>
        <v>3230621.3283604058</v>
      </c>
      <c r="I2999" s="76">
        <f ca="1">SUMIF('Production '!$C$4:$AI$4407,'Tracking Sheet'!B2999,'Production '!$V$4:$V$4407)</f>
        <v>-489.86487791182844</v>
      </c>
      <c r="J2999" s="76">
        <f ca="1">SUMIF('Production '!$C$4:$AI$4407,'Tracking Sheet'!B2999,'Production '!$AG$4:$AG$4407)</f>
        <v>0</v>
      </c>
    </row>
    <row r="3000" spans="2:10" x14ac:dyDescent="0.3">
      <c r="B3000" s="277">
        <f>'Production '!C3003</f>
        <v>0</v>
      </c>
      <c r="C3000" s="76" t="e">
        <f ca="1">SUMIF('Production '!$C$4:$AI$4407,'Tracking Sheet'!B3000,'Production '!$M$4:$M$4407)</f>
        <v>#DIV/0!</v>
      </c>
      <c r="D3000" s="76" t="e">
        <f ca="1">SUMIF('Production '!$C$4:$AI$4407,'Tracking Sheet'!B3000,'Production '!$Q$4:$Q$4407)</f>
        <v>#DIV/0!</v>
      </c>
      <c r="E3000" s="76">
        <f ca="1">SUMIF('Production '!$C$4:$AI$4407,'Tracking Sheet'!B3000,'Production '!$S$4:$S$4407)</f>
        <v>-1268218.9828305368</v>
      </c>
      <c r="F3000" s="76">
        <f ca="1">SUMIF('Production '!$C$4:$AI$4407,'Tracking Sheet'!B3000,'Production '!$U$4:$U$4407)</f>
        <v>-10620.435600016917</v>
      </c>
      <c r="G3000" s="76" t="e">
        <f ca="1">SUMIF('Production '!$C$4:$AI$4407,'Tracking Sheet'!B3000,'Production '!$W$4:$W$4407)</f>
        <v>#DIV/0!</v>
      </c>
      <c r="H3000" s="76">
        <f ca="1">SUMIF('Production '!$C$4:$AI$4407,'Tracking Sheet'!B3000,'Production '!$F$4:$F$4407)</f>
        <v>3230621.3283604058</v>
      </c>
      <c r="I3000" s="76">
        <f ca="1">SUMIF('Production '!$C$4:$AI$4407,'Tracking Sheet'!B3000,'Production '!$V$4:$V$4407)</f>
        <v>-489.86487791182844</v>
      </c>
      <c r="J3000" s="76">
        <f ca="1">SUMIF('Production '!$C$4:$AI$4407,'Tracking Sheet'!B3000,'Production '!$AG$4:$AG$4407)</f>
        <v>0</v>
      </c>
    </row>
    <row r="3001" spans="2:10" x14ac:dyDescent="0.3">
      <c r="B3001" s="277">
        <f>'Production '!C3004</f>
        <v>0</v>
      </c>
      <c r="C3001" s="76" t="e">
        <f ca="1">SUMIF('Production '!$C$4:$AI$4407,'Tracking Sheet'!B3001,'Production '!$M$4:$M$4407)</f>
        <v>#DIV/0!</v>
      </c>
      <c r="D3001" s="76" t="e">
        <f ca="1">SUMIF('Production '!$C$4:$AI$4407,'Tracking Sheet'!B3001,'Production '!$Q$4:$Q$4407)</f>
        <v>#DIV/0!</v>
      </c>
      <c r="E3001" s="76">
        <f ca="1">SUMIF('Production '!$C$4:$AI$4407,'Tracking Sheet'!B3001,'Production '!$S$4:$S$4407)</f>
        <v>-1268218.9828305368</v>
      </c>
      <c r="F3001" s="76">
        <f ca="1">SUMIF('Production '!$C$4:$AI$4407,'Tracking Sheet'!B3001,'Production '!$U$4:$U$4407)</f>
        <v>-10620.435600016917</v>
      </c>
      <c r="G3001" s="76" t="e">
        <f ca="1">SUMIF('Production '!$C$4:$AI$4407,'Tracking Sheet'!B3001,'Production '!$W$4:$W$4407)</f>
        <v>#DIV/0!</v>
      </c>
      <c r="H3001" s="76">
        <f ca="1">SUMIF('Production '!$C$4:$AI$4407,'Tracking Sheet'!B3001,'Production '!$F$4:$F$4407)</f>
        <v>3230621.3283604058</v>
      </c>
      <c r="I3001" s="76">
        <f ca="1">SUMIF('Production '!$C$4:$AI$4407,'Tracking Sheet'!B3001,'Production '!$V$4:$V$4407)</f>
        <v>-489.86487791182844</v>
      </c>
      <c r="J3001" s="76">
        <f ca="1">SUMIF('Production '!$C$4:$AI$4407,'Tracking Sheet'!B3001,'Production '!$AG$4:$AG$4407)</f>
        <v>0</v>
      </c>
    </row>
    <row r="3002" spans="2:10" x14ac:dyDescent="0.3">
      <c r="B3002" s="277">
        <f>'Production '!C3005</f>
        <v>0</v>
      </c>
      <c r="C3002" s="76" t="e">
        <f ca="1">SUMIF('Production '!$C$4:$AI$4407,'Tracking Sheet'!B3002,'Production '!$M$4:$M$4407)</f>
        <v>#DIV/0!</v>
      </c>
      <c r="D3002" s="76" t="e">
        <f ca="1">SUMIF('Production '!$C$4:$AI$4407,'Tracking Sheet'!B3002,'Production '!$Q$4:$Q$4407)</f>
        <v>#DIV/0!</v>
      </c>
      <c r="E3002" s="76">
        <f ca="1">SUMIF('Production '!$C$4:$AI$4407,'Tracking Sheet'!B3002,'Production '!$S$4:$S$4407)</f>
        <v>-1268218.9828305368</v>
      </c>
      <c r="F3002" s="76">
        <f ca="1">SUMIF('Production '!$C$4:$AI$4407,'Tracking Sheet'!B3002,'Production '!$U$4:$U$4407)</f>
        <v>-10620.435600016917</v>
      </c>
      <c r="G3002" s="76" t="e">
        <f ca="1">SUMIF('Production '!$C$4:$AI$4407,'Tracking Sheet'!B3002,'Production '!$W$4:$W$4407)</f>
        <v>#DIV/0!</v>
      </c>
      <c r="H3002" s="76">
        <f ca="1">SUMIF('Production '!$C$4:$AI$4407,'Tracking Sheet'!B3002,'Production '!$F$4:$F$4407)</f>
        <v>3230621.3283604058</v>
      </c>
      <c r="I3002" s="76">
        <f ca="1">SUMIF('Production '!$C$4:$AI$4407,'Tracking Sheet'!B3002,'Production '!$V$4:$V$4407)</f>
        <v>-489.86487791182844</v>
      </c>
      <c r="J3002" s="76">
        <f ca="1">SUMIF('Production '!$C$4:$AI$4407,'Tracking Sheet'!B3002,'Production '!$AG$4:$AG$4407)</f>
        <v>0</v>
      </c>
    </row>
    <row r="3003" spans="2:10" x14ac:dyDescent="0.3">
      <c r="B3003" s="277">
        <f>'Production '!C3006</f>
        <v>0</v>
      </c>
      <c r="C3003" s="76" t="e">
        <f ca="1">SUMIF('Production '!$C$4:$AI$4407,'Tracking Sheet'!B3003,'Production '!$M$4:$M$4407)</f>
        <v>#DIV/0!</v>
      </c>
      <c r="D3003" s="76" t="e">
        <f ca="1">SUMIF('Production '!$C$4:$AI$4407,'Tracking Sheet'!B3003,'Production '!$Q$4:$Q$4407)</f>
        <v>#DIV/0!</v>
      </c>
      <c r="E3003" s="76">
        <f ca="1">SUMIF('Production '!$C$4:$AI$4407,'Tracking Sheet'!B3003,'Production '!$S$4:$S$4407)</f>
        <v>-1268218.9828305368</v>
      </c>
      <c r="F3003" s="76">
        <f ca="1">SUMIF('Production '!$C$4:$AI$4407,'Tracking Sheet'!B3003,'Production '!$U$4:$U$4407)</f>
        <v>-10620.435600016917</v>
      </c>
      <c r="G3003" s="76" t="e">
        <f ca="1">SUMIF('Production '!$C$4:$AI$4407,'Tracking Sheet'!B3003,'Production '!$W$4:$W$4407)</f>
        <v>#DIV/0!</v>
      </c>
      <c r="H3003" s="76">
        <f ca="1">SUMIF('Production '!$C$4:$AI$4407,'Tracking Sheet'!B3003,'Production '!$F$4:$F$4407)</f>
        <v>3230621.3283604058</v>
      </c>
      <c r="I3003" s="76">
        <f ca="1">SUMIF('Production '!$C$4:$AI$4407,'Tracking Sheet'!B3003,'Production '!$V$4:$V$4407)</f>
        <v>-489.86487791182844</v>
      </c>
      <c r="J3003" s="76">
        <f ca="1">SUMIF('Production '!$C$4:$AI$4407,'Tracking Sheet'!B3003,'Production '!$AG$4:$AG$4407)</f>
        <v>0</v>
      </c>
    </row>
    <row r="3004" spans="2:10" x14ac:dyDescent="0.3">
      <c r="B3004" s="277">
        <f>'Production '!C3007</f>
        <v>0</v>
      </c>
      <c r="C3004" s="76" t="e">
        <f ca="1">SUMIF('Production '!$C$4:$AI$4407,'Tracking Sheet'!B3004,'Production '!$M$4:$M$4407)</f>
        <v>#DIV/0!</v>
      </c>
      <c r="D3004" s="76" t="e">
        <f ca="1">SUMIF('Production '!$C$4:$AI$4407,'Tracking Sheet'!B3004,'Production '!$Q$4:$Q$4407)</f>
        <v>#DIV/0!</v>
      </c>
      <c r="E3004" s="76">
        <f ca="1">SUMIF('Production '!$C$4:$AI$4407,'Tracking Sheet'!B3004,'Production '!$S$4:$S$4407)</f>
        <v>-1268218.9828305368</v>
      </c>
      <c r="F3004" s="76">
        <f ca="1">SUMIF('Production '!$C$4:$AI$4407,'Tracking Sheet'!B3004,'Production '!$U$4:$U$4407)</f>
        <v>-10620.435600016917</v>
      </c>
      <c r="G3004" s="76" t="e">
        <f ca="1">SUMIF('Production '!$C$4:$AI$4407,'Tracking Sheet'!B3004,'Production '!$W$4:$W$4407)</f>
        <v>#DIV/0!</v>
      </c>
      <c r="H3004" s="76">
        <f ca="1">SUMIF('Production '!$C$4:$AI$4407,'Tracking Sheet'!B3004,'Production '!$F$4:$F$4407)</f>
        <v>3230621.3283604058</v>
      </c>
      <c r="I3004" s="76">
        <f ca="1">SUMIF('Production '!$C$4:$AI$4407,'Tracking Sheet'!B3004,'Production '!$V$4:$V$4407)</f>
        <v>-489.86487791182844</v>
      </c>
      <c r="J3004" s="76">
        <f ca="1">SUMIF('Production '!$C$4:$AI$4407,'Tracking Sheet'!B3004,'Production '!$AG$4:$AG$4407)</f>
        <v>0</v>
      </c>
    </row>
    <row r="3005" spans="2:10" x14ac:dyDescent="0.3">
      <c r="B3005" s="277">
        <f>'Production '!C3008</f>
        <v>0</v>
      </c>
      <c r="C3005" s="76" t="e">
        <f ca="1">SUMIF('Production '!$C$4:$AI$4407,'Tracking Sheet'!B3005,'Production '!$M$4:$M$4407)</f>
        <v>#DIV/0!</v>
      </c>
      <c r="D3005" s="76" t="e">
        <f ca="1">SUMIF('Production '!$C$4:$AI$4407,'Tracking Sheet'!B3005,'Production '!$Q$4:$Q$4407)</f>
        <v>#DIV/0!</v>
      </c>
      <c r="E3005" s="76">
        <f ca="1">SUMIF('Production '!$C$4:$AI$4407,'Tracking Sheet'!B3005,'Production '!$S$4:$S$4407)</f>
        <v>-1268218.9828305368</v>
      </c>
      <c r="F3005" s="76">
        <f ca="1">SUMIF('Production '!$C$4:$AI$4407,'Tracking Sheet'!B3005,'Production '!$U$4:$U$4407)</f>
        <v>-10620.435600016917</v>
      </c>
      <c r="G3005" s="76" t="e">
        <f ca="1">SUMIF('Production '!$C$4:$AI$4407,'Tracking Sheet'!B3005,'Production '!$W$4:$W$4407)</f>
        <v>#DIV/0!</v>
      </c>
      <c r="H3005" s="76">
        <f ca="1">SUMIF('Production '!$C$4:$AI$4407,'Tracking Sheet'!B3005,'Production '!$F$4:$F$4407)</f>
        <v>3230621.3283604058</v>
      </c>
      <c r="I3005" s="76">
        <f ca="1">SUMIF('Production '!$C$4:$AI$4407,'Tracking Sheet'!B3005,'Production '!$V$4:$V$4407)</f>
        <v>-489.86487791182844</v>
      </c>
      <c r="J3005" s="76">
        <f ca="1">SUMIF('Production '!$C$4:$AI$4407,'Tracking Sheet'!B3005,'Production '!$AG$4:$AG$4407)</f>
        <v>0</v>
      </c>
    </row>
    <row r="3006" spans="2:10" x14ac:dyDescent="0.3">
      <c r="B3006" s="277">
        <f>'Production '!C3009</f>
        <v>0</v>
      </c>
      <c r="C3006" s="76" t="e">
        <f ca="1">SUMIF('Production '!$C$4:$AI$4407,'Tracking Sheet'!B3006,'Production '!$M$4:$M$4407)</f>
        <v>#DIV/0!</v>
      </c>
      <c r="D3006" s="76" t="e">
        <f ca="1">SUMIF('Production '!$C$4:$AI$4407,'Tracking Sheet'!B3006,'Production '!$Q$4:$Q$4407)</f>
        <v>#DIV/0!</v>
      </c>
      <c r="E3006" s="76">
        <f ca="1">SUMIF('Production '!$C$4:$AI$4407,'Tracking Sheet'!B3006,'Production '!$S$4:$S$4407)</f>
        <v>-1268218.9828305368</v>
      </c>
      <c r="F3006" s="76">
        <f ca="1">SUMIF('Production '!$C$4:$AI$4407,'Tracking Sheet'!B3006,'Production '!$U$4:$U$4407)</f>
        <v>-10620.435600016917</v>
      </c>
      <c r="G3006" s="76" t="e">
        <f ca="1">SUMIF('Production '!$C$4:$AI$4407,'Tracking Sheet'!B3006,'Production '!$W$4:$W$4407)</f>
        <v>#DIV/0!</v>
      </c>
      <c r="H3006" s="76">
        <f ca="1">SUMIF('Production '!$C$4:$AI$4407,'Tracking Sheet'!B3006,'Production '!$F$4:$F$4407)</f>
        <v>3230621.3283604058</v>
      </c>
      <c r="I3006" s="76">
        <f ca="1">SUMIF('Production '!$C$4:$AI$4407,'Tracking Sheet'!B3006,'Production '!$V$4:$V$4407)</f>
        <v>-489.86487791182844</v>
      </c>
      <c r="J3006" s="76">
        <f ca="1">SUMIF('Production '!$C$4:$AI$4407,'Tracking Sheet'!B3006,'Production '!$AG$4:$AG$4407)</f>
        <v>0</v>
      </c>
    </row>
    <row r="3007" spans="2:10" x14ac:dyDescent="0.3">
      <c r="B3007" s="277">
        <f>'Production '!C3010</f>
        <v>0</v>
      </c>
      <c r="C3007" s="76" t="e">
        <f ca="1">SUMIF('Production '!$C$4:$AI$4407,'Tracking Sheet'!B3007,'Production '!$M$4:$M$4407)</f>
        <v>#DIV/0!</v>
      </c>
      <c r="D3007" s="76" t="e">
        <f ca="1">SUMIF('Production '!$C$4:$AI$4407,'Tracking Sheet'!B3007,'Production '!$Q$4:$Q$4407)</f>
        <v>#DIV/0!</v>
      </c>
      <c r="E3007" s="76">
        <f ca="1">SUMIF('Production '!$C$4:$AI$4407,'Tracking Sheet'!B3007,'Production '!$S$4:$S$4407)</f>
        <v>-1268218.9828305368</v>
      </c>
      <c r="F3007" s="76">
        <f ca="1">SUMIF('Production '!$C$4:$AI$4407,'Tracking Sheet'!B3007,'Production '!$U$4:$U$4407)</f>
        <v>-10620.435600016917</v>
      </c>
      <c r="G3007" s="76" t="e">
        <f ca="1">SUMIF('Production '!$C$4:$AI$4407,'Tracking Sheet'!B3007,'Production '!$W$4:$W$4407)</f>
        <v>#DIV/0!</v>
      </c>
      <c r="H3007" s="76">
        <f ca="1">SUMIF('Production '!$C$4:$AI$4407,'Tracking Sheet'!B3007,'Production '!$F$4:$F$4407)</f>
        <v>3230621.3283604058</v>
      </c>
      <c r="I3007" s="76">
        <f ca="1">SUMIF('Production '!$C$4:$AI$4407,'Tracking Sheet'!B3007,'Production '!$V$4:$V$4407)</f>
        <v>-489.86487791182844</v>
      </c>
      <c r="J3007" s="76">
        <f ca="1">SUMIF('Production '!$C$4:$AI$4407,'Tracking Sheet'!B3007,'Production '!$AG$4:$AG$4407)</f>
        <v>0</v>
      </c>
    </row>
    <row r="3008" spans="2:10" x14ac:dyDescent="0.3">
      <c r="B3008" s="277">
        <f>'Production '!C3011</f>
        <v>0</v>
      </c>
      <c r="C3008" s="76" t="e">
        <f ca="1">SUMIF('Production '!$C$4:$AI$4407,'Tracking Sheet'!B3008,'Production '!$M$4:$M$4407)</f>
        <v>#DIV/0!</v>
      </c>
      <c r="D3008" s="76" t="e">
        <f ca="1">SUMIF('Production '!$C$4:$AI$4407,'Tracking Sheet'!B3008,'Production '!$Q$4:$Q$4407)</f>
        <v>#DIV/0!</v>
      </c>
      <c r="E3008" s="76">
        <f ca="1">SUMIF('Production '!$C$4:$AI$4407,'Tracking Sheet'!B3008,'Production '!$S$4:$S$4407)</f>
        <v>-1268218.9828305368</v>
      </c>
      <c r="F3008" s="76">
        <f ca="1">SUMIF('Production '!$C$4:$AI$4407,'Tracking Sheet'!B3008,'Production '!$U$4:$U$4407)</f>
        <v>-10620.435600016917</v>
      </c>
      <c r="G3008" s="76" t="e">
        <f ca="1">SUMIF('Production '!$C$4:$AI$4407,'Tracking Sheet'!B3008,'Production '!$W$4:$W$4407)</f>
        <v>#DIV/0!</v>
      </c>
      <c r="H3008" s="76">
        <f ca="1">SUMIF('Production '!$C$4:$AI$4407,'Tracking Sheet'!B3008,'Production '!$F$4:$F$4407)</f>
        <v>3230621.3283604058</v>
      </c>
      <c r="I3008" s="76">
        <f ca="1">SUMIF('Production '!$C$4:$AI$4407,'Tracking Sheet'!B3008,'Production '!$V$4:$V$4407)</f>
        <v>-489.86487791182844</v>
      </c>
      <c r="J3008" s="76">
        <f ca="1">SUMIF('Production '!$C$4:$AI$4407,'Tracking Sheet'!B3008,'Production '!$AG$4:$AG$4407)</f>
        <v>0</v>
      </c>
    </row>
    <row r="3009" spans="2:10" x14ac:dyDescent="0.3">
      <c r="B3009" s="277">
        <f>'Production '!C3012</f>
        <v>0</v>
      </c>
      <c r="C3009" s="76" t="e">
        <f ca="1">SUMIF('Production '!$C$4:$AI$4407,'Tracking Sheet'!B3009,'Production '!$M$4:$M$4407)</f>
        <v>#DIV/0!</v>
      </c>
      <c r="D3009" s="76" t="e">
        <f ca="1">SUMIF('Production '!$C$4:$AI$4407,'Tracking Sheet'!B3009,'Production '!$Q$4:$Q$4407)</f>
        <v>#DIV/0!</v>
      </c>
      <c r="E3009" s="76">
        <f ca="1">SUMIF('Production '!$C$4:$AI$4407,'Tracking Sheet'!B3009,'Production '!$S$4:$S$4407)</f>
        <v>-1268218.9828305368</v>
      </c>
      <c r="F3009" s="76">
        <f ca="1">SUMIF('Production '!$C$4:$AI$4407,'Tracking Sheet'!B3009,'Production '!$U$4:$U$4407)</f>
        <v>-10620.435600016917</v>
      </c>
      <c r="G3009" s="76" t="e">
        <f ca="1">SUMIF('Production '!$C$4:$AI$4407,'Tracking Sheet'!B3009,'Production '!$W$4:$W$4407)</f>
        <v>#DIV/0!</v>
      </c>
      <c r="H3009" s="76">
        <f ca="1">SUMIF('Production '!$C$4:$AI$4407,'Tracking Sheet'!B3009,'Production '!$F$4:$F$4407)</f>
        <v>3230621.3283604058</v>
      </c>
      <c r="I3009" s="76">
        <f ca="1">SUMIF('Production '!$C$4:$AI$4407,'Tracking Sheet'!B3009,'Production '!$V$4:$V$4407)</f>
        <v>-489.86487791182844</v>
      </c>
      <c r="J3009" s="76">
        <f ca="1">SUMIF('Production '!$C$4:$AI$4407,'Tracking Sheet'!B3009,'Production '!$AG$4:$AG$4407)</f>
        <v>0</v>
      </c>
    </row>
    <row r="3010" spans="2:10" x14ac:dyDescent="0.3">
      <c r="B3010" s="277">
        <f>'Production '!C3013</f>
        <v>0</v>
      </c>
      <c r="C3010" s="76" t="e">
        <f ca="1">SUMIF('Production '!$C$4:$AI$4407,'Tracking Sheet'!B3010,'Production '!$M$4:$M$4407)</f>
        <v>#DIV/0!</v>
      </c>
      <c r="D3010" s="76" t="e">
        <f ca="1">SUMIF('Production '!$C$4:$AI$4407,'Tracking Sheet'!B3010,'Production '!$Q$4:$Q$4407)</f>
        <v>#DIV/0!</v>
      </c>
      <c r="E3010" s="76">
        <f ca="1">SUMIF('Production '!$C$4:$AI$4407,'Tracking Sheet'!B3010,'Production '!$S$4:$S$4407)</f>
        <v>-1268218.9828305368</v>
      </c>
      <c r="F3010" s="76">
        <f ca="1">SUMIF('Production '!$C$4:$AI$4407,'Tracking Sheet'!B3010,'Production '!$U$4:$U$4407)</f>
        <v>-10620.435600016917</v>
      </c>
      <c r="G3010" s="76" t="e">
        <f ca="1">SUMIF('Production '!$C$4:$AI$4407,'Tracking Sheet'!B3010,'Production '!$W$4:$W$4407)</f>
        <v>#DIV/0!</v>
      </c>
      <c r="H3010" s="76">
        <f ca="1">SUMIF('Production '!$C$4:$AI$4407,'Tracking Sheet'!B3010,'Production '!$F$4:$F$4407)</f>
        <v>3230621.3283604058</v>
      </c>
      <c r="I3010" s="76">
        <f ca="1">SUMIF('Production '!$C$4:$AI$4407,'Tracking Sheet'!B3010,'Production '!$V$4:$V$4407)</f>
        <v>-489.86487791182844</v>
      </c>
      <c r="J3010" s="76">
        <f ca="1">SUMIF('Production '!$C$4:$AI$4407,'Tracking Sheet'!B3010,'Production '!$AG$4:$AG$4407)</f>
        <v>0</v>
      </c>
    </row>
    <row r="3011" spans="2:10" x14ac:dyDescent="0.3">
      <c r="B3011" s="277">
        <f>'Production '!C3014</f>
        <v>0</v>
      </c>
      <c r="C3011" s="76" t="e">
        <f ca="1">SUMIF('Production '!$C$4:$AI$4407,'Tracking Sheet'!B3011,'Production '!$M$4:$M$4407)</f>
        <v>#DIV/0!</v>
      </c>
      <c r="D3011" s="76" t="e">
        <f ca="1">SUMIF('Production '!$C$4:$AI$4407,'Tracking Sheet'!B3011,'Production '!$Q$4:$Q$4407)</f>
        <v>#DIV/0!</v>
      </c>
      <c r="E3011" s="76">
        <f ca="1">SUMIF('Production '!$C$4:$AI$4407,'Tracking Sheet'!B3011,'Production '!$S$4:$S$4407)</f>
        <v>-1268218.9828305368</v>
      </c>
      <c r="F3011" s="76">
        <f ca="1">SUMIF('Production '!$C$4:$AI$4407,'Tracking Sheet'!B3011,'Production '!$U$4:$U$4407)</f>
        <v>-10620.435600016917</v>
      </c>
      <c r="G3011" s="76" t="e">
        <f ca="1">SUMIF('Production '!$C$4:$AI$4407,'Tracking Sheet'!B3011,'Production '!$W$4:$W$4407)</f>
        <v>#DIV/0!</v>
      </c>
      <c r="H3011" s="76">
        <f ca="1">SUMIF('Production '!$C$4:$AI$4407,'Tracking Sheet'!B3011,'Production '!$F$4:$F$4407)</f>
        <v>3230621.3283604058</v>
      </c>
      <c r="I3011" s="76">
        <f ca="1">SUMIF('Production '!$C$4:$AI$4407,'Tracking Sheet'!B3011,'Production '!$V$4:$V$4407)</f>
        <v>-489.86487791182844</v>
      </c>
      <c r="J3011" s="76">
        <f ca="1">SUMIF('Production '!$C$4:$AI$4407,'Tracking Sheet'!B3011,'Production '!$AG$4:$AG$4407)</f>
        <v>0</v>
      </c>
    </row>
    <row r="3012" spans="2:10" x14ac:dyDescent="0.3">
      <c r="B3012" s="277">
        <f>'Production '!C3015</f>
        <v>0</v>
      </c>
      <c r="C3012" s="76" t="e">
        <f ca="1">SUMIF('Production '!$C$4:$AI$4407,'Tracking Sheet'!B3012,'Production '!$M$4:$M$4407)</f>
        <v>#DIV/0!</v>
      </c>
      <c r="D3012" s="76" t="e">
        <f ca="1">SUMIF('Production '!$C$4:$AI$4407,'Tracking Sheet'!B3012,'Production '!$Q$4:$Q$4407)</f>
        <v>#DIV/0!</v>
      </c>
      <c r="E3012" s="76">
        <f ca="1">SUMIF('Production '!$C$4:$AI$4407,'Tracking Sheet'!B3012,'Production '!$S$4:$S$4407)</f>
        <v>-1268218.9828305368</v>
      </c>
      <c r="F3012" s="76">
        <f ca="1">SUMIF('Production '!$C$4:$AI$4407,'Tracking Sheet'!B3012,'Production '!$U$4:$U$4407)</f>
        <v>-10620.435600016917</v>
      </c>
      <c r="G3012" s="76" t="e">
        <f ca="1">SUMIF('Production '!$C$4:$AI$4407,'Tracking Sheet'!B3012,'Production '!$W$4:$W$4407)</f>
        <v>#DIV/0!</v>
      </c>
      <c r="H3012" s="76">
        <f ca="1">SUMIF('Production '!$C$4:$AI$4407,'Tracking Sheet'!B3012,'Production '!$F$4:$F$4407)</f>
        <v>3230621.3283604058</v>
      </c>
      <c r="I3012" s="76">
        <f ca="1">SUMIF('Production '!$C$4:$AI$4407,'Tracking Sheet'!B3012,'Production '!$V$4:$V$4407)</f>
        <v>-489.86487791182844</v>
      </c>
      <c r="J3012" s="76">
        <f ca="1">SUMIF('Production '!$C$4:$AI$4407,'Tracking Sheet'!B3012,'Production '!$AG$4:$AG$4407)</f>
        <v>0</v>
      </c>
    </row>
    <row r="3013" spans="2:10" x14ac:dyDescent="0.3">
      <c r="B3013" s="277">
        <f>'Production '!C3016</f>
        <v>0</v>
      </c>
      <c r="C3013" s="76" t="e">
        <f ca="1">SUMIF('Production '!$C$4:$AI$4407,'Tracking Sheet'!B3013,'Production '!$M$4:$M$4407)</f>
        <v>#DIV/0!</v>
      </c>
      <c r="D3013" s="76" t="e">
        <f ca="1">SUMIF('Production '!$C$4:$AI$4407,'Tracking Sheet'!B3013,'Production '!$Q$4:$Q$4407)</f>
        <v>#DIV/0!</v>
      </c>
      <c r="E3013" s="76">
        <f ca="1">SUMIF('Production '!$C$4:$AI$4407,'Tracking Sheet'!B3013,'Production '!$S$4:$S$4407)</f>
        <v>-1268218.9828305368</v>
      </c>
      <c r="F3013" s="76">
        <f ca="1">SUMIF('Production '!$C$4:$AI$4407,'Tracking Sheet'!B3013,'Production '!$U$4:$U$4407)</f>
        <v>-10620.435600016917</v>
      </c>
      <c r="G3013" s="76" t="e">
        <f ca="1">SUMIF('Production '!$C$4:$AI$4407,'Tracking Sheet'!B3013,'Production '!$W$4:$W$4407)</f>
        <v>#DIV/0!</v>
      </c>
      <c r="H3013" s="76">
        <f ca="1">SUMIF('Production '!$C$4:$AI$4407,'Tracking Sheet'!B3013,'Production '!$F$4:$F$4407)</f>
        <v>3230621.3283604058</v>
      </c>
      <c r="I3013" s="76">
        <f ca="1">SUMIF('Production '!$C$4:$AI$4407,'Tracking Sheet'!B3013,'Production '!$V$4:$V$4407)</f>
        <v>-489.86487791182844</v>
      </c>
      <c r="J3013" s="76">
        <f ca="1">SUMIF('Production '!$C$4:$AI$4407,'Tracking Sheet'!B3013,'Production '!$AG$4:$AG$4407)</f>
        <v>0</v>
      </c>
    </row>
    <row r="3014" spans="2:10" x14ac:dyDescent="0.3">
      <c r="B3014" s="277">
        <f>'Production '!C3017</f>
        <v>0</v>
      </c>
      <c r="C3014" s="76" t="e">
        <f ca="1">SUMIF('Production '!$C$4:$AI$4407,'Tracking Sheet'!B3014,'Production '!$M$4:$M$4407)</f>
        <v>#DIV/0!</v>
      </c>
      <c r="D3014" s="76" t="e">
        <f ca="1">SUMIF('Production '!$C$4:$AI$4407,'Tracking Sheet'!B3014,'Production '!$Q$4:$Q$4407)</f>
        <v>#DIV/0!</v>
      </c>
      <c r="E3014" s="76">
        <f ca="1">SUMIF('Production '!$C$4:$AI$4407,'Tracking Sheet'!B3014,'Production '!$S$4:$S$4407)</f>
        <v>-1268218.9828305368</v>
      </c>
      <c r="F3014" s="76">
        <f ca="1">SUMIF('Production '!$C$4:$AI$4407,'Tracking Sheet'!B3014,'Production '!$U$4:$U$4407)</f>
        <v>-10620.435600016917</v>
      </c>
      <c r="G3014" s="76" t="e">
        <f ca="1">SUMIF('Production '!$C$4:$AI$4407,'Tracking Sheet'!B3014,'Production '!$W$4:$W$4407)</f>
        <v>#DIV/0!</v>
      </c>
      <c r="H3014" s="76">
        <f ca="1">SUMIF('Production '!$C$4:$AI$4407,'Tracking Sheet'!B3014,'Production '!$F$4:$F$4407)</f>
        <v>3230621.3283604058</v>
      </c>
      <c r="I3014" s="76">
        <f ca="1">SUMIF('Production '!$C$4:$AI$4407,'Tracking Sheet'!B3014,'Production '!$V$4:$V$4407)</f>
        <v>-489.86487791182844</v>
      </c>
      <c r="J3014" s="76">
        <f ca="1">SUMIF('Production '!$C$4:$AI$4407,'Tracking Sheet'!B3014,'Production '!$AG$4:$AG$4407)</f>
        <v>0</v>
      </c>
    </row>
    <row r="3015" spans="2:10" x14ac:dyDescent="0.3">
      <c r="B3015" s="277">
        <f>'Production '!C3018</f>
        <v>0</v>
      </c>
      <c r="C3015" s="76" t="e">
        <f ca="1">SUMIF('Production '!$C$4:$AI$4407,'Tracking Sheet'!B3015,'Production '!$M$4:$M$4407)</f>
        <v>#DIV/0!</v>
      </c>
      <c r="D3015" s="76" t="e">
        <f ca="1">SUMIF('Production '!$C$4:$AI$4407,'Tracking Sheet'!B3015,'Production '!$Q$4:$Q$4407)</f>
        <v>#DIV/0!</v>
      </c>
      <c r="E3015" s="76">
        <f ca="1">SUMIF('Production '!$C$4:$AI$4407,'Tracking Sheet'!B3015,'Production '!$S$4:$S$4407)</f>
        <v>-1268218.9828305368</v>
      </c>
      <c r="F3015" s="76">
        <f ca="1">SUMIF('Production '!$C$4:$AI$4407,'Tracking Sheet'!B3015,'Production '!$U$4:$U$4407)</f>
        <v>-10620.435600016917</v>
      </c>
      <c r="G3015" s="76" t="e">
        <f ca="1">SUMIF('Production '!$C$4:$AI$4407,'Tracking Sheet'!B3015,'Production '!$W$4:$W$4407)</f>
        <v>#DIV/0!</v>
      </c>
      <c r="H3015" s="76">
        <f ca="1">SUMIF('Production '!$C$4:$AI$4407,'Tracking Sheet'!B3015,'Production '!$F$4:$F$4407)</f>
        <v>3230621.3283604058</v>
      </c>
      <c r="I3015" s="76">
        <f ca="1">SUMIF('Production '!$C$4:$AI$4407,'Tracking Sheet'!B3015,'Production '!$V$4:$V$4407)</f>
        <v>-489.86487791182844</v>
      </c>
      <c r="J3015" s="76">
        <f ca="1">SUMIF('Production '!$C$4:$AI$4407,'Tracking Sheet'!B3015,'Production '!$AG$4:$AG$4407)</f>
        <v>0</v>
      </c>
    </row>
    <row r="3016" spans="2:10" x14ac:dyDescent="0.3">
      <c r="B3016" s="277">
        <f>'Production '!C3019</f>
        <v>0</v>
      </c>
      <c r="C3016" s="76" t="e">
        <f ca="1">SUMIF('Production '!$C$4:$AI$4407,'Tracking Sheet'!B3016,'Production '!$M$4:$M$4407)</f>
        <v>#DIV/0!</v>
      </c>
      <c r="D3016" s="76" t="e">
        <f ca="1">SUMIF('Production '!$C$4:$AI$4407,'Tracking Sheet'!B3016,'Production '!$Q$4:$Q$4407)</f>
        <v>#DIV/0!</v>
      </c>
      <c r="E3016" s="76">
        <f ca="1">SUMIF('Production '!$C$4:$AI$4407,'Tracking Sheet'!B3016,'Production '!$S$4:$S$4407)</f>
        <v>-1268218.9828305368</v>
      </c>
      <c r="F3016" s="76">
        <f ca="1">SUMIF('Production '!$C$4:$AI$4407,'Tracking Sheet'!B3016,'Production '!$U$4:$U$4407)</f>
        <v>-10620.435600016917</v>
      </c>
      <c r="G3016" s="76" t="e">
        <f ca="1">SUMIF('Production '!$C$4:$AI$4407,'Tracking Sheet'!B3016,'Production '!$W$4:$W$4407)</f>
        <v>#DIV/0!</v>
      </c>
      <c r="H3016" s="76">
        <f ca="1">SUMIF('Production '!$C$4:$AI$4407,'Tracking Sheet'!B3016,'Production '!$F$4:$F$4407)</f>
        <v>3230621.3283604058</v>
      </c>
      <c r="I3016" s="76">
        <f ca="1">SUMIF('Production '!$C$4:$AI$4407,'Tracking Sheet'!B3016,'Production '!$V$4:$V$4407)</f>
        <v>-489.86487791182844</v>
      </c>
      <c r="J3016" s="76">
        <f ca="1">SUMIF('Production '!$C$4:$AI$4407,'Tracking Sheet'!B3016,'Production '!$AG$4:$AG$4407)</f>
        <v>0</v>
      </c>
    </row>
    <row r="3017" spans="2:10" x14ac:dyDescent="0.3">
      <c r="B3017" s="277">
        <f>'Production '!C3020</f>
        <v>0</v>
      </c>
      <c r="C3017" s="76" t="e">
        <f ca="1">SUMIF('Production '!$C$4:$AI$4407,'Tracking Sheet'!B3017,'Production '!$M$4:$M$4407)</f>
        <v>#DIV/0!</v>
      </c>
      <c r="D3017" s="76" t="e">
        <f ca="1">SUMIF('Production '!$C$4:$AI$4407,'Tracking Sheet'!B3017,'Production '!$Q$4:$Q$4407)</f>
        <v>#DIV/0!</v>
      </c>
      <c r="E3017" s="76">
        <f ca="1">SUMIF('Production '!$C$4:$AI$4407,'Tracking Sheet'!B3017,'Production '!$S$4:$S$4407)</f>
        <v>-1268218.9828305368</v>
      </c>
      <c r="F3017" s="76">
        <f ca="1">SUMIF('Production '!$C$4:$AI$4407,'Tracking Sheet'!B3017,'Production '!$U$4:$U$4407)</f>
        <v>-10620.435600016917</v>
      </c>
      <c r="G3017" s="76" t="e">
        <f ca="1">SUMIF('Production '!$C$4:$AI$4407,'Tracking Sheet'!B3017,'Production '!$W$4:$W$4407)</f>
        <v>#DIV/0!</v>
      </c>
      <c r="H3017" s="76">
        <f ca="1">SUMIF('Production '!$C$4:$AI$4407,'Tracking Sheet'!B3017,'Production '!$F$4:$F$4407)</f>
        <v>3230621.3283604058</v>
      </c>
      <c r="I3017" s="76">
        <f ca="1">SUMIF('Production '!$C$4:$AI$4407,'Tracking Sheet'!B3017,'Production '!$V$4:$V$4407)</f>
        <v>-489.86487791182844</v>
      </c>
      <c r="J3017" s="76">
        <f ca="1">SUMIF('Production '!$C$4:$AI$4407,'Tracking Sheet'!B3017,'Production '!$AG$4:$AG$4407)</f>
        <v>0</v>
      </c>
    </row>
    <row r="3018" spans="2:10" x14ac:dyDescent="0.3">
      <c r="B3018" s="277">
        <f>'Production '!C3021</f>
        <v>0</v>
      </c>
      <c r="C3018" s="76" t="e">
        <f ca="1">SUMIF('Production '!$C$4:$AI$4407,'Tracking Sheet'!B3018,'Production '!$M$4:$M$4407)</f>
        <v>#DIV/0!</v>
      </c>
      <c r="D3018" s="76" t="e">
        <f ca="1">SUMIF('Production '!$C$4:$AI$4407,'Tracking Sheet'!B3018,'Production '!$Q$4:$Q$4407)</f>
        <v>#DIV/0!</v>
      </c>
      <c r="E3018" s="76">
        <f ca="1">SUMIF('Production '!$C$4:$AI$4407,'Tracking Sheet'!B3018,'Production '!$S$4:$S$4407)</f>
        <v>-1268218.9828305368</v>
      </c>
      <c r="F3018" s="76">
        <f ca="1">SUMIF('Production '!$C$4:$AI$4407,'Tracking Sheet'!B3018,'Production '!$U$4:$U$4407)</f>
        <v>-10620.435600016917</v>
      </c>
      <c r="G3018" s="76" t="e">
        <f ca="1">SUMIF('Production '!$C$4:$AI$4407,'Tracking Sheet'!B3018,'Production '!$W$4:$W$4407)</f>
        <v>#DIV/0!</v>
      </c>
      <c r="H3018" s="76">
        <f ca="1">SUMIF('Production '!$C$4:$AI$4407,'Tracking Sheet'!B3018,'Production '!$F$4:$F$4407)</f>
        <v>3230621.3283604058</v>
      </c>
      <c r="I3018" s="76">
        <f ca="1">SUMIF('Production '!$C$4:$AI$4407,'Tracking Sheet'!B3018,'Production '!$V$4:$V$4407)</f>
        <v>-489.86487791182844</v>
      </c>
      <c r="J3018" s="76">
        <f ca="1">SUMIF('Production '!$C$4:$AI$4407,'Tracking Sheet'!B3018,'Production '!$AG$4:$AG$4407)</f>
        <v>0</v>
      </c>
    </row>
    <row r="3019" spans="2:10" x14ac:dyDescent="0.3">
      <c r="B3019" s="277">
        <f>'Production '!C3022</f>
        <v>0</v>
      </c>
      <c r="C3019" s="76" t="e">
        <f ca="1">SUMIF('Production '!$C$4:$AI$4407,'Tracking Sheet'!B3019,'Production '!$M$4:$M$4407)</f>
        <v>#DIV/0!</v>
      </c>
      <c r="D3019" s="76" t="e">
        <f ca="1">SUMIF('Production '!$C$4:$AI$4407,'Tracking Sheet'!B3019,'Production '!$Q$4:$Q$4407)</f>
        <v>#DIV/0!</v>
      </c>
      <c r="E3019" s="76">
        <f ca="1">SUMIF('Production '!$C$4:$AI$4407,'Tracking Sheet'!B3019,'Production '!$S$4:$S$4407)</f>
        <v>-1268218.9828305368</v>
      </c>
      <c r="F3019" s="76">
        <f ca="1">SUMIF('Production '!$C$4:$AI$4407,'Tracking Sheet'!B3019,'Production '!$U$4:$U$4407)</f>
        <v>-10620.435600016917</v>
      </c>
      <c r="G3019" s="76" t="e">
        <f ca="1">SUMIF('Production '!$C$4:$AI$4407,'Tracking Sheet'!B3019,'Production '!$W$4:$W$4407)</f>
        <v>#DIV/0!</v>
      </c>
      <c r="H3019" s="76">
        <f ca="1">SUMIF('Production '!$C$4:$AI$4407,'Tracking Sheet'!B3019,'Production '!$F$4:$F$4407)</f>
        <v>3230621.3283604058</v>
      </c>
      <c r="I3019" s="76">
        <f ca="1">SUMIF('Production '!$C$4:$AI$4407,'Tracking Sheet'!B3019,'Production '!$V$4:$V$4407)</f>
        <v>-489.86487791182844</v>
      </c>
      <c r="J3019" s="76">
        <f ca="1">SUMIF('Production '!$C$4:$AI$4407,'Tracking Sheet'!B3019,'Production '!$AG$4:$AG$4407)</f>
        <v>0</v>
      </c>
    </row>
    <row r="3020" spans="2:10" x14ac:dyDescent="0.3">
      <c r="B3020" s="277">
        <f>'Production '!C3023</f>
        <v>0</v>
      </c>
      <c r="C3020" s="76" t="e">
        <f ca="1">SUMIF('Production '!$C$4:$AI$4407,'Tracking Sheet'!B3020,'Production '!$M$4:$M$4407)</f>
        <v>#DIV/0!</v>
      </c>
      <c r="D3020" s="76" t="e">
        <f ca="1">SUMIF('Production '!$C$4:$AI$4407,'Tracking Sheet'!B3020,'Production '!$Q$4:$Q$4407)</f>
        <v>#DIV/0!</v>
      </c>
      <c r="E3020" s="76">
        <f ca="1">SUMIF('Production '!$C$4:$AI$4407,'Tracking Sheet'!B3020,'Production '!$S$4:$S$4407)</f>
        <v>-1268218.9828305368</v>
      </c>
      <c r="F3020" s="76">
        <f ca="1">SUMIF('Production '!$C$4:$AI$4407,'Tracking Sheet'!B3020,'Production '!$U$4:$U$4407)</f>
        <v>-10620.435600016917</v>
      </c>
      <c r="G3020" s="76" t="e">
        <f ca="1">SUMIF('Production '!$C$4:$AI$4407,'Tracking Sheet'!B3020,'Production '!$W$4:$W$4407)</f>
        <v>#DIV/0!</v>
      </c>
      <c r="H3020" s="76">
        <f ca="1">SUMIF('Production '!$C$4:$AI$4407,'Tracking Sheet'!B3020,'Production '!$F$4:$F$4407)</f>
        <v>3230621.3283604058</v>
      </c>
      <c r="I3020" s="76">
        <f ca="1">SUMIF('Production '!$C$4:$AI$4407,'Tracking Sheet'!B3020,'Production '!$V$4:$V$4407)</f>
        <v>-489.86487791182844</v>
      </c>
      <c r="J3020" s="76">
        <f ca="1">SUMIF('Production '!$C$4:$AI$4407,'Tracking Sheet'!B3020,'Production '!$AG$4:$AG$4407)</f>
        <v>0</v>
      </c>
    </row>
    <row r="3021" spans="2:10" x14ac:dyDescent="0.3">
      <c r="B3021" s="277">
        <f>'Production '!C3024</f>
        <v>0</v>
      </c>
      <c r="C3021" s="76" t="e">
        <f ca="1">SUMIF('Production '!$C$4:$AI$4407,'Tracking Sheet'!B3021,'Production '!$M$4:$M$4407)</f>
        <v>#DIV/0!</v>
      </c>
      <c r="D3021" s="76" t="e">
        <f ca="1">SUMIF('Production '!$C$4:$AI$4407,'Tracking Sheet'!B3021,'Production '!$Q$4:$Q$4407)</f>
        <v>#DIV/0!</v>
      </c>
      <c r="E3021" s="76">
        <f ca="1">SUMIF('Production '!$C$4:$AI$4407,'Tracking Sheet'!B3021,'Production '!$S$4:$S$4407)</f>
        <v>-1268218.9828305368</v>
      </c>
      <c r="F3021" s="76">
        <f ca="1">SUMIF('Production '!$C$4:$AI$4407,'Tracking Sheet'!B3021,'Production '!$U$4:$U$4407)</f>
        <v>-10620.435600016917</v>
      </c>
      <c r="G3021" s="76" t="e">
        <f ca="1">SUMIF('Production '!$C$4:$AI$4407,'Tracking Sheet'!B3021,'Production '!$W$4:$W$4407)</f>
        <v>#DIV/0!</v>
      </c>
      <c r="H3021" s="76">
        <f ca="1">SUMIF('Production '!$C$4:$AI$4407,'Tracking Sheet'!B3021,'Production '!$F$4:$F$4407)</f>
        <v>3230621.3283604058</v>
      </c>
      <c r="I3021" s="76">
        <f ca="1">SUMIF('Production '!$C$4:$AI$4407,'Tracking Sheet'!B3021,'Production '!$V$4:$V$4407)</f>
        <v>-489.86487791182844</v>
      </c>
      <c r="J3021" s="76">
        <f ca="1">SUMIF('Production '!$C$4:$AI$4407,'Tracking Sheet'!B3021,'Production '!$AG$4:$AG$4407)</f>
        <v>0</v>
      </c>
    </row>
    <row r="3022" spans="2:10" x14ac:dyDescent="0.3">
      <c r="B3022" s="277">
        <f>'Production '!C3025</f>
        <v>0</v>
      </c>
      <c r="C3022" s="76" t="e">
        <f ca="1">SUMIF('Production '!$C$4:$AI$4407,'Tracking Sheet'!B3022,'Production '!$M$4:$M$4407)</f>
        <v>#DIV/0!</v>
      </c>
      <c r="D3022" s="76" t="e">
        <f ca="1">SUMIF('Production '!$C$4:$AI$4407,'Tracking Sheet'!B3022,'Production '!$Q$4:$Q$4407)</f>
        <v>#DIV/0!</v>
      </c>
      <c r="E3022" s="76">
        <f ca="1">SUMIF('Production '!$C$4:$AI$4407,'Tracking Sheet'!B3022,'Production '!$S$4:$S$4407)</f>
        <v>-1268218.9828305368</v>
      </c>
      <c r="F3022" s="76">
        <f ca="1">SUMIF('Production '!$C$4:$AI$4407,'Tracking Sheet'!B3022,'Production '!$U$4:$U$4407)</f>
        <v>-10620.435600016917</v>
      </c>
      <c r="G3022" s="76" t="e">
        <f ca="1">SUMIF('Production '!$C$4:$AI$4407,'Tracking Sheet'!B3022,'Production '!$W$4:$W$4407)</f>
        <v>#DIV/0!</v>
      </c>
      <c r="H3022" s="76">
        <f ca="1">SUMIF('Production '!$C$4:$AI$4407,'Tracking Sheet'!B3022,'Production '!$F$4:$F$4407)</f>
        <v>3230621.3283604058</v>
      </c>
      <c r="I3022" s="76">
        <f ca="1">SUMIF('Production '!$C$4:$AI$4407,'Tracking Sheet'!B3022,'Production '!$V$4:$V$4407)</f>
        <v>-489.86487791182844</v>
      </c>
      <c r="J3022" s="76">
        <f ca="1">SUMIF('Production '!$C$4:$AI$4407,'Tracking Sheet'!B3022,'Production '!$AG$4:$AG$4407)</f>
        <v>0</v>
      </c>
    </row>
    <row r="3023" spans="2:10" x14ac:dyDescent="0.3">
      <c r="B3023" s="277">
        <f>'Production '!C3026</f>
        <v>0</v>
      </c>
      <c r="C3023" s="76" t="e">
        <f ca="1">SUMIF('Production '!$C$4:$AI$4407,'Tracking Sheet'!B3023,'Production '!$M$4:$M$4407)</f>
        <v>#DIV/0!</v>
      </c>
      <c r="D3023" s="76" t="e">
        <f ca="1">SUMIF('Production '!$C$4:$AI$4407,'Tracking Sheet'!B3023,'Production '!$Q$4:$Q$4407)</f>
        <v>#DIV/0!</v>
      </c>
      <c r="E3023" s="76">
        <f ca="1">SUMIF('Production '!$C$4:$AI$4407,'Tracking Sheet'!B3023,'Production '!$S$4:$S$4407)</f>
        <v>-1268218.9828305368</v>
      </c>
      <c r="F3023" s="76">
        <f ca="1">SUMIF('Production '!$C$4:$AI$4407,'Tracking Sheet'!B3023,'Production '!$U$4:$U$4407)</f>
        <v>-10620.435600016917</v>
      </c>
      <c r="G3023" s="76" t="e">
        <f ca="1">SUMIF('Production '!$C$4:$AI$4407,'Tracking Sheet'!B3023,'Production '!$W$4:$W$4407)</f>
        <v>#DIV/0!</v>
      </c>
      <c r="H3023" s="76">
        <f ca="1">SUMIF('Production '!$C$4:$AI$4407,'Tracking Sheet'!B3023,'Production '!$F$4:$F$4407)</f>
        <v>3230621.3283604058</v>
      </c>
      <c r="I3023" s="76">
        <f ca="1">SUMIF('Production '!$C$4:$AI$4407,'Tracking Sheet'!B3023,'Production '!$V$4:$V$4407)</f>
        <v>-489.86487791182844</v>
      </c>
      <c r="J3023" s="76">
        <f ca="1">SUMIF('Production '!$C$4:$AI$4407,'Tracking Sheet'!B3023,'Production '!$AG$4:$AG$4407)</f>
        <v>0</v>
      </c>
    </row>
    <row r="3024" spans="2:10" x14ac:dyDescent="0.3">
      <c r="B3024" s="277">
        <f>'Production '!C3027</f>
        <v>0</v>
      </c>
      <c r="C3024" s="76" t="e">
        <f ca="1">SUMIF('Production '!$C$4:$AI$4407,'Tracking Sheet'!B3024,'Production '!$M$4:$M$4407)</f>
        <v>#DIV/0!</v>
      </c>
      <c r="D3024" s="76" t="e">
        <f ca="1">SUMIF('Production '!$C$4:$AI$4407,'Tracking Sheet'!B3024,'Production '!$Q$4:$Q$4407)</f>
        <v>#DIV/0!</v>
      </c>
      <c r="E3024" s="76">
        <f ca="1">SUMIF('Production '!$C$4:$AI$4407,'Tracking Sheet'!B3024,'Production '!$S$4:$S$4407)</f>
        <v>-1268218.9828305368</v>
      </c>
      <c r="F3024" s="76">
        <f ca="1">SUMIF('Production '!$C$4:$AI$4407,'Tracking Sheet'!B3024,'Production '!$U$4:$U$4407)</f>
        <v>-10620.435600016917</v>
      </c>
      <c r="G3024" s="76" t="e">
        <f ca="1">SUMIF('Production '!$C$4:$AI$4407,'Tracking Sheet'!B3024,'Production '!$W$4:$W$4407)</f>
        <v>#DIV/0!</v>
      </c>
      <c r="H3024" s="76">
        <f ca="1">SUMIF('Production '!$C$4:$AI$4407,'Tracking Sheet'!B3024,'Production '!$F$4:$F$4407)</f>
        <v>3230621.3283604058</v>
      </c>
      <c r="I3024" s="76">
        <f ca="1">SUMIF('Production '!$C$4:$AI$4407,'Tracking Sheet'!B3024,'Production '!$V$4:$V$4407)</f>
        <v>-489.86487791182844</v>
      </c>
      <c r="J3024" s="76">
        <f ca="1">SUMIF('Production '!$C$4:$AI$4407,'Tracking Sheet'!B3024,'Production '!$AG$4:$AG$4407)</f>
        <v>0</v>
      </c>
    </row>
    <row r="3025" spans="2:10" x14ac:dyDescent="0.3">
      <c r="B3025" s="277">
        <f>'Production '!C3028</f>
        <v>0</v>
      </c>
      <c r="C3025" s="76" t="e">
        <f ca="1">SUMIF('Production '!$C$4:$AI$4407,'Tracking Sheet'!B3025,'Production '!$M$4:$M$4407)</f>
        <v>#DIV/0!</v>
      </c>
      <c r="D3025" s="76" t="e">
        <f ca="1">SUMIF('Production '!$C$4:$AI$4407,'Tracking Sheet'!B3025,'Production '!$Q$4:$Q$4407)</f>
        <v>#DIV/0!</v>
      </c>
      <c r="E3025" s="76">
        <f ca="1">SUMIF('Production '!$C$4:$AI$4407,'Tracking Sheet'!B3025,'Production '!$S$4:$S$4407)</f>
        <v>-1268218.9828305368</v>
      </c>
      <c r="F3025" s="76">
        <f ca="1">SUMIF('Production '!$C$4:$AI$4407,'Tracking Sheet'!B3025,'Production '!$U$4:$U$4407)</f>
        <v>-10620.435600016917</v>
      </c>
      <c r="G3025" s="76" t="e">
        <f ca="1">SUMIF('Production '!$C$4:$AI$4407,'Tracking Sheet'!B3025,'Production '!$W$4:$W$4407)</f>
        <v>#DIV/0!</v>
      </c>
      <c r="H3025" s="76">
        <f ca="1">SUMIF('Production '!$C$4:$AI$4407,'Tracking Sheet'!B3025,'Production '!$F$4:$F$4407)</f>
        <v>3230621.3283604058</v>
      </c>
      <c r="I3025" s="76">
        <f ca="1">SUMIF('Production '!$C$4:$AI$4407,'Tracking Sheet'!B3025,'Production '!$V$4:$V$4407)</f>
        <v>-489.86487791182844</v>
      </c>
      <c r="J3025" s="76">
        <f ca="1">SUMIF('Production '!$C$4:$AI$4407,'Tracking Sheet'!B3025,'Production '!$AG$4:$AG$4407)</f>
        <v>0</v>
      </c>
    </row>
    <row r="3026" spans="2:10" x14ac:dyDescent="0.3">
      <c r="B3026" s="277">
        <f>'Production '!C3029</f>
        <v>0</v>
      </c>
      <c r="C3026" s="76" t="e">
        <f ca="1">SUMIF('Production '!$C$4:$AI$4407,'Tracking Sheet'!B3026,'Production '!$M$4:$M$4407)</f>
        <v>#DIV/0!</v>
      </c>
      <c r="D3026" s="76" t="e">
        <f ca="1">SUMIF('Production '!$C$4:$AI$4407,'Tracking Sheet'!B3026,'Production '!$Q$4:$Q$4407)</f>
        <v>#DIV/0!</v>
      </c>
      <c r="E3026" s="76">
        <f ca="1">SUMIF('Production '!$C$4:$AI$4407,'Tracking Sheet'!B3026,'Production '!$S$4:$S$4407)</f>
        <v>-1268218.9828305368</v>
      </c>
      <c r="F3026" s="76">
        <f ca="1">SUMIF('Production '!$C$4:$AI$4407,'Tracking Sheet'!B3026,'Production '!$U$4:$U$4407)</f>
        <v>-10620.435600016917</v>
      </c>
      <c r="G3026" s="76" t="e">
        <f ca="1">SUMIF('Production '!$C$4:$AI$4407,'Tracking Sheet'!B3026,'Production '!$W$4:$W$4407)</f>
        <v>#DIV/0!</v>
      </c>
      <c r="H3026" s="76">
        <f ca="1">SUMIF('Production '!$C$4:$AI$4407,'Tracking Sheet'!B3026,'Production '!$F$4:$F$4407)</f>
        <v>3230621.3283604058</v>
      </c>
      <c r="I3026" s="76">
        <f ca="1">SUMIF('Production '!$C$4:$AI$4407,'Tracking Sheet'!B3026,'Production '!$V$4:$V$4407)</f>
        <v>-489.86487791182844</v>
      </c>
      <c r="J3026" s="76">
        <f ca="1">SUMIF('Production '!$C$4:$AI$4407,'Tracking Sheet'!B3026,'Production '!$AG$4:$AG$4407)</f>
        <v>0</v>
      </c>
    </row>
    <row r="3027" spans="2:10" x14ac:dyDescent="0.3">
      <c r="B3027" s="277">
        <f>'Production '!C3030</f>
        <v>0</v>
      </c>
      <c r="C3027" s="76" t="e">
        <f ca="1">SUMIF('Production '!$C$4:$AI$4407,'Tracking Sheet'!B3027,'Production '!$M$4:$M$4407)</f>
        <v>#DIV/0!</v>
      </c>
      <c r="D3027" s="76" t="e">
        <f ca="1">SUMIF('Production '!$C$4:$AI$4407,'Tracking Sheet'!B3027,'Production '!$Q$4:$Q$4407)</f>
        <v>#DIV/0!</v>
      </c>
      <c r="E3027" s="76">
        <f ca="1">SUMIF('Production '!$C$4:$AI$4407,'Tracking Sheet'!B3027,'Production '!$S$4:$S$4407)</f>
        <v>-1268218.9828305368</v>
      </c>
      <c r="F3027" s="76">
        <f ca="1">SUMIF('Production '!$C$4:$AI$4407,'Tracking Sheet'!B3027,'Production '!$U$4:$U$4407)</f>
        <v>-10620.435600016917</v>
      </c>
      <c r="G3027" s="76" t="e">
        <f ca="1">SUMIF('Production '!$C$4:$AI$4407,'Tracking Sheet'!B3027,'Production '!$W$4:$W$4407)</f>
        <v>#DIV/0!</v>
      </c>
      <c r="H3027" s="76">
        <f ca="1">SUMIF('Production '!$C$4:$AI$4407,'Tracking Sheet'!B3027,'Production '!$F$4:$F$4407)</f>
        <v>3230621.3283604058</v>
      </c>
      <c r="I3027" s="76">
        <f ca="1">SUMIF('Production '!$C$4:$AI$4407,'Tracking Sheet'!B3027,'Production '!$V$4:$V$4407)</f>
        <v>-489.86487791182844</v>
      </c>
      <c r="J3027" s="76">
        <f ca="1">SUMIF('Production '!$C$4:$AI$4407,'Tracking Sheet'!B3027,'Production '!$AG$4:$AG$4407)</f>
        <v>0</v>
      </c>
    </row>
    <row r="3028" spans="2:10" x14ac:dyDescent="0.3">
      <c r="B3028" s="277">
        <f>'Production '!C3031</f>
        <v>0</v>
      </c>
      <c r="C3028" s="76" t="e">
        <f ca="1">SUMIF('Production '!$C$4:$AI$4407,'Tracking Sheet'!B3028,'Production '!$M$4:$M$4407)</f>
        <v>#DIV/0!</v>
      </c>
      <c r="D3028" s="76" t="e">
        <f ca="1">SUMIF('Production '!$C$4:$AI$4407,'Tracking Sheet'!B3028,'Production '!$Q$4:$Q$4407)</f>
        <v>#DIV/0!</v>
      </c>
      <c r="E3028" s="76">
        <f ca="1">SUMIF('Production '!$C$4:$AI$4407,'Tracking Sheet'!B3028,'Production '!$S$4:$S$4407)</f>
        <v>-1268218.9828305368</v>
      </c>
      <c r="F3028" s="76">
        <f ca="1">SUMIF('Production '!$C$4:$AI$4407,'Tracking Sheet'!B3028,'Production '!$U$4:$U$4407)</f>
        <v>-10620.435600016917</v>
      </c>
      <c r="G3028" s="76" t="e">
        <f ca="1">SUMIF('Production '!$C$4:$AI$4407,'Tracking Sheet'!B3028,'Production '!$W$4:$W$4407)</f>
        <v>#DIV/0!</v>
      </c>
      <c r="H3028" s="76">
        <f ca="1">SUMIF('Production '!$C$4:$AI$4407,'Tracking Sheet'!B3028,'Production '!$F$4:$F$4407)</f>
        <v>3230621.3283604058</v>
      </c>
      <c r="I3028" s="76">
        <f ca="1">SUMIF('Production '!$C$4:$AI$4407,'Tracking Sheet'!B3028,'Production '!$V$4:$V$4407)</f>
        <v>-489.86487791182844</v>
      </c>
      <c r="J3028" s="76">
        <f ca="1">SUMIF('Production '!$C$4:$AI$4407,'Tracking Sheet'!B3028,'Production '!$AG$4:$AG$4407)</f>
        <v>0</v>
      </c>
    </row>
    <row r="3029" spans="2:10" x14ac:dyDescent="0.3">
      <c r="B3029" s="277">
        <f>'Production '!C3032</f>
        <v>0</v>
      </c>
      <c r="C3029" s="76" t="e">
        <f ca="1">SUMIF('Production '!$C$4:$AI$4407,'Tracking Sheet'!B3029,'Production '!$M$4:$M$4407)</f>
        <v>#DIV/0!</v>
      </c>
      <c r="D3029" s="76" t="e">
        <f ca="1">SUMIF('Production '!$C$4:$AI$4407,'Tracking Sheet'!B3029,'Production '!$Q$4:$Q$4407)</f>
        <v>#DIV/0!</v>
      </c>
      <c r="E3029" s="76">
        <f ca="1">SUMIF('Production '!$C$4:$AI$4407,'Tracking Sheet'!B3029,'Production '!$S$4:$S$4407)</f>
        <v>-1268218.9828305368</v>
      </c>
      <c r="F3029" s="76">
        <f ca="1">SUMIF('Production '!$C$4:$AI$4407,'Tracking Sheet'!B3029,'Production '!$U$4:$U$4407)</f>
        <v>-10620.435600016917</v>
      </c>
      <c r="G3029" s="76" t="e">
        <f ca="1">SUMIF('Production '!$C$4:$AI$4407,'Tracking Sheet'!B3029,'Production '!$W$4:$W$4407)</f>
        <v>#DIV/0!</v>
      </c>
      <c r="H3029" s="76">
        <f ca="1">SUMIF('Production '!$C$4:$AI$4407,'Tracking Sheet'!B3029,'Production '!$F$4:$F$4407)</f>
        <v>3230621.3283604058</v>
      </c>
      <c r="I3029" s="76">
        <f ca="1">SUMIF('Production '!$C$4:$AI$4407,'Tracking Sheet'!B3029,'Production '!$V$4:$V$4407)</f>
        <v>-489.86487791182844</v>
      </c>
      <c r="J3029" s="76">
        <f ca="1">SUMIF('Production '!$C$4:$AI$4407,'Tracking Sheet'!B3029,'Production '!$AG$4:$AG$4407)</f>
        <v>0</v>
      </c>
    </row>
    <row r="3030" spans="2:10" x14ac:dyDescent="0.3">
      <c r="B3030" s="277">
        <f>'Production '!C3033</f>
        <v>0</v>
      </c>
      <c r="C3030" s="76" t="e">
        <f ca="1">SUMIF('Production '!$C$4:$AI$4407,'Tracking Sheet'!B3030,'Production '!$M$4:$M$4407)</f>
        <v>#DIV/0!</v>
      </c>
      <c r="D3030" s="76" t="e">
        <f ca="1">SUMIF('Production '!$C$4:$AI$4407,'Tracking Sheet'!B3030,'Production '!$Q$4:$Q$4407)</f>
        <v>#DIV/0!</v>
      </c>
      <c r="E3030" s="76">
        <f ca="1">SUMIF('Production '!$C$4:$AI$4407,'Tracking Sheet'!B3030,'Production '!$S$4:$S$4407)</f>
        <v>-1268218.9828305368</v>
      </c>
      <c r="F3030" s="76">
        <f ca="1">SUMIF('Production '!$C$4:$AI$4407,'Tracking Sheet'!B3030,'Production '!$U$4:$U$4407)</f>
        <v>-10620.435600016917</v>
      </c>
      <c r="G3030" s="76" t="e">
        <f ca="1">SUMIF('Production '!$C$4:$AI$4407,'Tracking Sheet'!B3030,'Production '!$W$4:$W$4407)</f>
        <v>#DIV/0!</v>
      </c>
      <c r="H3030" s="76">
        <f ca="1">SUMIF('Production '!$C$4:$AI$4407,'Tracking Sheet'!B3030,'Production '!$F$4:$F$4407)</f>
        <v>3230621.3283604058</v>
      </c>
      <c r="I3030" s="76">
        <f ca="1">SUMIF('Production '!$C$4:$AI$4407,'Tracking Sheet'!B3030,'Production '!$V$4:$V$4407)</f>
        <v>-489.86487791182844</v>
      </c>
      <c r="J3030" s="76">
        <f ca="1">SUMIF('Production '!$C$4:$AI$4407,'Tracking Sheet'!B3030,'Production '!$AG$4:$AG$4407)</f>
        <v>0</v>
      </c>
    </row>
    <row r="3031" spans="2:10" x14ac:dyDescent="0.3">
      <c r="B3031" s="277">
        <f>'Production '!C3034</f>
        <v>0</v>
      </c>
      <c r="C3031" s="76" t="e">
        <f ca="1">SUMIF('Production '!$C$4:$AI$4407,'Tracking Sheet'!B3031,'Production '!$M$4:$M$4407)</f>
        <v>#DIV/0!</v>
      </c>
      <c r="D3031" s="76" t="e">
        <f ca="1">SUMIF('Production '!$C$4:$AI$4407,'Tracking Sheet'!B3031,'Production '!$Q$4:$Q$4407)</f>
        <v>#DIV/0!</v>
      </c>
      <c r="E3031" s="76">
        <f ca="1">SUMIF('Production '!$C$4:$AI$4407,'Tracking Sheet'!B3031,'Production '!$S$4:$S$4407)</f>
        <v>-1268218.9828305368</v>
      </c>
      <c r="F3031" s="76">
        <f ca="1">SUMIF('Production '!$C$4:$AI$4407,'Tracking Sheet'!B3031,'Production '!$U$4:$U$4407)</f>
        <v>-10620.435600016917</v>
      </c>
      <c r="G3031" s="76" t="e">
        <f ca="1">SUMIF('Production '!$C$4:$AI$4407,'Tracking Sheet'!B3031,'Production '!$W$4:$W$4407)</f>
        <v>#DIV/0!</v>
      </c>
      <c r="H3031" s="76">
        <f ca="1">SUMIF('Production '!$C$4:$AI$4407,'Tracking Sheet'!B3031,'Production '!$F$4:$F$4407)</f>
        <v>3230621.3283604058</v>
      </c>
      <c r="I3031" s="76">
        <f ca="1">SUMIF('Production '!$C$4:$AI$4407,'Tracking Sheet'!B3031,'Production '!$V$4:$V$4407)</f>
        <v>-489.86487791182844</v>
      </c>
      <c r="J3031" s="76">
        <f ca="1">SUMIF('Production '!$C$4:$AI$4407,'Tracking Sheet'!B3031,'Production '!$AG$4:$AG$4407)</f>
        <v>0</v>
      </c>
    </row>
    <row r="3032" spans="2:10" x14ac:dyDescent="0.3">
      <c r="B3032" s="277">
        <f>'Production '!C3035</f>
        <v>0</v>
      </c>
      <c r="C3032" s="76" t="e">
        <f ca="1">SUMIF('Production '!$C$4:$AI$4407,'Tracking Sheet'!B3032,'Production '!$M$4:$M$4407)</f>
        <v>#DIV/0!</v>
      </c>
      <c r="D3032" s="76" t="e">
        <f ca="1">SUMIF('Production '!$C$4:$AI$4407,'Tracking Sheet'!B3032,'Production '!$Q$4:$Q$4407)</f>
        <v>#DIV/0!</v>
      </c>
      <c r="E3032" s="76">
        <f ca="1">SUMIF('Production '!$C$4:$AI$4407,'Tracking Sheet'!B3032,'Production '!$S$4:$S$4407)</f>
        <v>-1268218.9828305368</v>
      </c>
      <c r="F3032" s="76">
        <f ca="1">SUMIF('Production '!$C$4:$AI$4407,'Tracking Sheet'!B3032,'Production '!$U$4:$U$4407)</f>
        <v>-10620.435600016917</v>
      </c>
      <c r="G3032" s="76" t="e">
        <f ca="1">SUMIF('Production '!$C$4:$AI$4407,'Tracking Sheet'!B3032,'Production '!$W$4:$W$4407)</f>
        <v>#DIV/0!</v>
      </c>
      <c r="H3032" s="76">
        <f ca="1">SUMIF('Production '!$C$4:$AI$4407,'Tracking Sheet'!B3032,'Production '!$F$4:$F$4407)</f>
        <v>3230621.3283604058</v>
      </c>
      <c r="I3032" s="76">
        <f ca="1">SUMIF('Production '!$C$4:$AI$4407,'Tracking Sheet'!B3032,'Production '!$V$4:$V$4407)</f>
        <v>-489.86487791182844</v>
      </c>
      <c r="J3032" s="76">
        <f ca="1">SUMIF('Production '!$C$4:$AI$4407,'Tracking Sheet'!B3032,'Production '!$AG$4:$AG$4407)</f>
        <v>0</v>
      </c>
    </row>
    <row r="3033" spans="2:10" x14ac:dyDescent="0.3">
      <c r="B3033" s="277">
        <f>'Production '!C3036</f>
        <v>0</v>
      </c>
      <c r="C3033" s="76" t="e">
        <f ca="1">SUMIF('Production '!$C$4:$AI$4407,'Tracking Sheet'!B3033,'Production '!$M$4:$M$4407)</f>
        <v>#DIV/0!</v>
      </c>
      <c r="D3033" s="76" t="e">
        <f ca="1">SUMIF('Production '!$C$4:$AI$4407,'Tracking Sheet'!B3033,'Production '!$Q$4:$Q$4407)</f>
        <v>#DIV/0!</v>
      </c>
      <c r="E3033" s="76">
        <f ca="1">SUMIF('Production '!$C$4:$AI$4407,'Tracking Sheet'!B3033,'Production '!$S$4:$S$4407)</f>
        <v>-1268218.9828305368</v>
      </c>
      <c r="F3033" s="76">
        <f ca="1">SUMIF('Production '!$C$4:$AI$4407,'Tracking Sheet'!B3033,'Production '!$U$4:$U$4407)</f>
        <v>-10620.435600016917</v>
      </c>
      <c r="G3033" s="76" t="e">
        <f ca="1">SUMIF('Production '!$C$4:$AI$4407,'Tracking Sheet'!B3033,'Production '!$W$4:$W$4407)</f>
        <v>#DIV/0!</v>
      </c>
      <c r="H3033" s="76">
        <f ca="1">SUMIF('Production '!$C$4:$AI$4407,'Tracking Sheet'!B3033,'Production '!$F$4:$F$4407)</f>
        <v>3230621.3283604058</v>
      </c>
      <c r="I3033" s="76">
        <f ca="1">SUMIF('Production '!$C$4:$AI$4407,'Tracking Sheet'!B3033,'Production '!$V$4:$V$4407)</f>
        <v>-489.86487791182844</v>
      </c>
      <c r="J3033" s="76">
        <f ca="1">SUMIF('Production '!$C$4:$AI$4407,'Tracking Sheet'!B3033,'Production '!$AG$4:$AG$4407)</f>
        <v>0</v>
      </c>
    </row>
    <row r="3034" spans="2:10" x14ac:dyDescent="0.3">
      <c r="B3034" s="277">
        <f>'Production '!C3037</f>
        <v>0</v>
      </c>
      <c r="C3034" s="76" t="e">
        <f ca="1">SUMIF('Production '!$C$4:$AI$4407,'Tracking Sheet'!B3034,'Production '!$M$4:$M$4407)</f>
        <v>#DIV/0!</v>
      </c>
      <c r="D3034" s="76" t="e">
        <f ca="1">SUMIF('Production '!$C$4:$AI$4407,'Tracking Sheet'!B3034,'Production '!$Q$4:$Q$4407)</f>
        <v>#DIV/0!</v>
      </c>
      <c r="E3034" s="76">
        <f ca="1">SUMIF('Production '!$C$4:$AI$4407,'Tracking Sheet'!B3034,'Production '!$S$4:$S$4407)</f>
        <v>-1268218.9828305368</v>
      </c>
      <c r="F3034" s="76">
        <f ca="1">SUMIF('Production '!$C$4:$AI$4407,'Tracking Sheet'!B3034,'Production '!$U$4:$U$4407)</f>
        <v>-10620.435600016917</v>
      </c>
      <c r="G3034" s="76" t="e">
        <f ca="1">SUMIF('Production '!$C$4:$AI$4407,'Tracking Sheet'!B3034,'Production '!$W$4:$W$4407)</f>
        <v>#DIV/0!</v>
      </c>
      <c r="H3034" s="76">
        <f ca="1">SUMIF('Production '!$C$4:$AI$4407,'Tracking Sheet'!B3034,'Production '!$F$4:$F$4407)</f>
        <v>3230621.3283604058</v>
      </c>
      <c r="I3034" s="76">
        <f ca="1">SUMIF('Production '!$C$4:$AI$4407,'Tracking Sheet'!B3034,'Production '!$V$4:$V$4407)</f>
        <v>-489.86487791182844</v>
      </c>
      <c r="J3034" s="76">
        <f ca="1">SUMIF('Production '!$C$4:$AI$4407,'Tracking Sheet'!B3034,'Production '!$AG$4:$AG$4407)</f>
        <v>0</v>
      </c>
    </row>
    <row r="3035" spans="2:10" x14ac:dyDescent="0.3">
      <c r="B3035" s="277">
        <f>'Production '!C3038</f>
        <v>0</v>
      </c>
      <c r="C3035" s="76" t="e">
        <f ca="1">SUMIF('Production '!$C$4:$AI$4407,'Tracking Sheet'!B3035,'Production '!$M$4:$M$4407)</f>
        <v>#DIV/0!</v>
      </c>
      <c r="D3035" s="76" t="e">
        <f ca="1">SUMIF('Production '!$C$4:$AI$4407,'Tracking Sheet'!B3035,'Production '!$Q$4:$Q$4407)</f>
        <v>#DIV/0!</v>
      </c>
      <c r="E3035" s="76">
        <f ca="1">SUMIF('Production '!$C$4:$AI$4407,'Tracking Sheet'!B3035,'Production '!$S$4:$S$4407)</f>
        <v>-1268218.9828305368</v>
      </c>
      <c r="F3035" s="76">
        <f ca="1">SUMIF('Production '!$C$4:$AI$4407,'Tracking Sheet'!B3035,'Production '!$U$4:$U$4407)</f>
        <v>-10620.435600016917</v>
      </c>
      <c r="G3035" s="76" t="e">
        <f ca="1">SUMIF('Production '!$C$4:$AI$4407,'Tracking Sheet'!B3035,'Production '!$W$4:$W$4407)</f>
        <v>#DIV/0!</v>
      </c>
      <c r="H3035" s="76">
        <f ca="1">SUMIF('Production '!$C$4:$AI$4407,'Tracking Sheet'!B3035,'Production '!$F$4:$F$4407)</f>
        <v>3230621.3283604058</v>
      </c>
      <c r="I3035" s="76">
        <f ca="1">SUMIF('Production '!$C$4:$AI$4407,'Tracking Sheet'!B3035,'Production '!$V$4:$V$4407)</f>
        <v>-489.86487791182844</v>
      </c>
      <c r="J3035" s="76">
        <f ca="1">SUMIF('Production '!$C$4:$AI$4407,'Tracking Sheet'!B3035,'Production '!$AG$4:$AG$4407)</f>
        <v>0</v>
      </c>
    </row>
    <row r="3036" spans="2:10" x14ac:dyDescent="0.3">
      <c r="B3036" s="277">
        <f>'Production '!C3039</f>
        <v>0</v>
      </c>
      <c r="C3036" s="76" t="e">
        <f ca="1">SUMIF('Production '!$C$4:$AI$4407,'Tracking Sheet'!B3036,'Production '!$M$4:$M$4407)</f>
        <v>#DIV/0!</v>
      </c>
      <c r="D3036" s="76" t="e">
        <f ca="1">SUMIF('Production '!$C$4:$AI$4407,'Tracking Sheet'!B3036,'Production '!$Q$4:$Q$4407)</f>
        <v>#DIV/0!</v>
      </c>
      <c r="E3036" s="76">
        <f ca="1">SUMIF('Production '!$C$4:$AI$4407,'Tracking Sheet'!B3036,'Production '!$S$4:$S$4407)</f>
        <v>-1268218.9828305368</v>
      </c>
      <c r="F3036" s="76">
        <f ca="1">SUMIF('Production '!$C$4:$AI$4407,'Tracking Sheet'!B3036,'Production '!$U$4:$U$4407)</f>
        <v>-10620.435600016917</v>
      </c>
      <c r="G3036" s="76" t="e">
        <f ca="1">SUMIF('Production '!$C$4:$AI$4407,'Tracking Sheet'!B3036,'Production '!$W$4:$W$4407)</f>
        <v>#DIV/0!</v>
      </c>
      <c r="H3036" s="76">
        <f ca="1">SUMIF('Production '!$C$4:$AI$4407,'Tracking Sheet'!B3036,'Production '!$F$4:$F$4407)</f>
        <v>3230621.3283604058</v>
      </c>
      <c r="I3036" s="76">
        <f ca="1">SUMIF('Production '!$C$4:$AI$4407,'Tracking Sheet'!B3036,'Production '!$V$4:$V$4407)</f>
        <v>-489.86487791182844</v>
      </c>
      <c r="J3036" s="76">
        <f ca="1">SUMIF('Production '!$C$4:$AI$4407,'Tracking Sheet'!B3036,'Production '!$AG$4:$AG$4407)</f>
        <v>0</v>
      </c>
    </row>
    <row r="3037" spans="2:10" x14ac:dyDescent="0.3">
      <c r="B3037" s="277">
        <f>'Production '!C3040</f>
        <v>0</v>
      </c>
      <c r="C3037" s="76" t="e">
        <f ca="1">SUMIF('Production '!$C$4:$AI$4407,'Tracking Sheet'!B3037,'Production '!$M$4:$M$4407)</f>
        <v>#DIV/0!</v>
      </c>
      <c r="D3037" s="76" t="e">
        <f ca="1">SUMIF('Production '!$C$4:$AI$4407,'Tracking Sheet'!B3037,'Production '!$Q$4:$Q$4407)</f>
        <v>#DIV/0!</v>
      </c>
      <c r="E3037" s="76">
        <f ca="1">SUMIF('Production '!$C$4:$AI$4407,'Tracking Sheet'!B3037,'Production '!$S$4:$S$4407)</f>
        <v>-1268218.9828305368</v>
      </c>
      <c r="F3037" s="76">
        <f ca="1">SUMIF('Production '!$C$4:$AI$4407,'Tracking Sheet'!B3037,'Production '!$U$4:$U$4407)</f>
        <v>-10620.435600016917</v>
      </c>
      <c r="G3037" s="76" t="e">
        <f ca="1">SUMIF('Production '!$C$4:$AI$4407,'Tracking Sheet'!B3037,'Production '!$W$4:$W$4407)</f>
        <v>#DIV/0!</v>
      </c>
      <c r="H3037" s="76">
        <f ca="1">SUMIF('Production '!$C$4:$AI$4407,'Tracking Sheet'!B3037,'Production '!$F$4:$F$4407)</f>
        <v>3230621.3283604058</v>
      </c>
      <c r="I3037" s="76">
        <f ca="1">SUMIF('Production '!$C$4:$AI$4407,'Tracking Sheet'!B3037,'Production '!$V$4:$V$4407)</f>
        <v>-489.86487791182844</v>
      </c>
      <c r="J3037" s="76">
        <f ca="1">SUMIF('Production '!$C$4:$AI$4407,'Tracking Sheet'!B3037,'Production '!$AG$4:$AG$4407)</f>
        <v>0</v>
      </c>
    </row>
    <row r="3038" spans="2:10" x14ac:dyDescent="0.3">
      <c r="B3038" s="277">
        <f>'Production '!C3041</f>
        <v>0</v>
      </c>
      <c r="C3038" s="76" t="e">
        <f ca="1">SUMIF('Production '!$C$4:$AI$4407,'Tracking Sheet'!B3038,'Production '!$M$4:$M$4407)</f>
        <v>#DIV/0!</v>
      </c>
      <c r="D3038" s="76" t="e">
        <f ca="1">SUMIF('Production '!$C$4:$AI$4407,'Tracking Sheet'!B3038,'Production '!$Q$4:$Q$4407)</f>
        <v>#DIV/0!</v>
      </c>
      <c r="E3038" s="76">
        <f ca="1">SUMIF('Production '!$C$4:$AI$4407,'Tracking Sheet'!B3038,'Production '!$S$4:$S$4407)</f>
        <v>-1268218.9828305368</v>
      </c>
      <c r="F3038" s="76">
        <f ca="1">SUMIF('Production '!$C$4:$AI$4407,'Tracking Sheet'!B3038,'Production '!$U$4:$U$4407)</f>
        <v>-10620.435600016917</v>
      </c>
      <c r="G3038" s="76" t="e">
        <f ca="1">SUMIF('Production '!$C$4:$AI$4407,'Tracking Sheet'!B3038,'Production '!$W$4:$W$4407)</f>
        <v>#DIV/0!</v>
      </c>
      <c r="H3038" s="76">
        <f ca="1">SUMIF('Production '!$C$4:$AI$4407,'Tracking Sheet'!B3038,'Production '!$F$4:$F$4407)</f>
        <v>3230621.3283604058</v>
      </c>
      <c r="I3038" s="76">
        <f ca="1">SUMIF('Production '!$C$4:$AI$4407,'Tracking Sheet'!B3038,'Production '!$V$4:$V$4407)</f>
        <v>-489.86487791182844</v>
      </c>
      <c r="J3038" s="76">
        <f ca="1">SUMIF('Production '!$C$4:$AI$4407,'Tracking Sheet'!B3038,'Production '!$AG$4:$AG$4407)</f>
        <v>0</v>
      </c>
    </row>
    <row r="3039" spans="2:10" x14ac:dyDescent="0.3">
      <c r="B3039" s="277">
        <f>'Production '!C3042</f>
        <v>0</v>
      </c>
      <c r="C3039" s="76" t="e">
        <f ca="1">SUMIF('Production '!$C$4:$AI$4407,'Tracking Sheet'!B3039,'Production '!$M$4:$M$4407)</f>
        <v>#DIV/0!</v>
      </c>
      <c r="D3039" s="76" t="e">
        <f ca="1">SUMIF('Production '!$C$4:$AI$4407,'Tracking Sheet'!B3039,'Production '!$Q$4:$Q$4407)</f>
        <v>#DIV/0!</v>
      </c>
      <c r="E3039" s="76">
        <f ca="1">SUMIF('Production '!$C$4:$AI$4407,'Tracking Sheet'!B3039,'Production '!$S$4:$S$4407)</f>
        <v>-1268218.9828305368</v>
      </c>
      <c r="F3039" s="76">
        <f ca="1">SUMIF('Production '!$C$4:$AI$4407,'Tracking Sheet'!B3039,'Production '!$U$4:$U$4407)</f>
        <v>-10620.435600016917</v>
      </c>
      <c r="G3039" s="76" t="e">
        <f ca="1">SUMIF('Production '!$C$4:$AI$4407,'Tracking Sheet'!B3039,'Production '!$W$4:$W$4407)</f>
        <v>#DIV/0!</v>
      </c>
      <c r="H3039" s="76">
        <f ca="1">SUMIF('Production '!$C$4:$AI$4407,'Tracking Sheet'!B3039,'Production '!$F$4:$F$4407)</f>
        <v>3230621.3283604058</v>
      </c>
      <c r="I3039" s="76">
        <f ca="1">SUMIF('Production '!$C$4:$AI$4407,'Tracking Sheet'!B3039,'Production '!$V$4:$V$4407)</f>
        <v>-489.86487791182844</v>
      </c>
      <c r="J3039" s="76">
        <f ca="1">SUMIF('Production '!$C$4:$AI$4407,'Tracking Sheet'!B3039,'Production '!$AG$4:$AG$4407)</f>
        <v>0</v>
      </c>
    </row>
    <row r="3040" spans="2:10" x14ac:dyDescent="0.3">
      <c r="B3040" s="277">
        <f>'Production '!C3043</f>
        <v>0</v>
      </c>
      <c r="C3040" s="76" t="e">
        <f ca="1">SUMIF('Production '!$C$4:$AI$4407,'Tracking Sheet'!B3040,'Production '!$M$4:$M$4407)</f>
        <v>#DIV/0!</v>
      </c>
      <c r="D3040" s="76" t="e">
        <f ca="1">SUMIF('Production '!$C$4:$AI$4407,'Tracking Sheet'!B3040,'Production '!$Q$4:$Q$4407)</f>
        <v>#DIV/0!</v>
      </c>
      <c r="E3040" s="76">
        <f ca="1">SUMIF('Production '!$C$4:$AI$4407,'Tracking Sheet'!B3040,'Production '!$S$4:$S$4407)</f>
        <v>-1268218.9828305368</v>
      </c>
      <c r="F3040" s="76">
        <f ca="1">SUMIF('Production '!$C$4:$AI$4407,'Tracking Sheet'!B3040,'Production '!$U$4:$U$4407)</f>
        <v>-10620.435600016917</v>
      </c>
      <c r="G3040" s="76" t="e">
        <f ca="1">SUMIF('Production '!$C$4:$AI$4407,'Tracking Sheet'!B3040,'Production '!$W$4:$W$4407)</f>
        <v>#DIV/0!</v>
      </c>
      <c r="H3040" s="76">
        <f ca="1">SUMIF('Production '!$C$4:$AI$4407,'Tracking Sheet'!B3040,'Production '!$F$4:$F$4407)</f>
        <v>3230621.3283604058</v>
      </c>
      <c r="I3040" s="76">
        <f ca="1">SUMIF('Production '!$C$4:$AI$4407,'Tracking Sheet'!B3040,'Production '!$V$4:$V$4407)</f>
        <v>-489.86487791182844</v>
      </c>
      <c r="J3040" s="76">
        <f ca="1">SUMIF('Production '!$C$4:$AI$4407,'Tracking Sheet'!B3040,'Production '!$AG$4:$AG$4407)</f>
        <v>0</v>
      </c>
    </row>
    <row r="3041" spans="2:10" x14ac:dyDescent="0.3">
      <c r="B3041" s="277">
        <f>'Production '!C3044</f>
        <v>0</v>
      </c>
      <c r="C3041" s="76" t="e">
        <f ca="1">SUMIF('Production '!$C$4:$AI$4407,'Tracking Sheet'!B3041,'Production '!$M$4:$M$4407)</f>
        <v>#DIV/0!</v>
      </c>
      <c r="D3041" s="76" t="e">
        <f ca="1">SUMIF('Production '!$C$4:$AI$4407,'Tracking Sheet'!B3041,'Production '!$Q$4:$Q$4407)</f>
        <v>#DIV/0!</v>
      </c>
      <c r="E3041" s="76">
        <f ca="1">SUMIF('Production '!$C$4:$AI$4407,'Tracking Sheet'!B3041,'Production '!$S$4:$S$4407)</f>
        <v>-1268218.9828305368</v>
      </c>
      <c r="F3041" s="76">
        <f ca="1">SUMIF('Production '!$C$4:$AI$4407,'Tracking Sheet'!B3041,'Production '!$U$4:$U$4407)</f>
        <v>-10620.435600016917</v>
      </c>
      <c r="G3041" s="76" t="e">
        <f ca="1">SUMIF('Production '!$C$4:$AI$4407,'Tracking Sheet'!B3041,'Production '!$W$4:$W$4407)</f>
        <v>#DIV/0!</v>
      </c>
      <c r="H3041" s="76">
        <f ca="1">SUMIF('Production '!$C$4:$AI$4407,'Tracking Sheet'!B3041,'Production '!$F$4:$F$4407)</f>
        <v>3230621.3283604058</v>
      </c>
      <c r="I3041" s="76">
        <f ca="1">SUMIF('Production '!$C$4:$AI$4407,'Tracking Sheet'!B3041,'Production '!$V$4:$V$4407)</f>
        <v>-489.86487791182844</v>
      </c>
      <c r="J3041" s="76">
        <f ca="1">SUMIF('Production '!$C$4:$AI$4407,'Tracking Sheet'!B3041,'Production '!$AG$4:$AG$4407)</f>
        <v>0</v>
      </c>
    </row>
    <row r="3042" spans="2:10" x14ac:dyDescent="0.3">
      <c r="B3042" s="277">
        <f>'Production '!C3045</f>
        <v>0</v>
      </c>
      <c r="C3042" s="76" t="e">
        <f ca="1">SUMIF('Production '!$C$4:$AI$4407,'Tracking Sheet'!B3042,'Production '!$M$4:$M$4407)</f>
        <v>#DIV/0!</v>
      </c>
      <c r="D3042" s="76" t="e">
        <f ca="1">SUMIF('Production '!$C$4:$AI$4407,'Tracking Sheet'!B3042,'Production '!$Q$4:$Q$4407)</f>
        <v>#DIV/0!</v>
      </c>
      <c r="E3042" s="76">
        <f ca="1">SUMIF('Production '!$C$4:$AI$4407,'Tracking Sheet'!B3042,'Production '!$S$4:$S$4407)</f>
        <v>-1268218.9828305368</v>
      </c>
      <c r="F3042" s="76">
        <f ca="1">SUMIF('Production '!$C$4:$AI$4407,'Tracking Sheet'!B3042,'Production '!$U$4:$U$4407)</f>
        <v>-10620.435600016917</v>
      </c>
      <c r="G3042" s="76" t="e">
        <f ca="1">SUMIF('Production '!$C$4:$AI$4407,'Tracking Sheet'!B3042,'Production '!$W$4:$W$4407)</f>
        <v>#DIV/0!</v>
      </c>
      <c r="H3042" s="76">
        <f ca="1">SUMIF('Production '!$C$4:$AI$4407,'Tracking Sheet'!B3042,'Production '!$F$4:$F$4407)</f>
        <v>3230621.3283604058</v>
      </c>
      <c r="I3042" s="76">
        <f ca="1">SUMIF('Production '!$C$4:$AI$4407,'Tracking Sheet'!B3042,'Production '!$V$4:$V$4407)</f>
        <v>-489.86487791182844</v>
      </c>
      <c r="J3042" s="76">
        <f ca="1">SUMIF('Production '!$C$4:$AI$4407,'Tracking Sheet'!B3042,'Production '!$AG$4:$AG$4407)</f>
        <v>0</v>
      </c>
    </row>
    <row r="3043" spans="2:10" x14ac:dyDescent="0.3">
      <c r="B3043" s="277">
        <f>'Production '!C3046</f>
        <v>0</v>
      </c>
      <c r="C3043" s="76" t="e">
        <f ca="1">SUMIF('Production '!$C$4:$AI$4407,'Tracking Sheet'!B3043,'Production '!$M$4:$M$4407)</f>
        <v>#DIV/0!</v>
      </c>
      <c r="D3043" s="76" t="e">
        <f ca="1">SUMIF('Production '!$C$4:$AI$4407,'Tracking Sheet'!B3043,'Production '!$Q$4:$Q$4407)</f>
        <v>#DIV/0!</v>
      </c>
      <c r="E3043" s="76">
        <f ca="1">SUMIF('Production '!$C$4:$AI$4407,'Tracking Sheet'!B3043,'Production '!$S$4:$S$4407)</f>
        <v>-1268218.9828305368</v>
      </c>
      <c r="F3043" s="76">
        <f ca="1">SUMIF('Production '!$C$4:$AI$4407,'Tracking Sheet'!B3043,'Production '!$U$4:$U$4407)</f>
        <v>-10620.435600016917</v>
      </c>
      <c r="G3043" s="76" t="e">
        <f ca="1">SUMIF('Production '!$C$4:$AI$4407,'Tracking Sheet'!B3043,'Production '!$W$4:$W$4407)</f>
        <v>#DIV/0!</v>
      </c>
      <c r="H3043" s="76">
        <f ca="1">SUMIF('Production '!$C$4:$AI$4407,'Tracking Sheet'!B3043,'Production '!$F$4:$F$4407)</f>
        <v>3230621.3283604058</v>
      </c>
      <c r="I3043" s="76">
        <f ca="1">SUMIF('Production '!$C$4:$AI$4407,'Tracking Sheet'!B3043,'Production '!$V$4:$V$4407)</f>
        <v>-489.86487791182844</v>
      </c>
      <c r="J3043" s="76">
        <f ca="1">SUMIF('Production '!$C$4:$AI$4407,'Tracking Sheet'!B3043,'Production '!$AG$4:$AG$4407)</f>
        <v>0</v>
      </c>
    </row>
    <row r="3044" spans="2:10" x14ac:dyDescent="0.3">
      <c r="B3044" s="277">
        <f>'Production '!C3047</f>
        <v>0</v>
      </c>
      <c r="C3044" s="76" t="e">
        <f ca="1">SUMIF('Production '!$C$4:$AI$4407,'Tracking Sheet'!B3044,'Production '!$M$4:$M$4407)</f>
        <v>#DIV/0!</v>
      </c>
      <c r="D3044" s="76" t="e">
        <f ca="1">SUMIF('Production '!$C$4:$AI$4407,'Tracking Sheet'!B3044,'Production '!$Q$4:$Q$4407)</f>
        <v>#DIV/0!</v>
      </c>
      <c r="E3044" s="76">
        <f ca="1">SUMIF('Production '!$C$4:$AI$4407,'Tracking Sheet'!B3044,'Production '!$S$4:$S$4407)</f>
        <v>-1268218.9828305368</v>
      </c>
      <c r="F3044" s="76">
        <f ca="1">SUMIF('Production '!$C$4:$AI$4407,'Tracking Sheet'!B3044,'Production '!$U$4:$U$4407)</f>
        <v>-10620.435600016917</v>
      </c>
      <c r="G3044" s="76" t="e">
        <f ca="1">SUMIF('Production '!$C$4:$AI$4407,'Tracking Sheet'!B3044,'Production '!$W$4:$W$4407)</f>
        <v>#DIV/0!</v>
      </c>
      <c r="H3044" s="76">
        <f ca="1">SUMIF('Production '!$C$4:$AI$4407,'Tracking Sheet'!B3044,'Production '!$F$4:$F$4407)</f>
        <v>3230621.3283604058</v>
      </c>
      <c r="I3044" s="76">
        <f ca="1">SUMIF('Production '!$C$4:$AI$4407,'Tracking Sheet'!B3044,'Production '!$V$4:$V$4407)</f>
        <v>-489.86487791182844</v>
      </c>
      <c r="J3044" s="76">
        <f ca="1">SUMIF('Production '!$C$4:$AI$4407,'Tracking Sheet'!B3044,'Production '!$AG$4:$AG$4407)</f>
        <v>0</v>
      </c>
    </row>
    <row r="3045" spans="2:10" x14ac:dyDescent="0.3">
      <c r="B3045" s="277">
        <f>'Production '!C3048</f>
        <v>0</v>
      </c>
      <c r="C3045" s="76" t="e">
        <f ca="1">SUMIF('Production '!$C$4:$AI$4407,'Tracking Sheet'!B3045,'Production '!$M$4:$M$4407)</f>
        <v>#DIV/0!</v>
      </c>
      <c r="D3045" s="76" t="e">
        <f ca="1">SUMIF('Production '!$C$4:$AI$4407,'Tracking Sheet'!B3045,'Production '!$Q$4:$Q$4407)</f>
        <v>#DIV/0!</v>
      </c>
      <c r="E3045" s="76">
        <f ca="1">SUMIF('Production '!$C$4:$AI$4407,'Tracking Sheet'!B3045,'Production '!$S$4:$S$4407)</f>
        <v>-1268218.9828305368</v>
      </c>
      <c r="F3045" s="76">
        <f ca="1">SUMIF('Production '!$C$4:$AI$4407,'Tracking Sheet'!B3045,'Production '!$U$4:$U$4407)</f>
        <v>-10620.435600016917</v>
      </c>
      <c r="G3045" s="76" t="e">
        <f ca="1">SUMIF('Production '!$C$4:$AI$4407,'Tracking Sheet'!B3045,'Production '!$W$4:$W$4407)</f>
        <v>#DIV/0!</v>
      </c>
      <c r="H3045" s="76">
        <f ca="1">SUMIF('Production '!$C$4:$AI$4407,'Tracking Sheet'!B3045,'Production '!$F$4:$F$4407)</f>
        <v>3230621.3283604058</v>
      </c>
      <c r="I3045" s="76">
        <f ca="1">SUMIF('Production '!$C$4:$AI$4407,'Tracking Sheet'!B3045,'Production '!$V$4:$V$4407)</f>
        <v>-489.86487791182844</v>
      </c>
      <c r="J3045" s="76">
        <f ca="1">SUMIF('Production '!$C$4:$AI$4407,'Tracking Sheet'!B3045,'Production '!$AG$4:$AG$4407)</f>
        <v>0</v>
      </c>
    </row>
    <row r="3046" spans="2:10" x14ac:dyDescent="0.3">
      <c r="B3046" s="277">
        <f>'Production '!C3049</f>
        <v>0</v>
      </c>
      <c r="C3046" s="76" t="e">
        <f ca="1">SUMIF('Production '!$C$4:$AI$4407,'Tracking Sheet'!B3046,'Production '!$M$4:$M$4407)</f>
        <v>#DIV/0!</v>
      </c>
      <c r="D3046" s="76" t="e">
        <f ca="1">SUMIF('Production '!$C$4:$AI$4407,'Tracking Sheet'!B3046,'Production '!$Q$4:$Q$4407)</f>
        <v>#DIV/0!</v>
      </c>
      <c r="E3046" s="76">
        <f ca="1">SUMIF('Production '!$C$4:$AI$4407,'Tracking Sheet'!B3046,'Production '!$S$4:$S$4407)</f>
        <v>-1268218.9828305368</v>
      </c>
      <c r="F3046" s="76">
        <f ca="1">SUMIF('Production '!$C$4:$AI$4407,'Tracking Sheet'!B3046,'Production '!$U$4:$U$4407)</f>
        <v>-10620.435600016917</v>
      </c>
      <c r="G3046" s="76" t="e">
        <f ca="1">SUMIF('Production '!$C$4:$AI$4407,'Tracking Sheet'!B3046,'Production '!$W$4:$W$4407)</f>
        <v>#DIV/0!</v>
      </c>
      <c r="H3046" s="76">
        <f ca="1">SUMIF('Production '!$C$4:$AI$4407,'Tracking Sheet'!B3046,'Production '!$F$4:$F$4407)</f>
        <v>3230621.3283604058</v>
      </c>
      <c r="I3046" s="76">
        <f ca="1">SUMIF('Production '!$C$4:$AI$4407,'Tracking Sheet'!B3046,'Production '!$V$4:$V$4407)</f>
        <v>-489.86487791182844</v>
      </c>
      <c r="J3046" s="76">
        <f ca="1">SUMIF('Production '!$C$4:$AI$4407,'Tracking Sheet'!B3046,'Production '!$AG$4:$AG$4407)</f>
        <v>0</v>
      </c>
    </row>
    <row r="3047" spans="2:10" x14ac:dyDescent="0.3">
      <c r="B3047" s="277">
        <f>'Production '!C3050</f>
        <v>0</v>
      </c>
      <c r="C3047" s="76" t="e">
        <f ca="1">SUMIF('Production '!$C$4:$AI$4407,'Tracking Sheet'!B3047,'Production '!$M$4:$M$4407)</f>
        <v>#DIV/0!</v>
      </c>
      <c r="D3047" s="76" t="e">
        <f ca="1">SUMIF('Production '!$C$4:$AI$4407,'Tracking Sheet'!B3047,'Production '!$Q$4:$Q$4407)</f>
        <v>#DIV/0!</v>
      </c>
      <c r="E3047" s="76">
        <f ca="1">SUMIF('Production '!$C$4:$AI$4407,'Tracking Sheet'!B3047,'Production '!$S$4:$S$4407)</f>
        <v>-1268218.9828305368</v>
      </c>
      <c r="F3047" s="76">
        <f ca="1">SUMIF('Production '!$C$4:$AI$4407,'Tracking Sheet'!B3047,'Production '!$U$4:$U$4407)</f>
        <v>-10620.435600016917</v>
      </c>
      <c r="G3047" s="76" t="e">
        <f ca="1">SUMIF('Production '!$C$4:$AI$4407,'Tracking Sheet'!B3047,'Production '!$W$4:$W$4407)</f>
        <v>#DIV/0!</v>
      </c>
      <c r="H3047" s="76">
        <f ca="1">SUMIF('Production '!$C$4:$AI$4407,'Tracking Sheet'!B3047,'Production '!$F$4:$F$4407)</f>
        <v>3230621.3283604058</v>
      </c>
      <c r="I3047" s="76">
        <f ca="1">SUMIF('Production '!$C$4:$AI$4407,'Tracking Sheet'!B3047,'Production '!$V$4:$V$4407)</f>
        <v>-489.86487791182844</v>
      </c>
      <c r="J3047" s="76">
        <f ca="1">SUMIF('Production '!$C$4:$AI$4407,'Tracking Sheet'!B3047,'Production '!$AG$4:$AG$4407)</f>
        <v>0</v>
      </c>
    </row>
    <row r="3048" spans="2:10" x14ac:dyDescent="0.3">
      <c r="B3048" s="277">
        <f>'Production '!C3051</f>
        <v>0</v>
      </c>
      <c r="C3048" s="76" t="e">
        <f ca="1">SUMIF('Production '!$C$4:$AI$4407,'Tracking Sheet'!B3048,'Production '!$M$4:$M$4407)</f>
        <v>#DIV/0!</v>
      </c>
      <c r="D3048" s="76" t="e">
        <f ca="1">SUMIF('Production '!$C$4:$AI$4407,'Tracking Sheet'!B3048,'Production '!$Q$4:$Q$4407)</f>
        <v>#DIV/0!</v>
      </c>
      <c r="E3048" s="76">
        <f ca="1">SUMIF('Production '!$C$4:$AI$4407,'Tracking Sheet'!B3048,'Production '!$S$4:$S$4407)</f>
        <v>-1268218.9828305368</v>
      </c>
      <c r="F3048" s="76">
        <f ca="1">SUMIF('Production '!$C$4:$AI$4407,'Tracking Sheet'!B3048,'Production '!$U$4:$U$4407)</f>
        <v>-10620.435600016917</v>
      </c>
      <c r="G3048" s="76" t="e">
        <f ca="1">SUMIF('Production '!$C$4:$AI$4407,'Tracking Sheet'!B3048,'Production '!$W$4:$W$4407)</f>
        <v>#DIV/0!</v>
      </c>
      <c r="H3048" s="76">
        <f ca="1">SUMIF('Production '!$C$4:$AI$4407,'Tracking Sheet'!B3048,'Production '!$F$4:$F$4407)</f>
        <v>3230621.3283604058</v>
      </c>
      <c r="I3048" s="76">
        <f ca="1">SUMIF('Production '!$C$4:$AI$4407,'Tracking Sheet'!B3048,'Production '!$V$4:$V$4407)</f>
        <v>-489.86487791182844</v>
      </c>
      <c r="J3048" s="76">
        <f ca="1">SUMIF('Production '!$C$4:$AI$4407,'Tracking Sheet'!B3048,'Production '!$AG$4:$AG$4407)</f>
        <v>0</v>
      </c>
    </row>
    <row r="3049" spans="2:10" x14ac:dyDescent="0.3">
      <c r="B3049" s="277">
        <f>'Production '!C3052</f>
        <v>0</v>
      </c>
      <c r="C3049" s="76" t="e">
        <f ca="1">SUMIF('Production '!$C$4:$AI$4407,'Tracking Sheet'!B3049,'Production '!$M$4:$M$4407)</f>
        <v>#DIV/0!</v>
      </c>
      <c r="D3049" s="76" t="e">
        <f ca="1">SUMIF('Production '!$C$4:$AI$4407,'Tracking Sheet'!B3049,'Production '!$Q$4:$Q$4407)</f>
        <v>#DIV/0!</v>
      </c>
      <c r="E3049" s="76">
        <f ca="1">SUMIF('Production '!$C$4:$AI$4407,'Tracking Sheet'!B3049,'Production '!$S$4:$S$4407)</f>
        <v>-1268218.9828305368</v>
      </c>
      <c r="F3049" s="76">
        <f ca="1">SUMIF('Production '!$C$4:$AI$4407,'Tracking Sheet'!B3049,'Production '!$U$4:$U$4407)</f>
        <v>-10620.435600016917</v>
      </c>
      <c r="G3049" s="76" t="e">
        <f ca="1">SUMIF('Production '!$C$4:$AI$4407,'Tracking Sheet'!B3049,'Production '!$W$4:$W$4407)</f>
        <v>#DIV/0!</v>
      </c>
      <c r="H3049" s="76">
        <f ca="1">SUMIF('Production '!$C$4:$AI$4407,'Tracking Sheet'!B3049,'Production '!$F$4:$F$4407)</f>
        <v>3230621.3283604058</v>
      </c>
      <c r="I3049" s="76">
        <f ca="1">SUMIF('Production '!$C$4:$AI$4407,'Tracking Sheet'!B3049,'Production '!$V$4:$V$4407)</f>
        <v>-489.86487791182844</v>
      </c>
      <c r="J3049" s="76">
        <f ca="1">SUMIF('Production '!$C$4:$AI$4407,'Tracking Sheet'!B3049,'Production '!$AG$4:$AG$4407)</f>
        <v>0</v>
      </c>
    </row>
    <row r="3050" spans="2:10" x14ac:dyDescent="0.3">
      <c r="B3050" s="277">
        <f>'Production '!C3053</f>
        <v>0</v>
      </c>
      <c r="C3050" s="76" t="e">
        <f ca="1">SUMIF('Production '!$C$4:$AI$4407,'Tracking Sheet'!B3050,'Production '!$M$4:$M$4407)</f>
        <v>#DIV/0!</v>
      </c>
      <c r="D3050" s="76" t="e">
        <f ca="1">SUMIF('Production '!$C$4:$AI$4407,'Tracking Sheet'!B3050,'Production '!$Q$4:$Q$4407)</f>
        <v>#DIV/0!</v>
      </c>
      <c r="E3050" s="76">
        <f ca="1">SUMIF('Production '!$C$4:$AI$4407,'Tracking Sheet'!B3050,'Production '!$S$4:$S$4407)</f>
        <v>-1268218.9828305368</v>
      </c>
      <c r="F3050" s="76">
        <f ca="1">SUMIF('Production '!$C$4:$AI$4407,'Tracking Sheet'!B3050,'Production '!$U$4:$U$4407)</f>
        <v>-10620.435600016917</v>
      </c>
      <c r="G3050" s="76" t="e">
        <f ca="1">SUMIF('Production '!$C$4:$AI$4407,'Tracking Sheet'!B3050,'Production '!$W$4:$W$4407)</f>
        <v>#DIV/0!</v>
      </c>
      <c r="H3050" s="76">
        <f ca="1">SUMIF('Production '!$C$4:$AI$4407,'Tracking Sheet'!B3050,'Production '!$F$4:$F$4407)</f>
        <v>3230621.3283604058</v>
      </c>
      <c r="I3050" s="76">
        <f ca="1">SUMIF('Production '!$C$4:$AI$4407,'Tracking Sheet'!B3050,'Production '!$V$4:$V$4407)</f>
        <v>-489.86487791182844</v>
      </c>
      <c r="J3050" s="76">
        <f ca="1">SUMIF('Production '!$C$4:$AI$4407,'Tracking Sheet'!B3050,'Production '!$AG$4:$AG$4407)</f>
        <v>0</v>
      </c>
    </row>
    <row r="3051" spans="2:10" x14ac:dyDescent="0.3">
      <c r="B3051" s="277">
        <f>'Production '!C3054</f>
        <v>0</v>
      </c>
      <c r="C3051" s="76" t="e">
        <f ca="1">SUMIF('Production '!$C$4:$AI$4407,'Tracking Sheet'!B3051,'Production '!$M$4:$M$4407)</f>
        <v>#DIV/0!</v>
      </c>
      <c r="D3051" s="76" t="e">
        <f ca="1">SUMIF('Production '!$C$4:$AI$4407,'Tracking Sheet'!B3051,'Production '!$Q$4:$Q$4407)</f>
        <v>#DIV/0!</v>
      </c>
      <c r="E3051" s="76">
        <f ca="1">SUMIF('Production '!$C$4:$AI$4407,'Tracking Sheet'!B3051,'Production '!$S$4:$S$4407)</f>
        <v>-1268218.9828305368</v>
      </c>
      <c r="F3051" s="76">
        <f ca="1">SUMIF('Production '!$C$4:$AI$4407,'Tracking Sheet'!B3051,'Production '!$U$4:$U$4407)</f>
        <v>-10620.435600016917</v>
      </c>
      <c r="G3051" s="76" t="e">
        <f ca="1">SUMIF('Production '!$C$4:$AI$4407,'Tracking Sheet'!B3051,'Production '!$W$4:$W$4407)</f>
        <v>#DIV/0!</v>
      </c>
      <c r="H3051" s="76">
        <f ca="1">SUMIF('Production '!$C$4:$AI$4407,'Tracking Sheet'!B3051,'Production '!$F$4:$F$4407)</f>
        <v>3230621.3283604058</v>
      </c>
      <c r="I3051" s="76">
        <f ca="1">SUMIF('Production '!$C$4:$AI$4407,'Tracking Sheet'!B3051,'Production '!$V$4:$V$4407)</f>
        <v>-489.86487791182844</v>
      </c>
      <c r="J3051" s="76">
        <f ca="1">SUMIF('Production '!$C$4:$AI$4407,'Tracking Sheet'!B3051,'Production '!$AG$4:$AG$4407)</f>
        <v>0</v>
      </c>
    </row>
    <row r="3052" spans="2:10" x14ac:dyDescent="0.3">
      <c r="B3052" s="277">
        <f>'Production '!C3055</f>
        <v>0</v>
      </c>
      <c r="C3052" s="76" t="e">
        <f ca="1">SUMIF('Production '!$C$4:$AI$4407,'Tracking Sheet'!B3052,'Production '!$M$4:$M$4407)</f>
        <v>#DIV/0!</v>
      </c>
      <c r="D3052" s="76" t="e">
        <f ca="1">SUMIF('Production '!$C$4:$AI$4407,'Tracking Sheet'!B3052,'Production '!$Q$4:$Q$4407)</f>
        <v>#DIV/0!</v>
      </c>
      <c r="E3052" s="76">
        <f ca="1">SUMIF('Production '!$C$4:$AI$4407,'Tracking Sheet'!B3052,'Production '!$S$4:$S$4407)</f>
        <v>-1268218.9828305368</v>
      </c>
      <c r="F3052" s="76">
        <f ca="1">SUMIF('Production '!$C$4:$AI$4407,'Tracking Sheet'!B3052,'Production '!$U$4:$U$4407)</f>
        <v>-10620.435600016917</v>
      </c>
      <c r="G3052" s="76" t="e">
        <f ca="1">SUMIF('Production '!$C$4:$AI$4407,'Tracking Sheet'!B3052,'Production '!$W$4:$W$4407)</f>
        <v>#DIV/0!</v>
      </c>
      <c r="H3052" s="76">
        <f ca="1">SUMIF('Production '!$C$4:$AI$4407,'Tracking Sheet'!B3052,'Production '!$F$4:$F$4407)</f>
        <v>3230621.3283604058</v>
      </c>
      <c r="I3052" s="76">
        <f ca="1">SUMIF('Production '!$C$4:$AI$4407,'Tracking Sheet'!B3052,'Production '!$V$4:$V$4407)</f>
        <v>-489.86487791182844</v>
      </c>
      <c r="J3052" s="76">
        <f ca="1">SUMIF('Production '!$C$4:$AI$4407,'Tracking Sheet'!B3052,'Production '!$AG$4:$AG$4407)</f>
        <v>0</v>
      </c>
    </row>
    <row r="3053" spans="2:10" x14ac:dyDescent="0.3">
      <c r="B3053" s="277">
        <f>'Production '!C3056</f>
        <v>0</v>
      </c>
      <c r="C3053" s="76" t="e">
        <f ca="1">SUMIF('Production '!$C$4:$AI$4407,'Tracking Sheet'!B3053,'Production '!$M$4:$M$4407)</f>
        <v>#DIV/0!</v>
      </c>
      <c r="D3053" s="76" t="e">
        <f ca="1">SUMIF('Production '!$C$4:$AI$4407,'Tracking Sheet'!B3053,'Production '!$Q$4:$Q$4407)</f>
        <v>#DIV/0!</v>
      </c>
      <c r="E3053" s="76">
        <f ca="1">SUMIF('Production '!$C$4:$AI$4407,'Tracking Sheet'!B3053,'Production '!$S$4:$S$4407)</f>
        <v>-1268218.9828305368</v>
      </c>
      <c r="F3053" s="76">
        <f ca="1">SUMIF('Production '!$C$4:$AI$4407,'Tracking Sheet'!B3053,'Production '!$U$4:$U$4407)</f>
        <v>-10620.435600016917</v>
      </c>
      <c r="G3053" s="76" t="e">
        <f ca="1">SUMIF('Production '!$C$4:$AI$4407,'Tracking Sheet'!B3053,'Production '!$W$4:$W$4407)</f>
        <v>#DIV/0!</v>
      </c>
      <c r="H3053" s="76">
        <f ca="1">SUMIF('Production '!$C$4:$AI$4407,'Tracking Sheet'!B3053,'Production '!$F$4:$F$4407)</f>
        <v>3230621.3283604058</v>
      </c>
      <c r="I3053" s="76">
        <f ca="1">SUMIF('Production '!$C$4:$AI$4407,'Tracking Sheet'!B3053,'Production '!$V$4:$V$4407)</f>
        <v>-489.86487791182844</v>
      </c>
      <c r="J3053" s="76">
        <f ca="1">SUMIF('Production '!$C$4:$AI$4407,'Tracking Sheet'!B3053,'Production '!$AG$4:$AG$4407)</f>
        <v>0</v>
      </c>
    </row>
    <row r="3054" spans="2:10" x14ac:dyDescent="0.3">
      <c r="B3054" s="277">
        <f>'Production '!C3057</f>
        <v>0</v>
      </c>
      <c r="C3054" s="76" t="e">
        <f ca="1">SUMIF('Production '!$C$4:$AI$4407,'Tracking Sheet'!B3054,'Production '!$M$4:$M$4407)</f>
        <v>#DIV/0!</v>
      </c>
      <c r="D3054" s="76" t="e">
        <f ca="1">SUMIF('Production '!$C$4:$AI$4407,'Tracking Sheet'!B3054,'Production '!$Q$4:$Q$4407)</f>
        <v>#DIV/0!</v>
      </c>
      <c r="E3054" s="76">
        <f ca="1">SUMIF('Production '!$C$4:$AI$4407,'Tracking Sheet'!B3054,'Production '!$S$4:$S$4407)</f>
        <v>-1268218.9828305368</v>
      </c>
      <c r="F3054" s="76">
        <f ca="1">SUMIF('Production '!$C$4:$AI$4407,'Tracking Sheet'!B3054,'Production '!$U$4:$U$4407)</f>
        <v>-10620.435600016917</v>
      </c>
      <c r="G3054" s="76" t="e">
        <f ca="1">SUMIF('Production '!$C$4:$AI$4407,'Tracking Sheet'!B3054,'Production '!$W$4:$W$4407)</f>
        <v>#DIV/0!</v>
      </c>
      <c r="H3054" s="76">
        <f ca="1">SUMIF('Production '!$C$4:$AI$4407,'Tracking Sheet'!B3054,'Production '!$F$4:$F$4407)</f>
        <v>3230621.3283604058</v>
      </c>
      <c r="I3054" s="76">
        <f ca="1">SUMIF('Production '!$C$4:$AI$4407,'Tracking Sheet'!B3054,'Production '!$V$4:$V$4407)</f>
        <v>-489.86487791182844</v>
      </c>
      <c r="J3054" s="76">
        <f ca="1">SUMIF('Production '!$C$4:$AI$4407,'Tracking Sheet'!B3054,'Production '!$AG$4:$AG$4407)</f>
        <v>0</v>
      </c>
    </row>
    <row r="3055" spans="2:10" x14ac:dyDescent="0.3">
      <c r="B3055" s="277">
        <f>'Production '!C3058</f>
        <v>0</v>
      </c>
      <c r="C3055" s="76" t="e">
        <f ca="1">SUMIF('Production '!$C$4:$AI$4407,'Tracking Sheet'!B3055,'Production '!$M$4:$M$4407)</f>
        <v>#DIV/0!</v>
      </c>
      <c r="D3055" s="76" t="e">
        <f ca="1">SUMIF('Production '!$C$4:$AI$4407,'Tracking Sheet'!B3055,'Production '!$Q$4:$Q$4407)</f>
        <v>#DIV/0!</v>
      </c>
      <c r="E3055" s="76">
        <f ca="1">SUMIF('Production '!$C$4:$AI$4407,'Tracking Sheet'!B3055,'Production '!$S$4:$S$4407)</f>
        <v>-1268218.9828305368</v>
      </c>
      <c r="F3055" s="76">
        <f ca="1">SUMIF('Production '!$C$4:$AI$4407,'Tracking Sheet'!B3055,'Production '!$U$4:$U$4407)</f>
        <v>-10620.435600016917</v>
      </c>
      <c r="G3055" s="76" t="e">
        <f ca="1">SUMIF('Production '!$C$4:$AI$4407,'Tracking Sheet'!B3055,'Production '!$W$4:$W$4407)</f>
        <v>#DIV/0!</v>
      </c>
      <c r="H3055" s="76">
        <f ca="1">SUMIF('Production '!$C$4:$AI$4407,'Tracking Sheet'!B3055,'Production '!$F$4:$F$4407)</f>
        <v>3230621.3283604058</v>
      </c>
      <c r="I3055" s="76">
        <f ca="1">SUMIF('Production '!$C$4:$AI$4407,'Tracking Sheet'!B3055,'Production '!$V$4:$V$4407)</f>
        <v>-489.86487791182844</v>
      </c>
      <c r="J3055" s="76">
        <f ca="1">SUMIF('Production '!$C$4:$AI$4407,'Tracking Sheet'!B3055,'Production '!$AG$4:$AG$4407)</f>
        <v>0</v>
      </c>
    </row>
    <row r="3056" spans="2:10" x14ac:dyDescent="0.3">
      <c r="B3056" s="277">
        <f>'Production '!C3059</f>
        <v>0</v>
      </c>
      <c r="C3056" s="76" t="e">
        <f ca="1">SUMIF('Production '!$C$4:$AI$4407,'Tracking Sheet'!B3056,'Production '!$M$4:$M$4407)</f>
        <v>#DIV/0!</v>
      </c>
      <c r="D3056" s="76" t="e">
        <f ca="1">SUMIF('Production '!$C$4:$AI$4407,'Tracking Sheet'!B3056,'Production '!$Q$4:$Q$4407)</f>
        <v>#DIV/0!</v>
      </c>
      <c r="E3056" s="76">
        <f ca="1">SUMIF('Production '!$C$4:$AI$4407,'Tracking Sheet'!B3056,'Production '!$S$4:$S$4407)</f>
        <v>-1268218.9828305368</v>
      </c>
      <c r="F3056" s="76">
        <f ca="1">SUMIF('Production '!$C$4:$AI$4407,'Tracking Sheet'!B3056,'Production '!$U$4:$U$4407)</f>
        <v>-10620.435600016917</v>
      </c>
      <c r="G3056" s="76" t="e">
        <f ca="1">SUMIF('Production '!$C$4:$AI$4407,'Tracking Sheet'!B3056,'Production '!$W$4:$W$4407)</f>
        <v>#DIV/0!</v>
      </c>
      <c r="H3056" s="76">
        <f ca="1">SUMIF('Production '!$C$4:$AI$4407,'Tracking Sheet'!B3056,'Production '!$F$4:$F$4407)</f>
        <v>3230621.3283604058</v>
      </c>
      <c r="I3056" s="76">
        <f ca="1">SUMIF('Production '!$C$4:$AI$4407,'Tracking Sheet'!B3056,'Production '!$V$4:$V$4407)</f>
        <v>-489.86487791182844</v>
      </c>
      <c r="J3056" s="76">
        <f ca="1">SUMIF('Production '!$C$4:$AI$4407,'Tracking Sheet'!B3056,'Production '!$AG$4:$AG$4407)</f>
        <v>0</v>
      </c>
    </row>
    <row r="3057" spans="2:10" x14ac:dyDescent="0.3">
      <c r="B3057" s="277">
        <f>'Production '!C3060</f>
        <v>0</v>
      </c>
      <c r="C3057" s="76" t="e">
        <f ca="1">SUMIF('Production '!$C$4:$AI$4407,'Tracking Sheet'!B3057,'Production '!$M$4:$M$4407)</f>
        <v>#DIV/0!</v>
      </c>
      <c r="D3057" s="76" t="e">
        <f ca="1">SUMIF('Production '!$C$4:$AI$4407,'Tracking Sheet'!B3057,'Production '!$Q$4:$Q$4407)</f>
        <v>#DIV/0!</v>
      </c>
      <c r="E3057" s="76">
        <f ca="1">SUMIF('Production '!$C$4:$AI$4407,'Tracking Sheet'!B3057,'Production '!$S$4:$S$4407)</f>
        <v>-1268218.9828305368</v>
      </c>
      <c r="F3057" s="76">
        <f ca="1">SUMIF('Production '!$C$4:$AI$4407,'Tracking Sheet'!B3057,'Production '!$U$4:$U$4407)</f>
        <v>-10620.435600016917</v>
      </c>
      <c r="G3057" s="76" t="e">
        <f ca="1">SUMIF('Production '!$C$4:$AI$4407,'Tracking Sheet'!B3057,'Production '!$W$4:$W$4407)</f>
        <v>#DIV/0!</v>
      </c>
      <c r="H3057" s="76">
        <f ca="1">SUMIF('Production '!$C$4:$AI$4407,'Tracking Sheet'!B3057,'Production '!$F$4:$F$4407)</f>
        <v>3230621.3283604058</v>
      </c>
      <c r="I3057" s="76">
        <f ca="1">SUMIF('Production '!$C$4:$AI$4407,'Tracking Sheet'!B3057,'Production '!$V$4:$V$4407)</f>
        <v>-489.86487791182844</v>
      </c>
      <c r="J3057" s="76">
        <f ca="1">SUMIF('Production '!$C$4:$AI$4407,'Tracking Sheet'!B3057,'Production '!$AG$4:$AG$4407)</f>
        <v>0</v>
      </c>
    </row>
    <row r="3058" spans="2:10" x14ac:dyDescent="0.3">
      <c r="B3058" s="277">
        <f>'Production '!C3061</f>
        <v>0</v>
      </c>
      <c r="C3058" s="76" t="e">
        <f ca="1">SUMIF('Production '!$C$4:$AI$4407,'Tracking Sheet'!B3058,'Production '!$M$4:$M$4407)</f>
        <v>#DIV/0!</v>
      </c>
      <c r="D3058" s="76" t="e">
        <f ca="1">SUMIF('Production '!$C$4:$AI$4407,'Tracking Sheet'!B3058,'Production '!$Q$4:$Q$4407)</f>
        <v>#DIV/0!</v>
      </c>
      <c r="E3058" s="76">
        <f ca="1">SUMIF('Production '!$C$4:$AI$4407,'Tracking Sheet'!B3058,'Production '!$S$4:$S$4407)</f>
        <v>-1268218.9828305368</v>
      </c>
      <c r="F3058" s="76">
        <f ca="1">SUMIF('Production '!$C$4:$AI$4407,'Tracking Sheet'!B3058,'Production '!$U$4:$U$4407)</f>
        <v>-10620.435600016917</v>
      </c>
      <c r="G3058" s="76" t="e">
        <f ca="1">SUMIF('Production '!$C$4:$AI$4407,'Tracking Sheet'!B3058,'Production '!$W$4:$W$4407)</f>
        <v>#DIV/0!</v>
      </c>
      <c r="H3058" s="76">
        <f ca="1">SUMIF('Production '!$C$4:$AI$4407,'Tracking Sheet'!B3058,'Production '!$F$4:$F$4407)</f>
        <v>3230621.3283604058</v>
      </c>
      <c r="I3058" s="76">
        <f ca="1">SUMIF('Production '!$C$4:$AI$4407,'Tracking Sheet'!B3058,'Production '!$V$4:$V$4407)</f>
        <v>-489.86487791182844</v>
      </c>
      <c r="J3058" s="76">
        <f ca="1">SUMIF('Production '!$C$4:$AI$4407,'Tracking Sheet'!B3058,'Production '!$AG$4:$AG$4407)</f>
        <v>0</v>
      </c>
    </row>
    <row r="3059" spans="2:10" x14ac:dyDescent="0.3">
      <c r="B3059" s="277">
        <f>'Production '!C3062</f>
        <v>0</v>
      </c>
      <c r="C3059" s="76" t="e">
        <f ca="1">SUMIF('Production '!$C$4:$AI$4407,'Tracking Sheet'!B3059,'Production '!$M$4:$M$4407)</f>
        <v>#DIV/0!</v>
      </c>
      <c r="D3059" s="76" t="e">
        <f ca="1">SUMIF('Production '!$C$4:$AI$4407,'Tracking Sheet'!B3059,'Production '!$Q$4:$Q$4407)</f>
        <v>#DIV/0!</v>
      </c>
      <c r="E3059" s="76">
        <f ca="1">SUMIF('Production '!$C$4:$AI$4407,'Tracking Sheet'!B3059,'Production '!$S$4:$S$4407)</f>
        <v>-1268218.9828305368</v>
      </c>
      <c r="F3059" s="76">
        <f ca="1">SUMIF('Production '!$C$4:$AI$4407,'Tracking Sheet'!B3059,'Production '!$U$4:$U$4407)</f>
        <v>-10620.435600016917</v>
      </c>
      <c r="G3059" s="76" t="e">
        <f ca="1">SUMIF('Production '!$C$4:$AI$4407,'Tracking Sheet'!B3059,'Production '!$W$4:$W$4407)</f>
        <v>#DIV/0!</v>
      </c>
      <c r="H3059" s="76">
        <f ca="1">SUMIF('Production '!$C$4:$AI$4407,'Tracking Sheet'!B3059,'Production '!$F$4:$F$4407)</f>
        <v>3230621.3283604058</v>
      </c>
      <c r="I3059" s="76">
        <f ca="1">SUMIF('Production '!$C$4:$AI$4407,'Tracking Sheet'!B3059,'Production '!$V$4:$V$4407)</f>
        <v>-489.86487791182844</v>
      </c>
      <c r="J3059" s="76">
        <f ca="1">SUMIF('Production '!$C$4:$AI$4407,'Tracking Sheet'!B3059,'Production '!$AG$4:$AG$4407)</f>
        <v>0</v>
      </c>
    </row>
    <row r="3060" spans="2:10" x14ac:dyDescent="0.3">
      <c r="B3060" s="277">
        <f>'Production '!C3063</f>
        <v>0</v>
      </c>
      <c r="C3060" s="76" t="e">
        <f ca="1">SUMIF('Production '!$C$4:$AI$4407,'Tracking Sheet'!B3060,'Production '!$M$4:$M$4407)</f>
        <v>#DIV/0!</v>
      </c>
      <c r="D3060" s="76" t="e">
        <f ca="1">SUMIF('Production '!$C$4:$AI$4407,'Tracking Sheet'!B3060,'Production '!$Q$4:$Q$4407)</f>
        <v>#DIV/0!</v>
      </c>
      <c r="E3060" s="76">
        <f ca="1">SUMIF('Production '!$C$4:$AI$4407,'Tracking Sheet'!B3060,'Production '!$S$4:$S$4407)</f>
        <v>-1268218.9828305368</v>
      </c>
      <c r="F3060" s="76">
        <f ca="1">SUMIF('Production '!$C$4:$AI$4407,'Tracking Sheet'!B3060,'Production '!$U$4:$U$4407)</f>
        <v>-10620.435600016917</v>
      </c>
      <c r="G3060" s="76" t="e">
        <f ca="1">SUMIF('Production '!$C$4:$AI$4407,'Tracking Sheet'!B3060,'Production '!$W$4:$W$4407)</f>
        <v>#DIV/0!</v>
      </c>
      <c r="H3060" s="76">
        <f ca="1">SUMIF('Production '!$C$4:$AI$4407,'Tracking Sheet'!B3060,'Production '!$F$4:$F$4407)</f>
        <v>3230621.3283604058</v>
      </c>
      <c r="I3060" s="76">
        <f ca="1">SUMIF('Production '!$C$4:$AI$4407,'Tracking Sheet'!B3060,'Production '!$V$4:$V$4407)</f>
        <v>-489.86487791182844</v>
      </c>
      <c r="J3060" s="76">
        <f ca="1">SUMIF('Production '!$C$4:$AI$4407,'Tracking Sheet'!B3060,'Production '!$AG$4:$AG$4407)</f>
        <v>0</v>
      </c>
    </row>
    <row r="3061" spans="2:10" x14ac:dyDescent="0.3">
      <c r="B3061" s="277">
        <f>'Production '!C3064</f>
        <v>0</v>
      </c>
      <c r="C3061" s="76" t="e">
        <f ca="1">SUMIF('Production '!$C$4:$AI$4407,'Tracking Sheet'!B3061,'Production '!$M$4:$M$4407)</f>
        <v>#DIV/0!</v>
      </c>
      <c r="D3061" s="76" t="e">
        <f ca="1">SUMIF('Production '!$C$4:$AI$4407,'Tracking Sheet'!B3061,'Production '!$Q$4:$Q$4407)</f>
        <v>#DIV/0!</v>
      </c>
      <c r="E3061" s="76">
        <f ca="1">SUMIF('Production '!$C$4:$AI$4407,'Tracking Sheet'!B3061,'Production '!$S$4:$S$4407)</f>
        <v>-1268218.9828305368</v>
      </c>
      <c r="F3061" s="76">
        <f ca="1">SUMIF('Production '!$C$4:$AI$4407,'Tracking Sheet'!B3061,'Production '!$U$4:$U$4407)</f>
        <v>-10620.435600016917</v>
      </c>
      <c r="G3061" s="76" t="e">
        <f ca="1">SUMIF('Production '!$C$4:$AI$4407,'Tracking Sheet'!B3061,'Production '!$W$4:$W$4407)</f>
        <v>#DIV/0!</v>
      </c>
      <c r="H3061" s="76">
        <f ca="1">SUMIF('Production '!$C$4:$AI$4407,'Tracking Sheet'!B3061,'Production '!$F$4:$F$4407)</f>
        <v>3230621.3283604058</v>
      </c>
      <c r="I3061" s="76">
        <f ca="1">SUMIF('Production '!$C$4:$AI$4407,'Tracking Sheet'!B3061,'Production '!$V$4:$V$4407)</f>
        <v>-489.86487791182844</v>
      </c>
      <c r="J3061" s="76">
        <f ca="1">SUMIF('Production '!$C$4:$AI$4407,'Tracking Sheet'!B3061,'Production '!$AG$4:$AG$4407)</f>
        <v>0</v>
      </c>
    </row>
    <row r="3062" spans="2:10" x14ac:dyDescent="0.3">
      <c r="B3062" s="277">
        <f>'Production '!C3065</f>
        <v>0</v>
      </c>
      <c r="C3062" s="76" t="e">
        <f ca="1">SUMIF('Production '!$C$4:$AI$4407,'Tracking Sheet'!B3062,'Production '!$M$4:$M$4407)</f>
        <v>#DIV/0!</v>
      </c>
      <c r="D3062" s="76" t="e">
        <f ca="1">SUMIF('Production '!$C$4:$AI$4407,'Tracking Sheet'!B3062,'Production '!$Q$4:$Q$4407)</f>
        <v>#DIV/0!</v>
      </c>
      <c r="E3062" s="76">
        <f ca="1">SUMIF('Production '!$C$4:$AI$4407,'Tracking Sheet'!B3062,'Production '!$S$4:$S$4407)</f>
        <v>-1268218.9828305368</v>
      </c>
      <c r="F3062" s="76">
        <f ca="1">SUMIF('Production '!$C$4:$AI$4407,'Tracking Sheet'!B3062,'Production '!$U$4:$U$4407)</f>
        <v>-10620.435600016917</v>
      </c>
      <c r="G3062" s="76" t="e">
        <f ca="1">SUMIF('Production '!$C$4:$AI$4407,'Tracking Sheet'!B3062,'Production '!$W$4:$W$4407)</f>
        <v>#DIV/0!</v>
      </c>
      <c r="H3062" s="76">
        <f ca="1">SUMIF('Production '!$C$4:$AI$4407,'Tracking Sheet'!B3062,'Production '!$F$4:$F$4407)</f>
        <v>3230621.3283604058</v>
      </c>
      <c r="I3062" s="76">
        <f ca="1">SUMIF('Production '!$C$4:$AI$4407,'Tracking Sheet'!B3062,'Production '!$V$4:$V$4407)</f>
        <v>-489.86487791182844</v>
      </c>
      <c r="J3062" s="76">
        <f ca="1">SUMIF('Production '!$C$4:$AI$4407,'Tracking Sheet'!B3062,'Production '!$AG$4:$AG$4407)</f>
        <v>0</v>
      </c>
    </row>
    <row r="3063" spans="2:10" x14ac:dyDescent="0.3">
      <c r="B3063" s="277">
        <f>'Production '!C3066</f>
        <v>0</v>
      </c>
      <c r="C3063" s="76" t="e">
        <f ca="1">SUMIF('Production '!$C$4:$AI$4407,'Tracking Sheet'!B3063,'Production '!$M$4:$M$4407)</f>
        <v>#DIV/0!</v>
      </c>
      <c r="D3063" s="76" t="e">
        <f ca="1">SUMIF('Production '!$C$4:$AI$4407,'Tracking Sheet'!B3063,'Production '!$Q$4:$Q$4407)</f>
        <v>#DIV/0!</v>
      </c>
      <c r="E3063" s="76">
        <f ca="1">SUMIF('Production '!$C$4:$AI$4407,'Tracking Sheet'!B3063,'Production '!$S$4:$S$4407)</f>
        <v>-1268218.9828305368</v>
      </c>
      <c r="F3063" s="76">
        <f ca="1">SUMIF('Production '!$C$4:$AI$4407,'Tracking Sheet'!B3063,'Production '!$U$4:$U$4407)</f>
        <v>-10620.435600016917</v>
      </c>
      <c r="G3063" s="76" t="e">
        <f ca="1">SUMIF('Production '!$C$4:$AI$4407,'Tracking Sheet'!B3063,'Production '!$W$4:$W$4407)</f>
        <v>#DIV/0!</v>
      </c>
      <c r="H3063" s="76">
        <f ca="1">SUMIF('Production '!$C$4:$AI$4407,'Tracking Sheet'!B3063,'Production '!$F$4:$F$4407)</f>
        <v>3230621.3283604058</v>
      </c>
      <c r="I3063" s="76">
        <f ca="1">SUMIF('Production '!$C$4:$AI$4407,'Tracking Sheet'!B3063,'Production '!$V$4:$V$4407)</f>
        <v>-489.86487791182844</v>
      </c>
      <c r="J3063" s="76">
        <f ca="1">SUMIF('Production '!$C$4:$AI$4407,'Tracking Sheet'!B3063,'Production '!$AG$4:$AG$4407)</f>
        <v>0</v>
      </c>
    </row>
    <row r="3064" spans="2:10" x14ac:dyDescent="0.3">
      <c r="B3064" s="277">
        <f>'Production '!C3067</f>
        <v>0</v>
      </c>
      <c r="C3064" s="76" t="e">
        <f ca="1">SUMIF('Production '!$C$4:$AI$4407,'Tracking Sheet'!B3064,'Production '!$M$4:$M$4407)</f>
        <v>#DIV/0!</v>
      </c>
      <c r="D3064" s="76" t="e">
        <f ca="1">SUMIF('Production '!$C$4:$AI$4407,'Tracking Sheet'!B3064,'Production '!$Q$4:$Q$4407)</f>
        <v>#DIV/0!</v>
      </c>
      <c r="E3064" s="76">
        <f ca="1">SUMIF('Production '!$C$4:$AI$4407,'Tracking Sheet'!B3064,'Production '!$S$4:$S$4407)</f>
        <v>-1268218.9828305368</v>
      </c>
      <c r="F3064" s="76">
        <f ca="1">SUMIF('Production '!$C$4:$AI$4407,'Tracking Sheet'!B3064,'Production '!$U$4:$U$4407)</f>
        <v>-10620.435600016917</v>
      </c>
      <c r="G3064" s="76" t="e">
        <f ca="1">SUMIF('Production '!$C$4:$AI$4407,'Tracking Sheet'!B3064,'Production '!$W$4:$W$4407)</f>
        <v>#DIV/0!</v>
      </c>
      <c r="H3064" s="76">
        <f ca="1">SUMIF('Production '!$C$4:$AI$4407,'Tracking Sheet'!B3064,'Production '!$F$4:$F$4407)</f>
        <v>3230621.3283604058</v>
      </c>
      <c r="I3064" s="76">
        <f ca="1">SUMIF('Production '!$C$4:$AI$4407,'Tracking Sheet'!B3064,'Production '!$V$4:$V$4407)</f>
        <v>-489.86487791182844</v>
      </c>
      <c r="J3064" s="76">
        <f ca="1">SUMIF('Production '!$C$4:$AI$4407,'Tracking Sheet'!B3064,'Production '!$AG$4:$AG$4407)</f>
        <v>0</v>
      </c>
    </row>
    <row r="3065" spans="2:10" x14ac:dyDescent="0.3">
      <c r="B3065" s="277">
        <f>'Production '!C3068</f>
        <v>0</v>
      </c>
      <c r="C3065" s="76" t="e">
        <f ca="1">SUMIF('Production '!$C$4:$AI$4407,'Tracking Sheet'!B3065,'Production '!$M$4:$M$4407)</f>
        <v>#DIV/0!</v>
      </c>
      <c r="D3065" s="76" t="e">
        <f ca="1">SUMIF('Production '!$C$4:$AI$4407,'Tracking Sheet'!B3065,'Production '!$Q$4:$Q$4407)</f>
        <v>#DIV/0!</v>
      </c>
      <c r="E3065" s="76">
        <f ca="1">SUMIF('Production '!$C$4:$AI$4407,'Tracking Sheet'!B3065,'Production '!$S$4:$S$4407)</f>
        <v>-1268218.9828305368</v>
      </c>
      <c r="F3065" s="76">
        <f ca="1">SUMIF('Production '!$C$4:$AI$4407,'Tracking Sheet'!B3065,'Production '!$U$4:$U$4407)</f>
        <v>-10620.435600016917</v>
      </c>
      <c r="G3065" s="76" t="e">
        <f ca="1">SUMIF('Production '!$C$4:$AI$4407,'Tracking Sheet'!B3065,'Production '!$W$4:$W$4407)</f>
        <v>#DIV/0!</v>
      </c>
      <c r="H3065" s="76">
        <f ca="1">SUMIF('Production '!$C$4:$AI$4407,'Tracking Sheet'!B3065,'Production '!$F$4:$F$4407)</f>
        <v>3230621.3283604058</v>
      </c>
      <c r="I3065" s="76">
        <f ca="1">SUMIF('Production '!$C$4:$AI$4407,'Tracking Sheet'!B3065,'Production '!$V$4:$V$4407)</f>
        <v>-489.86487791182844</v>
      </c>
      <c r="J3065" s="76">
        <f ca="1">SUMIF('Production '!$C$4:$AI$4407,'Tracking Sheet'!B3065,'Production '!$AG$4:$AG$4407)</f>
        <v>0</v>
      </c>
    </row>
    <row r="3066" spans="2:10" x14ac:dyDescent="0.3">
      <c r="B3066" s="277">
        <f>'Production '!C3069</f>
        <v>0</v>
      </c>
      <c r="C3066" s="76" t="e">
        <f ca="1">SUMIF('Production '!$C$4:$AI$4407,'Tracking Sheet'!B3066,'Production '!$M$4:$M$4407)</f>
        <v>#DIV/0!</v>
      </c>
      <c r="D3066" s="76" t="e">
        <f ca="1">SUMIF('Production '!$C$4:$AI$4407,'Tracking Sheet'!B3066,'Production '!$Q$4:$Q$4407)</f>
        <v>#DIV/0!</v>
      </c>
      <c r="E3066" s="76">
        <f ca="1">SUMIF('Production '!$C$4:$AI$4407,'Tracking Sheet'!B3066,'Production '!$S$4:$S$4407)</f>
        <v>-1268218.9828305368</v>
      </c>
      <c r="F3066" s="76">
        <f ca="1">SUMIF('Production '!$C$4:$AI$4407,'Tracking Sheet'!B3066,'Production '!$U$4:$U$4407)</f>
        <v>-10620.435600016917</v>
      </c>
      <c r="G3066" s="76" t="e">
        <f ca="1">SUMIF('Production '!$C$4:$AI$4407,'Tracking Sheet'!B3066,'Production '!$W$4:$W$4407)</f>
        <v>#DIV/0!</v>
      </c>
      <c r="H3066" s="76">
        <f ca="1">SUMIF('Production '!$C$4:$AI$4407,'Tracking Sheet'!B3066,'Production '!$F$4:$F$4407)</f>
        <v>3230621.3283604058</v>
      </c>
      <c r="I3066" s="76">
        <f ca="1">SUMIF('Production '!$C$4:$AI$4407,'Tracking Sheet'!B3066,'Production '!$V$4:$V$4407)</f>
        <v>-489.86487791182844</v>
      </c>
      <c r="J3066" s="76">
        <f ca="1">SUMIF('Production '!$C$4:$AI$4407,'Tracking Sheet'!B3066,'Production '!$AG$4:$AG$4407)</f>
        <v>0</v>
      </c>
    </row>
    <row r="3067" spans="2:10" x14ac:dyDescent="0.3">
      <c r="B3067" s="277">
        <f>'Production '!C3070</f>
        <v>0</v>
      </c>
      <c r="C3067" s="76" t="e">
        <f ca="1">SUMIF('Production '!$C$4:$AI$4407,'Tracking Sheet'!B3067,'Production '!$M$4:$M$4407)</f>
        <v>#DIV/0!</v>
      </c>
      <c r="D3067" s="76" t="e">
        <f ca="1">SUMIF('Production '!$C$4:$AI$4407,'Tracking Sheet'!B3067,'Production '!$Q$4:$Q$4407)</f>
        <v>#DIV/0!</v>
      </c>
      <c r="E3067" s="76">
        <f ca="1">SUMIF('Production '!$C$4:$AI$4407,'Tracking Sheet'!B3067,'Production '!$S$4:$S$4407)</f>
        <v>-1268218.9828305368</v>
      </c>
      <c r="F3067" s="76">
        <f ca="1">SUMIF('Production '!$C$4:$AI$4407,'Tracking Sheet'!B3067,'Production '!$U$4:$U$4407)</f>
        <v>-10620.435600016917</v>
      </c>
      <c r="G3067" s="76" t="e">
        <f ca="1">SUMIF('Production '!$C$4:$AI$4407,'Tracking Sheet'!B3067,'Production '!$W$4:$W$4407)</f>
        <v>#DIV/0!</v>
      </c>
      <c r="H3067" s="76">
        <f ca="1">SUMIF('Production '!$C$4:$AI$4407,'Tracking Sheet'!B3067,'Production '!$F$4:$F$4407)</f>
        <v>3230621.3283604058</v>
      </c>
      <c r="I3067" s="76">
        <f ca="1">SUMIF('Production '!$C$4:$AI$4407,'Tracking Sheet'!B3067,'Production '!$V$4:$V$4407)</f>
        <v>-489.86487791182844</v>
      </c>
      <c r="J3067" s="76">
        <f ca="1">SUMIF('Production '!$C$4:$AI$4407,'Tracking Sheet'!B3067,'Production '!$AG$4:$AG$4407)</f>
        <v>0</v>
      </c>
    </row>
    <row r="3068" spans="2:10" x14ac:dyDescent="0.3">
      <c r="B3068" s="277">
        <f>'Production '!C3071</f>
        <v>0</v>
      </c>
      <c r="C3068" s="76" t="e">
        <f ca="1">SUMIF('Production '!$C$4:$AI$4407,'Tracking Sheet'!B3068,'Production '!$M$4:$M$4407)</f>
        <v>#DIV/0!</v>
      </c>
      <c r="D3068" s="76" t="e">
        <f ca="1">SUMIF('Production '!$C$4:$AI$4407,'Tracking Sheet'!B3068,'Production '!$Q$4:$Q$4407)</f>
        <v>#DIV/0!</v>
      </c>
      <c r="E3068" s="76">
        <f ca="1">SUMIF('Production '!$C$4:$AI$4407,'Tracking Sheet'!B3068,'Production '!$S$4:$S$4407)</f>
        <v>-1268218.9828305368</v>
      </c>
      <c r="F3068" s="76">
        <f ca="1">SUMIF('Production '!$C$4:$AI$4407,'Tracking Sheet'!B3068,'Production '!$U$4:$U$4407)</f>
        <v>-10620.435600016917</v>
      </c>
      <c r="G3068" s="76" t="e">
        <f ca="1">SUMIF('Production '!$C$4:$AI$4407,'Tracking Sheet'!B3068,'Production '!$W$4:$W$4407)</f>
        <v>#DIV/0!</v>
      </c>
      <c r="H3068" s="76">
        <f ca="1">SUMIF('Production '!$C$4:$AI$4407,'Tracking Sheet'!B3068,'Production '!$F$4:$F$4407)</f>
        <v>3230621.3283604058</v>
      </c>
      <c r="I3068" s="76">
        <f ca="1">SUMIF('Production '!$C$4:$AI$4407,'Tracking Sheet'!B3068,'Production '!$V$4:$V$4407)</f>
        <v>-489.86487791182844</v>
      </c>
      <c r="J3068" s="76">
        <f ca="1">SUMIF('Production '!$C$4:$AI$4407,'Tracking Sheet'!B3068,'Production '!$AG$4:$AG$4407)</f>
        <v>0</v>
      </c>
    </row>
    <row r="3069" spans="2:10" x14ac:dyDescent="0.3">
      <c r="B3069" s="277">
        <f>'Production '!C3072</f>
        <v>0</v>
      </c>
      <c r="C3069" s="76" t="e">
        <f ca="1">SUMIF('Production '!$C$4:$AI$4407,'Tracking Sheet'!B3069,'Production '!$M$4:$M$4407)</f>
        <v>#DIV/0!</v>
      </c>
      <c r="D3069" s="76" t="e">
        <f ca="1">SUMIF('Production '!$C$4:$AI$4407,'Tracking Sheet'!B3069,'Production '!$Q$4:$Q$4407)</f>
        <v>#DIV/0!</v>
      </c>
      <c r="E3069" s="76">
        <f ca="1">SUMIF('Production '!$C$4:$AI$4407,'Tracking Sheet'!B3069,'Production '!$S$4:$S$4407)</f>
        <v>-1268218.9828305368</v>
      </c>
      <c r="F3069" s="76">
        <f ca="1">SUMIF('Production '!$C$4:$AI$4407,'Tracking Sheet'!B3069,'Production '!$U$4:$U$4407)</f>
        <v>-10620.435600016917</v>
      </c>
      <c r="G3069" s="76" t="e">
        <f ca="1">SUMIF('Production '!$C$4:$AI$4407,'Tracking Sheet'!B3069,'Production '!$W$4:$W$4407)</f>
        <v>#DIV/0!</v>
      </c>
      <c r="H3069" s="76">
        <f ca="1">SUMIF('Production '!$C$4:$AI$4407,'Tracking Sheet'!B3069,'Production '!$F$4:$F$4407)</f>
        <v>3230621.3283604058</v>
      </c>
      <c r="I3069" s="76">
        <f ca="1">SUMIF('Production '!$C$4:$AI$4407,'Tracking Sheet'!B3069,'Production '!$V$4:$V$4407)</f>
        <v>-489.86487791182844</v>
      </c>
      <c r="J3069" s="76">
        <f ca="1">SUMIF('Production '!$C$4:$AI$4407,'Tracking Sheet'!B3069,'Production '!$AG$4:$AG$4407)</f>
        <v>0</v>
      </c>
    </row>
    <row r="3070" spans="2:10" x14ac:dyDescent="0.3">
      <c r="B3070" s="277">
        <f>'Production '!C3073</f>
        <v>0</v>
      </c>
      <c r="C3070" s="76" t="e">
        <f ca="1">SUMIF('Production '!$C$4:$AI$4407,'Tracking Sheet'!B3070,'Production '!$M$4:$M$4407)</f>
        <v>#DIV/0!</v>
      </c>
      <c r="D3070" s="76" t="e">
        <f ca="1">SUMIF('Production '!$C$4:$AI$4407,'Tracking Sheet'!B3070,'Production '!$Q$4:$Q$4407)</f>
        <v>#DIV/0!</v>
      </c>
      <c r="E3070" s="76">
        <f ca="1">SUMIF('Production '!$C$4:$AI$4407,'Tracking Sheet'!B3070,'Production '!$S$4:$S$4407)</f>
        <v>-1268218.9828305368</v>
      </c>
      <c r="F3070" s="76">
        <f ca="1">SUMIF('Production '!$C$4:$AI$4407,'Tracking Sheet'!B3070,'Production '!$U$4:$U$4407)</f>
        <v>-10620.435600016917</v>
      </c>
      <c r="G3070" s="76" t="e">
        <f ca="1">SUMIF('Production '!$C$4:$AI$4407,'Tracking Sheet'!B3070,'Production '!$W$4:$W$4407)</f>
        <v>#DIV/0!</v>
      </c>
      <c r="H3070" s="76">
        <f ca="1">SUMIF('Production '!$C$4:$AI$4407,'Tracking Sheet'!B3070,'Production '!$F$4:$F$4407)</f>
        <v>3230621.3283604058</v>
      </c>
      <c r="I3070" s="76">
        <f ca="1">SUMIF('Production '!$C$4:$AI$4407,'Tracking Sheet'!B3070,'Production '!$V$4:$V$4407)</f>
        <v>-489.86487791182844</v>
      </c>
      <c r="J3070" s="76">
        <f ca="1">SUMIF('Production '!$C$4:$AI$4407,'Tracking Sheet'!B3070,'Production '!$AG$4:$AG$4407)</f>
        <v>0</v>
      </c>
    </row>
    <row r="3071" spans="2:10" x14ac:dyDescent="0.3">
      <c r="B3071" s="277">
        <f>'Production '!C3074</f>
        <v>0</v>
      </c>
      <c r="C3071" s="76" t="e">
        <f ca="1">SUMIF('Production '!$C$4:$AI$4407,'Tracking Sheet'!B3071,'Production '!$M$4:$M$4407)</f>
        <v>#DIV/0!</v>
      </c>
      <c r="D3071" s="76" t="e">
        <f ca="1">SUMIF('Production '!$C$4:$AI$4407,'Tracking Sheet'!B3071,'Production '!$Q$4:$Q$4407)</f>
        <v>#DIV/0!</v>
      </c>
      <c r="E3071" s="76">
        <f ca="1">SUMIF('Production '!$C$4:$AI$4407,'Tracking Sheet'!B3071,'Production '!$S$4:$S$4407)</f>
        <v>-1268218.9828305368</v>
      </c>
      <c r="F3071" s="76">
        <f ca="1">SUMIF('Production '!$C$4:$AI$4407,'Tracking Sheet'!B3071,'Production '!$U$4:$U$4407)</f>
        <v>-10620.435600016917</v>
      </c>
      <c r="G3071" s="76" t="e">
        <f ca="1">SUMIF('Production '!$C$4:$AI$4407,'Tracking Sheet'!B3071,'Production '!$W$4:$W$4407)</f>
        <v>#DIV/0!</v>
      </c>
      <c r="H3071" s="76">
        <f ca="1">SUMIF('Production '!$C$4:$AI$4407,'Tracking Sheet'!B3071,'Production '!$F$4:$F$4407)</f>
        <v>3230621.3283604058</v>
      </c>
      <c r="I3071" s="76">
        <f ca="1">SUMIF('Production '!$C$4:$AI$4407,'Tracking Sheet'!B3071,'Production '!$V$4:$V$4407)</f>
        <v>-489.86487791182844</v>
      </c>
      <c r="J3071" s="76">
        <f ca="1">SUMIF('Production '!$C$4:$AI$4407,'Tracking Sheet'!B3071,'Production '!$AG$4:$AG$4407)</f>
        <v>0</v>
      </c>
    </row>
    <row r="3072" spans="2:10" x14ac:dyDescent="0.3">
      <c r="B3072" s="277">
        <f>'Production '!C3075</f>
        <v>0</v>
      </c>
      <c r="C3072" s="76" t="e">
        <f ca="1">SUMIF('Production '!$C$4:$AI$4407,'Tracking Sheet'!B3072,'Production '!$M$4:$M$4407)</f>
        <v>#DIV/0!</v>
      </c>
      <c r="D3072" s="76" t="e">
        <f ca="1">SUMIF('Production '!$C$4:$AI$4407,'Tracking Sheet'!B3072,'Production '!$Q$4:$Q$4407)</f>
        <v>#DIV/0!</v>
      </c>
      <c r="E3072" s="76">
        <f ca="1">SUMIF('Production '!$C$4:$AI$4407,'Tracking Sheet'!B3072,'Production '!$S$4:$S$4407)</f>
        <v>-1268218.9828305368</v>
      </c>
      <c r="F3072" s="76">
        <f ca="1">SUMIF('Production '!$C$4:$AI$4407,'Tracking Sheet'!B3072,'Production '!$U$4:$U$4407)</f>
        <v>-10620.435600016917</v>
      </c>
      <c r="G3072" s="76" t="e">
        <f ca="1">SUMIF('Production '!$C$4:$AI$4407,'Tracking Sheet'!B3072,'Production '!$W$4:$W$4407)</f>
        <v>#DIV/0!</v>
      </c>
      <c r="H3072" s="76">
        <f ca="1">SUMIF('Production '!$C$4:$AI$4407,'Tracking Sheet'!B3072,'Production '!$F$4:$F$4407)</f>
        <v>3230621.3283604058</v>
      </c>
      <c r="I3072" s="76">
        <f ca="1">SUMIF('Production '!$C$4:$AI$4407,'Tracking Sheet'!B3072,'Production '!$V$4:$V$4407)</f>
        <v>-489.86487791182844</v>
      </c>
      <c r="J3072" s="76">
        <f ca="1">SUMIF('Production '!$C$4:$AI$4407,'Tracking Sheet'!B3072,'Production '!$AG$4:$AG$4407)</f>
        <v>0</v>
      </c>
    </row>
    <row r="3073" spans="2:10" x14ac:dyDescent="0.3">
      <c r="B3073" s="277">
        <f>'Production '!C3076</f>
        <v>0</v>
      </c>
      <c r="C3073" s="76" t="e">
        <f ca="1">SUMIF('Production '!$C$4:$AI$4407,'Tracking Sheet'!B3073,'Production '!$M$4:$M$4407)</f>
        <v>#DIV/0!</v>
      </c>
      <c r="D3073" s="76" t="e">
        <f ca="1">SUMIF('Production '!$C$4:$AI$4407,'Tracking Sheet'!B3073,'Production '!$Q$4:$Q$4407)</f>
        <v>#DIV/0!</v>
      </c>
      <c r="E3073" s="76">
        <f ca="1">SUMIF('Production '!$C$4:$AI$4407,'Tracking Sheet'!B3073,'Production '!$S$4:$S$4407)</f>
        <v>-1268218.9828305368</v>
      </c>
      <c r="F3073" s="76">
        <f ca="1">SUMIF('Production '!$C$4:$AI$4407,'Tracking Sheet'!B3073,'Production '!$U$4:$U$4407)</f>
        <v>-10620.435600016917</v>
      </c>
      <c r="G3073" s="76" t="e">
        <f ca="1">SUMIF('Production '!$C$4:$AI$4407,'Tracking Sheet'!B3073,'Production '!$W$4:$W$4407)</f>
        <v>#DIV/0!</v>
      </c>
      <c r="H3073" s="76">
        <f ca="1">SUMIF('Production '!$C$4:$AI$4407,'Tracking Sheet'!B3073,'Production '!$F$4:$F$4407)</f>
        <v>3230621.3283604058</v>
      </c>
      <c r="I3073" s="76">
        <f ca="1">SUMIF('Production '!$C$4:$AI$4407,'Tracking Sheet'!B3073,'Production '!$V$4:$V$4407)</f>
        <v>-489.86487791182844</v>
      </c>
      <c r="J3073" s="76">
        <f ca="1">SUMIF('Production '!$C$4:$AI$4407,'Tracking Sheet'!B3073,'Production '!$AG$4:$AG$4407)</f>
        <v>0</v>
      </c>
    </row>
    <row r="3074" spans="2:10" x14ac:dyDescent="0.3">
      <c r="B3074" s="277">
        <f>'Production '!C3077</f>
        <v>0</v>
      </c>
      <c r="C3074" s="76" t="e">
        <f ca="1">SUMIF('Production '!$C$4:$AI$4407,'Tracking Sheet'!B3074,'Production '!$M$4:$M$4407)</f>
        <v>#DIV/0!</v>
      </c>
      <c r="D3074" s="76" t="e">
        <f ca="1">SUMIF('Production '!$C$4:$AI$4407,'Tracking Sheet'!B3074,'Production '!$Q$4:$Q$4407)</f>
        <v>#DIV/0!</v>
      </c>
      <c r="E3074" s="76">
        <f ca="1">SUMIF('Production '!$C$4:$AI$4407,'Tracking Sheet'!B3074,'Production '!$S$4:$S$4407)</f>
        <v>-1268218.9828305368</v>
      </c>
      <c r="F3074" s="76">
        <f ca="1">SUMIF('Production '!$C$4:$AI$4407,'Tracking Sheet'!B3074,'Production '!$U$4:$U$4407)</f>
        <v>-10620.435600016917</v>
      </c>
      <c r="G3074" s="76" t="e">
        <f ca="1">SUMIF('Production '!$C$4:$AI$4407,'Tracking Sheet'!B3074,'Production '!$W$4:$W$4407)</f>
        <v>#DIV/0!</v>
      </c>
      <c r="H3074" s="76">
        <f ca="1">SUMIF('Production '!$C$4:$AI$4407,'Tracking Sheet'!B3074,'Production '!$F$4:$F$4407)</f>
        <v>3230621.3283604058</v>
      </c>
      <c r="I3074" s="76">
        <f ca="1">SUMIF('Production '!$C$4:$AI$4407,'Tracking Sheet'!B3074,'Production '!$V$4:$V$4407)</f>
        <v>-489.86487791182844</v>
      </c>
      <c r="J3074" s="76">
        <f ca="1">SUMIF('Production '!$C$4:$AI$4407,'Tracking Sheet'!B3074,'Production '!$AG$4:$AG$4407)</f>
        <v>0</v>
      </c>
    </row>
    <row r="3075" spans="2:10" x14ac:dyDescent="0.3">
      <c r="B3075" s="277">
        <f>'Production '!C3078</f>
        <v>0</v>
      </c>
      <c r="C3075" s="76" t="e">
        <f ca="1">SUMIF('Production '!$C$4:$AI$4407,'Tracking Sheet'!B3075,'Production '!$M$4:$M$4407)</f>
        <v>#DIV/0!</v>
      </c>
      <c r="D3075" s="76" t="e">
        <f ca="1">SUMIF('Production '!$C$4:$AI$4407,'Tracking Sheet'!B3075,'Production '!$Q$4:$Q$4407)</f>
        <v>#DIV/0!</v>
      </c>
      <c r="E3075" s="76">
        <f ca="1">SUMIF('Production '!$C$4:$AI$4407,'Tracking Sheet'!B3075,'Production '!$S$4:$S$4407)</f>
        <v>-1268218.9828305368</v>
      </c>
      <c r="F3075" s="76">
        <f ca="1">SUMIF('Production '!$C$4:$AI$4407,'Tracking Sheet'!B3075,'Production '!$U$4:$U$4407)</f>
        <v>-10620.435600016917</v>
      </c>
      <c r="G3075" s="76" t="e">
        <f ca="1">SUMIF('Production '!$C$4:$AI$4407,'Tracking Sheet'!B3075,'Production '!$W$4:$W$4407)</f>
        <v>#DIV/0!</v>
      </c>
      <c r="H3075" s="76">
        <f ca="1">SUMIF('Production '!$C$4:$AI$4407,'Tracking Sheet'!B3075,'Production '!$F$4:$F$4407)</f>
        <v>3230621.3283604058</v>
      </c>
      <c r="I3075" s="76">
        <f ca="1">SUMIF('Production '!$C$4:$AI$4407,'Tracking Sheet'!B3075,'Production '!$V$4:$V$4407)</f>
        <v>-489.86487791182844</v>
      </c>
      <c r="J3075" s="76">
        <f ca="1">SUMIF('Production '!$C$4:$AI$4407,'Tracking Sheet'!B3075,'Production '!$AG$4:$AG$4407)</f>
        <v>0</v>
      </c>
    </row>
    <row r="3076" spans="2:10" x14ac:dyDescent="0.3">
      <c r="B3076" s="277">
        <f>'Production '!C3079</f>
        <v>0</v>
      </c>
      <c r="C3076" s="76" t="e">
        <f ca="1">SUMIF('Production '!$C$4:$AI$4407,'Tracking Sheet'!B3076,'Production '!$M$4:$M$4407)</f>
        <v>#DIV/0!</v>
      </c>
      <c r="D3076" s="76" t="e">
        <f ca="1">SUMIF('Production '!$C$4:$AI$4407,'Tracking Sheet'!B3076,'Production '!$Q$4:$Q$4407)</f>
        <v>#DIV/0!</v>
      </c>
      <c r="E3076" s="76">
        <f ca="1">SUMIF('Production '!$C$4:$AI$4407,'Tracking Sheet'!B3076,'Production '!$S$4:$S$4407)</f>
        <v>-1268218.9828305368</v>
      </c>
      <c r="F3076" s="76">
        <f ca="1">SUMIF('Production '!$C$4:$AI$4407,'Tracking Sheet'!B3076,'Production '!$U$4:$U$4407)</f>
        <v>-10620.435600016917</v>
      </c>
      <c r="G3076" s="76" t="e">
        <f ca="1">SUMIF('Production '!$C$4:$AI$4407,'Tracking Sheet'!B3076,'Production '!$W$4:$W$4407)</f>
        <v>#DIV/0!</v>
      </c>
      <c r="H3076" s="76">
        <f ca="1">SUMIF('Production '!$C$4:$AI$4407,'Tracking Sheet'!B3076,'Production '!$F$4:$F$4407)</f>
        <v>3230621.3283604058</v>
      </c>
      <c r="I3076" s="76">
        <f ca="1">SUMIF('Production '!$C$4:$AI$4407,'Tracking Sheet'!B3076,'Production '!$V$4:$V$4407)</f>
        <v>-489.86487791182844</v>
      </c>
      <c r="J3076" s="76">
        <f ca="1">SUMIF('Production '!$C$4:$AI$4407,'Tracking Sheet'!B3076,'Production '!$AG$4:$AG$4407)</f>
        <v>0</v>
      </c>
    </row>
    <row r="3077" spans="2:10" x14ac:dyDescent="0.3">
      <c r="B3077" s="277">
        <f>'Production '!C3080</f>
        <v>0</v>
      </c>
      <c r="C3077" s="76" t="e">
        <f ca="1">SUMIF('Production '!$C$4:$AI$4407,'Tracking Sheet'!B3077,'Production '!$M$4:$M$4407)</f>
        <v>#DIV/0!</v>
      </c>
      <c r="D3077" s="76" t="e">
        <f ca="1">SUMIF('Production '!$C$4:$AI$4407,'Tracking Sheet'!B3077,'Production '!$Q$4:$Q$4407)</f>
        <v>#DIV/0!</v>
      </c>
      <c r="E3077" s="76">
        <f ca="1">SUMIF('Production '!$C$4:$AI$4407,'Tracking Sheet'!B3077,'Production '!$S$4:$S$4407)</f>
        <v>-1268218.9828305368</v>
      </c>
      <c r="F3077" s="76">
        <f ca="1">SUMIF('Production '!$C$4:$AI$4407,'Tracking Sheet'!B3077,'Production '!$U$4:$U$4407)</f>
        <v>-10620.435600016917</v>
      </c>
      <c r="G3077" s="76" t="e">
        <f ca="1">SUMIF('Production '!$C$4:$AI$4407,'Tracking Sheet'!B3077,'Production '!$W$4:$W$4407)</f>
        <v>#DIV/0!</v>
      </c>
      <c r="H3077" s="76">
        <f ca="1">SUMIF('Production '!$C$4:$AI$4407,'Tracking Sheet'!B3077,'Production '!$F$4:$F$4407)</f>
        <v>3230621.3283604058</v>
      </c>
      <c r="I3077" s="76">
        <f ca="1">SUMIF('Production '!$C$4:$AI$4407,'Tracking Sheet'!B3077,'Production '!$V$4:$V$4407)</f>
        <v>-489.86487791182844</v>
      </c>
      <c r="J3077" s="76">
        <f ca="1">SUMIF('Production '!$C$4:$AI$4407,'Tracking Sheet'!B3077,'Production '!$AG$4:$AG$4407)</f>
        <v>0</v>
      </c>
    </row>
    <row r="3078" spans="2:10" x14ac:dyDescent="0.3">
      <c r="B3078" s="277">
        <f>'Production '!C3081</f>
        <v>0</v>
      </c>
      <c r="C3078" s="76" t="e">
        <f ca="1">SUMIF('Production '!$C$4:$AI$4407,'Tracking Sheet'!B3078,'Production '!$M$4:$M$4407)</f>
        <v>#DIV/0!</v>
      </c>
      <c r="D3078" s="76" t="e">
        <f ca="1">SUMIF('Production '!$C$4:$AI$4407,'Tracking Sheet'!B3078,'Production '!$Q$4:$Q$4407)</f>
        <v>#DIV/0!</v>
      </c>
      <c r="E3078" s="76">
        <f ca="1">SUMIF('Production '!$C$4:$AI$4407,'Tracking Sheet'!B3078,'Production '!$S$4:$S$4407)</f>
        <v>-1268218.9828305368</v>
      </c>
      <c r="F3078" s="76">
        <f ca="1">SUMIF('Production '!$C$4:$AI$4407,'Tracking Sheet'!B3078,'Production '!$U$4:$U$4407)</f>
        <v>-10620.435600016917</v>
      </c>
      <c r="G3078" s="76" t="e">
        <f ca="1">SUMIF('Production '!$C$4:$AI$4407,'Tracking Sheet'!B3078,'Production '!$W$4:$W$4407)</f>
        <v>#DIV/0!</v>
      </c>
      <c r="H3078" s="76">
        <f ca="1">SUMIF('Production '!$C$4:$AI$4407,'Tracking Sheet'!B3078,'Production '!$F$4:$F$4407)</f>
        <v>3230621.3283604058</v>
      </c>
      <c r="I3078" s="76">
        <f ca="1">SUMIF('Production '!$C$4:$AI$4407,'Tracking Sheet'!B3078,'Production '!$V$4:$V$4407)</f>
        <v>-489.86487791182844</v>
      </c>
      <c r="J3078" s="76">
        <f ca="1">SUMIF('Production '!$C$4:$AI$4407,'Tracking Sheet'!B3078,'Production '!$AG$4:$AG$4407)</f>
        <v>0</v>
      </c>
    </row>
    <row r="3079" spans="2:10" x14ac:dyDescent="0.3">
      <c r="B3079" s="277">
        <f>'Production '!C3082</f>
        <v>0</v>
      </c>
      <c r="C3079" s="76" t="e">
        <f ca="1">SUMIF('Production '!$C$4:$AI$4407,'Tracking Sheet'!B3079,'Production '!$M$4:$M$4407)</f>
        <v>#DIV/0!</v>
      </c>
      <c r="D3079" s="76" t="e">
        <f ca="1">SUMIF('Production '!$C$4:$AI$4407,'Tracking Sheet'!B3079,'Production '!$Q$4:$Q$4407)</f>
        <v>#DIV/0!</v>
      </c>
      <c r="E3079" s="76">
        <f ca="1">SUMIF('Production '!$C$4:$AI$4407,'Tracking Sheet'!B3079,'Production '!$S$4:$S$4407)</f>
        <v>-1268218.9828305368</v>
      </c>
      <c r="F3079" s="76">
        <f ca="1">SUMIF('Production '!$C$4:$AI$4407,'Tracking Sheet'!B3079,'Production '!$U$4:$U$4407)</f>
        <v>-10620.435600016917</v>
      </c>
      <c r="G3079" s="76" t="e">
        <f ca="1">SUMIF('Production '!$C$4:$AI$4407,'Tracking Sheet'!B3079,'Production '!$W$4:$W$4407)</f>
        <v>#DIV/0!</v>
      </c>
      <c r="H3079" s="76">
        <f ca="1">SUMIF('Production '!$C$4:$AI$4407,'Tracking Sheet'!B3079,'Production '!$F$4:$F$4407)</f>
        <v>3230621.3283604058</v>
      </c>
      <c r="I3079" s="76">
        <f ca="1">SUMIF('Production '!$C$4:$AI$4407,'Tracking Sheet'!B3079,'Production '!$V$4:$V$4407)</f>
        <v>-489.86487791182844</v>
      </c>
      <c r="J3079" s="76">
        <f ca="1">SUMIF('Production '!$C$4:$AI$4407,'Tracking Sheet'!B3079,'Production '!$AG$4:$AG$4407)</f>
        <v>0</v>
      </c>
    </row>
    <row r="3080" spans="2:10" x14ac:dyDescent="0.3">
      <c r="B3080" s="277">
        <f>'Production '!C3083</f>
        <v>0</v>
      </c>
      <c r="C3080" s="76" t="e">
        <f ca="1">SUMIF('Production '!$C$4:$AI$4407,'Tracking Sheet'!B3080,'Production '!$M$4:$M$4407)</f>
        <v>#DIV/0!</v>
      </c>
      <c r="D3080" s="76" t="e">
        <f ca="1">SUMIF('Production '!$C$4:$AI$4407,'Tracking Sheet'!B3080,'Production '!$Q$4:$Q$4407)</f>
        <v>#DIV/0!</v>
      </c>
      <c r="E3080" s="76">
        <f ca="1">SUMIF('Production '!$C$4:$AI$4407,'Tracking Sheet'!B3080,'Production '!$S$4:$S$4407)</f>
        <v>-1268218.9828305368</v>
      </c>
      <c r="F3080" s="76">
        <f ca="1">SUMIF('Production '!$C$4:$AI$4407,'Tracking Sheet'!B3080,'Production '!$U$4:$U$4407)</f>
        <v>-10620.435600016917</v>
      </c>
      <c r="G3080" s="76" t="e">
        <f ca="1">SUMIF('Production '!$C$4:$AI$4407,'Tracking Sheet'!B3080,'Production '!$W$4:$W$4407)</f>
        <v>#DIV/0!</v>
      </c>
      <c r="H3080" s="76">
        <f ca="1">SUMIF('Production '!$C$4:$AI$4407,'Tracking Sheet'!B3080,'Production '!$F$4:$F$4407)</f>
        <v>3230621.3283604058</v>
      </c>
      <c r="I3080" s="76">
        <f ca="1">SUMIF('Production '!$C$4:$AI$4407,'Tracking Sheet'!B3080,'Production '!$V$4:$V$4407)</f>
        <v>-489.86487791182844</v>
      </c>
      <c r="J3080" s="76">
        <f ca="1">SUMIF('Production '!$C$4:$AI$4407,'Tracking Sheet'!B3080,'Production '!$AG$4:$AG$4407)</f>
        <v>0</v>
      </c>
    </row>
    <row r="3081" spans="2:10" x14ac:dyDescent="0.3">
      <c r="B3081" s="277">
        <f>'Production '!C3084</f>
        <v>0</v>
      </c>
      <c r="C3081" s="76" t="e">
        <f ca="1">SUMIF('Production '!$C$4:$AI$4407,'Tracking Sheet'!B3081,'Production '!$M$4:$M$4407)</f>
        <v>#DIV/0!</v>
      </c>
      <c r="D3081" s="76" t="e">
        <f ca="1">SUMIF('Production '!$C$4:$AI$4407,'Tracking Sheet'!B3081,'Production '!$Q$4:$Q$4407)</f>
        <v>#DIV/0!</v>
      </c>
      <c r="E3081" s="76">
        <f ca="1">SUMIF('Production '!$C$4:$AI$4407,'Tracking Sheet'!B3081,'Production '!$S$4:$S$4407)</f>
        <v>-1268218.9828305368</v>
      </c>
      <c r="F3081" s="76">
        <f ca="1">SUMIF('Production '!$C$4:$AI$4407,'Tracking Sheet'!B3081,'Production '!$U$4:$U$4407)</f>
        <v>-10620.435600016917</v>
      </c>
      <c r="G3081" s="76" t="e">
        <f ca="1">SUMIF('Production '!$C$4:$AI$4407,'Tracking Sheet'!B3081,'Production '!$W$4:$W$4407)</f>
        <v>#DIV/0!</v>
      </c>
      <c r="H3081" s="76">
        <f ca="1">SUMIF('Production '!$C$4:$AI$4407,'Tracking Sheet'!B3081,'Production '!$F$4:$F$4407)</f>
        <v>3230621.3283604058</v>
      </c>
      <c r="I3081" s="76">
        <f ca="1">SUMIF('Production '!$C$4:$AI$4407,'Tracking Sheet'!B3081,'Production '!$V$4:$V$4407)</f>
        <v>-489.86487791182844</v>
      </c>
      <c r="J3081" s="76">
        <f ca="1">SUMIF('Production '!$C$4:$AI$4407,'Tracking Sheet'!B3081,'Production '!$AG$4:$AG$4407)</f>
        <v>0</v>
      </c>
    </row>
    <row r="3082" spans="2:10" x14ac:dyDescent="0.3">
      <c r="B3082" s="277">
        <f>'Production '!C3085</f>
        <v>0</v>
      </c>
      <c r="C3082" s="76" t="e">
        <f ca="1">SUMIF('Production '!$C$4:$AI$4407,'Tracking Sheet'!B3082,'Production '!$M$4:$M$4407)</f>
        <v>#DIV/0!</v>
      </c>
      <c r="D3082" s="76" t="e">
        <f ca="1">SUMIF('Production '!$C$4:$AI$4407,'Tracking Sheet'!B3082,'Production '!$Q$4:$Q$4407)</f>
        <v>#DIV/0!</v>
      </c>
      <c r="E3082" s="76">
        <f ca="1">SUMIF('Production '!$C$4:$AI$4407,'Tracking Sheet'!B3082,'Production '!$S$4:$S$4407)</f>
        <v>-1268218.9828305368</v>
      </c>
      <c r="F3082" s="76">
        <f ca="1">SUMIF('Production '!$C$4:$AI$4407,'Tracking Sheet'!B3082,'Production '!$U$4:$U$4407)</f>
        <v>-10620.435600016917</v>
      </c>
      <c r="G3082" s="76" t="e">
        <f ca="1">SUMIF('Production '!$C$4:$AI$4407,'Tracking Sheet'!B3082,'Production '!$W$4:$W$4407)</f>
        <v>#DIV/0!</v>
      </c>
      <c r="H3082" s="76">
        <f ca="1">SUMIF('Production '!$C$4:$AI$4407,'Tracking Sheet'!B3082,'Production '!$F$4:$F$4407)</f>
        <v>3230621.3283604058</v>
      </c>
      <c r="I3082" s="76">
        <f ca="1">SUMIF('Production '!$C$4:$AI$4407,'Tracking Sheet'!B3082,'Production '!$V$4:$V$4407)</f>
        <v>-489.86487791182844</v>
      </c>
      <c r="J3082" s="76">
        <f ca="1">SUMIF('Production '!$C$4:$AI$4407,'Tracking Sheet'!B3082,'Production '!$AG$4:$AG$4407)</f>
        <v>0</v>
      </c>
    </row>
    <row r="3083" spans="2:10" x14ac:dyDescent="0.3">
      <c r="B3083" s="277">
        <f>'Production '!C3086</f>
        <v>0</v>
      </c>
      <c r="C3083" s="76" t="e">
        <f ca="1">SUMIF('Production '!$C$4:$AI$4407,'Tracking Sheet'!B3083,'Production '!$M$4:$M$4407)</f>
        <v>#DIV/0!</v>
      </c>
      <c r="D3083" s="76" t="e">
        <f ca="1">SUMIF('Production '!$C$4:$AI$4407,'Tracking Sheet'!B3083,'Production '!$Q$4:$Q$4407)</f>
        <v>#DIV/0!</v>
      </c>
      <c r="E3083" s="76">
        <f ca="1">SUMIF('Production '!$C$4:$AI$4407,'Tracking Sheet'!B3083,'Production '!$S$4:$S$4407)</f>
        <v>-1268218.9828305368</v>
      </c>
      <c r="F3083" s="76">
        <f ca="1">SUMIF('Production '!$C$4:$AI$4407,'Tracking Sheet'!B3083,'Production '!$U$4:$U$4407)</f>
        <v>-10620.435600016917</v>
      </c>
      <c r="G3083" s="76" t="e">
        <f ca="1">SUMIF('Production '!$C$4:$AI$4407,'Tracking Sheet'!B3083,'Production '!$W$4:$W$4407)</f>
        <v>#DIV/0!</v>
      </c>
      <c r="H3083" s="76">
        <f ca="1">SUMIF('Production '!$C$4:$AI$4407,'Tracking Sheet'!B3083,'Production '!$F$4:$F$4407)</f>
        <v>3230621.3283604058</v>
      </c>
      <c r="I3083" s="76">
        <f ca="1">SUMIF('Production '!$C$4:$AI$4407,'Tracking Sheet'!B3083,'Production '!$V$4:$V$4407)</f>
        <v>-489.86487791182844</v>
      </c>
      <c r="J3083" s="76">
        <f ca="1">SUMIF('Production '!$C$4:$AI$4407,'Tracking Sheet'!B3083,'Production '!$AG$4:$AG$4407)</f>
        <v>0</v>
      </c>
    </row>
    <row r="3084" spans="2:10" x14ac:dyDescent="0.3">
      <c r="B3084" s="277">
        <f>'Production '!C3087</f>
        <v>0</v>
      </c>
      <c r="C3084" s="76" t="e">
        <f ca="1">SUMIF('Production '!$C$4:$AI$4407,'Tracking Sheet'!B3084,'Production '!$M$4:$M$4407)</f>
        <v>#DIV/0!</v>
      </c>
      <c r="D3084" s="76" t="e">
        <f ca="1">SUMIF('Production '!$C$4:$AI$4407,'Tracking Sheet'!B3084,'Production '!$Q$4:$Q$4407)</f>
        <v>#DIV/0!</v>
      </c>
      <c r="E3084" s="76">
        <f ca="1">SUMIF('Production '!$C$4:$AI$4407,'Tracking Sheet'!B3084,'Production '!$S$4:$S$4407)</f>
        <v>-1268218.9828305368</v>
      </c>
      <c r="F3084" s="76">
        <f ca="1">SUMIF('Production '!$C$4:$AI$4407,'Tracking Sheet'!B3084,'Production '!$U$4:$U$4407)</f>
        <v>-10620.435600016917</v>
      </c>
      <c r="G3084" s="76" t="e">
        <f ca="1">SUMIF('Production '!$C$4:$AI$4407,'Tracking Sheet'!B3084,'Production '!$W$4:$W$4407)</f>
        <v>#DIV/0!</v>
      </c>
      <c r="H3084" s="76">
        <f ca="1">SUMIF('Production '!$C$4:$AI$4407,'Tracking Sheet'!B3084,'Production '!$F$4:$F$4407)</f>
        <v>3230621.3283604058</v>
      </c>
      <c r="I3084" s="76">
        <f ca="1">SUMIF('Production '!$C$4:$AI$4407,'Tracking Sheet'!B3084,'Production '!$V$4:$V$4407)</f>
        <v>-489.86487791182844</v>
      </c>
      <c r="J3084" s="76">
        <f ca="1">SUMIF('Production '!$C$4:$AI$4407,'Tracking Sheet'!B3084,'Production '!$AG$4:$AG$4407)</f>
        <v>0</v>
      </c>
    </row>
    <row r="3085" spans="2:10" x14ac:dyDescent="0.3">
      <c r="B3085" s="277">
        <f>'Production '!C3088</f>
        <v>0</v>
      </c>
      <c r="C3085" s="76" t="e">
        <f ca="1">SUMIF('Production '!$C$4:$AI$4407,'Tracking Sheet'!B3085,'Production '!$M$4:$M$4407)</f>
        <v>#DIV/0!</v>
      </c>
      <c r="D3085" s="76" t="e">
        <f ca="1">SUMIF('Production '!$C$4:$AI$4407,'Tracking Sheet'!B3085,'Production '!$Q$4:$Q$4407)</f>
        <v>#DIV/0!</v>
      </c>
      <c r="E3085" s="76">
        <f ca="1">SUMIF('Production '!$C$4:$AI$4407,'Tracking Sheet'!B3085,'Production '!$S$4:$S$4407)</f>
        <v>-1268218.9828305368</v>
      </c>
      <c r="F3085" s="76">
        <f ca="1">SUMIF('Production '!$C$4:$AI$4407,'Tracking Sheet'!B3085,'Production '!$U$4:$U$4407)</f>
        <v>-10620.435600016917</v>
      </c>
      <c r="G3085" s="76" t="e">
        <f ca="1">SUMIF('Production '!$C$4:$AI$4407,'Tracking Sheet'!B3085,'Production '!$W$4:$W$4407)</f>
        <v>#DIV/0!</v>
      </c>
      <c r="H3085" s="76">
        <f ca="1">SUMIF('Production '!$C$4:$AI$4407,'Tracking Sheet'!B3085,'Production '!$F$4:$F$4407)</f>
        <v>3230621.3283604058</v>
      </c>
      <c r="I3085" s="76">
        <f ca="1">SUMIF('Production '!$C$4:$AI$4407,'Tracking Sheet'!B3085,'Production '!$V$4:$V$4407)</f>
        <v>-489.86487791182844</v>
      </c>
      <c r="J3085" s="76">
        <f ca="1">SUMIF('Production '!$C$4:$AI$4407,'Tracking Sheet'!B3085,'Production '!$AG$4:$AG$4407)</f>
        <v>0</v>
      </c>
    </row>
    <row r="3086" spans="2:10" x14ac:dyDescent="0.3">
      <c r="B3086" s="277">
        <f>'Production '!C3089</f>
        <v>0</v>
      </c>
      <c r="C3086" s="76" t="e">
        <f ca="1">SUMIF('Production '!$C$4:$AI$4407,'Tracking Sheet'!B3086,'Production '!$M$4:$M$4407)</f>
        <v>#DIV/0!</v>
      </c>
      <c r="D3086" s="76" t="e">
        <f ca="1">SUMIF('Production '!$C$4:$AI$4407,'Tracking Sheet'!B3086,'Production '!$Q$4:$Q$4407)</f>
        <v>#DIV/0!</v>
      </c>
      <c r="E3086" s="76">
        <f ca="1">SUMIF('Production '!$C$4:$AI$4407,'Tracking Sheet'!B3086,'Production '!$S$4:$S$4407)</f>
        <v>-1268218.9828305368</v>
      </c>
      <c r="F3086" s="76">
        <f ca="1">SUMIF('Production '!$C$4:$AI$4407,'Tracking Sheet'!B3086,'Production '!$U$4:$U$4407)</f>
        <v>-10620.435600016917</v>
      </c>
      <c r="G3086" s="76" t="e">
        <f ca="1">SUMIF('Production '!$C$4:$AI$4407,'Tracking Sheet'!B3086,'Production '!$W$4:$W$4407)</f>
        <v>#DIV/0!</v>
      </c>
      <c r="H3086" s="76">
        <f ca="1">SUMIF('Production '!$C$4:$AI$4407,'Tracking Sheet'!B3086,'Production '!$F$4:$F$4407)</f>
        <v>3230621.3283604058</v>
      </c>
      <c r="I3086" s="76">
        <f ca="1">SUMIF('Production '!$C$4:$AI$4407,'Tracking Sheet'!B3086,'Production '!$V$4:$V$4407)</f>
        <v>-489.86487791182844</v>
      </c>
      <c r="J3086" s="76">
        <f ca="1">SUMIF('Production '!$C$4:$AI$4407,'Tracking Sheet'!B3086,'Production '!$AG$4:$AG$4407)</f>
        <v>0</v>
      </c>
    </row>
    <row r="3087" spans="2:10" x14ac:dyDescent="0.3">
      <c r="B3087" s="277">
        <f>'Production '!C3090</f>
        <v>0</v>
      </c>
      <c r="C3087" s="76" t="e">
        <f ca="1">SUMIF('Production '!$C$4:$AI$4407,'Tracking Sheet'!B3087,'Production '!$M$4:$M$4407)</f>
        <v>#DIV/0!</v>
      </c>
      <c r="D3087" s="76" t="e">
        <f ca="1">SUMIF('Production '!$C$4:$AI$4407,'Tracking Sheet'!B3087,'Production '!$Q$4:$Q$4407)</f>
        <v>#DIV/0!</v>
      </c>
      <c r="E3087" s="76">
        <f ca="1">SUMIF('Production '!$C$4:$AI$4407,'Tracking Sheet'!B3087,'Production '!$S$4:$S$4407)</f>
        <v>-1268218.9828305368</v>
      </c>
      <c r="F3087" s="76">
        <f ca="1">SUMIF('Production '!$C$4:$AI$4407,'Tracking Sheet'!B3087,'Production '!$U$4:$U$4407)</f>
        <v>-10620.435600016917</v>
      </c>
      <c r="G3087" s="76" t="e">
        <f ca="1">SUMIF('Production '!$C$4:$AI$4407,'Tracking Sheet'!B3087,'Production '!$W$4:$W$4407)</f>
        <v>#DIV/0!</v>
      </c>
      <c r="H3087" s="76">
        <f ca="1">SUMIF('Production '!$C$4:$AI$4407,'Tracking Sheet'!B3087,'Production '!$F$4:$F$4407)</f>
        <v>3230621.3283604058</v>
      </c>
      <c r="I3087" s="76">
        <f ca="1">SUMIF('Production '!$C$4:$AI$4407,'Tracking Sheet'!B3087,'Production '!$V$4:$V$4407)</f>
        <v>-489.86487791182844</v>
      </c>
      <c r="J3087" s="76">
        <f ca="1">SUMIF('Production '!$C$4:$AI$4407,'Tracking Sheet'!B3087,'Production '!$AG$4:$AG$4407)</f>
        <v>0</v>
      </c>
    </row>
    <row r="3088" spans="2:10" x14ac:dyDescent="0.3">
      <c r="B3088" s="277">
        <f>'Production '!C3091</f>
        <v>0</v>
      </c>
      <c r="C3088" s="76" t="e">
        <f ca="1">SUMIF('Production '!$C$4:$AI$4407,'Tracking Sheet'!B3088,'Production '!$M$4:$M$4407)</f>
        <v>#DIV/0!</v>
      </c>
      <c r="D3088" s="76" t="e">
        <f ca="1">SUMIF('Production '!$C$4:$AI$4407,'Tracking Sheet'!B3088,'Production '!$Q$4:$Q$4407)</f>
        <v>#DIV/0!</v>
      </c>
      <c r="E3088" s="76">
        <f ca="1">SUMIF('Production '!$C$4:$AI$4407,'Tracking Sheet'!B3088,'Production '!$S$4:$S$4407)</f>
        <v>-1268218.9828305368</v>
      </c>
      <c r="F3088" s="76">
        <f ca="1">SUMIF('Production '!$C$4:$AI$4407,'Tracking Sheet'!B3088,'Production '!$U$4:$U$4407)</f>
        <v>-10620.435600016917</v>
      </c>
      <c r="G3088" s="76" t="e">
        <f ca="1">SUMIF('Production '!$C$4:$AI$4407,'Tracking Sheet'!B3088,'Production '!$W$4:$W$4407)</f>
        <v>#DIV/0!</v>
      </c>
      <c r="H3088" s="76">
        <f ca="1">SUMIF('Production '!$C$4:$AI$4407,'Tracking Sheet'!B3088,'Production '!$F$4:$F$4407)</f>
        <v>3230621.3283604058</v>
      </c>
      <c r="I3088" s="76">
        <f ca="1">SUMIF('Production '!$C$4:$AI$4407,'Tracking Sheet'!B3088,'Production '!$V$4:$V$4407)</f>
        <v>-489.86487791182844</v>
      </c>
      <c r="J3088" s="76">
        <f ca="1">SUMIF('Production '!$C$4:$AI$4407,'Tracking Sheet'!B3088,'Production '!$AG$4:$AG$4407)</f>
        <v>0</v>
      </c>
    </row>
    <row r="3089" spans="2:10" x14ac:dyDescent="0.3">
      <c r="B3089" s="277">
        <f>'Production '!C3092</f>
        <v>0</v>
      </c>
      <c r="C3089" s="76" t="e">
        <f ca="1">SUMIF('Production '!$C$4:$AI$4407,'Tracking Sheet'!B3089,'Production '!$M$4:$M$4407)</f>
        <v>#DIV/0!</v>
      </c>
      <c r="D3089" s="76" t="e">
        <f ca="1">SUMIF('Production '!$C$4:$AI$4407,'Tracking Sheet'!B3089,'Production '!$Q$4:$Q$4407)</f>
        <v>#DIV/0!</v>
      </c>
      <c r="E3089" s="76">
        <f ca="1">SUMIF('Production '!$C$4:$AI$4407,'Tracking Sheet'!B3089,'Production '!$S$4:$S$4407)</f>
        <v>-1268218.9828305368</v>
      </c>
      <c r="F3089" s="76">
        <f ca="1">SUMIF('Production '!$C$4:$AI$4407,'Tracking Sheet'!B3089,'Production '!$U$4:$U$4407)</f>
        <v>-10620.435600016917</v>
      </c>
      <c r="G3089" s="76" t="e">
        <f ca="1">SUMIF('Production '!$C$4:$AI$4407,'Tracking Sheet'!B3089,'Production '!$W$4:$W$4407)</f>
        <v>#DIV/0!</v>
      </c>
      <c r="H3089" s="76">
        <f ca="1">SUMIF('Production '!$C$4:$AI$4407,'Tracking Sheet'!B3089,'Production '!$F$4:$F$4407)</f>
        <v>3230621.3283604058</v>
      </c>
      <c r="I3089" s="76">
        <f ca="1">SUMIF('Production '!$C$4:$AI$4407,'Tracking Sheet'!B3089,'Production '!$V$4:$V$4407)</f>
        <v>-489.86487791182844</v>
      </c>
      <c r="J3089" s="76">
        <f ca="1">SUMIF('Production '!$C$4:$AI$4407,'Tracking Sheet'!B3089,'Production '!$AG$4:$AG$4407)</f>
        <v>0</v>
      </c>
    </row>
    <row r="3090" spans="2:10" x14ac:dyDescent="0.3">
      <c r="B3090" s="277">
        <f>'Production '!C3093</f>
        <v>0</v>
      </c>
      <c r="C3090" s="76" t="e">
        <f ca="1">SUMIF('Production '!$C$4:$AI$4407,'Tracking Sheet'!B3090,'Production '!$M$4:$M$4407)</f>
        <v>#DIV/0!</v>
      </c>
      <c r="D3090" s="76" t="e">
        <f ca="1">SUMIF('Production '!$C$4:$AI$4407,'Tracking Sheet'!B3090,'Production '!$Q$4:$Q$4407)</f>
        <v>#DIV/0!</v>
      </c>
      <c r="E3090" s="76">
        <f ca="1">SUMIF('Production '!$C$4:$AI$4407,'Tracking Sheet'!B3090,'Production '!$S$4:$S$4407)</f>
        <v>-1268218.9828305368</v>
      </c>
      <c r="F3090" s="76">
        <f ca="1">SUMIF('Production '!$C$4:$AI$4407,'Tracking Sheet'!B3090,'Production '!$U$4:$U$4407)</f>
        <v>-10620.435600016917</v>
      </c>
      <c r="G3090" s="76" t="e">
        <f ca="1">SUMIF('Production '!$C$4:$AI$4407,'Tracking Sheet'!B3090,'Production '!$W$4:$W$4407)</f>
        <v>#DIV/0!</v>
      </c>
      <c r="H3090" s="76">
        <f ca="1">SUMIF('Production '!$C$4:$AI$4407,'Tracking Sheet'!B3090,'Production '!$F$4:$F$4407)</f>
        <v>3230621.3283604058</v>
      </c>
      <c r="I3090" s="76">
        <f ca="1">SUMIF('Production '!$C$4:$AI$4407,'Tracking Sheet'!B3090,'Production '!$V$4:$V$4407)</f>
        <v>-489.86487791182844</v>
      </c>
      <c r="J3090" s="76">
        <f ca="1">SUMIF('Production '!$C$4:$AI$4407,'Tracking Sheet'!B3090,'Production '!$AG$4:$AG$4407)</f>
        <v>0</v>
      </c>
    </row>
    <row r="3091" spans="2:10" x14ac:dyDescent="0.3">
      <c r="B3091" s="277">
        <f>'Production '!C3094</f>
        <v>0</v>
      </c>
      <c r="C3091" s="76" t="e">
        <f ca="1">SUMIF('Production '!$C$4:$AI$4407,'Tracking Sheet'!B3091,'Production '!$M$4:$M$4407)</f>
        <v>#DIV/0!</v>
      </c>
      <c r="D3091" s="76" t="e">
        <f ca="1">SUMIF('Production '!$C$4:$AI$4407,'Tracking Sheet'!B3091,'Production '!$Q$4:$Q$4407)</f>
        <v>#DIV/0!</v>
      </c>
      <c r="E3091" s="76">
        <f ca="1">SUMIF('Production '!$C$4:$AI$4407,'Tracking Sheet'!B3091,'Production '!$S$4:$S$4407)</f>
        <v>-1268218.9828305368</v>
      </c>
      <c r="F3091" s="76">
        <f ca="1">SUMIF('Production '!$C$4:$AI$4407,'Tracking Sheet'!B3091,'Production '!$U$4:$U$4407)</f>
        <v>-10620.435600016917</v>
      </c>
      <c r="G3091" s="76" t="e">
        <f ca="1">SUMIF('Production '!$C$4:$AI$4407,'Tracking Sheet'!B3091,'Production '!$W$4:$W$4407)</f>
        <v>#DIV/0!</v>
      </c>
      <c r="H3091" s="76">
        <f ca="1">SUMIF('Production '!$C$4:$AI$4407,'Tracking Sheet'!B3091,'Production '!$F$4:$F$4407)</f>
        <v>3230621.3283604058</v>
      </c>
      <c r="I3091" s="76">
        <f ca="1">SUMIF('Production '!$C$4:$AI$4407,'Tracking Sheet'!B3091,'Production '!$V$4:$V$4407)</f>
        <v>-489.86487791182844</v>
      </c>
      <c r="J3091" s="76">
        <f ca="1">SUMIF('Production '!$C$4:$AI$4407,'Tracking Sheet'!B3091,'Production '!$AG$4:$AG$4407)</f>
        <v>0</v>
      </c>
    </row>
    <row r="3092" spans="2:10" x14ac:dyDescent="0.3">
      <c r="B3092" s="277">
        <f>'Production '!C3095</f>
        <v>0</v>
      </c>
      <c r="C3092" s="76" t="e">
        <f ca="1">SUMIF('Production '!$C$4:$AI$4407,'Tracking Sheet'!B3092,'Production '!$M$4:$M$4407)</f>
        <v>#DIV/0!</v>
      </c>
      <c r="D3092" s="76" t="e">
        <f ca="1">SUMIF('Production '!$C$4:$AI$4407,'Tracking Sheet'!B3092,'Production '!$Q$4:$Q$4407)</f>
        <v>#DIV/0!</v>
      </c>
      <c r="E3092" s="76">
        <f ca="1">SUMIF('Production '!$C$4:$AI$4407,'Tracking Sheet'!B3092,'Production '!$S$4:$S$4407)</f>
        <v>-1268218.9828305368</v>
      </c>
      <c r="F3092" s="76">
        <f ca="1">SUMIF('Production '!$C$4:$AI$4407,'Tracking Sheet'!B3092,'Production '!$U$4:$U$4407)</f>
        <v>-10620.435600016917</v>
      </c>
      <c r="G3092" s="76" t="e">
        <f ca="1">SUMIF('Production '!$C$4:$AI$4407,'Tracking Sheet'!B3092,'Production '!$W$4:$W$4407)</f>
        <v>#DIV/0!</v>
      </c>
      <c r="H3092" s="76">
        <f ca="1">SUMIF('Production '!$C$4:$AI$4407,'Tracking Sheet'!B3092,'Production '!$F$4:$F$4407)</f>
        <v>3230621.3283604058</v>
      </c>
      <c r="I3092" s="76">
        <f ca="1">SUMIF('Production '!$C$4:$AI$4407,'Tracking Sheet'!B3092,'Production '!$V$4:$V$4407)</f>
        <v>-489.86487791182844</v>
      </c>
      <c r="J3092" s="76">
        <f ca="1">SUMIF('Production '!$C$4:$AI$4407,'Tracking Sheet'!B3092,'Production '!$AG$4:$AG$4407)</f>
        <v>0</v>
      </c>
    </row>
    <row r="3093" spans="2:10" x14ac:dyDescent="0.3">
      <c r="B3093" s="277">
        <f>'Production '!C3096</f>
        <v>0</v>
      </c>
      <c r="C3093" s="76" t="e">
        <f ca="1">SUMIF('Production '!$C$4:$AI$4407,'Tracking Sheet'!B3093,'Production '!$M$4:$M$4407)</f>
        <v>#DIV/0!</v>
      </c>
      <c r="D3093" s="76" t="e">
        <f ca="1">SUMIF('Production '!$C$4:$AI$4407,'Tracking Sheet'!B3093,'Production '!$Q$4:$Q$4407)</f>
        <v>#DIV/0!</v>
      </c>
      <c r="E3093" s="76">
        <f ca="1">SUMIF('Production '!$C$4:$AI$4407,'Tracking Sheet'!B3093,'Production '!$S$4:$S$4407)</f>
        <v>-1268218.9828305368</v>
      </c>
      <c r="F3093" s="76">
        <f ca="1">SUMIF('Production '!$C$4:$AI$4407,'Tracking Sheet'!B3093,'Production '!$U$4:$U$4407)</f>
        <v>-10620.435600016917</v>
      </c>
      <c r="G3093" s="76" t="e">
        <f ca="1">SUMIF('Production '!$C$4:$AI$4407,'Tracking Sheet'!B3093,'Production '!$W$4:$W$4407)</f>
        <v>#DIV/0!</v>
      </c>
      <c r="H3093" s="76">
        <f ca="1">SUMIF('Production '!$C$4:$AI$4407,'Tracking Sheet'!B3093,'Production '!$F$4:$F$4407)</f>
        <v>3230621.3283604058</v>
      </c>
      <c r="I3093" s="76">
        <f ca="1">SUMIF('Production '!$C$4:$AI$4407,'Tracking Sheet'!B3093,'Production '!$V$4:$V$4407)</f>
        <v>-489.86487791182844</v>
      </c>
      <c r="J3093" s="76">
        <f ca="1">SUMIF('Production '!$C$4:$AI$4407,'Tracking Sheet'!B3093,'Production '!$AG$4:$AG$4407)</f>
        <v>0</v>
      </c>
    </row>
    <row r="3094" spans="2:10" x14ac:dyDescent="0.3">
      <c r="B3094" s="277">
        <f>'Production '!C3097</f>
        <v>0</v>
      </c>
      <c r="C3094" s="76" t="e">
        <f ca="1">SUMIF('Production '!$C$4:$AI$4407,'Tracking Sheet'!B3094,'Production '!$M$4:$M$4407)</f>
        <v>#DIV/0!</v>
      </c>
      <c r="D3094" s="76" t="e">
        <f ca="1">SUMIF('Production '!$C$4:$AI$4407,'Tracking Sheet'!B3094,'Production '!$Q$4:$Q$4407)</f>
        <v>#DIV/0!</v>
      </c>
      <c r="E3094" s="76">
        <f ca="1">SUMIF('Production '!$C$4:$AI$4407,'Tracking Sheet'!B3094,'Production '!$S$4:$S$4407)</f>
        <v>-1268218.9828305368</v>
      </c>
      <c r="F3094" s="76">
        <f ca="1">SUMIF('Production '!$C$4:$AI$4407,'Tracking Sheet'!B3094,'Production '!$U$4:$U$4407)</f>
        <v>-10620.435600016917</v>
      </c>
      <c r="G3094" s="76" t="e">
        <f ca="1">SUMIF('Production '!$C$4:$AI$4407,'Tracking Sheet'!B3094,'Production '!$W$4:$W$4407)</f>
        <v>#DIV/0!</v>
      </c>
      <c r="H3094" s="76">
        <f ca="1">SUMIF('Production '!$C$4:$AI$4407,'Tracking Sheet'!B3094,'Production '!$F$4:$F$4407)</f>
        <v>3230621.3283604058</v>
      </c>
      <c r="I3094" s="76">
        <f ca="1">SUMIF('Production '!$C$4:$AI$4407,'Tracking Sheet'!B3094,'Production '!$V$4:$V$4407)</f>
        <v>-489.86487791182844</v>
      </c>
      <c r="J3094" s="76">
        <f ca="1">SUMIF('Production '!$C$4:$AI$4407,'Tracking Sheet'!B3094,'Production '!$AG$4:$AG$4407)</f>
        <v>0</v>
      </c>
    </row>
    <row r="3095" spans="2:10" x14ac:dyDescent="0.3">
      <c r="B3095" s="277">
        <f>'Production '!C3098</f>
        <v>0</v>
      </c>
      <c r="C3095" s="76" t="e">
        <f ca="1">SUMIF('Production '!$C$4:$AI$4407,'Tracking Sheet'!B3095,'Production '!$M$4:$M$4407)</f>
        <v>#DIV/0!</v>
      </c>
      <c r="D3095" s="76" t="e">
        <f ca="1">SUMIF('Production '!$C$4:$AI$4407,'Tracking Sheet'!B3095,'Production '!$Q$4:$Q$4407)</f>
        <v>#DIV/0!</v>
      </c>
      <c r="E3095" s="76">
        <f ca="1">SUMIF('Production '!$C$4:$AI$4407,'Tracking Sheet'!B3095,'Production '!$S$4:$S$4407)</f>
        <v>-1268218.9828305368</v>
      </c>
      <c r="F3095" s="76">
        <f ca="1">SUMIF('Production '!$C$4:$AI$4407,'Tracking Sheet'!B3095,'Production '!$U$4:$U$4407)</f>
        <v>-10620.435600016917</v>
      </c>
      <c r="G3095" s="76" t="e">
        <f ca="1">SUMIF('Production '!$C$4:$AI$4407,'Tracking Sheet'!B3095,'Production '!$W$4:$W$4407)</f>
        <v>#DIV/0!</v>
      </c>
      <c r="H3095" s="76">
        <f ca="1">SUMIF('Production '!$C$4:$AI$4407,'Tracking Sheet'!B3095,'Production '!$F$4:$F$4407)</f>
        <v>3230621.3283604058</v>
      </c>
      <c r="I3095" s="76">
        <f ca="1">SUMIF('Production '!$C$4:$AI$4407,'Tracking Sheet'!B3095,'Production '!$V$4:$V$4407)</f>
        <v>-489.86487791182844</v>
      </c>
      <c r="J3095" s="76">
        <f ca="1">SUMIF('Production '!$C$4:$AI$4407,'Tracking Sheet'!B3095,'Production '!$AG$4:$AG$4407)</f>
        <v>0</v>
      </c>
    </row>
    <row r="3096" spans="2:10" x14ac:dyDescent="0.3">
      <c r="B3096" s="277">
        <f>'Production '!C3099</f>
        <v>0</v>
      </c>
      <c r="C3096" s="76" t="e">
        <f ca="1">SUMIF('Production '!$C$4:$AI$4407,'Tracking Sheet'!B3096,'Production '!$M$4:$M$4407)</f>
        <v>#DIV/0!</v>
      </c>
      <c r="D3096" s="76" t="e">
        <f ca="1">SUMIF('Production '!$C$4:$AI$4407,'Tracking Sheet'!B3096,'Production '!$Q$4:$Q$4407)</f>
        <v>#DIV/0!</v>
      </c>
      <c r="E3096" s="76">
        <f ca="1">SUMIF('Production '!$C$4:$AI$4407,'Tracking Sheet'!B3096,'Production '!$S$4:$S$4407)</f>
        <v>-1268218.9828305368</v>
      </c>
      <c r="F3096" s="76">
        <f ca="1">SUMIF('Production '!$C$4:$AI$4407,'Tracking Sheet'!B3096,'Production '!$U$4:$U$4407)</f>
        <v>-10620.435600016917</v>
      </c>
      <c r="G3096" s="76" t="e">
        <f ca="1">SUMIF('Production '!$C$4:$AI$4407,'Tracking Sheet'!B3096,'Production '!$W$4:$W$4407)</f>
        <v>#DIV/0!</v>
      </c>
      <c r="H3096" s="76">
        <f ca="1">SUMIF('Production '!$C$4:$AI$4407,'Tracking Sheet'!B3096,'Production '!$F$4:$F$4407)</f>
        <v>3230621.3283604058</v>
      </c>
      <c r="I3096" s="76">
        <f ca="1">SUMIF('Production '!$C$4:$AI$4407,'Tracking Sheet'!B3096,'Production '!$V$4:$V$4407)</f>
        <v>-489.86487791182844</v>
      </c>
      <c r="J3096" s="76">
        <f ca="1">SUMIF('Production '!$C$4:$AI$4407,'Tracking Sheet'!B3096,'Production '!$AG$4:$AG$4407)</f>
        <v>0</v>
      </c>
    </row>
    <row r="3097" spans="2:10" x14ac:dyDescent="0.3">
      <c r="B3097" s="277">
        <f>'Production '!C3100</f>
        <v>0</v>
      </c>
      <c r="C3097" s="76" t="e">
        <f ca="1">SUMIF('Production '!$C$4:$AI$4407,'Tracking Sheet'!B3097,'Production '!$M$4:$M$4407)</f>
        <v>#DIV/0!</v>
      </c>
      <c r="D3097" s="76" t="e">
        <f ca="1">SUMIF('Production '!$C$4:$AI$4407,'Tracking Sheet'!B3097,'Production '!$Q$4:$Q$4407)</f>
        <v>#DIV/0!</v>
      </c>
      <c r="E3097" s="76">
        <f ca="1">SUMIF('Production '!$C$4:$AI$4407,'Tracking Sheet'!B3097,'Production '!$S$4:$S$4407)</f>
        <v>-1268218.9828305368</v>
      </c>
      <c r="F3097" s="76">
        <f ca="1">SUMIF('Production '!$C$4:$AI$4407,'Tracking Sheet'!B3097,'Production '!$U$4:$U$4407)</f>
        <v>-10620.435600016917</v>
      </c>
      <c r="G3097" s="76" t="e">
        <f ca="1">SUMIF('Production '!$C$4:$AI$4407,'Tracking Sheet'!B3097,'Production '!$W$4:$W$4407)</f>
        <v>#DIV/0!</v>
      </c>
      <c r="H3097" s="76">
        <f ca="1">SUMIF('Production '!$C$4:$AI$4407,'Tracking Sheet'!B3097,'Production '!$F$4:$F$4407)</f>
        <v>3230621.3283604058</v>
      </c>
      <c r="I3097" s="76">
        <f ca="1">SUMIF('Production '!$C$4:$AI$4407,'Tracking Sheet'!B3097,'Production '!$V$4:$V$4407)</f>
        <v>-489.86487791182844</v>
      </c>
      <c r="J3097" s="76">
        <f ca="1">SUMIF('Production '!$C$4:$AI$4407,'Tracking Sheet'!B3097,'Production '!$AG$4:$AG$4407)</f>
        <v>0</v>
      </c>
    </row>
    <row r="3098" spans="2:10" x14ac:dyDescent="0.3">
      <c r="B3098" s="277">
        <f>'Production '!C3101</f>
        <v>0</v>
      </c>
      <c r="C3098" s="76" t="e">
        <f ca="1">SUMIF('Production '!$C$4:$AI$4407,'Tracking Sheet'!B3098,'Production '!$M$4:$M$4407)</f>
        <v>#DIV/0!</v>
      </c>
      <c r="D3098" s="76" t="e">
        <f ca="1">SUMIF('Production '!$C$4:$AI$4407,'Tracking Sheet'!B3098,'Production '!$Q$4:$Q$4407)</f>
        <v>#DIV/0!</v>
      </c>
      <c r="E3098" s="76">
        <f ca="1">SUMIF('Production '!$C$4:$AI$4407,'Tracking Sheet'!B3098,'Production '!$S$4:$S$4407)</f>
        <v>-1268218.9828305368</v>
      </c>
      <c r="F3098" s="76">
        <f ca="1">SUMIF('Production '!$C$4:$AI$4407,'Tracking Sheet'!B3098,'Production '!$U$4:$U$4407)</f>
        <v>-10620.435600016917</v>
      </c>
      <c r="G3098" s="76" t="e">
        <f ca="1">SUMIF('Production '!$C$4:$AI$4407,'Tracking Sheet'!B3098,'Production '!$W$4:$W$4407)</f>
        <v>#DIV/0!</v>
      </c>
      <c r="H3098" s="76">
        <f ca="1">SUMIF('Production '!$C$4:$AI$4407,'Tracking Sheet'!B3098,'Production '!$F$4:$F$4407)</f>
        <v>3230621.3283604058</v>
      </c>
      <c r="I3098" s="76">
        <f ca="1">SUMIF('Production '!$C$4:$AI$4407,'Tracking Sheet'!B3098,'Production '!$V$4:$V$4407)</f>
        <v>-489.86487791182844</v>
      </c>
      <c r="J3098" s="76">
        <f ca="1">SUMIF('Production '!$C$4:$AI$4407,'Tracking Sheet'!B3098,'Production '!$AG$4:$AG$4407)</f>
        <v>0</v>
      </c>
    </row>
    <row r="3099" spans="2:10" x14ac:dyDescent="0.3">
      <c r="B3099" s="277">
        <f>'Production '!C3102</f>
        <v>0</v>
      </c>
      <c r="C3099" s="76" t="e">
        <f ca="1">SUMIF('Production '!$C$4:$AI$4407,'Tracking Sheet'!B3099,'Production '!$M$4:$M$4407)</f>
        <v>#DIV/0!</v>
      </c>
      <c r="D3099" s="76" t="e">
        <f ca="1">SUMIF('Production '!$C$4:$AI$4407,'Tracking Sheet'!B3099,'Production '!$Q$4:$Q$4407)</f>
        <v>#DIV/0!</v>
      </c>
      <c r="E3099" s="76">
        <f ca="1">SUMIF('Production '!$C$4:$AI$4407,'Tracking Sheet'!B3099,'Production '!$S$4:$S$4407)</f>
        <v>-1268218.9828305368</v>
      </c>
      <c r="F3099" s="76">
        <f ca="1">SUMIF('Production '!$C$4:$AI$4407,'Tracking Sheet'!B3099,'Production '!$U$4:$U$4407)</f>
        <v>-10620.435600016917</v>
      </c>
      <c r="G3099" s="76" t="e">
        <f ca="1">SUMIF('Production '!$C$4:$AI$4407,'Tracking Sheet'!B3099,'Production '!$W$4:$W$4407)</f>
        <v>#DIV/0!</v>
      </c>
      <c r="H3099" s="76">
        <f ca="1">SUMIF('Production '!$C$4:$AI$4407,'Tracking Sheet'!B3099,'Production '!$F$4:$F$4407)</f>
        <v>3230621.3283604058</v>
      </c>
      <c r="I3099" s="76">
        <f ca="1">SUMIF('Production '!$C$4:$AI$4407,'Tracking Sheet'!B3099,'Production '!$V$4:$V$4407)</f>
        <v>-489.86487791182844</v>
      </c>
      <c r="J3099" s="76">
        <f ca="1">SUMIF('Production '!$C$4:$AI$4407,'Tracking Sheet'!B3099,'Production '!$AG$4:$AG$4407)</f>
        <v>0</v>
      </c>
    </row>
    <row r="3100" spans="2:10" x14ac:dyDescent="0.3">
      <c r="B3100" s="277">
        <f>'Production '!C3103</f>
        <v>0</v>
      </c>
      <c r="C3100" s="76" t="e">
        <f ca="1">SUMIF('Production '!$C$4:$AI$4407,'Tracking Sheet'!B3100,'Production '!$M$4:$M$4407)</f>
        <v>#DIV/0!</v>
      </c>
      <c r="D3100" s="76" t="e">
        <f ca="1">SUMIF('Production '!$C$4:$AI$4407,'Tracking Sheet'!B3100,'Production '!$Q$4:$Q$4407)</f>
        <v>#DIV/0!</v>
      </c>
      <c r="E3100" s="76">
        <f ca="1">SUMIF('Production '!$C$4:$AI$4407,'Tracking Sheet'!B3100,'Production '!$S$4:$S$4407)</f>
        <v>-1268218.9828305368</v>
      </c>
      <c r="F3100" s="76">
        <f ca="1">SUMIF('Production '!$C$4:$AI$4407,'Tracking Sheet'!B3100,'Production '!$U$4:$U$4407)</f>
        <v>-10620.435600016917</v>
      </c>
      <c r="G3100" s="76" t="e">
        <f ca="1">SUMIF('Production '!$C$4:$AI$4407,'Tracking Sheet'!B3100,'Production '!$W$4:$W$4407)</f>
        <v>#DIV/0!</v>
      </c>
      <c r="H3100" s="76">
        <f ca="1">SUMIF('Production '!$C$4:$AI$4407,'Tracking Sheet'!B3100,'Production '!$F$4:$F$4407)</f>
        <v>3230621.3283604058</v>
      </c>
      <c r="I3100" s="76">
        <f ca="1">SUMIF('Production '!$C$4:$AI$4407,'Tracking Sheet'!B3100,'Production '!$V$4:$V$4407)</f>
        <v>-489.86487791182844</v>
      </c>
      <c r="J3100" s="76">
        <f ca="1">SUMIF('Production '!$C$4:$AI$4407,'Tracking Sheet'!B3100,'Production '!$AG$4:$AG$4407)</f>
        <v>0</v>
      </c>
    </row>
    <row r="3101" spans="2:10" x14ac:dyDescent="0.3">
      <c r="B3101" s="277">
        <f>'Production '!C3104</f>
        <v>0</v>
      </c>
      <c r="C3101" s="76" t="e">
        <f ca="1">SUMIF('Production '!$C$4:$AI$4407,'Tracking Sheet'!B3101,'Production '!$M$4:$M$4407)</f>
        <v>#DIV/0!</v>
      </c>
      <c r="D3101" s="76" t="e">
        <f ca="1">SUMIF('Production '!$C$4:$AI$4407,'Tracking Sheet'!B3101,'Production '!$Q$4:$Q$4407)</f>
        <v>#DIV/0!</v>
      </c>
      <c r="E3101" s="76">
        <f ca="1">SUMIF('Production '!$C$4:$AI$4407,'Tracking Sheet'!B3101,'Production '!$S$4:$S$4407)</f>
        <v>-1268218.9828305368</v>
      </c>
      <c r="F3101" s="76">
        <f ca="1">SUMIF('Production '!$C$4:$AI$4407,'Tracking Sheet'!B3101,'Production '!$U$4:$U$4407)</f>
        <v>-10620.435600016917</v>
      </c>
      <c r="G3101" s="76" t="e">
        <f ca="1">SUMIF('Production '!$C$4:$AI$4407,'Tracking Sheet'!B3101,'Production '!$W$4:$W$4407)</f>
        <v>#DIV/0!</v>
      </c>
      <c r="H3101" s="76">
        <f ca="1">SUMIF('Production '!$C$4:$AI$4407,'Tracking Sheet'!B3101,'Production '!$F$4:$F$4407)</f>
        <v>3230621.3283604058</v>
      </c>
      <c r="I3101" s="76">
        <f ca="1">SUMIF('Production '!$C$4:$AI$4407,'Tracking Sheet'!B3101,'Production '!$V$4:$V$4407)</f>
        <v>-489.86487791182844</v>
      </c>
      <c r="J3101" s="76">
        <f ca="1">SUMIF('Production '!$C$4:$AI$4407,'Tracking Sheet'!B3101,'Production '!$AG$4:$AG$4407)</f>
        <v>0</v>
      </c>
    </row>
    <row r="3102" spans="2:10" x14ac:dyDescent="0.3">
      <c r="B3102" s="277">
        <f>'Production '!C3105</f>
        <v>0</v>
      </c>
      <c r="C3102" s="76" t="e">
        <f ca="1">SUMIF('Production '!$C$4:$AI$4407,'Tracking Sheet'!B3102,'Production '!$M$4:$M$4407)</f>
        <v>#DIV/0!</v>
      </c>
      <c r="D3102" s="76" t="e">
        <f ca="1">SUMIF('Production '!$C$4:$AI$4407,'Tracking Sheet'!B3102,'Production '!$Q$4:$Q$4407)</f>
        <v>#DIV/0!</v>
      </c>
      <c r="E3102" s="76">
        <f ca="1">SUMIF('Production '!$C$4:$AI$4407,'Tracking Sheet'!B3102,'Production '!$S$4:$S$4407)</f>
        <v>-1268218.9828305368</v>
      </c>
      <c r="F3102" s="76">
        <f ca="1">SUMIF('Production '!$C$4:$AI$4407,'Tracking Sheet'!B3102,'Production '!$U$4:$U$4407)</f>
        <v>-10620.435600016917</v>
      </c>
      <c r="G3102" s="76" t="e">
        <f ca="1">SUMIF('Production '!$C$4:$AI$4407,'Tracking Sheet'!B3102,'Production '!$W$4:$W$4407)</f>
        <v>#DIV/0!</v>
      </c>
      <c r="H3102" s="76">
        <f ca="1">SUMIF('Production '!$C$4:$AI$4407,'Tracking Sheet'!B3102,'Production '!$F$4:$F$4407)</f>
        <v>3230621.3283604058</v>
      </c>
      <c r="I3102" s="76">
        <f ca="1">SUMIF('Production '!$C$4:$AI$4407,'Tracking Sheet'!B3102,'Production '!$V$4:$V$4407)</f>
        <v>-489.86487791182844</v>
      </c>
      <c r="J3102" s="76">
        <f ca="1">SUMIF('Production '!$C$4:$AI$4407,'Tracking Sheet'!B3102,'Production '!$AG$4:$AG$4407)</f>
        <v>0</v>
      </c>
    </row>
    <row r="3103" spans="2:10" x14ac:dyDescent="0.3">
      <c r="B3103" s="277">
        <f>'Production '!C3106</f>
        <v>0</v>
      </c>
      <c r="C3103" s="76" t="e">
        <f ca="1">SUMIF('Production '!$C$4:$AI$4407,'Tracking Sheet'!B3103,'Production '!$M$4:$M$4407)</f>
        <v>#DIV/0!</v>
      </c>
      <c r="D3103" s="76" t="e">
        <f ca="1">SUMIF('Production '!$C$4:$AI$4407,'Tracking Sheet'!B3103,'Production '!$Q$4:$Q$4407)</f>
        <v>#DIV/0!</v>
      </c>
      <c r="E3103" s="76">
        <f ca="1">SUMIF('Production '!$C$4:$AI$4407,'Tracking Sheet'!B3103,'Production '!$S$4:$S$4407)</f>
        <v>-1268218.9828305368</v>
      </c>
      <c r="F3103" s="76">
        <f ca="1">SUMIF('Production '!$C$4:$AI$4407,'Tracking Sheet'!B3103,'Production '!$U$4:$U$4407)</f>
        <v>-10620.435600016917</v>
      </c>
      <c r="G3103" s="76" t="e">
        <f ca="1">SUMIF('Production '!$C$4:$AI$4407,'Tracking Sheet'!B3103,'Production '!$W$4:$W$4407)</f>
        <v>#DIV/0!</v>
      </c>
      <c r="H3103" s="76">
        <f ca="1">SUMIF('Production '!$C$4:$AI$4407,'Tracking Sheet'!B3103,'Production '!$F$4:$F$4407)</f>
        <v>3230621.3283604058</v>
      </c>
      <c r="I3103" s="76">
        <f ca="1">SUMIF('Production '!$C$4:$AI$4407,'Tracking Sheet'!B3103,'Production '!$V$4:$V$4407)</f>
        <v>-489.86487791182844</v>
      </c>
      <c r="J3103" s="76">
        <f ca="1">SUMIF('Production '!$C$4:$AI$4407,'Tracking Sheet'!B3103,'Production '!$AG$4:$AG$4407)</f>
        <v>0</v>
      </c>
    </row>
    <row r="3104" spans="2:10" x14ac:dyDescent="0.3">
      <c r="B3104" s="277">
        <f>'Production '!C3107</f>
        <v>0</v>
      </c>
      <c r="C3104" s="76" t="e">
        <f ca="1">SUMIF('Production '!$C$4:$AI$4407,'Tracking Sheet'!B3104,'Production '!$M$4:$M$4407)</f>
        <v>#DIV/0!</v>
      </c>
      <c r="D3104" s="76" t="e">
        <f ca="1">SUMIF('Production '!$C$4:$AI$4407,'Tracking Sheet'!B3104,'Production '!$Q$4:$Q$4407)</f>
        <v>#DIV/0!</v>
      </c>
      <c r="E3104" s="76">
        <f ca="1">SUMIF('Production '!$C$4:$AI$4407,'Tracking Sheet'!B3104,'Production '!$S$4:$S$4407)</f>
        <v>-1268218.9828305368</v>
      </c>
      <c r="F3104" s="76">
        <f ca="1">SUMIF('Production '!$C$4:$AI$4407,'Tracking Sheet'!B3104,'Production '!$U$4:$U$4407)</f>
        <v>-10620.435600016917</v>
      </c>
      <c r="G3104" s="76" t="e">
        <f ca="1">SUMIF('Production '!$C$4:$AI$4407,'Tracking Sheet'!B3104,'Production '!$W$4:$W$4407)</f>
        <v>#DIV/0!</v>
      </c>
      <c r="H3104" s="76">
        <f ca="1">SUMIF('Production '!$C$4:$AI$4407,'Tracking Sheet'!B3104,'Production '!$F$4:$F$4407)</f>
        <v>3230621.3283604058</v>
      </c>
      <c r="I3104" s="76">
        <f ca="1">SUMIF('Production '!$C$4:$AI$4407,'Tracking Sheet'!B3104,'Production '!$V$4:$V$4407)</f>
        <v>-489.86487791182844</v>
      </c>
      <c r="J3104" s="76">
        <f ca="1">SUMIF('Production '!$C$4:$AI$4407,'Tracking Sheet'!B3104,'Production '!$AG$4:$AG$4407)</f>
        <v>0</v>
      </c>
    </row>
    <row r="3105" spans="2:10" x14ac:dyDescent="0.3">
      <c r="B3105" s="277">
        <f>'Production '!C3108</f>
        <v>0</v>
      </c>
      <c r="C3105" s="76" t="e">
        <f ca="1">SUMIF('Production '!$C$4:$AI$4407,'Tracking Sheet'!B3105,'Production '!$M$4:$M$4407)</f>
        <v>#DIV/0!</v>
      </c>
      <c r="D3105" s="76" t="e">
        <f ca="1">SUMIF('Production '!$C$4:$AI$4407,'Tracking Sheet'!B3105,'Production '!$Q$4:$Q$4407)</f>
        <v>#DIV/0!</v>
      </c>
      <c r="E3105" s="76">
        <f ca="1">SUMIF('Production '!$C$4:$AI$4407,'Tracking Sheet'!B3105,'Production '!$S$4:$S$4407)</f>
        <v>-1268218.9828305368</v>
      </c>
      <c r="F3105" s="76">
        <f ca="1">SUMIF('Production '!$C$4:$AI$4407,'Tracking Sheet'!B3105,'Production '!$U$4:$U$4407)</f>
        <v>-10620.435600016917</v>
      </c>
      <c r="G3105" s="76" t="e">
        <f ca="1">SUMIF('Production '!$C$4:$AI$4407,'Tracking Sheet'!B3105,'Production '!$W$4:$W$4407)</f>
        <v>#DIV/0!</v>
      </c>
      <c r="H3105" s="76">
        <f ca="1">SUMIF('Production '!$C$4:$AI$4407,'Tracking Sheet'!B3105,'Production '!$F$4:$F$4407)</f>
        <v>3230621.3283604058</v>
      </c>
      <c r="I3105" s="76">
        <f ca="1">SUMIF('Production '!$C$4:$AI$4407,'Tracking Sheet'!B3105,'Production '!$V$4:$V$4407)</f>
        <v>-489.86487791182844</v>
      </c>
      <c r="J3105" s="76">
        <f ca="1">SUMIF('Production '!$C$4:$AI$4407,'Tracking Sheet'!B3105,'Production '!$AG$4:$AG$4407)</f>
        <v>0</v>
      </c>
    </row>
    <row r="3106" spans="2:10" x14ac:dyDescent="0.3">
      <c r="B3106" s="277">
        <f>'Production '!C3109</f>
        <v>0</v>
      </c>
      <c r="C3106" s="76" t="e">
        <f ca="1">SUMIF('Production '!$C$4:$AI$4407,'Tracking Sheet'!B3106,'Production '!$M$4:$M$4407)</f>
        <v>#DIV/0!</v>
      </c>
      <c r="D3106" s="76" t="e">
        <f ca="1">SUMIF('Production '!$C$4:$AI$4407,'Tracking Sheet'!B3106,'Production '!$Q$4:$Q$4407)</f>
        <v>#DIV/0!</v>
      </c>
      <c r="E3106" s="76">
        <f ca="1">SUMIF('Production '!$C$4:$AI$4407,'Tracking Sheet'!B3106,'Production '!$S$4:$S$4407)</f>
        <v>-1268218.9828305368</v>
      </c>
      <c r="F3106" s="76">
        <f ca="1">SUMIF('Production '!$C$4:$AI$4407,'Tracking Sheet'!B3106,'Production '!$U$4:$U$4407)</f>
        <v>-10620.435600016917</v>
      </c>
      <c r="G3106" s="76" t="e">
        <f ca="1">SUMIF('Production '!$C$4:$AI$4407,'Tracking Sheet'!B3106,'Production '!$W$4:$W$4407)</f>
        <v>#DIV/0!</v>
      </c>
      <c r="H3106" s="76">
        <f ca="1">SUMIF('Production '!$C$4:$AI$4407,'Tracking Sheet'!B3106,'Production '!$F$4:$F$4407)</f>
        <v>3230621.3283604058</v>
      </c>
      <c r="I3106" s="76">
        <f ca="1">SUMIF('Production '!$C$4:$AI$4407,'Tracking Sheet'!B3106,'Production '!$V$4:$V$4407)</f>
        <v>-489.86487791182844</v>
      </c>
      <c r="J3106" s="76">
        <f ca="1">SUMIF('Production '!$C$4:$AI$4407,'Tracking Sheet'!B3106,'Production '!$AG$4:$AG$4407)</f>
        <v>0</v>
      </c>
    </row>
    <row r="3107" spans="2:10" x14ac:dyDescent="0.3">
      <c r="B3107" s="277">
        <f>'Production '!C3110</f>
        <v>0</v>
      </c>
      <c r="C3107" s="76" t="e">
        <f ca="1">SUMIF('Production '!$C$4:$AI$4407,'Tracking Sheet'!B3107,'Production '!$M$4:$M$4407)</f>
        <v>#DIV/0!</v>
      </c>
      <c r="D3107" s="76" t="e">
        <f ca="1">SUMIF('Production '!$C$4:$AI$4407,'Tracking Sheet'!B3107,'Production '!$Q$4:$Q$4407)</f>
        <v>#DIV/0!</v>
      </c>
      <c r="E3107" s="76">
        <f ca="1">SUMIF('Production '!$C$4:$AI$4407,'Tracking Sheet'!B3107,'Production '!$S$4:$S$4407)</f>
        <v>-1268218.9828305368</v>
      </c>
      <c r="F3107" s="76">
        <f ca="1">SUMIF('Production '!$C$4:$AI$4407,'Tracking Sheet'!B3107,'Production '!$U$4:$U$4407)</f>
        <v>-10620.435600016917</v>
      </c>
      <c r="G3107" s="76" t="e">
        <f ca="1">SUMIF('Production '!$C$4:$AI$4407,'Tracking Sheet'!B3107,'Production '!$W$4:$W$4407)</f>
        <v>#DIV/0!</v>
      </c>
      <c r="H3107" s="76">
        <f ca="1">SUMIF('Production '!$C$4:$AI$4407,'Tracking Sheet'!B3107,'Production '!$F$4:$F$4407)</f>
        <v>3230621.3283604058</v>
      </c>
      <c r="I3107" s="76">
        <f ca="1">SUMIF('Production '!$C$4:$AI$4407,'Tracking Sheet'!B3107,'Production '!$V$4:$V$4407)</f>
        <v>-489.86487791182844</v>
      </c>
      <c r="J3107" s="76">
        <f ca="1">SUMIF('Production '!$C$4:$AI$4407,'Tracking Sheet'!B3107,'Production '!$AG$4:$AG$4407)</f>
        <v>0</v>
      </c>
    </row>
    <row r="3108" spans="2:10" x14ac:dyDescent="0.3">
      <c r="B3108" s="277">
        <f>'Production '!C3111</f>
        <v>0</v>
      </c>
      <c r="C3108" s="76" t="e">
        <f ca="1">SUMIF('Production '!$C$4:$AI$4407,'Tracking Sheet'!B3108,'Production '!$M$4:$M$4407)</f>
        <v>#DIV/0!</v>
      </c>
      <c r="D3108" s="76" t="e">
        <f ca="1">SUMIF('Production '!$C$4:$AI$4407,'Tracking Sheet'!B3108,'Production '!$Q$4:$Q$4407)</f>
        <v>#DIV/0!</v>
      </c>
      <c r="E3108" s="76">
        <f ca="1">SUMIF('Production '!$C$4:$AI$4407,'Tracking Sheet'!B3108,'Production '!$S$4:$S$4407)</f>
        <v>-1268218.9828305368</v>
      </c>
      <c r="F3108" s="76">
        <f ca="1">SUMIF('Production '!$C$4:$AI$4407,'Tracking Sheet'!B3108,'Production '!$U$4:$U$4407)</f>
        <v>-10620.435600016917</v>
      </c>
      <c r="G3108" s="76" t="e">
        <f ca="1">SUMIF('Production '!$C$4:$AI$4407,'Tracking Sheet'!B3108,'Production '!$W$4:$W$4407)</f>
        <v>#DIV/0!</v>
      </c>
      <c r="H3108" s="76">
        <f ca="1">SUMIF('Production '!$C$4:$AI$4407,'Tracking Sheet'!B3108,'Production '!$F$4:$F$4407)</f>
        <v>3230621.3283604058</v>
      </c>
      <c r="I3108" s="76">
        <f ca="1">SUMIF('Production '!$C$4:$AI$4407,'Tracking Sheet'!B3108,'Production '!$V$4:$V$4407)</f>
        <v>-489.86487791182844</v>
      </c>
      <c r="J3108" s="76">
        <f ca="1">SUMIF('Production '!$C$4:$AI$4407,'Tracking Sheet'!B3108,'Production '!$AG$4:$AG$4407)</f>
        <v>0</v>
      </c>
    </row>
    <row r="3109" spans="2:10" x14ac:dyDescent="0.3">
      <c r="B3109" s="277">
        <f>'Production '!C3112</f>
        <v>0</v>
      </c>
      <c r="C3109" s="76" t="e">
        <f ca="1">SUMIF('Production '!$C$4:$AI$4407,'Tracking Sheet'!B3109,'Production '!$M$4:$M$4407)</f>
        <v>#DIV/0!</v>
      </c>
      <c r="D3109" s="76" t="e">
        <f ca="1">SUMIF('Production '!$C$4:$AI$4407,'Tracking Sheet'!B3109,'Production '!$Q$4:$Q$4407)</f>
        <v>#DIV/0!</v>
      </c>
      <c r="E3109" s="76">
        <f ca="1">SUMIF('Production '!$C$4:$AI$4407,'Tracking Sheet'!B3109,'Production '!$S$4:$S$4407)</f>
        <v>-1268218.9828305368</v>
      </c>
      <c r="F3109" s="76">
        <f ca="1">SUMIF('Production '!$C$4:$AI$4407,'Tracking Sheet'!B3109,'Production '!$U$4:$U$4407)</f>
        <v>-10620.435600016917</v>
      </c>
      <c r="G3109" s="76" t="e">
        <f ca="1">SUMIF('Production '!$C$4:$AI$4407,'Tracking Sheet'!B3109,'Production '!$W$4:$W$4407)</f>
        <v>#DIV/0!</v>
      </c>
      <c r="H3109" s="76">
        <f ca="1">SUMIF('Production '!$C$4:$AI$4407,'Tracking Sheet'!B3109,'Production '!$F$4:$F$4407)</f>
        <v>3230621.3283604058</v>
      </c>
      <c r="I3109" s="76">
        <f ca="1">SUMIF('Production '!$C$4:$AI$4407,'Tracking Sheet'!B3109,'Production '!$V$4:$V$4407)</f>
        <v>-489.86487791182844</v>
      </c>
      <c r="J3109" s="76">
        <f ca="1">SUMIF('Production '!$C$4:$AI$4407,'Tracking Sheet'!B3109,'Production '!$AG$4:$AG$4407)</f>
        <v>0</v>
      </c>
    </row>
    <row r="3110" spans="2:10" x14ac:dyDescent="0.3">
      <c r="B3110" s="277">
        <f>'Production '!C3113</f>
        <v>0</v>
      </c>
      <c r="C3110" s="76" t="e">
        <f ca="1">SUMIF('Production '!$C$4:$AI$4407,'Tracking Sheet'!B3110,'Production '!$M$4:$M$4407)</f>
        <v>#DIV/0!</v>
      </c>
      <c r="D3110" s="76" t="e">
        <f ca="1">SUMIF('Production '!$C$4:$AI$4407,'Tracking Sheet'!B3110,'Production '!$Q$4:$Q$4407)</f>
        <v>#DIV/0!</v>
      </c>
      <c r="E3110" s="76">
        <f ca="1">SUMIF('Production '!$C$4:$AI$4407,'Tracking Sheet'!B3110,'Production '!$S$4:$S$4407)</f>
        <v>-1268218.9828305368</v>
      </c>
      <c r="F3110" s="76">
        <f ca="1">SUMIF('Production '!$C$4:$AI$4407,'Tracking Sheet'!B3110,'Production '!$U$4:$U$4407)</f>
        <v>-10620.435600016917</v>
      </c>
      <c r="G3110" s="76" t="e">
        <f ca="1">SUMIF('Production '!$C$4:$AI$4407,'Tracking Sheet'!B3110,'Production '!$W$4:$W$4407)</f>
        <v>#DIV/0!</v>
      </c>
      <c r="H3110" s="76">
        <f ca="1">SUMIF('Production '!$C$4:$AI$4407,'Tracking Sheet'!B3110,'Production '!$F$4:$F$4407)</f>
        <v>3230621.3283604058</v>
      </c>
      <c r="I3110" s="76">
        <f ca="1">SUMIF('Production '!$C$4:$AI$4407,'Tracking Sheet'!B3110,'Production '!$V$4:$V$4407)</f>
        <v>-489.86487791182844</v>
      </c>
      <c r="J3110" s="76">
        <f ca="1">SUMIF('Production '!$C$4:$AI$4407,'Tracking Sheet'!B3110,'Production '!$AG$4:$AG$4407)</f>
        <v>0</v>
      </c>
    </row>
    <row r="3111" spans="2:10" x14ac:dyDescent="0.3">
      <c r="B3111" s="277">
        <f>'Production '!C3114</f>
        <v>0</v>
      </c>
      <c r="C3111" s="76" t="e">
        <f ca="1">SUMIF('Production '!$C$4:$AI$4407,'Tracking Sheet'!B3111,'Production '!$M$4:$M$4407)</f>
        <v>#DIV/0!</v>
      </c>
      <c r="D3111" s="76" t="e">
        <f ca="1">SUMIF('Production '!$C$4:$AI$4407,'Tracking Sheet'!B3111,'Production '!$Q$4:$Q$4407)</f>
        <v>#DIV/0!</v>
      </c>
      <c r="E3111" s="76">
        <f ca="1">SUMIF('Production '!$C$4:$AI$4407,'Tracking Sheet'!B3111,'Production '!$S$4:$S$4407)</f>
        <v>-1268218.9828305368</v>
      </c>
      <c r="F3111" s="76">
        <f ca="1">SUMIF('Production '!$C$4:$AI$4407,'Tracking Sheet'!B3111,'Production '!$U$4:$U$4407)</f>
        <v>-10620.435600016917</v>
      </c>
      <c r="G3111" s="76" t="e">
        <f ca="1">SUMIF('Production '!$C$4:$AI$4407,'Tracking Sheet'!B3111,'Production '!$W$4:$W$4407)</f>
        <v>#DIV/0!</v>
      </c>
      <c r="H3111" s="76">
        <f ca="1">SUMIF('Production '!$C$4:$AI$4407,'Tracking Sheet'!B3111,'Production '!$F$4:$F$4407)</f>
        <v>3230621.3283604058</v>
      </c>
      <c r="I3111" s="76">
        <f ca="1">SUMIF('Production '!$C$4:$AI$4407,'Tracking Sheet'!B3111,'Production '!$V$4:$V$4407)</f>
        <v>-489.86487791182844</v>
      </c>
      <c r="J3111" s="76">
        <f ca="1">SUMIF('Production '!$C$4:$AI$4407,'Tracking Sheet'!B3111,'Production '!$AG$4:$AG$4407)</f>
        <v>0</v>
      </c>
    </row>
    <row r="3112" spans="2:10" x14ac:dyDescent="0.3">
      <c r="B3112" s="277">
        <f>'Production '!C3115</f>
        <v>0</v>
      </c>
      <c r="C3112" s="76" t="e">
        <f ca="1">SUMIF('Production '!$C$4:$AI$4407,'Tracking Sheet'!B3112,'Production '!$M$4:$M$4407)</f>
        <v>#DIV/0!</v>
      </c>
      <c r="D3112" s="76" t="e">
        <f ca="1">SUMIF('Production '!$C$4:$AI$4407,'Tracking Sheet'!B3112,'Production '!$Q$4:$Q$4407)</f>
        <v>#DIV/0!</v>
      </c>
      <c r="E3112" s="76">
        <f ca="1">SUMIF('Production '!$C$4:$AI$4407,'Tracking Sheet'!B3112,'Production '!$S$4:$S$4407)</f>
        <v>-1268218.9828305368</v>
      </c>
      <c r="F3112" s="76">
        <f ca="1">SUMIF('Production '!$C$4:$AI$4407,'Tracking Sheet'!B3112,'Production '!$U$4:$U$4407)</f>
        <v>-10620.435600016917</v>
      </c>
      <c r="G3112" s="76" t="e">
        <f ca="1">SUMIF('Production '!$C$4:$AI$4407,'Tracking Sheet'!B3112,'Production '!$W$4:$W$4407)</f>
        <v>#DIV/0!</v>
      </c>
      <c r="H3112" s="76">
        <f ca="1">SUMIF('Production '!$C$4:$AI$4407,'Tracking Sheet'!B3112,'Production '!$F$4:$F$4407)</f>
        <v>3230621.3283604058</v>
      </c>
      <c r="I3112" s="76">
        <f ca="1">SUMIF('Production '!$C$4:$AI$4407,'Tracking Sheet'!B3112,'Production '!$V$4:$V$4407)</f>
        <v>-489.86487791182844</v>
      </c>
      <c r="J3112" s="76">
        <f ca="1">SUMIF('Production '!$C$4:$AI$4407,'Tracking Sheet'!B3112,'Production '!$AG$4:$AG$4407)</f>
        <v>0</v>
      </c>
    </row>
    <row r="3113" spans="2:10" x14ac:dyDescent="0.3">
      <c r="B3113" s="277">
        <f>'Production '!C3116</f>
        <v>0</v>
      </c>
      <c r="C3113" s="76" t="e">
        <f ca="1">SUMIF('Production '!$C$4:$AI$4407,'Tracking Sheet'!B3113,'Production '!$M$4:$M$4407)</f>
        <v>#DIV/0!</v>
      </c>
      <c r="D3113" s="76" t="e">
        <f ca="1">SUMIF('Production '!$C$4:$AI$4407,'Tracking Sheet'!B3113,'Production '!$Q$4:$Q$4407)</f>
        <v>#DIV/0!</v>
      </c>
      <c r="E3113" s="76">
        <f ca="1">SUMIF('Production '!$C$4:$AI$4407,'Tracking Sheet'!B3113,'Production '!$S$4:$S$4407)</f>
        <v>-1268218.9828305368</v>
      </c>
      <c r="F3113" s="76">
        <f ca="1">SUMIF('Production '!$C$4:$AI$4407,'Tracking Sheet'!B3113,'Production '!$U$4:$U$4407)</f>
        <v>-10620.435600016917</v>
      </c>
      <c r="G3113" s="76" t="e">
        <f ca="1">SUMIF('Production '!$C$4:$AI$4407,'Tracking Sheet'!B3113,'Production '!$W$4:$W$4407)</f>
        <v>#DIV/0!</v>
      </c>
      <c r="H3113" s="76">
        <f ca="1">SUMIF('Production '!$C$4:$AI$4407,'Tracking Sheet'!B3113,'Production '!$F$4:$F$4407)</f>
        <v>3230621.3283604058</v>
      </c>
      <c r="I3113" s="76">
        <f ca="1">SUMIF('Production '!$C$4:$AI$4407,'Tracking Sheet'!B3113,'Production '!$V$4:$V$4407)</f>
        <v>-489.86487791182844</v>
      </c>
      <c r="J3113" s="76">
        <f ca="1">SUMIF('Production '!$C$4:$AI$4407,'Tracking Sheet'!B3113,'Production '!$AG$4:$AG$4407)</f>
        <v>0</v>
      </c>
    </row>
    <row r="3114" spans="2:10" x14ac:dyDescent="0.3">
      <c r="B3114" s="277">
        <f>'Production '!C3117</f>
        <v>0</v>
      </c>
      <c r="C3114" s="76" t="e">
        <f ca="1">SUMIF('Production '!$C$4:$AI$4407,'Tracking Sheet'!B3114,'Production '!$M$4:$M$4407)</f>
        <v>#DIV/0!</v>
      </c>
      <c r="D3114" s="76" t="e">
        <f ca="1">SUMIF('Production '!$C$4:$AI$4407,'Tracking Sheet'!B3114,'Production '!$Q$4:$Q$4407)</f>
        <v>#DIV/0!</v>
      </c>
      <c r="E3114" s="76">
        <f ca="1">SUMIF('Production '!$C$4:$AI$4407,'Tracking Sheet'!B3114,'Production '!$S$4:$S$4407)</f>
        <v>-1268218.9828305368</v>
      </c>
      <c r="F3114" s="76">
        <f ca="1">SUMIF('Production '!$C$4:$AI$4407,'Tracking Sheet'!B3114,'Production '!$U$4:$U$4407)</f>
        <v>-10620.435600016917</v>
      </c>
      <c r="G3114" s="76" t="e">
        <f ca="1">SUMIF('Production '!$C$4:$AI$4407,'Tracking Sheet'!B3114,'Production '!$W$4:$W$4407)</f>
        <v>#DIV/0!</v>
      </c>
      <c r="H3114" s="76">
        <f ca="1">SUMIF('Production '!$C$4:$AI$4407,'Tracking Sheet'!B3114,'Production '!$F$4:$F$4407)</f>
        <v>3230621.3283604058</v>
      </c>
      <c r="I3114" s="76">
        <f ca="1">SUMIF('Production '!$C$4:$AI$4407,'Tracking Sheet'!B3114,'Production '!$V$4:$V$4407)</f>
        <v>-489.86487791182844</v>
      </c>
      <c r="J3114" s="76">
        <f ca="1">SUMIF('Production '!$C$4:$AI$4407,'Tracking Sheet'!B3114,'Production '!$AG$4:$AG$4407)</f>
        <v>0</v>
      </c>
    </row>
    <row r="3115" spans="2:10" x14ac:dyDescent="0.3">
      <c r="B3115" s="277">
        <f>'Production '!C3118</f>
        <v>0</v>
      </c>
      <c r="C3115" s="76" t="e">
        <f ca="1">SUMIF('Production '!$C$4:$AI$4407,'Tracking Sheet'!B3115,'Production '!$M$4:$M$4407)</f>
        <v>#DIV/0!</v>
      </c>
      <c r="D3115" s="76" t="e">
        <f ca="1">SUMIF('Production '!$C$4:$AI$4407,'Tracking Sheet'!B3115,'Production '!$Q$4:$Q$4407)</f>
        <v>#DIV/0!</v>
      </c>
      <c r="E3115" s="76">
        <f ca="1">SUMIF('Production '!$C$4:$AI$4407,'Tracking Sheet'!B3115,'Production '!$S$4:$S$4407)</f>
        <v>-1268218.9828305368</v>
      </c>
      <c r="F3115" s="76">
        <f ca="1">SUMIF('Production '!$C$4:$AI$4407,'Tracking Sheet'!B3115,'Production '!$U$4:$U$4407)</f>
        <v>-10620.435600016917</v>
      </c>
      <c r="G3115" s="76" t="e">
        <f ca="1">SUMIF('Production '!$C$4:$AI$4407,'Tracking Sheet'!B3115,'Production '!$W$4:$W$4407)</f>
        <v>#DIV/0!</v>
      </c>
      <c r="H3115" s="76">
        <f ca="1">SUMIF('Production '!$C$4:$AI$4407,'Tracking Sheet'!B3115,'Production '!$F$4:$F$4407)</f>
        <v>3230621.3283604058</v>
      </c>
      <c r="I3115" s="76">
        <f ca="1">SUMIF('Production '!$C$4:$AI$4407,'Tracking Sheet'!B3115,'Production '!$V$4:$V$4407)</f>
        <v>-489.86487791182844</v>
      </c>
      <c r="J3115" s="76">
        <f ca="1">SUMIF('Production '!$C$4:$AI$4407,'Tracking Sheet'!B3115,'Production '!$AG$4:$AG$4407)</f>
        <v>0</v>
      </c>
    </row>
    <row r="3116" spans="2:10" x14ac:dyDescent="0.3">
      <c r="B3116" s="277">
        <f>'Production '!C3119</f>
        <v>0</v>
      </c>
      <c r="C3116" s="76" t="e">
        <f ca="1">SUMIF('Production '!$C$4:$AI$4407,'Tracking Sheet'!B3116,'Production '!$M$4:$M$4407)</f>
        <v>#DIV/0!</v>
      </c>
      <c r="D3116" s="76" t="e">
        <f ca="1">SUMIF('Production '!$C$4:$AI$4407,'Tracking Sheet'!B3116,'Production '!$Q$4:$Q$4407)</f>
        <v>#DIV/0!</v>
      </c>
      <c r="E3116" s="76">
        <f ca="1">SUMIF('Production '!$C$4:$AI$4407,'Tracking Sheet'!B3116,'Production '!$S$4:$S$4407)</f>
        <v>-1268218.9828305368</v>
      </c>
      <c r="F3116" s="76">
        <f ca="1">SUMIF('Production '!$C$4:$AI$4407,'Tracking Sheet'!B3116,'Production '!$U$4:$U$4407)</f>
        <v>-10620.435600016917</v>
      </c>
      <c r="G3116" s="76" t="e">
        <f ca="1">SUMIF('Production '!$C$4:$AI$4407,'Tracking Sheet'!B3116,'Production '!$W$4:$W$4407)</f>
        <v>#DIV/0!</v>
      </c>
      <c r="H3116" s="76">
        <f ca="1">SUMIF('Production '!$C$4:$AI$4407,'Tracking Sheet'!B3116,'Production '!$F$4:$F$4407)</f>
        <v>3230621.3283604058</v>
      </c>
      <c r="I3116" s="76">
        <f ca="1">SUMIF('Production '!$C$4:$AI$4407,'Tracking Sheet'!B3116,'Production '!$V$4:$V$4407)</f>
        <v>-489.86487791182844</v>
      </c>
      <c r="J3116" s="76">
        <f ca="1">SUMIF('Production '!$C$4:$AI$4407,'Tracking Sheet'!B3116,'Production '!$AG$4:$AG$4407)</f>
        <v>0</v>
      </c>
    </row>
    <row r="3117" spans="2:10" x14ac:dyDescent="0.3">
      <c r="B3117" s="277">
        <f>'Production '!C3120</f>
        <v>0</v>
      </c>
      <c r="C3117" s="76" t="e">
        <f ca="1">SUMIF('Production '!$C$4:$AI$4407,'Tracking Sheet'!B3117,'Production '!$M$4:$M$4407)</f>
        <v>#DIV/0!</v>
      </c>
      <c r="D3117" s="76" t="e">
        <f ca="1">SUMIF('Production '!$C$4:$AI$4407,'Tracking Sheet'!B3117,'Production '!$Q$4:$Q$4407)</f>
        <v>#DIV/0!</v>
      </c>
      <c r="E3117" s="76">
        <f ca="1">SUMIF('Production '!$C$4:$AI$4407,'Tracking Sheet'!B3117,'Production '!$S$4:$S$4407)</f>
        <v>-1268218.9828305368</v>
      </c>
      <c r="F3117" s="76">
        <f ca="1">SUMIF('Production '!$C$4:$AI$4407,'Tracking Sheet'!B3117,'Production '!$U$4:$U$4407)</f>
        <v>-10620.435600016917</v>
      </c>
      <c r="G3117" s="76" t="e">
        <f ca="1">SUMIF('Production '!$C$4:$AI$4407,'Tracking Sheet'!B3117,'Production '!$W$4:$W$4407)</f>
        <v>#DIV/0!</v>
      </c>
      <c r="H3117" s="76">
        <f ca="1">SUMIF('Production '!$C$4:$AI$4407,'Tracking Sheet'!B3117,'Production '!$F$4:$F$4407)</f>
        <v>3230621.3283604058</v>
      </c>
      <c r="I3117" s="76">
        <f ca="1">SUMIF('Production '!$C$4:$AI$4407,'Tracking Sheet'!B3117,'Production '!$V$4:$V$4407)</f>
        <v>-489.86487791182844</v>
      </c>
      <c r="J3117" s="76">
        <f ca="1">SUMIF('Production '!$C$4:$AI$4407,'Tracking Sheet'!B3117,'Production '!$AG$4:$AG$4407)</f>
        <v>0</v>
      </c>
    </row>
    <row r="3118" spans="2:10" x14ac:dyDescent="0.3">
      <c r="B3118" s="277">
        <f>'Production '!C3121</f>
        <v>0</v>
      </c>
      <c r="C3118" s="76" t="e">
        <f ca="1">SUMIF('Production '!$C$4:$AI$4407,'Tracking Sheet'!B3118,'Production '!$M$4:$M$4407)</f>
        <v>#DIV/0!</v>
      </c>
      <c r="D3118" s="76" t="e">
        <f ca="1">SUMIF('Production '!$C$4:$AI$4407,'Tracking Sheet'!B3118,'Production '!$Q$4:$Q$4407)</f>
        <v>#DIV/0!</v>
      </c>
      <c r="E3118" s="76">
        <f ca="1">SUMIF('Production '!$C$4:$AI$4407,'Tracking Sheet'!B3118,'Production '!$S$4:$S$4407)</f>
        <v>-1268218.9828305368</v>
      </c>
      <c r="F3118" s="76">
        <f ca="1">SUMIF('Production '!$C$4:$AI$4407,'Tracking Sheet'!B3118,'Production '!$U$4:$U$4407)</f>
        <v>-10620.435600016917</v>
      </c>
      <c r="G3118" s="76" t="e">
        <f ca="1">SUMIF('Production '!$C$4:$AI$4407,'Tracking Sheet'!B3118,'Production '!$W$4:$W$4407)</f>
        <v>#DIV/0!</v>
      </c>
      <c r="H3118" s="76">
        <f ca="1">SUMIF('Production '!$C$4:$AI$4407,'Tracking Sheet'!B3118,'Production '!$F$4:$F$4407)</f>
        <v>3230621.3283604058</v>
      </c>
      <c r="I3118" s="76">
        <f ca="1">SUMIF('Production '!$C$4:$AI$4407,'Tracking Sheet'!B3118,'Production '!$V$4:$V$4407)</f>
        <v>-489.86487791182844</v>
      </c>
      <c r="J3118" s="76">
        <f ca="1">SUMIF('Production '!$C$4:$AI$4407,'Tracking Sheet'!B3118,'Production '!$AG$4:$AG$4407)</f>
        <v>0</v>
      </c>
    </row>
    <row r="3119" spans="2:10" x14ac:dyDescent="0.3">
      <c r="B3119" s="277">
        <f>'Production '!C3122</f>
        <v>0</v>
      </c>
      <c r="C3119" s="76" t="e">
        <f ca="1">SUMIF('Production '!$C$4:$AI$4407,'Tracking Sheet'!B3119,'Production '!$M$4:$M$4407)</f>
        <v>#DIV/0!</v>
      </c>
      <c r="D3119" s="76" t="e">
        <f ca="1">SUMIF('Production '!$C$4:$AI$4407,'Tracking Sheet'!B3119,'Production '!$Q$4:$Q$4407)</f>
        <v>#DIV/0!</v>
      </c>
      <c r="E3119" s="76">
        <f ca="1">SUMIF('Production '!$C$4:$AI$4407,'Tracking Sheet'!B3119,'Production '!$S$4:$S$4407)</f>
        <v>-1268218.9828305368</v>
      </c>
      <c r="F3119" s="76">
        <f ca="1">SUMIF('Production '!$C$4:$AI$4407,'Tracking Sheet'!B3119,'Production '!$U$4:$U$4407)</f>
        <v>-10620.435600016917</v>
      </c>
      <c r="G3119" s="76" t="e">
        <f ca="1">SUMIF('Production '!$C$4:$AI$4407,'Tracking Sheet'!B3119,'Production '!$W$4:$W$4407)</f>
        <v>#DIV/0!</v>
      </c>
      <c r="H3119" s="76">
        <f ca="1">SUMIF('Production '!$C$4:$AI$4407,'Tracking Sheet'!B3119,'Production '!$F$4:$F$4407)</f>
        <v>3230621.3283604058</v>
      </c>
      <c r="I3119" s="76">
        <f ca="1">SUMIF('Production '!$C$4:$AI$4407,'Tracking Sheet'!B3119,'Production '!$V$4:$V$4407)</f>
        <v>-489.86487791182844</v>
      </c>
      <c r="J3119" s="76">
        <f ca="1">SUMIF('Production '!$C$4:$AI$4407,'Tracking Sheet'!B3119,'Production '!$AG$4:$AG$4407)</f>
        <v>0</v>
      </c>
    </row>
    <row r="3120" spans="2:10" x14ac:dyDescent="0.3">
      <c r="B3120" s="277">
        <f>'Production '!C3123</f>
        <v>0</v>
      </c>
      <c r="C3120" s="76" t="e">
        <f ca="1">SUMIF('Production '!$C$4:$AI$4407,'Tracking Sheet'!B3120,'Production '!$M$4:$M$4407)</f>
        <v>#DIV/0!</v>
      </c>
      <c r="D3120" s="76" t="e">
        <f ca="1">SUMIF('Production '!$C$4:$AI$4407,'Tracking Sheet'!B3120,'Production '!$Q$4:$Q$4407)</f>
        <v>#DIV/0!</v>
      </c>
      <c r="E3120" s="76">
        <f ca="1">SUMIF('Production '!$C$4:$AI$4407,'Tracking Sheet'!B3120,'Production '!$S$4:$S$4407)</f>
        <v>-1268218.9828305368</v>
      </c>
      <c r="F3120" s="76">
        <f ca="1">SUMIF('Production '!$C$4:$AI$4407,'Tracking Sheet'!B3120,'Production '!$U$4:$U$4407)</f>
        <v>-10620.435600016917</v>
      </c>
      <c r="G3120" s="76" t="e">
        <f ca="1">SUMIF('Production '!$C$4:$AI$4407,'Tracking Sheet'!B3120,'Production '!$W$4:$W$4407)</f>
        <v>#DIV/0!</v>
      </c>
      <c r="H3120" s="76">
        <f ca="1">SUMIF('Production '!$C$4:$AI$4407,'Tracking Sheet'!B3120,'Production '!$F$4:$F$4407)</f>
        <v>3230621.3283604058</v>
      </c>
      <c r="I3120" s="76">
        <f ca="1">SUMIF('Production '!$C$4:$AI$4407,'Tracking Sheet'!B3120,'Production '!$V$4:$V$4407)</f>
        <v>-489.86487791182844</v>
      </c>
      <c r="J3120" s="76">
        <f ca="1">SUMIF('Production '!$C$4:$AI$4407,'Tracking Sheet'!B3120,'Production '!$AG$4:$AG$4407)</f>
        <v>0</v>
      </c>
    </row>
    <row r="3121" spans="2:10" x14ac:dyDescent="0.3">
      <c r="B3121" s="277">
        <f>'Production '!C3124</f>
        <v>0</v>
      </c>
      <c r="C3121" s="76" t="e">
        <f ca="1">SUMIF('Production '!$C$4:$AI$4407,'Tracking Sheet'!B3121,'Production '!$M$4:$M$4407)</f>
        <v>#DIV/0!</v>
      </c>
      <c r="D3121" s="76" t="e">
        <f ca="1">SUMIF('Production '!$C$4:$AI$4407,'Tracking Sheet'!B3121,'Production '!$Q$4:$Q$4407)</f>
        <v>#DIV/0!</v>
      </c>
      <c r="E3121" s="76">
        <f ca="1">SUMIF('Production '!$C$4:$AI$4407,'Tracking Sheet'!B3121,'Production '!$S$4:$S$4407)</f>
        <v>-1268218.9828305368</v>
      </c>
      <c r="F3121" s="76">
        <f ca="1">SUMIF('Production '!$C$4:$AI$4407,'Tracking Sheet'!B3121,'Production '!$U$4:$U$4407)</f>
        <v>-10620.435600016917</v>
      </c>
      <c r="G3121" s="76" t="e">
        <f ca="1">SUMIF('Production '!$C$4:$AI$4407,'Tracking Sheet'!B3121,'Production '!$W$4:$W$4407)</f>
        <v>#DIV/0!</v>
      </c>
      <c r="H3121" s="76">
        <f ca="1">SUMIF('Production '!$C$4:$AI$4407,'Tracking Sheet'!B3121,'Production '!$F$4:$F$4407)</f>
        <v>3230621.3283604058</v>
      </c>
      <c r="I3121" s="76">
        <f ca="1">SUMIF('Production '!$C$4:$AI$4407,'Tracking Sheet'!B3121,'Production '!$V$4:$V$4407)</f>
        <v>-489.86487791182844</v>
      </c>
      <c r="J3121" s="76">
        <f ca="1">SUMIF('Production '!$C$4:$AI$4407,'Tracking Sheet'!B3121,'Production '!$AG$4:$AG$4407)</f>
        <v>0</v>
      </c>
    </row>
    <row r="3122" spans="2:10" x14ac:dyDescent="0.3">
      <c r="B3122" s="277">
        <f>'Production '!C3125</f>
        <v>0</v>
      </c>
      <c r="C3122" s="76" t="e">
        <f ca="1">SUMIF('Production '!$C$4:$AI$4407,'Tracking Sheet'!B3122,'Production '!$M$4:$M$4407)</f>
        <v>#DIV/0!</v>
      </c>
      <c r="D3122" s="76" t="e">
        <f ca="1">SUMIF('Production '!$C$4:$AI$4407,'Tracking Sheet'!B3122,'Production '!$Q$4:$Q$4407)</f>
        <v>#DIV/0!</v>
      </c>
      <c r="E3122" s="76">
        <f ca="1">SUMIF('Production '!$C$4:$AI$4407,'Tracking Sheet'!B3122,'Production '!$S$4:$S$4407)</f>
        <v>-1268218.9828305368</v>
      </c>
      <c r="F3122" s="76">
        <f ca="1">SUMIF('Production '!$C$4:$AI$4407,'Tracking Sheet'!B3122,'Production '!$U$4:$U$4407)</f>
        <v>-10620.435600016917</v>
      </c>
      <c r="G3122" s="76" t="e">
        <f ca="1">SUMIF('Production '!$C$4:$AI$4407,'Tracking Sheet'!B3122,'Production '!$W$4:$W$4407)</f>
        <v>#DIV/0!</v>
      </c>
      <c r="H3122" s="76">
        <f ca="1">SUMIF('Production '!$C$4:$AI$4407,'Tracking Sheet'!B3122,'Production '!$F$4:$F$4407)</f>
        <v>3230621.3283604058</v>
      </c>
      <c r="I3122" s="76">
        <f ca="1">SUMIF('Production '!$C$4:$AI$4407,'Tracking Sheet'!B3122,'Production '!$V$4:$V$4407)</f>
        <v>-489.86487791182844</v>
      </c>
      <c r="J3122" s="76">
        <f ca="1">SUMIF('Production '!$C$4:$AI$4407,'Tracking Sheet'!B3122,'Production '!$AG$4:$AG$4407)</f>
        <v>0</v>
      </c>
    </row>
    <row r="3123" spans="2:10" x14ac:dyDescent="0.3">
      <c r="B3123" s="277">
        <f>'Production '!C3126</f>
        <v>0</v>
      </c>
      <c r="C3123" s="76" t="e">
        <f ca="1">SUMIF('Production '!$C$4:$AI$4407,'Tracking Sheet'!B3123,'Production '!$M$4:$M$4407)</f>
        <v>#DIV/0!</v>
      </c>
      <c r="D3123" s="76" t="e">
        <f ca="1">SUMIF('Production '!$C$4:$AI$4407,'Tracking Sheet'!B3123,'Production '!$Q$4:$Q$4407)</f>
        <v>#DIV/0!</v>
      </c>
      <c r="E3123" s="76">
        <f ca="1">SUMIF('Production '!$C$4:$AI$4407,'Tracking Sheet'!B3123,'Production '!$S$4:$S$4407)</f>
        <v>-1268218.9828305368</v>
      </c>
      <c r="F3123" s="76">
        <f ca="1">SUMIF('Production '!$C$4:$AI$4407,'Tracking Sheet'!B3123,'Production '!$U$4:$U$4407)</f>
        <v>-10620.435600016917</v>
      </c>
      <c r="G3123" s="76" t="e">
        <f ca="1">SUMIF('Production '!$C$4:$AI$4407,'Tracking Sheet'!B3123,'Production '!$W$4:$W$4407)</f>
        <v>#DIV/0!</v>
      </c>
      <c r="H3123" s="76">
        <f ca="1">SUMIF('Production '!$C$4:$AI$4407,'Tracking Sheet'!B3123,'Production '!$F$4:$F$4407)</f>
        <v>3230621.3283604058</v>
      </c>
      <c r="I3123" s="76">
        <f ca="1">SUMIF('Production '!$C$4:$AI$4407,'Tracking Sheet'!B3123,'Production '!$V$4:$V$4407)</f>
        <v>-489.86487791182844</v>
      </c>
      <c r="J3123" s="76">
        <f ca="1">SUMIF('Production '!$C$4:$AI$4407,'Tracking Sheet'!B3123,'Production '!$AG$4:$AG$4407)</f>
        <v>0</v>
      </c>
    </row>
    <row r="3124" spans="2:10" x14ac:dyDescent="0.3">
      <c r="B3124" s="277">
        <f>'Production '!C3127</f>
        <v>0</v>
      </c>
      <c r="C3124" s="76" t="e">
        <f ca="1">SUMIF('Production '!$C$4:$AI$4407,'Tracking Sheet'!B3124,'Production '!$M$4:$M$4407)</f>
        <v>#DIV/0!</v>
      </c>
      <c r="D3124" s="76" t="e">
        <f ca="1">SUMIF('Production '!$C$4:$AI$4407,'Tracking Sheet'!B3124,'Production '!$Q$4:$Q$4407)</f>
        <v>#DIV/0!</v>
      </c>
      <c r="E3124" s="76">
        <f ca="1">SUMIF('Production '!$C$4:$AI$4407,'Tracking Sheet'!B3124,'Production '!$S$4:$S$4407)</f>
        <v>-1268218.9828305368</v>
      </c>
      <c r="F3124" s="76">
        <f ca="1">SUMIF('Production '!$C$4:$AI$4407,'Tracking Sheet'!B3124,'Production '!$U$4:$U$4407)</f>
        <v>-10620.435600016917</v>
      </c>
      <c r="G3124" s="76" t="e">
        <f ca="1">SUMIF('Production '!$C$4:$AI$4407,'Tracking Sheet'!B3124,'Production '!$W$4:$W$4407)</f>
        <v>#DIV/0!</v>
      </c>
      <c r="H3124" s="76">
        <f ca="1">SUMIF('Production '!$C$4:$AI$4407,'Tracking Sheet'!B3124,'Production '!$F$4:$F$4407)</f>
        <v>3230621.3283604058</v>
      </c>
      <c r="I3124" s="76">
        <f ca="1">SUMIF('Production '!$C$4:$AI$4407,'Tracking Sheet'!B3124,'Production '!$V$4:$V$4407)</f>
        <v>-489.86487791182844</v>
      </c>
      <c r="J3124" s="76">
        <f ca="1">SUMIF('Production '!$C$4:$AI$4407,'Tracking Sheet'!B3124,'Production '!$AG$4:$AG$4407)</f>
        <v>0</v>
      </c>
    </row>
    <row r="3125" spans="2:10" x14ac:dyDescent="0.3">
      <c r="B3125" s="277">
        <f>'Production '!C3128</f>
        <v>0</v>
      </c>
      <c r="C3125" s="76" t="e">
        <f ca="1">SUMIF('Production '!$C$4:$AI$4407,'Tracking Sheet'!B3125,'Production '!$M$4:$M$4407)</f>
        <v>#DIV/0!</v>
      </c>
      <c r="D3125" s="76" t="e">
        <f ca="1">SUMIF('Production '!$C$4:$AI$4407,'Tracking Sheet'!B3125,'Production '!$Q$4:$Q$4407)</f>
        <v>#DIV/0!</v>
      </c>
      <c r="E3125" s="76">
        <f ca="1">SUMIF('Production '!$C$4:$AI$4407,'Tracking Sheet'!B3125,'Production '!$S$4:$S$4407)</f>
        <v>-1268218.9828305368</v>
      </c>
      <c r="F3125" s="76">
        <f ca="1">SUMIF('Production '!$C$4:$AI$4407,'Tracking Sheet'!B3125,'Production '!$U$4:$U$4407)</f>
        <v>-10620.435600016917</v>
      </c>
      <c r="G3125" s="76" t="e">
        <f ca="1">SUMIF('Production '!$C$4:$AI$4407,'Tracking Sheet'!B3125,'Production '!$W$4:$W$4407)</f>
        <v>#DIV/0!</v>
      </c>
      <c r="H3125" s="76">
        <f ca="1">SUMIF('Production '!$C$4:$AI$4407,'Tracking Sheet'!B3125,'Production '!$F$4:$F$4407)</f>
        <v>3230621.3283604058</v>
      </c>
      <c r="I3125" s="76">
        <f ca="1">SUMIF('Production '!$C$4:$AI$4407,'Tracking Sheet'!B3125,'Production '!$V$4:$V$4407)</f>
        <v>-489.86487791182844</v>
      </c>
      <c r="J3125" s="76">
        <f ca="1">SUMIF('Production '!$C$4:$AI$4407,'Tracking Sheet'!B3125,'Production '!$AG$4:$AG$4407)</f>
        <v>0</v>
      </c>
    </row>
    <row r="3126" spans="2:10" x14ac:dyDescent="0.3">
      <c r="B3126" s="277">
        <f>'Production '!C3129</f>
        <v>0</v>
      </c>
      <c r="C3126" s="76" t="e">
        <f ca="1">SUMIF('Production '!$C$4:$AI$4407,'Tracking Sheet'!B3126,'Production '!$M$4:$M$4407)</f>
        <v>#DIV/0!</v>
      </c>
      <c r="D3126" s="76" t="e">
        <f ca="1">SUMIF('Production '!$C$4:$AI$4407,'Tracking Sheet'!B3126,'Production '!$Q$4:$Q$4407)</f>
        <v>#DIV/0!</v>
      </c>
      <c r="E3126" s="76">
        <f ca="1">SUMIF('Production '!$C$4:$AI$4407,'Tracking Sheet'!B3126,'Production '!$S$4:$S$4407)</f>
        <v>-1268218.9828305368</v>
      </c>
      <c r="F3126" s="76">
        <f ca="1">SUMIF('Production '!$C$4:$AI$4407,'Tracking Sheet'!B3126,'Production '!$U$4:$U$4407)</f>
        <v>-10620.435600016917</v>
      </c>
      <c r="G3126" s="76" t="e">
        <f ca="1">SUMIF('Production '!$C$4:$AI$4407,'Tracking Sheet'!B3126,'Production '!$W$4:$W$4407)</f>
        <v>#DIV/0!</v>
      </c>
      <c r="H3126" s="76">
        <f ca="1">SUMIF('Production '!$C$4:$AI$4407,'Tracking Sheet'!B3126,'Production '!$F$4:$F$4407)</f>
        <v>3230621.3283604058</v>
      </c>
      <c r="I3126" s="76">
        <f ca="1">SUMIF('Production '!$C$4:$AI$4407,'Tracking Sheet'!B3126,'Production '!$V$4:$V$4407)</f>
        <v>-489.86487791182844</v>
      </c>
      <c r="J3126" s="76">
        <f ca="1">SUMIF('Production '!$C$4:$AI$4407,'Tracking Sheet'!B3126,'Production '!$AG$4:$AG$4407)</f>
        <v>0</v>
      </c>
    </row>
    <row r="3127" spans="2:10" x14ac:dyDescent="0.3">
      <c r="B3127" s="277">
        <f>'Production '!C3130</f>
        <v>0</v>
      </c>
      <c r="C3127" s="76" t="e">
        <f ca="1">SUMIF('Production '!$C$4:$AI$4407,'Tracking Sheet'!B3127,'Production '!$M$4:$M$4407)</f>
        <v>#DIV/0!</v>
      </c>
      <c r="D3127" s="76" t="e">
        <f ca="1">SUMIF('Production '!$C$4:$AI$4407,'Tracking Sheet'!B3127,'Production '!$Q$4:$Q$4407)</f>
        <v>#DIV/0!</v>
      </c>
      <c r="E3127" s="76">
        <f ca="1">SUMIF('Production '!$C$4:$AI$4407,'Tracking Sheet'!B3127,'Production '!$S$4:$S$4407)</f>
        <v>-1268218.9828305368</v>
      </c>
      <c r="F3127" s="76">
        <f ca="1">SUMIF('Production '!$C$4:$AI$4407,'Tracking Sheet'!B3127,'Production '!$U$4:$U$4407)</f>
        <v>-10620.435600016917</v>
      </c>
      <c r="G3127" s="76" t="e">
        <f ca="1">SUMIF('Production '!$C$4:$AI$4407,'Tracking Sheet'!B3127,'Production '!$W$4:$W$4407)</f>
        <v>#DIV/0!</v>
      </c>
      <c r="H3127" s="76">
        <f ca="1">SUMIF('Production '!$C$4:$AI$4407,'Tracking Sheet'!B3127,'Production '!$F$4:$F$4407)</f>
        <v>3230621.3283604058</v>
      </c>
      <c r="I3127" s="76">
        <f ca="1">SUMIF('Production '!$C$4:$AI$4407,'Tracking Sheet'!B3127,'Production '!$V$4:$V$4407)</f>
        <v>-489.86487791182844</v>
      </c>
      <c r="J3127" s="76">
        <f ca="1">SUMIF('Production '!$C$4:$AI$4407,'Tracking Sheet'!B3127,'Production '!$AG$4:$AG$4407)</f>
        <v>0</v>
      </c>
    </row>
    <row r="3128" spans="2:10" x14ac:dyDescent="0.3">
      <c r="B3128" s="277">
        <f>'Production '!C3131</f>
        <v>0</v>
      </c>
      <c r="C3128" s="76" t="e">
        <f ca="1">SUMIF('Production '!$C$4:$AI$4407,'Tracking Sheet'!B3128,'Production '!$M$4:$M$4407)</f>
        <v>#DIV/0!</v>
      </c>
      <c r="D3128" s="76" t="e">
        <f ca="1">SUMIF('Production '!$C$4:$AI$4407,'Tracking Sheet'!B3128,'Production '!$Q$4:$Q$4407)</f>
        <v>#DIV/0!</v>
      </c>
      <c r="E3128" s="76">
        <f ca="1">SUMIF('Production '!$C$4:$AI$4407,'Tracking Sheet'!B3128,'Production '!$S$4:$S$4407)</f>
        <v>-1268218.9828305368</v>
      </c>
      <c r="F3128" s="76">
        <f ca="1">SUMIF('Production '!$C$4:$AI$4407,'Tracking Sheet'!B3128,'Production '!$U$4:$U$4407)</f>
        <v>-10620.435600016917</v>
      </c>
      <c r="G3128" s="76" t="e">
        <f ca="1">SUMIF('Production '!$C$4:$AI$4407,'Tracking Sheet'!B3128,'Production '!$W$4:$W$4407)</f>
        <v>#DIV/0!</v>
      </c>
      <c r="H3128" s="76">
        <f ca="1">SUMIF('Production '!$C$4:$AI$4407,'Tracking Sheet'!B3128,'Production '!$F$4:$F$4407)</f>
        <v>3230621.3283604058</v>
      </c>
      <c r="I3128" s="76">
        <f ca="1">SUMIF('Production '!$C$4:$AI$4407,'Tracking Sheet'!B3128,'Production '!$V$4:$V$4407)</f>
        <v>-489.86487791182844</v>
      </c>
      <c r="J3128" s="76">
        <f ca="1">SUMIF('Production '!$C$4:$AI$4407,'Tracking Sheet'!B3128,'Production '!$AG$4:$AG$4407)</f>
        <v>0</v>
      </c>
    </row>
    <row r="3129" spans="2:10" x14ac:dyDescent="0.3">
      <c r="B3129" s="277">
        <f>'Production '!C3132</f>
        <v>0</v>
      </c>
      <c r="C3129" s="76" t="e">
        <f ca="1">SUMIF('Production '!$C$4:$AI$4407,'Tracking Sheet'!B3129,'Production '!$M$4:$M$4407)</f>
        <v>#DIV/0!</v>
      </c>
      <c r="D3129" s="76" t="e">
        <f ca="1">SUMIF('Production '!$C$4:$AI$4407,'Tracking Sheet'!B3129,'Production '!$Q$4:$Q$4407)</f>
        <v>#DIV/0!</v>
      </c>
      <c r="E3129" s="76">
        <f ca="1">SUMIF('Production '!$C$4:$AI$4407,'Tracking Sheet'!B3129,'Production '!$S$4:$S$4407)</f>
        <v>-1268218.9828305368</v>
      </c>
      <c r="F3129" s="76">
        <f ca="1">SUMIF('Production '!$C$4:$AI$4407,'Tracking Sheet'!B3129,'Production '!$U$4:$U$4407)</f>
        <v>-10620.435600016917</v>
      </c>
      <c r="G3129" s="76" t="e">
        <f ca="1">SUMIF('Production '!$C$4:$AI$4407,'Tracking Sheet'!B3129,'Production '!$W$4:$W$4407)</f>
        <v>#DIV/0!</v>
      </c>
      <c r="H3129" s="76">
        <f ca="1">SUMIF('Production '!$C$4:$AI$4407,'Tracking Sheet'!B3129,'Production '!$F$4:$F$4407)</f>
        <v>3230621.3283604058</v>
      </c>
      <c r="I3129" s="76">
        <f ca="1">SUMIF('Production '!$C$4:$AI$4407,'Tracking Sheet'!B3129,'Production '!$V$4:$V$4407)</f>
        <v>-489.86487791182844</v>
      </c>
      <c r="J3129" s="76">
        <f ca="1">SUMIF('Production '!$C$4:$AI$4407,'Tracking Sheet'!B3129,'Production '!$AG$4:$AG$4407)</f>
        <v>0</v>
      </c>
    </row>
    <row r="3130" spans="2:10" x14ac:dyDescent="0.3">
      <c r="B3130" s="277">
        <f>'Production '!C3133</f>
        <v>0</v>
      </c>
      <c r="C3130" s="76" t="e">
        <f ca="1">SUMIF('Production '!$C$4:$AI$4407,'Tracking Sheet'!B3130,'Production '!$M$4:$M$4407)</f>
        <v>#DIV/0!</v>
      </c>
      <c r="D3130" s="76" t="e">
        <f ca="1">SUMIF('Production '!$C$4:$AI$4407,'Tracking Sheet'!B3130,'Production '!$Q$4:$Q$4407)</f>
        <v>#DIV/0!</v>
      </c>
      <c r="E3130" s="76">
        <f ca="1">SUMIF('Production '!$C$4:$AI$4407,'Tracking Sheet'!B3130,'Production '!$S$4:$S$4407)</f>
        <v>-1268218.9828305368</v>
      </c>
      <c r="F3130" s="76">
        <f ca="1">SUMIF('Production '!$C$4:$AI$4407,'Tracking Sheet'!B3130,'Production '!$U$4:$U$4407)</f>
        <v>-10620.435600016917</v>
      </c>
      <c r="G3130" s="76" t="e">
        <f ca="1">SUMIF('Production '!$C$4:$AI$4407,'Tracking Sheet'!B3130,'Production '!$W$4:$W$4407)</f>
        <v>#DIV/0!</v>
      </c>
      <c r="H3130" s="76">
        <f ca="1">SUMIF('Production '!$C$4:$AI$4407,'Tracking Sheet'!B3130,'Production '!$F$4:$F$4407)</f>
        <v>3230621.3283604058</v>
      </c>
      <c r="I3130" s="76">
        <f ca="1">SUMIF('Production '!$C$4:$AI$4407,'Tracking Sheet'!B3130,'Production '!$V$4:$V$4407)</f>
        <v>-489.86487791182844</v>
      </c>
      <c r="J3130" s="76">
        <f ca="1">SUMIF('Production '!$C$4:$AI$4407,'Tracking Sheet'!B3130,'Production '!$AG$4:$AG$4407)</f>
        <v>0</v>
      </c>
    </row>
    <row r="3131" spans="2:10" x14ac:dyDescent="0.3">
      <c r="B3131" s="277">
        <f>'Production '!C3134</f>
        <v>0</v>
      </c>
      <c r="C3131" s="76" t="e">
        <f ca="1">SUMIF('Production '!$C$4:$AI$4407,'Tracking Sheet'!B3131,'Production '!$M$4:$M$4407)</f>
        <v>#DIV/0!</v>
      </c>
      <c r="D3131" s="76" t="e">
        <f ca="1">SUMIF('Production '!$C$4:$AI$4407,'Tracking Sheet'!B3131,'Production '!$Q$4:$Q$4407)</f>
        <v>#DIV/0!</v>
      </c>
      <c r="E3131" s="76">
        <f ca="1">SUMIF('Production '!$C$4:$AI$4407,'Tracking Sheet'!B3131,'Production '!$S$4:$S$4407)</f>
        <v>-1268218.9828305368</v>
      </c>
      <c r="F3131" s="76">
        <f ca="1">SUMIF('Production '!$C$4:$AI$4407,'Tracking Sheet'!B3131,'Production '!$U$4:$U$4407)</f>
        <v>-10620.435600016917</v>
      </c>
      <c r="G3131" s="76" t="e">
        <f ca="1">SUMIF('Production '!$C$4:$AI$4407,'Tracking Sheet'!B3131,'Production '!$W$4:$W$4407)</f>
        <v>#DIV/0!</v>
      </c>
      <c r="H3131" s="76">
        <f ca="1">SUMIF('Production '!$C$4:$AI$4407,'Tracking Sheet'!B3131,'Production '!$F$4:$F$4407)</f>
        <v>3230621.3283604058</v>
      </c>
      <c r="I3131" s="76">
        <f ca="1">SUMIF('Production '!$C$4:$AI$4407,'Tracking Sheet'!B3131,'Production '!$V$4:$V$4407)</f>
        <v>-489.86487791182844</v>
      </c>
      <c r="J3131" s="76">
        <f ca="1">SUMIF('Production '!$C$4:$AI$4407,'Tracking Sheet'!B3131,'Production '!$AG$4:$AG$4407)</f>
        <v>0</v>
      </c>
    </row>
    <row r="3132" spans="2:10" x14ac:dyDescent="0.3">
      <c r="B3132" s="277">
        <f>'Production '!C3135</f>
        <v>0</v>
      </c>
      <c r="C3132" s="76" t="e">
        <f ca="1">SUMIF('Production '!$C$4:$AI$4407,'Tracking Sheet'!B3132,'Production '!$M$4:$M$4407)</f>
        <v>#DIV/0!</v>
      </c>
      <c r="D3132" s="76" t="e">
        <f ca="1">SUMIF('Production '!$C$4:$AI$4407,'Tracking Sheet'!B3132,'Production '!$Q$4:$Q$4407)</f>
        <v>#DIV/0!</v>
      </c>
      <c r="E3132" s="76">
        <f ca="1">SUMIF('Production '!$C$4:$AI$4407,'Tracking Sheet'!B3132,'Production '!$S$4:$S$4407)</f>
        <v>-1268218.9828305368</v>
      </c>
      <c r="F3132" s="76">
        <f ca="1">SUMIF('Production '!$C$4:$AI$4407,'Tracking Sheet'!B3132,'Production '!$U$4:$U$4407)</f>
        <v>-10620.435600016917</v>
      </c>
      <c r="G3132" s="76" t="e">
        <f ca="1">SUMIF('Production '!$C$4:$AI$4407,'Tracking Sheet'!B3132,'Production '!$W$4:$W$4407)</f>
        <v>#DIV/0!</v>
      </c>
      <c r="H3132" s="76">
        <f ca="1">SUMIF('Production '!$C$4:$AI$4407,'Tracking Sheet'!B3132,'Production '!$F$4:$F$4407)</f>
        <v>3230621.3283604058</v>
      </c>
      <c r="I3132" s="76">
        <f ca="1">SUMIF('Production '!$C$4:$AI$4407,'Tracking Sheet'!B3132,'Production '!$V$4:$V$4407)</f>
        <v>-489.86487791182844</v>
      </c>
      <c r="J3132" s="76">
        <f ca="1">SUMIF('Production '!$C$4:$AI$4407,'Tracking Sheet'!B3132,'Production '!$AG$4:$AG$4407)</f>
        <v>0</v>
      </c>
    </row>
    <row r="3133" spans="2:10" x14ac:dyDescent="0.3">
      <c r="B3133" s="277">
        <f>'Production '!C3136</f>
        <v>0</v>
      </c>
      <c r="C3133" s="76" t="e">
        <f ca="1">SUMIF('Production '!$C$4:$AI$4407,'Tracking Sheet'!B3133,'Production '!$M$4:$M$4407)</f>
        <v>#DIV/0!</v>
      </c>
      <c r="D3133" s="76" t="e">
        <f ca="1">SUMIF('Production '!$C$4:$AI$4407,'Tracking Sheet'!B3133,'Production '!$Q$4:$Q$4407)</f>
        <v>#DIV/0!</v>
      </c>
      <c r="E3133" s="76">
        <f ca="1">SUMIF('Production '!$C$4:$AI$4407,'Tracking Sheet'!B3133,'Production '!$S$4:$S$4407)</f>
        <v>-1268218.9828305368</v>
      </c>
      <c r="F3133" s="76">
        <f ca="1">SUMIF('Production '!$C$4:$AI$4407,'Tracking Sheet'!B3133,'Production '!$U$4:$U$4407)</f>
        <v>-10620.435600016917</v>
      </c>
      <c r="G3133" s="76" t="e">
        <f ca="1">SUMIF('Production '!$C$4:$AI$4407,'Tracking Sheet'!B3133,'Production '!$W$4:$W$4407)</f>
        <v>#DIV/0!</v>
      </c>
      <c r="H3133" s="76">
        <f ca="1">SUMIF('Production '!$C$4:$AI$4407,'Tracking Sheet'!B3133,'Production '!$F$4:$F$4407)</f>
        <v>3230621.3283604058</v>
      </c>
      <c r="I3133" s="76">
        <f ca="1">SUMIF('Production '!$C$4:$AI$4407,'Tracking Sheet'!B3133,'Production '!$V$4:$V$4407)</f>
        <v>-489.86487791182844</v>
      </c>
      <c r="J3133" s="76">
        <f ca="1">SUMIF('Production '!$C$4:$AI$4407,'Tracking Sheet'!B3133,'Production '!$AG$4:$AG$4407)</f>
        <v>0</v>
      </c>
    </row>
    <row r="3134" spans="2:10" x14ac:dyDescent="0.3">
      <c r="B3134" s="277">
        <f>'Production '!C3137</f>
        <v>0</v>
      </c>
      <c r="C3134" s="76" t="e">
        <f ca="1">SUMIF('Production '!$C$4:$AI$4407,'Tracking Sheet'!B3134,'Production '!$M$4:$M$4407)</f>
        <v>#DIV/0!</v>
      </c>
      <c r="D3134" s="76" t="e">
        <f ca="1">SUMIF('Production '!$C$4:$AI$4407,'Tracking Sheet'!B3134,'Production '!$Q$4:$Q$4407)</f>
        <v>#DIV/0!</v>
      </c>
      <c r="E3134" s="76">
        <f ca="1">SUMIF('Production '!$C$4:$AI$4407,'Tracking Sheet'!B3134,'Production '!$S$4:$S$4407)</f>
        <v>-1268218.9828305368</v>
      </c>
      <c r="F3134" s="76">
        <f ca="1">SUMIF('Production '!$C$4:$AI$4407,'Tracking Sheet'!B3134,'Production '!$U$4:$U$4407)</f>
        <v>-10620.435600016917</v>
      </c>
      <c r="G3134" s="76" t="e">
        <f ca="1">SUMIF('Production '!$C$4:$AI$4407,'Tracking Sheet'!B3134,'Production '!$W$4:$W$4407)</f>
        <v>#DIV/0!</v>
      </c>
      <c r="H3134" s="76">
        <f ca="1">SUMIF('Production '!$C$4:$AI$4407,'Tracking Sheet'!B3134,'Production '!$F$4:$F$4407)</f>
        <v>3230621.3283604058</v>
      </c>
      <c r="I3134" s="76">
        <f ca="1">SUMIF('Production '!$C$4:$AI$4407,'Tracking Sheet'!B3134,'Production '!$V$4:$V$4407)</f>
        <v>-489.86487791182844</v>
      </c>
      <c r="J3134" s="76">
        <f ca="1">SUMIF('Production '!$C$4:$AI$4407,'Tracking Sheet'!B3134,'Production '!$AG$4:$AG$4407)</f>
        <v>0</v>
      </c>
    </row>
    <row r="3135" spans="2:10" x14ac:dyDescent="0.3">
      <c r="B3135" s="277">
        <f>'Production '!C3138</f>
        <v>0</v>
      </c>
      <c r="C3135" s="76" t="e">
        <f ca="1">SUMIF('Production '!$C$4:$AI$4407,'Tracking Sheet'!B3135,'Production '!$M$4:$M$4407)</f>
        <v>#DIV/0!</v>
      </c>
      <c r="D3135" s="76" t="e">
        <f ca="1">SUMIF('Production '!$C$4:$AI$4407,'Tracking Sheet'!B3135,'Production '!$Q$4:$Q$4407)</f>
        <v>#DIV/0!</v>
      </c>
      <c r="E3135" s="76">
        <f ca="1">SUMIF('Production '!$C$4:$AI$4407,'Tracking Sheet'!B3135,'Production '!$S$4:$S$4407)</f>
        <v>-1268218.9828305368</v>
      </c>
      <c r="F3135" s="76">
        <f ca="1">SUMIF('Production '!$C$4:$AI$4407,'Tracking Sheet'!B3135,'Production '!$U$4:$U$4407)</f>
        <v>-10620.435600016917</v>
      </c>
      <c r="G3135" s="76" t="e">
        <f ca="1">SUMIF('Production '!$C$4:$AI$4407,'Tracking Sheet'!B3135,'Production '!$W$4:$W$4407)</f>
        <v>#DIV/0!</v>
      </c>
      <c r="H3135" s="76">
        <f ca="1">SUMIF('Production '!$C$4:$AI$4407,'Tracking Sheet'!B3135,'Production '!$F$4:$F$4407)</f>
        <v>3230621.3283604058</v>
      </c>
      <c r="I3135" s="76">
        <f ca="1">SUMIF('Production '!$C$4:$AI$4407,'Tracking Sheet'!B3135,'Production '!$V$4:$V$4407)</f>
        <v>-489.86487791182844</v>
      </c>
      <c r="J3135" s="76">
        <f ca="1">SUMIF('Production '!$C$4:$AI$4407,'Tracking Sheet'!B3135,'Production '!$AG$4:$AG$4407)</f>
        <v>0</v>
      </c>
    </row>
    <row r="3136" spans="2:10" x14ac:dyDescent="0.3">
      <c r="B3136" s="277">
        <f>'Production '!C3139</f>
        <v>0</v>
      </c>
      <c r="C3136" s="76" t="e">
        <f ca="1">SUMIF('Production '!$C$4:$AI$4407,'Tracking Sheet'!B3136,'Production '!$M$4:$M$4407)</f>
        <v>#DIV/0!</v>
      </c>
      <c r="D3136" s="76" t="e">
        <f ca="1">SUMIF('Production '!$C$4:$AI$4407,'Tracking Sheet'!B3136,'Production '!$Q$4:$Q$4407)</f>
        <v>#DIV/0!</v>
      </c>
      <c r="E3136" s="76">
        <f ca="1">SUMIF('Production '!$C$4:$AI$4407,'Tracking Sheet'!B3136,'Production '!$S$4:$S$4407)</f>
        <v>-1268218.9828305368</v>
      </c>
      <c r="F3136" s="76">
        <f ca="1">SUMIF('Production '!$C$4:$AI$4407,'Tracking Sheet'!B3136,'Production '!$U$4:$U$4407)</f>
        <v>-10620.435600016917</v>
      </c>
      <c r="G3136" s="76" t="e">
        <f ca="1">SUMIF('Production '!$C$4:$AI$4407,'Tracking Sheet'!B3136,'Production '!$W$4:$W$4407)</f>
        <v>#DIV/0!</v>
      </c>
      <c r="H3136" s="76">
        <f ca="1">SUMIF('Production '!$C$4:$AI$4407,'Tracking Sheet'!B3136,'Production '!$F$4:$F$4407)</f>
        <v>3230621.3283604058</v>
      </c>
      <c r="I3136" s="76">
        <f ca="1">SUMIF('Production '!$C$4:$AI$4407,'Tracking Sheet'!B3136,'Production '!$V$4:$V$4407)</f>
        <v>-489.86487791182844</v>
      </c>
      <c r="J3136" s="76">
        <f ca="1">SUMIF('Production '!$C$4:$AI$4407,'Tracking Sheet'!B3136,'Production '!$AG$4:$AG$4407)</f>
        <v>0</v>
      </c>
    </row>
    <row r="3137" spans="2:10" x14ac:dyDescent="0.3">
      <c r="B3137" s="277">
        <f>'Production '!C3140</f>
        <v>0</v>
      </c>
      <c r="C3137" s="76" t="e">
        <f ca="1">SUMIF('Production '!$C$4:$AI$4407,'Tracking Sheet'!B3137,'Production '!$M$4:$M$4407)</f>
        <v>#DIV/0!</v>
      </c>
      <c r="D3137" s="76" t="e">
        <f ca="1">SUMIF('Production '!$C$4:$AI$4407,'Tracking Sheet'!B3137,'Production '!$Q$4:$Q$4407)</f>
        <v>#DIV/0!</v>
      </c>
      <c r="E3137" s="76">
        <f ca="1">SUMIF('Production '!$C$4:$AI$4407,'Tracking Sheet'!B3137,'Production '!$S$4:$S$4407)</f>
        <v>-1268218.9828305368</v>
      </c>
      <c r="F3137" s="76">
        <f ca="1">SUMIF('Production '!$C$4:$AI$4407,'Tracking Sheet'!B3137,'Production '!$U$4:$U$4407)</f>
        <v>-10620.435600016917</v>
      </c>
      <c r="G3137" s="76" t="e">
        <f ca="1">SUMIF('Production '!$C$4:$AI$4407,'Tracking Sheet'!B3137,'Production '!$W$4:$W$4407)</f>
        <v>#DIV/0!</v>
      </c>
      <c r="H3137" s="76">
        <f ca="1">SUMIF('Production '!$C$4:$AI$4407,'Tracking Sheet'!B3137,'Production '!$F$4:$F$4407)</f>
        <v>3230621.3283604058</v>
      </c>
      <c r="I3137" s="76">
        <f ca="1">SUMIF('Production '!$C$4:$AI$4407,'Tracking Sheet'!B3137,'Production '!$V$4:$V$4407)</f>
        <v>-489.86487791182844</v>
      </c>
      <c r="J3137" s="76">
        <f ca="1">SUMIF('Production '!$C$4:$AI$4407,'Tracking Sheet'!B3137,'Production '!$AG$4:$AG$4407)</f>
        <v>0</v>
      </c>
    </row>
    <row r="3138" spans="2:10" x14ac:dyDescent="0.3">
      <c r="B3138" s="277">
        <f>'Production '!C3141</f>
        <v>0</v>
      </c>
      <c r="C3138" s="76" t="e">
        <f ca="1">SUMIF('Production '!$C$4:$AI$4407,'Tracking Sheet'!B3138,'Production '!$M$4:$M$4407)</f>
        <v>#DIV/0!</v>
      </c>
      <c r="D3138" s="76" t="e">
        <f ca="1">SUMIF('Production '!$C$4:$AI$4407,'Tracking Sheet'!B3138,'Production '!$Q$4:$Q$4407)</f>
        <v>#DIV/0!</v>
      </c>
      <c r="E3138" s="76">
        <f ca="1">SUMIF('Production '!$C$4:$AI$4407,'Tracking Sheet'!B3138,'Production '!$S$4:$S$4407)</f>
        <v>-1268218.9828305368</v>
      </c>
      <c r="F3138" s="76">
        <f ca="1">SUMIF('Production '!$C$4:$AI$4407,'Tracking Sheet'!B3138,'Production '!$U$4:$U$4407)</f>
        <v>-10620.435600016917</v>
      </c>
      <c r="G3138" s="76" t="e">
        <f ca="1">SUMIF('Production '!$C$4:$AI$4407,'Tracking Sheet'!B3138,'Production '!$W$4:$W$4407)</f>
        <v>#DIV/0!</v>
      </c>
      <c r="H3138" s="76">
        <f ca="1">SUMIF('Production '!$C$4:$AI$4407,'Tracking Sheet'!B3138,'Production '!$F$4:$F$4407)</f>
        <v>3230621.3283604058</v>
      </c>
      <c r="I3138" s="76">
        <f ca="1">SUMIF('Production '!$C$4:$AI$4407,'Tracking Sheet'!B3138,'Production '!$V$4:$V$4407)</f>
        <v>-489.86487791182844</v>
      </c>
      <c r="J3138" s="76">
        <f ca="1">SUMIF('Production '!$C$4:$AI$4407,'Tracking Sheet'!B3138,'Production '!$AG$4:$AG$4407)</f>
        <v>0</v>
      </c>
    </row>
    <row r="3139" spans="2:10" x14ac:dyDescent="0.3">
      <c r="B3139" s="277">
        <f>'Production '!C3142</f>
        <v>0</v>
      </c>
      <c r="C3139" s="76" t="e">
        <f ca="1">SUMIF('Production '!$C$4:$AI$4407,'Tracking Sheet'!B3139,'Production '!$M$4:$M$4407)</f>
        <v>#DIV/0!</v>
      </c>
      <c r="D3139" s="76" t="e">
        <f ca="1">SUMIF('Production '!$C$4:$AI$4407,'Tracking Sheet'!B3139,'Production '!$Q$4:$Q$4407)</f>
        <v>#DIV/0!</v>
      </c>
      <c r="E3139" s="76">
        <f ca="1">SUMIF('Production '!$C$4:$AI$4407,'Tracking Sheet'!B3139,'Production '!$S$4:$S$4407)</f>
        <v>-1268218.9828305368</v>
      </c>
      <c r="F3139" s="76">
        <f ca="1">SUMIF('Production '!$C$4:$AI$4407,'Tracking Sheet'!B3139,'Production '!$U$4:$U$4407)</f>
        <v>-10620.435600016917</v>
      </c>
      <c r="G3139" s="76" t="e">
        <f ca="1">SUMIF('Production '!$C$4:$AI$4407,'Tracking Sheet'!B3139,'Production '!$W$4:$W$4407)</f>
        <v>#DIV/0!</v>
      </c>
      <c r="H3139" s="76">
        <f ca="1">SUMIF('Production '!$C$4:$AI$4407,'Tracking Sheet'!B3139,'Production '!$F$4:$F$4407)</f>
        <v>3230621.3283604058</v>
      </c>
      <c r="I3139" s="76">
        <f ca="1">SUMIF('Production '!$C$4:$AI$4407,'Tracking Sheet'!B3139,'Production '!$V$4:$V$4407)</f>
        <v>-489.86487791182844</v>
      </c>
      <c r="J3139" s="76">
        <f ca="1">SUMIF('Production '!$C$4:$AI$4407,'Tracking Sheet'!B3139,'Production '!$AG$4:$AG$4407)</f>
        <v>0</v>
      </c>
    </row>
    <row r="3140" spans="2:10" x14ac:dyDescent="0.3">
      <c r="B3140" s="277">
        <f>'Production '!C3143</f>
        <v>0</v>
      </c>
      <c r="C3140" s="76" t="e">
        <f ca="1">SUMIF('Production '!$C$4:$AI$4407,'Tracking Sheet'!B3140,'Production '!$M$4:$M$4407)</f>
        <v>#DIV/0!</v>
      </c>
      <c r="D3140" s="76" t="e">
        <f ca="1">SUMIF('Production '!$C$4:$AI$4407,'Tracking Sheet'!B3140,'Production '!$Q$4:$Q$4407)</f>
        <v>#DIV/0!</v>
      </c>
      <c r="E3140" s="76">
        <f ca="1">SUMIF('Production '!$C$4:$AI$4407,'Tracking Sheet'!B3140,'Production '!$S$4:$S$4407)</f>
        <v>-1268218.9828305368</v>
      </c>
      <c r="F3140" s="76">
        <f ca="1">SUMIF('Production '!$C$4:$AI$4407,'Tracking Sheet'!B3140,'Production '!$U$4:$U$4407)</f>
        <v>-10620.435600016917</v>
      </c>
      <c r="G3140" s="76" t="e">
        <f ca="1">SUMIF('Production '!$C$4:$AI$4407,'Tracking Sheet'!B3140,'Production '!$W$4:$W$4407)</f>
        <v>#DIV/0!</v>
      </c>
      <c r="H3140" s="76">
        <f ca="1">SUMIF('Production '!$C$4:$AI$4407,'Tracking Sheet'!B3140,'Production '!$F$4:$F$4407)</f>
        <v>3230621.3283604058</v>
      </c>
      <c r="I3140" s="76">
        <f ca="1">SUMIF('Production '!$C$4:$AI$4407,'Tracking Sheet'!B3140,'Production '!$V$4:$V$4407)</f>
        <v>-489.86487791182844</v>
      </c>
      <c r="J3140" s="76">
        <f ca="1">SUMIF('Production '!$C$4:$AI$4407,'Tracking Sheet'!B3140,'Production '!$AG$4:$AG$4407)</f>
        <v>0</v>
      </c>
    </row>
    <row r="3141" spans="2:10" x14ac:dyDescent="0.3">
      <c r="B3141" s="277">
        <f>'Production '!C3144</f>
        <v>0</v>
      </c>
      <c r="C3141" s="76" t="e">
        <f ca="1">SUMIF('Production '!$C$4:$AI$4407,'Tracking Sheet'!B3141,'Production '!$M$4:$M$4407)</f>
        <v>#DIV/0!</v>
      </c>
      <c r="D3141" s="76" t="e">
        <f ca="1">SUMIF('Production '!$C$4:$AI$4407,'Tracking Sheet'!B3141,'Production '!$Q$4:$Q$4407)</f>
        <v>#DIV/0!</v>
      </c>
      <c r="E3141" s="76">
        <f ca="1">SUMIF('Production '!$C$4:$AI$4407,'Tracking Sheet'!B3141,'Production '!$S$4:$S$4407)</f>
        <v>-1268218.9828305368</v>
      </c>
      <c r="F3141" s="76">
        <f ca="1">SUMIF('Production '!$C$4:$AI$4407,'Tracking Sheet'!B3141,'Production '!$U$4:$U$4407)</f>
        <v>-10620.435600016917</v>
      </c>
      <c r="G3141" s="76" t="e">
        <f ca="1">SUMIF('Production '!$C$4:$AI$4407,'Tracking Sheet'!B3141,'Production '!$W$4:$W$4407)</f>
        <v>#DIV/0!</v>
      </c>
      <c r="H3141" s="76">
        <f ca="1">SUMIF('Production '!$C$4:$AI$4407,'Tracking Sheet'!B3141,'Production '!$F$4:$F$4407)</f>
        <v>3230621.3283604058</v>
      </c>
      <c r="I3141" s="76">
        <f ca="1">SUMIF('Production '!$C$4:$AI$4407,'Tracking Sheet'!B3141,'Production '!$V$4:$V$4407)</f>
        <v>-489.86487791182844</v>
      </c>
      <c r="J3141" s="76">
        <f ca="1">SUMIF('Production '!$C$4:$AI$4407,'Tracking Sheet'!B3141,'Production '!$AG$4:$AG$4407)</f>
        <v>0</v>
      </c>
    </row>
    <row r="3142" spans="2:10" x14ac:dyDescent="0.3">
      <c r="B3142" s="277">
        <f>'Production '!C3145</f>
        <v>0</v>
      </c>
      <c r="C3142" s="76" t="e">
        <f ca="1">SUMIF('Production '!$C$4:$AI$4407,'Tracking Sheet'!B3142,'Production '!$M$4:$M$4407)</f>
        <v>#DIV/0!</v>
      </c>
      <c r="D3142" s="76" t="e">
        <f ca="1">SUMIF('Production '!$C$4:$AI$4407,'Tracking Sheet'!B3142,'Production '!$Q$4:$Q$4407)</f>
        <v>#DIV/0!</v>
      </c>
      <c r="E3142" s="76">
        <f ca="1">SUMIF('Production '!$C$4:$AI$4407,'Tracking Sheet'!B3142,'Production '!$S$4:$S$4407)</f>
        <v>-1268218.9828305368</v>
      </c>
      <c r="F3142" s="76">
        <f ca="1">SUMIF('Production '!$C$4:$AI$4407,'Tracking Sheet'!B3142,'Production '!$U$4:$U$4407)</f>
        <v>-10620.435600016917</v>
      </c>
      <c r="G3142" s="76" t="e">
        <f ca="1">SUMIF('Production '!$C$4:$AI$4407,'Tracking Sheet'!B3142,'Production '!$W$4:$W$4407)</f>
        <v>#DIV/0!</v>
      </c>
      <c r="H3142" s="76">
        <f ca="1">SUMIF('Production '!$C$4:$AI$4407,'Tracking Sheet'!B3142,'Production '!$F$4:$F$4407)</f>
        <v>3230621.3283604058</v>
      </c>
      <c r="I3142" s="76">
        <f ca="1">SUMIF('Production '!$C$4:$AI$4407,'Tracking Sheet'!B3142,'Production '!$V$4:$V$4407)</f>
        <v>-489.86487791182844</v>
      </c>
      <c r="J3142" s="76">
        <f ca="1">SUMIF('Production '!$C$4:$AI$4407,'Tracking Sheet'!B3142,'Production '!$AG$4:$AG$4407)</f>
        <v>0</v>
      </c>
    </row>
    <row r="3143" spans="2:10" x14ac:dyDescent="0.3">
      <c r="B3143" s="277">
        <f>'Production '!C3146</f>
        <v>0</v>
      </c>
      <c r="C3143" s="76" t="e">
        <f ca="1">SUMIF('Production '!$C$4:$AI$4407,'Tracking Sheet'!B3143,'Production '!$M$4:$M$4407)</f>
        <v>#DIV/0!</v>
      </c>
      <c r="D3143" s="76" t="e">
        <f ca="1">SUMIF('Production '!$C$4:$AI$4407,'Tracking Sheet'!B3143,'Production '!$Q$4:$Q$4407)</f>
        <v>#DIV/0!</v>
      </c>
      <c r="E3143" s="76">
        <f ca="1">SUMIF('Production '!$C$4:$AI$4407,'Tracking Sheet'!B3143,'Production '!$S$4:$S$4407)</f>
        <v>-1268218.9828305368</v>
      </c>
      <c r="F3143" s="76">
        <f ca="1">SUMIF('Production '!$C$4:$AI$4407,'Tracking Sheet'!B3143,'Production '!$U$4:$U$4407)</f>
        <v>-10620.435600016917</v>
      </c>
      <c r="G3143" s="76" t="e">
        <f ca="1">SUMIF('Production '!$C$4:$AI$4407,'Tracking Sheet'!B3143,'Production '!$W$4:$W$4407)</f>
        <v>#DIV/0!</v>
      </c>
      <c r="H3143" s="76">
        <f ca="1">SUMIF('Production '!$C$4:$AI$4407,'Tracking Sheet'!B3143,'Production '!$F$4:$F$4407)</f>
        <v>3230621.3283604058</v>
      </c>
      <c r="I3143" s="76">
        <f ca="1">SUMIF('Production '!$C$4:$AI$4407,'Tracking Sheet'!B3143,'Production '!$V$4:$V$4407)</f>
        <v>-489.86487791182844</v>
      </c>
      <c r="J3143" s="76">
        <f ca="1">SUMIF('Production '!$C$4:$AI$4407,'Tracking Sheet'!B3143,'Production '!$AG$4:$AG$4407)</f>
        <v>0</v>
      </c>
    </row>
    <row r="3144" spans="2:10" x14ac:dyDescent="0.3">
      <c r="B3144" s="277">
        <f>'Production '!C3147</f>
        <v>0</v>
      </c>
      <c r="C3144" s="76" t="e">
        <f ca="1">SUMIF('Production '!$C$4:$AI$4407,'Tracking Sheet'!B3144,'Production '!$M$4:$M$4407)</f>
        <v>#DIV/0!</v>
      </c>
      <c r="D3144" s="76" t="e">
        <f ca="1">SUMIF('Production '!$C$4:$AI$4407,'Tracking Sheet'!B3144,'Production '!$Q$4:$Q$4407)</f>
        <v>#DIV/0!</v>
      </c>
      <c r="E3144" s="76">
        <f ca="1">SUMIF('Production '!$C$4:$AI$4407,'Tracking Sheet'!B3144,'Production '!$S$4:$S$4407)</f>
        <v>-1268218.9828305368</v>
      </c>
      <c r="F3144" s="76">
        <f ca="1">SUMIF('Production '!$C$4:$AI$4407,'Tracking Sheet'!B3144,'Production '!$U$4:$U$4407)</f>
        <v>-10620.435600016917</v>
      </c>
      <c r="G3144" s="76" t="e">
        <f ca="1">SUMIF('Production '!$C$4:$AI$4407,'Tracking Sheet'!B3144,'Production '!$W$4:$W$4407)</f>
        <v>#DIV/0!</v>
      </c>
      <c r="H3144" s="76">
        <f ca="1">SUMIF('Production '!$C$4:$AI$4407,'Tracking Sheet'!B3144,'Production '!$F$4:$F$4407)</f>
        <v>3230621.3283604058</v>
      </c>
      <c r="I3144" s="76">
        <f ca="1">SUMIF('Production '!$C$4:$AI$4407,'Tracking Sheet'!B3144,'Production '!$V$4:$V$4407)</f>
        <v>-489.86487791182844</v>
      </c>
      <c r="J3144" s="76">
        <f ca="1">SUMIF('Production '!$C$4:$AI$4407,'Tracking Sheet'!B3144,'Production '!$AG$4:$AG$4407)</f>
        <v>0</v>
      </c>
    </row>
    <row r="3145" spans="2:10" x14ac:dyDescent="0.3">
      <c r="B3145" s="277">
        <f>'Production '!C3148</f>
        <v>0</v>
      </c>
      <c r="C3145" s="76" t="e">
        <f ca="1">SUMIF('Production '!$C$4:$AI$4407,'Tracking Sheet'!B3145,'Production '!$M$4:$M$4407)</f>
        <v>#DIV/0!</v>
      </c>
      <c r="D3145" s="76" t="e">
        <f ca="1">SUMIF('Production '!$C$4:$AI$4407,'Tracking Sheet'!B3145,'Production '!$Q$4:$Q$4407)</f>
        <v>#DIV/0!</v>
      </c>
      <c r="E3145" s="76">
        <f ca="1">SUMIF('Production '!$C$4:$AI$4407,'Tracking Sheet'!B3145,'Production '!$S$4:$S$4407)</f>
        <v>-1268218.9828305368</v>
      </c>
      <c r="F3145" s="76">
        <f ca="1">SUMIF('Production '!$C$4:$AI$4407,'Tracking Sheet'!B3145,'Production '!$U$4:$U$4407)</f>
        <v>-10620.435600016917</v>
      </c>
      <c r="G3145" s="76" t="e">
        <f ca="1">SUMIF('Production '!$C$4:$AI$4407,'Tracking Sheet'!B3145,'Production '!$W$4:$W$4407)</f>
        <v>#DIV/0!</v>
      </c>
      <c r="H3145" s="76">
        <f ca="1">SUMIF('Production '!$C$4:$AI$4407,'Tracking Sheet'!B3145,'Production '!$F$4:$F$4407)</f>
        <v>3230621.3283604058</v>
      </c>
      <c r="I3145" s="76">
        <f ca="1">SUMIF('Production '!$C$4:$AI$4407,'Tracking Sheet'!B3145,'Production '!$V$4:$V$4407)</f>
        <v>-489.86487791182844</v>
      </c>
      <c r="J3145" s="76">
        <f ca="1">SUMIF('Production '!$C$4:$AI$4407,'Tracking Sheet'!B3145,'Production '!$AG$4:$AG$4407)</f>
        <v>0</v>
      </c>
    </row>
    <row r="3146" spans="2:10" x14ac:dyDescent="0.3">
      <c r="B3146" s="277">
        <f>'Production '!C3149</f>
        <v>0</v>
      </c>
      <c r="C3146" s="76" t="e">
        <f ca="1">SUMIF('Production '!$C$4:$AI$4407,'Tracking Sheet'!B3146,'Production '!$M$4:$M$4407)</f>
        <v>#DIV/0!</v>
      </c>
      <c r="D3146" s="76" t="e">
        <f ca="1">SUMIF('Production '!$C$4:$AI$4407,'Tracking Sheet'!B3146,'Production '!$Q$4:$Q$4407)</f>
        <v>#DIV/0!</v>
      </c>
      <c r="E3146" s="76">
        <f ca="1">SUMIF('Production '!$C$4:$AI$4407,'Tracking Sheet'!B3146,'Production '!$S$4:$S$4407)</f>
        <v>-1268218.9828305368</v>
      </c>
      <c r="F3146" s="76">
        <f ca="1">SUMIF('Production '!$C$4:$AI$4407,'Tracking Sheet'!B3146,'Production '!$U$4:$U$4407)</f>
        <v>-10620.435600016917</v>
      </c>
      <c r="G3146" s="76" t="e">
        <f ca="1">SUMIF('Production '!$C$4:$AI$4407,'Tracking Sheet'!B3146,'Production '!$W$4:$W$4407)</f>
        <v>#DIV/0!</v>
      </c>
      <c r="H3146" s="76">
        <f ca="1">SUMIF('Production '!$C$4:$AI$4407,'Tracking Sheet'!B3146,'Production '!$F$4:$F$4407)</f>
        <v>3230621.3283604058</v>
      </c>
      <c r="I3146" s="76">
        <f ca="1">SUMIF('Production '!$C$4:$AI$4407,'Tracking Sheet'!B3146,'Production '!$V$4:$V$4407)</f>
        <v>-489.86487791182844</v>
      </c>
      <c r="J3146" s="76">
        <f ca="1">SUMIF('Production '!$C$4:$AI$4407,'Tracking Sheet'!B3146,'Production '!$AG$4:$AG$4407)</f>
        <v>0</v>
      </c>
    </row>
    <row r="3147" spans="2:10" x14ac:dyDescent="0.3">
      <c r="B3147" s="277">
        <f>'Production '!C3150</f>
        <v>0</v>
      </c>
      <c r="C3147" s="76" t="e">
        <f ca="1">SUMIF('Production '!$C$4:$AI$4407,'Tracking Sheet'!B3147,'Production '!$M$4:$M$4407)</f>
        <v>#DIV/0!</v>
      </c>
      <c r="D3147" s="76" t="e">
        <f ca="1">SUMIF('Production '!$C$4:$AI$4407,'Tracking Sheet'!B3147,'Production '!$Q$4:$Q$4407)</f>
        <v>#DIV/0!</v>
      </c>
      <c r="E3147" s="76">
        <f ca="1">SUMIF('Production '!$C$4:$AI$4407,'Tracking Sheet'!B3147,'Production '!$S$4:$S$4407)</f>
        <v>-1268218.9828305368</v>
      </c>
      <c r="F3147" s="76">
        <f ca="1">SUMIF('Production '!$C$4:$AI$4407,'Tracking Sheet'!B3147,'Production '!$U$4:$U$4407)</f>
        <v>-10620.435600016917</v>
      </c>
      <c r="G3147" s="76" t="e">
        <f ca="1">SUMIF('Production '!$C$4:$AI$4407,'Tracking Sheet'!B3147,'Production '!$W$4:$W$4407)</f>
        <v>#DIV/0!</v>
      </c>
      <c r="H3147" s="76">
        <f ca="1">SUMIF('Production '!$C$4:$AI$4407,'Tracking Sheet'!B3147,'Production '!$F$4:$F$4407)</f>
        <v>3230621.3283604058</v>
      </c>
      <c r="I3147" s="76">
        <f ca="1">SUMIF('Production '!$C$4:$AI$4407,'Tracking Sheet'!B3147,'Production '!$V$4:$V$4407)</f>
        <v>-489.86487791182844</v>
      </c>
      <c r="J3147" s="76">
        <f ca="1">SUMIF('Production '!$C$4:$AI$4407,'Tracking Sheet'!B3147,'Production '!$AG$4:$AG$4407)</f>
        <v>0</v>
      </c>
    </row>
    <row r="3148" spans="2:10" x14ac:dyDescent="0.3">
      <c r="B3148" s="277">
        <f>'Production '!C3151</f>
        <v>0</v>
      </c>
      <c r="C3148" s="76" t="e">
        <f ca="1">SUMIF('Production '!$C$4:$AI$4407,'Tracking Sheet'!B3148,'Production '!$M$4:$M$4407)</f>
        <v>#DIV/0!</v>
      </c>
      <c r="D3148" s="76" t="e">
        <f ca="1">SUMIF('Production '!$C$4:$AI$4407,'Tracking Sheet'!B3148,'Production '!$Q$4:$Q$4407)</f>
        <v>#DIV/0!</v>
      </c>
      <c r="E3148" s="76">
        <f ca="1">SUMIF('Production '!$C$4:$AI$4407,'Tracking Sheet'!B3148,'Production '!$S$4:$S$4407)</f>
        <v>-1268218.9828305368</v>
      </c>
      <c r="F3148" s="76">
        <f ca="1">SUMIF('Production '!$C$4:$AI$4407,'Tracking Sheet'!B3148,'Production '!$U$4:$U$4407)</f>
        <v>-10620.435600016917</v>
      </c>
      <c r="G3148" s="76" t="e">
        <f ca="1">SUMIF('Production '!$C$4:$AI$4407,'Tracking Sheet'!B3148,'Production '!$W$4:$W$4407)</f>
        <v>#DIV/0!</v>
      </c>
      <c r="H3148" s="76">
        <f ca="1">SUMIF('Production '!$C$4:$AI$4407,'Tracking Sheet'!B3148,'Production '!$F$4:$F$4407)</f>
        <v>3230621.3283604058</v>
      </c>
      <c r="I3148" s="76">
        <f ca="1">SUMIF('Production '!$C$4:$AI$4407,'Tracking Sheet'!B3148,'Production '!$V$4:$V$4407)</f>
        <v>-489.86487791182844</v>
      </c>
      <c r="J3148" s="76">
        <f ca="1">SUMIF('Production '!$C$4:$AI$4407,'Tracking Sheet'!B3148,'Production '!$AG$4:$AG$4407)</f>
        <v>0</v>
      </c>
    </row>
    <row r="3149" spans="2:10" x14ac:dyDescent="0.3">
      <c r="B3149" s="277">
        <f>'Production '!C3152</f>
        <v>0</v>
      </c>
      <c r="C3149" s="76" t="e">
        <f ca="1">SUMIF('Production '!$C$4:$AI$4407,'Tracking Sheet'!B3149,'Production '!$M$4:$M$4407)</f>
        <v>#DIV/0!</v>
      </c>
      <c r="D3149" s="76" t="e">
        <f ca="1">SUMIF('Production '!$C$4:$AI$4407,'Tracking Sheet'!B3149,'Production '!$Q$4:$Q$4407)</f>
        <v>#DIV/0!</v>
      </c>
      <c r="E3149" s="76">
        <f ca="1">SUMIF('Production '!$C$4:$AI$4407,'Tracking Sheet'!B3149,'Production '!$S$4:$S$4407)</f>
        <v>-1268218.9828305368</v>
      </c>
      <c r="F3149" s="76">
        <f ca="1">SUMIF('Production '!$C$4:$AI$4407,'Tracking Sheet'!B3149,'Production '!$U$4:$U$4407)</f>
        <v>-10620.435600016917</v>
      </c>
      <c r="G3149" s="76" t="e">
        <f ca="1">SUMIF('Production '!$C$4:$AI$4407,'Tracking Sheet'!B3149,'Production '!$W$4:$W$4407)</f>
        <v>#DIV/0!</v>
      </c>
      <c r="H3149" s="76">
        <f ca="1">SUMIF('Production '!$C$4:$AI$4407,'Tracking Sheet'!B3149,'Production '!$F$4:$F$4407)</f>
        <v>3230621.3283604058</v>
      </c>
      <c r="I3149" s="76">
        <f ca="1">SUMIF('Production '!$C$4:$AI$4407,'Tracking Sheet'!B3149,'Production '!$V$4:$V$4407)</f>
        <v>-489.86487791182844</v>
      </c>
      <c r="J3149" s="76">
        <f ca="1">SUMIF('Production '!$C$4:$AI$4407,'Tracking Sheet'!B3149,'Production '!$AG$4:$AG$4407)</f>
        <v>0</v>
      </c>
    </row>
    <row r="3150" spans="2:10" x14ac:dyDescent="0.3">
      <c r="B3150" s="277">
        <f>'Production '!C3153</f>
        <v>0</v>
      </c>
      <c r="C3150" s="76" t="e">
        <f ca="1">SUMIF('Production '!$C$4:$AI$4407,'Tracking Sheet'!B3150,'Production '!$M$4:$M$4407)</f>
        <v>#DIV/0!</v>
      </c>
      <c r="D3150" s="76" t="e">
        <f ca="1">SUMIF('Production '!$C$4:$AI$4407,'Tracking Sheet'!B3150,'Production '!$Q$4:$Q$4407)</f>
        <v>#DIV/0!</v>
      </c>
      <c r="E3150" s="76">
        <f ca="1">SUMIF('Production '!$C$4:$AI$4407,'Tracking Sheet'!B3150,'Production '!$S$4:$S$4407)</f>
        <v>-1268218.9828305368</v>
      </c>
      <c r="F3150" s="76">
        <f ca="1">SUMIF('Production '!$C$4:$AI$4407,'Tracking Sheet'!B3150,'Production '!$U$4:$U$4407)</f>
        <v>-10620.435600016917</v>
      </c>
      <c r="G3150" s="76" t="e">
        <f ca="1">SUMIF('Production '!$C$4:$AI$4407,'Tracking Sheet'!B3150,'Production '!$W$4:$W$4407)</f>
        <v>#DIV/0!</v>
      </c>
      <c r="H3150" s="76">
        <f ca="1">SUMIF('Production '!$C$4:$AI$4407,'Tracking Sheet'!B3150,'Production '!$F$4:$F$4407)</f>
        <v>3230621.3283604058</v>
      </c>
      <c r="I3150" s="76">
        <f ca="1">SUMIF('Production '!$C$4:$AI$4407,'Tracking Sheet'!B3150,'Production '!$V$4:$V$4407)</f>
        <v>-489.86487791182844</v>
      </c>
      <c r="J3150" s="76">
        <f ca="1">SUMIF('Production '!$C$4:$AI$4407,'Tracking Sheet'!B3150,'Production '!$AG$4:$AG$4407)</f>
        <v>0</v>
      </c>
    </row>
    <row r="3151" spans="2:10" x14ac:dyDescent="0.3">
      <c r="B3151" s="277">
        <f>'Production '!C3154</f>
        <v>0</v>
      </c>
      <c r="C3151" s="76" t="e">
        <f ca="1">SUMIF('Production '!$C$4:$AI$4407,'Tracking Sheet'!B3151,'Production '!$M$4:$M$4407)</f>
        <v>#DIV/0!</v>
      </c>
      <c r="D3151" s="76" t="e">
        <f ca="1">SUMIF('Production '!$C$4:$AI$4407,'Tracking Sheet'!B3151,'Production '!$Q$4:$Q$4407)</f>
        <v>#DIV/0!</v>
      </c>
      <c r="E3151" s="76">
        <f ca="1">SUMIF('Production '!$C$4:$AI$4407,'Tracking Sheet'!B3151,'Production '!$S$4:$S$4407)</f>
        <v>-1268218.9828305368</v>
      </c>
      <c r="F3151" s="76">
        <f ca="1">SUMIF('Production '!$C$4:$AI$4407,'Tracking Sheet'!B3151,'Production '!$U$4:$U$4407)</f>
        <v>-10620.435600016917</v>
      </c>
      <c r="G3151" s="76" t="e">
        <f ca="1">SUMIF('Production '!$C$4:$AI$4407,'Tracking Sheet'!B3151,'Production '!$W$4:$W$4407)</f>
        <v>#DIV/0!</v>
      </c>
      <c r="H3151" s="76">
        <f ca="1">SUMIF('Production '!$C$4:$AI$4407,'Tracking Sheet'!B3151,'Production '!$F$4:$F$4407)</f>
        <v>3230621.3283604058</v>
      </c>
      <c r="I3151" s="76">
        <f ca="1">SUMIF('Production '!$C$4:$AI$4407,'Tracking Sheet'!B3151,'Production '!$V$4:$V$4407)</f>
        <v>-489.86487791182844</v>
      </c>
      <c r="J3151" s="76">
        <f ca="1">SUMIF('Production '!$C$4:$AI$4407,'Tracking Sheet'!B3151,'Production '!$AG$4:$AG$4407)</f>
        <v>0</v>
      </c>
    </row>
    <row r="3152" spans="2:10" x14ac:dyDescent="0.3">
      <c r="B3152" s="277">
        <f>'Production '!C3155</f>
        <v>0</v>
      </c>
      <c r="C3152" s="76" t="e">
        <f ca="1">SUMIF('Production '!$C$4:$AI$4407,'Tracking Sheet'!B3152,'Production '!$M$4:$M$4407)</f>
        <v>#DIV/0!</v>
      </c>
      <c r="D3152" s="76" t="e">
        <f ca="1">SUMIF('Production '!$C$4:$AI$4407,'Tracking Sheet'!B3152,'Production '!$Q$4:$Q$4407)</f>
        <v>#DIV/0!</v>
      </c>
      <c r="E3152" s="76">
        <f ca="1">SUMIF('Production '!$C$4:$AI$4407,'Tracking Sheet'!B3152,'Production '!$S$4:$S$4407)</f>
        <v>-1268218.9828305368</v>
      </c>
      <c r="F3152" s="76">
        <f ca="1">SUMIF('Production '!$C$4:$AI$4407,'Tracking Sheet'!B3152,'Production '!$U$4:$U$4407)</f>
        <v>-10620.435600016917</v>
      </c>
      <c r="G3152" s="76" t="e">
        <f ca="1">SUMIF('Production '!$C$4:$AI$4407,'Tracking Sheet'!B3152,'Production '!$W$4:$W$4407)</f>
        <v>#DIV/0!</v>
      </c>
      <c r="H3152" s="76">
        <f ca="1">SUMIF('Production '!$C$4:$AI$4407,'Tracking Sheet'!B3152,'Production '!$F$4:$F$4407)</f>
        <v>3230621.3283604058</v>
      </c>
      <c r="I3152" s="76">
        <f ca="1">SUMIF('Production '!$C$4:$AI$4407,'Tracking Sheet'!B3152,'Production '!$V$4:$V$4407)</f>
        <v>-489.86487791182844</v>
      </c>
      <c r="J3152" s="76">
        <f ca="1">SUMIF('Production '!$C$4:$AI$4407,'Tracking Sheet'!B3152,'Production '!$AG$4:$AG$4407)</f>
        <v>0</v>
      </c>
    </row>
    <row r="3153" spans="2:10" x14ac:dyDescent="0.3">
      <c r="B3153" s="277">
        <f>'Production '!C3156</f>
        <v>0</v>
      </c>
      <c r="C3153" s="76" t="e">
        <f ca="1">SUMIF('Production '!$C$4:$AI$4407,'Tracking Sheet'!B3153,'Production '!$M$4:$M$4407)</f>
        <v>#DIV/0!</v>
      </c>
      <c r="D3153" s="76" t="e">
        <f ca="1">SUMIF('Production '!$C$4:$AI$4407,'Tracking Sheet'!B3153,'Production '!$Q$4:$Q$4407)</f>
        <v>#DIV/0!</v>
      </c>
      <c r="E3153" s="76">
        <f ca="1">SUMIF('Production '!$C$4:$AI$4407,'Tracking Sheet'!B3153,'Production '!$S$4:$S$4407)</f>
        <v>-1268218.9828305368</v>
      </c>
      <c r="F3153" s="76">
        <f ca="1">SUMIF('Production '!$C$4:$AI$4407,'Tracking Sheet'!B3153,'Production '!$U$4:$U$4407)</f>
        <v>-10620.435600016917</v>
      </c>
      <c r="G3153" s="76" t="e">
        <f ca="1">SUMIF('Production '!$C$4:$AI$4407,'Tracking Sheet'!B3153,'Production '!$W$4:$W$4407)</f>
        <v>#DIV/0!</v>
      </c>
      <c r="H3153" s="76">
        <f ca="1">SUMIF('Production '!$C$4:$AI$4407,'Tracking Sheet'!B3153,'Production '!$F$4:$F$4407)</f>
        <v>3230621.3283604058</v>
      </c>
      <c r="I3153" s="76">
        <f ca="1">SUMIF('Production '!$C$4:$AI$4407,'Tracking Sheet'!B3153,'Production '!$V$4:$V$4407)</f>
        <v>-489.86487791182844</v>
      </c>
      <c r="J3153" s="76">
        <f ca="1">SUMIF('Production '!$C$4:$AI$4407,'Tracking Sheet'!B3153,'Production '!$AG$4:$AG$4407)</f>
        <v>0</v>
      </c>
    </row>
    <row r="3154" spans="2:10" x14ac:dyDescent="0.3">
      <c r="B3154" s="277">
        <f>'Production '!C3157</f>
        <v>0</v>
      </c>
      <c r="C3154" s="76" t="e">
        <f ca="1">SUMIF('Production '!$C$4:$AI$4407,'Tracking Sheet'!B3154,'Production '!$M$4:$M$4407)</f>
        <v>#DIV/0!</v>
      </c>
      <c r="D3154" s="76" t="e">
        <f ca="1">SUMIF('Production '!$C$4:$AI$4407,'Tracking Sheet'!B3154,'Production '!$Q$4:$Q$4407)</f>
        <v>#DIV/0!</v>
      </c>
      <c r="E3154" s="76">
        <f ca="1">SUMIF('Production '!$C$4:$AI$4407,'Tracking Sheet'!B3154,'Production '!$S$4:$S$4407)</f>
        <v>-1268218.9828305368</v>
      </c>
      <c r="F3154" s="76">
        <f ca="1">SUMIF('Production '!$C$4:$AI$4407,'Tracking Sheet'!B3154,'Production '!$U$4:$U$4407)</f>
        <v>-10620.435600016917</v>
      </c>
      <c r="G3154" s="76" t="e">
        <f ca="1">SUMIF('Production '!$C$4:$AI$4407,'Tracking Sheet'!B3154,'Production '!$W$4:$W$4407)</f>
        <v>#DIV/0!</v>
      </c>
      <c r="H3154" s="76">
        <f ca="1">SUMIF('Production '!$C$4:$AI$4407,'Tracking Sheet'!B3154,'Production '!$F$4:$F$4407)</f>
        <v>3230621.3283604058</v>
      </c>
      <c r="I3154" s="76">
        <f ca="1">SUMIF('Production '!$C$4:$AI$4407,'Tracking Sheet'!B3154,'Production '!$V$4:$V$4407)</f>
        <v>-489.86487791182844</v>
      </c>
      <c r="J3154" s="76">
        <f ca="1">SUMIF('Production '!$C$4:$AI$4407,'Tracking Sheet'!B3154,'Production '!$AG$4:$AG$4407)</f>
        <v>0</v>
      </c>
    </row>
    <row r="3155" spans="2:10" x14ac:dyDescent="0.3">
      <c r="B3155" s="277">
        <f>'Production '!C3158</f>
        <v>0</v>
      </c>
      <c r="C3155" s="76" t="e">
        <f ca="1">SUMIF('Production '!$C$4:$AI$4407,'Tracking Sheet'!B3155,'Production '!$M$4:$M$4407)</f>
        <v>#DIV/0!</v>
      </c>
      <c r="D3155" s="76" t="e">
        <f ca="1">SUMIF('Production '!$C$4:$AI$4407,'Tracking Sheet'!B3155,'Production '!$Q$4:$Q$4407)</f>
        <v>#DIV/0!</v>
      </c>
      <c r="E3155" s="76">
        <f ca="1">SUMIF('Production '!$C$4:$AI$4407,'Tracking Sheet'!B3155,'Production '!$S$4:$S$4407)</f>
        <v>-1268218.9828305368</v>
      </c>
      <c r="F3155" s="76">
        <f ca="1">SUMIF('Production '!$C$4:$AI$4407,'Tracking Sheet'!B3155,'Production '!$U$4:$U$4407)</f>
        <v>-10620.435600016917</v>
      </c>
      <c r="G3155" s="76" t="e">
        <f ca="1">SUMIF('Production '!$C$4:$AI$4407,'Tracking Sheet'!B3155,'Production '!$W$4:$W$4407)</f>
        <v>#DIV/0!</v>
      </c>
      <c r="H3155" s="76">
        <f ca="1">SUMIF('Production '!$C$4:$AI$4407,'Tracking Sheet'!B3155,'Production '!$F$4:$F$4407)</f>
        <v>3230621.3283604058</v>
      </c>
      <c r="I3155" s="76">
        <f ca="1">SUMIF('Production '!$C$4:$AI$4407,'Tracking Sheet'!B3155,'Production '!$V$4:$V$4407)</f>
        <v>-489.86487791182844</v>
      </c>
      <c r="J3155" s="76">
        <f ca="1">SUMIF('Production '!$C$4:$AI$4407,'Tracking Sheet'!B3155,'Production '!$AG$4:$AG$4407)</f>
        <v>0</v>
      </c>
    </row>
    <row r="3156" spans="2:10" x14ac:dyDescent="0.3">
      <c r="B3156" s="277">
        <f>'Production '!C3159</f>
        <v>0</v>
      </c>
      <c r="C3156" s="76" t="e">
        <f ca="1">SUMIF('Production '!$C$4:$AI$4407,'Tracking Sheet'!B3156,'Production '!$M$4:$M$4407)</f>
        <v>#DIV/0!</v>
      </c>
      <c r="D3156" s="76" t="e">
        <f ca="1">SUMIF('Production '!$C$4:$AI$4407,'Tracking Sheet'!B3156,'Production '!$Q$4:$Q$4407)</f>
        <v>#DIV/0!</v>
      </c>
      <c r="E3156" s="76">
        <f ca="1">SUMIF('Production '!$C$4:$AI$4407,'Tracking Sheet'!B3156,'Production '!$S$4:$S$4407)</f>
        <v>-1268218.9828305368</v>
      </c>
      <c r="F3156" s="76">
        <f ca="1">SUMIF('Production '!$C$4:$AI$4407,'Tracking Sheet'!B3156,'Production '!$U$4:$U$4407)</f>
        <v>-10620.435600016917</v>
      </c>
      <c r="G3156" s="76" t="e">
        <f ca="1">SUMIF('Production '!$C$4:$AI$4407,'Tracking Sheet'!B3156,'Production '!$W$4:$W$4407)</f>
        <v>#DIV/0!</v>
      </c>
      <c r="H3156" s="76">
        <f ca="1">SUMIF('Production '!$C$4:$AI$4407,'Tracking Sheet'!B3156,'Production '!$F$4:$F$4407)</f>
        <v>3230621.3283604058</v>
      </c>
      <c r="I3156" s="76">
        <f ca="1">SUMIF('Production '!$C$4:$AI$4407,'Tracking Sheet'!B3156,'Production '!$V$4:$V$4407)</f>
        <v>-489.86487791182844</v>
      </c>
      <c r="J3156" s="76">
        <f ca="1">SUMIF('Production '!$C$4:$AI$4407,'Tracking Sheet'!B3156,'Production '!$AG$4:$AG$4407)</f>
        <v>0</v>
      </c>
    </row>
    <row r="3157" spans="2:10" x14ac:dyDescent="0.3">
      <c r="B3157" s="277">
        <f>'Production '!C3160</f>
        <v>0</v>
      </c>
      <c r="C3157" s="76" t="e">
        <f ca="1">SUMIF('Production '!$C$4:$AI$4407,'Tracking Sheet'!B3157,'Production '!$M$4:$M$4407)</f>
        <v>#DIV/0!</v>
      </c>
      <c r="D3157" s="76" t="e">
        <f ca="1">SUMIF('Production '!$C$4:$AI$4407,'Tracking Sheet'!B3157,'Production '!$Q$4:$Q$4407)</f>
        <v>#DIV/0!</v>
      </c>
      <c r="E3157" s="76">
        <f ca="1">SUMIF('Production '!$C$4:$AI$4407,'Tracking Sheet'!B3157,'Production '!$S$4:$S$4407)</f>
        <v>-1268218.9828305368</v>
      </c>
      <c r="F3157" s="76">
        <f ca="1">SUMIF('Production '!$C$4:$AI$4407,'Tracking Sheet'!B3157,'Production '!$U$4:$U$4407)</f>
        <v>-10620.435600016917</v>
      </c>
      <c r="G3157" s="76" t="e">
        <f ca="1">SUMIF('Production '!$C$4:$AI$4407,'Tracking Sheet'!B3157,'Production '!$W$4:$W$4407)</f>
        <v>#DIV/0!</v>
      </c>
      <c r="H3157" s="76">
        <f ca="1">SUMIF('Production '!$C$4:$AI$4407,'Tracking Sheet'!B3157,'Production '!$F$4:$F$4407)</f>
        <v>3230621.3283604058</v>
      </c>
      <c r="I3157" s="76">
        <f ca="1">SUMIF('Production '!$C$4:$AI$4407,'Tracking Sheet'!B3157,'Production '!$V$4:$V$4407)</f>
        <v>-489.86487791182844</v>
      </c>
      <c r="J3157" s="76">
        <f ca="1">SUMIF('Production '!$C$4:$AI$4407,'Tracking Sheet'!B3157,'Production '!$AG$4:$AG$4407)</f>
        <v>0</v>
      </c>
    </row>
    <row r="3158" spans="2:10" x14ac:dyDescent="0.3">
      <c r="B3158" s="277">
        <f>'Production '!C3161</f>
        <v>0</v>
      </c>
      <c r="C3158" s="76" t="e">
        <f ca="1">SUMIF('Production '!$C$4:$AI$4407,'Tracking Sheet'!B3158,'Production '!$M$4:$M$4407)</f>
        <v>#DIV/0!</v>
      </c>
      <c r="D3158" s="76" t="e">
        <f ca="1">SUMIF('Production '!$C$4:$AI$4407,'Tracking Sheet'!B3158,'Production '!$Q$4:$Q$4407)</f>
        <v>#DIV/0!</v>
      </c>
      <c r="E3158" s="76">
        <f ca="1">SUMIF('Production '!$C$4:$AI$4407,'Tracking Sheet'!B3158,'Production '!$S$4:$S$4407)</f>
        <v>-1268218.9828305368</v>
      </c>
      <c r="F3158" s="76">
        <f ca="1">SUMIF('Production '!$C$4:$AI$4407,'Tracking Sheet'!B3158,'Production '!$U$4:$U$4407)</f>
        <v>-10620.435600016917</v>
      </c>
      <c r="G3158" s="76" t="e">
        <f ca="1">SUMIF('Production '!$C$4:$AI$4407,'Tracking Sheet'!B3158,'Production '!$W$4:$W$4407)</f>
        <v>#DIV/0!</v>
      </c>
      <c r="H3158" s="76">
        <f ca="1">SUMIF('Production '!$C$4:$AI$4407,'Tracking Sheet'!B3158,'Production '!$F$4:$F$4407)</f>
        <v>3230621.3283604058</v>
      </c>
      <c r="I3158" s="76">
        <f ca="1">SUMIF('Production '!$C$4:$AI$4407,'Tracking Sheet'!B3158,'Production '!$V$4:$V$4407)</f>
        <v>-489.86487791182844</v>
      </c>
      <c r="J3158" s="76">
        <f ca="1">SUMIF('Production '!$C$4:$AI$4407,'Tracking Sheet'!B3158,'Production '!$AG$4:$AG$4407)</f>
        <v>0</v>
      </c>
    </row>
    <row r="3159" spans="2:10" x14ac:dyDescent="0.3">
      <c r="B3159" s="277">
        <f>'Production '!C3162</f>
        <v>0</v>
      </c>
      <c r="C3159" s="76" t="e">
        <f ca="1">SUMIF('Production '!$C$4:$AI$4407,'Tracking Sheet'!B3159,'Production '!$M$4:$M$4407)</f>
        <v>#DIV/0!</v>
      </c>
      <c r="D3159" s="76" t="e">
        <f ca="1">SUMIF('Production '!$C$4:$AI$4407,'Tracking Sheet'!B3159,'Production '!$Q$4:$Q$4407)</f>
        <v>#DIV/0!</v>
      </c>
      <c r="E3159" s="76">
        <f ca="1">SUMIF('Production '!$C$4:$AI$4407,'Tracking Sheet'!B3159,'Production '!$S$4:$S$4407)</f>
        <v>-1268218.9828305368</v>
      </c>
      <c r="F3159" s="76">
        <f ca="1">SUMIF('Production '!$C$4:$AI$4407,'Tracking Sheet'!B3159,'Production '!$U$4:$U$4407)</f>
        <v>-10620.435600016917</v>
      </c>
      <c r="G3159" s="76" t="e">
        <f ca="1">SUMIF('Production '!$C$4:$AI$4407,'Tracking Sheet'!B3159,'Production '!$W$4:$W$4407)</f>
        <v>#DIV/0!</v>
      </c>
      <c r="H3159" s="76">
        <f ca="1">SUMIF('Production '!$C$4:$AI$4407,'Tracking Sheet'!B3159,'Production '!$F$4:$F$4407)</f>
        <v>3230621.3283604058</v>
      </c>
      <c r="I3159" s="76">
        <f ca="1">SUMIF('Production '!$C$4:$AI$4407,'Tracking Sheet'!B3159,'Production '!$V$4:$V$4407)</f>
        <v>-489.86487791182844</v>
      </c>
      <c r="J3159" s="76">
        <f ca="1">SUMIF('Production '!$C$4:$AI$4407,'Tracking Sheet'!B3159,'Production '!$AG$4:$AG$4407)</f>
        <v>0</v>
      </c>
    </row>
    <row r="3160" spans="2:10" x14ac:dyDescent="0.3">
      <c r="B3160" s="277">
        <f>'Production '!C3163</f>
        <v>0</v>
      </c>
      <c r="C3160" s="76" t="e">
        <f ca="1">SUMIF('Production '!$C$4:$AI$4407,'Tracking Sheet'!B3160,'Production '!$M$4:$M$4407)</f>
        <v>#DIV/0!</v>
      </c>
      <c r="D3160" s="76" t="e">
        <f ca="1">SUMIF('Production '!$C$4:$AI$4407,'Tracking Sheet'!B3160,'Production '!$Q$4:$Q$4407)</f>
        <v>#DIV/0!</v>
      </c>
      <c r="E3160" s="76">
        <f ca="1">SUMIF('Production '!$C$4:$AI$4407,'Tracking Sheet'!B3160,'Production '!$S$4:$S$4407)</f>
        <v>-1268218.9828305368</v>
      </c>
      <c r="F3160" s="76">
        <f ca="1">SUMIF('Production '!$C$4:$AI$4407,'Tracking Sheet'!B3160,'Production '!$U$4:$U$4407)</f>
        <v>-10620.435600016917</v>
      </c>
      <c r="G3160" s="76" t="e">
        <f ca="1">SUMIF('Production '!$C$4:$AI$4407,'Tracking Sheet'!B3160,'Production '!$W$4:$W$4407)</f>
        <v>#DIV/0!</v>
      </c>
      <c r="H3160" s="76">
        <f ca="1">SUMIF('Production '!$C$4:$AI$4407,'Tracking Sheet'!B3160,'Production '!$F$4:$F$4407)</f>
        <v>3230621.3283604058</v>
      </c>
      <c r="I3160" s="76">
        <f ca="1">SUMIF('Production '!$C$4:$AI$4407,'Tracking Sheet'!B3160,'Production '!$V$4:$V$4407)</f>
        <v>-489.86487791182844</v>
      </c>
      <c r="J3160" s="76">
        <f ca="1">SUMIF('Production '!$C$4:$AI$4407,'Tracking Sheet'!B3160,'Production '!$AG$4:$AG$4407)</f>
        <v>0</v>
      </c>
    </row>
    <row r="3161" spans="2:10" x14ac:dyDescent="0.3">
      <c r="B3161" s="277">
        <f>'Production '!C3164</f>
        <v>0</v>
      </c>
      <c r="C3161" s="76" t="e">
        <f ca="1">SUMIF('Production '!$C$4:$AI$4407,'Tracking Sheet'!B3161,'Production '!$M$4:$M$4407)</f>
        <v>#DIV/0!</v>
      </c>
      <c r="D3161" s="76" t="e">
        <f ca="1">SUMIF('Production '!$C$4:$AI$4407,'Tracking Sheet'!B3161,'Production '!$Q$4:$Q$4407)</f>
        <v>#DIV/0!</v>
      </c>
      <c r="E3161" s="76">
        <f ca="1">SUMIF('Production '!$C$4:$AI$4407,'Tracking Sheet'!B3161,'Production '!$S$4:$S$4407)</f>
        <v>-1268218.9828305368</v>
      </c>
      <c r="F3161" s="76">
        <f ca="1">SUMIF('Production '!$C$4:$AI$4407,'Tracking Sheet'!B3161,'Production '!$U$4:$U$4407)</f>
        <v>-10620.435600016917</v>
      </c>
      <c r="G3161" s="76" t="e">
        <f ca="1">SUMIF('Production '!$C$4:$AI$4407,'Tracking Sheet'!B3161,'Production '!$W$4:$W$4407)</f>
        <v>#DIV/0!</v>
      </c>
      <c r="H3161" s="76">
        <f ca="1">SUMIF('Production '!$C$4:$AI$4407,'Tracking Sheet'!B3161,'Production '!$F$4:$F$4407)</f>
        <v>3230621.3283604058</v>
      </c>
      <c r="I3161" s="76">
        <f ca="1">SUMIF('Production '!$C$4:$AI$4407,'Tracking Sheet'!B3161,'Production '!$V$4:$V$4407)</f>
        <v>-489.86487791182844</v>
      </c>
      <c r="J3161" s="76">
        <f ca="1">SUMIF('Production '!$C$4:$AI$4407,'Tracking Sheet'!B3161,'Production '!$AG$4:$AG$4407)</f>
        <v>0</v>
      </c>
    </row>
    <row r="3162" spans="2:10" x14ac:dyDescent="0.3">
      <c r="B3162" s="277">
        <f>'Production '!C3165</f>
        <v>0</v>
      </c>
      <c r="C3162" s="76" t="e">
        <f ca="1">SUMIF('Production '!$C$4:$AI$4407,'Tracking Sheet'!B3162,'Production '!$M$4:$M$4407)</f>
        <v>#DIV/0!</v>
      </c>
      <c r="D3162" s="76" t="e">
        <f ca="1">SUMIF('Production '!$C$4:$AI$4407,'Tracking Sheet'!B3162,'Production '!$Q$4:$Q$4407)</f>
        <v>#DIV/0!</v>
      </c>
      <c r="E3162" s="76">
        <f ca="1">SUMIF('Production '!$C$4:$AI$4407,'Tracking Sheet'!B3162,'Production '!$S$4:$S$4407)</f>
        <v>-1268218.9828305368</v>
      </c>
      <c r="F3162" s="76">
        <f ca="1">SUMIF('Production '!$C$4:$AI$4407,'Tracking Sheet'!B3162,'Production '!$U$4:$U$4407)</f>
        <v>-10620.435600016917</v>
      </c>
      <c r="G3162" s="76" t="e">
        <f ca="1">SUMIF('Production '!$C$4:$AI$4407,'Tracking Sheet'!B3162,'Production '!$W$4:$W$4407)</f>
        <v>#DIV/0!</v>
      </c>
      <c r="H3162" s="76">
        <f ca="1">SUMIF('Production '!$C$4:$AI$4407,'Tracking Sheet'!B3162,'Production '!$F$4:$F$4407)</f>
        <v>3230621.3283604058</v>
      </c>
      <c r="I3162" s="76">
        <f ca="1">SUMIF('Production '!$C$4:$AI$4407,'Tracking Sheet'!B3162,'Production '!$V$4:$V$4407)</f>
        <v>-489.86487791182844</v>
      </c>
      <c r="J3162" s="76">
        <f ca="1">SUMIF('Production '!$C$4:$AI$4407,'Tracking Sheet'!B3162,'Production '!$AG$4:$AG$4407)</f>
        <v>0</v>
      </c>
    </row>
    <row r="3163" spans="2:10" x14ac:dyDescent="0.3">
      <c r="B3163" s="277">
        <f>'Production '!C3166</f>
        <v>0</v>
      </c>
      <c r="C3163" s="76" t="e">
        <f ca="1">SUMIF('Production '!$C$4:$AI$4407,'Tracking Sheet'!B3163,'Production '!$M$4:$M$4407)</f>
        <v>#DIV/0!</v>
      </c>
      <c r="D3163" s="76" t="e">
        <f ca="1">SUMIF('Production '!$C$4:$AI$4407,'Tracking Sheet'!B3163,'Production '!$Q$4:$Q$4407)</f>
        <v>#DIV/0!</v>
      </c>
      <c r="E3163" s="76">
        <f ca="1">SUMIF('Production '!$C$4:$AI$4407,'Tracking Sheet'!B3163,'Production '!$S$4:$S$4407)</f>
        <v>-1268218.9828305368</v>
      </c>
      <c r="F3163" s="76">
        <f ca="1">SUMIF('Production '!$C$4:$AI$4407,'Tracking Sheet'!B3163,'Production '!$U$4:$U$4407)</f>
        <v>-10620.435600016917</v>
      </c>
      <c r="G3163" s="76" t="e">
        <f ca="1">SUMIF('Production '!$C$4:$AI$4407,'Tracking Sheet'!B3163,'Production '!$W$4:$W$4407)</f>
        <v>#DIV/0!</v>
      </c>
      <c r="H3163" s="76">
        <f ca="1">SUMIF('Production '!$C$4:$AI$4407,'Tracking Sheet'!B3163,'Production '!$F$4:$F$4407)</f>
        <v>3230621.3283604058</v>
      </c>
      <c r="I3163" s="76">
        <f ca="1">SUMIF('Production '!$C$4:$AI$4407,'Tracking Sheet'!B3163,'Production '!$V$4:$V$4407)</f>
        <v>-489.86487791182844</v>
      </c>
      <c r="J3163" s="76">
        <f ca="1">SUMIF('Production '!$C$4:$AI$4407,'Tracking Sheet'!B3163,'Production '!$AG$4:$AG$4407)</f>
        <v>0</v>
      </c>
    </row>
    <row r="3164" spans="2:10" x14ac:dyDescent="0.3">
      <c r="B3164" s="277">
        <f>'Production '!C3167</f>
        <v>0</v>
      </c>
      <c r="C3164" s="76" t="e">
        <f ca="1">SUMIF('Production '!$C$4:$AI$4407,'Tracking Sheet'!B3164,'Production '!$M$4:$M$4407)</f>
        <v>#DIV/0!</v>
      </c>
      <c r="D3164" s="76" t="e">
        <f ca="1">SUMIF('Production '!$C$4:$AI$4407,'Tracking Sheet'!B3164,'Production '!$Q$4:$Q$4407)</f>
        <v>#DIV/0!</v>
      </c>
      <c r="E3164" s="76">
        <f ca="1">SUMIF('Production '!$C$4:$AI$4407,'Tracking Sheet'!B3164,'Production '!$S$4:$S$4407)</f>
        <v>-1268218.9828305368</v>
      </c>
      <c r="F3164" s="76">
        <f ca="1">SUMIF('Production '!$C$4:$AI$4407,'Tracking Sheet'!B3164,'Production '!$U$4:$U$4407)</f>
        <v>-10620.435600016917</v>
      </c>
      <c r="G3164" s="76" t="e">
        <f ca="1">SUMIF('Production '!$C$4:$AI$4407,'Tracking Sheet'!B3164,'Production '!$W$4:$W$4407)</f>
        <v>#DIV/0!</v>
      </c>
      <c r="H3164" s="76">
        <f ca="1">SUMIF('Production '!$C$4:$AI$4407,'Tracking Sheet'!B3164,'Production '!$F$4:$F$4407)</f>
        <v>3230621.3283604058</v>
      </c>
      <c r="I3164" s="76">
        <f ca="1">SUMIF('Production '!$C$4:$AI$4407,'Tracking Sheet'!B3164,'Production '!$V$4:$V$4407)</f>
        <v>-489.86487791182844</v>
      </c>
      <c r="J3164" s="76">
        <f ca="1">SUMIF('Production '!$C$4:$AI$4407,'Tracking Sheet'!B3164,'Production '!$AG$4:$AG$4407)</f>
        <v>0</v>
      </c>
    </row>
    <row r="3165" spans="2:10" x14ac:dyDescent="0.3">
      <c r="B3165" s="277">
        <f>'Production '!C3168</f>
        <v>0</v>
      </c>
      <c r="C3165" s="76" t="e">
        <f ca="1">SUMIF('Production '!$C$4:$AI$4407,'Tracking Sheet'!B3165,'Production '!$M$4:$M$4407)</f>
        <v>#DIV/0!</v>
      </c>
      <c r="D3165" s="76" t="e">
        <f ca="1">SUMIF('Production '!$C$4:$AI$4407,'Tracking Sheet'!B3165,'Production '!$Q$4:$Q$4407)</f>
        <v>#DIV/0!</v>
      </c>
      <c r="E3165" s="76">
        <f ca="1">SUMIF('Production '!$C$4:$AI$4407,'Tracking Sheet'!B3165,'Production '!$S$4:$S$4407)</f>
        <v>-1268218.9828305368</v>
      </c>
      <c r="F3165" s="76">
        <f ca="1">SUMIF('Production '!$C$4:$AI$4407,'Tracking Sheet'!B3165,'Production '!$U$4:$U$4407)</f>
        <v>-10620.435600016917</v>
      </c>
      <c r="G3165" s="76" t="e">
        <f ca="1">SUMIF('Production '!$C$4:$AI$4407,'Tracking Sheet'!B3165,'Production '!$W$4:$W$4407)</f>
        <v>#DIV/0!</v>
      </c>
      <c r="H3165" s="76">
        <f ca="1">SUMIF('Production '!$C$4:$AI$4407,'Tracking Sheet'!B3165,'Production '!$F$4:$F$4407)</f>
        <v>3230621.3283604058</v>
      </c>
      <c r="I3165" s="76">
        <f ca="1">SUMIF('Production '!$C$4:$AI$4407,'Tracking Sheet'!B3165,'Production '!$V$4:$V$4407)</f>
        <v>-489.86487791182844</v>
      </c>
      <c r="J3165" s="76">
        <f ca="1">SUMIF('Production '!$C$4:$AI$4407,'Tracking Sheet'!B3165,'Production '!$AG$4:$AG$4407)</f>
        <v>0</v>
      </c>
    </row>
    <row r="3166" spans="2:10" x14ac:dyDescent="0.3">
      <c r="B3166" s="277">
        <f>'Production '!C3169</f>
        <v>0</v>
      </c>
      <c r="C3166" s="76" t="e">
        <f ca="1">SUMIF('Production '!$C$4:$AI$4407,'Tracking Sheet'!B3166,'Production '!$M$4:$M$4407)</f>
        <v>#DIV/0!</v>
      </c>
      <c r="D3166" s="76" t="e">
        <f ca="1">SUMIF('Production '!$C$4:$AI$4407,'Tracking Sheet'!B3166,'Production '!$Q$4:$Q$4407)</f>
        <v>#DIV/0!</v>
      </c>
      <c r="E3166" s="76">
        <f ca="1">SUMIF('Production '!$C$4:$AI$4407,'Tracking Sheet'!B3166,'Production '!$S$4:$S$4407)</f>
        <v>-1268218.9828305368</v>
      </c>
      <c r="F3166" s="76">
        <f ca="1">SUMIF('Production '!$C$4:$AI$4407,'Tracking Sheet'!B3166,'Production '!$U$4:$U$4407)</f>
        <v>-10620.435600016917</v>
      </c>
      <c r="G3166" s="76" t="e">
        <f ca="1">SUMIF('Production '!$C$4:$AI$4407,'Tracking Sheet'!B3166,'Production '!$W$4:$W$4407)</f>
        <v>#DIV/0!</v>
      </c>
      <c r="H3166" s="76">
        <f ca="1">SUMIF('Production '!$C$4:$AI$4407,'Tracking Sheet'!B3166,'Production '!$F$4:$F$4407)</f>
        <v>3230621.3283604058</v>
      </c>
      <c r="I3166" s="76">
        <f ca="1">SUMIF('Production '!$C$4:$AI$4407,'Tracking Sheet'!B3166,'Production '!$V$4:$V$4407)</f>
        <v>-489.86487791182844</v>
      </c>
      <c r="J3166" s="76">
        <f ca="1">SUMIF('Production '!$C$4:$AI$4407,'Tracking Sheet'!B3166,'Production '!$AG$4:$AG$4407)</f>
        <v>0</v>
      </c>
    </row>
    <row r="3167" spans="2:10" x14ac:dyDescent="0.3">
      <c r="B3167" s="277">
        <f>'Production '!C3170</f>
        <v>0</v>
      </c>
      <c r="C3167" s="76" t="e">
        <f ca="1">SUMIF('Production '!$C$4:$AI$4407,'Tracking Sheet'!B3167,'Production '!$M$4:$M$4407)</f>
        <v>#DIV/0!</v>
      </c>
      <c r="D3167" s="76" t="e">
        <f ca="1">SUMIF('Production '!$C$4:$AI$4407,'Tracking Sheet'!B3167,'Production '!$Q$4:$Q$4407)</f>
        <v>#DIV/0!</v>
      </c>
      <c r="E3167" s="76">
        <f ca="1">SUMIF('Production '!$C$4:$AI$4407,'Tracking Sheet'!B3167,'Production '!$S$4:$S$4407)</f>
        <v>-1268218.9828305368</v>
      </c>
      <c r="F3167" s="76">
        <f ca="1">SUMIF('Production '!$C$4:$AI$4407,'Tracking Sheet'!B3167,'Production '!$U$4:$U$4407)</f>
        <v>-10620.435600016917</v>
      </c>
      <c r="G3167" s="76" t="e">
        <f ca="1">SUMIF('Production '!$C$4:$AI$4407,'Tracking Sheet'!B3167,'Production '!$W$4:$W$4407)</f>
        <v>#DIV/0!</v>
      </c>
      <c r="H3167" s="76">
        <f ca="1">SUMIF('Production '!$C$4:$AI$4407,'Tracking Sheet'!B3167,'Production '!$F$4:$F$4407)</f>
        <v>3230621.3283604058</v>
      </c>
      <c r="I3167" s="76">
        <f ca="1">SUMIF('Production '!$C$4:$AI$4407,'Tracking Sheet'!B3167,'Production '!$V$4:$V$4407)</f>
        <v>-489.86487791182844</v>
      </c>
      <c r="J3167" s="76">
        <f ca="1">SUMIF('Production '!$C$4:$AI$4407,'Tracking Sheet'!B3167,'Production '!$AG$4:$AG$4407)</f>
        <v>0</v>
      </c>
    </row>
    <row r="3168" spans="2:10" x14ac:dyDescent="0.3">
      <c r="B3168" s="277">
        <f>'Production '!C3171</f>
        <v>0</v>
      </c>
      <c r="C3168" s="76" t="e">
        <f ca="1">SUMIF('Production '!$C$4:$AI$4407,'Tracking Sheet'!B3168,'Production '!$M$4:$M$4407)</f>
        <v>#DIV/0!</v>
      </c>
      <c r="D3168" s="76" t="e">
        <f ca="1">SUMIF('Production '!$C$4:$AI$4407,'Tracking Sheet'!B3168,'Production '!$Q$4:$Q$4407)</f>
        <v>#DIV/0!</v>
      </c>
      <c r="E3168" s="76">
        <f ca="1">SUMIF('Production '!$C$4:$AI$4407,'Tracking Sheet'!B3168,'Production '!$S$4:$S$4407)</f>
        <v>-1268218.9828305368</v>
      </c>
      <c r="F3168" s="76">
        <f ca="1">SUMIF('Production '!$C$4:$AI$4407,'Tracking Sheet'!B3168,'Production '!$U$4:$U$4407)</f>
        <v>-10620.435600016917</v>
      </c>
      <c r="G3168" s="76" t="e">
        <f ca="1">SUMIF('Production '!$C$4:$AI$4407,'Tracking Sheet'!B3168,'Production '!$W$4:$W$4407)</f>
        <v>#DIV/0!</v>
      </c>
      <c r="H3168" s="76">
        <f ca="1">SUMIF('Production '!$C$4:$AI$4407,'Tracking Sheet'!B3168,'Production '!$F$4:$F$4407)</f>
        <v>3230621.3283604058</v>
      </c>
      <c r="I3168" s="76">
        <f ca="1">SUMIF('Production '!$C$4:$AI$4407,'Tracking Sheet'!B3168,'Production '!$V$4:$V$4407)</f>
        <v>-489.86487791182844</v>
      </c>
      <c r="J3168" s="76">
        <f ca="1">SUMIF('Production '!$C$4:$AI$4407,'Tracking Sheet'!B3168,'Production '!$AG$4:$AG$4407)</f>
        <v>0</v>
      </c>
    </row>
    <row r="3169" spans="2:10" x14ac:dyDescent="0.3">
      <c r="B3169" s="277">
        <f>'Production '!C3172</f>
        <v>0</v>
      </c>
      <c r="C3169" s="76" t="e">
        <f ca="1">SUMIF('Production '!$C$4:$AI$4407,'Tracking Sheet'!B3169,'Production '!$M$4:$M$4407)</f>
        <v>#DIV/0!</v>
      </c>
      <c r="D3169" s="76" t="e">
        <f ca="1">SUMIF('Production '!$C$4:$AI$4407,'Tracking Sheet'!B3169,'Production '!$Q$4:$Q$4407)</f>
        <v>#DIV/0!</v>
      </c>
      <c r="E3169" s="76">
        <f ca="1">SUMIF('Production '!$C$4:$AI$4407,'Tracking Sheet'!B3169,'Production '!$S$4:$S$4407)</f>
        <v>-1268218.9828305368</v>
      </c>
      <c r="F3169" s="76">
        <f ca="1">SUMIF('Production '!$C$4:$AI$4407,'Tracking Sheet'!B3169,'Production '!$U$4:$U$4407)</f>
        <v>-10620.435600016917</v>
      </c>
      <c r="G3169" s="76" t="e">
        <f ca="1">SUMIF('Production '!$C$4:$AI$4407,'Tracking Sheet'!B3169,'Production '!$W$4:$W$4407)</f>
        <v>#DIV/0!</v>
      </c>
      <c r="H3169" s="76">
        <f ca="1">SUMIF('Production '!$C$4:$AI$4407,'Tracking Sheet'!B3169,'Production '!$F$4:$F$4407)</f>
        <v>3230621.3283604058</v>
      </c>
      <c r="I3169" s="76">
        <f ca="1">SUMIF('Production '!$C$4:$AI$4407,'Tracking Sheet'!B3169,'Production '!$V$4:$V$4407)</f>
        <v>-489.86487791182844</v>
      </c>
      <c r="J3169" s="76">
        <f ca="1">SUMIF('Production '!$C$4:$AI$4407,'Tracking Sheet'!B3169,'Production '!$AG$4:$AG$4407)</f>
        <v>0</v>
      </c>
    </row>
    <row r="3170" spans="2:10" x14ac:dyDescent="0.3">
      <c r="B3170" s="277">
        <f>'Production '!C3173</f>
        <v>0</v>
      </c>
      <c r="C3170" s="76" t="e">
        <f ca="1">SUMIF('Production '!$C$4:$AI$4407,'Tracking Sheet'!B3170,'Production '!$M$4:$M$4407)</f>
        <v>#DIV/0!</v>
      </c>
      <c r="D3170" s="76" t="e">
        <f ca="1">SUMIF('Production '!$C$4:$AI$4407,'Tracking Sheet'!B3170,'Production '!$Q$4:$Q$4407)</f>
        <v>#DIV/0!</v>
      </c>
      <c r="E3170" s="76">
        <f ca="1">SUMIF('Production '!$C$4:$AI$4407,'Tracking Sheet'!B3170,'Production '!$S$4:$S$4407)</f>
        <v>-1268218.9828305368</v>
      </c>
      <c r="F3170" s="76">
        <f ca="1">SUMIF('Production '!$C$4:$AI$4407,'Tracking Sheet'!B3170,'Production '!$U$4:$U$4407)</f>
        <v>-10620.435600016917</v>
      </c>
      <c r="G3170" s="76" t="e">
        <f ca="1">SUMIF('Production '!$C$4:$AI$4407,'Tracking Sheet'!B3170,'Production '!$W$4:$W$4407)</f>
        <v>#DIV/0!</v>
      </c>
      <c r="H3170" s="76">
        <f ca="1">SUMIF('Production '!$C$4:$AI$4407,'Tracking Sheet'!B3170,'Production '!$F$4:$F$4407)</f>
        <v>3230621.3283604058</v>
      </c>
      <c r="I3170" s="76">
        <f ca="1">SUMIF('Production '!$C$4:$AI$4407,'Tracking Sheet'!B3170,'Production '!$V$4:$V$4407)</f>
        <v>-489.86487791182844</v>
      </c>
      <c r="J3170" s="76">
        <f ca="1">SUMIF('Production '!$C$4:$AI$4407,'Tracking Sheet'!B3170,'Production '!$AG$4:$AG$4407)</f>
        <v>0</v>
      </c>
    </row>
    <row r="3171" spans="2:10" x14ac:dyDescent="0.3">
      <c r="B3171" s="277">
        <f>'Production '!C3174</f>
        <v>0</v>
      </c>
      <c r="C3171" s="76" t="e">
        <f ca="1">SUMIF('Production '!$C$4:$AI$4407,'Tracking Sheet'!B3171,'Production '!$M$4:$M$4407)</f>
        <v>#DIV/0!</v>
      </c>
      <c r="D3171" s="76" t="e">
        <f ca="1">SUMIF('Production '!$C$4:$AI$4407,'Tracking Sheet'!B3171,'Production '!$Q$4:$Q$4407)</f>
        <v>#DIV/0!</v>
      </c>
      <c r="E3171" s="76">
        <f ca="1">SUMIF('Production '!$C$4:$AI$4407,'Tracking Sheet'!B3171,'Production '!$S$4:$S$4407)</f>
        <v>-1268218.9828305368</v>
      </c>
      <c r="F3171" s="76">
        <f ca="1">SUMIF('Production '!$C$4:$AI$4407,'Tracking Sheet'!B3171,'Production '!$U$4:$U$4407)</f>
        <v>-10620.435600016917</v>
      </c>
      <c r="G3171" s="76" t="e">
        <f ca="1">SUMIF('Production '!$C$4:$AI$4407,'Tracking Sheet'!B3171,'Production '!$W$4:$W$4407)</f>
        <v>#DIV/0!</v>
      </c>
      <c r="H3171" s="76">
        <f ca="1">SUMIF('Production '!$C$4:$AI$4407,'Tracking Sheet'!B3171,'Production '!$F$4:$F$4407)</f>
        <v>3230621.3283604058</v>
      </c>
      <c r="I3171" s="76">
        <f ca="1">SUMIF('Production '!$C$4:$AI$4407,'Tracking Sheet'!B3171,'Production '!$V$4:$V$4407)</f>
        <v>-489.86487791182844</v>
      </c>
      <c r="J3171" s="76">
        <f ca="1">SUMIF('Production '!$C$4:$AI$4407,'Tracking Sheet'!B3171,'Production '!$AG$4:$AG$4407)</f>
        <v>0</v>
      </c>
    </row>
    <row r="3172" spans="2:10" x14ac:dyDescent="0.3">
      <c r="B3172" s="277">
        <f>'Production '!C3175</f>
        <v>0</v>
      </c>
      <c r="C3172" s="76" t="e">
        <f ca="1">SUMIF('Production '!$C$4:$AI$4407,'Tracking Sheet'!B3172,'Production '!$M$4:$M$4407)</f>
        <v>#DIV/0!</v>
      </c>
      <c r="D3172" s="76" t="e">
        <f ca="1">SUMIF('Production '!$C$4:$AI$4407,'Tracking Sheet'!B3172,'Production '!$Q$4:$Q$4407)</f>
        <v>#DIV/0!</v>
      </c>
      <c r="E3172" s="76">
        <f ca="1">SUMIF('Production '!$C$4:$AI$4407,'Tracking Sheet'!B3172,'Production '!$S$4:$S$4407)</f>
        <v>-1268218.9828305368</v>
      </c>
      <c r="F3172" s="76">
        <f ca="1">SUMIF('Production '!$C$4:$AI$4407,'Tracking Sheet'!B3172,'Production '!$U$4:$U$4407)</f>
        <v>-10620.435600016917</v>
      </c>
      <c r="G3172" s="76" t="e">
        <f ca="1">SUMIF('Production '!$C$4:$AI$4407,'Tracking Sheet'!B3172,'Production '!$W$4:$W$4407)</f>
        <v>#DIV/0!</v>
      </c>
      <c r="H3172" s="76">
        <f ca="1">SUMIF('Production '!$C$4:$AI$4407,'Tracking Sheet'!B3172,'Production '!$F$4:$F$4407)</f>
        <v>3230621.3283604058</v>
      </c>
      <c r="I3172" s="76">
        <f ca="1">SUMIF('Production '!$C$4:$AI$4407,'Tracking Sheet'!B3172,'Production '!$V$4:$V$4407)</f>
        <v>-489.86487791182844</v>
      </c>
      <c r="J3172" s="76">
        <f ca="1">SUMIF('Production '!$C$4:$AI$4407,'Tracking Sheet'!B3172,'Production '!$AG$4:$AG$4407)</f>
        <v>0</v>
      </c>
    </row>
    <row r="3173" spans="2:10" x14ac:dyDescent="0.3">
      <c r="B3173" s="277">
        <f>'Production '!C3176</f>
        <v>0</v>
      </c>
      <c r="C3173" s="76" t="e">
        <f ca="1">SUMIF('Production '!$C$4:$AI$4407,'Tracking Sheet'!B3173,'Production '!$M$4:$M$4407)</f>
        <v>#DIV/0!</v>
      </c>
      <c r="D3173" s="76" t="e">
        <f ca="1">SUMIF('Production '!$C$4:$AI$4407,'Tracking Sheet'!B3173,'Production '!$Q$4:$Q$4407)</f>
        <v>#DIV/0!</v>
      </c>
      <c r="E3173" s="76">
        <f ca="1">SUMIF('Production '!$C$4:$AI$4407,'Tracking Sheet'!B3173,'Production '!$S$4:$S$4407)</f>
        <v>-1268218.9828305368</v>
      </c>
      <c r="F3173" s="76">
        <f ca="1">SUMIF('Production '!$C$4:$AI$4407,'Tracking Sheet'!B3173,'Production '!$U$4:$U$4407)</f>
        <v>-10620.435600016917</v>
      </c>
      <c r="G3173" s="76" t="e">
        <f ca="1">SUMIF('Production '!$C$4:$AI$4407,'Tracking Sheet'!B3173,'Production '!$W$4:$W$4407)</f>
        <v>#DIV/0!</v>
      </c>
      <c r="H3173" s="76">
        <f ca="1">SUMIF('Production '!$C$4:$AI$4407,'Tracking Sheet'!B3173,'Production '!$F$4:$F$4407)</f>
        <v>3230621.3283604058</v>
      </c>
      <c r="I3173" s="76">
        <f ca="1">SUMIF('Production '!$C$4:$AI$4407,'Tracking Sheet'!B3173,'Production '!$V$4:$V$4407)</f>
        <v>-489.86487791182844</v>
      </c>
      <c r="J3173" s="76">
        <f ca="1">SUMIF('Production '!$C$4:$AI$4407,'Tracking Sheet'!B3173,'Production '!$AG$4:$AG$4407)</f>
        <v>0</v>
      </c>
    </row>
    <row r="3174" spans="2:10" x14ac:dyDescent="0.3">
      <c r="B3174" s="277">
        <f>'Production '!C3177</f>
        <v>0</v>
      </c>
      <c r="C3174" s="76" t="e">
        <f ca="1">SUMIF('Production '!$C$4:$AI$4407,'Tracking Sheet'!B3174,'Production '!$M$4:$M$4407)</f>
        <v>#DIV/0!</v>
      </c>
      <c r="D3174" s="76" t="e">
        <f ca="1">SUMIF('Production '!$C$4:$AI$4407,'Tracking Sheet'!B3174,'Production '!$Q$4:$Q$4407)</f>
        <v>#DIV/0!</v>
      </c>
      <c r="E3174" s="76">
        <f ca="1">SUMIF('Production '!$C$4:$AI$4407,'Tracking Sheet'!B3174,'Production '!$S$4:$S$4407)</f>
        <v>-1268218.9828305368</v>
      </c>
      <c r="F3174" s="76">
        <f ca="1">SUMIF('Production '!$C$4:$AI$4407,'Tracking Sheet'!B3174,'Production '!$U$4:$U$4407)</f>
        <v>-10620.435600016917</v>
      </c>
      <c r="G3174" s="76" t="e">
        <f ca="1">SUMIF('Production '!$C$4:$AI$4407,'Tracking Sheet'!B3174,'Production '!$W$4:$W$4407)</f>
        <v>#DIV/0!</v>
      </c>
      <c r="H3174" s="76">
        <f ca="1">SUMIF('Production '!$C$4:$AI$4407,'Tracking Sheet'!B3174,'Production '!$F$4:$F$4407)</f>
        <v>3230621.3283604058</v>
      </c>
      <c r="I3174" s="76">
        <f ca="1">SUMIF('Production '!$C$4:$AI$4407,'Tracking Sheet'!B3174,'Production '!$V$4:$V$4407)</f>
        <v>-489.86487791182844</v>
      </c>
      <c r="J3174" s="76">
        <f ca="1">SUMIF('Production '!$C$4:$AI$4407,'Tracking Sheet'!B3174,'Production '!$AG$4:$AG$4407)</f>
        <v>0</v>
      </c>
    </row>
    <row r="3175" spans="2:10" x14ac:dyDescent="0.3">
      <c r="B3175" s="277">
        <f>'Production '!C3178</f>
        <v>0</v>
      </c>
      <c r="C3175" s="76" t="e">
        <f ca="1">SUMIF('Production '!$C$4:$AI$4407,'Tracking Sheet'!B3175,'Production '!$M$4:$M$4407)</f>
        <v>#DIV/0!</v>
      </c>
      <c r="D3175" s="76" t="e">
        <f ca="1">SUMIF('Production '!$C$4:$AI$4407,'Tracking Sheet'!B3175,'Production '!$Q$4:$Q$4407)</f>
        <v>#DIV/0!</v>
      </c>
      <c r="E3175" s="76">
        <f ca="1">SUMIF('Production '!$C$4:$AI$4407,'Tracking Sheet'!B3175,'Production '!$S$4:$S$4407)</f>
        <v>-1268218.9828305368</v>
      </c>
      <c r="F3175" s="76">
        <f ca="1">SUMIF('Production '!$C$4:$AI$4407,'Tracking Sheet'!B3175,'Production '!$U$4:$U$4407)</f>
        <v>-10620.435600016917</v>
      </c>
      <c r="G3175" s="76" t="e">
        <f ca="1">SUMIF('Production '!$C$4:$AI$4407,'Tracking Sheet'!B3175,'Production '!$W$4:$W$4407)</f>
        <v>#DIV/0!</v>
      </c>
      <c r="H3175" s="76">
        <f ca="1">SUMIF('Production '!$C$4:$AI$4407,'Tracking Sheet'!B3175,'Production '!$F$4:$F$4407)</f>
        <v>3230621.3283604058</v>
      </c>
      <c r="I3175" s="76">
        <f ca="1">SUMIF('Production '!$C$4:$AI$4407,'Tracking Sheet'!B3175,'Production '!$V$4:$V$4407)</f>
        <v>-489.86487791182844</v>
      </c>
      <c r="J3175" s="76">
        <f ca="1">SUMIF('Production '!$C$4:$AI$4407,'Tracking Sheet'!B3175,'Production '!$AG$4:$AG$4407)</f>
        <v>0</v>
      </c>
    </row>
    <row r="3176" spans="2:10" x14ac:dyDescent="0.3">
      <c r="B3176" s="277">
        <f>'Production '!C3179</f>
        <v>0</v>
      </c>
      <c r="C3176" s="76" t="e">
        <f ca="1">SUMIF('Production '!$C$4:$AI$4407,'Tracking Sheet'!B3176,'Production '!$M$4:$M$4407)</f>
        <v>#DIV/0!</v>
      </c>
      <c r="D3176" s="76" t="e">
        <f ca="1">SUMIF('Production '!$C$4:$AI$4407,'Tracking Sheet'!B3176,'Production '!$Q$4:$Q$4407)</f>
        <v>#DIV/0!</v>
      </c>
      <c r="E3176" s="76">
        <f ca="1">SUMIF('Production '!$C$4:$AI$4407,'Tracking Sheet'!B3176,'Production '!$S$4:$S$4407)</f>
        <v>-1268218.9828305368</v>
      </c>
      <c r="F3176" s="76">
        <f ca="1">SUMIF('Production '!$C$4:$AI$4407,'Tracking Sheet'!B3176,'Production '!$U$4:$U$4407)</f>
        <v>-10620.435600016917</v>
      </c>
      <c r="G3176" s="76" t="e">
        <f ca="1">SUMIF('Production '!$C$4:$AI$4407,'Tracking Sheet'!B3176,'Production '!$W$4:$W$4407)</f>
        <v>#DIV/0!</v>
      </c>
      <c r="H3176" s="76">
        <f ca="1">SUMIF('Production '!$C$4:$AI$4407,'Tracking Sheet'!B3176,'Production '!$F$4:$F$4407)</f>
        <v>3230621.3283604058</v>
      </c>
      <c r="I3176" s="76">
        <f ca="1">SUMIF('Production '!$C$4:$AI$4407,'Tracking Sheet'!B3176,'Production '!$V$4:$V$4407)</f>
        <v>-489.86487791182844</v>
      </c>
      <c r="J3176" s="76">
        <f ca="1">SUMIF('Production '!$C$4:$AI$4407,'Tracking Sheet'!B3176,'Production '!$AG$4:$AG$4407)</f>
        <v>0</v>
      </c>
    </row>
    <row r="3177" spans="2:10" x14ac:dyDescent="0.3">
      <c r="B3177" s="277">
        <f>'Production '!C3180</f>
        <v>0</v>
      </c>
      <c r="C3177" s="76" t="e">
        <f ca="1">SUMIF('Production '!$C$4:$AI$4407,'Tracking Sheet'!B3177,'Production '!$M$4:$M$4407)</f>
        <v>#DIV/0!</v>
      </c>
      <c r="D3177" s="76" t="e">
        <f ca="1">SUMIF('Production '!$C$4:$AI$4407,'Tracking Sheet'!B3177,'Production '!$Q$4:$Q$4407)</f>
        <v>#DIV/0!</v>
      </c>
      <c r="E3177" s="76">
        <f ca="1">SUMIF('Production '!$C$4:$AI$4407,'Tracking Sheet'!B3177,'Production '!$S$4:$S$4407)</f>
        <v>-1268218.9828305368</v>
      </c>
      <c r="F3177" s="76">
        <f ca="1">SUMIF('Production '!$C$4:$AI$4407,'Tracking Sheet'!B3177,'Production '!$U$4:$U$4407)</f>
        <v>-10620.435600016917</v>
      </c>
      <c r="G3177" s="76" t="e">
        <f ca="1">SUMIF('Production '!$C$4:$AI$4407,'Tracking Sheet'!B3177,'Production '!$W$4:$W$4407)</f>
        <v>#DIV/0!</v>
      </c>
      <c r="H3177" s="76">
        <f ca="1">SUMIF('Production '!$C$4:$AI$4407,'Tracking Sheet'!B3177,'Production '!$F$4:$F$4407)</f>
        <v>3230621.3283604058</v>
      </c>
      <c r="I3177" s="76">
        <f ca="1">SUMIF('Production '!$C$4:$AI$4407,'Tracking Sheet'!B3177,'Production '!$V$4:$V$4407)</f>
        <v>-489.86487791182844</v>
      </c>
      <c r="J3177" s="76">
        <f ca="1">SUMIF('Production '!$C$4:$AI$4407,'Tracking Sheet'!B3177,'Production '!$AG$4:$AG$4407)</f>
        <v>0</v>
      </c>
    </row>
    <row r="3178" spans="2:10" x14ac:dyDescent="0.3">
      <c r="B3178" s="277">
        <f>'Production '!C3181</f>
        <v>0</v>
      </c>
      <c r="C3178" s="76" t="e">
        <f ca="1">SUMIF('Production '!$C$4:$AI$4407,'Tracking Sheet'!B3178,'Production '!$M$4:$M$4407)</f>
        <v>#DIV/0!</v>
      </c>
      <c r="D3178" s="76" t="e">
        <f ca="1">SUMIF('Production '!$C$4:$AI$4407,'Tracking Sheet'!B3178,'Production '!$Q$4:$Q$4407)</f>
        <v>#DIV/0!</v>
      </c>
      <c r="E3178" s="76">
        <f ca="1">SUMIF('Production '!$C$4:$AI$4407,'Tracking Sheet'!B3178,'Production '!$S$4:$S$4407)</f>
        <v>-1268218.9828305368</v>
      </c>
      <c r="F3178" s="76">
        <f ca="1">SUMIF('Production '!$C$4:$AI$4407,'Tracking Sheet'!B3178,'Production '!$U$4:$U$4407)</f>
        <v>-10620.435600016917</v>
      </c>
      <c r="G3178" s="76" t="e">
        <f ca="1">SUMIF('Production '!$C$4:$AI$4407,'Tracking Sheet'!B3178,'Production '!$W$4:$W$4407)</f>
        <v>#DIV/0!</v>
      </c>
      <c r="H3178" s="76">
        <f ca="1">SUMIF('Production '!$C$4:$AI$4407,'Tracking Sheet'!B3178,'Production '!$F$4:$F$4407)</f>
        <v>3230621.3283604058</v>
      </c>
      <c r="I3178" s="76">
        <f ca="1">SUMIF('Production '!$C$4:$AI$4407,'Tracking Sheet'!B3178,'Production '!$V$4:$V$4407)</f>
        <v>-489.86487791182844</v>
      </c>
      <c r="J3178" s="76">
        <f ca="1">SUMIF('Production '!$C$4:$AI$4407,'Tracking Sheet'!B3178,'Production '!$AG$4:$AG$4407)</f>
        <v>0</v>
      </c>
    </row>
    <row r="3179" spans="2:10" x14ac:dyDescent="0.3">
      <c r="B3179" s="277">
        <f>'Production '!C3182</f>
        <v>0</v>
      </c>
      <c r="C3179" s="76" t="e">
        <f ca="1">SUMIF('Production '!$C$4:$AI$4407,'Tracking Sheet'!B3179,'Production '!$M$4:$M$4407)</f>
        <v>#DIV/0!</v>
      </c>
      <c r="D3179" s="76" t="e">
        <f ca="1">SUMIF('Production '!$C$4:$AI$4407,'Tracking Sheet'!B3179,'Production '!$Q$4:$Q$4407)</f>
        <v>#DIV/0!</v>
      </c>
      <c r="E3179" s="76">
        <f ca="1">SUMIF('Production '!$C$4:$AI$4407,'Tracking Sheet'!B3179,'Production '!$S$4:$S$4407)</f>
        <v>-1268218.9828305368</v>
      </c>
      <c r="F3179" s="76">
        <f ca="1">SUMIF('Production '!$C$4:$AI$4407,'Tracking Sheet'!B3179,'Production '!$U$4:$U$4407)</f>
        <v>-10620.435600016917</v>
      </c>
      <c r="G3179" s="76" t="e">
        <f ca="1">SUMIF('Production '!$C$4:$AI$4407,'Tracking Sheet'!B3179,'Production '!$W$4:$W$4407)</f>
        <v>#DIV/0!</v>
      </c>
      <c r="H3179" s="76">
        <f ca="1">SUMIF('Production '!$C$4:$AI$4407,'Tracking Sheet'!B3179,'Production '!$F$4:$F$4407)</f>
        <v>3230621.3283604058</v>
      </c>
      <c r="I3179" s="76">
        <f ca="1">SUMIF('Production '!$C$4:$AI$4407,'Tracking Sheet'!B3179,'Production '!$V$4:$V$4407)</f>
        <v>-489.86487791182844</v>
      </c>
      <c r="J3179" s="76">
        <f ca="1">SUMIF('Production '!$C$4:$AI$4407,'Tracking Sheet'!B3179,'Production '!$AG$4:$AG$4407)</f>
        <v>0</v>
      </c>
    </row>
    <row r="3180" spans="2:10" x14ac:dyDescent="0.3">
      <c r="B3180" s="277">
        <f>'Production '!C3183</f>
        <v>0</v>
      </c>
      <c r="C3180" s="76" t="e">
        <f ca="1">SUMIF('Production '!$C$4:$AI$4407,'Tracking Sheet'!B3180,'Production '!$M$4:$M$4407)</f>
        <v>#DIV/0!</v>
      </c>
      <c r="D3180" s="76" t="e">
        <f ca="1">SUMIF('Production '!$C$4:$AI$4407,'Tracking Sheet'!B3180,'Production '!$Q$4:$Q$4407)</f>
        <v>#DIV/0!</v>
      </c>
      <c r="E3180" s="76">
        <f ca="1">SUMIF('Production '!$C$4:$AI$4407,'Tracking Sheet'!B3180,'Production '!$S$4:$S$4407)</f>
        <v>-1268218.9828305368</v>
      </c>
      <c r="F3180" s="76">
        <f ca="1">SUMIF('Production '!$C$4:$AI$4407,'Tracking Sheet'!B3180,'Production '!$U$4:$U$4407)</f>
        <v>-10620.435600016917</v>
      </c>
      <c r="G3180" s="76" t="e">
        <f ca="1">SUMIF('Production '!$C$4:$AI$4407,'Tracking Sheet'!B3180,'Production '!$W$4:$W$4407)</f>
        <v>#DIV/0!</v>
      </c>
      <c r="H3180" s="76">
        <f ca="1">SUMIF('Production '!$C$4:$AI$4407,'Tracking Sheet'!B3180,'Production '!$F$4:$F$4407)</f>
        <v>3230621.3283604058</v>
      </c>
      <c r="I3180" s="76">
        <f ca="1">SUMIF('Production '!$C$4:$AI$4407,'Tracking Sheet'!B3180,'Production '!$V$4:$V$4407)</f>
        <v>-489.86487791182844</v>
      </c>
      <c r="J3180" s="76">
        <f ca="1">SUMIF('Production '!$C$4:$AI$4407,'Tracking Sheet'!B3180,'Production '!$AG$4:$AG$4407)</f>
        <v>0</v>
      </c>
    </row>
    <row r="3181" spans="2:10" x14ac:dyDescent="0.3">
      <c r="B3181" s="277">
        <f>'Production '!C3184</f>
        <v>0</v>
      </c>
      <c r="C3181" s="76" t="e">
        <f ca="1">SUMIF('Production '!$C$4:$AI$4407,'Tracking Sheet'!B3181,'Production '!$M$4:$M$4407)</f>
        <v>#DIV/0!</v>
      </c>
      <c r="D3181" s="76" t="e">
        <f ca="1">SUMIF('Production '!$C$4:$AI$4407,'Tracking Sheet'!B3181,'Production '!$Q$4:$Q$4407)</f>
        <v>#DIV/0!</v>
      </c>
      <c r="E3181" s="76">
        <f ca="1">SUMIF('Production '!$C$4:$AI$4407,'Tracking Sheet'!B3181,'Production '!$S$4:$S$4407)</f>
        <v>-1268218.9828305368</v>
      </c>
      <c r="F3181" s="76">
        <f ca="1">SUMIF('Production '!$C$4:$AI$4407,'Tracking Sheet'!B3181,'Production '!$U$4:$U$4407)</f>
        <v>-10620.435600016917</v>
      </c>
      <c r="G3181" s="76" t="e">
        <f ca="1">SUMIF('Production '!$C$4:$AI$4407,'Tracking Sheet'!B3181,'Production '!$W$4:$W$4407)</f>
        <v>#DIV/0!</v>
      </c>
      <c r="H3181" s="76">
        <f ca="1">SUMIF('Production '!$C$4:$AI$4407,'Tracking Sheet'!B3181,'Production '!$F$4:$F$4407)</f>
        <v>3230621.3283604058</v>
      </c>
      <c r="I3181" s="76">
        <f ca="1">SUMIF('Production '!$C$4:$AI$4407,'Tracking Sheet'!B3181,'Production '!$V$4:$V$4407)</f>
        <v>-489.86487791182844</v>
      </c>
      <c r="J3181" s="76">
        <f ca="1">SUMIF('Production '!$C$4:$AI$4407,'Tracking Sheet'!B3181,'Production '!$AG$4:$AG$4407)</f>
        <v>0</v>
      </c>
    </row>
    <row r="3182" spans="2:10" x14ac:dyDescent="0.3">
      <c r="B3182" s="277">
        <f>'Production '!C3185</f>
        <v>0</v>
      </c>
      <c r="C3182" s="76" t="e">
        <f ca="1">SUMIF('Production '!$C$4:$AI$4407,'Tracking Sheet'!B3182,'Production '!$M$4:$M$4407)</f>
        <v>#DIV/0!</v>
      </c>
      <c r="D3182" s="76" t="e">
        <f ca="1">SUMIF('Production '!$C$4:$AI$4407,'Tracking Sheet'!B3182,'Production '!$Q$4:$Q$4407)</f>
        <v>#DIV/0!</v>
      </c>
      <c r="E3182" s="76">
        <f ca="1">SUMIF('Production '!$C$4:$AI$4407,'Tracking Sheet'!B3182,'Production '!$S$4:$S$4407)</f>
        <v>-1268218.9828305368</v>
      </c>
      <c r="F3182" s="76">
        <f ca="1">SUMIF('Production '!$C$4:$AI$4407,'Tracking Sheet'!B3182,'Production '!$U$4:$U$4407)</f>
        <v>-10620.435600016917</v>
      </c>
      <c r="G3182" s="76" t="e">
        <f ca="1">SUMIF('Production '!$C$4:$AI$4407,'Tracking Sheet'!B3182,'Production '!$W$4:$W$4407)</f>
        <v>#DIV/0!</v>
      </c>
      <c r="H3182" s="76">
        <f ca="1">SUMIF('Production '!$C$4:$AI$4407,'Tracking Sheet'!B3182,'Production '!$F$4:$F$4407)</f>
        <v>3230621.3283604058</v>
      </c>
      <c r="I3182" s="76">
        <f ca="1">SUMIF('Production '!$C$4:$AI$4407,'Tracking Sheet'!B3182,'Production '!$V$4:$V$4407)</f>
        <v>-489.86487791182844</v>
      </c>
      <c r="J3182" s="76">
        <f ca="1">SUMIF('Production '!$C$4:$AI$4407,'Tracking Sheet'!B3182,'Production '!$AG$4:$AG$4407)</f>
        <v>0</v>
      </c>
    </row>
    <row r="3183" spans="2:10" x14ac:dyDescent="0.3">
      <c r="B3183" s="277">
        <f>'Production '!C3186</f>
        <v>0</v>
      </c>
      <c r="C3183" s="76" t="e">
        <f ca="1">SUMIF('Production '!$C$4:$AI$4407,'Tracking Sheet'!B3183,'Production '!$M$4:$M$4407)</f>
        <v>#DIV/0!</v>
      </c>
      <c r="D3183" s="76" t="e">
        <f ca="1">SUMIF('Production '!$C$4:$AI$4407,'Tracking Sheet'!B3183,'Production '!$Q$4:$Q$4407)</f>
        <v>#DIV/0!</v>
      </c>
      <c r="E3183" s="76">
        <f ca="1">SUMIF('Production '!$C$4:$AI$4407,'Tracking Sheet'!B3183,'Production '!$S$4:$S$4407)</f>
        <v>-1268218.9828305368</v>
      </c>
      <c r="F3183" s="76">
        <f ca="1">SUMIF('Production '!$C$4:$AI$4407,'Tracking Sheet'!B3183,'Production '!$U$4:$U$4407)</f>
        <v>-10620.435600016917</v>
      </c>
      <c r="G3183" s="76" t="e">
        <f ca="1">SUMIF('Production '!$C$4:$AI$4407,'Tracking Sheet'!B3183,'Production '!$W$4:$W$4407)</f>
        <v>#DIV/0!</v>
      </c>
      <c r="H3183" s="76">
        <f ca="1">SUMIF('Production '!$C$4:$AI$4407,'Tracking Sheet'!B3183,'Production '!$F$4:$F$4407)</f>
        <v>3230621.3283604058</v>
      </c>
      <c r="I3183" s="76">
        <f ca="1">SUMIF('Production '!$C$4:$AI$4407,'Tracking Sheet'!B3183,'Production '!$V$4:$V$4407)</f>
        <v>-489.86487791182844</v>
      </c>
      <c r="J3183" s="76">
        <f ca="1">SUMIF('Production '!$C$4:$AI$4407,'Tracking Sheet'!B3183,'Production '!$AG$4:$AG$4407)</f>
        <v>0</v>
      </c>
    </row>
    <row r="3184" spans="2:10" x14ac:dyDescent="0.3">
      <c r="B3184" s="277">
        <f>'Production '!C3187</f>
        <v>0</v>
      </c>
      <c r="C3184" s="76" t="e">
        <f ca="1">SUMIF('Production '!$C$4:$AI$4407,'Tracking Sheet'!B3184,'Production '!$M$4:$M$4407)</f>
        <v>#DIV/0!</v>
      </c>
      <c r="D3184" s="76" t="e">
        <f ca="1">SUMIF('Production '!$C$4:$AI$4407,'Tracking Sheet'!B3184,'Production '!$Q$4:$Q$4407)</f>
        <v>#DIV/0!</v>
      </c>
      <c r="E3184" s="76">
        <f ca="1">SUMIF('Production '!$C$4:$AI$4407,'Tracking Sheet'!B3184,'Production '!$S$4:$S$4407)</f>
        <v>-1268218.9828305368</v>
      </c>
      <c r="F3184" s="76">
        <f ca="1">SUMIF('Production '!$C$4:$AI$4407,'Tracking Sheet'!B3184,'Production '!$U$4:$U$4407)</f>
        <v>-10620.435600016917</v>
      </c>
      <c r="G3184" s="76" t="e">
        <f ca="1">SUMIF('Production '!$C$4:$AI$4407,'Tracking Sheet'!B3184,'Production '!$W$4:$W$4407)</f>
        <v>#DIV/0!</v>
      </c>
      <c r="H3184" s="76">
        <f ca="1">SUMIF('Production '!$C$4:$AI$4407,'Tracking Sheet'!B3184,'Production '!$F$4:$F$4407)</f>
        <v>3230621.3283604058</v>
      </c>
      <c r="I3184" s="76">
        <f ca="1">SUMIF('Production '!$C$4:$AI$4407,'Tracking Sheet'!B3184,'Production '!$V$4:$V$4407)</f>
        <v>-489.86487791182844</v>
      </c>
      <c r="J3184" s="76">
        <f ca="1">SUMIF('Production '!$C$4:$AI$4407,'Tracking Sheet'!B3184,'Production '!$AG$4:$AG$4407)</f>
        <v>0</v>
      </c>
    </row>
    <row r="3185" spans="2:10" x14ac:dyDescent="0.3">
      <c r="B3185" s="277">
        <f>'Production '!C3188</f>
        <v>0</v>
      </c>
      <c r="C3185" s="76" t="e">
        <f ca="1">SUMIF('Production '!$C$4:$AI$4407,'Tracking Sheet'!B3185,'Production '!$M$4:$M$4407)</f>
        <v>#DIV/0!</v>
      </c>
      <c r="D3185" s="76" t="e">
        <f ca="1">SUMIF('Production '!$C$4:$AI$4407,'Tracking Sheet'!B3185,'Production '!$Q$4:$Q$4407)</f>
        <v>#DIV/0!</v>
      </c>
      <c r="E3185" s="76">
        <f ca="1">SUMIF('Production '!$C$4:$AI$4407,'Tracking Sheet'!B3185,'Production '!$S$4:$S$4407)</f>
        <v>-1268218.9828305368</v>
      </c>
      <c r="F3185" s="76">
        <f ca="1">SUMIF('Production '!$C$4:$AI$4407,'Tracking Sheet'!B3185,'Production '!$U$4:$U$4407)</f>
        <v>-10620.435600016917</v>
      </c>
      <c r="G3185" s="76" t="e">
        <f ca="1">SUMIF('Production '!$C$4:$AI$4407,'Tracking Sheet'!B3185,'Production '!$W$4:$W$4407)</f>
        <v>#DIV/0!</v>
      </c>
      <c r="H3185" s="76">
        <f ca="1">SUMIF('Production '!$C$4:$AI$4407,'Tracking Sheet'!B3185,'Production '!$F$4:$F$4407)</f>
        <v>3230621.3283604058</v>
      </c>
      <c r="I3185" s="76">
        <f ca="1">SUMIF('Production '!$C$4:$AI$4407,'Tracking Sheet'!B3185,'Production '!$V$4:$V$4407)</f>
        <v>-489.86487791182844</v>
      </c>
      <c r="J3185" s="76">
        <f ca="1">SUMIF('Production '!$C$4:$AI$4407,'Tracking Sheet'!B3185,'Production '!$AG$4:$AG$4407)</f>
        <v>0</v>
      </c>
    </row>
    <row r="3186" spans="2:10" x14ac:dyDescent="0.3">
      <c r="B3186" s="277">
        <f>'Production '!C3189</f>
        <v>0</v>
      </c>
      <c r="C3186" s="76" t="e">
        <f ca="1">SUMIF('Production '!$C$4:$AI$4407,'Tracking Sheet'!B3186,'Production '!$M$4:$M$4407)</f>
        <v>#DIV/0!</v>
      </c>
      <c r="D3186" s="76" t="e">
        <f ca="1">SUMIF('Production '!$C$4:$AI$4407,'Tracking Sheet'!B3186,'Production '!$Q$4:$Q$4407)</f>
        <v>#DIV/0!</v>
      </c>
      <c r="E3186" s="76">
        <f ca="1">SUMIF('Production '!$C$4:$AI$4407,'Tracking Sheet'!B3186,'Production '!$S$4:$S$4407)</f>
        <v>-1268218.9828305368</v>
      </c>
      <c r="F3186" s="76">
        <f ca="1">SUMIF('Production '!$C$4:$AI$4407,'Tracking Sheet'!B3186,'Production '!$U$4:$U$4407)</f>
        <v>-10620.435600016917</v>
      </c>
      <c r="G3186" s="76" t="e">
        <f ca="1">SUMIF('Production '!$C$4:$AI$4407,'Tracking Sheet'!B3186,'Production '!$W$4:$W$4407)</f>
        <v>#DIV/0!</v>
      </c>
      <c r="H3186" s="76">
        <f ca="1">SUMIF('Production '!$C$4:$AI$4407,'Tracking Sheet'!B3186,'Production '!$F$4:$F$4407)</f>
        <v>3230621.3283604058</v>
      </c>
      <c r="I3186" s="76">
        <f ca="1">SUMIF('Production '!$C$4:$AI$4407,'Tracking Sheet'!B3186,'Production '!$V$4:$V$4407)</f>
        <v>-489.86487791182844</v>
      </c>
      <c r="J3186" s="76">
        <f ca="1">SUMIF('Production '!$C$4:$AI$4407,'Tracking Sheet'!B3186,'Production '!$AG$4:$AG$4407)</f>
        <v>0</v>
      </c>
    </row>
    <row r="3187" spans="2:10" x14ac:dyDescent="0.3">
      <c r="B3187" s="277">
        <f>'Production '!C3190</f>
        <v>0</v>
      </c>
      <c r="C3187" s="76" t="e">
        <f ca="1">SUMIF('Production '!$C$4:$AI$4407,'Tracking Sheet'!B3187,'Production '!$M$4:$M$4407)</f>
        <v>#DIV/0!</v>
      </c>
      <c r="D3187" s="76" t="e">
        <f ca="1">SUMIF('Production '!$C$4:$AI$4407,'Tracking Sheet'!B3187,'Production '!$Q$4:$Q$4407)</f>
        <v>#DIV/0!</v>
      </c>
      <c r="E3187" s="76">
        <f ca="1">SUMIF('Production '!$C$4:$AI$4407,'Tracking Sheet'!B3187,'Production '!$S$4:$S$4407)</f>
        <v>-1268218.9828305368</v>
      </c>
      <c r="F3187" s="76">
        <f ca="1">SUMIF('Production '!$C$4:$AI$4407,'Tracking Sheet'!B3187,'Production '!$U$4:$U$4407)</f>
        <v>-10620.435600016917</v>
      </c>
      <c r="G3187" s="76" t="e">
        <f ca="1">SUMIF('Production '!$C$4:$AI$4407,'Tracking Sheet'!B3187,'Production '!$W$4:$W$4407)</f>
        <v>#DIV/0!</v>
      </c>
      <c r="H3187" s="76">
        <f ca="1">SUMIF('Production '!$C$4:$AI$4407,'Tracking Sheet'!B3187,'Production '!$F$4:$F$4407)</f>
        <v>3230621.3283604058</v>
      </c>
      <c r="I3187" s="76">
        <f ca="1">SUMIF('Production '!$C$4:$AI$4407,'Tracking Sheet'!B3187,'Production '!$V$4:$V$4407)</f>
        <v>-489.86487791182844</v>
      </c>
      <c r="J3187" s="76">
        <f ca="1">SUMIF('Production '!$C$4:$AI$4407,'Tracking Sheet'!B3187,'Production '!$AG$4:$AG$4407)</f>
        <v>0</v>
      </c>
    </row>
    <row r="3188" spans="2:10" x14ac:dyDescent="0.3">
      <c r="B3188" s="277">
        <f>'Production '!C3191</f>
        <v>0</v>
      </c>
      <c r="C3188" s="76" t="e">
        <f ca="1">SUMIF('Production '!$C$4:$AI$4407,'Tracking Sheet'!B3188,'Production '!$M$4:$M$4407)</f>
        <v>#DIV/0!</v>
      </c>
      <c r="D3188" s="76" t="e">
        <f ca="1">SUMIF('Production '!$C$4:$AI$4407,'Tracking Sheet'!B3188,'Production '!$Q$4:$Q$4407)</f>
        <v>#DIV/0!</v>
      </c>
      <c r="E3188" s="76">
        <f ca="1">SUMIF('Production '!$C$4:$AI$4407,'Tracking Sheet'!B3188,'Production '!$S$4:$S$4407)</f>
        <v>-1268218.9828305368</v>
      </c>
      <c r="F3188" s="76">
        <f ca="1">SUMIF('Production '!$C$4:$AI$4407,'Tracking Sheet'!B3188,'Production '!$U$4:$U$4407)</f>
        <v>-10620.435600016917</v>
      </c>
      <c r="G3188" s="76" t="e">
        <f ca="1">SUMIF('Production '!$C$4:$AI$4407,'Tracking Sheet'!B3188,'Production '!$W$4:$W$4407)</f>
        <v>#DIV/0!</v>
      </c>
      <c r="H3188" s="76">
        <f ca="1">SUMIF('Production '!$C$4:$AI$4407,'Tracking Sheet'!B3188,'Production '!$F$4:$F$4407)</f>
        <v>3230621.3283604058</v>
      </c>
      <c r="I3188" s="76">
        <f ca="1">SUMIF('Production '!$C$4:$AI$4407,'Tracking Sheet'!B3188,'Production '!$V$4:$V$4407)</f>
        <v>-489.86487791182844</v>
      </c>
      <c r="J3188" s="76">
        <f ca="1">SUMIF('Production '!$C$4:$AI$4407,'Tracking Sheet'!B3188,'Production '!$AG$4:$AG$4407)</f>
        <v>0</v>
      </c>
    </row>
    <row r="3189" spans="2:10" x14ac:dyDescent="0.3">
      <c r="B3189" s="277">
        <f>'Production '!C3192</f>
        <v>0</v>
      </c>
      <c r="C3189" s="76" t="e">
        <f ca="1">SUMIF('Production '!$C$4:$AI$4407,'Tracking Sheet'!B3189,'Production '!$M$4:$M$4407)</f>
        <v>#DIV/0!</v>
      </c>
      <c r="D3189" s="76" t="e">
        <f ca="1">SUMIF('Production '!$C$4:$AI$4407,'Tracking Sheet'!B3189,'Production '!$Q$4:$Q$4407)</f>
        <v>#DIV/0!</v>
      </c>
      <c r="E3189" s="76">
        <f ca="1">SUMIF('Production '!$C$4:$AI$4407,'Tracking Sheet'!B3189,'Production '!$S$4:$S$4407)</f>
        <v>-1268218.9828305368</v>
      </c>
      <c r="F3189" s="76">
        <f ca="1">SUMIF('Production '!$C$4:$AI$4407,'Tracking Sheet'!B3189,'Production '!$U$4:$U$4407)</f>
        <v>-10620.435600016917</v>
      </c>
      <c r="G3189" s="76" t="e">
        <f ca="1">SUMIF('Production '!$C$4:$AI$4407,'Tracking Sheet'!B3189,'Production '!$W$4:$W$4407)</f>
        <v>#DIV/0!</v>
      </c>
      <c r="H3189" s="76">
        <f ca="1">SUMIF('Production '!$C$4:$AI$4407,'Tracking Sheet'!B3189,'Production '!$F$4:$F$4407)</f>
        <v>3230621.3283604058</v>
      </c>
      <c r="I3189" s="76">
        <f ca="1">SUMIF('Production '!$C$4:$AI$4407,'Tracking Sheet'!B3189,'Production '!$V$4:$V$4407)</f>
        <v>-489.86487791182844</v>
      </c>
      <c r="J3189" s="76">
        <f ca="1">SUMIF('Production '!$C$4:$AI$4407,'Tracking Sheet'!B3189,'Production '!$AG$4:$AG$4407)</f>
        <v>0</v>
      </c>
    </row>
    <row r="3190" spans="2:10" x14ac:dyDescent="0.3">
      <c r="B3190" s="277">
        <f>'Production '!C3193</f>
        <v>0</v>
      </c>
      <c r="C3190" s="76" t="e">
        <f ca="1">SUMIF('Production '!$C$4:$AI$4407,'Tracking Sheet'!B3190,'Production '!$M$4:$M$4407)</f>
        <v>#DIV/0!</v>
      </c>
      <c r="D3190" s="76" t="e">
        <f ca="1">SUMIF('Production '!$C$4:$AI$4407,'Tracking Sheet'!B3190,'Production '!$Q$4:$Q$4407)</f>
        <v>#DIV/0!</v>
      </c>
      <c r="E3190" s="76">
        <f ca="1">SUMIF('Production '!$C$4:$AI$4407,'Tracking Sheet'!B3190,'Production '!$S$4:$S$4407)</f>
        <v>-1268218.9828305368</v>
      </c>
      <c r="F3190" s="76">
        <f ca="1">SUMIF('Production '!$C$4:$AI$4407,'Tracking Sheet'!B3190,'Production '!$U$4:$U$4407)</f>
        <v>-10620.435600016917</v>
      </c>
      <c r="G3190" s="76" t="e">
        <f ca="1">SUMIF('Production '!$C$4:$AI$4407,'Tracking Sheet'!B3190,'Production '!$W$4:$W$4407)</f>
        <v>#DIV/0!</v>
      </c>
      <c r="H3190" s="76">
        <f ca="1">SUMIF('Production '!$C$4:$AI$4407,'Tracking Sheet'!B3190,'Production '!$F$4:$F$4407)</f>
        <v>3230621.3283604058</v>
      </c>
      <c r="I3190" s="76">
        <f ca="1">SUMIF('Production '!$C$4:$AI$4407,'Tracking Sheet'!B3190,'Production '!$V$4:$V$4407)</f>
        <v>-489.86487791182844</v>
      </c>
      <c r="J3190" s="76">
        <f ca="1">SUMIF('Production '!$C$4:$AI$4407,'Tracking Sheet'!B3190,'Production '!$AG$4:$AG$4407)</f>
        <v>0</v>
      </c>
    </row>
    <row r="3191" spans="2:10" x14ac:dyDescent="0.3">
      <c r="B3191" s="277">
        <f>'Production '!C3194</f>
        <v>0</v>
      </c>
      <c r="C3191" s="76" t="e">
        <f ca="1">SUMIF('Production '!$C$4:$AI$4407,'Tracking Sheet'!B3191,'Production '!$M$4:$M$4407)</f>
        <v>#DIV/0!</v>
      </c>
      <c r="D3191" s="76" t="e">
        <f ca="1">SUMIF('Production '!$C$4:$AI$4407,'Tracking Sheet'!B3191,'Production '!$Q$4:$Q$4407)</f>
        <v>#DIV/0!</v>
      </c>
      <c r="E3191" s="76">
        <f ca="1">SUMIF('Production '!$C$4:$AI$4407,'Tracking Sheet'!B3191,'Production '!$S$4:$S$4407)</f>
        <v>-1268218.9828305368</v>
      </c>
      <c r="F3191" s="76">
        <f ca="1">SUMIF('Production '!$C$4:$AI$4407,'Tracking Sheet'!B3191,'Production '!$U$4:$U$4407)</f>
        <v>-10620.435600016917</v>
      </c>
      <c r="G3191" s="76" t="e">
        <f ca="1">SUMIF('Production '!$C$4:$AI$4407,'Tracking Sheet'!B3191,'Production '!$W$4:$W$4407)</f>
        <v>#DIV/0!</v>
      </c>
      <c r="H3191" s="76">
        <f ca="1">SUMIF('Production '!$C$4:$AI$4407,'Tracking Sheet'!B3191,'Production '!$F$4:$F$4407)</f>
        <v>3230621.3283604058</v>
      </c>
      <c r="I3191" s="76">
        <f ca="1">SUMIF('Production '!$C$4:$AI$4407,'Tracking Sheet'!B3191,'Production '!$V$4:$V$4407)</f>
        <v>-489.86487791182844</v>
      </c>
      <c r="J3191" s="76">
        <f ca="1">SUMIF('Production '!$C$4:$AI$4407,'Tracking Sheet'!B3191,'Production '!$AG$4:$AG$4407)</f>
        <v>0</v>
      </c>
    </row>
    <row r="3192" spans="2:10" x14ac:dyDescent="0.3">
      <c r="B3192" s="277">
        <f>'Production '!C3195</f>
        <v>0</v>
      </c>
      <c r="C3192" s="76" t="e">
        <f ca="1">SUMIF('Production '!$C$4:$AI$4407,'Tracking Sheet'!B3192,'Production '!$M$4:$M$4407)</f>
        <v>#DIV/0!</v>
      </c>
      <c r="D3192" s="76" t="e">
        <f ca="1">SUMIF('Production '!$C$4:$AI$4407,'Tracking Sheet'!B3192,'Production '!$Q$4:$Q$4407)</f>
        <v>#DIV/0!</v>
      </c>
      <c r="E3192" s="76">
        <f ca="1">SUMIF('Production '!$C$4:$AI$4407,'Tracking Sheet'!B3192,'Production '!$S$4:$S$4407)</f>
        <v>-1268218.9828305368</v>
      </c>
      <c r="F3192" s="76">
        <f ca="1">SUMIF('Production '!$C$4:$AI$4407,'Tracking Sheet'!B3192,'Production '!$U$4:$U$4407)</f>
        <v>-10620.435600016917</v>
      </c>
      <c r="G3192" s="76" t="e">
        <f ca="1">SUMIF('Production '!$C$4:$AI$4407,'Tracking Sheet'!B3192,'Production '!$W$4:$W$4407)</f>
        <v>#DIV/0!</v>
      </c>
      <c r="H3192" s="76">
        <f ca="1">SUMIF('Production '!$C$4:$AI$4407,'Tracking Sheet'!B3192,'Production '!$F$4:$F$4407)</f>
        <v>3230621.3283604058</v>
      </c>
      <c r="I3192" s="76">
        <f ca="1">SUMIF('Production '!$C$4:$AI$4407,'Tracking Sheet'!B3192,'Production '!$V$4:$V$4407)</f>
        <v>-489.86487791182844</v>
      </c>
      <c r="J3192" s="76">
        <f ca="1">SUMIF('Production '!$C$4:$AI$4407,'Tracking Sheet'!B3192,'Production '!$AG$4:$AG$4407)</f>
        <v>0</v>
      </c>
    </row>
    <row r="3193" spans="2:10" x14ac:dyDescent="0.3">
      <c r="B3193" s="277">
        <f>'Production '!C3196</f>
        <v>0</v>
      </c>
      <c r="C3193" s="76" t="e">
        <f ca="1">SUMIF('Production '!$C$4:$AI$4407,'Tracking Sheet'!B3193,'Production '!$M$4:$M$4407)</f>
        <v>#DIV/0!</v>
      </c>
      <c r="D3193" s="76" t="e">
        <f ca="1">SUMIF('Production '!$C$4:$AI$4407,'Tracking Sheet'!B3193,'Production '!$Q$4:$Q$4407)</f>
        <v>#DIV/0!</v>
      </c>
      <c r="E3193" s="76">
        <f ca="1">SUMIF('Production '!$C$4:$AI$4407,'Tracking Sheet'!B3193,'Production '!$S$4:$S$4407)</f>
        <v>-1268218.9828305368</v>
      </c>
      <c r="F3193" s="76">
        <f ca="1">SUMIF('Production '!$C$4:$AI$4407,'Tracking Sheet'!B3193,'Production '!$U$4:$U$4407)</f>
        <v>-10620.435600016917</v>
      </c>
      <c r="G3193" s="76" t="e">
        <f ca="1">SUMIF('Production '!$C$4:$AI$4407,'Tracking Sheet'!B3193,'Production '!$W$4:$W$4407)</f>
        <v>#DIV/0!</v>
      </c>
      <c r="H3193" s="76">
        <f ca="1">SUMIF('Production '!$C$4:$AI$4407,'Tracking Sheet'!B3193,'Production '!$F$4:$F$4407)</f>
        <v>3230621.3283604058</v>
      </c>
      <c r="I3193" s="76">
        <f ca="1">SUMIF('Production '!$C$4:$AI$4407,'Tracking Sheet'!B3193,'Production '!$V$4:$V$4407)</f>
        <v>-489.86487791182844</v>
      </c>
      <c r="J3193" s="76">
        <f ca="1">SUMIF('Production '!$C$4:$AI$4407,'Tracking Sheet'!B3193,'Production '!$AG$4:$AG$4407)</f>
        <v>0</v>
      </c>
    </row>
    <row r="3194" spans="2:10" x14ac:dyDescent="0.3">
      <c r="B3194" s="277">
        <f>'Production '!C3197</f>
        <v>0</v>
      </c>
      <c r="C3194" s="76" t="e">
        <f ca="1">SUMIF('Production '!$C$4:$AI$4407,'Tracking Sheet'!B3194,'Production '!$M$4:$M$4407)</f>
        <v>#DIV/0!</v>
      </c>
      <c r="D3194" s="76" t="e">
        <f ca="1">SUMIF('Production '!$C$4:$AI$4407,'Tracking Sheet'!B3194,'Production '!$Q$4:$Q$4407)</f>
        <v>#DIV/0!</v>
      </c>
      <c r="E3194" s="76">
        <f ca="1">SUMIF('Production '!$C$4:$AI$4407,'Tracking Sheet'!B3194,'Production '!$S$4:$S$4407)</f>
        <v>-1268218.9828305368</v>
      </c>
      <c r="F3194" s="76">
        <f ca="1">SUMIF('Production '!$C$4:$AI$4407,'Tracking Sheet'!B3194,'Production '!$U$4:$U$4407)</f>
        <v>-10620.435600016917</v>
      </c>
      <c r="G3194" s="76" t="e">
        <f ca="1">SUMIF('Production '!$C$4:$AI$4407,'Tracking Sheet'!B3194,'Production '!$W$4:$W$4407)</f>
        <v>#DIV/0!</v>
      </c>
      <c r="H3194" s="76">
        <f ca="1">SUMIF('Production '!$C$4:$AI$4407,'Tracking Sheet'!B3194,'Production '!$F$4:$F$4407)</f>
        <v>3230621.3283604058</v>
      </c>
      <c r="I3194" s="76">
        <f ca="1">SUMIF('Production '!$C$4:$AI$4407,'Tracking Sheet'!B3194,'Production '!$V$4:$V$4407)</f>
        <v>-489.86487791182844</v>
      </c>
      <c r="J3194" s="76">
        <f ca="1">SUMIF('Production '!$C$4:$AI$4407,'Tracking Sheet'!B3194,'Production '!$AG$4:$AG$4407)</f>
        <v>0</v>
      </c>
    </row>
    <row r="3195" spans="2:10" x14ac:dyDescent="0.3">
      <c r="B3195" s="277">
        <f>'Production '!C3198</f>
        <v>0</v>
      </c>
      <c r="C3195" s="76" t="e">
        <f ca="1">SUMIF('Production '!$C$4:$AI$4407,'Tracking Sheet'!B3195,'Production '!$M$4:$M$4407)</f>
        <v>#DIV/0!</v>
      </c>
      <c r="D3195" s="76" t="e">
        <f ca="1">SUMIF('Production '!$C$4:$AI$4407,'Tracking Sheet'!B3195,'Production '!$Q$4:$Q$4407)</f>
        <v>#DIV/0!</v>
      </c>
      <c r="E3195" s="76">
        <f ca="1">SUMIF('Production '!$C$4:$AI$4407,'Tracking Sheet'!B3195,'Production '!$S$4:$S$4407)</f>
        <v>-1268218.9828305368</v>
      </c>
      <c r="F3195" s="76">
        <f ca="1">SUMIF('Production '!$C$4:$AI$4407,'Tracking Sheet'!B3195,'Production '!$U$4:$U$4407)</f>
        <v>-10620.435600016917</v>
      </c>
      <c r="G3195" s="76" t="e">
        <f ca="1">SUMIF('Production '!$C$4:$AI$4407,'Tracking Sheet'!B3195,'Production '!$W$4:$W$4407)</f>
        <v>#DIV/0!</v>
      </c>
      <c r="H3195" s="76">
        <f ca="1">SUMIF('Production '!$C$4:$AI$4407,'Tracking Sheet'!B3195,'Production '!$F$4:$F$4407)</f>
        <v>3230621.3283604058</v>
      </c>
      <c r="I3195" s="76">
        <f ca="1">SUMIF('Production '!$C$4:$AI$4407,'Tracking Sheet'!B3195,'Production '!$V$4:$V$4407)</f>
        <v>-489.86487791182844</v>
      </c>
      <c r="J3195" s="76">
        <f ca="1">SUMIF('Production '!$C$4:$AI$4407,'Tracking Sheet'!B3195,'Production '!$AG$4:$AG$4407)</f>
        <v>0</v>
      </c>
    </row>
    <row r="3196" spans="2:10" x14ac:dyDescent="0.3">
      <c r="B3196" s="277">
        <f>'Production '!C3199</f>
        <v>0</v>
      </c>
      <c r="C3196" s="76" t="e">
        <f ca="1">SUMIF('Production '!$C$4:$AI$4407,'Tracking Sheet'!B3196,'Production '!$M$4:$M$4407)</f>
        <v>#DIV/0!</v>
      </c>
      <c r="D3196" s="76" t="e">
        <f ca="1">SUMIF('Production '!$C$4:$AI$4407,'Tracking Sheet'!B3196,'Production '!$Q$4:$Q$4407)</f>
        <v>#DIV/0!</v>
      </c>
      <c r="E3196" s="76">
        <f ca="1">SUMIF('Production '!$C$4:$AI$4407,'Tracking Sheet'!B3196,'Production '!$S$4:$S$4407)</f>
        <v>-1268218.9828305368</v>
      </c>
      <c r="F3196" s="76">
        <f ca="1">SUMIF('Production '!$C$4:$AI$4407,'Tracking Sheet'!B3196,'Production '!$U$4:$U$4407)</f>
        <v>-10620.435600016917</v>
      </c>
      <c r="G3196" s="76" t="e">
        <f ca="1">SUMIF('Production '!$C$4:$AI$4407,'Tracking Sheet'!B3196,'Production '!$W$4:$W$4407)</f>
        <v>#DIV/0!</v>
      </c>
      <c r="H3196" s="76">
        <f ca="1">SUMIF('Production '!$C$4:$AI$4407,'Tracking Sheet'!B3196,'Production '!$F$4:$F$4407)</f>
        <v>3230621.3283604058</v>
      </c>
      <c r="I3196" s="76">
        <f ca="1">SUMIF('Production '!$C$4:$AI$4407,'Tracking Sheet'!B3196,'Production '!$V$4:$V$4407)</f>
        <v>-489.86487791182844</v>
      </c>
      <c r="J3196" s="76">
        <f ca="1">SUMIF('Production '!$C$4:$AI$4407,'Tracking Sheet'!B3196,'Production '!$AG$4:$AG$4407)</f>
        <v>0</v>
      </c>
    </row>
    <row r="3197" spans="2:10" x14ac:dyDescent="0.3">
      <c r="B3197" s="277">
        <f>'Production '!C3200</f>
        <v>0</v>
      </c>
      <c r="C3197" s="76" t="e">
        <f ca="1">SUMIF('Production '!$C$4:$AI$4407,'Tracking Sheet'!B3197,'Production '!$M$4:$M$4407)</f>
        <v>#DIV/0!</v>
      </c>
      <c r="D3197" s="76" t="e">
        <f ca="1">SUMIF('Production '!$C$4:$AI$4407,'Tracking Sheet'!B3197,'Production '!$Q$4:$Q$4407)</f>
        <v>#DIV/0!</v>
      </c>
      <c r="E3197" s="76">
        <f ca="1">SUMIF('Production '!$C$4:$AI$4407,'Tracking Sheet'!B3197,'Production '!$S$4:$S$4407)</f>
        <v>-1268218.9828305368</v>
      </c>
      <c r="F3197" s="76">
        <f ca="1">SUMIF('Production '!$C$4:$AI$4407,'Tracking Sheet'!B3197,'Production '!$U$4:$U$4407)</f>
        <v>-10620.435600016917</v>
      </c>
      <c r="G3197" s="76" t="e">
        <f ca="1">SUMIF('Production '!$C$4:$AI$4407,'Tracking Sheet'!B3197,'Production '!$W$4:$W$4407)</f>
        <v>#DIV/0!</v>
      </c>
      <c r="H3197" s="76">
        <f ca="1">SUMIF('Production '!$C$4:$AI$4407,'Tracking Sheet'!B3197,'Production '!$F$4:$F$4407)</f>
        <v>3230621.3283604058</v>
      </c>
      <c r="I3197" s="76">
        <f ca="1">SUMIF('Production '!$C$4:$AI$4407,'Tracking Sheet'!B3197,'Production '!$V$4:$V$4407)</f>
        <v>-489.86487791182844</v>
      </c>
      <c r="J3197" s="76">
        <f ca="1">SUMIF('Production '!$C$4:$AI$4407,'Tracking Sheet'!B3197,'Production '!$AG$4:$AG$4407)</f>
        <v>0</v>
      </c>
    </row>
    <row r="3198" spans="2:10" x14ac:dyDescent="0.3">
      <c r="B3198" s="277">
        <f>'Production '!C3201</f>
        <v>0</v>
      </c>
      <c r="C3198" s="76" t="e">
        <f ca="1">SUMIF('Production '!$C$4:$AI$4407,'Tracking Sheet'!B3198,'Production '!$M$4:$M$4407)</f>
        <v>#DIV/0!</v>
      </c>
      <c r="D3198" s="76" t="e">
        <f ca="1">SUMIF('Production '!$C$4:$AI$4407,'Tracking Sheet'!B3198,'Production '!$Q$4:$Q$4407)</f>
        <v>#DIV/0!</v>
      </c>
      <c r="E3198" s="76">
        <f ca="1">SUMIF('Production '!$C$4:$AI$4407,'Tracking Sheet'!B3198,'Production '!$S$4:$S$4407)</f>
        <v>-1268218.9828305368</v>
      </c>
      <c r="F3198" s="76">
        <f ca="1">SUMIF('Production '!$C$4:$AI$4407,'Tracking Sheet'!B3198,'Production '!$U$4:$U$4407)</f>
        <v>-10620.435600016917</v>
      </c>
      <c r="G3198" s="76" t="e">
        <f ca="1">SUMIF('Production '!$C$4:$AI$4407,'Tracking Sheet'!B3198,'Production '!$W$4:$W$4407)</f>
        <v>#DIV/0!</v>
      </c>
      <c r="H3198" s="76">
        <f ca="1">SUMIF('Production '!$C$4:$AI$4407,'Tracking Sheet'!B3198,'Production '!$F$4:$F$4407)</f>
        <v>3230621.3283604058</v>
      </c>
      <c r="I3198" s="76">
        <f ca="1">SUMIF('Production '!$C$4:$AI$4407,'Tracking Sheet'!B3198,'Production '!$V$4:$V$4407)</f>
        <v>-489.86487791182844</v>
      </c>
      <c r="J3198" s="76">
        <f ca="1">SUMIF('Production '!$C$4:$AI$4407,'Tracking Sheet'!B3198,'Production '!$AG$4:$AG$4407)</f>
        <v>0</v>
      </c>
    </row>
    <row r="3199" spans="2:10" x14ac:dyDescent="0.3">
      <c r="B3199" s="277">
        <f>'Production '!C3202</f>
        <v>0</v>
      </c>
      <c r="C3199" s="76" t="e">
        <f ca="1">SUMIF('Production '!$C$4:$AI$4407,'Tracking Sheet'!B3199,'Production '!$M$4:$M$4407)</f>
        <v>#DIV/0!</v>
      </c>
      <c r="D3199" s="76" t="e">
        <f ca="1">SUMIF('Production '!$C$4:$AI$4407,'Tracking Sheet'!B3199,'Production '!$Q$4:$Q$4407)</f>
        <v>#DIV/0!</v>
      </c>
      <c r="E3199" s="76">
        <f ca="1">SUMIF('Production '!$C$4:$AI$4407,'Tracking Sheet'!B3199,'Production '!$S$4:$S$4407)</f>
        <v>-1268218.9828305368</v>
      </c>
      <c r="F3199" s="76">
        <f ca="1">SUMIF('Production '!$C$4:$AI$4407,'Tracking Sheet'!B3199,'Production '!$U$4:$U$4407)</f>
        <v>-10620.435600016917</v>
      </c>
      <c r="G3199" s="76" t="e">
        <f ca="1">SUMIF('Production '!$C$4:$AI$4407,'Tracking Sheet'!B3199,'Production '!$W$4:$W$4407)</f>
        <v>#DIV/0!</v>
      </c>
      <c r="H3199" s="76">
        <f ca="1">SUMIF('Production '!$C$4:$AI$4407,'Tracking Sheet'!B3199,'Production '!$F$4:$F$4407)</f>
        <v>3230621.3283604058</v>
      </c>
      <c r="I3199" s="76">
        <f ca="1">SUMIF('Production '!$C$4:$AI$4407,'Tracking Sheet'!B3199,'Production '!$V$4:$V$4407)</f>
        <v>-489.86487791182844</v>
      </c>
      <c r="J3199" s="76">
        <f ca="1">SUMIF('Production '!$C$4:$AI$4407,'Tracking Sheet'!B3199,'Production '!$AG$4:$AG$4407)</f>
        <v>0</v>
      </c>
    </row>
    <row r="3200" spans="2:10" x14ac:dyDescent="0.3">
      <c r="B3200" s="277">
        <f>'Production '!C3203</f>
        <v>0</v>
      </c>
      <c r="C3200" s="76" t="e">
        <f ca="1">SUMIF('Production '!$C$4:$AI$4407,'Tracking Sheet'!B3200,'Production '!$M$4:$M$4407)</f>
        <v>#DIV/0!</v>
      </c>
      <c r="D3200" s="76" t="e">
        <f ca="1">SUMIF('Production '!$C$4:$AI$4407,'Tracking Sheet'!B3200,'Production '!$Q$4:$Q$4407)</f>
        <v>#DIV/0!</v>
      </c>
      <c r="E3200" s="76">
        <f ca="1">SUMIF('Production '!$C$4:$AI$4407,'Tracking Sheet'!B3200,'Production '!$S$4:$S$4407)</f>
        <v>-1268218.9828305368</v>
      </c>
      <c r="F3200" s="76">
        <f ca="1">SUMIF('Production '!$C$4:$AI$4407,'Tracking Sheet'!B3200,'Production '!$U$4:$U$4407)</f>
        <v>-10620.435600016917</v>
      </c>
      <c r="G3200" s="76" t="e">
        <f ca="1">SUMIF('Production '!$C$4:$AI$4407,'Tracking Sheet'!B3200,'Production '!$W$4:$W$4407)</f>
        <v>#DIV/0!</v>
      </c>
      <c r="H3200" s="76">
        <f ca="1">SUMIF('Production '!$C$4:$AI$4407,'Tracking Sheet'!B3200,'Production '!$F$4:$F$4407)</f>
        <v>3230621.3283604058</v>
      </c>
      <c r="I3200" s="76">
        <f ca="1">SUMIF('Production '!$C$4:$AI$4407,'Tracking Sheet'!B3200,'Production '!$V$4:$V$4407)</f>
        <v>-489.86487791182844</v>
      </c>
      <c r="J3200" s="76">
        <f ca="1">SUMIF('Production '!$C$4:$AI$4407,'Tracking Sheet'!B3200,'Production '!$AG$4:$AG$4407)</f>
        <v>0</v>
      </c>
    </row>
    <row r="3201" spans="2:10" x14ac:dyDescent="0.3">
      <c r="B3201" s="277">
        <f>'Production '!C3204</f>
        <v>0</v>
      </c>
      <c r="C3201" s="76" t="e">
        <f ca="1">SUMIF('Production '!$C$4:$AI$4407,'Tracking Sheet'!B3201,'Production '!$M$4:$M$4407)</f>
        <v>#DIV/0!</v>
      </c>
      <c r="D3201" s="76" t="e">
        <f ca="1">SUMIF('Production '!$C$4:$AI$4407,'Tracking Sheet'!B3201,'Production '!$Q$4:$Q$4407)</f>
        <v>#DIV/0!</v>
      </c>
      <c r="E3201" s="76">
        <f ca="1">SUMIF('Production '!$C$4:$AI$4407,'Tracking Sheet'!B3201,'Production '!$S$4:$S$4407)</f>
        <v>-1268218.9828305368</v>
      </c>
      <c r="F3201" s="76">
        <f ca="1">SUMIF('Production '!$C$4:$AI$4407,'Tracking Sheet'!B3201,'Production '!$U$4:$U$4407)</f>
        <v>-10620.435600016917</v>
      </c>
      <c r="G3201" s="76" t="e">
        <f ca="1">SUMIF('Production '!$C$4:$AI$4407,'Tracking Sheet'!B3201,'Production '!$W$4:$W$4407)</f>
        <v>#DIV/0!</v>
      </c>
      <c r="H3201" s="76">
        <f ca="1">SUMIF('Production '!$C$4:$AI$4407,'Tracking Sheet'!B3201,'Production '!$F$4:$F$4407)</f>
        <v>3230621.3283604058</v>
      </c>
      <c r="I3201" s="76">
        <f ca="1">SUMIF('Production '!$C$4:$AI$4407,'Tracking Sheet'!B3201,'Production '!$V$4:$V$4407)</f>
        <v>-489.86487791182844</v>
      </c>
      <c r="J3201" s="76">
        <f ca="1">SUMIF('Production '!$C$4:$AI$4407,'Tracking Sheet'!B3201,'Production '!$AG$4:$AG$4407)</f>
        <v>0</v>
      </c>
    </row>
    <row r="3202" spans="2:10" x14ac:dyDescent="0.3">
      <c r="B3202" s="277">
        <f>'Production '!C3205</f>
        <v>0</v>
      </c>
      <c r="C3202" s="76" t="e">
        <f ca="1">SUMIF('Production '!$C$4:$AI$4407,'Tracking Sheet'!B3202,'Production '!$M$4:$M$4407)</f>
        <v>#DIV/0!</v>
      </c>
      <c r="D3202" s="76" t="e">
        <f ca="1">SUMIF('Production '!$C$4:$AI$4407,'Tracking Sheet'!B3202,'Production '!$Q$4:$Q$4407)</f>
        <v>#DIV/0!</v>
      </c>
      <c r="E3202" s="76">
        <f ca="1">SUMIF('Production '!$C$4:$AI$4407,'Tracking Sheet'!B3202,'Production '!$S$4:$S$4407)</f>
        <v>-1268218.9828305368</v>
      </c>
      <c r="F3202" s="76">
        <f ca="1">SUMIF('Production '!$C$4:$AI$4407,'Tracking Sheet'!B3202,'Production '!$U$4:$U$4407)</f>
        <v>-10620.435600016917</v>
      </c>
      <c r="G3202" s="76" t="e">
        <f ca="1">SUMIF('Production '!$C$4:$AI$4407,'Tracking Sheet'!B3202,'Production '!$W$4:$W$4407)</f>
        <v>#DIV/0!</v>
      </c>
      <c r="H3202" s="76">
        <f ca="1">SUMIF('Production '!$C$4:$AI$4407,'Tracking Sheet'!B3202,'Production '!$F$4:$F$4407)</f>
        <v>3230621.3283604058</v>
      </c>
      <c r="I3202" s="76">
        <f ca="1">SUMIF('Production '!$C$4:$AI$4407,'Tracking Sheet'!B3202,'Production '!$V$4:$V$4407)</f>
        <v>-489.86487791182844</v>
      </c>
      <c r="J3202" s="76">
        <f ca="1">SUMIF('Production '!$C$4:$AI$4407,'Tracking Sheet'!B3202,'Production '!$AG$4:$AG$4407)</f>
        <v>0</v>
      </c>
    </row>
    <row r="3203" spans="2:10" x14ac:dyDescent="0.3">
      <c r="B3203" s="277">
        <f>'Production '!C3206</f>
        <v>0</v>
      </c>
      <c r="C3203" s="76" t="e">
        <f ca="1">SUMIF('Production '!$C$4:$AI$4407,'Tracking Sheet'!B3203,'Production '!$M$4:$M$4407)</f>
        <v>#DIV/0!</v>
      </c>
      <c r="D3203" s="76" t="e">
        <f ca="1">SUMIF('Production '!$C$4:$AI$4407,'Tracking Sheet'!B3203,'Production '!$Q$4:$Q$4407)</f>
        <v>#DIV/0!</v>
      </c>
      <c r="E3203" s="76">
        <f ca="1">SUMIF('Production '!$C$4:$AI$4407,'Tracking Sheet'!B3203,'Production '!$S$4:$S$4407)</f>
        <v>-1268218.9828305368</v>
      </c>
      <c r="F3203" s="76">
        <f ca="1">SUMIF('Production '!$C$4:$AI$4407,'Tracking Sheet'!B3203,'Production '!$U$4:$U$4407)</f>
        <v>-10620.435600016917</v>
      </c>
      <c r="G3203" s="76" t="e">
        <f ca="1">SUMIF('Production '!$C$4:$AI$4407,'Tracking Sheet'!B3203,'Production '!$W$4:$W$4407)</f>
        <v>#DIV/0!</v>
      </c>
      <c r="H3203" s="76">
        <f ca="1">SUMIF('Production '!$C$4:$AI$4407,'Tracking Sheet'!B3203,'Production '!$F$4:$F$4407)</f>
        <v>3230621.3283604058</v>
      </c>
      <c r="I3203" s="76">
        <f ca="1">SUMIF('Production '!$C$4:$AI$4407,'Tracking Sheet'!B3203,'Production '!$V$4:$V$4407)</f>
        <v>-489.86487791182844</v>
      </c>
      <c r="J3203" s="76">
        <f ca="1">SUMIF('Production '!$C$4:$AI$4407,'Tracking Sheet'!B3203,'Production '!$AG$4:$AG$4407)</f>
        <v>0</v>
      </c>
    </row>
    <row r="3204" spans="2:10" x14ac:dyDescent="0.3">
      <c r="B3204" s="277">
        <f>'Production '!C3207</f>
        <v>0</v>
      </c>
      <c r="C3204" s="76" t="e">
        <f ca="1">SUMIF('Production '!$C$4:$AI$4407,'Tracking Sheet'!B3204,'Production '!$M$4:$M$4407)</f>
        <v>#DIV/0!</v>
      </c>
      <c r="D3204" s="76" t="e">
        <f ca="1">SUMIF('Production '!$C$4:$AI$4407,'Tracking Sheet'!B3204,'Production '!$Q$4:$Q$4407)</f>
        <v>#DIV/0!</v>
      </c>
      <c r="E3204" s="76">
        <f ca="1">SUMIF('Production '!$C$4:$AI$4407,'Tracking Sheet'!B3204,'Production '!$S$4:$S$4407)</f>
        <v>-1268218.9828305368</v>
      </c>
      <c r="F3204" s="76">
        <f ca="1">SUMIF('Production '!$C$4:$AI$4407,'Tracking Sheet'!B3204,'Production '!$U$4:$U$4407)</f>
        <v>-10620.435600016917</v>
      </c>
      <c r="G3204" s="76" t="e">
        <f ca="1">SUMIF('Production '!$C$4:$AI$4407,'Tracking Sheet'!B3204,'Production '!$W$4:$W$4407)</f>
        <v>#DIV/0!</v>
      </c>
      <c r="H3204" s="76">
        <f ca="1">SUMIF('Production '!$C$4:$AI$4407,'Tracking Sheet'!B3204,'Production '!$F$4:$F$4407)</f>
        <v>3230621.3283604058</v>
      </c>
      <c r="I3204" s="76">
        <f ca="1">SUMIF('Production '!$C$4:$AI$4407,'Tracking Sheet'!B3204,'Production '!$V$4:$V$4407)</f>
        <v>-489.86487791182844</v>
      </c>
      <c r="J3204" s="76">
        <f ca="1">SUMIF('Production '!$C$4:$AI$4407,'Tracking Sheet'!B3204,'Production '!$AG$4:$AG$4407)</f>
        <v>0</v>
      </c>
    </row>
    <row r="3205" spans="2:10" x14ac:dyDescent="0.3">
      <c r="B3205" s="277">
        <f>'Production '!C3208</f>
        <v>0</v>
      </c>
      <c r="C3205" s="76" t="e">
        <f ca="1">SUMIF('Production '!$C$4:$AI$4407,'Tracking Sheet'!B3205,'Production '!$M$4:$M$4407)</f>
        <v>#DIV/0!</v>
      </c>
      <c r="D3205" s="76" t="e">
        <f ca="1">SUMIF('Production '!$C$4:$AI$4407,'Tracking Sheet'!B3205,'Production '!$Q$4:$Q$4407)</f>
        <v>#DIV/0!</v>
      </c>
      <c r="E3205" s="76">
        <f ca="1">SUMIF('Production '!$C$4:$AI$4407,'Tracking Sheet'!B3205,'Production '!$S$4:$S$4407)</f>
        <v>-1268218.9828305368</v>
      </c>
      <c r="F3205" s="76">
        <f ca="1">SUMIF('Production '!$C$4:$AI$4407,'Tracking Sheet'!B3205,'Production '!$U$4:$U$4407)</f>
        <v>-10620.435600016917</v>
      </c>
      <c r="G3205" s="76" t="e">
        <f ca="1">SUMIF('Production '!$C$4:$AI$4407,'Tracking Sheet'!B3205,'Production '!$W$4:$W$4407)</f>
        <v>#DIV/0!</v>
      </c>
      <c r="H3205" s="76">
        <f ca="1">SUMIF('Production '!$C$4:$AI$4407,'Tracking Sheet'!B3205,'Production '!$F$4:$F$4407)</f>
        <v>3230621.3283604058</v>
      </c>
      <c r="I3205" s="76">
        <f ca="1">SUMIF('Production '!$C$4:$AI$4407,'Tracking Sheet'!B3205,'Production '!$V$4:$V$4407)</f>
        <v>-489.86487791182844</v>
      </c>
      <c r="J3205" s="76">
        <f ca="1">SUMIF('Production '!$C$4:$AI$4407,'Tracking Sheet'!B3205,'Production '!$AG$4:$AG$4407)</f>
        <v>0</v>
      </c>
    </row>
    <row r="3206" spans="2:10" x14ac:dyDescent="0.3">
      <c r="B3206" s="277">
        <f>'Production '!C3209</f>
        <v>0</v>
      </c>
      <c r="C3206" s="76" t="e">
        <f ca="1">SUMIF('Production '!$C$4:$AI$4407,'Tracking Sheet'!B3206,'Production '!$M$4:$M$4407)</f>
        <v>#DIV/0!</v>
      </c>
      <c r="D3206" s="76" t="e">
        <f ca="1">SUMIF('Production '!$C$4:$AI$4407,'Tracking Sheet'!B3206,'Production '!$Q$4:$Q$4407)</f>
        <v>#DIV/0!</v>
      </c>
      <c r="E3206" s="76">
        <f ca="1">SUMIF('Production '!$C$4:$AI$4407,'Tracking Sheet'!B3206,'Production '!$S$4:$S$4407)</f>
        <v>-1268218.9828305368</v>
      </c>
      <c r="F3206" s="76">
        <f ca="1">SUMIF('Production '!$C$4:$AI$4407,'Tracking Sheet'!B3206,'Production '!$U$4:$U$4407)</f>
        <v>-10620.435600016917</v>
      </c>
      <c r="G3206" s="76" t="e">
        <f ca="1">SUMIF('Production '!$C$4:$AI$4407,'Tracking Sheet'!B3206,'Production '!$W$4:$W$4407)</f>
        <v>#DIV/0!</v>
      </c>
      <c r="H3206" s="76">
        <f ca="1">SUMIF('Production '!$C$4:$AI$4407,'Tracking Sheet'!B3206,'Production '!$F$4:$F$4407)</f>
        <v>3230621.3283604058</v>
      </c>
      <c r="I3206" s="76">
        <f ca="1">SUMIF('Production '!$C$4:$AI$4407,'Tracking Sheet'!B3206,'Production '!$V$4:$V$4407)</f>
        <v>-489.86487791182844</v>
      </c>
      <c r="J3206" s="76">
        <f ca="1">SUMIF('Production '!$C$4:$AI$4407,'Tracking Sheet'!B3206,'Production '!$AG$4:$AG$4407)</f>
        <v>0</v>
      </c>
    </row>
    <row r="3207" spans="2:10" x14ac:dyDescent="0.3">
      <c r="B3207" s="277">
        <f>'Production '!C3210</f>
        <v>0</v>
      </c>
      <c r="C3207" s="76" t="e">
        <f ca="1">SUMIF('Production '!$C$4:$AI$4407,'Tracking Sheet'!B3207,'Production '!$M$4:$M$4407)</f>
        <v>#DIV/0!</v>
      </c>
      <c r="D3207" s="76" t="e">
        <f ca="1">SUMIF('Production '!$C$4:$AI$4407,'Tracking Sheet'!B3207,'Production '!$Q$4:$Q$4407)</f>
        <v>#DIV/0!</v>
      </c>
      <c r="E3207" s="76">
        <f ca="1">SUMIF('Production '!$C$4:$AI$4407,'Tracking Sheet'!B3207,'Production '!$S$4:$S$4407)</f>
        <v>-1268218.9828305368</v>
      </c>
      <c r="F3207" s="76">
        <f ca="1">SUMIF('Production '!$C$4:$AI$4407,'Tracking Sheet'!B3207,'Production '!$U$4:$U$4407)</f>
        <v>-10620.435600016917</v>
      </c>
      <c r="G3207" s="76" t="e">
        <f ca="1">SUMIF('Production '!$C$4:$AI$4407,'Tracking Sheet'!B3207,'Production '!$W$4:$W$4407)</f>
        <v>#DIV/0!</v>
      </c>
      <c r="H3207" s="76">
        <f ca="1">SUMIF('Production '!$C$4:$AI$4407,'Tracking Sheet'!B3207,'Production '!$F$4:$F$4407)</f>
        <v>3230621.3283604058</v>
      </c>
      <c r="I3207" s="76">
        <f ca="1">SUMIF('Production '!$C$4:$AI$4407,'Tracking Sheet'!B3207,'Production '!$V$4:$V$4407)</f>
        <v>-489.86487791182844</v>
      </c>
      <c r="J3207" s="76">
        <f ca="1">SUMIF('Production '!$C$4:$AI$4407,'Tracking Sheet'!B3207,'Production '!$AG$4:$AG$4407)</f>
        <v>0</v>
      </c>
    </row>
    <row r="3208" spans="2:10" x14ac:dyDescent="0.3">
      <c r="B3208" s="277">
        <f>'Production '!C3211</f>
        <v>0</v>
      </c>
      <c r="C3208" s="76" t="e">
        <f ca="1">SUMIF('Production '!$C$4:$AI$4407,'Tracking Sheet'!B3208,'Production '!$M$4:$M$4407)</f>
        <v>#DIV/0!</v>
      </c>
      <c r="D3208" s="76" t="e">
        <f ca="1">SUMIF('Production '!$C$4:$AI$4407,'Tracking Sheet'!B3208,'Production '!$Q$4:$Q$4407)</f>
        <v>#DIV/0!</v>
      </c>
      <c r="E3208" s="76">
        <f ca="1">SUMIF('Production '!$C$4:$AI$4407,'Tracking Sheet'!B3208,'Production '!$S$4:$S$4407)</f>
        <v>-1268218.9828305368</v>
      </c>
      <c r="F3208" s="76">
        <f ca="1">SUMIF('Production '!$C$4:$AI$4407,'Tracking Sheet'!B3208,'Production '!$U$4:$U$4407)</f>
        <v>-10620.435600016917</v>
      </c>
      <c r="G3208" s="76" t="e">
        <f ca="1">SUMIF('Production '!$C$4:$AI$4407,'Tracking Sheet'!B3208,'Production '!$W$4:$W$4407)</f>
        <v>#DIV/0!</v>
      </c>
      <c r="H3208" s="76">
        <f ca="1">SUMIF('Production '!$C$4:$AI$4407,'Tracking Sheet'!B3208,'Production '!$F$4:$F$4407)</f>
        <v>3230621.3283604058</v>
      </c>
      <c r="I3208" s="76">
        <f ca="1">SUMIF('Production '!$C$4:$AI$4407,'Tracking Sheet'!B3208,'Production '!$V$4:$V$4407)</f>
        <v>-489.86487791182844</v>
      </c>
      <c r="J3208" s="76">
        <f ca="1">SUMIF('Production '!$C$4:$AI$4407,'Tracking Sheet'!B3208,'Production '!$AG$4:$AG$4407)</f>
        <v>0</v>
      </c>
    </row>
    <row r="3209" spans="2:10" x14ac:dyDescent="0.3">
      <c r="B3209" s="277">
        <f>'Production '!C3212</f>
        <v>0</v>
      </c>
      <c r="C3209" s="76" t="e">
        <f ca="1">SUMIF('Production '!$C$4:$AI$4407,'Tracking Sheet'!B3209,'Production '!$M$4:$M$4407)</f>
        <v>#DIV/0!</v>
      </c>
      <c r="D3209" s="76" t="e">
        <f ca="1">SUMIF('Production '!$C$4:$AI$4407,'Tracking Sheet'!B3209,'Production '!$Q$4:$Q$4407)</f>
        <v>#DIV/0!</v>
      </c>
      <c r="E3209" s="76">
        <f ca="1">SUMIF('Production '!$C$4:$AI$4407,'Tracking Sheet'!B3209,'Production '!$S$4:$S$4407)</f>
        <v>-1268218.9828305368</v>
      </c>
      <c r="F3209" s="76">
        <f ca="1">SUMIF('Production '!$C$4:$AI$4407,'Tracking Sheet'!B3209,'Production '!$U$4:$U$4407)</f>
        <v>-10620.435600016917</v>
      </c>
      <c r="G3209" s="76" t="e">
        <f ca="1">SUMIF('Production '!$C$4:$AI$4407,'Tracking Sheet'!B3209,'Production '!$W$4:$W$4407)</f>
        <v>#DIV/0!</v>
      </c>
      <c r="H3209" s="76">
        <f ca="1">SUMIF('Production '!$C$4:$AI$4407,'Tracking Sheet'!B3209,'Production '!$F$4:$F$4407)</f>
        <v>3230621.3283604058</v>
      </c>
      <c r="I3209" s="76">
        <f ca="1">SUMIF('Production '!$C$4:$AI$4407,'Tracking Sheet'!B3209,'Production '!$V$4:$V$4407)</f>
        <v>-489.86487791182844</v>
      </c>
      <c r="J3209" s="76">
        <f ca="1">SUMIF('Production '!$C$4:$AI$4407,'Tracking Sheet'!B3209,'Production '!$AG$4:$AG$4407)</f>
        <v>0</v>
      </c>
    </row>
    <row r="3210" spans="2:10" x14ac:dyDescent="0.3">
      <c r="B3210" s="277">
        <f>'Production '!C3213</f>
        <v>0</v>
      </c>
      <c r="C3210" s="76" t="e">
        <f ca="1">SUMIF('Production '!$C$4:$AI$4407,'Tracking Sheet'!B3210,'Production '!$M$4:$M$4407)</f>
        <v>#DIV/0!</v>
      </c>
      <c r="D3210" s="76" t="e">
        <f ca="1">SUMIF('Production '!$C$4:$AI$4407,'Tracking Sheet'!B3210,'Production '!$Q$4:$Q$4407)</f>
        <v>#DIV/0!</v>
      </c>
      <c r="E3210" s="76">
        <f ca="1">SUMIF('Production '!$C$4:$AI$4407,'Tracking Sheet'!B3210,'Production '!$S$4:$S$4407)</f>
        <v>-1268218.9828305368</v>
      </c>
      <c r="F3210" s="76">
        <f ca="1">SUMIF('Production '!$C$4:$AI$4407,'Tracking Sheet'!B3210,'Production '!$U$4:$U$4407)</f>
        <v>-10620.435600016917</v>
      </c>
      <c r="G3210" s="76" t="e">
        <f ca="1">SUMIF('Production '!$C$4:$AI$4407,'Tracking Sheet'!B3210,'Production '!$W$4:$W$4407)</f>
        <v>#DIV/0!</v>
      </c>
      <c r="H3210" s="76">
        <f ca="1">SUMIF('Production '!$C$4:$AI$4407,'Tracking Sheet'!B3210,'Production '!$F$4:$F$4407)</f>
        <v>3230621.3283604058</v>
      </c>
      <c r="I3210" s="76">
        <f ca="1">SUMIF('Production '!$C$4:$AI$4407,'Tracking Sheet'!B3210,'Production '!$V$4:$V$4407)</f>
        <v>-489.86487791182844</v>
      </c>
      <c r="J3210" s="76">
        <f ca="1">SUMIF('Production '!$C$4:$AI$4407,'Tracking Sheet'!B3210,'Production '!$AG$4:$AG$4407)</f>
        <v>0</v>
      </c>
    </row>
    <row r="3211" spans="2:10" x14ac:dyDescent="0.3">
      <c r="B3211" s="277">
        <f>'Production '!C3214</f>
        <v>0</v>
      </c>
      <c r="C3211" s="76" t="e">
        <f ca="1">SUMIF('Production '!$C$4:$AI$4407,'Tracking Sheet'!B3211,'Production '!$M$4:$M$4407)</f>
        <v>#DIV/0!</v>
      </c>
      <c r="D3211" s="76" t="e">
        <f ca="1">SUMIF('Production '!$C$4:$AI$4407,'Tracking Sheet'!B3211,'Production '!$Q$4:$Q$4407)</f>
        <v>#DIV/0!</v>
      </c>
      <c r="E3211" s="76">
        <f ca="1">SUMIF('Production '!$C$4:$AI$4407,'Tracking Sheet'!B3211,'Production '!$S$4:$S$4407)</f>
        <v>-1268218.9828305368</v>
      </c>
      <c r="F3211" s="76">
        <f ca="1">SUMIF('Production '!$C$4:$AI$4407,'Tracking Sheet'!B3211,'Production '!$U$4:$U$4407)</f>
        <v>-10620.435600016917</v>
      </c>
      <c r="G3211" s="76" t="e">
        <f ca="1">SUMIF('Production '!$C$4:$AI$4407,'Tracking Sheet'!B3211,'Production '!$W$4:$W$4407)</f>
        <v>#DIV/0!</v>
      </c>
      <c r="H3211" s="76">
        <f ca="1">SUMIF('Production '!$C$4:$AI$4407,'Tracking Sheet'!B3211,'Production '!$F$4:$F$4407)</f>
        <v>3230621.3283604058</v>
      </c>
      <c r="I3211" s="76">
        <f ca="1">SUMIF('Production '!$C$4:$AI$4407,'Tracking Sheet'!B3211,'Production '!$V$4:$V$4407)</f>
        <v>-489.86487791182844</v>
      </c>
      <c r="J3211" s="76">
        <f ca="1">SUMIF('Production '!$C$4:$AI$4407,'Tracking Sheet'!B3211,'Production '!$AG$4:$AG$4407)</f>
        <v>0</v>
      </c>
    </row>
    <row r="3212" spans="2:10" x14ac:dyDescent="0.3">
      <c r="B3212" s="277">
        <f>'Production '!C3215</f>
        <v>0</v>
      </c>
      <c r="C3212" s="76" t="e">
        <f ca="1">SUMIF('Production '!$C$4:$AI$4407,'Tracking Sheet'!B3212,'Production '!$M$4:$M$4407)</f>
        <v>#DIV/0!</v>
      </c>
      <c r="D3212" s="76" t="e">
        <f ca="1">SUMIF('Production '!$C$4:$AI$4407,'Tracking Sheet'!B3212,'Production '!$Q$4:$Q$4407)</f>
        <v>#DIV/0!</v>
      </c>
      <c r="E3212" s="76">
        <f ca="1">SUMIF('Production '!$C$4:$AI$4407,'Tracking Sheet'!B3212,'Production '!$S$4:$S$4407)</f>
        <v>-1268218.9828305368</v>
      </c>
      <c r="F3212" s="76">
        <f ca="1">SUMIF('Production '!$C$4:$AI$4407,'Tracking Sheet'!B3212,'Production '!$U$4:$U$4407)</f>
        <v>-10620.435600016917</v>
      </c>
      <c r="G3212" s="76" t="e">
        <f ca="1">SUMIF('Production '!$C$4:$AI$4407,'Tracking Sheet'!B3212,'Production '!$W$4:$W$4407)</f>
        <v>#DIV/0!</v>
      </c>
      <c r="H3212" s="76">
        <f ca="1">SUMIF('Production '!$C$4:$AI$4407,'Tracking Sheet'!B3212,'Production '!$F$4:$F$4407)</f>
        <v>3230621.3283604058</v>
      </c>
      <c r="I3212" s="76">
        <f ca="1">SUMIF('Production '!$C$4:$AI$4407,'Tracking Sheet'!B3212,'Production '!$V$4:$V$4407)</f>
        <v>-489.86487791182844</v>
      </c>
      <c r="J3212" s="76">
        <f ca="1">SUMIF('Production '!$C$4:$AI$4407,'Tracking Sheet'!B3212,'Production '!$AG$4:$AG$4407)</f>
        <v>0</v>
      </c>
    </row>
    <row r="3213" spans="2:10" x14ac:dyDescent="0.3">
      <c r="B3213" s="277">
        <f>'Production '!C3216</f>
        <v>0</v>
      </c>
      <c r="C3213" s="76" t="e">
        <f ca="1">SUMIF('Production '!$C$4:$AI$4407,'Tracking Sheet'!B3213,'Production '!$M$4:$M$4407)</f>
        <v>#DIV/0!</v>
      </c>
      <c r="D3213" s="76" t="e">
        <f ca="1">SUMIF('Production '!$C$4:$AI$4407,'Tracking Sheet'!B3213,'Production '!$Q$4:$Q$4407)</f>
        <v>#DIV/0!</v>
      </c>
      <c r="E3213" s="76">
        <f ca="1">SUMIF('Production '!$C$4:$AI$4407,'Tracking Sheet'!B3213,'Production '!$S$4:$S$4407)</f>
        <v>-1268218.9828305368</v>
      </c>
      <c r="F3213" s="76">
        <f ca="1">SUMIF('Production '!$C$4:$AI$4407,'Tracking Sheet'!B3213,'Production '!$U$4:$U$4407)</f>
        <v>-10620.435600016917</v>
      </c>
      <c r="G3213" s="76" t="e">
        <f ca="1">SUMIF('Production '!$C$4:$AI$4407,'Tracking Sheet'!B3213,'Production '!$W$4:$W$4407)</f>
        <v>#DIV/0!</v>
      </c>
      <c r="H3213" s="76">
        <f ca="1">SUMIF('Production '!$C$4:$AI$4407,'Tracking Sheet'!B3213,'Production '!$F$4:$F$4407)</f>
        <v>3230621.3283604058</v>
      </c>
      <c r="I3213" s="76">
        <f ca="1">SUMIF('Production '!$C$4:$AI$4407,'Tracking Sheet'!B3213,'Production '!$V$4:$V$4407)</f>
        <v>-489.86487791182844</v>
      </c>
      <c r="J3213" s="76">
        <f ca="1">SUMIF('Production '!$C$4:$AI$4407,'Tracking Sheet'!B3213,'Production '!$AG$4:$AG$4407)</f>
        <v>0</v>
      </c>
    </row>
    <row r="3214" spans="2:10" x14ac:dyDescent="0.3">
      <c r="B3214" s="277">
        <f>'Production '!C3217</f>
        <v>0</v>
      </c>
      <c r="C3214" s="76" t="e">
        <f ca="1">SUMIF('Production '!$C$4:$AI$4407,'Tracking Sheet'!B3214,'Production '!$M$4:$M$4407)</f>
        <v>#DIV/0!</v>
      </c>
      <c r="D3214" s="76" t="e">
        <f ca="1">SUMIF('Production '!$C$4:$AI$4407,'Tracking Sheet'!B3214,'Production '!$Q$4:$Q$4407)</f>
        <v>#DIV/0!</v>
      </c>
      <c r="E3214" s="76">
        <f ca="1">SUMIF('Production '!$C$4:$AI$4407,'Tracking Sheet'!B3214,'Production '!$S$4:$S$4407)</f>
        <v>-1268218.9828305368</v>
      </c>
      <c r="F3214" s="76">
        <f ca="1">SUMIF('Production '!$C$4:$AI$4407,'Tracking Sheet'!B3214,'Production '!$U$4:$U$4407)</f>
        <v>-10620.435600016917</v>
      </c>
      <c r="G3214" s="76" t="e">
        <f ca="1">SUMIF('Production '!$C$4:$AI$4407,'Tracking Sheet'!B3214,'Production '!$W$4:$W$4407)</f>
        <v>#DIV/0!</v>
      </c>
      <c r="H3214" s="76">
        <f ca="1">SUMIF('Production '!$C$4:$AI$4407,'Tracking Sheet'!B3214,'Production '!$F$4:$F$4407)</f>
        <v>3230621.3283604058</v>
      </c>
      <c r="I3214" s="76">
        <f ca="1">SUMIF('Production '!$C$4:$AI$4407,'Tracking Sheet'!B3214,'Production '!$V$4:$V$4407)</f>
        <v>-489.86487791182844</v>
      </c>
      <c r="J3214" s="76">
        <f ca="1">SUMIF('Production '!$C$4:$AI$4407,'Tracking Sheet'!B3214,'Production '!$AG$4:$AG$4407)</f>
        <v>0</v>
      </c>
    </row>
    <row r="3215" spans="2:10" x14ac:dyDescent="0.3">
      <c r="B3215" s="277">
        <f>'Production '!C3218</f>
        <v>0</v>
      </c>
      <c r="C3215" s="76" t="e">
        <f ca="1">SUMIF('Production '!$C$4:$AI$4407,'Tracking Sheet'!B3215,'Production '!$M$4:$M$4407)</f>
        <v>#DIV/0!</v>
      </c>
      <c r="D3215" s="76" t="e">
        <f ca="1">SUMIF('Production '!$C$4:$AI$4407,'Tracking Sheet'!B3215,'Production '!$Q$4:$Q$4407)</f>
        <v>#DIV/0!</v>
      </c>
      <c r="E3215" s="76">
        <f ca="1">SUMIF('Production '!$C$4:$AI$4407,'Tracking Sheet'!B3215,'Production '!$S$4:$S$4407)</f>
        <v>-1268218.9828305368</v>
      </c>
      <c r="F3215" s="76">
        <f ca="1">SUMIF('Production '!$C$4:$AI$4407,'Tracking Sheet'!B3215,'Production '!$U$4:$U$4407)</f>
        <v>-10620.435600016917</v>
      </c>
      <c r="G3215" s="76" t="e">
        <f ca="1">SUMIF('Production '!$C$4:$AI$4407,'Tracking Sheet'!B3215,'Production '!$W$4:$W$4407)</f>
        <v>#DIV/0!</v>
      </c>
      <c r="H3215" s="76">
        <f ca="1">SUMIF('Production '!$C$4:$AI$4407,'Tracking Sheet'!B3215,'Production '!$F$4:$F$4407)</f>
        <v>3230621.3283604058</v>
      </c>
      <c r="I3215" s="76">
        <f ca="1">SUMIF('Production '!$C$4:$AI$4407,'Tracking Sheet'!B3215,'Production '!$V$4:$V$4407)</f>
        <v>-489.86487791182844</v>
      </c>
      <c r="J3215" s="76">
        <f ca="1">SUMIF('Production '!$C$4:$AI$4407,'Tracking Sheet'!B3215,'Production '!$AG$4:$AG$4407)</f>
        <v>0</v>
      </c>
    </row>
    <row r="3216" spans="2:10" x14ac:dyDescent="0.3">
      <c r="B3216" s="277">
        <f>'Production '!C3219</f>
        <v>0</v>
      </c>
      <c r="C3216" s="76" t="e">
        <f ca="1">SUMIF('Production '!$C$4:$AI$4407,'Tracking Sheet'!B3216,'Production '!$M$4:$M$4407)</f>
        <v>#DIV/0!</v>
      </c>
      <c r="D3216" s="76" t="e">
        <f ca="1">SUMIF('Production '!$C$4:$AI$4407,'Tracking Sheet'!B3216,'Production '!$Q$4:$Q$4407)</f>
        <v>#DIV/0!</v>
      </c>
      <c r="E3216" s="76">
        <f ca="1">SUMIF('Production '!$C$4:$AI$4407,'Tracking Sheet'!B3216,'Production '!$S$4:$S$4407)</f>
        <v>-1268218.9828305368</v>
      </c>
      <c r="F3216" s="76">
        <f ca="1">SUMIF('Production '!$C$4:$AI$4407,'Tracking Sheet'!B3216,'Production '!$U$4:$U$4407)</f>
        <v>-10620.435600016917</v>
      </c>
      <c r="G3216" s="76" t="e">
        <f ca="1">SUMIF('Production '!$C$4:$AI$4407,'Tracking Sheet'!B3216,'Production '!$W$4:$W$4407)</f>
        <v>#DIV/0!</v>
      </c>
      <c r="H3216" s="76">
        <f ca="1">SUMIF('Production '!$C$4:$AI$4407,'Tracking Sheet'!B3216,'Production '!$F$4:$F$4407)</f>
        <v>3230621.3283604058</v>
      </c>
      <c r="I3216" s="76">
        <f ca="1">SUMIF('Production '!$C$4:$AI$4407,'Tracking Sheet'!B3216,'Production '!$V$4:$V$4407)</f>
        <v>-489.86487791182844</v>
      </c>
      <c r="J3216" s="76">
        <f ca="1">SUMIF('Production '!$C$4:$AI$4407,'Tracking Sheet'!B3216,'Production '!$AG$4:$AG$4407)</f>
        <v>0</v>
      </c>
    </row>
    <row r="3217" spans="2:10" x14ac:dyDescent="0.3">
      <c r="B3217" s="277">
        <f>'Production '!C3220</f>
        <v>0</v>
      </c>
      <c r="C3217" s="76" t="e">
        <f ca="1">SUMIF('Production '!$C$4:$AI$4407,'Tracking Sheet'!B3217,'Production '!$M$4:$M$4407)</f>
        <v>#DIV/0!</v>
      </c>
      <c r="D3217" s="76" t="e">
        <f ca="1">SUMIF('Production '!$C$4:$AI$4407,'Tracking Sheet'!B3217,'Production '!$Q$4:$Q$4407)</f>
        <v>#DIV/0!</v>
      </c>
      <c r="E3217" s="76">
        <f ca="1">SUMIF('Production '!$C$4:$AI$4407,'Tracking Sheet'!B3217,'Production '!$S$4:$S$4407)</f>
        <v>-1268218.9828305368</v>
      </c>
      <c r="F3217" s="76">
        <f ca="1">SUMIF('Production '!$C$4:$AI$4407,'Tracking Sheet'!B3217,'Production '!$U$4:$U$4407)</f>
        <v>-10620.435600016917</v>
      </c>
      <c r="G3217" s="76" t="e">
        <f ca="1">SUMIF('Production '!$C$4:$AI$4407,'Tracking Sheet'!B3217,'Production '!$W$4:$W$4407)</f>
        <v>#DIV/0!</v>
      </c>
      <c r="H3217" s="76">
        <f ca="1">SUMIF('Production '!$C$4:$AI$4407,'Tracking Sheet'!B3217,'Production '!$F$4:$F$4407)</f>
        <v>3230621.3283604058</v>
      </c>
      <c r="I3217" s="76">
        <f ca="1">SUMIF('Production '!$C$4:$AI$4407,'Tracking Sheet'!B3217,'Production '!$V$4:$V$4407)</f>
        <v>-489.86487791182844</v>
      </c>
      <c r="J3217" s="76">
        <f ca="1">SUMIF('Production '!$C$4:$AI$4407,'Tracking Sheet'!B3217,'Production '!$AG$4:$AG$4407)</f>
        <v>0</v>
      </c>
    </row>
    <row r="3218" spans="2:10" x14ac:dyDescent="0.3">
      <c r="B3218" s="277">
        <f>'Production '!C3221</f>
        <v>0</v>
      </c>
      <c r="C3218" s="76" t="e">
        <f ca="1">SUMIF('Production '!$C$4:$AI$4407,'Tracking Sheet'!B3218,'Production '!$M$4:$M$4407)</f>
        <v>#DIV/0!</v>
      </c>
      <c r="D3218" s="76" t="e">
        <f ca="1">SUMIF('Production '!$C$4:$AI$4407,'Tracking Sheet'!B3218,'Production '!$Q$4:$Q$4407)</f>
        <v>#DIV/0!</v>
      </c>
      <c r="E3218" s="76">
        <f ca="1">SUMIF('Production '!$C$4:$AI$4407,'Tracking Sheet'!B3218,'Production '!$S$4:$S$4407)</f>
        <v>-1268218.9828305368</v>
      </c>
      <c r="F3218" s="76">
        <f ca="1">SUMIF('Production '!$C$4:$AI$4407,'Tracking Sheet'!B3218,'Production '!$U$4:$U$4407)</f>
        <v>-10620.435600016917</v>
      </c>
      <c r="G3218" s="76" t="e">
        <f ca="1">SUMIF('Production '!$C$4:$AI$4407,'Tracking Sheet'!B3218,'Production '!$W$4:$W$4407)</f>
        <v>#DIV/0!</v>
      </c>
      <c r="H3218" s="76">
        <f ca="1">SUMIF('Production '!$C$4:$AI$4407,'Tracking Sheet'!B3218,'Production '!$F$4:$F$4407)</f>
        <v>3230621.3283604058</v>
      </c>
      <c r="I3218" s="76">
        <f ca="1">SUMIF('Production '!$C$4:$AI$4407,'Tracking Sheet'!B3218,'Production '!$V$4:$V$4407)</f>
        <v>-489.86487791182844</v>
      </c>
      <c r="J3218" s="76">
        <f ca="1">SUMIF('Production '!$C$4:$AI$4407,'Tracking Sheet'!B3218,'Production '!$AG$4:$AG$4407)</f>
        <v>0</v>
      </c>
    </row>
    <row r="3219" spans="2:10" x14ac:dyDescent="0.3">
      <c r="B3219" s="277">
        <f>'Production '!C3222</f>
        <v>0</v>
      </c>
      <c r="C3219" s="76" t="e">
        <f ca="1">SUMIF('Production '!$C$4:$AI$4407,'Tracking Sheet'!B3219,'Production '!$M$4:$M$4407)</f>
        <v>#DIV/0!</v>
      </c>
      <c r="D3219" s="76" t="e">
        <f ca="1">SUMIF('Production '!$C$4:$AI$4407,'Tracking Sheet'!B3219,'Production '!$Q$4:$Q$4407)</f>
        <v>#DIV/0!</v>
      </c>
      <c r="E3219" s="76">
        <f ca="1">SUMIF('Production '!$C$4:$AI$4407,'Tracking Sheet'!B3219,'Production '!$S$4:$S$4407)</f>
        <v>-1268218.9828305368</v>
      </c>
      <c r="F3219" s="76">
        <f ca="1">SUMIF('Production '!$C$4:$AI$4407,'Tracking Sheet'!B3219,'Production '!$U$4:$U$4407)</f>
        <v>-10620.435600016917</v>
      </c>
      <c r="G3219" s="76" t="e">
        <f ca="1">SUMIF('Production '!$C$4:$AI$4407,'Tracking Sheet'!B3219,'Production '!$W$4:$W$4407)</f>
        <v>#DIV/0!</v>
      </c>
      <c r="H3219" s="76">
        <f ca="1">SUMIF('Production '!$C$4:$AI$4407,'Tracking Sheet'!B3219,'Production '!$F$4:$F$4407)</f>
        <v>3230621.3283604058</v>
      </c>
      <c r="I3219" s="76">
        <f ca="1">SUMIF('Production '!$C$4:$AI$4407,'Tracking Sheet'!B3219,'Production '!$V$4:$V$4407)</f>
        <v>-489.86487791182844</v>
      </c>
      <c r="J3219" s="76">
        <f ca="1">SUMIF('Production '!$C$4:$AI$4407,'Tracking Sheet'!B3219,'Production '!$AG$4:$AG$4407)</f>
        <v>0</v>
      </c>
    </row>
    <row r="3220" spans="2:10" x14ac:dyDescent="0.3">
      <c r="B3220" s="277">
        <f>'Production '!C3223</f>
        <v>0</v>
      </c>
      <c r="C3220" s="76" t="e">
        <f ca="1">SUMIF('Production '!$C$4:$AI$4407,'Tracking Sheet'!B3220,'Production '!$M$4:$M$4407)</f>
        <v>#DIV/0!</v>
      </c>
      <c r="D3220" s="76" t="e">
        <f ca="1">SUMIF('Production '!$C$4:$AI$4407,'Tracking Sheet'!B3220,'Production '!$Q$4:$Q$4407)</f>
        <v>#DIV/0!</v>
      </c>
      <c r="E3220" s="76">
        <f ca="1">SUMIF('Production '!$C$4:$AI$4407,'Tracking Sheet'!B3220,'Production '!$S$4:$S$4407)</f>
        <v>-1268218.9828305368</v>
      </c>
      <c r="F3220" s="76">
        <f ca="1">SUMIF('Production '!$C$4:$AI$4407,'Tracking Sheet'!B3220,'Production '!$U$4:$U$4407)</f>
        <v>-10620.435600016917</v>
      </c>
      <c r="G3220" s="76" t="e">
        <f ca="1">SUMIF('Production '!$C$4:$AI$4407,'Tracking Sheet'!B3220,'Production '!$W$4:$W$4407)</f>
        <v>#DIV/0!</v>
      </c>
      <c r="H3220" s="76">
        <f ca="1">SUMIF('Production '!$C$4:$AI$4407,'Tracking Sheet'!B3220,'Production '!$F$4:$F$4407)</f>
        <v>3230621.3283604058</v>
      </c>
      <c r="I3220" s="76">
        <f ca="1">SUMIF('Production '!$C$4:$AI$4407,'Tracking Sheet'!B3220,'Production '!$V$4:$V$4407)</f>
        <v>-489.86487791182844</v>
      </c>
      <c r="J3220" s="76">
        <f ca="1">SUMIF('Production '!$C$4:$AI$4407,'Tracking Sheet'!B3220,'Production '!$AG$4:$AG$4407)</f>
        <v>0</v>
      </c>
    </row>
    <row r="3221" spans="2:10" x14ac:dyDescent="0.3">
      <c r="B3221" s="277">
        <f>'Production '!C3224</f>
        <v>0</v>
      </c>
      <c r="C3221" s="76" t="e">
        <f ca="1">SUMIF('Production '!$C$4:$AI$4407,'Tracking Sheet'!B3221,'Production '!$M$4:$M$4407)</f>
        <v>#DIV/0!</v>
      </c>
      <c r="D3221" s="76" t="e">
        <f ca="1">SUMIF('Production '!$C$4:$AI$4407,'Tracking Sheet'!B3221,'Production '!$Q$4:$Q$4407)</f>
        <v>#DIV/0!</v>
      </c>
      <c r="E3221" s="76">
        <f ca="1">SUMIF('Production '!$C$4:$AI$4407,'Tracking Sheet'!B3221,'Production '!$S$4:$S$4407)</f>
        <v>-1268218.9828305368</v>
      </c>
      <c r="F3221" s="76">
        <f ca="1">SUMIF('Production '!$C$4:$AI$4407,'Tracking Sheet'!B3221,'Production '!$U$4:$U$4407)</f>
        <v>-10620.435600016917</v>
      </c>
      <c r="G3221" s="76" t="e">
        <f ca="1">SUMIF('Production '!$C$4:$AI$4407,'Tracking Sheet'!B3221,'Production '!$W$4:$W$4407)</f>
        <v>#DIV/0!</v>
      </c>
      <c r="H3221" s="76">
        <f ca="1">SUMIF('Production '!$C$4:$AI$4407,'Tracking Sheet'!B3221,'Production '!$F$4:$F$4407)</f>
        <v>3230621.3283604058</v>
      </c>
      <c r="I3221" s="76">
        <f ca="1">SUMIF('Production '!$C$4:$AI$4407,'Tracking Sheet'!B3221,'Production '!$V$4:$V$4407)</f>
        <v>-489.86487791182844</v>
      </c>
      <c r="J3221" s="76">
        <f ca="1">SUMIF('Production '!$C$4:$AI$4407,'Tracking Sheet'!B3221,'Production '!$AG$4:$AG$4407)</f>
        <v>0</v>
      </c>
    </row>
    <row r="3222" spans="2:10" x14ac:dyDescent="0.3">
      <c r="B3222" s="277">
        <f>'Production '!C3225</f>
        <v>0</v>
      </c>
      <c r="C3222" s="76" t="e">
        <f ca="1">SUMIF('Production '!$C$4:$AI$4407,'Tracking Sheet'!B3222,'Production '!$M$4:$M$4407)</f>
        <v>#DIV/0!</v>
      </c>
      <c r="D3222" s="76" t="e">
        <f ca="1">SUMIF('Production '!$C$4:$AI$4407,'Tracking Sheet'!B3222,'Production '!$Q$4:$Q$4407)</f>
        <v>#DIV/0!</v>
      </c>
      <c r="E3222" s="76">
        <f ca="1">SUMIF('Production '!$C$4:$AI$4407,'Tracking Sheet'!B3222,'Production '!$S$4:$S$4407)</f>
        <v>-1268218.9828305368</v>
      </c>
      <c r="F3222" s="76">
        <f ca="1">SUMIF('Production '!$C$4:$AI$4407,'Tracking Sheet'!B3222,'Production '!$U$4:$U$4407)</f>
        <v>-10620.435600016917</v>
      </c>
      <c r="G3222" s="76" t="e">
        <f ca="1">SUMIF('Production '!$C$4:$AI$4407,'Tracking Sheet'!B3222,'Production '!$W$4:$W$4407)</f>
        <v>#DIV/0!</v>
      </c>
      <c r="H3222" s="76">
        <f ca="1">SUMIF('Production '!$C$4:$AI$4407,'Tracking Sheet'!B3222,'Production '!$F$4:$F$4407)</f>
        <v>3230621.3283604058</v>
      </c>
      <c r="I3222" s="76">
        <f ca="1">SUMIF('Production '!$C$4:$AI$4407,'Tracking Sheet'!B3222,'Production '!$V$4:$V$4407)</f>
        <v>-489.86487791182844</v>
      </c>
      <c r="J3222" s="76">
        <f ca="1">SUMIF('Production '!$C$4:$AI$4407,'Tracking Sheet'!B3222,'Production '!$AG$4:$AG$4407)</f>
        <v>0</v>
      </c>
    </row>
    <row r="3223" spans="2:10" x14ac:dyDescent="0.3">
      <c r="B3223" s="277">
        <f>'Production '!C3226</f>
        <v>0</v>
      </c>
      <c r="C3223" s="76" t="e">
        <f ca="1">SUMIF('Production '!$C$4:$AI$4407,'Tracking Sheet'!B3223,'Production '!$M$4:$M$4407)</f>
        <v>#DIV/0!</v>
      </c>
      <c r="D3223" s="76" t="e">
        <f ca="1">SUMIF('Production '!$C$4:$AI$4407,'Tracking Sheet'!B3223,'Production '!$Q$4:$Q$4407)</f>
        <v>#DIV/0!</v>
      </c>
      <c r="E3223" s="76">
        <f ca="1">SUMIF('Production '!$C$4:$AI$4407,'Tracking Sheet'!B3223,'Production '!$S$4:$S$4407)</f>
        <v>-1268218.9828305368</v>
      </c>
      <c r="F3223" s="76">
        <f ca="1">SUMIF('Production '!$C$4:$AI$4407,'Tracking Sheet'!B3223,'Production '!$U$4:$U$4407)</f>
        <v>-10620.435600016917</v>
      </c>
      <c r="G3223" s="76" t="e">
        <f ca="1">SUMIF('Production '!$C$4:$AI$4407,'Tracking Sheet'!B3223,'Production '!$W$4:$W$4407)</f>
        <v>#DIV/0!</v>
      </c>
      <c r="H3223" s="76">
        <f ca="1">SUMIF('Production '!$C$4:$AI$4407,'Tracking Sheet'!B3223,'Production '!$F$4:$F$4407)</f>
        <v>3230621.3283604058</v>
      </c>
      <c r="I3223" s="76">
        <f ca="1">SUMIF('Production '!$C$4:$AI$4407,'Tracking Sheet'!B3223,'Production '!$V$4:$V$4407)</f>
        <v>-489.86487791182844</v>
      </c>
      <c r="J3223" s="76">
        <f ca="1">SUMIF('Production '!$C$4:$AI$4407,'Tracking Sheet'!B3223,'Production '!$AG$4:$AG$4407)</f>
        <v>0</v>
      </c>
    </row>
    <row r="3224" spans="2:10" x14ac:dyDescent="0.3">
      <c r="B3224" s="277">
        <f>'Production '!C3227</f>
        <v>0</v>
      </c>
      <c r="C3224" s="76" t="e">
        <f ca="1">SUMIF('Production '!$C$4:$AI$4407,'Tracking Sheet'!B3224,'Production '!$M$4:$M$4407)</f>
        <v>#DIV/0!</v>
      </c>
      <c r="D3224" s="76" t="e">
        <f ca="1">SUMIF('Production '!$C$4:$AI$4407,'Tracking Sheet'!B3224,'Production '!$Q$4:$Q$4407)</f>
        <v>#DIV/0!</v>
      </c>
      <c r="E3224" s="76">
        <f ca="1">SUMIF('Production '!$C$4:$AI$4407,'Tracking Sheet'!B3224,'Production '!$S$4:$S$4407)</f>
        <v>-1268218.9828305368</v>
      </c>
      <c r="F3224" s="76">
        <f ca="1">SUMIF('Production '!$C$4:$AI$4407,'Tracking Sheet'!B3224,'Production '!$U$4:$U$4407)</f>
        <v>-10620.435600016917</v>
      </c>
      <c r="G3224" s="76" t="e">
        <f ca="1">SUMIF('Production '!$C$4:$AI$4407,'Tracking Sheet'!B3224,'Production '!$W$4:$W$4407)</f>
        <v>#DIV/0!</v>
      </c>
      <c r="H3224" s="76">
        <f ca="1">SUMIF('Production '!$C$4:$AI$4407,'Tracking Sheet'!B3224,'Production '!$F$4:$F$4407)</f>
        <v>3230621.3283604058</v>
      </c>
      <c r="I3224" s="76">
        <f ca="1">SUMIF('Production '!$C$4:$AI$4407,'Tracking Sheet'!B3224,'Production '!$V$4:$V$4407)</f>
        <v>-489.86487791182844</v>
      </c>
      <c r="J3224" s="76">
        <f ca="1">SUMIF('Production '!$C$4:$AI$4407,'Tracking Sheet'!B3224,'Production '!$AG$4:$AG$4407)</f>
        <v>0</v>
      </c>
    </row>
    <row r="3225" spans="2:10" x14ac:dyDescent="0.3">
      <c r="B3225" s="277">
        <f>'Production '!C3228</f>
        <v>0</v>
      </c>
      <c r="C3225" s="76" t="e">
        <f ca="1">SUMIF('Production '!$C$4:$AI$4407,'Tracking Sheet'!B3225,'Production '!$M$4:$M$4407)</f>
        <v>#DIV/0!</v>
      </c>
      <c r="D3225" s="76" t="e">
        <f ca="1">SUMIF('Production '!$C$4:$AI$4407,'Tracking Sheet'!B3225,'Production '!$Q$4:$Q$4407)</f>
        <v>#DIV/0!</v>
      </c>
      <c r="E3225" s="76">
        <f ca="1">SUMIF('Production '!$C$4:$AI$4407,'Tracking Sheet'!B3225,'Production '!$S$4:$S$4407)</f>
        <v>-1268218.9828305368</v>
      </c>
      <c r="F3225" s="76">
        <f ca="1">SUMIF('Production '!$C$4:$AI$4407,'Tracking Sheet'!B3225,'Production '!$U$4:$U$4407)</f>
        <v>-10620.435600016917</v>
      </c>
      <c r="G3225" s="76" t="e">
        <f ca="1">SUMIF('Production '!$C$4:$AI$4407,'Tracking Sheet'!B3225,'Production '!$W$4:$W$4407)</f>
        <v>#DIV/0!</v>
      </c>
      <c r="H3225" s="76">
        <f ca="1">SUMIF('Production '!$C$4:$AI$4407,'Tracking Sheet'!B3225,'Production '!$F$4:$F$4407)</f>
        <v>3230621.3283604058</v>
      </c>
      <c r="I3225" s="76">
        <f ca="1">SUMIF('Production '!$C$4:$AI$4407,'Tracking Sheet'!B3225,'Production '!$V$4:$V$4407)</f>
        <v>-489.86487791182844</v>
      </c>
      <c r="J3225" s="76">
        <f ca="1">SUMIF('Production '!$C$4:$AI$4407,'Tracking Sheet'!B3225,'Production '!$AG$4:$AG$4407)</f>
        <v>0</v>
      </c>
    </row>
    <row r="3226" spans="2:10" x14ac:dyDescent="0.3">
      <c r="B3226" s="277">
        <f>'Production '!C3229</f>
        <v>0</v>
      </c>
      <c r="C3226" s="76" t="e">
        <f ca="1">SUMIF('Production '!$C$4:$AI$4407,'Tracking Sheet'!B3226,'Production '!$M$4:$M$4407)</f>
        <v>#DIV/0!</v>
      </c>
      <c r="D3226" s="76" t="e">
        <f ca="1">SUMIF('Production '!$C$4:$AI$4407,'Tracking Sheet'!B3226,'Production '!$Q$4:$Q$4407)</f>
        <v>#DIV/0!</v>
      </c>
      <c r="E3226" s="76">
        <f ca="1">SUMIF('Production '!$C$4:$AI$4407,'Tracking Sheet'!B3226,'Production '!$S$4:$S$4407)</f>
        <v>-1268218.9828305368</v>
      </c>
      <c r="F3226" s="76">
        <f ca="1">SUMIF('Production '!$C$4:$AI$4407,'Tracking Sheet'!B3226,'Production '!$U$4:$U$4407)</f>
        <v>-10620.435600016917</v>
      </c>
      <c r="G3226" s="76" t="e">
        <f ca="1">SUMIF('Production '!$C$4:$AI$4407,'Tracking Sheet'!B3226,'Production '!$W$4:$W$4407)</f>
        <v>#DIV/0!</v>
      </c>
      <c r="H3226" s="76">
        <f ca="1">SUMIF('Production '!$C$4:$AI$4407,'Tracking Sheet'!B3226,'Production '!$F$4:$F$4407)</f>
        <v>3230621.3283604058</v>
      </c>
      <c r="I3226" s="76">
        <f ca="1">SUMIF('Production '!$C$4:$AI$4407,'Tracking Sheet'!B3226,'Production '!$V$4:$V$4407)</f>
        <v>-489.86487791182844</v>
      </c>
      <c r="J3226" s="76">
        <f ca="1">SUMIF('Production '!$C$4:$AI$4407,'Tracking Sheet'!B3226,'Production '!$AG$4:$AG$4407)</f>
        <v>0</v>
      </c>
    </row>
    <row r="3227" spans="2:10" x14ac:dyDescent="0.3">
      <c r="B3227" s="277">
        <f>'Production '!C3230</f>
        <v>0</v>
      </c>
      <c r="C3227" s="76" t="e">
        <f ca="1">SUMIF('Production '!$C$4:$AI$4407,'Tracking Sheet'!B3227,'Production '!$M$4:$M$4407)</f>
        <v>#DIV/0!</v>
      </c>
      <c r="D3227" s="76" t="e">
        <f ca="1">SUMIF('Production '!$C$4:$AI$4407,'Tracking Sheet'!B3227,'Production '!$Q$4:$Q$4407)</f>
        <v>#DIV/0!</v>
      </c>
      <c r="E3227" s="76">
        <f ca="1">SUMIF('Production '!$C$4:$AI$4407,'Tracking Sheet'!B3227,'Production '!$S$4:$S$4407)</f>
        <v>-1268218.9828305368</v>
      </c>
      <c r="F3227" s="76">
        <f ca="1">SUMIF('Production '!$C$4:$AI$4407,'Tracking Sheet'!B3227,'Production '!$U$4:$U$4407)</f>
        <v>-10620.435600016917</v>
      </c>
      <c r="G3227" s="76" t="e">
        <f ca="1">SUMIF('Production '!$C$4:$AI$4407,'Tracking Sheet'!B3227,'Production '!$W$4:$W$4407)</f>
        <v>#DIV/0!</v>
      </c>
      <c r="H3227" s="76">
        <f ca="1">SUMIF('Production '!$C$4:$AI$4407,'Tracking Sheet'!B3227,'Production '!$F$4:$F$4407)</f>
        <v>3230621.3283604058</v>
      </c>
      <c r="I3227" s="76">
        <f ca="1">SUMIF('Production '!$C$4:$AI$4407,'Tracking Sheet'!B3227,'Production '!$V$4:$V$4407)</f>
        <v>-489.86487791182844</v>
      </c>
      <c r="J3227" s="76">
        <f ca="1">SUMIF('Production '!$C$4:$AI$4407,'Tracking Sheet'!B3227,'Production '!$AG$4:$AG$4407)</f>
        <v>0</v>
      </c>
    </row>
    <row r="3228" spans="2:10" x14ac:dyDescent="0.3">
      <c r="B3228" s="277">
        <f>'Production '!C3231</f>
        <v>0</v>
      </c>
      <c r="C3228" s="76" t="e">
        <f ca="1">SUMIF('Production '!$C$4:$AI$4407,'Tracking Sheet'!B3228,'Production '!$M$4:$M$4407)</f>
        <v>#DIV/0!</v>
      </c>
      <c r="D3228" s="76" t="e">
        <f ca="1">SUMIF('Production '!$C$4:$AI$4407,'Tracking Sheet'!B3228,'Production '!$Q$4:$Q$4407)</f>
        <v>#DIV/0!</v>
      </c>
      <c r="E3228" s="76">
        <f ca="1">SUMIF('Production '!$C$4:$AI$4407,'Tracking Sheet'!B3228,'Production '!$S$4:$S$4407)</f>
        <v>-1268218.9828305368</v>
      </c>
      <c r="F3228" s="76">
        <f ca="1">SUMIF('Production '!$C$4:$AI$4407,'Tracking Sheet'!B3228,'Production '!$U$4:$U$4407)</f>
        <v>-10620.435600016917</v>
      </c>
      <c r="G3228" s="76" t="e">
        <f ca="1">SUMIF('Production '!$C$4:$AI$4407,'Tracking Sheet'!B3228,'Production '!$W$4:$W$4407)</f>
        <v>#DIV/0!</v>
      </c>
      <c r="H3228" s="76">
        <f ca="1">SUMIF('Production '!$C$4:$AI$4407,'Tracking Sheet'!B3228,'Production '!$F$4:$F$4407)</f>
        <v>3230621.3283604058</v>
      </c>
      <c r="I3228" s="76">
        <f ca="1">SUMIF('Production '!$C$4:$AI$4407,'Tracking Sheet'!B3228,'Production '!$V$4:$V$4407)</f>
        <v>-489.86487791182844</v>
      </c>
      <c r="J3228" s="76">
        <f ca="1">SUMIF('Production '!$C$4:$AI$4407,'Tracking Sheet'!B3228,'Production '!$AG$4:$AG$4407)</f>
        <v>0</v>
      </c>
    </row>
    <row r="3229" spans="2:10" x14ac:dyDescent="0.3">
      <c r="B3229" s="277">
        <f>'Production '!C3232</f>
        <v>0</v>
      </c>
      <c r="C3229" s="76" t="e">
        <f ca="1">SUMIF('Production '!$C$4:$AI$4407,'Tracking Sheet'!B3229,'Production '!$M$4:$M$4407)</f>
        <v>#DIV/0!</v>
      </c>
      <c r="D3229" s="76" t="e">
        <f ca="1">SUMIF('Production '!$C$4:$AI$4407,'Tracking Sheet'!B3229,'Production '!$Q$4:$Q$4407)</f>
        <v>#DIV/0!</v>
      </c>
      <c r="E3229" s="76">
        <f ca="1">SUMIF('Production '!$C$4:$AI$4407,'Tracking Sheet'!B3229,'Production '!$S$4:$S$4407)</f>
        <v>-1268218.9828305368</v>
      </c>
      <c r="F3229" s="76">
        <f ca="1">SUMIF('Production '!$C$4:$AI$4407,'Tracking Sheet'!B3229,'Production '!$U$4:$U$4407)</f>
        <v>-10620.435600016917</v>
      </c>
      <c r="G3229" s="76" t="e">
        <f ca="1">SUMIF('Production '!$C$4:$AI$4407,'Tracking Sheet'!B3229,'Production '!$W$4:$W$4407)</f>
        <v>#DIV/0!</v>
      </c>
      <c r="H3229" s="76">
        <f ca="1">SUMIF('Production '!$C$4:$AI$4407,'Tracking Sheet'!B3229,'Production '!$F$4:$F$4407)</f>
        <v>3230621.3283604058</v>
      </c>
      <c r="I3229" s="76">
        <f ca="1">SUMIF('Production '!$C$4:$AI$4407,'Tracking Sheet'!B3229,'Production '!$V$4:$V$4407)</f>
        <v>-489.86487791182844</v>
      </c>
      <c r="J3229" s="76">
        <f ca="1">SUMIF('Production '!$C$4:$AI$4407,'Tracking Sheet'!B3229,'Production '!$AG$4:$AG$4407)</f>
        <v>0</v>
      </c>
    </row>
    <row r="3230" spans="2:10" x14ac:dyDescent="0.3">
      <c r="B3230" s="277">
        <f>'Production '!C3233</f>
        <v>0</v>
      </c>
      <c r="C3230" s="76" t="e">
        <f ca="1">SUMIF('Production '!$C$4:$AI$4407,'Tracking Sheet'!B3230,'Production '!$M$4:$M$4407)</f>
        <v>#DIV/0!</v>
      </c>
      <c r="D3230" s="76" t="e">
        <f ca="1">SUMIF('Production '!$C$4:$AI$4407,'Tracking Sheet'!B3230,'Production '!$Q$4:$Q$4407)</f>
        <v>#DIV/0!</v>
      </c>
      <c r="E3230" s="76">
        <f ca="1">SUMIF('Production '!$C$4:$AI$4407,'Tracking Sheet'!B3230,'Production '!$S$4:$S$4407)</f>
        <v>-1268218.9828305368</v>
      </c>
      <c r="F3230" s="76">
        <f ca="1">SUMIF('Production '!$C$4:$AI$4407,'Tracking Sheet'!B3230,'Production '!$U$4:$U$4407)</f>
        <v>-10620.435600016917</v>
      </c>
      <c r="G3230" s="76" t="e">
        <f ca="1">SUMIF('Production '!$C$4:$AI$4407,'Tracking Sheet'!B3230,'Production '!$W$4:$W$4407)</f>
        <v>#DIV/0!</v>
      </c>
      <c r="H3230" s="76">
        <f ca="1">SUMIF('Production '!$C$4:$AI$4407,'Tracking Sheet'!B3230,'Production '!$F$4:$F$4407)</f>
        <v>3230621.3283604058</v>
      </c>
      <c r="I3230" s="76">
        <f ca="1">SUMIF('Production '!$C$4:$AI$4407,'Tracking Sheet'!B3230,'Production '!$V$4:$V$4407)</f>
        <v>-489.86487791182844</v>
      </c>
      <c r="J3230" s="76">
        <f ca="1">SUMIF('Production '!$C$4:$AI$4407,'Tracking Sheet'!B3230,'Production '!$AG$4:$AG$4407)</f>
        <v>0</v>
      </c>
    </row>
    <row r="3231" spans="2:10" x14ac:dyDescent="0.3">
      <c r="B3231" s="277">
        <f>'Production '!C3234</f>
        <v>0</v>
      </c>
      <c r="C3231" s="76" t="e">
        <f ca="1">SUMIF('Production '!$C$4:$AI$4407,'Tracking Sheet'!B3231,'Production '!$M$4:$M$4407)</f>
        <v>#DIV/0!</v>
      </c>
      <c r="D3231" s="76" t="e">
        <f ca="1">SUMIF('Production '!$C$4:$AI$4407,'Tracking Sheet'!B3231,'Production '!$Q$4:$Q$4407)</f>
        <v>#DIV/0!</v>
      </c>
      <c r="E3231" s="76">
        <f ca="1">SUMIF('Production '!$C$4:$AI$4407,'Tracking Sheet'!B3231,'Production '!$S$4:$S$4407)</f>
        <v>-1268218.9828305368</v>
      </c>
      <c r="F3231" s="76">
        <f ca="1">SUMIF('Production '!$C$4:$AI$4407,'Tracking Sheet'!B3231,'Production '!$U$4:$U$4407)</f>
        <v>-10620.435600016917</v>
      </c>
      <c r="G3231" s="76" t="e">
        <f ca="1">SUMIF('Production '!$C$4:$AI$4407,'Tracking Sheet'!B3231,'Production '!$W$4:$W$4407)</f>
        <v>#DIV/0!</v>
      </c>
      <c r="H3231" s="76">
        <f ca="1">SUMIF('Production '!$C$4:$AI$4407,'Tracking Sheet'!B3231,'Production '!$F$4:$F$4407)</f>
        <v>3230621.3283604058</v>
      </c>
      <c r="I3231" s="76">
        <f ca="1">SUMIF('Production '!$C$4:$AI$4407,'Tracking Sheet'!B3231,'Production '!$V$4:$V$4407)</f>
        <v>-489.86487791182844</v>
      </c>
      <c r="J3231" s="76">
        <f ca="1">SUMIF('Production '!$C$4:$AI$4407,'Tracking Sheet'!B3231,'Production '!$AG$4:$AG$4407)</f>
        <v>0</v>
      </c>
    </row>
    <row r="3232" spans="2:10" x14ac:dyDescent="0.3">
      <c r="B3232" s="277">
        <f>'Production '!C3235</f>
        <v>0</v>
      </c>
      <c r="C3232" s="76" t="e">
        <f ca="1">SUMIF('Production '!$C$4:$AI$4407,'Tracking Sheet'!B3232,'Production '!$M$4:$M$4407)</f>
        <v>#DIV/0!</v>
      </c>
      <c r="D3232" s="76" t="e">
        <f ca="1">SUMIF('Production '!$C$4:$AI$4407,'Tracking Sheet'!B3232,'Production '!$Q$4:$Q$4407)</f>
        <v>#DIV/0!</v>
      </c>
      <c r="E3232" s="76">
        <f ca="1">SUMIF('Production '!$C$4:$AI$4407,'Tracking Sheet'!B3232,'Production '!$S$4:$S$4407)</f>
        <v>-1268218.9828305368</v>
      </c>
      <c r="F3232" s="76">
        <f ca="1">SUMIF('Production '!$C$4:$AI$4407,'Tracking Sheet'!B3232,'Production '!$U$4:$U$4407)</f>
        <v>-10620.435600016917</v>
      </c>
      <c r="G3232" s="76" t="e">
        <f ca="1">SUMIF('Production '!$C$4:$AI$4407,'Tracking Sheet'!B3232,'Production '!$W$4:$W$4407)</f>
        <v>#DIV/0!</v>
      </c>
      <c r="H3232" s="76">
        <f ca="1">SUMIF('Production '!$C$4:$AI$4407,'Tracking Sheet'!B3232,'Production '!$F$4:$F$4407)</f>
        <v>3230621.3283604058</v>
      </c>
      <c r="I3232" s="76">
        <f ca="1">SUMIF('Production '!$C$4:$AI$4407,'Tracking Sheet'!B3232,'Production '!$V$4:$V$4407)</f>
        <v>-489.86487791182844</v>
      </c>
      <c r="J3232" s="76">
        <f ca="1">SUMIF('Production '!$C$4:$AI$4407,'Tracking Sheet'!B3232,'Production '!$AG$4:$AG$4407)</f>
        <v>0</v>
      </c>
    </row>
    <row r="3233" spans="2:10" x14ac:dyDescent="0.3">
      <c r="B3233" s="277">
        <f>'Production '!C3236</f>
        <v>0</v>
      </c>
      <c r="C3233" s="76" t="e">
        <f ca="1">SUMIF('Production '!$C$4:$AI$4407,'Tracking Sheet'!B3233,'Production '!$M$4:$M$4407)</f>
        <v>#DIV/0!</v>
      </c>
      <c r="D3233" s="76" t="e">
        <f ca="1">SUMIF('Production '!$C$4:$AI$4407,'Tracking Sheet'!B3233,'Production '!$Q$4:$Q$4407)</f>
        <v>#DIV/0!</v>
      </c>
      <c r="E3233" s="76">
        <f ca="1">SUMIF('Production '!$C$4:$AI$4407,'Tracking Sheet'!B3233,'Production '!$S$4:$S$4407)</f>
        <v>-1268218.9828305368</v>
      </c>
      <c r="F3233" s="76">
        <f ca="1">SUMIF('Production '!$C$4:$AI$4407,'Tracking Sheet'!B3233,'Production '!$U$4:$U$4407)</f>
        <v>-10620.435600016917</v>
      </c>
      <c r="G3233" s="76" t="e">
        <f ca="1">SUMIF('Production '!$C$4:$AI$4407,'Tracking Sheet'!B3233,'Production '!$W$4:$W$4407)</f>
        <v>#DIV/0!</v>
      </c>
      <c r="H3233" s="76">
        <f ca="1">SUMIF('Production '!$C$4:$AI$4407,'Tracking Sheet'!B3233,'Production '!$F$4:$F$4407)</f>
        <v>3230621.3283604058</v>
      </c>
      <c r="I3233" s="76">
        <f ca="1">SUMIF('Production '!$C$4:$AI$4407,'Tracking Sheet'!B3233,'Production '!$V$4:$V$4407)</f>
        <v>-489.86487791182844</v>
      </c>
      <c r="J3233" s="76">
        <f ca="1">SUMIF('Production '!$C$4:$AI$4407,'Tracking Sheet'!B3233,'Production '!$AG$4:$AG$4407)</f>
        <v>0</v>
      </c>
    </row>
    <row r="3234" spans="2:10" x14ac:dyDescent="0.3">
      <c r="B3234" s="277">
        <f>'Production '!C3237</f>
        <v>0</v>
      </c>
      <c r="C3234" s="76" t="e">
        <f ca="1">SUMIF('Production '!$C$4:$AI$4407,'Tracking Sheet'!B3234,'Production '!$M$4:$M$4407)</f>
        <v>#DIV/0!</v>
      </c>
      <c r="D3234" s="76" t="e">
        <f ca="1">SUMIF('Production '!$C$4:$AI$4407,'Tracking Sheet'!B3234,'Production '!$Q$4:$Q$4407)</f>
        <v>#DIV/0!</v>
      </c>
      <c r="E3234" s="76">
        <f ca="1">SUMIF('Production '!$C$4:$AI$4407,'Tracking Sheet'!B3234,'Production '!$S$4:$S$4407)</f>
        <v>-1268218.9828305368</v>
      </c>
      <c r="F3234" s="76">
        <f ca="1">SUMIF('Production '!$C$4:$AI$4407,'Tracking Sheet'!B3234,'Production '!$U$4:$U$4407)</f>
        <v>-10620.435600016917</v>
      </c>
      <c r="G3234" s="76" t="e">
        <f ca="1">SUMIF('Production '!$C$4:$AI$4407,'Tracking Sheet'!B3234,'Production '!$W$4:$W$4407)</f>
        <v>#DIV/0!</v>
      </c>
      <c r="H3234" s="76">
        <f ca="1">SUMIF('Production '!$C$4:$AI$4407,'Tracking Sheet'!B3234,'Production '!$F$4:$F$4407)</f>
        <v>3230621.3283604058</v>
      </c>
      <c r="I3234" s="76">
        <f ca="1">SUMIF('Production '!$C$4:$AI$4407,'Tracking Sheet'!B3234,'Production '!$V$4:$V$4407)</f>
        <v>-489.86487791182844</v>
      </c>
      <c r="J3234" s="76">
        <f ca="1">SUMIF('Production '!$C$4:$AI$4407,'Tracking Sheet'!B3234,'Production '!$AG$4:$AG$4407)</f>
        <v>0</v>
      </c>
    </row>
    <row r="3235" spans="2:10" x14ac:dyDescent="0.3">
      <c r="B3235" s="277">
        <f>'Production '!C3238</f>
        <v>0</v>
      </c>
      <c r="C3235" s="76" t="e">
        <f ca="1">SUMIF('Production '!$C$4:$AI$4407,'Tracking Sheet'!B3235,'Production '!$M$4:$M$4407)</f>
        <v>#DIV/0!</v>
      </c>
      <c r="D3235" s="76" t="e">
        <f ca="1">SUMIF('Production '!$C$4:$AI$4407,'Tracking Sheet'!B3235,'Production '!$Q$4:$Q$4407)</f>
        <v>#DIV/0!</v>
      </c>
      <c r="E3235" s="76">
        <f ca="1">SUMIF('Production '!$C$4:$AI$4407,'Tracking Sheet'!B3235,'Production '!$S$4:$S$4407)</f>
        <v>-1268218.9828305368</v>
      </c>
      <c r="F3235" s="76">
        <f ca="1">SUMIF('Production '!$C$4:$AI$4407,'Tracking Sheet'!B3235,'Production '!$U$4:$U$4407)</f>
        <v>-10620.435600016917</v>
      </c>
      <c r="G3235" s="76" t="e">
        <f ca="1">SUMIF('Production '!$C$4:$AI$4407,'Tracking Sheet'!B3235,'Production '!$W$4:$W$4407)</f>
        <v>#DIV/0!</v>
      </c>
      <c r="H3235" s="76">
        <f ca="1">SUMIF('Production '!$C$4:$AI$4407,'Tracking Sheet'!B3235,'Production '!$F$4:$F$4407)</f>
        <v>3230621.3283604058</v>
      </c>
      <c r="I3235" s="76">
        <f ca="1">SUMIF('Production '!$C$4:$AI$4407,'Tracking Sheet'!B3235,'Production '!$V$4:$V$4407)</f>
        <v>-489.86487791182844</v>
      </c>
      <c r="J3235" s="76">
        <f ca="1">SUMIF('Production '!$C$4:$AI$4407,'Tracking Sheet'!B3235,'Production '!$AG$4:$AG$4407)</f>
        <v>0</v>
      </c>
    </row>
    <row r="3236" spans="2:10" x14ac:dyDescent="0.3">
      <c r="B3236" s="277">
        <f>'Production '!C3239</f>
        <v>0</v>
      </c>
      <c r="C3236" s="76" t="e">
        <f ca="1">SUMIF('Production '!$C$4:$AI$4407,'Tracking Sheet'!B3236,'Production '!$M$4:$M$4407)</f>
        <v>#DIV/0!</v>
      </c>
      <c r="D3236" s="76" t="e">
        <f ca="1">SUMIF('Production '!$C$4:$AI$4407,'Tracking Sheet'!B3236,'Production '!$Q$4:$Q$4407)</f>
        <v>#DIV/0!</v>
      </c>
      <c r="E3236" s="76">
        <f ca="1">SUMIF('Production '!$C$4:$AI$4407,'Tracking Sheet'!B3236,'Production '!$S$4:$S$4407)</f>
        <v>-1268218.9828305368</v>
      </c>
      <c r="F3236" s="76">
        <f ca="1">SUMIF('Production '!$C$4:$AI$4407,'Tracking Sheet'!B3236,'Production '!$U$4:$U$4407)</f>
        <v>-10620.435600016917</v>
      </c>
      <c r="G3236" s="76" t="e">
        <f ca="1">SUMIF('Production '!$C$4:$AI$4407,'Tracking Sheet'!B3236,'Production '!$W$4:$W$4407)</f>
        <v>#DIV/0!</v>
      </c>
      <c r="H3236" s="76">
        <f ca="1">SUMIF('Production '!$C$4:$AI$4407,'Tracking Sheet'!B3236,'Production '!$F$4:$F$4407)</f>
        <v>3230621.3283604058</v>
      </c>
      <c r="I3236" s="76">
        <f ca="1">SUMIF('Production '!$C$4:$AI$4407,'Tracking Sheet'!B3236,'Production '!$V$4:$V$4407)</f>
        <v>-489.86487791182844</v>
      </c>
      <c r="J3236" s="76">
        <f ca="1">SUMIF('Production '!$C$4:$AI$4407,'Tracking Sheet'!B3236,'Production '!$AG$4:$AG$4407)</f>
        <v>0</v>
      </c>
    </row>
    <row r="3237" spans="2:10" x14ac:dyDescent="0.3">
      <c r="B3237" s="277">
        <f>'Production '!C3240</f>
        <v>0</v>
      </c>
      <c r="C3237" s="76" t="e">
        <f ca="1">SUMIF('Production '!$C$4:$AI$4407,'Tracking Sheet'!B3237,'Production '!$M$4:$M$4407)</f>
        <v>#DIV/0!</v>
      </c>
      <c r="D3237" s="76" t="e">
        <f ca="1">SUMIF('Production '!$C$4:$AI$4407,'Tracking Sheet'!B3237,'Production '!$Q$4:$Q$4407)</f>
        <v>#DIV/0!</v>
      </c>
      <c r="E3237" s="76">
        <f ca="1">SUMIF('Production '!$C$4:$AI$4407,'Tracking Sheet'!B3237,'Production '!$S$4:$S$4407)</f>
        <v>-1268218.9828305368</v>
      </c>
      <c r="F3237" s="76">
        <f ca="1">SUMIF('Production '!$C$4:$AI$4407,'Tracking Sheet'!B3237,'Production '!$U$4:$U$4407)</f>
        <v>-10620.435600016917</v>
      </c>
      <c r="G3237" s="76" t="e">
        <f ca="1">SUMIF('Production '!$C$4:$AI$4407,'Tracking Sheet'!B3237,'Production '!$W$4:$W$4407)</f>
        <v>#DIV/0!</v>
      </c>
      <c r="H3237" s="76">
        <f ca="1">SUMIF('Production '!$C$4:$AI$4407,'Tracking Sheet'!B3237,'Production '!$F$4:$F$4407)</f>
        <v>3230621.3283604058</v>
      </c>
      <c r="I3237" s="76">
        <f ca="1">SUMIF('Production '!$C$4:$AI$4407,'Tracking Sheet'!B3237,'Production '!$V$4:$V$4407)</f>
        <v>-489.86487791182844</v>
      </c>
      <c r="J3237" s="76">
        <f ca="1">SUMIF('Production '!$C$4:$AI$4407,'Tracking Sheet'!B3237,'Production '!$AG$4:$AG$4407)</f>
        <v>0</v>
      </c>
    </row>
    <row r="3238" spans="2:10" x14ac:dyDescent="0.3">
      <c r="B3238" s="277">
        <f>'Production '!C3241</f>
        <v>0</v>
      </c>
      <c r="C3238" s="76" t="e">
        <f ca="1">SUMIF('Production '!$C$4:$AI$4407,'Tracking Sheet'!B3238,'Production '!$M$4:$M$4407)</f>
        <v>#DIV/0!</v>
      </c>
      <c r="D3238" s="76" t="e">
        <f ca="1">SUMIF('Production '!$C$4:$AI$4407,'Tracking Sheet'!B3238,'Production '!$Q$4:$Q$4407)</f>
        <v>#DIV/0!</v>
      </c>
      <c r="E3238" s="76">
        <f ca="1">SUMIF('Production '!$C$4:$AI$4407,'Tracking Sheet'!B3238,'Production '!$S$4:$S$4407)</f>
        <v>-1268218.9828305368</v>
      </c>
      <c r="F3238" s="76">
        <f ca="1">SUMIF('Production '!$C$4:$AI$4407,'Tracking Sheet'!B3238,'Production '!$U$4:$U$4407)</f>
        <v>-10620.435600016917</v>
      </c>
      <c r="G3238" s="76" t="e">
        <f ca="1">SUMIF('Production '!$C$4:$AI$4407,'Tracking Sheet'!B3238,'Production '!$W$4:$W$4407)</f>
        <v>#DIV/0!</v>
      </c>
      <c r="H3238" s="76">
        <f ca="1">SUMIF('Production '!$C$4:$AI$4407,'Tracking Sheet'!B3238,'Production '!$F$4:$F$4407)</f>
        <v>3230621.3283604058</v>
      </c>
      <c r="I3238" s="76">
        <f ca="1">SUMIF('Production '!$C$4:$AI$4407,'Tracking Sheet'!B3238,'Production '!$V$4:$V$4407)</f>
        <v>-489.86487791182844</v>
      </c>
      <c r="J3238" s="76">
        <f ca="1">SUMIF('Production '!$C$4:$AI$4407,'Tracking Sheet'!B3238,'Production '!$AG$4:$AG$4407)</f>
        <v>0</v>
      </c>
    </row>
    <row r="3239" spans="2:10" x14ac:dyDescent="0.3">
      <c r="B3239" s="277">
        <f>'Production '!C3242</f>
        <v>0</v>
      </c>
      <c r="C3239" s="76" t="e">
        <f ca="1">SUMIF('Production '!$C$4:$AI$4407,'Tracking Sheet'!B3239,'Production '!$M$4:$M$4407)</f>
        <v>#DIV/0!</v>
      </c>
      <c r="D3239" s="76" t="e">
        <f ca="1">SUMIF('Production '!$C$4:$AI$4407,'Tracking Sheet'!B3239,'Production '!$Q$4:$Q$4407)</f>
        <v>#DIV/0!</v>
      </c>
      <c r="E3239" s="76">
        <f ca="1">SUMIF('Production '!$C$4:$AI$4407,'Tracking Sheet'!B3239,'Production '!$S$4:$S$4407)</f>
        <v>-1268218.9828305368</v>
      </c>
      <c r="F3239" s="76">
        <f ca="1">SUMIF('Production '!$C$4:$AI$4407,'Tracking Sheet'!B3239,'Production '!$U$4:$U$4407)</f>
        <v>-10620.435600016917</v>
      </c>
      <c r="G3239" s="76" t="e">
        <f ca="1">SUMIF('Production '!$C$4:$AI$4407,'Tracking Sheet'!B3239,'Production '!$W$4:$W$4407)</f>
        <v>#DIV/0!</v>
      </c>
      <c r="H3239" s="76">
        <f ca="1">SUMIF('Production '!$C$4:$AI$4407,'Tracking Sheet'!B3239,'Production '!$F$4:$F$4407)</f>
        <v>3230621.3283604058</v>
      </c>
      <c r="I3239" s="76">
        <f ca="1">SUMIF('Production '!$C$4:$AI$4407,'Tracking Sheet'!B3239,'Production '!$V$4:$V$4407)</f>
        <v>-489.86487791182844</v>
      </c>
      <c r="J3239" s="76">
        <f ca="1">SUMIF('Production '!$C$4:$AI$4407,'Tracking Sheet'!B3239,'Production '!$AG$4:$AG$4407)</f>
        <v>0</v>
      </c>
    </row>
    <row r="3240" spans="2:10" x14ac:dyDescent="0.3">
      <c r="B3240" s="277">
        <f>'Production '!C3243</f>
        <v>0</v>
      </c>
      <c r="C3240" s="76" t="e">
        <f ca="1">SUMIF('Production '!$C$4:$AI$4407,'Tracking Sheet'!B3240,'Production '!$M$4:$M$4407)</f>
        <v>#DIV/0!</v>
      </c>
      <c r="D3240" s="76" t="e">
        <f ca="1">SUMIF('Production '!$C$4:$AI$4407,'Tracking Sheet'!B3240,'Production '!$Q$4:$Q$4407)</f>
        <v>#DIV/0!</v>
      </c>
      <c r="E3240" s="76">
        <f ca="1">SUMIF('Production '!$C$4:$AI$4407,'Tracking Sheet'!B3240,'Production '!$S$4:$S$4407)</f>
        <v>-1268218.9828305368</v>
      </c>
      <c r="F3240" s="76">
        <f ca="1">SUMIF('Production '!$C$4:$AI$4407,'Tracking Sheet'!B3240,'Production '!$U$4:$U$4407)</f>
        <v>-10620.435600016917</v>
      </c>
      <c r="G3240" s="76" t="e">
        <f ca="1">SUMIF('Production '!$C$4:$AI$4407,'Tracking Sheet'!B3240,'Production '!$W$4:$W$4407)</f>
        <v>#DIV/0!</v>
      </c>
      <c r="H3240" s="76">
        <f ca="1">SUMIF('Production '!$C$4:$AI$4407,'Tracking Sheet'!B3240,'Production '!$F$4:$F$4407)</f>
        <v>3230621.3283604058</v>
      </c>
      <c r="I3240" s="76">
        <f ca="1">SUMIF('Production '!$C$4:$AI$4407,'Tracking Sheet'!B3240,'Production '!$V$4:$V$4407)</f>
        <v>-489.86487791182844</v>
      </c>
      <c r="J3240" s="76">
        <f ca="1">SUMIF('Production '!$C$4:$AI$4407,'Tracking Sheet'!B3240,'Production '!$AG$4:$AG$4407)</f>
        <v>0</v>
      </c>
    </row>
    <row r="3241" spans="2:10" x14ac:dyDescent="0.3">
      <c r="B3241" s="277">
        <f>'Production '!C3244</f>
        <v>0</v>
      </c>
      <c r="C3241" s="76" t="e">
        <f ca="1">SUMIF('Production '!$C$4:$AI$4407,'Tracking Sheet'!B3241,'Production '!$M$4:$M$4407)</f>
        <v>#DIV/0!</v>
      </c>
      <c r="D3241" s="76" t="e">
        <f ca="1">SUMIF('Production '!$C$4:$AI$4407,'Tracking Sheet'!B3241,'Production '!$Q$4:$Q$4407)</f>
        <v>#DIV/0!</v>
      </c>
      <c r="E3241" s="76">
        <f ca="1">SUMIF('Production '!$C$4:$AI$4407,'Tracking Sheet'!B3241,'Production '!$S$4:$S$4407)</f>
        <v>-1268218.9828305368</v>
      </c>
      <c r="F3241" s="76">
        <f ca="1">SUMIF('Production '!$C$4:$AI$4407,'Tracking Sheet'!B3241,'Production '!$U$4:$U$4407)</f>
        <v>-10620.435600016917</v>
      </c>
      <c r="G3241" s="76" t="e">
        <f ca="1">SUMIF('Production '!$C$4:$AI$4407,'Tracking Sheet'!B3241,'Production '!$W$4:$W$4407)</f>
        <v>#DIV/0!</v>
      </c>
      <c r="H3241" s="76">
        <f ca="1">SUMIF('Production '!$C$4:$AI$4407,'Tracking Sheet'!B3241,'Production '!$F$4:$F$4407)</f>
        <v>3230621.3283604058</v>
      </c>
      <c r="I3241" s="76">
        <f ca="1">SUMIF('Production '!$C$4:$AI$4407,'Tracking Sheet'!B3241,'Production '!$V$4:$V$4407)</f>
        <v>-489.86487791182844</v>
      </c>
      <c r="J3241" s="76">
        <f ca="1">SUMIF('Production '!$C$4:$AI$4407,'Tracking Sheet'!B3241,'Production '!$AG$4:$AG$4407)</f>
        <v>0</v>
      </c>
    </row>
    <row r="3242" spans="2:10" x14ac:dyDescent="0.3">
      <c r="B3242" s="277">
        <f>'Production '!C3245</f>
        <v>0</v>
      </c>
      <c r="C3242" s="76" t="e">
        <f ca="1">SUMIF('Production '!$C$4:$AI$4407,'Tracking Sheet'!B3242,'Production '!$M$4:$M$4407)</f>
        <v>#DIV/0!</v>
      </c>
      <c r="D3242" s="76" t="e">
        <f ca="1">SUMIF('Production '!$C$4:$AI$4407,'Tracking Sheet'!B3242,'Production '!$Q$4:$Q$4407)</f>
        <v>#DIV/0!</v>
      </c>
      <c r="E3242" s="76">
        <f ca="1">SUMIF('Production '!$C$4:$AI$4407,'Tracking Sheet'!B3242,'Production '!$S$4:$S$4407)</f>
        <v>-1268218.9828305368</v>
      </c>
      <c r="F3242" s="76">
        <f ca="1">SUMIF('Production '!$C$4:$AI$4407,'Tracking Sheet'!B3242,'Production '!$U$4:$U$4407)</f>
        <v>-10620.435600016917</v>
      </c>
      <c r="G3242" s="76" t="e">
        <f ca="1">SUMIF('Production '!$C$4:$AI$4407,'Tracking Sheet'!B3242,'Production '!$W$4:$W$4407)</f>
        <v>#DIV/0!</v>
      </c>
      <c r="H3242" s="76">
        <f ca="1">SUMIF('Production '!$C$4:$AI$4407,'Tracking Sheet'!B3242,'Production '!$F$4:$F$4407)</f>
        <v>3230621.3283604058</v>
      </c>
      <c r="I3242" s="76">
        <f ca="1">SUMIF('Production '!$C$4:$AI$4407,'Tracking Sheet'!B3242,'Production '!$V$4:$V$4407)</f>
        <v>-489.86487791182844</v>
      </c>
      <c r="J3242" s="76">
        <f ca="1">SUMIF('Production '!$C$4:$AI$4407,'Tracking Sheet'!B3242,'Production '!$AG$4:$AG$4407)</f>
        <v>0</v>
      </c>
    </row>
    <row r="3243" spans="2:10" x14ac:dyDescent="0.3">
      <c r="B3243" s="277">
        <f>'Production '!C3246</f>
        <v>0</v>
      </c>
      <c r="C3243" s="76" t="e">
        <f ca="1">SUMIF('Production '!$C$4:$AI$4407,'Tracking Sheet'!B3243,'Production '!$M$4:$M$4407)</f>
        <v>#DIV/0!</v>
      </c>
      <c r="D3243" s="76" t="e">
        <f ca="1">SUMIF('Production '!$C$4:$AI$4407,'Tracking Sheet'!B3243,'Production '!$Q$4:$Q$4407)</f>
        <v>#DIV/0!</v>
      </c>
      <c r="E3243" s="76">
        <f ca="1">SUMIF('Production '!$C$4:$AI$4407,'Tracking Sheet'!B3243,'Production '!$S$4:$S$4407)</f>
        <v>-1268218.9828305368</v>
      </c>
      <c r="F3243" s="76">
        <f ca="1">SUMIF('Production '!$C$4:$AI$4407,'Tracking Sheet'!B3243,'Production '!$U$4:$U$4407)</f>
        <v>-10620.435600016917</v>
      </c>
      <c r="G3243" s="76" t="e">
        <f ca="1">SUMIF('Production '!$C$4:$AI$4407,'Tracking Sheet'!B3243,'Production '!$W$4:$W$4407)</f>
        <v>#DIV/0!</v>
      </c>
      <c r="H3243" s="76">
        <f ca="1">SUMIF('Production '!$C$4:$AI$4407,'Tracking Sheet'!B3243,'Production '!$F$4:$F$4407)</f>
        <v>3230621.3283604058</v>
      </c>
      <c r="I3243" s="76">
        <f ca="1">SUMIF('Production '!$C$4:$AI$4407,'Tracking Sheet'!B3243,'Production '!$V$4:$V$4407)</f>
        <v>-489.86487791182844</v>
      </c>
      <c r="J3243" s="76">
        <f ca="1">SUMIF('Production '!$C$4:$AI$4407,'Tracking Sheet'!B3243,'Production '!$AG$4:$AG$4407)</f>
        <v>0</v>
      </c>
    </row>
    <row r="3244" spans="2:10" x14ac:dyDescent="0.3">
      <c r="B3244" s="277">
        <f>'Production '!C3247</f>
        <v>0</v>
      </c>
      <c r="C3244" s="76" t="e">
        <f ca="1">SUMIF('Production '!$C$4:$AI$4407,'Tracking Sheet'!B3244,'Production '!$M$4:$M$4407)</f>
        <v>#DIV/0!</v>
      </c>
      <c r="D3244" s="76" t="e">
        <f ca="1">SUMIF('Production '!$C$4:$AI$4407,'Tracking Sheet'!B3244,'Production '!$Q$4:$Q$4407)</f>
        <v>#DIV/0!</v>
      </c>
      <c r="E3244" s="76">
        <f ca="1">SUMIF('Production '!$C$4:$AI$4407,'Tracking Sheet'!B3244,'Production '!$S$4:$S$4407)</f>
        <v>-1268218.9828305368</v>
      </c>
      <c r="F3244" s="76">
        <f ca="1">SUMIF('Production '!$C$4:$AI$4407,'Tracking Sheet'!B3244,'Production '!$U$4:$U$4407)</f>
        <v>-10620.435600016917</v>
      </c>
      <c r="G3244" s="76" t="e">
        <f ca="1">SUMIF('Production '!$C$4:$AI$4407,'Tracking Sheet'!B3244,'Production '!$W$4:$W$4407)</f>
        <v>#DIV/0!</v>
      </c>
      <c r="H3244" s="76">
        <f ca="1">SUMIF('Production '!$C$4:$AI$4407,'Tracking Sheet'!B3244,'Production '!$F$4:$F$4407)</f>
        <v>3230621.3283604058</v>
      </c>
      <c r="I3244" s="76">
        <f ca="1">SUMIF('Production '!$C$4:$AI$4407,'Tracking Sheet'!B3244,'Production '!$V$4:$V$4407)</f>
        <v>-489.86487791182844</v>
      </c>
      <c r="J3244" s="76">
        <f ca="1">SUMIF('Production '!$C$4:$AI$4407,'Tracking Sheet'!B3244,'Production '!$AG$4:$AG$4407)</f>
        <v>0</v>
      </c>
    </row>
    <row r="3245" spans="2:10" x14ac:dyDescent="0.3">
      <c r="B3245" s="277">
        <f>'Production '!C3248</f>
        <v>0</v>
      </c>
      <c r="C3245" s="76" t="e">
        <f ca="1">SUMIF('Production '!$C$4:$AI$4407,'Tracking Sheet'!B3245,'Production '!$M$4:$M$4407)</f>
        <v>#DIV/0!</v>
      </c>
      <c r="D3245" s="76" t="e">
        <f ca="1">SUMIF('Production '!$C$4:$AI$4407,'Tracking Sheet'!B3245,'Production '!$Q$4:$Q$4407)</f>
        <v>#DIV/0!</v>
      </c>
      <c r="E3245" s="76">
        <f ca="1">SUMIF('Production '!$C$4:$AI$4407,'Tracking Sheet'!B3245,'Production '!$S$4:$S$4407)</f>
        <v>-1268218.9828305368</v>
      </c>
      <c r="F3245" s="76">
        <f ca="1">SUMIF('Production '!$C$4:$AI$4407,'Tracking Sheet'!B3245,'Production '!$U$4:$U$4407)</f>
        <v>-10620.435600016917</v>
      </c>
      <c r="G3245" s="76" t="e">
        <f ca="1">SUMIF('Production '!$C$4:$AI$4407,'Tracking Sheet'!B3245,'Production '!$W$4:$W$4407)</f>
        <v>#DIV/0!</v>
      </c>
      <c r="H3245" s="76">
        <f ca="1">SUMIF('Production '!$C$4:$AI$4407,'Tracking Sheet'!B3245,'Production '!$F$4:$F$4407)</f>
        <v>3230621.3283604058</v>
      </c>
      <c r="I3245" s="76">
        <f ca="1">SUMIF('Production '!$C$4:$AI$4407,'Tracking Sheet'!B3245,'Production '!$V$4:$V$4407)</f>
        <v>-489.86487791182844</v>
      </c>
      <c r="J3245" s="76">
        <f ca="1">SUMIF('Production '!$C$4:$AI$4407,'Tracking Sheet'!B3245,'Production '!$AG$4:$AG$4407)</f>
        <v>0</v>
      </c>
    </row>
    <row r="3246" spans="2:10" x14ac:dyDescent="0.3">
      <c r="B3246" s="277">
        <f>'Production '!C3249</f>
        <v>0</v>
      </c>
      <c r="C3246" s="76" t="e">
        <f ca="1">SUMIF('Production '!$C$4:$AI$4407,'Tracking Sheet'!B3246,'Production '!$M$4:$M$4407)</f>
        <v>#DIV/0!</v>
      </c>
      <c r="D3246" s="76" t="e">
        <f ca="1">SUMIF('Production '!$C$4:$AI$4407,'Tracking Sheet'!B3246,'Production '!$Q$4:$Q$4407)</f>
        <v>#DIV/0!</v>
      </c>
      <c r="E3246" s="76">
        <f ca="1">SUMIF('Production '!$C$4:$AI$4407,'Tracking Sheet'!B3246,'Production '!$S$4:$S$4407)</f>
        <v>-1268218.9828305368</v>
      </c>
      <c r="F3246" s="76">
        <f ca="1">SUMIF('Production '!$C$4:$AI$4407,'Tracking Sheet'!B3246,'Production '!$U$4:$U$4407)</f>
        <v>-10620.435600016917</v>
      </c>
      <c r="G3246" s="76" t="e">
        <f ca="1">SUMIF('Production '!$C$4:$AI$4407,'Tracking Sheet'!B3246,'Production '!$W$4:$W$4407)</f>
        <v>#DIV/0!</v>
      </c>
      <c r="H3246" s="76">
        <f ca="1">SUMIF('Production '!$C$4:$AI$4407,'Tracking Sheet'!B3246,'Production '!$F$4:$F$4407)</f>
        <v>3230621.3283604058</v>
      </c>
      <c r="I3246" s="76">
        <f ca="1">SUMIF('Production '!$C$4:$AI$4407,'Tracking Sheet'!B3246,'Production '!$V$4:$V$4407)</f>
        <v>-489.86487791182844</v>
      </c>
      <c r="J3246" s="76">
        <f ca="1">SUMIF('Production '!$C$4:$AI$4407,'Tracking Sheet'!B3246,'Production '!$AG$4:$AG$4407)</f>
        <v>0</v>
      </c>
    </row>
    <row r="3247" spans="2:10" x14ac:dyDescent="0.3">
      <c r="B3247" s="277">
        <f>'Production '!C3250</f>
        <v>0</v>
      </c>
      <c r="C3247" s="76" t="e">
        <f ca="1">SUMIF('Production '!$C$4:$AI$4407,'Tracking Sheet'!B3247,'Production '!$M$4:$M$4407)</f>
        <v>#DIV/0!</v>
      </c>
      <c r="D3247" s="76" t="e">
        <f ca="1">SUMIF('Production '!$C$4:$AI$4407,'Tracking Sheet'!B3247,'Production '!$Q$4:$Q$4407)</f>
        <v>#DIV/0!</v>
      </c>
      <c r="E3247" s="76">
        <f ca="1">SUMIF('Production '!$C$4:$AI$4407,'Tracking Sheet'!B3247,'Production '!$S$4:$S$4407)</f>
        <v>-1268218.9828305368</v>
      </c>
      <c r="F3247" s="76">
        <f ca="1">SUMIF('Production '!$C$4:$AI$4407,'Tracking Sheet'!B3247,'Production '!$U$4:$U$4407)</f>
        <v>-10620.435600016917</v>
      </c>
      <c r="G3247" s="76" t="e">
        <f ca="1">SUMIF('Production '!$C$4:$AI$4407,'Tracking Sheet'!B3247,'Production '!$W$4:$W$4407)</f>
        <v>#DIV/0!</v>
      </c>
      <c r="H3247" s="76">
        <f ca="1">SUMIF('Production '!$C$4:$AI$4407,'Tracking Sheet'!B3247,'Production '!$F$4:$F$4407)</f>
        <v>3230621.3283604058</v>
      </c>
      <c r="I3247" s="76">
        <f ca="1">SUMIF('Production '!$C$4:$AI$4407,'Tracking Sheet'!B3247,'Production '!$V$4:$V$4407)</f>
        <v>-489.86487791182844</v>
      </c>
      <c r="J3247" s="76">
        <f ca="1">SUMIF('Production '!$C$4:$AI$4407,'Tracking Sheet'!B3247,'Production '!$AG$4:$AG$4407)</f>
        <v>0</v>
      </c>
    </row>
    <row r="3248" spans="2:10" x14ac:dyDescent="0.3">
      <c r="B3248" s="277">
        <f>'Production '!C3251</f>
        <v>0</v>
      </c>
      <c r="C3248" s="76" t="e">
        <f ca="1">SUMIF('Production '!$C$4:$AI$4407,'Tracking Sheet'!B3248,'Production '!$M$4:$M$4407)</f>
        <v>#DIV/0!</v>
      </c>
      <c r="D3248" s="76" t="e">
        <f ca="1">SUMIF('Production '!$C$4:$AI$4407,'Tracking Sheet'!B3248,'Production '!$Q$4:$Q$4407)</f>
        <v>#DIV/0!</v>
      </c>
      <c r="E3248" s="76">
        <f ca="1">SUMIF('Production '!$C$4:$AI$4407,'Tracking Sheet'!B3248,'Production '!$S$4:$S$4407)</f>
        <v>-1268218.9828305368</v>
      </c>
      <c r="F3248" s="76">
        <f ca="1">SUMIF('Production '!$C$4:$AI$4407,'Tracking Sheet'!B3248,'Production '!$U$4:$U$4407)</f>
        <v>-10620.435600016917</v>
      </c>
      <c r="G3248" s="76" t="e">
        <f ca="1">SUMIF('Production '!$C$4:$AI$4407,'Tracking Sheet'!B3248,'Production '!$W$4:$W$4407)</f>
        <v>#DIV/0!</v>
      </c>
      <c r="H3248" s="76">
        <f ca="1">SUMIF('Production '!$C$4:$AI$4407,'Tracking Sheet'!B3248,'Production '!$F$4:$F$4407)</f>
        <v>3230621.3283604058</v>
      </c>
      <c r="I3248" s="76">
        <f ca="1">SUMIF('Production '!$C$4:$AI$4407,'Tracking Sheet'!B3248,'Production '!$V$4:$V$4407)</f>
        <v>-489.86487791182844</v>
      </c>
      <c r="J3248" s="76">
        <f ca="1">SUMIF('Production '!$C$4:$AI$4407,'Tracking Sheet'!B3248,'Production '!$AG$4:$AG$4407)</f>
        <v>0</v>
      </c>
    </row>
    <row r="3249" spans="2:10" x14ac:dyDescent="0.3">
      <c r="B3249" s="277">
        <f>'Production '!C3252</f>
        <v>0</v>
      </c>
      <c r="C3249" s="76" t="e">
        <f ca="1">SUMIF('Production '!$C$4:$AI$4407,'Tracking Sheet'!B3249,'Production '!$M$4:$M$4407)</f>
        <v>#DIV/0!</v>
      </c>
      <c r="D3249" s="76" t="e">
        <f ca="1">SUMIF('Production '!$C$4:$AI$4407,'Tracking Sheet'!B3249,'Production '!$Q$4:$Q$4407)</f>
        <v>#DIV/0!</v>
      </c>
      <c r="E3249" s="76">
        <f ca="1">SUMIF('Production '!$C$4:$AI$4407,'Tracking Sheet'!B3249,'Production '!$S$4:$S$4407)</f>
        <v>-1268218.9828305368</v>
      </c>
      <c r="F3249" s="76">
        <f ca="1">SUMIF('Production '!$C$4:$AI$4407,'Tracking Sheet'!B3249,'Production '!$U$4:$U$4407)</f>
        <v>-10620.435600016917</v>
      </c>
      <c r="G3249" s="76" t="e">
        <f ca="1">SUMIF('Production '!$C$4:$AI$4407,'Tracking Sheet'!B3249,'Production '!$W$4:$W$4407)</f>
        <v>#DIV/0!</v>
      </c>
      <c r="H3249" s="76">
        <f ca="1">SUMIF('Production '!$C$4:$AI$4407,'Tracking Sheet'!B3249,'Production '!$F$4:$F$4407)</f>
        <v>3230621.3283604058</v>
      </c>
      <c r="I3249" s="76">
        <f ca="1">SUMIF('Production '!$C$4:$AI$4407,'Tracking Sheet'!B3249,'Production '!$V$4:$V$4407)</f>
        <v>-489.86487791182844</v>
      </c>
      <c r="J3249" s="76">
        <f ca="1">SUMIF('Production '!$C$4:$AI$4407,'Tracking Sheet'!B3249,'Production '!$AG$4:$AG$4407)</f>
        <v>0</v>
      </c>
    </row>
    <row r="3250" spans="2:10" x14ac:dyDescent="0.3">
      <c r="B3250" s="277">
        <f>'Production '!C3253</f>
        <v>0</v>
      </c>
      <c r="C3250" s="76" t="e">
        <f ca="1">SUMIF('Production '!$C$4:$AI$4407,'Tracking Sheet'!B3250,'Production '!$M$4:$M$4407)</f>
        <v>#DIV/0!</v>
      </c>
      <c r="D3250" s="76" t="e">
        <f ca="1">SUMIF('Production '!$C$4:$AI$4407,'Tracking Sheet'!B3250,'Production '!$Q$4:$Q$4407)</f>
        <v>#DIV/0!</v>
      </c>
      <c r="E3250" s="76">
        <f ca="1">SUMIF('Production '!$C$4:$AI$4407,'Tracking Sheet'!B3250,'Production '!$S$4:$S$4407)</f>
        <v>-1268218.9828305368</v>
      </c>
      <c r="F3250" s="76">
        <f ca="1">SUMIF('Production '!$C$4:$AI$4407,'Tracking Sheet'!B3250,'Production '!$U$4:$U$4407)</f>
        <v>-10620.435600016917</v>
      </c>
      <c r="G3250" s="76" t="e">
        <f ca="1">SUMIF('Production '!$C$4:$AI$4407,'Tracking Sheet'!B3250,'Production '!$W$4:$W$4407)</f>
        <v>#DIV/0!</v>
      </c>
      <c r="H3250" s="76">
        <f ca="1">SUMIF('Production '!$C$4:$AI$4407,'Tracking Sheet'!B3250,'Production '!$F$4:$F$4407)</f>
        <v>3230621.3283604058</v>
      </c>
      <c r="I3250" s="76">
        <f ca="1">SUMIF('Production '!$C$4:$AI$4407,'Tracking Sheet'!B3250,'Production '!$V$4:$V$4407)</f>
        <v>-489.86487791182844</v>
      </c>
      <c r="J3250" s="76">
        <f ca="1">SUMIF('Production '!$C$4:$AI$4407,'Tracking Sheet'!B3250,'Production '!$AG$4:$AG$4407)</f>
        <v>0</v>
      </c>
    </row>
    <row r="3251" spans="2:10" x14ac:dyDescent="0.3">
      <c r="B3251" s="277">
        <f>'Production '!C3254</f>
        <v>0</v>
      </c>
      <c r="C3251" s="76" t="e">
        <f ca="1">SUMIF('Production '!$C$4:$AI$4407,'Tracking Sheet'!B3251,'Production '!$M$4:$M$4407)</f>
        <v>#DIV/0!</v>
      </c>
      <c r="D3251" s="76" t="e">
        <f ca="1">SUMIF('Production '!$C$4:$AI$4407,'Tracking Sheet'!B3251,'Production '!$Q$4:$Q$4407)</f>
        <v>#DIV/0!</v>
      </c>
      <c r="E3251" s="76">
        <f ca="1">SUMIF('Production '!$C$4:$AI$4407,'Tracking Sheet'!B3251,'Production '!$S$4:$S$4407)</f>
        <v>-1268218.9828305368</v>
      </c>
      <c r="F3251" s="76">
        <f ca="1">SUMIF('Production '!$C$4:$AI$4407,'Tracking Sheet'!B3251,'Production '!$U$4:$U$4407)</f>
        <v>-10620.435600016917</v>
      </c>
      <c r="G3251" s="76" t="e">
        <f ca="1">SUMIF('Production '!$C$4:$AI$4407,'Tracking Sheet'!B3251,'Production '!$W$4:$W$4407)</f>
        <v>#DIV/0!</v>
      </c>
      <c r="H3251" s="76">
        <f ca="1">SUMIF('Production '!$C$4:$AI$4407,'Tracking Sheet'!B3251,'Production '!$F$4:$F$4407)</f>
        <v>3230621.3283604058</v>
      </c>
      <c r="I3251" s="76">
        <f ca="1">SUMIF('Production '!$C$4:$AI$4407,'Tracking Sheet'!B3251,'Production '!$V$4:$V$4407)</f>
        <v>-489.86487791182844</v>
      </c>
      <c r="J3251" s="76">
        <f ca="1">SUMIF('Production '!$C$4:$AI$4407,'Tracking Sheet'!B3251,'Production '!$AG$4:$AG$4407)</f>
        <v>0</v>
      </c>
    </row>
    <row r="3252" spans="2:10" x14ac:dyDescent="0.3">
      <c r="B3252" s="277">
        <f>'Production '!C3255</f>
        <v>0</v>
      </c>
      <c r="C3252" s="76" t="e">
        <f ca="1">SUMIF('Production '!$C$4:$AI$4407,'Tracking Sheet'!B3252,'Production '!$M$4:$M$4407)</f>
        <v>#DIV/0!</v>
      </c>
      <c r="D3252" s="76" t="e">
        <f ca="1">SUMIF('Production '!$C$4:$AI$4407,'Tracking Sheet'!B3252,'Production '!$Q$4:$Q$4407)</f>
        <v>#DIV/0!</v>
      </c>
      <c r="E3252" s="76">
        <f ca="1">SUMIF('Production '!$C$4:$AI$4407,'Tracking Sheet'!B3252,'Production '!$S$4:$S$4407)</f>
        <v>-1268218.9828305368</v>
      </c>
      <c r="F3252" s="76">
        <f ca="1">SUMIF('Production '!$C$4:$AI$4407,'Tracking Sheet'!B3252,'Production '!$U$4:$U$4407)</f>
        <v>-10620.435600016917</v>
      </c>
      <c r="G3252" s="76" t="e">
        <f ca="1">SUMIF('Production '!$C$4:$AI$4407,'Tracking Sheet'!B3252,'Production '!$W$4:$W$4407)</f>
        <v>#DIV/0!</v>
      </c>
      <c r="H3252" s="76">
        <f ca="1">SUMIF('Production '!$C$4:$AI$4407,'Tracking Sheet'!B3252,'Production '!$F$4:$F$4407)</f>
        <v>3230621.3283604058</v>
      </c>
      <c r="I3252" s="76">
        <f ca="1">SUMIF('Production '!$C$4:$AI$4407,'Tracking Sheet'!B3252,'Production '!$V$4:$V$4407)</f>
        <v>-489.86487791182844</v>
      </c>
      <c r="J3252" s="76">
        <f ca="1">SUMIF('Production '!$C$4:$AI$4407,'Tracking Sheet'!B3252,'Production '!$AG$4:$AG$4407)</f>
        <v>0</v>
      </c>
    </row>
    <row r="3253" spans="2:10" x14ac:dyDescent="0.3">
      <c r="B3253" s="277">
        <f>'Production '!C3256</f>
        <v>0</v>
      </c>
      <c r="C3253" s="76" t="e">
        <f ca="1">SUMIF('Production '!$C$4:$AI$4407,'Tracking Sheet'!B3253,'Production '!$M$4:$M$4407)</f>
        <v>#DIV/0!</v>
      </c>
      <c r="D3253" s="76" t="e">
        <f ca="1">SUMIF('Production '!$C$4:$AI$4407,'Tracking Sheet'!B3253,'Production '!$Q$4:$Q$4407)</f>
        <v>#DIV/0!</v>
      </c>
      <c r="E3253" s="76">
        <f ca="1">SUMIF('Production '!$C$4:$AI$4407,'Tracking Sheet'!B3253,'Production '!$S$4:$S$4407)</f>
        <v>-1268218.9828305368</v>
      </c>
      <c r="F3253" s="76">
        <f ca="1">SUMIF('Production '!$C$4:$AI$4407,'Tracking Sheet'!B3253,'Production '!$U$4:$U$4407)</f>
        <v>-10620.435600016917</v>
      </c>
      <c r="G3253" s="76" t="e">
        <f ca="1">SUMIF('Production '!$C$4:$AI$4407,'Tracking Sheet'!B3253,'Production '!$W$4:$W$4407)</f>
        <v>#DIV/0!</v>
      </c>
      <c r="H3253" s="76">
        <f ca="1">SUMIF('Production '!$C$4:$AI$4407,'Tracking Sheet'!B3253,'Production '!$F$4:$F$4407)</f>
        <v>3230621.3283604058</v>
      </c>
      <c r="I3253" s="76">
        <f ca="1">SUMIF('Production '!$C$4:$AI$4407,'Tracking Sheet'!B3253,'Production '!$V$4:$V$4407)</f>
        <v>-489.86487791182844</v>
      </c>
      <c r="J3253" s="76">
        <f ca="1">SUMIF('Production '!$C$4:$AI$4407,'Tracking Sheet'!B3253,'Production '!$AG$4:$AG$4407)</f>
        <v>0</v>
      </c>
    </row>
    <row r="3254" spans="2:10" x14ac:dyDescent="0.3">
      <c r="B3254" s="277">
        <f>'Production '!C3257</f>
        <v>0</v>
      </c>
      <c r="C3254" s="76" t="e">
        <f ca="1">SUMIF('Production '!$C$4:$AI$4407,'Tracking Sheet'!B3254,'Production '!$M$4:$M$4407)</f>
        <v>#DIV/0!</v>
      </c>
      <c r="D3254" s="76" t="e">
        <f ca="1">SUMIF('Production '!$C$4:$AI$4407,'Tracking Sheet'!B3254,'Production '!$Q$4:$Q$4407)</f>
        <v>#DIV/0!</v>
      </c>
      <c r="E3254" s="76">
        <f ca="1">SUMIF('Production '!$C$4:$AI$4407,'Tracking Sheet'!B3254,'Production '!$S$4:$S$4407)</f>
        <v>-1268218.9828305368</v>
      </c>
      <c r="F3254" s="76">
        <f ca="1">SUMIF('Production '!$C$4:$AI$4407,'Tracking Sheet'!B3254,'Production '!$U$4:$U$4407)</f>
        <v>-10620.435600016917</v>
      </c>
      <c r="G3254" s="76" t="e">
        <f ca="1">SUMIF('Production '!$C$4:$AI$4407,'Tracking Sheet'!B3254,'Production '!$W$4:$W$4407)</f>
        <v>#DIV/0!</v>
      </c>
      <c r="H3254" s="76">
        <f ca="1">SUMIF('Production '!$C$4:$AI$4407,'Tracking Sheet'!B3254,'Production '!$F$4:$F$4407)</f>
        <v>3230621.3283604058</v>
      </c>
      <c r="I3254" s="76">
        <f ca="1">SUMIF('Production '!$C$4:$AI$4407,'Tracking Sheet'!B3254,'Production '!$V$4:$V$4407)</f>
        <v>-489.86487791182844</v>
      </c>
      <c r="J3254" s="76">
        <f ca="1">SUMIF('Production '!$C$4:$AI$4407,'Tracking Sheet'!B3254,'Production '!$AG$4:$AG$4407)</f>
        <v>0</v>
      </c>
    </row>
    <row r="3255" spans="2:10" x14ac:dyDescent="0.3">
      <c r="B3255" s="277">
        <f>'Production '!C3258</f>
        <v>0</v>
      </c>
      <c r="C3255" s="76" t="e">
        <f ca="1">SUMIF('Production '!$C$4:$AI$4407,'Tracking Sheet'!B3255,'Production '!$M$4:$M$4407)</f>
        <v>#DIV/0!</v>
      </c>
      <c r="D3255" s="76" t="e">
        <f ca="1">SUMIF('Production '!$C$4:$AI$4407,'Tracking Sheet'!B3255,'Production '!$Q$4:$Q$4407)</f>
        <v>#DIV/0!</v>
      </c>
      <c r="E3255" s="76">
        <f ca="1">SUMIF('Production '!$C$4:$AI$4407,'Tracking Sheet'!B3255,'Production '!$S$4:$S$4407)</f>
        <v>-1268218.9828305368</v>
      </c>
      <c r="F3255" s="76">
        <f ca="1">SUMIF('Production '!$C$4:$AI$4407,'Tracking Sheet'!B3255,'Production '!$U$4:$U$4407)</f>
        <v>-10620.435600016917</v>
      </c>
      <c r="G3255" s="76" t="e">
        <f ca="1">SUMIF('Production '!$C$4:$AI$4407,'Tracking Sheet'!B3255,'Production '!$W$4:$W$4407)</f>
        <v>#DIV/0!</v>
      </c>
      <c r="H3255" s="76">
        <f ca="1">SUMIF('Production '!$C$4:$AI$4407,'Tracking Sheet'!B3255,'Production '!$F$4:$F$4407)</f>
        <v>3230621.3283604058</v>
      </c>
      <c r="I3255" s="76">
        <f ca="1">SUMIF('Production '!$C$4:$AI$4407,'Tracking Sheet'!B3255,'Production '!$V$4:$V$4407)</f>
        <v>-489.86487791182844</v>
      </c>
      <c r="J3255" s="76">
        <f ca="1">SUMIF('Production '!$C$4:$AI$4407,'Tracking Sheet'!B3255,'Production '!$AG$4:$AG$4407)</f>
        <v>0</v>
      </c>
    </row>
  </sheetData>
  <autoFilter ref="B2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Summary</vt:lpstr>
      <vt:lpstr>Production </vt:lpstr>
      <vt:lpstr>Tracking Sheet</vt:lpstr>
      <vt:lpstr>'Production '!Print_Area</vt:lpstr>
      <vt:lpstr>Summary!Print_Area</vt:lpstr>
      <vt:lpstr>'Production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Cutting</cp:lastModifiedBy>
  <cp:lastPrinted>2026-05-07T13:18:11Z</cp:lastPrinted>
  <dcterms:created xsi:type="dcterms:W3CDTF">2014-02-20T13:00:20Z</dcterms:created>
  <dcterms:modified xsi:type="dcterms:W3CDTF">2026-09-18T04:42:02Z</dcterms:modified>
</cp:coreProperties>
</file>